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xr:revisionPtr revIDLastSave="3599" documentId="11_92485C45C1F39E42E268565A893E8C18510380CC" xr6:coauthVersionLast="47" xr6:coauthVersionMax="47" xr10:uidLastSave="{323E23EC-DD7F-498B-AFA2-D165895F27E9}"/>
  <bookViews>
    <workbookView xWindow="240" yWindow="105" windowWidth="14805" windowHeight="8010" firstSheet="3" xr2:uid="{00000000-000D-0000-FFFF-FFFF00000000}"/>
  </bookViews>
  <sheets>
    <sheet name="Negócios" sheetId="1" r:id="rId1"/>
    <sheet name="Realizado GD" sheetId="2" r:id="rId2"/>
    <sheet name="Cargos e OTEs" sheetId="15" r:id="rId3"/>
    <sheet name="Metas" sheetId="3" r:id="rId4"/>
    <sheet name="Parâmetros" sheetId="4" r:id="rId5"/>
    <sheet name="Acel Form Pag" sheetId="5" r:id="rId6"/>
    <sheet name="Patamares Saving" sheetId="13" r:id="rId7"/>
    <sheet name="Recuperação de Canc e Divs" sheetId="6" r:id="rId8"/>
    <sheet name="Comissões" sheetId="7" r:id="rId9"/>
    <sheet name="Comissões Saving" sheetId="14" r:id="rId10"/>
    <sheet name="Comissões GD" sheetId="8" r:id="rId11"/>
    <sheet name="Comissões B2G" sheetId="9" r:id="rId12"/>
    <sheet name="Comissões Gestão B2G" sheetId="10" r:id="rId13"/>
    <sheet name="Comissões VPs" sheetId="11" r:id="rId14"/>
    <sheet name="Atingimento de Meta" sheetId="12" r:id="rId15"/>
  </sheets>
  <definedNames>
    <definedName name="_xlnm._FilterDatabase" localSheetId="10" hidden="1">'Comissões GD'!$A$1:$H$30</definedName>
    <definedName name="_xlnm._FilterDatabase" localSheetId="3" hidden="1">Metas!$A$1:$N$245</definedName>
    <definedName name="_xlnm._FilterDatabase" localSheetId="9" hidden="1">'Comissões Saving'!$A$1:$Z$9</definedName>
    <definedName name="_xlnm._FilterDatabase" localSheetId="4" hidden="1">Parâmetros!$A$1:$W$201</definedName>
    <definedName name="_xlnm._FilterDatabase" localSheetId="8" hidden="1">Comissões!$A$1:$H$134</definedName>
    <definedName name="_xlnm._FilterDatabase" localSheetId="7" hidden="1">'Recuperação de Canc e Divs'!$F$74:$R$74</definedName>
    <definedName name="_xlnm._FilterDatabase" localSheetId="11" hidden="1">'Comissões B2G'!$A$3:$G$56</definedName>
    <definedName name="_xlnm._FilterDatabase" localSheetId="0" hidden="1">Negócios!$A$1:$AH$5009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5008" i="1" l="1"/>
  <c r="AG5008" i="1"/>
  <c r="AH5007" i="1"/>
  <c r="AG5007" i="1"/>
  <c r="AH5006" i="1"/>
  <c r="AG5006" i="1"/>
  <c r="AH5005" i="1"/>
  <c r="AG5005" i="1"/>
  <c r="AH5004" i="1"/>
  <c r="AG5004" i="1"/>
  <c r="AH5003" i="1"/>
  <c r="AG5003" i="1"/>
  <c r="AH5002" i="1"/>
  <c r="AG5002" i="1"/>
  <c r="AH5001" i="1"/>
  <c r="AG5001" i="1"/>
  <c r="AH5000" i="1"/>
  <c r="AG5000" i="1"/>
  <c r="AH4999" i="1"/>
  <c r="AG4999" i="1"/>
  <c r="AH4998" i="1"/>
  <c r="AG4998" i="1"/>
  <c r="AH4997" i="1"/>
  <c r="AG4997" i="1"/>
  <c r="AH4996" i="1"/>
  <c r="AG4996" i="1"/>
  <c r="AH4995" i="1"/>
  <c r="AG4995" i="1"/>
  <c r="AH4994" i="1"/>
  <c r="AG4994" i="1"/>
  <c r="AH4993" i="1"/>
  <c r="AG4993" i="1"/>
  <c r="AH4992" i="1"/>
  <c r="AG4992" i="1"/>
  <c r="AH4991" i="1"/>
  <c r="AG4991" i="1"/>
  <c r="AH4990" i="1"/>
  <c r="AG4990" i="1"/>
  <c r="AH4989" i="1"/>
  <c r="AG4989" i="1"/>
  <c r="AH4988" i="1"/>
  <c r="AG4988" i="1"/>
  <c r="AH4987" i="1"/>
  <c r="AG4987" i="1"/>
  <c r="AH4986" i="1"/>
  <c r="AG4986" i="1"/>
  <c r="AH4985" i="1"/>
  <c r="AG4985" i="1"/>
  <c r="AH4984" i="1"/>
  <c r="AG4984" i="1"/>
  <c r="AH4983" i="1"/>
  <c r="AG4983" i="1"/>
  <c r="AH4982" i="1"/>
  <c r="AG4982" i="1"/>
  <c r="AH4981" i="1"/>
  <c r="AG4981" i="1"/>
  <c r="AH4980" i="1"/>
  <c r="AG4980" i="1"/>
  <c r="AH4979" i="1"/>
  <c r="AG4979" i="1"/>
  <c r="AH4978" i="1"/>
  <c r="AG4978" i="1"/>
  <c r="AH4977" i="1"/>
  <c r="AG4977" i="1"/>
  <c r="AH4976" i="1"/>
  <c r="AG4976" i="1"/>
  <c r="AH4975" i="1"/>
  <c r="AG4975" i="1"/>
  <c r="AH4974" i="1"/>
  <c r="AG4974" i="1"/>
  <c r="AH4973" i="1"/>
  <c r="AG4973" i="1"/>
  <c r="AH4972" i="1"/>
  <c r="AG4972" i="1"/>
  <c r="AH4971" i="1"/>
  <c r="AG4971" i="1"/>
  <c r="AH4970" i="1"/>
  <c r="AG4970" i="1"/>
  <c r="AH4969" i="1"/>
  <c r="AG4969" i="1"/>
  <c r="AH4968" i="1"/>
  <c r="AG4968" i="1"/>
  <c r="AH4967" i="1"/>
  <c r="AG4967" i="1"/>
  <c r="AH4966" i="1"/>
  <c r="AG4966" i="1"/>
  <c r="AH4965" i="1"/>
  <c r="AG4965" i="1"/>
  <c r="AH4964" i="1"/>
  <c r="AG4964" i="1"/>
  <c r="AH4963" i="1"/>
  <c r="AG4963" i="1"/>
  <c r="AH4962" i="1"/>
  <c r="AG4962" i="1"/>
  <c r="AH4961" i="1"/>
  <c r="AG4961" i="1"/>
  <c r="AH4960" i="1"/>
  <c r="AG4960" i="1"/>
  <c r="AH4959" i="1"/>
  <c r="AG4959" i="1"/>
  <c r="AH4958" i="1"/>
  <c r="AG4958" i="1"/>
  <c r="AH4957" i="1"/>
  <c r="AG4957" i="1"/>
  <c r="AH4956" i="1"/>
  <c r="AG4956" i="1"/>
  <c r="AH4955" i="1"/>
  <c r="AG4955" i="1"/>
  <c r="AH4954" i="1"/>
  <c r="AG4954" i="1"/>
  <c r="AH4953" i="1"/>
  <c r="AG4953" i="1"/>
  <c r="AH4952" i="1"/>
  <c r="AG4952" i="1"/>
  <c r="AH4951" i="1"/>
  <c r="AG4951" i="1"/>
  <c r="AH4950" i="1"/>
  <c r="AG4950" i="1"/>
  <c r="AH4949" i="1"/>
  <c r="AG4949" i="1"/>
  <c r="AH4948" i="1"/>
  <c r="AG4948" i="1"/>
  <c r="AH4947" i="1"/>
  <c r="AG4947" i="1"/>
  <c r="AH4946" i="1"/>
  <c r="AG4946" i="1"/>
  <c r="AH4945" i="1"/>
  <c r="AG4945" i="1"/>
  <c r="AH4944" i="1"/>
  <c r="AG4944" i="1"/>
  <c r="AH4943" i="1"/>
  <c r="AG4943" i="1"/>
  <c r="AH4942" i="1"/>
  <c r="AG4942" i="1"/>
  <c r="AH4941" i="1"/>
  <c r="AG4941" i="1"/>
  <c r="AH4940" i="1"/>
  <c r="AG4940" i="1"/>
  <c r="AH4939" i="1"/>
  <c r="AG4939" i="1"/>
  <c r="AH4938" i="1"/>
  <c r="AG4938" i="1"/>
  <c r="AH4937" i="1"/>
  <c r="AG4937" i="1"/>
  <c r="AH4936" i="1"/>
  <c r="AG4936" i="1"/>
  <c r="AH4935" i="1"/>
  <c r="AG4935" i="1"/>
  <c r="AH4934" i="1"/>
  <c r="AG4934" i="1"/>
  <c r="AH4933" i="1"/>
  <c r="AG4933" i="1"/>
  <c r="AH4932" i="1"/>
  <c r="AG4932" i="1"/>
  <c r="AH4931" i="1"/>
  <c r="AG4931" i="1"/>
  <c r="AH4930" i="1"/>
  <c r="AG4930" i="1"/>
  <c r="AH4929" i="1"/>
  <c r="AG4929" i="1"/>
  <c r="AH4928" i="1"/>
  <c r="AG4928" i="1"/>
  <c r="AH4927" i="1"/>
  <c r="AG4927" i="1"/>
  <c r="AH4926" i="1"/>
  <c r="AG4926" i="1"/>
  <c r="AH4925" i="1"/>
  <c r="AG4925" i="1"/>
  <c r="AH4924" i="1"/>
  <c r="AG4924" i="1"/>
  <c r="AH4923" i="1"/>
  <c r="AG4923" i="1"/>
  <c r="AH4922" i="1"/>
  <c r="AG4922" i="1"/>
  <c r="AH4921" i="1"/>
  <c r="AG4921" i="1"/>
  <c r="AH4920" i="1"/>
  <c r="AG4920" i="1"/>
  <c r="AH4919" i="1"/>
  <c r="AG4919" i="1"/>
  <c r="AH4918" i="1"/>
  <c r="AG4918" i="1"/>
  <c r="AH4917" i="1"/>
  <c r="AG4917" i="1"/>
  <c r="AH4916" i="1"/>
  <c r="AG4916" i="1"/>
  <c r="AH4915" i="1"/>
  <c r="AG4915" i="1"/>
  <c r="AH4914" i="1"/>
  <c r="AG4914" i="1"/>
  <c r="AH4913" i="1"/>
  <c r="AG4913" i="1"/>
  <c r="AH4912" i="1"/>
  <c r="AG4912" i="1"/>
  <c r="AH4911" i="1"/>
  <c r="AG4911" i="1"/>
  <c r="AH4910" i="1"/>
  <c r="AG4910" i="1"/>
  <c r="AH4909" i="1"/>
  <c r="AG4909" i="1"/>
  <c r="AH4908" i="1"/>
  <c r="AG4908" i="1"/>
  <c r="AH4907" i="1"/>
  <c r="AG4907" i="1"/>
  <c r="AH4906" i="1"/>
  <c r="AG4906" i="1"/>
  <c r="AH4905" i="1"/>
  <c r="AG4905" i="1"/>
  <c r="AH4904" i="1"/>
  <c r="AG4904" i="1"/>
  <c r="AH4903" i="1"/>
  <c r="AG4903" i="1"/>
  <c r="AH4902" i="1"/>
  <c r="AG4902" i="1"/>
  <c r="AH4901" i="1"/>
  <c r="AG4901" i="1"/>
  <c r="AH4900" i="1"/>
  <c r="AG4900" i="1"/>
  <c r="AH4899" i="1"/>
  <c r="AG4899" i="1"/>
  <c r="AH4898" i="1"/>
  <c r="AG4898" i="1"/>
  <c r="AH4897" i="1"/>
  <c r="AG4897" i="1"/>
  <c r="AH4896" i="1"/>
  <c r="AG4896" i="1"/>
  <c r="AH4895" i="1"/>
  <c r="AG4895" i="1"/>
  <c r="AH4894" i="1"/>
  <c r="AG4894" i="1"/>
  <c r="AH4893" i="1"/>
  <c r="AG4893" i="1"/>
  <c r="AH4892" i="1"/>
  <c r="AG4892" i="1"/>
  <c r="AH4891" i="1"/>
  <c r="AG4891" i="1"/>
  <c r="AH4890" i="1"/>
  <c r="AG4890" i="1"/>
  <c r="AH4889" i="1"/>
  <c r="AG4889" i="1"/>
  <c r="AH4888" i="1"/>
  <c r="AG4888" i="1"/>
  <c r="AH4887" i="1"/>
  <c r="AG4887" i="1"/>
  <c r="AH4886" i="1"/>
  <c r="AG4886" i="1"/>
  <c r="AH4885" i="1"/>
  <c r="AG4885" i="1"/>
  <c r="AH4884" i="1"/>
  <c r="AG4884" i="1"/>
  <c r="AH4883" i="1"/>
  <c r="AG4883" i="1"/>
  <c r="AH4882" i="1"/>
  <c r="AG4882" i="1"/>
  <c r="AH4881" i="1"/>
  <c r="AG4881" i="1"/>
  <c r="AH4880" i="1"/>
  <c r="AG4880" i="1"/>
  <c r="AH4879" i="1"/>
  <c r="AG4879" i="1"/>
  <c r="AH4878" i="1"/>
  <c r="AG4878" i="1"/>
  <c r="AH4877" i="1"/>
  <c r="AG4877" i="1"/>
  <c r="AH4876" i="1"/>
  <c r="AG4876" i="1"/>
  <c r="AH4875" i="1"/>
  <c r="AG4875" i="1"/>
  <c r="AH4874" i="1"/>
  <c r="AG4874" i="1"/>
  <c r="AH4873" i="1"/>
  <c r="AG4873" i="1"/>
  <c r="AH4872" i="1"/>
  <c r="AG4872" i="1"/>
  <c r="AH4871" i="1"/>
  <c r="AG4871" i="1"/>
  <c r="AH4870" i="1"/>
  <c r="AG4870" i="1"/>
  <c r="AH4869" i="1"/>
  <c r="AG4869" i="1"/>
  <c r="AH4868" i="1"/>
  <c r="AG4868" i="1"/>
  <c r="AH4867" i="1"/>
  <c r="AG4867" i="1"/>
  <c r="AH4866" i="1"/>
  <c r="AG4866" i="1"/>
  <c r="AH4865" i="1"/>
  <c r="AG4865" i="1"/>
  <c r="AH4864" i="1"/>
  <c r="AG4864" i="1"/>
  <c r="AH4863" i="1"/>
  <c r="AG4863" i="1"/>
  <c r="AH4862" i="1"/>
  <c r="AG4862" i="1"/>
  <c r="AH4861" i="1"/>
  <c r="AG4861" i="1"/>
  <c r="AH4860" i="1"/>
  <c r="AG4860" i="1"/>
  <c r="AH4859" i="1"/>
  <c r="AG4859" i="1"/>
  <c r="AH4858" i="1"/>
  <c r="AG4858" i="1"/>
  <c r="AH4857" i="1"/>
  <c r="AG4857" i="1"/>
  <c r="AH4856" i="1"/>
  <c r="AG4856" i="1"/>
  <c r="AH4855" i="1"/>
  <c r="AG4855" i="1"/>
  <c r="AH4854" i="1"/>
  <c r="AG4854" i="1"/>
  <c r="AH4853" i="1"/>
  <c r="AG4853" i="1"/>
  <c r="AH4852" i="1"/>
  <c r="AG4852" i="1"/>
  <c r="AH4851" i="1"/>
  <c r="AG4851" i="1"/>
  <c r="AH4850" i="1"/>
  <c r="AG4850" i="1"/>
  <c r="AH4849" i="1"/>
  <c r="AG4849" i="1"/>
  <c r="AH4848" i="1"/>
  <c r="AG4848" i="1"/>
  <c r="AH4847" i="1"/>
  <c r="AG4847" i="1"/>
  <c r="AH4846" i="1"/>
  <c r="AG4846" i="1"/>
  <c r="AH4845" i="1"/>
  <c r="AG4845" i="1"/>
  <c r="AH4844" i="1"/>
  <c r="AG4844" i="1"/>
  <c r="AH4843" i="1"/>
  <c r="AG4843" i="1"/>
  <c r="AH4842" i="1"/>
  <c r="AG4842" i="1"/>
  <c r="AH4841" i="1"/>
  <c r="AG4841" i="1"/>
  <c r="AH4840" i="1"/>
  <c r="AG4840" i="1"/>
  <c r="AH4839" i="1"/>
  <c r="AG4839" i="1"/>
  <c r="AH4838" i="1"/>
  <c r="AG4838" i="1"/>
  <c r="AH4837" i="1"/>
  <c r="AG4837" i="1"/>
  <c r="AH4836" i="1"/>
  <c r="AG4836" i="1"/>
  <c r="AH4835" i="1"/>
  <c r="AG4835" i="1"/>
  <c r="AH4834" i="1"/>
  <c r="AG4834" i="1"/>
  <c r="AH4833" i="1"/>
  <c r="AG4833" i="1"/>
  <c r="AH4832" i="1"/>
  <c r="AG4832" i="1"/>
  <c r="AH4831" i="1"/>
  <c r="AG4831" i="1"/>
  <c r="AH4830" i="1"/>
  <c r="AG4830" i="1"/>
  <c r="AH4829" i="1"/>
  <c r="AG4829" i="1"/>
  <c r="AH4828" i="1"/>
  <c r="AG4828" i="1"/>
  <c r="AH4827" i="1"/>
  <c r="AG4827" i="1"/>
  <c r="AH4826" i="1"/>
  <c r="AG4826" i="1"/>
  <c r="AH4825" i="1"/>
  <c r="AG4825" i="1"/>
  <c r="AH4824" i="1"/>
  <c r="AG4824" i="1"/>
  <c r="AH4823" i="1"/>
  <c r="AG4823" i="1"/>
  <c r="AH4822" i="1"/>
  <c r="AG4822" i="1"/>
  <c r="AH4821" i="1"/>
  <c r="AG4821" i="1"/>
  <c r="AH4820" i="1"/>
  <c r="AG4820" i="1"/>
  <c r="AH4819" i="1"/>
  <c r="AG4819" i="1"/>
  <c r="AH4818" i="1"/>
  <c r="AG4818" i="1"/>
  <c r="AH4817" i="1"/>
  <c r="AG4817" i="1"/>
  <c r="AH4816" i="1"/>
  <c r="AG4816" i="1"/>
  <c r="AH4815" i="1"/>
  <c r="AG4815" i="1"/>
  <c r="AH4814" i="1"/>
  <c r="AG4814" i="1"/>
  <c r="AH4813" i="1"/>
  <c r="AG4813" i="1"/>
  <c r="AH4812" i="1"/>
  <c r="AG4812" i="1"/>
  <c r="AH4811" i="1"/>
  <c r="AG4811" i="1"/>
  <c r="AH4810" i="1"/>
  <c r="AG4810" i="1"/>
  <c r="AH4809" i="1"/>
  <c r="AG4809" i="1"/>
  <c r="AH4808" i="1"/>
  <c r="AG4808" i="1"/>
  <c r="AH4807" i="1"/>
  <c r="AG4807" i="1"/>
  <c r="AH4806" i="1"/>
  <c r="AG4806" i="1"/>
  <c r="AH4805" i="1"/>
  <c r="AG4805" i="1"/>
  <c r="AH4804" i="1"/>
  <c r="AG4804" i="1"/>
  <c r="AH4803" i="1"/>
  <c r="AG4803" i="1"/>
  <c r="AH4802" i="1"/>
  <c r="AG4802" i="1"/>
  <c r="AH4801" i="1"/>
  <c r="AG4801" i="1"/>
  <c r="AH4800" i="1"/>
  <c r="AG4800" i="1"/>
  <c r="AH4799" i="1"/>
  <c r="AG4799" i="1"/>
  <c r="AH4798" i="1"/>
  <c r="AG4798" i="1"/>
  <c r="AH4797" i="1"/>
  <c r="AG4797" i="1"/>
  <c r="AH4796" i="1"/>
  <c r="AG4796" i="1"/>
  <c r="AH4795" i="1"/>
  <c r="AG4795" i="1"/>
  <c r="AH4794" i="1"/>
  <c r="AG4794" i="1"/>
  <c r="AH4793" i="1"/>
  <c r="AG4793" i="1"/>
  <c r="AH4792" i="1"/>
  <c r="AG4792" i="1"/>
  <c r="AH4791" i="1"/>
  <c r="AG4791" i="1"/>
  <c r="AH4790" i="1"/>
  <c r="AG4790" i="1"/>
  <c r="AH4789" i="1"/>
  <c r="AG4789" i="1"/>
  <c r="AH4788" i="1"/>
  <c r="AG4788" i="1"/>
  <c r="AH4787" i="1"/>
  <c r="AG4787" i="1"/>
  <c r="AH4786" i="1"/>
  <c r="AG4786" i="1"/>
  <c r="AH4785" i="1"/>
  <c r="AG4785" i="1"/>
  <c r="AH4784" i="1"/>
  <c r="AG4784" i="1"/>
  <c r="AH4783" i="1"/>
  <c r="AG4783" i="1"/>
  <c r="AH4782" i="1"/>
  <c r="AG4782" i="1"/>
  <c r="AH4781" i="1"/>
  <c r="AG4781" i="1"/>
  <c r="AH4780" i="1"/>
  <c r="AG4780" i="1"/>
  <c r="AH4779" i="1"/>
  <c r="AG4779" i="1"/>
  <c r="AH4778" i="1"/>
  <c r="AG4778" i="1"/>
  <c r="AH4777" i="1"/>
  <c r="AG4777" i="1"/>
  <c r="AH4776" i="1"/>
  <c r="AG4776" i="1"/>
  <c r="AH4775" i="1"/>
  <c r="AG4775" i="1"/>
  <c r="AH4774" i="1"/>
  <c r="AG4774" i="1"/>
  <c r="AH4773" i="1"/>
  <c r="AG4773" i="1"/>
  <c r="AH4772" i="1"/>
  <c r="AG4772" i="1"/>
  <c r="AH4771" i="1"/>
  <c r="AG4771" i="1"/>
  <c r="AH4770" i="1"/>
  <c r="AG4770" i="1"/>
  <c r="AH4769" i="1"/>
  <c r="AG4769" i="1"/>
  <c r="AH4768" i="1"/>
  <c r="AG4768" i="1"/>
  <c r="AH4767" i="1"/>
  <c r="AG4767" i="1"/>
  <c r="AH4766" i="1"/>
  <c r="AG4766" i="1"/>
  <c r="AH4765" i="1"/>
  <c r="AG4765" i="1"/>
  <c r="AH4764" i="1"/>
  <c r="AG4764" i="1"/>
  <c r="AH4763" i="1"/>
  <c r="AG4763" i="1"/>
  <c r="AH4762" i="1"/>
  <c r="AG4762" i="1"/>
  <c r="AH4761" i="1"/>
  <c r="AG4761" i="1"/>
  <c r="AH4760" i="1"/>
  <c r="AG4760" i="1"/>
  <c r="AH4759" i="1"/>
  <c r="AG4759" i="1"/>
  <c r="AH4758" i="1"/>
  <c r="AG4758" i="1"/>
  <c r="AH4757" i="1"/>
  <c r="AG4757" i="1"/>
  <c r="AH4756" i="1"/>
  <c r="AG4756" i="1"/>
  <c r="AH4755" i="1"/>
  <c r="AG4755" i="1"/>
  <c r="AH4754" i="1"/>
  <c r="AG4754" i="1"/>
  <c r="AH4753" i="1"/>
  <c r="AG4753" i="1"/>
  <c r="AH4752" i="1"/>
  <c r="AG4752" i="1"/>
  <c r="AH4751" i="1"/>
  <c r="AG4751" i="1"/>
  <c r="AH4750" i="1"/>
  <c r="AG4750" i="1"/>
  <c r="AH4749" i="1"/>
  <c r="AG4749" i="1"/>
  <c r="AH4748" i="1"/>
  <c r="AG4748" i="1"/>
  <c r="AH4747" i="1"/>
  <c r="AG4747" i="1"/>
  <c r="AH4746" i="1"/>
  <c r="AG4746" i="1"/>
  <c r="AH4745" i="1"/>
  <c r="AG4745" i="1"/>
  <c r="AH4744" i="1"/>
  <c r="AG4744" i="1"/>
  <c r="AH4743" i="1"/>
  <c r="AG4743" i="1"/>
  <c r="AH4742" i="1"/>
  <c r="AG4742" i="1"/>
  <c r="AH4741" i="1"/>
  <c r="AG4741" i="1"/>
  <c r="AH4740" i="1"/>
  <c r="AG4740" i="1"/>
  <c r="AH4739" i="1"/>
  <c r="AG4739" i="1"/>
  <c r="AH4738" i="1"/>
  <c r="AG4738" i="1"/>
  <c r="AH4737" i="1"/>
  <c r="AG4737" i="1"/>
  <c r="AH4736" i="1"/>
  <c r="AG4736" i="1"/>
  <c r="AH4735" i="1"/>
  <c r="AG4735" i="1"/>
  <c r="AH4734" i="1"/>
  <c r="AG4734" i="1"/>
  <c r="AH4733" i="1"/>
  <c r="AG4733" i="1"/>
  <c r="AH4732" i="1"/>
  <c r="AG4732" i="1"/>
  <c r="AH4731" i="1"/>
  <c r="AG4731" i="1"/>
  <c r="AH4730" i="1"/>
  <c r="AG4730" i="1"/>
  <c r="AH4729" i="1"/>
  <c r="AG4729" i="1"/>
  <c r="AH4728" i="1"/>
  <c r="AG4728" i="1"/>
  <c r="AH4727" i="1"/>
  <c r="AG4727" i="1"/>
  <c r="AH4726" i="1"/>
  <c r="AG4726" i="1"/>
  <c r="AH4725" i="1"/>
  <c r="AG4725" i="1"/>
  <c r="AH4724" i="1"/>
  <c r="AG4724" i="1"/>
  <c r="AH4723" i="1"/>
  <c r="AG4723" i="1"/>
  <c r="AH4722" i="1"/>
  <c r="AG4722" i="1"/>
  <c r="AH4721" i="1"/>
  <c r="AG4721" i="1"/>
  <c r="AH4720" i="1"/>
  <c r="AG4720" i="1"/>
  <c r="AH4719" i="1"/>
  <c r="AG4719" i="1"/>
  <c r="AH4718" i="1"/>
  <c r="AG4718" i="1"/>
  <c r="AH4717" i="1"/>
  <c r="AG4717" i="1"/>
  <c r="AH4716" i="1"/>
  <c r="AG4716" i="1"/>
  <c r="AH4715" i="1"/>
  <c r="AG4715" i="1"/>
  <c r="AH4714" i="1"/>
  <c r="AG4714" i="1"/>
  <c r="AH4713" i="1"/>
  <c r="AG4713" i="1"/>
  <c r="AH4712" i="1"/>
  <c r="AG4712" i="1"/>
  <c r="AH4711" i="1"/>
  <c r="AG4711" i="1"/>
  <c r="AH4710" i="1"/>
  <c r="AG4710" i="1"/>
  <c r="AH4709" i="1"/>
  <c r="AG4709" i="1"/>
  <c r="AH4708" i="1"/>
  <c r="AG4708" i="1"/>
  <c r="AH4707" i="1"/>
  <c r="AG4707" i="1"/>
  <c r="AH4706" i="1"/>
  <c r="AG4706" i="1"/>
  <c r="AH4705" i="1"/>
  <c r="AG4705" i="1"/>
  <c r="AH4704" i="1"/>
  <c r="AG4704" i="1"/>
  <c r="AH4703" i="1"/>
  <c r="AG4703" i="1"/>
  <c r="AH4702" i="1"/>
  <c r="AG4702" i="1"/>
  <c r="AH4701" i="1"/>
  <c r="AG4701" i="1"/>
  <c r="AH4700" i="1"/>
  <c r="AG4700" i="1"/>
  <c r="AH4699" i="1"/>
  <c r="AG4699" i="1"/>
  <c r="AH4698" i="1"/>
  <c r="AG4698" i="1"/>
  <c r="AH4697" i="1"/>
  <c r="AG4697" i="1"/>
  <c r="AH4696" i="1"/>
  <c r="AG4696" i="1"/>
  <c r="AH4695" i="1"/>
  <c r="AG4695" i="1"/>
  <c r="AH4694" i="1"/>
  <c r="AG4694" i="1"/>
  <c r="AH4693" i="1"/>
  <c r="AG4693" i="1"/>
  <c r="AH4692" i="1"/>
  <c r="AG4692" i="1"/>
  <c r="AH4691" i="1"/>
  <c r="AG4691" i="1"/>
  <c r="AH4690" i="1"/>
  <c r="AG4690" i="1"/>
  <c r="AH4689" i="1"/>
  <c r="AG4689" i="1"/>
  <c r="AH4688" i="1"/>
  <c r="AG4688" i="1"/>
  <c r="AH4687" i="1"/>
  <c r="AG4687" i="1"/>
  <c r="AH4686" i="1"/>
  <c r="AG4686" i="1"/>
  <c r="AH4685" i="1"/>
  <c r="AG4685" i="1"/>
  <c r="AH4684" i="1"/>
  <c r="AG4684" i="1"/>
  <c r="AH4683" i="1"/>
  <c r="AG4683" i="1"/>
  <c r="AH4682" i="1"/>
  <c r="AG4682" i="1"/>
  <c r="AH4681" i="1"/>
  <c r="AG4681" i="1"/>
  <c r="AH4680" i="1"/>
  <c r="AG4680" i="1"/>
  <c r="AH4679" i="1"/>
  <c r="AG4679" i="1"/>
  <c r="AH4678" i="1"/>
  <c r="AG4678" i="1"/>
  <c r="AH4677" i="1"/>
  <c r="AG4677" i="1"/>
  <c r="AH4676" i="1"/>
  <c r="AG4676" i="1"/>
  <c r="AH4675" i="1"/>
  <c r="AG4675" i="1"/>
  <c r="AH4674" i="1"/>
  <c r="AG4674" i="1"/>
  <c r="AH4673" i="1"/>
  <c r="AG4673" i="1"/>
  <c r="AH4672" i="1"/>
  <c r="AG4672" i="1"/>
  <c r="AH4671" i="1"/>
  <c r="AG4671" i="1"/>
  <c r="AH4670" i="1"/>
  <c r="AG4670" i="1"/>
  <c r="AH4669" i="1"/>
  <c r="AG4669" i="1"/>
  <c r="AH4668" i="1"/>
  <c r="AG4668" i="1"/>
  <c r="AH4667" i="1"/>
  <c r="AG4667" i="1"/>
  <c r="AH4666" i="1"/>
  <c r="AG4666" i="1"/>
  <c r="AH4665" i="1"/>
  <c r="AG4665" i="1"/>
  <c r="AH4664" i="1"/>
  <c r="AG4664" i="1"/>
  <c r="AH4663" i="1"/>
  <c r="AG4663" i="1"/>
  <c r="AH4662" i="1"/>
  <c r="AG4662" i="1"/>
  <c r="AH4661" i="1"/>
  <c r="AG4661" i="1"/>
  <c r="AH4660" i="1"/>
  <c r="AG4660" i="1"/>
  <c r="AH4659" i="1"/>
  <c r="AG4659" i="1"/>
  <c r="AH4658" i="1"/>
  <c r="AG4658" i="1"/>
  <c r="AH4657" i="1"/>
  <c r="AG4657" i="1"/>
  <c r="AH4656" i="1"/>
  <c r="AG4656" i="1"/>
  <c r="AH4655" i="1"/>
  <c r="AG4655" i="1"/>
  <c r="AH4654" i="1"/>
  <c r="AG4654" i="1"/>
  <c r="AH4653" i="1"/>
  <c r="AG4653" i="1"/>
  <c r="AH4652" i="1"/>
  <c r="AG4652" i="1"/>
  <c r="AH4651" i="1"/>
  <c r="AG4651" i="1"/>
  <c r="AH4650" i="1"/>
  <c r="AG4650" i="1"/>
  <c r="AH4649" i="1"/>
  <c r="AG4649" i="1"/>
  <c r="AH4648" i="1"/>
  <c r="AG4648" i="1"/>
  <c r="AH4647" i="1"/>
  <c r="AG4647" i="1"/>
  <c r="AH4646" i="1"/>
  <c r="AG4646" i="1"/>
  <c r="AH4645" i="1"/>
  <c r="AG4645" i="1"/>
  <c r="AH4644" i="1"/>
  <c r="AG4644" i="1"/>
  <c r="AH4643" i="1"/>
  <c r="AG4643" i="1"/>
  <c r="AH4642" i="1"/>
  <c r="AG4642" i="1"/>
  <c r="AH4641" i="1"/>
  <c r="AG4641" i="1"/>
  <c r="AH4640" i="1"/>
  <c r="AG4640" i="1"/>
  <c r="AH4639" i="1"/>
  <c r="AG4639" i="1"/>
  <c r="AH4638" i="1"/>
  <c r="AG4638" i="1"/>
  <c r="AH4637" i="1"/>
  <c r="AG4637" i="1"/>
  <c r="AH4636" i="1"/>
  <c r="AG4636" i="1"/>
  <c r="AH4635" i="1"/>
  <c r="AG4635" i="1"/>
  <c r="AH4634" i="1"/>
  <c r="AG4634" i="1"/>
  <c r="AH4633" i="1"/>
  <c r="AG4633" i="1"/>
  <c r="AH4632" i="1"/>
  <c r="AG4632" i="1"/>
  <c r="AH4631" i="1"/>
  <c r="AG4631" i="1"/>
  <c r="AH4630" i="1"/>
  <c r="AG4630" i="1"/>
  <c r="AH4629" i="1"/>
  <c r="AG4629" i="1"/>
  <c r="AH4628" i="1"/>
  <c r="AG4628" i="1"/>
  <c r="AH4627" i="1"/>
  <c r="AG4627" i="1"/>
  <c r="AH4626" i="1"/>
  <c r="AG4626" i="1"/>
  <c r="AH4625" i="1"/>
  <c r="AG4625" i="1"/>
  <c r="AH4624" i="1"/>
  <c r="AG4624" i="1"/>
  <c r="AH4623" i="1"/>
  <c r="AG4623" i="1"/>
  <c r="AH4622" i="1"/>
  <c r="AG4622" i="1"/>
  <c r="AH4621" i="1"/>
  <c r="AG4621" i="1"/>
  <c r="AH4620" i="1"/>
  <c r="AG4620" i="1"/>
  <c r="AH4619" i="1"/>
  <c r="AG4619" i="1"/>
  <c r="AH4618" i="1"/>
  <c r="AG4618" i="1"/>
  <c r="AH4617" i="1"/>
  <c r="AG4617" i="1"/>
  <c r="AH4616" i="1"/>
  <c r="AG4616" i="1"/>
  <c r="AH4615" i="1"/>
  <c r="AG4615" i="1"/>
  <c r="AH4614" i="1"/>
  <c r="AG4614" i="1"/>
  <c r="AH4613" i="1"/>
  <c r="AG4613" i="1"/>
  <c r="AH4612" i="1"/>
  <c r="AG4612" i="1"/>
  <c r="AH4611" i="1"/>
  <c r="AG4611" i="1"/>
  <c r="AH4610" i="1"/>
  <c r="AG4610" i="1"/>
  <c r="AH4609" i="1"/>
  <c r="AG4609" i="1"/>
  <c r="AH4608" i="1"/>
  <c r="AG4608" i="1"/>
  <c r="AH4607" i="1"/>
  <c r="AG4607" i="1"/>
  <c r="AH4606" i="1"/>
  <c r="AG4606" i="1"/>
  <c r="AH4605" i="1"/>
  <c r="AG4605" i="1"/>
  <c r="AH4604" i="1"/>
  <c r="AG4604" i="1"/>
  <c r="AH4603" i="1"/>
  <c r="AG4603" i="1"/>
  <c r="AH4602" i="1"/>
  <c r="AG4602" i="1"/>
  <c r="AH4601" i="1"/>
  <c r="AG4601" i="1"/>
  <c r="AH4600" i="1"/>
  <c r="AG4600" i="1"/>
  <c r="AH4599" i="1"/>
  <c r="AG4599" i="1"/>
  <c r="AH4598" i="1"/>
  <c r="AG4598" i="1"/>
  <c r="AH4597" i="1"/>
  <c r="AG4597" i="1"/>
  <c r="AH4596" i="1"/>
  <c r="AG4596" i="1"/>
  <c r="AH4595" i="1"/>
  <c r="AG4595" i="1"/>
  <c r="AH4594" i="1"/>
  <c r="AG4594" i="1"/>
  <c r="AH4593" i="1"/>
  <c r="AG4593" i="1"/>
  <c r="AH4592" i="1"/>
  <c r="AG4592" i="1"/>
  <c r="AH4591" i="1"/>
  <c r="AG4591" i="1"/>
  <c r="AH4590" i="1"/>
  <c r="AG4590" i="1"/>
  <c r="AH4589" i="1"/>
  <c r="AG4589" i="1"/>
  <c r="AH4588" i="1"/>
  <c r="AG4588" i="1"/>
  <c r="AH4587" i="1"/>
  <c r="AG4587" i="1"/>
  <c r="AH4586" i="1"/>
  <c r="AG4586" i="1"/>
  <c r="AH4585" i="1"/>
  <c r="AG4585" i="1"/>
  <c r="AH4584" i="1"/>
  <c r="AG4584" i="1"/>
  <c r="AH4583" i="1"/>
  <c r="AG4583" i="1"/>
  <c r="AH4582" i="1"/>
  <c r="AG4582" i="1"/>
  <c r="AH4581" i="1"/>
  <c r="AG4581" i="1"/>
  <c r="AH4580" i="1"/>
  <c r="AG4580" i="1"/>
  <c r="AH4579" i="1"/>
  <c r="AG4579" i="1"/>
  <c r="AH4578" i="1"/>
  <c r="AG4578" i="1"/>
  <c r="AH4577" i="1"/>
  <c r="AG4577" i="1"/>
  <c r="AH4576" i="1"/>
  <c r="AG4576" i="1"/>
  <c r="AH4575" i="1"/>
  <c r="AG4575" i="1"/>
  <c r="AH4574" i="1"/>
  <c r="AG4574" i="1"/>
  <c r="AH4573" i="1"/>
  <c r="AG4573" i="1"/>
  <c r="AH4572" i="1"/>
  <c r="AG4572" i="1"/>
  <c r="AH4571" i="1"/>
  <c r="AG4571" i="1"/>
  <c r="AH4570" i="1"/>
  <c r="AG4570" i="1"/>
  <c r="AH4569" i="1"/>
  <c r="AG4569" i="1"/>
  <c r="AH4568" i="1"/>
  <c r="AG4568" i="1"/>
  <c r="AH4567" i="1"/>
  <c r="AG4567" i="1"/>
  <c r="AH4566" i="1"/>
  <c r="AG4566" i="1"/>
  <c r="AH4565" i="1"/>
  <c r="AG4565" i="1"/>
  <c r="AH4564" i="1"/>
  <c r="AG4564" i="1"/>
  <c r="AH4563" i="1"/>
  <c r="AG4563" i="1"/>
  <c r="AH4562" i="1"/>
  <c r="AG4562" i="1"/>
  <c r="AH4561" i="1"/>
  <c r="AG4561" i="1"/>
  <c r="AH4560" i="1"/>
  <c r="AG4560" i="1"/>
  <c r="AH4559" i="1"/>
  <c r="AG4559" i="1"/>
  <c r="AH4558" i="1"/>
  <c r="AG4558" i="1"/>
  <c r="AH4557" i="1"/>
  <c r="AG4557" i="1"/>
  <c r="AH4556" i="1"/>
  <c r="AG4556" i="1"/>
  <c r="AH4555" i="1"/>
  <c r="AG4555" i="1"/>
  <c r="AH4554" i="1"/>
  <c r="AG4554" i="1"/>
  <c r="AH4553" i="1"/>
  <c r="AG4553" i="1"/>
  <c r="AH4552" i="1"/>
  <c r="AG4552" i="1"/>
  <c r="AH4551" i="1"/>
  <c r="AG4551" i="1"/>
  <c r="AH4550" i="1"/>
  <c r="AG4550" i="1"/>
  <c r="AH4549" i="1"/>
  <c r="AG4549" i="1"/>
  <c r="AH4548" i="1"/>
  <c r="AG4548" i="1"/>
  <c r="AH4547" i="1"/>
  <c r="AG4547" i="1"/>
  <c r="AH4546" i="1"/>
  <c r="AG4546" i="1"/>
  <c r="AH4545" i="1"/>
  <c r="AG4545" i="1"/>
  <c r="AH4544" i="1"/>
  <c r="AG4544" i="1"/>
  <c r="AH4543" i="1"/>
  <c r="AG4543" i="1"/>
  <c r="AH4542" i="1"/>
  <c r="AG4542" i="1"/>
  <c r="AH4541" i="1"/>
  <c r="AG4541" i="1"/>
  <c r="AH4540" i="1"/>
  <c r="AG4540" i="1"/>
  <c r="AH4539" i="1"/>
  <c r="AG4539" i="1"/>
  <c r="AH4538" i="1"/>
  <c r="AG4538" i="1"/>
  <c r="AH4537" i="1"/>
  <c r="AG4537" i="1"/>
  <c r="AH4536" i="1"/>
  <c r="AG4536" i="1"/>
  <c r="AH4535" i="1"/>
  <c r="AG4535" i="1"/>
  <c r="AH4534" i="1"/>
  <c r="AG4534" i="1"/>
  <c r="AH4533" i="1"/>
  <c r="AG4533" i="1"/>
  <c r="AH4532" i="1"/>
  <c r="AG4532" i="1"/>
  <c r="AH4531" i="1"/>
  <c r="AG4531" i="1"/>
  <c r="AH4530" i="1"/>
  <c r="AG4530" i="1"/>
  <c r="AH4529" i="1"/>
  <c r="AG4529" i="1"/>
  <c r="AH4528" i="1"/>
  <c r="AG4528" i="1"/>
  <c r="AH4527" i="1"/>
  <c r="AG4527" i="1"/>
  <c r="AH4526" i="1"/>
  <c r="AG4526" i="1"/>
  <c r="AH4525" i="1"/>
  <c r="AG4525" i="1"/>
  <c r="AH4524" i="1"/>
  <c r="AG4524" i="1"/>
  <c r="AH4523" i="1"/>
  <c r="AG4523" i="1"/>
  <c r="AH4522" i="1"/>
  <c r="AG4522" i="1"/>
  <c r="AH4521" i="1"/>
  <c r="AG4521" i="1"/>
  <c r="AH4520" i="1"/>
  <c r="AG4520" i="1"/>
  <c r="AH4519" i="1"/>
  <c r="AG4519" i="1"/>
  <c r="AH4518" i="1"/>
  <c r="AG4518" i="1"/>
  <c r="AH4517" i="1"/>
  <c r="AG4517" i="1"/>
  <c r="AH4516" i="1"/>
  <c r="AG4516" i="1"/>
  <c r="AH4515" i="1"/>
  <c r="AG4515" i="1"/>
  <c r="AH4514" i="1"/>
  <c r="AG4514" i="1"/>
  <c r="AH4513" i="1"/>
  <c r="AG4513" i="1"/>
  <c r="AH4512" i="1"/>
  <c r="AG4512" i="1"/>
  <c r="AH4511" i="1"/>
  <c r="AG4511" i="1"/>
  <c r="AH4510" i="1"/>
  <c r="AG4510" i="1"/>
  <c r="AH4509" i="1"/>
  <c r="AG4509" i="1"/>
  <c r="AH4508" i="1"/>
  <c r="AG4508" i="1"/>
  <c r="AH4507" i="1"/>
  <c r="AG4507" i="1"/>
  <c r="AH4506" i="1"/>
  <c r="AG4506" i="1"/>
  <c r="AH4505" i="1"/>
  <c r="AG4505" i="1"/>
  <c r="AH4504" i="1"/>
  <c r="AG4504" i="1"/>
  <c r="AH4503" i="1"/>
  <c r="AG4503" i="1"/>
  <c r="AH4502" i="1"/>
  <c r="AG4502" i="1"/>
  <c r="AH4501" i="1"/>
  <c r="AG4501" i="1"/>
  <c r="AH4500" i="1"/>
  <c r="AG4500" i="1"/>
  <c r="AH4499" i="1"/>
  <c r="AG4499" i="1"/>
  <c r="AH4498" i="1"/>
  <c r="AG4498" i="1"/>
  <c r="AH4497" i="1"/>
  <c r="AG4497" i="1"/>
  <c r="AH4496" i="1"/>
  <c r="AG4496" i="1"/>
  <c r="AH4495" i="1"/>
  <c r="AG4495" i="1"/>
  <c r="AH4494" i="1"/>
  <c r="AG4494" i="1"/>
  <c r="AH4493" i="1"/>
  <c r="AG4493" i="1"/>
  <c r="AH4492" i="1"/>
  <c r="AG4492" i="1"/>
  <c r="AH4491" i="1"/>
  <c r="AG4491" i="1"/>
  <c r="AH4490" i="1"/>
  <c r="AG4490" i="1"/>
  <c r="AH4489" i="1"/>
  <c r="AG4489" i="1"/>
  <c r="AH4488" i="1"/>
  <c r="AG4488" i="1"/>
  <c r="AH4487" i="1"/>
  <c r="AG4487" i="1"/>
  <c r="AH4486" i="1"/>
  <c r="AG4486" i="1"/>
  <c r="AH4485" i="1"/>
  <c r="AG4485" i="1"/>
  <c r="AH4484" i="1"/>
  <c r="AG4484" i="1"/>
  <c r="AH4483" i="1"/>
  <c r="AG4483" i="1"/>
  <c r="AH4482" i="1"/>
  <c r="AG4482" i="1"/>
  <c r="AH4481" i="1"/>
  <c r="AG4481" i="1"/>
  <c r="AH4480" i="1"/>
  <c r="AG4480" i="1"/>
  <c r="AH4479" i="1"/>
  <c r="AG4479" i="1"/>
  <c r="AH4478" i="1"/>
  <c r="AG4478" i="1"/>
  <c r="AH4477" i="1"/>
  <c r="AG4477" i="1"/>
  <c r="AH4476" i="1"/>
  <c r="AG4476" i="1"/>
  <c r="AH4475" i="1"/>
  <c r="AG4475" i="1"/>
  <c r="AH4474" i="1"/>
  <c r="AG4474" i="1"/>
  <c r="AH4473" i="1"/>
  <c r="AG4473" i="1"/>
  <c r="AH4472" i="1"/>
  <c r="AG4472" i="1"/>
  <c r="AH4471" i="1"/>
  <c r="AG4471" i="1"/>
  <c r="AH4470" i="1"/>
  <c r="AG4470" i="1"/>
  <c r="AH4469" i="1"/>
  <c r="AG4469" i="1"/>
  <c r="AH4468" i="1"/>
  <c r="AG4468" i="1"/>
  <c r="AH4467" i="1"/>
  <c r="AG4467" i="1"/>
  <c r="AH4466" i="1"/>
  <c r="AG4466" i="1"/>
  <c r="AH4465" i="1"/>
  <c r="AG4465" i="1"/>
  <c r="AH4464" i="1"/>
  <c r="AG4464" i="1"/>
  <c r="AH4463" i="1"/>
  <c r="AG4463" i="1"/>
  <c r="AH4462" i="1"/>
  <c r="AG4462" i="1"/>
  <c r="AH4461" i="1"/>
  <c r="AG4461" i="1"/>
  <c r="AH4460" i="1"/>
  <c r="AG4460" i="1"/>
  <c r="AH4459" i="1"/>
  <c r="AG4459" i="1"/>
  <c r="AH4458" i="1"/>
  <c r="AG4458" i="1"/>
  <c r="AH4457" i="1"/>
  <c r="AG4457" i="1"/>
  <c r="AH4456" i="1"/>
  <c r="AG4456" i="1"/>
  <c r="AH4455" i="1"/>
  <c r="AG4455" i="1"/>
  <c r="AH4454" i="1"/>
  <c r="AG4454" i="1"/>
  <c r="AH4453" i="1"/>
  <c r="AG4453" i="1"/>
  <c r="AH4452" i="1"/>
  <c r="AG4452" i="1"/>
  <c r="AH4451" i="1"/>
  <c r="AG4451" i="1"/>
  <c r="AH4450" i="1"/>
  <c r="AG4450" i="1"/>
  <c r="AH4449" i="1"/>
  <c r="AG4449" i="1"/>
  <c r="AH4448" i="1"/>
  <c r="AG4448" i="1"/>
  <c r="AH4447" i="1"/>
  <c r="AG4447" i="1"/>
  <c r="AH4446" i="1"/>
  <c r="AG4446" i="1"/>
  <c r="AH4445" i="1"/>
  <c r="AG4445" i="1"/>
  <c r="AH4444" i="1"/>
  <c r="AG4444" i="1"/>
  <c r="AH4443" i="1"/>
  <c r="AG4443" i="1"/>
  <c r="AH4442" i="1"/>
  <c r="AG4442" i="1"/>
  <c r="AH4441" i="1"/>
  <c r="AG4441" i="1"/>
  <c r="AH4440" i="1"/>
  <c r="AG4440" i="1"/>
  <c r="AH4439" i="1"/>
  <c r="AG4439" i="1"/>
  <c r="AH4438" i="1"/>
  <c r="AG4438" i="1"/>
  <c r="AH4437" i="1"/>
  <c r="AG4437" i="1"/>
  <c r="AH4436" i="1"/>
  <c r="AG4436" i="1"/>
  <c r="AH4435" i="1"/>
  <c r="AG4435" i="1"/>
  <c r="AH4434" i="1"/>
  <c r="AG4434" i="1"/>
  <c r="AH4433" i="1"/>
  <c r="AG4433" i="1"/>
  <c r="AH4432" i="1"/>
  <c r="AG4432" i="1"/>
  <c r="AH4431" i="1"/>
  <c r="AG4431" i="1"/>
  <c r="AH4430" i="1"/>
  <c r="AG4430" i="1"/>
  <c r="AH4429" i="1"/>
  <c r="AG4429" i="1"/>
  <c r="AH4428" i="1"/>
  <c r="AG4428" i="1"/>
  <c r="AH4427" i="1"/>
  <c r="AG4427" i="1"/>
  <c r="AH4426" i="1"/>
  <c r="AG4426" i="1"/>
  <c r="AH4425" i="1"/>
  <c r="AG4425" i="1"/>
  <c r="AH4424" i="1"/>
  <c r="AG4424" i="1"/>
  <c r="AH4423" i="1"/>
  <c r="AG4423" i="1"/>
  <c r="AH4422" i="1"/>
  <c r="AG4422" i="1"/>
  <c r="AH4421" i="1"/>
  <c r="AG4421" i="1"/>
  <c r="AH4420" i="1"/>
  <c r="AG4420" i="1"/>
  <c r="AH4419" i="1"/>
  <c r="AG4419" i="1"/>
  <c r="AH4418" i="1"/>
  <c r="AG4418" i="1"/>
  <c r="AH4417" i="1"/>
  <c r="AG4417" i="1"/>
  <c r="AH4416" i="1"/>
  <c r="AG4416" i="1"/>
  <c r="AH4415" i="1"/>
  <c r="AG4415" i="1"/>
  <c r="AH4414" i="1"/>
  <c r="AG4414" i="1"/>
  <c r="AH4413" i="1"/>
  <c r="AG4413" i="1"/>
  <c r="AH4412" i="1"/>
  <c r="AG4412" i="1"/>
  <c r="AH4411" i="1"/>
  <c r="AG4411" i="1"/>
  <c r="AH4410" i="1"/>
  <c r="AG4410" i="1"/>
  <c r="AH4409" i="1"/>
  <c r="AG4409" i="1"/>
  <c r="AH4408" i="1"/>
  <c r="AG4408" i="1"/>
  <c r="AH4407" i="1"/>
  <c r="AG4407" i="1"/>
  <c r="AH4406" i="1"/>
  <c r="AG4406" i="1"/>
  <c r="AH4405" i="1"/>
  <c r="AG4405" i="1"/>
  <c r="AH4404" i="1"/>
  <c r="AG4404" i="1"/>
  <c r="AH4403" i="1"/>
  <c r="AG4403" i="1"/>
  <c r="AH4402" i="1"/>
  <c r="AG4402" i="1"/>
  <c r="AH4401" i="1"/>
  <c r="AG4401" i="1"/>
  <c r="AH4400" i="1"/>
  <c r="AG4400" i="1"/>
  <c r="AH4399" i="1"/>
  <c r="AG4399" i="1"/>
  <c r="AH4398" i="1"/>
  <c r="AG4398" i="1"/>
  <c r="AH4397" i="1"/>
  <c r="AG4397" i="1"/>
  <c r="AH4396" i="1"/>
  <c r="AG4396" i="1"/>
  <c r="AH4395" i="1"/>
  <c r="AG4395" i="1"/>
  <c r="AH4394" i="1"/>
  <c r="AG4394" i="1"/>
  <c r="AH4393" i="1"/>
  <c r="AG4393" i="1"/>
  <c r="AH4392" i="1"/>
  <c r="AG4392" i="1"/>
  <c r="AH4391" i="1"/>
  <c r="AG4391" i="1"/>
  <c r="AH4390" i="1"/>
  <c r="AG4390" i="1"/>
  <c r="AH4389" i="1"/>
  <c r="AG4389" i="1"/>
  <c r="AH4388" i="1"/>
  <c r="AG4388" i="1"/>
  <c r="AH4387" i="1"/>
  <c r="AG4387" i="1"/>
  <c r="AH4386" i="1"/>
  <c r="AG4386" i="1"/>
  <c r="AH4385" i="1"/>
  <c r="AG4385" i="1"/>
  <c r="AH4384" i="1"/>
  <c r="AG4384" i="1"/>
  <c r="AH4383" i="1"/>
  <c r="AG4383" i="1"/>
  <c r="AH4382" i="1"/>
  <c r="AG4382" i="1"/>
  <c r="AH4381" i="1"/>
  <c r="AG4381" i="1"/>
  <c r="AH4380" i="1"/>
  <c r="AG4380" i="1"/>
  <c r="AH4379" i="1"/>
  <c r="AG4379" i="1"/>
  <c r="AH4378" i="1"/>
  <c r="AG4378" i="1"/>
  <c r="AH4377" i="1"/>
  <c r="AG4377" i="1"/>
  <c r="AH4376" i="1"/>
  <c r="AG4376" i="1"/>
  <c r="AH4375" i="1"/>
  <c r="AG4375" i="1"/>
  <c r="AH4374" i="1"/>
  <c r="AG4374" i="1"/>
  <c r="AH4373" i="1"/>
  <c r="AG4373" i="1"/>
  <c r="AH4372" i="1"/>
  <c r="AG4372" i="1"/>
  <c r="AH4371" i="1"/>
  <c r="AG4371" i="1"/>
  <c r="AH4370" i="1"/>
  <c r="AG4370" i="1"/>
  <c r="AH4369" i="1"/>
  <c r="AG4369" i="1"/>
  <c r="AH4368" i="1"/>
  <c r="AG4368" i="1"/>
  <c r="AH4367" i="1"/>
  <c r="AG4367" i="1"/>
  <c r="AH4366" i="1"/>
  <c r="AG4366" i="1"/>
  <c r="AH4365" i="1"/>
  <c r="AG4365" i="1"/>
  <c r="AH4364" i="1"/>
  <c r="AG4364" i="1"/>
  <c r="AH4363" i="1"/>
  <c r="AG4363" i="1"/>
  <c r="AH4362" i="1"/>
  <c r="AG4362" i="1"/>
  <c r="AH4361" i="1"/>
  <c r="AG4361" i="1"/>
  <c r="AH4360" i="1"/>
  <c r="AG4360" i="1"/>
  <c r="AH4359" i="1"/>
  <c r="AG4359" i="1"/>
  <c r="AH4358" i="1"/>
  <c r="AG4358" i="1"/>
  <c r="AH4357" i="1"/>
  <c r="AG4357" i="1"/>
  <c r="AH4356" i="1"/>
  <c r="AG4356" i="1"/>
  <c r="AH4355" i="1"/>
  <c r="AG4355" i="1"/>
  <c r="AH4354" i="1"/>
  <c r="AG4354" i="1"/>
  <c r="AH4353" i="1"/>
  <c r="AG4353" i="1"/>
  <c r="AH4352" i="1"/>
  <c r="AG4352" i="1"/>
  <c r="AH4351" i="1"/>
  <c r="AG4351" i="1"/>
  <c r="AH4350" i="1"/>
  <c r="AG4350" i="1"/>
  <c r="AH4349" i="1"/>
  <c r="AG4349" i="1"/>
  <c r="AH4348" i="1"/>
  <c r="AG4348" i="1"/>
  <c r="AH4347" i="1"/>
  <c r="AG4347" i="1"/>
  <c r="AH4346" i="1"/>
  <c r="AG4346" i="1"/>
  <c r="AH4345" i="1"/>
  <c r="AG4345" i="1"/>
  <c r="AH4344" i="1"/>
  <c r="AG4344" i="1"/>
  <c r="AH4343" i="1"/>
  <c r="AG4343" i="1"/>
  <c r="AH4342" i="1"/>
  <c r="AG4342" i="1"/>
  <c r="AH4341" i="1"/>
  <c r="AG4341" i="1"/>
  <c r="AH4340" i="1"/>
  <c r="AG4340" i="1"/>
  <c r="AH4339" i="1"/>
  <c r="AG4339" i="1"/>
  <c r="AH4338" i="1"/>
  <c r="AG4338" i="1"/>
  <c r="AH4337" i="1"/>
  <c r="AG4337" i="1"/>
  <c r="AH4336" i="1"/>
  <c r="AG4336" i="1"/>
  <c r="AH4335" i="1"/>
  <c r="AG4335" i="1"/>
  <c r="AH4334" i="1"/>
  <c r="AG4334" i="1"/>
  <c r="AH4333" i="1"/>
  <c r="AG4333" i="1"/>
  <c r="AH4332" i="1"/>
  <c r="AG4332" i="1"/>
  <c r="AH4331" i="1"/>
  <c r="AG4331" i="1"/>
  <c r="AH4330" i="1"/>
  <c r="AG4330" i="1"/>
  <c r="AH4329" i="1"/>
  <c r="AG4329" i="1"/>
  <c r="AH4328" i="1"/>
  <c r="AG4328" i="1"/>
  <c r="AH4327" i="1"/>
  <c r="AG4327" i="1"/>
  <c r="AH4326" i="1"/>
  <c r="AG4326" i="1"/>
  <c r="AH4325" i="1"/>
  <c r="AG4325" i="1"/>
  <c r="AH4324" i="1"/>
  <c r="AG4324" i="1"/>
  <c r="AH4323" i="1"/>
  <c r="AG4323" i="1"/>
  <c r="AH4322" i="1"/>
  <c r="AG4322" i="1"/>
  <c r="AH4321" i="1"/>
  <c r="AG4321" i="1"/>
  <c r="AH4320" i="1"/>
  <c r="AG4320" i="1"/>
  <c r="AH4319" i="1"/>
  <c r="AG4319" i="1"/>
  <c r="AH4318" i="1"/>
  <c r="AG4318" i="1"/>
  <c r="AH4317" i="1"/>
  <c r="AG4317" i="1"/>
  <c r="AH4316" i="1"/>
  <c r="AG4316" i="1"/>
  <c r="AH4315" i="1"/>
  <c r="AG4315" i="1"/>
  <c r="AH4314" i="1"/>
  <c r="AG4314" i="1"/>
  <c r="AH4313" i="1"/>
  <c r="AG4313" i="1"/>
  <c r="AH4312" i="1"/>
  <c r="AG4312" i="1"/>
  <c r="AH4311" i="1"/>
  <c r="AG4311" i="1"/>
  <c r="AH4310" i="1"/>
  <c r="AG4310" i="1"/>
  <c r="AH4309" i="1"/>
  <c r="AG4309" i="1"/>
  <c r="AH4308" i="1"/>
  <c r="AG4308" i="1"/>
  <c r="AH4307" i="1"/>
  <c r="AG4307" i="1"/>
  <c r="AH4306" i="1"/>
  <c r="AG4306" i="1"/>
  <c r="AH4305" i="1"/>
  <c r="AG4305" i="1"/>
  <c r="AH4304" i="1"/>
  <c r="AG4304" i="1"/>
  <c r="AH4303" i="1"/>
  <c r="AG4303" i="1"/>
  <c r="AH4302" i="1"/>
  <c r="AG4302" i="1"/>
  <c r="AH4301" i="1"/>
  <c r="AG4301" i="1"/>
  <c r="AH4300" i="1"/>
  <c r="AG4300" i="1"/>
  <c r="AH4299" i="1"/>
  <c r="AG4299" i="1"/>
  <c r="AH4298" i="1"/>
  <c r="AG4298" i="1"/>
  <c r="AH4297" i="1"/>
  <c r="AG4297" i="1"/>
  <c r="AH4296" i="1"/>
  <c r="AG4296" i="1"/>
  <c r="AH4295" i="1"/>
  <c r="AG4295" i="1"/>
  <c r="AH4294" i="1"/>
  <c r="AG4294" i="1"/>
  <c r="AH4293" i="1"/>
  <c r="AG4293" i="1"/>
  <c r="AH4292" i="1"/>
  <c r="AG4292" i="1"/>
  <c r="AH4291" i="1"/>
  <c r="AG4291" i="1"/>
  <c r="AH4290" i="1"/>
  <c r="AG4290" i="1"/>
  <c r="AH4289" i="1"/>
  <c r="AG4289" i="1"/>
  <c r="AH4288" i="1"/>
  <c r="AG4288" i="1"/>
  <c r="AH4287" i="1"/>
  <c r="AG4287" i="1"/>
  <c r="AH4286" i="1"/>
  <c r="AG4286" i="1"/>
  <c r="AH4285" i="1"/>
  <c r="AG4285" i="1"/>
  <c r="AH4284" i="1"/>
  <c r="AG4284" i="1"/>
  <c r="AH4283" i="1"/>
  <c r="AG4283" i="1"/>
  <c r="AH4282" i="1"/>
  <c r="AG4282" i="1"/>
  <c r="AH4281" i="1"/>
  <c r="AG4281" i="1"/>
  <c r="AH4280" i="1"/>
  <c r="AG4280" i="1"/>
  <c r="AH4279" i="1"/>
  <c r="AG4279" i="1"/>
  <c r="AH4278" i="1"/>
  <c r="AG4278" i="1"/>
  <c r="AH4277" i="1"/>
  <c r="AG4277" i="1"/>
  <c r="AH4276" i="1"/>
  <c r="AG4276" i="1"/>
  <c r="AH4275" i="1"/>
  <c r="AG4275" i="1"/>
  <c r="AH4274" i="1"/>
  <c r="AG4274" i="1"/>
  <c r="AH4273" i="1"/>
  <c r="AG4273" i="1"/>
  <c r="AH4272" i="1"/>
  <c r="AG4272" i="1"/>
  <c r="AH4271" i="1"/>
  <c r="AG4271" i="1"/>
  <c r="AH4270" i="1"/>
  <c r="AG4270" i="1"/>
  <c r="AH4269" i="1"/>
  <c r="AG4269" i="1"/>
  <c r="AH4268" i="1"/>
  <c r="AG4268" i="1"/>
  <c r="AH4267" i="1"/>
  <c r="AG4267" i="1"/>
  <c r="AH4266" i="1"/>
  <c r="AG4266" i="1"/>
  <c r="AH4265" i="1"/>
  <c r="AG4265" i="1"/>
  <c r="AH4264" i="1"/>
  <c r="AG4264" i="1"/>
  <c r="AH4263" i="1"/>
  <c r="AG4263" i="1"/>
  <c r="AH4262" i="1"/>
  <c r="AG4262" i="1"/>
  <c r="AH4261" i="1"/>
  <c r="AG4261" i="1"/>
  <c r="AH4260" i="1"/>
  <c r="AG4260" i="1"/>
  <c r="AH4259" i="1"/>
  <c r="AG4259" i="1"/>
  <c r="AH4258" i="1"/>
  <c r="AG4258" i="1"/>
  <c r="AH4257" i="1"/>
  <c r="AG4257" i="1"/>
  <c r="AH4256" i="1"/>
  <c r="AG4256" i="1"/>
  <c r="AH4255" i="1"/>
  <c r="AG4255" i="1"/>
  <c r="AH4254" i="1"/>
  <c r="AG4254" i="1"/>
  <c r="AH4253" i="1"/>
  <c r="AG4253" i="1"/>
  <c r="AH4252" i="1"/>
  <c r="AG4252" i="1"/>
  <c r="AH4251" i="1"/>
  <c r="AG4251" i="1"/>
  <c r="AH4250" i="1"/>
  <c r="AG4250" i="1"/>
  <c r="AH4249" i="1"/>
  <c r="AG4249" i="1"/>
  <c r="AH4248" i="1"/>
  <c r="AG4248" i="1"/>
  <c r="AH4247" i="1"/>
  <c r="AG4247" i="1"/>
  <c r="AH4246" i="1"/>
  <c r="AG4246" i="1"/>
  <c r="AH4245" i="1"/>
  <c r="AG4245" i="1"/>
  <c r="AH4244" i="1"/>
  <c r="AG4244" i="1"/>
  <c r="AH4243" i="1"/>
  <c r="AG4243" i="1"/>
  <c r="AH4242" i="1"/>
  <c r="AG4242" i="1"/>
  <c r="AH4241" i="1"/>
  <c r="AG4241" i="1"/>
  <c r="AH4240" i="1"/>
  <c r="AG4240" i="1"/>
  <c r="AH4239" i="1"/>
  <c r="AG4239" i="1"/>
  <c r="AH4238" i="1"/>
  <c r="AG4238" i="1"/>
  <c r="AH4237" i="1"/>
  <c r="AG4237" i="1"/>
  <c r="AH4236" i="1"/>
  <c r="AG4236" i="1"/>
  <c r="AH4235" i="1"/>
  <c r="AG4235" i="1"/>
  <c r="AH4234" i="1"/>
  <c r="AG4234" i="1"/>
  <c r="AH4233" i="1"/>
  <c r="AG4233" i="1"/>
  <c r="AH4232" i="1"/>
  <c r="AG4232" i="1"/>
  <c r="AH4231" i="1"/>
  <c r="AG4231" i="1"/>
  <c r="AH4230" i="1"/>
  <c r="AG4230" i="1"/>
  <c r="AH4229" i="1"/>
  <c r="AG4229" i="1"/>
  <c r="AH4228" i="1"/>
  <c r="AG4228" i="1"/>
  <c r="AH4227" i="1"/>
  <c r="AG4227" i="1"/>
  <c r="AH4226" i="1"/>
  <c r="AG4226" i="1"/>
  <c r="AH4225" i="1"/>
  <c r="AG4225" i="1"/>
  <c r="AH4224" i="1"/>
  <c r="AG4224" i="1"/>
  <c r="AH4223" i="1"/>
  <c r="AG4223" i="1"/>
  <c r="AH4222" i="1"/>
  <c r="AG4222" i="1"/>
  <c r="AH4221" i="1"/>
  <c r="AG4221" i="1"/>
  <c r="AH4220" i="1"/>
  <c r="AG4220" i="1"/>
  <c r="AH4219" i="1"/>
  <c r="AG4219" i="1"/>
  <c r="AH4218" i="1"/>
  <c r="AG4218" i="1"/>
  <c r="AH4217" i="1"/>
  <c r="AG4217" i="1"/>
  <c r="AH4216" i="1"/>
  <c r="AG4216" i="1"/>
  <c r="AH4215" i="1"/>
  <c r="AG4215" i="1"/>
  <c r="AH4214" i="1"/>
  <c r="AG4214" i="1"/>
  <c r="AH4213" i="1"/>
  <c r="AG4213" i="1"/>
  <c r="AH4212" i="1"/>
  <c r="AG4212" i="1"/>
  <c r="AH4211" i="1"/>
  <c r="AG4211" i="1"/>
  <c r="AH4210" i="1"/>
  <c r="AG4210" i="1"/>
  <c r="AH4209" i="1"/>
  <c r="AG4209" i="1"/>
  <c r="AH4208" i="1"/>
  <c r="AG4208" i="1"/>
  <c r="AH4207" i="1"/>
  <c r="AG4207" i="1"/>
  <c r="AH4206" i="1"/>
  <c r="AG4206" i="1"/>
  <c r="AH4205" i="1"/>
  <c r="AG4205" i="1"/>
  <c r="AH4204" i="1"/>
  <c r="AG4204" i="1"/>
  <c r="AH4203" i="1"/>
  <c r="AG4203" i="1"/>
  <c r="AH4202" i="1"/>
  <c r="AG4202" i="1"/>
  <c r="AH4201" i="1"/>
  <c r="AG4201" i="1"/>
  <c r="AH4200" i="1"/>
  <c r="AG4200" i="1"/>
  <c r="AH4199" i="1"/>
  <c r="AG4199" i="1"/>
  <c r="AH4198" i="1"/>
  <c r="AG4198" i="1"/>
  <c r="AH4197" i="1"/>
  <c r="AG4197" i="1"/>
  <c r="AH4196" i="1"/>
  <c r="AG4196" i="1"/>
  <c r="AH4195" i="1"/>
  <c r="AG4195" i="1"/>
  <c r="AH4194" i="1"/>
  <c r="AG4194" i="1"/>
  <c r="AH4193" i="1"/>
  <c r="AG4193" i="1"/>
  <c r="AH4192" i="1"/>
  <c r="AG4192" i="1"/>
  <c r="AH4191" i="1"/>
  <c r="AG4191" i="1"/>
  <c r="AH4190" i="1"/>
  <c r="AG4190" i="1"/>
  <c r="AH4189" i="1"/>
  <c r="AG4189" i="1"/>
  <c r="AH4188" i="1"/>
  <c r="AG4188" i="1"/>
  <c r="AH4187" i="1"/>
  <c r="AG4187" i="1"/>
  <c r="AH4186" i="1"/>
  <c r="AG4186" i="1"/>
  <c r="AH4185" i="1"/>
  <c r="AG4185" i="1"/>
  <c r="AH4184" i="1"/>
  <c r="AG4184" i="1"/>
  <c r="AH4183" i="1"/>
  <c r="AG4183" i="1"/>
  <c r="AH4182" i="1"/>
  <c r="AG4182" i="1"/>
  <c r="AH4181" i="1"/>
  <c r="AG4181" i="1"/>
  <c r="AH4180" i="1"/>
  <c r="AG4180" i="1"/>
  <c r="AH4179" i="1"/>
  <c r="AG4179" i="1"/>
  <c r="AH4178" i="1"/>
  <c r="AG4178" i="1"/>
  <c r="AH4177" i="1"/>
  <c r="AG4177" i="1"/>
  <c r="AH4176" i="1"/>
  <c r="AG4176" i="1"/>
  <c r="AH4175" i="1"/>
  <c r="AG4175" i="1"/>
  <c r="AH4174" i="1"/>
  <c r="AG4174" i="1"/>
  <c r="AH4173" i="1"/>
  <c r="AG4173" i="1"/>
  <c r="AH4172" i="1"/>
  <c r="AG4172" i="1"/>
  <c r="AH4171" i="1"/>
  <c r="AG4171" i="1"/>
  <c r="AH4170" i="1"/>
  <c r="AG4170" i="1"/>
  <c r="AH4169" i="1"/>
  <c r="AG4169" i="1"/>
  <c r="AH4168" i="1"/>
  <c r="AG4168" i="1"/>
  <c r="AH4167" i="1"/>
  <c r="AG4167" i="1"/>
  <c r="AH4166" i="1"/>
  <c r="AG4166" i="1"/>
  <c r="AH4165" i="1"/>
  <c r="AG4165" i="1"/>
  <c r="AH4164" i="1"/>
  <c r="AG4164" i="1"/>
  <c r="AH4163" i="1"/>
  <c r="AG4163" i="1"/>
  <c r="AH4162" i="1"/>
  <c r="AG4162" i="1"/>
  <c r="AH4161" i="1"/>
  <c r="AG4161" i="1"/>
  <c r="AH4160" i="1"/>
  <c r="AG4160" i="1"/>
  <c r="AH4159" i="1"/>
  <c r="AG4159" i="1"/>
  <c r="AH4158" i="1"/>
  <c r="AG4158" i="1"/>
  <c r="AH4157" i="1"/>
  <c r="AG4157" i="1"/>
  <c r="AH4156" i="1"/>
  <c r="AG4156" i="1"/>
  <c r="AH4155" i="1"/>
  <c r="AG4155" i="1"/>
  <c r="AH4154" i="1"/>
  <c r="AG4154" i="1"/>
  <c r="AH4153" i="1"/>
  <c r="AG4153" i="1"/>
  <c r="AH4152" i="1"/>
  <c r="AG4152" i="1"/>
  <c r="AH4151" i="1"/>
  <c r="AG4151" i="1"/>
  <c r="AH4150" i="1"/>
  <c r="AG4150" i="1"/>
  <c r="AH4149" i="1"/>
  <c r="AG4149" i="1"/>
  <c r="AH4148" i="1"/>
  <c r="AG4148" i="1"/>
  <c r="AH4147" i="1"/>
  <c r="AG4147" i="1"/>
  <c r="AH4146" i="1"/>
  <c r="AG4146" i="1"/>
  <c r="AH4145" i="1"/>
  <c r="AG4145" i="1"/>
  <c r="AH4144" i="1"/>
  <c r="AG4144" i="1"/>
  <c r="AH4143" i="1"/>
  <c r="AG4143" i="1"/>
  <c r="AH4142" i="1"/>
  <c r="AG4142" i="1"/>
  <c r="AH4141" i="1"/>
  <c r="AG4141" i="1"/>
  <c r="AH4140" i="1"/>
  <c r="AG4140" i="1"/>
  <c r="AH4139" i="1"/>
  <c r="AG4139" i="1"/>
  <c r="AH4138" i="1"/>
  <c r="AG4138" i="1"/>
  <c r="AH4137" i="1"/>
  <c r="AG4137" i="1"/>
  <c r="AH4136" i="1"/>
  <c r="AG4136" i="1"/>
  <c r="AH4135" i="1"/>
  <c r="AG4135" i="1"/>
  <c r="AH4134" i="1"/>
  <c r="AG4134" i="1"/>
  <c r="AH4133" i="1"/>
  <c r="AG4133" i="1"/>
  <c r="AH4132" i="1"/>
  <c r="AG4132" i="1"/>
  <c r="AH4131" i="1"/>
  <c r="AG4131" i="1"/>
  <c r="AH4130" i="1"/>
  <c r="AG4130" i="1"/>
  <c r="AH4129" i="1"/>
  <c r="AG4129" i="1"/>
  <c r="AH4128" i="1"/>
  <c r="AG4128" i="1"/>
  <c r="AH4127" i="1"/>
  <c r="AG4127" i="1"/>
  <c r="AH4126" i="1"/>
  <c r="AG4126" i="1"/>
  <c r="AH4125" i="1"/>
  <c r="AG4125" i="1"/>
  <c r="AH4124" i="1"/>
  <c r="AG4124" i="1"/>
  <c r="AH4123" i="1"/>
  <c r="AG4123" i="1"/>
  <c r="AH4122" i="1"/>
  <c r="AG4122" i="1"/>
  <c r="AH4121" i="1"/>
  <c r="AG4121" i="1"/>
  <c r="AH4120" i="1"/>
  <c r="AG4120" i="1"/>
  <c r="AH4119" i="1"/>
  <c r="AG4119" i="1"/>
  <c r="AH4118" i="1"/>
  <c r="AG4118" i="1"/>
  <c r="AH4117" i="1"/>
  <c r="AG4117" i="1"/>
  <c r="AH4116" i="1"/>
  <c r="AG4116" i="1"/>
  <c r="AH4115" i="1"/>
  <c r="AG4115" i="1"/>
  <c r="AH4114" i="1"/>
  <c r="AG4114" i="1"/>
  <c r="AH4113" i="1"/>
  <c r="AG4113" i="1"/>
  <c r="AH4112" i="1"/>
  <c r="AG4112" i="1"/>
  <c r="AH4111" i="1"/>
  <c r="AG4111" i="1"/>
  <c r="AH4110" i="1"/>
  <c r="AG4110" i="1"/>
  <c r="AH4109" i="1"/>
  <c r="AG4109" i="1"/>
  <c r="AH4108" i="1"/>
  <c r="AG4108" i="1"/>
  <c r="AH4107" i="1"/>
  <c r="AG4107" i="1"/>
  <c r="AH4106" i="1"/>
  <c r="AG4106" i="1"/>
  <c r="AH4105" i="1"/>
  <c r="AG4105" i="1"/>
  <c r="AH4104" i="1"/>
  <c r="AG4104" i="1"/>
  <c r="AH4103" i="1"/>
  <c r="AG4103" i="1"/>
  <c r="AH4102" i="1"/>
  <c r="AG4102" i="1"/>
  <c r="AH4101" i="1"/>
  <c r="AG4101" i="1"/>
  <c r="AH4100" i="1"/>
  <c r="AG4100" i="1"/>
  <c r="AH4099" i="1"/>
  <c r="AG4099" i="1"/>
  <c r="AH4098" i="1"/>
  <c r="AG4098" i="1"/>
  <c r="AH4097" i="1"/>
  <c r="AG4097" i="1"/>
  <c r="AH4096" i="1"/>
  <c r="AG4096" i="1"/>
  <c r="AH4095" i="1"/>
  <c r="AG4095" i="1"/>
  <c r="AH4094" i="1"/>
  <c r="AG4094" i="1"/>
  <c r="AH4093" i="1"/>
  <c r="AG4093" i="1"/>
  <c r="AH4092" i="1"/>
  <c r="AG4092" i="1"/>
  <c r="AH4091" i="1"/>
  <c r="AG4091" i="1"/>
  <c r="AH4090" i="1"/>
  <c r="AG4090" i="1"/>
  <c r="AH4089" i="1"/>
  <c r="AG4089" i="1"/>
  <c r="AH4088" i="1"/>
  <c r="AG4088" i="1"/>
  <c r="AH4087" i="1"/>
  <c r="AG4087" i="1"/>
  <c r="AH4086" i="1"/>
  <c r="AG4086" i="1"/>
  <c r="AG2" i="1"/>
  <c r="I211" i="4"/>
  <c r="H210" i="4"/>
  <c r="I210" i="4" s="1"/>
  <c r="I209" i="4"/>
  <c r="O89" i="6"/>
  <c r="P89" i="6" s="1"/>
  <c r="O88" i="6"/>
  <c r="P88" i="6" s="1"/>
  <c r="O87" i="6"/>
  <c r="P87" i="6" s="1"/>
  <c r="O86" i="6"/>
  <c r="P86" i="6" s="1"/>
  <c r="O85" i="6"/>
  <c r="P85" i="6" s="1"/>
  <c r="O84" i="6"/>
  <c r="P84" i="6" s="1"/>
  <c r="O83" i="6"/>
  <c r="P83" i="6" s="1"/>
  <c r="O82" i="6"/>
  <c r="P82" i="6" s="1"/>
  <c r="O81" i="6"/>
  <c r="P81" i="6" s="1"/>
  <c r="O80" i="6"/>
  <c r="P80" i="6" s="1"/>
  <c r="O79" i="6"/>
  <c r="P79" i="6" s="1"/>
  <c r="O78" i="6"/>
  <c r="P78" i="6" s="1"/>
  <c r="O77" i="6"/>
  <c r="P77" i="6" s="1"/>
  <c r="O76" i="6"/>
  <c r="P76" i="6" s="1"/>
  <c r="O75" i="6"/>
  <c r="P75" i="6" s="1"/>
  <c r="I295" i="3"/>
  <c r="I293" i="3"/>
  <c r="I290" i="3"/>
  <c r="I286" i="3"/>
  <c r="I284" i="3"/>
  <c r="I282" i="3"/>
  <c r="I280" i="3"/>
  <c r="I278" i="3"/>
  <c r="I276" i="3"/>
  <c r="I274" i="3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08" i="4"/>
  <c r="H207" i="4"/>
  <c r="H206" i="4"/>
  <c r="H205" i="4"/>
  <c r="H204" i="4"/>
  <c r="H203" i="4"/>
  <c r="H202" i="4"/>
  <c r="I117" i="7" a="1"/>
  <c r="I117" i="7" s="1"/>
  <c r="A1" i="14" a="1"/>
  <c r="A1" i="14"/>
  <c r="A1" i="7" a="1"/>
  <c r="A1" i="7"/>
  <c r="AG116" i="7"/>
  <c r="AN134" i="7"/>
  <c r="AK134" i="7"/>
  <c r="AJ134" i="7"/>
  <c r="AL134" i="7" s="1"/>
  <c r="AH134" i="7"/>
  <c r="AG134" i="7"/>
  <c r="AI134" i="7" s="1"/>
  <c r="AM134" i="7" s="1"/>
  <c r="AE134" i="7"/>
  <c r="L134" i="7" a="1"/>
  <c r="L134" i="7" s="1"/>
  <c r="AN133" i="7"/>
  <c r="AK133" i="7"/>
  <c r="AJ133" i="7"/>
  <c r="AH133" i="7"/>
  <c r="AG133" i="7"/>
  <c r="AI133" i="7" s="1"/>
  <c r="AM133" i="7" s="1"/>
  <c r="AE133" i="7"/>
  <c r="L133" i="7" a="1"/>
  <c r="L133" i="7" s="1"/>
  <c r="AN132" i="7"/>
  <c r="AK132" i="7"/>
  <c r="AJ132" i="7"/>
  <c r="AH132" i="7"/>
  <c r="AG132" i="7"/>
  <c r="AE132" i="7"/>
  <c r="L132" i="7" a="1"/>
  <c r="L132" i="7" s="1"/>
  <c r="AN131" i="7"/>
  <c r="AK131" i="7"/>
  <c r="AJ131" i="7"/>
  <c r="AL131" i="7" s="1"/>
  <c r="AH131" i="7"/>
  <c r="AG131" i="7"/>
  <c r="AE131" i="7"/>
  <c r="L131" i="7" a="1"/>
  <c r="L131" i="7" s="1"/>
  <c r="AN130" i="7"/>
  <c r="AK130" i="7"/>
  <c r="AJ130" i="7"/>
  <c r="AH130" i="7"/>
  <c r="AG130" i="7"/>
  <c r="AE130" i="7"/>
  <c r="L130" i="7" a="1"/>
  <c r="L130" i="7" s="1"/>
  <c r="AN129" i="7"/>
  <c r="AK129" i="7"/>
  <c r="AJ129" i="7"/>
  <c r="AH129" i="7"/>
  <c r="AG129" i="7"/>
  <c r="AE129" i="7"/>
  <c r="L129" i="7" a="1"/>
  <c r="L129" i="7" s="1"/>
  <c r="AN128" i="7"/>
  <c r="AK128" i="7"/>
  <c r="AJ128" i="7"/>
  <c r="AH128" i="7"/>
  <c r="AG128" i="7"/>
  <c r="AE128" i="7"/>
  <c r="L128" i="7" a="1"/>
  <c r="L128" i="7" s="1"/>
  <c r="AN127" i="7"/>
  <c r="AK127" i="7"/>
  <c r="AJ127" i="7"/>
  <c r="AH127" i="7"/>
  <c r="AG127" i="7"/>
  <c r="AE127" i="7"/>
  <c r="L127" i="7" a="1"/>
  <c r="L127" i="7" s="1"/>
  <c r="AN126" i="7"/>
  <c r="AK126" i="7"/>
  <c r="AJ126" i="7"/>
  <c r="AH126" i="7"/>
  <c r="AG126" i="7"/>
  <c r="AE126" i="7"/>
  <c r="L126" i="7" a="1"/>
  <c r="L126" i="7" s="1"/>
  <c r="AN125" i="7"/>
  <c r="AK125" i="7"/>
  <c r="AJ125" i="7"/>
  <c r="AH125" i="7"/>
  <c r="AG125" i="7"/>
  <c r="AE125" i="7"/>
  <c r="L125" i="7" a="1"/>
  <c r="L125" i="7" s="1"/>
  <c r="AN124" i="7"/>
  <c r="AK124" i="7"/>
  <c r="AJ124" i="7"/>
  <c r="AH124" i="7"/>
  <c r="AG124" i="7"/>
  <c r="AE124" i="7"/>
  <c r="L124" i="7" a="1"/>
  <c r="L124" i="7" s="1"/>
  <c r="AN123" i="7"/>
  <c r="AK123" i="7"/>
  <c r="AJ123" i="7"/>
  <c r="AH123" i="7"/>
  <c r="AG123" i="7"/>
  <c r="AE123" i="7"/>
  <c r="L123" i="7" a="1"/>
  <c r="L123" i="7" s="1"/>
  <c r="AN122" i="7"/>
  <c r="AK122" i="7"/>
  <c r="AJ122" i="7"/>
  <c r="AH122" i="7"/>
  <c r="AG122" i="7"/>
  <c r="AE122" i="7"/>
  <c r="L122" i="7" a="1"/>
  <c r="L122" i="7" s="1"/>
  <c r="AN121" i="7"/>
  <c r="AK121" i="7"/>
  <c r="AJ121" i="7"/>
  <c r="AH121" i="7"/>
  <c r="AG121" i="7"/>
  <c r="AE121" i="7"/>
  <c r="L121" i="7" a="1"/>
  <c r="L121" i="7" s="1"/>
  <c r="AN120" i="7"/>
  <c r="AK120" i="7"/>
  <c r="AJ120" i="7"/>
  <c r="AH120" i="7"/>
  <c r="AG120" i="7"/>
  <c r="AE120" i="7"/>
  <c r="L120" i="7" a="1"/>
  <c r="L120" i="7" s="1"/>
  <c r="AN119" i="7"/>
  <c r="AK119" i="7"/>
  <c r="AJ119" i="7"/>
  <c r="AH119" i="7"/>
  <c r="AG119" i="7"/>
  <c r="AE119" i="7"/>
  <c r="L119" i="7" a="1"/>
  <c r="L119" i="7" s="1"/>
  <c r="AN118" i="7"/>
  <c r="AK118" i="7"/>
  <c r="AJ118" i="7"/>
  <c r="AH118" i="7"/>
  <c r="AG118" i="7"/>
  <c r="AE118" i="7"/>
  <c r="L118" i="7" a="1"/>
  <c r="L118" i="7" s="1"/>
  <c r="AN117" i="7"/>
  <c r="AK117" i="7"/>
  <c r="AJ117" i="7"/>
  <c r="AH117" i="7"/>
  <c r="AG117" i="7"/>
  <c r="AN116" i="7"/>
  <c r="AK116" i="7"/>
  <c r="AJ116" i="7"/>
  <c r="AH116" i="7"/>
  <c r="AI116" i="7" s="1"/>
  <c r="AM116" i="7" s="1"/>
  <c r="AE116" i="7"/>
  <c r="L116" i="7" a="1"/>
  <c r="L116" i="7" s="1"/>
  <c r="AN115" i="7"/>
  <c r="AK115" i="7"/>
  <c r="AJ115" i="7"/>
  <c r="AH115" i="7"/>
  <c r="AG115" i="7"/>
  <c r="AE115" i="7"/>
  <c r="L115" i="7" a="1"/>
  <c r="L115" i="7" s="1"/>
  <c r="O238" i="4"/>
  <c r="L238" i="4"/>
  <c r="I238" i="4"/>
  <c r="V253" i="4"/>
  <c r="O253" i="4"/>
  <c r="L253" i="4"/>
  <c r="I253" i="4"/>
  <c r="O252" i="4"/>
  <c r="L252" i="4"/>
  <c r="I252" i="4"/>
  <c r="O251" i="4"/>
  <c r="L251" i="4"/>
  <c r="I251" i="4"/>
  <c r="O250" i="4"/>
  <c r="L250" i="4"/>
  <c r="I250" i="4"/>
  <c r="O249" i="4"/>
  <c r="L249" i="4"/>
  <c r="I249" i="4"/>
  <c r="O248" i="4"/>
  <c r="L248" i="4"/>
  <c r="I248" i="4"/>
  <c r="O247" i="4"/>
  <c r="L247" i="4"/>
  <c r="I247" i="4"/>
  <c r="O246" i="4"/>
  <c r="L246" i="4"/>
  <c r="I246" i="4"/>
  <c r="O245" i="4"/>
  <c r="L245" i="4"/>
  <c r="I245" i="4"/>
  <c r="O244" i="4"/>
  <c r="L244" i="4"/>
  <c r="I244" i="4"/>
  <c r="O243" i="4"/>
  <c r="L243" i="4"/>
  <c r="I243" i="4"/>
  <c r="O242" i="4"/>
  <c r="L242" i="4"/>
  <c r="I242" i="4"/>
  <c r="O240" i="4"/>
  <c r="L240" i="4"/>
  <c r="I240" i="4"/>
  <c r="O239" i="4"/>
  <c r="L239" i="4"/>
  <c r="I239" i="4"/>
  <c r="O237" i="4"/>
  <c r="L237" i="4"/>
  <c r="I237" i="4"/>
  <c r="O236" i="4"/>
  <c r="L236" i="4"/>
  <c r="I236" i="4"/>
  <c r="O235" i="4"/>
  <c r="L235" i="4"/>
  <c r="I235" i="4"/>
  <c r="O234" i="4"/>
  <c r="L234" i="4"/>
  <c r="I234" i="4"/>
  <c r="O233" i="4"/>
  <c r="L233" i="4"/>
  <c r="I233" i="4"/>
  <c r="O232" i="4"/>
  <c r="L232" i="4"/>
  <c r="I232" i="4"/>
  <c r="O231" i="4"/>
  <c r="L231" i="4"/>
  <c r="I231" i="4"/>
  <c r="O230" i="4"/>
  <c r="L230" i="4"/>
  <c r="I230" i="4"/>
  <c r="O229" i="4"/>
  <c r="L229" i="4"/>
  <c r="I229" i="4"/>
  <c r="O228" i="4"/>
  <c r="L228" i="4"/>
  <c r="I228" i="4"/>
  <c r="O227" i="4"/>
  <c r="L227" i="4"/>
  <c r="I227" i="4"/>
  <c r="O226" i="4"/>
  <c r="L226" i="4"/>
  <c r="I226" i="4"/>
  <c r="O225" i="4"/>
  <c r="L225" i="4"/>
  <c r="I225" i="4"/>
  <c r="O224" i="4"/>
  <c r="L224" i="4"/>
  <c r="I224" i="4"/>
  <c r="O223" i="4"/>
  <c r="L223" i="4"/>
  <c r="I223" i="4"/>
  <c r="O222" i="4"/>
  <c r="L222" i="4"/>
  <c r="I222" i="4"/>
  <c r="O221" i="4"/>
  <c r="L221" i="4"/>
  <c r="I221" i="4"/>
  <c r="V220" i="4"/>
  <c r="O220" i="4"/>
  <c r="L220" i="4"/>
  <c r="I220" i="4"/>
  <c r="V219" i="4"/>
  <c r="O219" i="4"/>
  <c r="L219" i="4"/>
  <c r="I219" i="4"/>
  <c r="O218" i="4"/>
  <c r="L218" i="4"/>
  <c r="I218" i="4"/>
  <c r="V217" i="4"/>
  <c r="O217" i="4"/>
  <c r="L217" i="4"/>
  <c r="I217" i="4"/>
  <c r="V216" i="4"/>
  <c r="O216" i="4"/>
  <c r="L216" i="4"/>
  <c r="I216" i="4"/>
  <c r="O215" i="4"/>
  <c r="L215" i="4"/>
  <c r="I215" i="4"/>
  <c r="V214" i="4"/>
  <c r="O214" i="4"/>
  <c r="L214" i="4"/>
  <c r="I214" i="4"/>
  <c r="V213" i="4"/>
  <c r="O213" i="4"/>
  <c r="L213" i="4"/>
  <c r="I213" i="4"/>
  <c r="V212" i="4"/>
  <c r="O212" i="4"/>
  <c r="L212" i="4"/>
  <c r="I212" i="4"/>
  <c r="V211" i="4"/>
  <c r="O211" i="4"/>
  <c r="L211" i="4"/>
  <c r="V210" i="4"/>
  <c r="O210" i="4"/>
  <c r="L210" i="4"/>
  <c r="V209" i="4"/>
  <c r="O209" i="4"/>
  <c r="L209" i="4"/>
  <c r="V208" i="4"/>
  <c r="O208" i="4"/>
  <c r="L208" i="4"/>
  <c r="I208" i="4"/>
  <c r="V207" i="4"/>
  <c r="O207" i="4"/>
  <c r="L207" i="4"/>
  <c r="I207" i="4"/>
  <c r="V206" i="4"/>
  <c r="O206" i="4"/>
  <c r="L206" i="4"/>
  <c r="I206" i="4"/>
  <c r="V205" i="4"/>
  <c r="O205" i="4"/>
  <c r="L205" i="4"/>
  <c r="I205" i="4"/>
  <c r="V204" i="4"/>
  <c r="O204" i="4"/>
  <c r="L204" i="4"/>
  <c r="I204" i="4"/>
  <c r="V203" i="4"/>
  <c r="O203" i="4"/>
  <c r="L203" i="4"/>
  <c r="I203" i="4"/>
  <c r="V202" i="4"/>
  <c r="O202" i="4"/>
  <c r="L202" i="4"/>
  <c r="I202" i="4"/>
  <c r="V241" i="4"/>
  <c r="O241" i="4"/>
  <c r="L241" i="4"/>
  <c r="I241" i="4"/>
  <c r="K305" i="3"/>
  <c r="J134" i="7" s="1"/>
  <c r="K304" i="3"/>
  <c r="K303" i="3"/>
  <c r="K302" i="3"/>
  <c r="K301" i="3"/>
  <c r="K300" i="3"/>
  <c r="K299" i="3"/>
  <c r="K298" i="3"/>
  <c r="K297" i="3"/>
  <c r="K296" i="3"/>
  <c r="K295" i="3"/>
  <c r="K294" i="3"/>
  <c r="K293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J133" i="7" s="1"/>
  <c r="K263" i="3"/>
  <c r="J132" i="7" s="1"/>
  <c r="K262" i="3"/>
  <c r="J131" i="7" s="1"/>
  <c r="K261" i="3"/>
  <c r="J130" i="7" s="1"/>
  <c r="K260" i="3"/>
  <c r="J129" i="7" s="1"/>
  <c r="K259" i="3"/>
  <c r="J128" i="7" s="1"/>
  <c r="K258" i="3"/>
  <c r="J127" i="7" s="1"/>
  <c r="K257" i="3"/>
  <c r="J126" i="7" s="1"/>
  <c r="K256" i="3"/>
  <c r="J125" i="7" s="1"/>
  <c r="K255" i="3"/>
  <c r="J124" i="7" s="1"/>
  <c r="K254" i="3"/>
  <c r="J123" i="7" s="1"/>
  <c r="K253" i="3"/>
  <c r="J122" i="7" s="1"/>
  <c r="K252" i="3"/>
  <c r="J121" i="7" s="1"/>
  <c r="K251" i="3"/>
  <c r="J120" i="7" s="1"/>
  <c r="K250" i="3"/>
  <c r="J119" i="7" s="1"/>
  <c r="K249" i="3"/>
  <c r="J118" i="7" s="1"/>
  <c r="K248" i="3"/>
  <c r="K247" i="3"/>
  <c r="J116" i="7" s="1"/>
  <c r="K246" i="3"/>
  <c r="J115" i="7" s="1"/>
  <c r="K292" i="3"/>
  <c r="Q74" i="6"/>
  <c r="O74" i="6"/>
  <c r="Q73" i="6"/>
  <c r="O73" i="6"/>
  <c r="Q72" i="6"/>
  <c r="O72" i="6"/>
  <c r="AH4085" i="1"/>
  <c r="AG4085" i="1"/>
  <c r="Q71" i="6"/>
  <c r="O71" i="6"/>
  <c r="Q70" i="6"/>
  <c r="O7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O56" i="6"/>
  <c r="R56" i="6" s="1"/>
  <c r="P56" i="6"/>
  <c r="K214" i="3"/>
  <c r="H201" i="4"/>
  <c r="O175" i="4"/>
  <c r="L175" i="4"/>
  <c r="H175" i="4"/>
  <c r="I175" i="4" s="1"/>
  <c r="O69" i="6"/>
  <c r="R69" i="6" s="1"/>
  <c r="O68" i="6"/>
  <c r="R68" i="6" s="1"/>
  <c r="O67" i="6"/>
  <c r="R67" i="6" s="1"/>
  <c r="O66" i="6"/>
  <c r="R66" i="6" s="1"/>
  <c r="O65" i="6"/>
  <c r="R65" i="6" s="1"/>
  <c r="O64" i="6"/>
  <c r="R64" i="6" s="1"/>
  <c r="O63" i="6"/>
  <c r="R63" i="6" s="1"/>
  <c r="O62" i="6"/>
  <c r="R62" i="6" s="1"/>
  <c r="O61" i="6"/>
  <c r="R61" i="6" s="1"/>
  <c r="O60" i="6"/>
  <c r="R60" i="6" s="1"/>
  <c r="O59" i="6"/>
  <c r="R59" i="6" s="1"/>
  <c r="O58" i="6"/>
  <c r="R58" i="6" s="1"/>
  <c r="O57" i="6"/>
  <c r="R57" i="6" s="1"/>
  <c r="AH4084" i="1"/>
  <c r="AG4084" i="1"/>
  <c r="AH4083" i="1"/>
  <c r="AG4083" i="1"/>
  <c r="AH4082" i="1"/>
  <c r="AG4082" i="1"/>
  <c r="AH4081" i="1"/>
  <c r="AG4081" i="1"/>
  <c r="AH4080" i="1"/>
  <c r="AG4080" i="1"/>
  <c r="AH4079" i="1"/>
  <c r="AG4079" i="1"/>
  <c r="AH4078" i="1"/>
  <c r="AG4078" i="1"/>
  <c r="AH4077" i="1"/>
  <c r="AG4077" i="1"/>
  <c r="AH4076" i="1"/>
  <c r="AG4076" i="1"/>
  <c r="AH4075" i="1"/>
  <c r="AG4075" i="1"/>
  <c r="AH4074" i="1"/>
  <c r="AG4074" i="1"/>
  <c r="AH4073" i="1"/>
  <c r="AG4073" i="1"/>
  <c r="AH4072" i="1"/>
  <c r="AG4072" i="1"/>
  <c r="AH4071" i="1"/>
  <c r="AG4071" i="1"/>
  <c r="AH4070" i="1"/>
  <c r="AG4070" i="1"/>
  <c r="AH4069" i="1"/>
  <c r="AG4069" i="1"/>
  <c r="AH4068" i="1"/>
  <c r="AG4068" i="1"/>
  <c r="AH4067" i="1"/>
  <c r="AG4067" i="1"/>
  <c r="AH4066" i="1"/>
  <c r="AG4066" i="1"/>
  <c r="AH4065" i="1"/>
  <c r="AG4065" i="1"/>
  <c r="AH4064" i="1"/>
  <c r="AG4064" i="1"/>
  <c r="AH4063" i="1"/>
  <c r="AG4063" i="1"/>
  <c r="AH4062" i="1"/>
  <c r="AG4062" i="1"/>
  <c r="AH4061" i="1"/>
  <c r="AG4061" i="1"/>
  <c r="AH4060" i="1"/>
  <c r="AG4060" i="1"/>
  <c r="AH4059" i="1"/>
  <c r="AG4059" i="1"/>
  <c r="AH4058" i="1"/>
  <c r="AG4058" i="1"/>
  <c r="AH4057" i="1"/>
  <c r="AG4057" i="1"/>
  <c r="AH4056" i="1"/>
  <c r="AG4056" i="1"/>
  <c r="AH4055" i="1"/>
  <c r="AG4055" i="1"/>
  <c r="AH4054" i="1"/>
  <c r="AG4054" i="1"/>
  <c r="AH4053" i="1"/>
  <c r="AG4053" i="1"/>
  <c r="AH4052" i="1"/>
  <c r="AG4052" i="1"/>
  <c r="AH4051" i="1"/>
  <c r="AG4051" i="1"/>
  <c r="AH4050" i="1"/>
  <c r="AG4050" i="1"/>
  <c r="AH4049" i="1"/>
  <c r="AG4049" i="1"/>
  <c r="AH4048" i="1"/>
  <c r="AG4048" i="1"/>
  <c r="AH4047" i="1"/>
  <c r="AG4047" i="1"/>
  <c r="AH4046" i="1"/>
  <c r="AG4046" i="1"/>
  <c r="AH4045" i="1"/>
  <c r="AG4045" i="1"/>
  <c r="AH4044" i="1"/>
  <c r="AG4044" i="1"/>
  <c r="AH4043" i="1"/>
  <c r="AG4043" i="1"/>
  <c r="AH4042" i="1"/>
  <c r="AG4042" i="1"/>
  <c r="AH4041" i="1"/>
  <c r="AG4041" i="1"/>
  <c r="AH4040" i="1"/>
  <c r="AG4040" i="1"/>
  <c r="AH4039" i="1"/>
  <c r="AG4039" i="1"/>
  <c r="AH4038" i="1"/>
  <c r="AG4038" i="1"/>
  <c r="AH4037" i="1"/>
  <c r="AG4037" i="1"/>
  <c r="AH4036" i="1"/>
  <c r="AG4036" i="1"/>
  <c r="AH4035" i="1"/>
  <c r="AG4035" i="1"/>
  <c r="AH4034" i="1"/>
  <c r="AG4034" i="1"/>
  <c r="AH4033" i="1"/>
  <c r="AG4033" i="1"/>
  <c r="AH4032" i="1"/>
  <c r="AG4032" i="1"/>
  <c r="AH4031" i="1"/>
  <c r="AG4031" i="1"/>
  <c r="AH4030" i="1"/>
  <c r="AG4030" i="1"/>
  <c r="AH4029" i="1"/>
  <c r="AG4029" i="1"/>
  <c r="AH4028" i="1"/>
  <c r="AG4028" i="1"/>
  <c r="AH4027" i="1"/>
  <c r="AG4027" i="1"/>
  <c r="AH4026" i="1"/>
  <c r="AG4026" i="1"/>
  <c r="AH4025" i="1"/>
  <c r="AG4025" i="1"/>
  <c r="AH4024" i="1"/>
  <c r="AG4024" i="1"/>
  <c r="AH4023" i="1"/>
  <c r="AG4023" i="1"/>
  <c r="AH4022" i="1"/>
  <c r="AG4022" i="1"/>
  <c r="AH4021" i="1"/>
  <c r="AG4021" i="1"/>
  <c r="AH4020" i="1"/>
  <c r="AG4020" i="1"/>
  <c r="AH4019" i="1"/>
  <c r="AG4019" i="1"/>
  <c r="AH4018" i="1"/>
  <c r="AG4018" i="1"/>
  <c r="AH4017" i="1"/>
  <c r="AG4017" i="1"/>
  <c r="AH4016" i="1"/>
  <c r="AG4016" i="1"/>
  <c r="AH4015" i="1"/>
  <c r="AG4015" i="1"/>
  <c r="AH4014" i="1"/>
  <c r="AG4014" i="1"/>
  <c r="AH4013" i="1"/>
  <c r="AG4013" i="1"/>
  <c r="AH4012" i="1"/>
  <c r="AG4012" i="1"/>
  <c r="AH4011" i="1"/>
  <c r="AG4011" i="1"/>
  <c r="AH4010" i="1"/>
  <c r="AG4010" i="1"/>
  <c r="AH4009" i="1"/>
  <c r="AG4009" i="1"/>
  <c r="AH4008" i="1"/>
  <c r="AG4008" i="1"/>
  <c r="AH4007" i="1"/>
  <c r="AG4007" i="1"/>
  <c r="AH4006" i="1"/>
  <c r="AG4006" i="1"/>
  <c r="AH4005" i="1"/>
  <c r="AG4005" i="1"/>
  <c r="AH4004" i="1"/>
  <c r="AG4004" i="1"/>
  <c r="AH4003" i="1"/>
  <c r="AG4003" i="1"/>
  <c r="AH4002" i="1"/>
  <c r="AG4002" i="1"/>
  <c r="AH4001" i="1"/>
  <c r="AG4001" i="1"/>
  <c r="AH4000" i="1"/>
  <c r="AG4000" i="1"/>
  <c r="AH3999" i="1"/>
  <c r="AG3999" i="1"/>
  <c r="AH3998" i="1"/>
  <c r="AG3998" i="1"/>
  <c r="AH3997" i="1"/>
  <c r="AG3997" i="1"/>
  <c r="AH3996" i="1"/>
  <c r="AG3996" i="1"/>
  <c r="AH3995" i="1"/>
  <c r="AG3995" i="1"/>
  <c r="AH3994" i="1"/>
  <c r="AG3994" i="1"/>
  <c r="AH3993" i="1"/>
  <c r="AG3993" i="1"/>
  <c r="AH3992" i="1"/>
  <c r="AG3992" i="1"/>
  <c r="AH3991" i="1"/>
  <c r="AG3991" i="1"/>
  <c r="AH3990" i="1"/>
  <c r="AG3990" i="1"/>
  <c r="AH3989" i="1"/>
  <c r="AG3989" i="1"/>
  <c r="AH3988" i="1"/>
  <c r="AG3988" i="1"/>
  <c r="AH3987" i="1"/>
  <c r="AG3987" i="1"/>
  <c r="AH3986" i="1"/>
  <c r="AG3986" i="1"/>
  <c r="AH3985" i="1"/>
  <c r="AG3985" i="1"/>
  <c r="AH3984" i="1"/>
  <c r="AG3984" i="1"/>
  <c r="AH3983" i="1"/>
  <c r="AG3983" i="1"/>
  <c r="AH3982" i="1"/>
  <c r="AG3982" i="1"/>
  <c r="AH3981" i="1"/>
  <c r="AG3981" i="1"/>
  <c r="AH3980" i="1"/>
  <c r="AG3980" i="1"/>
  <c r="AH3979" i="1"/>
  <c r="AG3979" i="1"/>
  <c r="AH3978" i="1"/>
  <c r="AG3978" i="1"/>
  <c r="AH3977" i="1"/>
  <c r="AG3977" i="1"/>
  <c r="AH3976" i="1"/>
  <c r="AG3976" i="1"/>
  <c r="AH3975" i="1"/>
  <c r="AG3975" i="1"/>
  <c r="AH3974" i="1"/>
  <c r="AG3974" i="1"/>
  <c r="AH3973" i="1"/>
  <c r="AG3973" i="1"/>
  <c r="AH3972" i="1"/>
  <c r="AG3972" i="1"/>
  <c r="AH3971" i="1"/>
  <c r="AG3971" i="1"/>
  <c r="AH3970" i="1"/>
  <c r="AG3970" i="1"/>
  <c r="AH3969" i="1"/>
  <c r="AG3969" i="1"/>
  <c r="AH3968" i="1"/>
  <c r="AG3968" i="1"/>
  <c r="AH3967" i="1"/>
  <c r="AG3967" i="1"/>
  <c r="AH3966" i="1"/>
  <c r="AG3966" i="1"/>
  <c r="AH3965" i="1"/>
  <c r="AG3965" i="1"/>
  <c r="AH3964" i="1"/>
  <c r="AG3964" i="1"/>
  <c r="AH3963" i="1"/>
  <c r="AG3963" i="1"/>
  <c r="AH3962" i="1"/>
  <c r="AG3962" i="1"/>
  <c r="AH3961" i="1"/>
  <c r="AG3961" i="1"/>
  <c r="AH3960" i="1"/>
  <c r="AG3960" i="1"/>
  <c r="AH3959" i="1"/>
  <c r="AG3959" i="1"/>
  <c r="AH3958" i="1"/>
  <c r="AG3958" i="1"/>
  <c r="AH3957" i="1"/>
  <c r="AG3957" i="1"/>
  <c r="AH3956" i="1"/>
  <c r="AG3956" i="1"/>
  <c r="AH3955" i="1"/>
  <c r="AG3955" i="1"/>
  <c r="AH3954" i="1"/>
  <c r="AG3954" i="1"/>
  <c r="AH3953" i="1"/>
  <c r="AG3953" i="1"/>
  <c r="AH3952" i="1"/>
  <c r="AG3952" i="1"/>
  <c r="AH3951" i="1"/>
  <c r="AG3951" i="1"/>
  <c r="AH3950" i="1"/>
  <c r="AG3950" i="1"/>
  <c r="AH3949" i="1"/>
  <c r="AG3949" i="1"/>
  <c r="AH3948" i="1"/>
  <c r="AG3948" i="1"/>
  <c r="AH3947" i="1"/>
  <c r="AG3947" i="1"/>
  <c r="AH3946" i="1"/>
  <c r="AG3946" i="1"/>
  <c r="AH3945" i="1"/>
  <c r="AG3945" i="1"/>
  <c r="AH3944" i="1"/>
  <c r="AG3944" i="1"/>
  <c r="AH3943" i="1"/>
  <c r="AG3943" i="1"/>
  <c r="AH3942" i="1"/>
  <c r="AG3942" i="1"/>
  <c r="AH3941" i="1"/>
  <c r="AG3941" i="1"/>
  <c r="AH3940" i="1"/>
  <c r="AG3940" i="1"/>
  <c r="AH3939" i="1"/>
  <c r="AG3939" i="1"/>
  <c r="AH3938" i="1"/>
  <c r="AG3938" i="1"/>
  <c r="AH3937" i="1"/>
  <c r="AG3937" i="1"/>
  <c r="AH3936" i="1"/>
  <c r="AG3936" i="1"/>
  <c r="AH3935" i="1"/>
  <c r="AG3935" i="1"/>
  <c r="AH3934" i="1"/>
  <c r="AG3934" i="1"/>
  <c r="AH3933" i="1"/>
  <c r="AG3933" i="1"/>
  <c r="AH3932" i="1"/>
  <c r="AG3932" i="1"/>
  <c r="AH3931" i="1"/>
  <c r="AG3931" i="1"/>
  <c r="AH3930" i="1"/>
  <c r="AG3930" i="1"/>
  <c r="AH3929" i="1"/>
  <c r="AG3929" i="1"/>
  <c r="AH3928" i="1"/>
  <c r="AG3928" i="1"/>
  <c r="AH3927" i="1"/>
  <c r="AG3927" i="1"/>
  <c r="AH3926" i="1"/>
  <c r="AG3926" i="1"/>
  <c r="AH3925" i="1"/>
  <c r="AG3925" i="1"/>
  <c r="AH3924" i="1"/>
  <c r="AG3924" i="1"/>
  <c r="AH3923" i="1"/>
  <c r="AG3923" i="1"/>
  <c r="AH3922" i="1"/>
  <c r="AG3922" i="1"/>
  <c r="AH3921" i="1"/>
  <c r="AG3921" i="1"/>
  <c r="AH3920" i="1"/>
  <c r="AG3920" i="1"/>
  <c r="AH3919" i="1"/>
  <c r="AG3919" i="1"/>
  <c r="AH3918" i="1"/>
  <c r="AG3918" i="1"/>
  <c r="AH3917" i="1"/>
  <c r="AG3917" i="1"/>
  <c r="AH3916" i="1"/>
  <c r="AG3916" i="1"/>
  <c r="AH3915" i="1"/>
  <c r="AG3915" i="1"/>
  <c r="AH3914" i="1"/>
  <c r="AG3914" i="1"/>
  <c r="AH3913" i="1"/>
  <c r="AG3913" i="1"/>
  <c r="AH3912" i="1"/>
  <c r="AG3912" i="1"/>
  <c r="AH3911" i="1"/>
  <c r="AG3911" i="1"/>
  <c r="AH3910" i="1"/>
  <c r="AG3910" i="1"/>
  <c r="AH3909" i="1"/>
  <c r="AG3909" i="1"/>
  <c r="AH3908" i="1"/>
  <c r="AG3908" i="1"/>
  <c r="AH3907" i="1"/>
  <c r="AG3907" i="1"/>
  <c r="AH3906" i="1"/>
  <c r="AG3906" i="1"/>
  <c r="AH3905" i="1"/>
  <c r="AG3905" i="1"/>
  <c r="AH3904" i="1"/>
  <c r="AG3904" i="1"/>
  <c r="AH3903" i="1"/>
  <c r="AG3903" i="1"/>
  <c r="AH3902" i="1"/>
  <c r="AG3902" i="1"/>
  <c r="AH3901" i="1"/>
  <c r="AG3901" i="1"/>
  <c r="AH3900" i="1"/>
  <c r="AG3900" i="1"/>
  <c r="AH3899" i="1"/>
  <c r="AG3899" i="1"/>
  <c r="AH3898" i="1"/>
  <c r="AG3898" i="1"/>
  <c r="AH3897" i="1"/>
  <c r="AG3897" i="1"/>
  <c r="AH3896" i="1"/>
  <c r="AG3896" i="1"/>
  <c r="AH3895" i="1"/>
  <c r="AG3895" i="1"/>
  <c r="AH3894" i="1"/>
  <c r="AG3894" i="1"/>
  <c r="AH3893" i="1"/>
  <c r="AG3893" i="1"/>
  <c r="AH3892" i="1"/>
  <c r="AG3892" i="1"/>
  <c r="AH3891" i="1"/>
  <c r="AG3891" i="1"/>
  <c r="AH3890" i="1"/>
  <c r="AG3890" i="1"/>
  <c r="AH3889" i="1"/>
  <c r="AG3889" i="1"/>
  <c r="AH3888" i="1"/>
  <c r="AG3888" i="1"/>
  <c r="AH3887" i="1"/>
  <c r="AG3887" i="1"/>
  <c r="AH3886" i="1"/>
  <c r="AG3886" i="1"/>
  <c r="AH3885" i="1"/>
  <c r="AG3885" i="1"/>
  <c r="AH3884" i="1"/>
  <c r="AG3884" i="1"/>
  <c r="AH3883" i="1"/>
  <c r="AG3883" i="1"/>
  <c r="AH3882" i="1"/>
  <c r="AG3882" i="1"/>
  <c r="AH3881" i="1"/>
  <c r="AG3881" i="1"/>
  <c r="AH3880" i="1"/>
  <c r="AG3880" i="1"/>
  <c r="AH3879" i="1"/>
  <c r="AG3879" i="1"/>
  <c r="AH3878" i="1"/>
  <c r="AG3878" i="1"/>
  <c r="AH3877" i="1"/>
  <c r="AG3877" i="1"/>
  <c r="AH3876" i="1"/>
  <c r="AG3876" i="1"/>
  <c r="AH3875" i="1"/>
  <c r="AG3875" i="1"/>
  <c r="AH3874" i="1"/>
  <c r="AG3874" i="1"/>
  <c r="AH3873" i="1"/>
  <c r="AG3873" i="1"/>
  <c r="AH3872" i="1"/>
  <c r="AG3872" i="1"/>
  <c r="AH3871" i="1"/>
  <c r="AG3871" i="1"/>
  <c r="AH3870" i="1"/>
  <c r="AG3870" i="1"/>
  <c r="AH3869" i="1"/>
  <c r="AG3869" i="1"/>
  <c r="AH3868" i="1"/>
  <c r="AG3868" i="1"/>
  <c r="AH3867" i="1"/>
  <c r="AG3867" i="1"/>
  <c r="AH3866" i="1"/>
  <c r="AG3866" i="1"/>
  <c r="AH3865" i="1"/>
  <c r="AG3865" i="1"/>
  <c r="AH3864" i="1"/>
  <c r="AG3864" i="1"/>
  <c r="AH3863" i="1"/>
  <c r="AG3863" i="1"/>
  <c r="AH3862" i="1"/>
  <c r="AG3862" i="1"/>
  <c r="AH3861" i="1"/>
  <c r="AG3861" i="1"/>
  <c r="AH3860" i="1"/>
  <c r="AG3860" i="1"/>
  <c r="AH3859" i="1"/>
  <c r="AG3859" i="1"/>
  <c r="AH3858" i="1"/>
  <c r="AG3858" i="1"/>
  <c r="AH3857" i="1"/>
  <c r="AG3857" i="1"/>
  <c r="AH3856" i="1"/>
  <c r="AG3856" i="1"/>
  <c r="AH3855" i="1"/>
  <c r="AG3855" i="1"/>
  <c r="AH3854" i="1"/>
  <c r="AG3854" i="1"/>
  <c r="AH3853" i="1"/>
  <c r="AG3853" i="1"/>
  <c r="AH3852" i="1"/>
  <c r="AG3852" i="1"/>
  <c r="AH3851" i="1"/>
  <c r="AG3851" i="1"/>
  <c r="AH3850" i="1"/>
  <c r="AG3850" i="1"/>
  <c r="AH3849" i="1"/>
  <c r="AG3849" i="1"/>
  <c r="AH3848" i="1"/>
  <c r="AG3848" i="1"/>
  <c r="AH3847" i="1"/>
  <c r="AG3847" i="1"/>
  <c r="AH3846" i="1"/>
  <c r="AG3846" i="1"/>
  <c r="AH3845" i="1"/>
  <c r="AG3845" i="1"/>
  <c r="AH3844" i="1"/>
  <c r="AG3844" i="1"/>
  <c r="AH3843" i="1"/>
  <c r="AG3843" i="1"/>
  <c r="AH3842" i="1"/>
  <c r="AG3842" i="1"/>
  <c r="AH3841" i="1"/>
  <c r="AG3841" i="1"/>
  <c r="AH3840" i="1"/>
  <c r="AG3840" i="1"/>
  <c r="AH3839" i="1"/>
  <c r="AG3839" i="1"/>
  <c r="AH3838" i="1"/>
  <c r="AG3838" i="1"/>
  <c r="AH3837" i="1"/>
  <c r="AG3837" i="1"/>
  <c r="AH3836" i="1"/>
  <c r="AG3836" i="1"/>
  <c r="AH3835" i="1"/>
  <c r="AG3835" i="1"/>
  <c r="AH3834" i="1"/>
  <c r="AG3834" i="1"/>
  <c r="AH3833" i="1"/>
  <c r="AG3833" i="1"/>
  <c r="AH3832" i="1"/>
  <c r="AG3832" i="1"/>
  <c r="AH3831" i="1"/>
  <c r="AG3831" i="1"/>
  <c r="AH3830" i="1"/>
  <c r="AG3830" i="1"/>
  <c r="AH3829" i="1"/>
  <c r="AG3829" i="1"/>
  <c r="AH3828" i="1"/>
  <c r="AG3828" i="1"/>
  <c r="AH3827" i="1"/>
  <c r="AG3827" i="1"/>
  <c r="AH3826" i="1"/>
  <c r="AG3826" i="1"/>
  <c r="AH3825" i="1"/>
  <c r="AG3825" i="1"/>
  <c r="AH3824" i="1"/>
  <c r="AG3824" i="1"/>
  <c r="AH3823" i="1"/>
  <c r="AG3823" i="1"/>
  <c r="AH3822" i="1"/>
  <c r="AG3822" i="1"/>
  <c r="AH3821" i="1"/>
  <c r="AG3821" i="1"/>
  <c r="AH3820" i="1"/>
  <c r="AG3820" i="1"/>
  <c r="AH3819" i="1"/>
  <c r="AG3819" i="1"/>
  <c r="AH3818" i="1"/>
  <c r="AG3818" i="1"/>
  <c r="AH3817" i="1"/>
  <c r="AG3817" i="1"/>
  <c r="AH3816" i="1"/>
  <c r="AG3816" i="1"/>
  <c r="AH3815" i="1"/>
  <c r="AG3815" i="1"/>
  <c r="AH3814" i="1"/>
  <c r="AG3814" i="1"/>
  <c r="AH3813" i="1"/>
  <c r="AG3813" i="1"/>
  <c r="AH3812" i="1"/>
  <c r="AG3812" i="1"/>
  <c r="AH3811" i="1"/>
  <c r="AG3811" i="1"/>
  <c r="AH3810" i="1"/>
  <c r="AG3810" i="1"/>
  <c r="AH3809" i="1"/>
  <c r="AG3809" i="1"/>
  <c r="AH3808" i="1"/>
  <c r="AG3808" i="1"/>
  <c r="AH3807" i="1"/>
  <c r="AG3807" i="1"/>
  <c r="AH3806" i="1"/>
  <c r="AG3806" i="1"/>
  <c r="AH3805" i="1"/>
  <c r="AG3805" i="1"/>
  <c r="AH3804" i="1"/>
  <c r="AG3804" i="1"/>
  <c r="AH3803" i="1"/>
  <c r="AG3803" i="1"/>
  <c r="AH3802" i="1"/>
  <c r="AG3802" i="1"/>
  <c r="AH3801" i="1"/>
  <c r="AG3801" i="1"/>
  <c r="AH3800" i="1"/>
  <c r="AG3800" i="1"/>
  <c r="AH3799" i="1"/>
  <c r="AG3799" i="1"/>
  <c r="AH3798" i="1"/>
  <c r="AG3798" i="1"/>
  <c r="AH3797" i="1"/>
  <c r="AG3797" i="1"/>
  <c r="AH3796" i="1"/>
  <c r="AG3796" i="1"/>
  <c r="AH3795" i="1"/>
  <c r="AG3795" i="1"/>
  <c r="AH3794" i="1"/>
  <c r="AG3794" i="1"/>
  <c r="AH3793" i="1"/>
  <c r="AG3793" i="1"/>
  <c r="AH3792" i="1"/>
  <c r="AG3792" i="1"/>
  <c r="AH3791" i="1"/>
  <c r="AG3791" i="1"/>
  <c r="AH3790" i="1"/>
  <c r="AG3790" i="1"/>
  <c r="AH3789" i="1"/>
  <c r="AG3789" i="1"/>
  <c r="AH3788" i="1"/>
  <c r="AG3788" i="1"/>
  <c r="AH3787" i="1"/>
  <c r="AG3787" i="1"/>
  <c r="AH3786" i="1"/>
  <c r="AG3786" i="1"/>
  <c r="AH3785" i="1"/>
  <c r="AG3785" i="1"/>
  <c r="AH3784" i="1"/>
  <c r="AG3784" i="1"/>
  <c r="AH3783" i="1"/>
  <c r="AG3783" i="1"/>
  <c r="AH3782" i="1"/>
  <c r="AG3782" i="1"/>
  <c r="AH3781" i="1"/>
  <c r="AG3781" i="1"/>
  <c r="AH3780" i="1"/>
  <c r="AG3780" i="1"/>
  <c r="AH3779" i="1"/>
  <c r="AG3779" i="1"/>
  <c r="AH3778" i="1"/>
  <c r="AG3778" i="1"/>
  <c r="AH3777" i="1"/>
  <c r="AG3777" i="1"/>
  <c r="AH3776" i="1"/>
  <c r="AG3776" i="1"/>
  <c r="AH3775" i="1"/>
  <c r="AG3775" i="1"/>
  <c r="AH3774" i="1"/>
  <c r="AG3774" i="1"/>
  <c r="AH3773" i="1"/>
  <c r="AG3773" i="1"/>
  <c r="AH3772" i="1"/>
  <c r="AG3772" i="1"/>
  <c r="AH3771" i="1"/>
  <c r="AG3771" i="1"/>
  <c r="AH3770" i="1"/>
  <c r="AG3770" i="1"/>
  <c r="AH3769" i="1"/>
  <c r="AG3769" i="1"/>
  <c r="AH3768" i="1"/>
  <c r="AG3768" i="1"/>
  <c r="AH3767" i="1"/>
  <c r="AG3767" i="1"/>
  <c r="AH3766" i="1"/>
  <c r="AG3766" i="1"/>
  <c r="AH3765" i="1"/>
  <c r="AG3765" i="1"/>
  <c r="AH3764" i="1"/>
  <c r="AG3764" i="1"/>
  <c r="AH3763" i="1"/>
  <c r="AG3763" i="1"/>
  <c r="AH3762" i="1"/>
  <c r="AG3762" i="1"/>
  <c r="AH3761" i="1"/>
  <c r="AG3761" i="1"/>
  <c r="AH3760" i="1"/>
  <c r="AG3760" i="1"/>
  <c r="AH3759" i="1"/>
  <c r="AG3759" i="1"/>
  <c r="AH3758" i="1"/>
  <c r="AG3758" i="1"/>
  <c r="AH3757" i="1"/>
  <c r="AG3757" i="1"/>
  <c r="AH3756" i="1"/>
  <c r="AG3756" i="1"/>
  <c r="AH3755" i="1"/>
  <c r="AG3755" i="1"/>
  <c r="AH3754" i="1"/>
  <c r="AG3754" i="1"/>
  <c r="AH3753" i="1"/>
  <c r="AG3753" i="1"/>
  <c r="AH3752" i="1"/>
  <c r="AG3752" i="1"/>
  <c r="AH3751" i="1"/>
  <c r="AG3751" i="1"/>
  <c r="AH3750" i="1"/>
  <c r="AG3750" i="1"/>
  <c r="AH3749" i="1"/>
  <c r="AG3749" i="1"/>
  <c r="AH3748" i="1"/>
  <c r="AG3748" i="1"/>
  <c r="AH3747" i="1"/>
  <c r="AG3747" i="1"/>
  <c r="AH3746" i="1"/>
  <c r="AG3746" i="1"/>
  <c r="AH3745" i="1"/>
  <c r="AG3745" i="1"/>
  <c r="AH3744" i="1"/>
  <c r="AG3744" i="1"/>
  <c r="AH3743" i="1"/>
  <c r="AG3743" i="1"/>
  <c r="AH3742" i="1"/>
  <c r="AG3742" i="1"/>
  <c r="AH3741" i="1"/>
  <c r="AG3741" i="1"/>
  <c r="AH3740" i="1"/>
  <c r="AG3740" i="1"/>
  <c r="AH3739" i="1"/>
  <c r="AG3739" i="1"/>
  <c r="AH3738" i="1"/>
  <c r="AG3738" i="1"/>
  <c r="AH3737" i="1"/>
  <c r="AG3737" i="1"/>
  <c r="AH3736" i="1"/>
  <c r="AG3736" i="1"/>
  <c r="AH3735" i="1"/>
  <c r="AG3735" i="1"/>
  <c r="AH3734" i="1"/>
  <c r="AG3734" i="1"/>
  <c r="AH3733" i="1"/>
  <c r="AG3733" i="1"/>
  <c r="AH3732" i="1"/>
  <c r="AG3732" i="1"/>
  <c r="AH3731" i="1"/>
  <c r="AG3731" i="1"/>
  <c r="AH3730" i="1"/>
  <c r="AG3730" i="1"/>
  <c r="AH3729" i="1"/>
  <c r="AG3729" i="1"/>
  <c r="AH3728" i="1"/>
  <c r="AG3728" i="1"/>
  <c r="AH3727" i="1"/>
  <c r="AG3727" i="1"/>
  <c r="AH3726" i="1"/>
  <c r="AG3726" i="1"/>
  <c r="AH3725" i="1"/>
  <c r="AG3725" i="1"/>
  <c r="AH3724" i="1"/>
  <c r="AG3724" i="1"/>
  <c r="AH3723" i="1"/>
  <c r="AG3723" i="1"/>
  <c r="AH3722" i="1"/>
  <c r="AG3722" i="1"/>
  <c r="AH3721" i="1"/>
  <c r="AG3721" i="1"/>
  <c r="AH3720" i="1"/>
  <c r="AG3720" i="1"/>
  <c r="AH3719" i="1"/>
  <c r="AG3719" i="1"/>
  <c r="AH3718" i="1"/>
  <c r="AG3718" i="1"/>
  <c r="AH3717" i="1"/>
  <c r="AG3717" i="1"/>
  <c r="AH3716" i="1"/>
  <c r="AG3716" i="1"/>
  <c r="AH3715" i="1"/>
  <c r="AG3715" i="1"/>
  <c r="AH3714" i="1"/>
  <c r="AG3714" i="1"/>
  <c r="AH3713" i="1"/>
  <c r="AG3713" i="1"/>
  <c r="AH3712" i="1"/>
  <c r="AG3712" i="1"/>
  <c r="AH3711" i="1"/>
  <c r="AG3711" i="1"/>
  <c r="AH3710" i="1"/>
  <c r="AG3710" i="1"/>
  <c r="AH3709" i="1"/>
  <c r="AG3709" i="1"/>
  <c r="AH3708" i="1"/>
  <c r="AG3708" i="1"/>
  <c r="AH3707" i="1"/>
  <c r="AG3707" i="1"/>
  <c r="AH3706" i="1"/>
  <c r="AG3706" i="1"/>
  <c r="AH3705" i="1"/>
  <c r="AG3705" i="1"/>
  <c r="AH3704" i="1"/>
  <c r="AG3704" i="1"/>
  <c r="AH3703" i="1"/>
  <c r="AG3703" i="1"/>
  <c r="AH3702" i="1"/>
  <c r="AG3702" i="1"/>
  <c r="AH3701" i="1"/>
  <c r="AG3701" i="1"/>
  <c r="AH3700" i="1"/>
  <c r="AG3700" i="1"/>
  <c r="AH3699" i="1"/>
  <c r="AG3699" i="1"/>
  <c r="AH3698" i="1"/>
  <c r="AG3698" i="1"/>
  <c r="AH3697" i="1"/>
  <c r="AG3697" i="1"/>
  <c r="AH3696" i="1"/>
  <c r="AG3696" i="1"/>
  <c r="AH3695" i="1"/>
  <c r="AG3695" i="1"/>
  <c r="AH3694" i="1"/>
  <c r="AG3694" i="1"/>
  <c r="AH3693" i="1"/>
  <c r="AG3693" i="1"/>
  <c r="AH3692" i="1"/>
  <c r="AG3692" i="1"/>
  <c r="AH3691" i="1"/>
  <c r="AG3691" i="1"/>
  <c r="AH3690" i="1"/>
  <c r="AG3690" i="1"/>
  <c r="AH3689" i="1"/>
  <c r="AG3689" i="1"/>
  <c r="AH3688" i="1"/>
  <c r="AG3688" i="1"/>
  <c r="AH3687" i="1"/>
  <c r="AG3687" i="1"/>
  <c r="AH3686" i="1"/>
  <c r="AG3686" i="1"/>
  <c r="AH3685" i="1"/>
  <c r="AG3685" i="1"/>
  <c r="AH3684" i="1"/>
  <c r="AG3684" i="1"/>
  <c r="AH3683" i="1"/>
  <c r="AG3683" i="1"/>
  <c r="AH3682" i="1"/>
  <c r="AG3682" i="1"/>
  <c r="AH3681" i="1"/>
  <c r="AG3681" i="1"/>
  <c r="AH3680" i="1"/>
  <c r="AG3680" i="1"/>
  <c r="AH3679" i="1"/>
  <c r="AG3679" i="1"/>
  <c r="AH3678" i="1"/>
  <c r="AG3678" i="1"/>
  <c r="AH3677" i="1"/>
  <c r="AG3677" i="1"/>
  <c r="AH3676" i="1"/>
  <c r="AG3676" i="1"/>
  <c r="AH3675" i="1"/>
  <c r="AG3675" i="1"/>
  <c r="AH3674" i="1"/>
  <c r="AG3674" i="1"/>
  <c r="AH3673" i="1"/>
  <c r="AG3673" i="1"/>
  <c r="AH3672" i="1"/>
  <c r="AG3672" i="1"/>
  <c r="AH3671" i="1"/>
  <c r="AG3671" i="1"/>
  <c r="AH3670" i="1"/>
  <c r="AG3670" i="1"/>
  <c r="AH3669" i="1"/>
  <c r="AG3669" i="1"/>
  <c r="AH3668" i="1"/>
  <c r="AG3668" i="1"/>
  <c r="AH3667" i="1"/>
  <c r="AG3667" i="1"/>
  <c r="AH3666" i="1"/>
  <c r="AG3666" i="1"/>
  <c r="AH3665" i="1"/>
  <c r="AG3665" i="1"/>
  <c r="AH3664" i="1"/>
  <c r="AG3664" i="1"/>
  <c r="AH3663" i="1"/>
  <c r="AG3663" i="1"/>
  <c r="AH3662" i="1"/>
  <c r="AG3662" i="1"/>
  <c r="AH3661" i="1"/>
  <c r="AG3661" i="1"/>
  <c r="AH3660" i="1"/>
  <c r="AG3660" i="1"/>
  <c r="AH3659" i="1"/>
  <c r="AG3659" i="1"/>
  <c r="AH3658" i="1"/>
  <c r="AG3658" i="1"/>
  <c r="AH3657" i="1"/>
  <c r="AG3657" i="1"/>
  <c r="AH3656" i="1"/>
  <c r="AG3656" i="1"/>
  <c r="AH3655" i="1"/>
  <c r="AG3655" i="1"/>
  <c r="AH3654" i="1"/>
  <c r="AG3654" i="1"/>
  <c r="AH3653" i="1"/>
  <c r="AG3653" i="1"/>
  <c r="AH3652" i="1"/>
  <c r="AG3652" i="1"/>
  <c r="AH3651" i="1"/>
  <c r="AG3651" i="1"/>
  <c r="AH3650" i="1"/>
  <c r="AG3650" i="1"/>
  <c r="AH3649" i="1"/>
  <c r="AG3649" i="1"/>
  <c r="AH3648" i="1"/>
  <c r="AG3648" i="1"/>
  <c r="AH3647" i="1"/>
  <c r="AG3647" i="1"/>
  <c r="AH3646" i="1"/>
  <c r="AG3646" i="1"/>
  <c r="AH3645" i="1"/>
  <c r="AG3645" i="1"/>
  <c r="AH3644" i="1"/>
  <c r="AG3644" i="1"/>
  <c r="AH3643" i="1"/>
  <c r="AG3643" i="1"/>
  <c r="AH3642" i="1"/>
  <c r="AG3642" i="1"/>
  <c r="AH3641" i="1"/>
  <c r="AG3641" i="1"/>
  <c r="AH3640" i="1"/>
  <c r="AG3640" i="1"/>
  <c r="AH3639" i="1"/>
  <c r="AG3639" i="1"/>
  <c r="AH3638" i="1"/>
  <c r="AG3638" i="1"/>
  <c r="AH3637" i="1"/>
  <c r="AG3637" i="1"/>
  <c r="AH3636" i="1"/>
  <c r="AG3636" i="1"/>
  <c r="AH3635" i="1"/>
  <c r="AG3635" i="1"/>
  <c r="AH3634" i="1"/>
  <c r="AG3634" i="1"/>
  <c r="AH3633" i="1"/>
  <c r="AG3633" i="1"/>
  <c r="AH3632" i="1"/>
  <c r="AG3632" i="1"/>
  <c r="AH3631" i="1"/>
  <c r="AG3631" i="1"/>
  <c r="AH3630" i="1"/>
  <c r="AG3630" i="1"/>
  <c r="AH3629" i="1"/>
  <c r="AG3629" i="1"/>
  <c r="AH3628" i="1"/>
  <c r="AG3628" i="1"/>
  <c r="AH3627" i="1"/>
  <c r="AG3627" i="1"/>
  <c r="AH3626" i="1"/>
  <c r="AG3626" i="1"/>
  <c r="AH3625" i="1"/>
  <c r="AG3625" i="1"/>
  <c r="AH3624" i="1"/>
  <c r="AG3624" i="1"/>
  <c r="AH3623" i="1"/>
  <c r="AG3623" i="1"/>
  <c r="AH3622" i="1"/>
  <c r="AG3622" i="1"/>
  <c r="AH3621" i="1"/>
  <c r="AG3621" i="1"/>
  <c r="AH3620" i="1"/>
  <c r="AG3620" i="1"/>
  <c r="AH3619" i="1"/>
  <c r="AG3619" i="1"/>
  <c r="AH3618" i="1"/>
  <c r="AG3618" i="1"/>
  <c r="AH3617" i="1"/>
  <c r="AG3617" i="1"/>
  <c r="AH3616" i="1"/>
  <c r="AG3616" i="1"/>
  <c r="AH3615" i="1"/>
  <c r="AG3615" i="1"/>
  <c r="AH3614" i="1"/>
  <c r="AG3614" i="1"/>
  <c r="AH3613" i="1"/>
  <c r="AG3613" i="1"/>
  <c r="AH3612" i="1"/>
  <c r="AG3612" i="1"/>
  <c r="AH3611" i="1"/>
  <c r="AG3611" i="1"/>
  <c r="AH3610" i="1"/>
  <c r="AG3610" i="1"/>
  <c r="AH3609" i="1"/>
  <c r="AG3609" i="1"/>
  <c r="AH3608" i="1"/>
  <c r="AG3608" i="1"/>
  <c r="AH3607" i="1"/>
  <c r="AG3607" i="1"/>
  <c r="AH3606" i="1"/>
  <c r="AG3606" i="1"/>
  <c r="AH3605" i="1"/>
  <c r="AG3605" i="1"/>
  <c r="AH3604" i="1"/>
  <c r="AG3604" i="1"/>
  <c r="AH3603" i="1"/>
  <c r="AG3603" i="1"/>
  <c r="AH3602" i="1"/>
  <c r="AG3602" i="1"/>
  <c r="AH3601" i="1"/>
  <c r="AG3601" i="1"/>
  <c r="AH3600" i="1"/>
  <c r="AG3600" i="1"/>
  <c r="AH3599" i="1"/>
  <c r="AG3599" i="1"/>
  <c r="AH3598" i="1"/>
  <c r="AG3598" i="1"/>
  <c r="AH3597" i="1"/>
  <c r="AG3597" i="1"/>
  <c r="AH3596" i="1"/>
  <c r="AG3596" i="1"/>
  <c r="AH3595" i="1"/>
  <c r="AG3595" i="1"/>
  <c r="AH3594" i="1"/>
  <c r="AG3594" i="1"/>
  <c r="AH3593" i="1"/>
  <c r="AG3593" i="1"/>
  <c r="AH3592" i="1"/>
  <c r="AG3592" i="1"/>
  <c r="AH3591" i="1"/>
  <c r="AG3591" i="1"/>
  <c r="AH3590" i="1"/>
  <c r="AG3590" i="1"/>
  <c r="AH3589" i="1"/>
  <c r="AG3589" i="1"/>
  <c r="AH3588" i="1"/>
  <c r="AG3588" i="1"/>
  <c r="AH3587" i="1"/>
  <c r="AG3587" i="1"/>
  <c r="AH3586" i="1"/>
  <c r="AG3586" i="1"/>
  <c r="AH3585" i="1"/>
  <c r="AG3585" i="1"/>
  <c r="AH3584" i="1"/>
  <c r="AG3584" i="1"/>
  <c r="AH3583" i="1"/>
  <c r="AG3583" i="1"/>
  <c r="AH3582" i="1"/>
  <c r="AG3582" i="1"/>
  <c r="AH3581" i="1"/>
  <c r="AG3581" i="1"/>
  <c r="AH3580" i="1"/>
  <c r="AG3580" i="1"/>
  <c r="AH3579" i="1"/>
  <c r="AG3579" i="1"/>
  <c r="AH3578" i="1"/>
  <c r="AG3578" i="1"/>
  <c r="AH3577" i="1"/>
  <c r="AG3577" i="1"/>
  <c r="AH3576" i="1"/>
  <c r="AG3576" i="1"/>
  <c r="AH3575" i="1"/>
  <c r="AG3575" i="1"/>
  <c r="AH3574" i="1"/>
  <c r="AG3574" i="1"/>
  <c r="AH3573" i="1"/>
  <c r="AG3573" i="1"/>
  <c r="AH3572" i="1"/>
  <c r="AG3572" i="1"/>
  <c r="AH3571" i="1"/>
  <c r="AG3571" i="1"/>
  <c r="AH3570" i="1"/>
  <c r="AG3570" i="1"/>
  <c r="AH3569" i="1"/>
  <c r="AG3569" i="1"/>
  <c r="AH3568" i="1"/>
  <c r="AG3568" i="1"/>
  <c r="AH3567" i="1"/>
  <c r="AG3567" i="1"/>
  <c r="AH3566" i="1"/>
  <c r="AG3566" i="1"/>
  <c r="AH3565" i="1"/>
  <c r="AG3565" i="1"/>
  <c r="AH3564" i="1"/>
  <c r="AG3564" i="1"/>
  <c r="AH3563" i="1"/>
  <c r="AG3563" i="1"/>
  <c r="AH3562" i="1"/>
  <c r="AG3562" i="1"/>
  <c r="AH3561" i="1"/>
  <c r="AG3561" i="1"/>
  <c r="AH3560" i="1"/>
  <c r="AG3560" i="1"/>
  <c r="AH3559" i="1"/>
  <c r="AG3559" i="1"/>
  <c r="AH3558" i="1"/>
  <c r="AG3558" i="1"/>
  <c r="AH3557" i="1"/>
  <c r="AG3557" i="1"/>
  <c r="AH3556" i="1"/>
  <c r="AG3556" i="1"/>
  <c r="AH3555" i="1"/>
  <c r="AG3555" i="1"/>
  <c r="AH3554" i="1"/>
  <c r="AG3554" i="1"/>
  <c r="AH3553" i="1"/>
  <c r="AG3553" i="1"/>
  <c r="AH3552" i="1"/>
  <c r="AG3552" i="1"/>
  <c r="AH3551" i="1"/>
  <c r="AG3551" i="1"/>
  <c r="AH3550" i="1"/>
  <c r="AG3550" i="1"/>
  <c r="AH3549" i="1"/>
  <c r="AG3549" i="1"/>
  <c r="AH3548" i="1"/>
  <c r="AG3548" i="1"/>
  <c r="AH3547" i="1"/>
  <c r="AG3547" i="1"/>
  <c r="AH3546" i="1"/>
  <c r="AG3546" i="1"/>
  <c r="AH3545" i="1"/>
  <c r="AG3545" i="1"/>
  <c r="AH3544" i="1"/>
  <c r="AG3544" i="1"/>
  <c r="AH3543" i="1"/>
  <c r="AG3543" i="1"/>
  <c r="AH3542" i="1"/>
  <c r="AG3542" i="1"/>
  <c r="AH3541" i="1"/>
  <c r="AG3541" i="1"/>
  <c r="AH3540" i="1"/>
  <c r="AG3540" i="1"/>
  <c r="AH3539" i="1"/>
  <c r="AG3539" i="1"/>
  <c r="AH3538" i="1"/>
  <c r="AG3538" i="1"/>
  <c r="AH3537" i="1"/>
  <c r="AG3537" i="1"/>
  <c r="AH3536" i="1"/>
  <c r="AG3536" i="1"/>
  <c r="AH3535" i="1"/>
  <c r="AG3535" i="1"/>
  <c r="AH3534" i="1"/>
  <c r="AG3534" i="1"/>
  <c r="AH3533" i="1"/>
  <c r="AG3533" i="1"/>
  <c r="AH3532" i="1"/>
  <c r="AG3532" i="1"/>
  <c r="AH3531" i="1"/>
  <c r="AG3531" i="1"/>
  <c r="AH3530" i="1"/>
  <c r="AG3530" i="1"/>
  <c r="AH3529" i="1"/>
  <c r="AG3529" i="1"/>
  <c r="AH3528" i="1"/>
  <c r="AG3528" i="1"/>
  <c r="AH3527" i="1"/>
  <c r="AG3527" i="1"/>
  <c r="AH3526" i="1"/>
  <c r="AG3526" i="1"/>
  <c r="AH3525" i="1"/>
  <c r="AG3525" i="1"/>
  <c r="AH3524" i="1"/>
  <c r="AG3524" i="1"/>
  <c r="AH3523" i="1"/>
  <c r="AG3523" i="1"/>
  <c r="AH3522" i="1"/>
  <c r="AG3522" i="1"/>
  <c r="AH3521" i="1"/>
  <c r="AG3521" i="1"/>
  <c r="AH3520" i="1"/>
  <c r="AG3520" i="1"/>
  <c r="AH3519" i="1"/>
  <c r="AG3519" i="1"/>
  <c r="AH3518" i="1"/>
  <c r="AG3518" i="1"/>
  <c r="AH3517" i="1"/>
  <c r="AG3517" i="1"/>
  <c r="AH3516" i="1"/>
  <c r="AG3516" i="1"/>
  <c r="AH3515" i="1"/>
  <c r="AG3515" i="1"/>
  <c r="AH3514" i="1"/>
  <c r="AG3514" i="1"/>
  <c r="AH3513" i="1"/>
  <c r="AG3513" i="1"/>
  <c r="AH3512" i="1"/>
  <c r="AG3512" i="1"/>
  <c r="AH3511" i="1"/>
  <c r="AG3511" i="1"/>
  <c r="AH3510" i="1"/>
  <c r="AG3510" i="1"/>
  <c r="AH3509" i="1"/>
  <c r="AG3509" i="1"/>
  <c r="AH3508" i="1"/>
  <c r="AG3508" i="1"/>
  <c r="AH3507" i="1"/>
  <c r="AG3507" i="1"/>
  <c r="AH3506" i="1"/>
  <c r="AG3506" i="1"/>
  <c r="AH3505" i="1"/>
  <c r="AG3505" i="1"/>
  <c r="AH3504" i="1"/>
  <c r="AG3504" i="1"/>
  <c r="AH3503" i="1"/>
  <c r="AG3503" i="1"/>
  <c r="AH3502" i="1"/>
  <c r="AG3502" i="1"/>
  <c r="AH3501" i="1"/>
  <c r="AG3501" i="1"/>
  <c r="AH3500" i="1"/>
  <c r="AG3500" i="1"/>
  <c r="AH3499" i="1"/>
  <c r="AG3499" i="1"/>
  <c r="AH3498" i="1"/>
  <c r="AG3498" i="1"/>
  <c r="AH3497" i="1"/>
  <c r="AG3497" i="1"/>
  <c r="AH3496" i="1"/>
  <c r="AG3496" i="1"/>
  <c r="AH3495" i="1"/>
  <c r="AG3495" i="1"/>
  <c r="AH3494" i="1"/>
  <c r="AG3494" i="1"/>
  <c r="AH3493" i="1"/>
  <c r="AG3493" i="1"/>
  <c r="AH3492" i="1"/>
  <c r="AG3492" i="1"/>
  <c r="AH3491" i="1"/>
  <c r="AG3491" i="1"/>
  <c r="AH3490" i="1"/>
  <c r="AG3490" i="1"/>
  <c r="AH3489" i="1"/>
  <c r="AG3489" i="1"/>
  <c r="AH3488" i="1"/>
  <c r="AG3488" i="1"/>
  <c r="AH3487" i="1"/>
  <c r="AG3487" i="1"/>
  <c r="AH3486" i="1"/>
  <c r="AG3486" i="1"/>
  <c r="AH3485" i="1"/>
  <c r="AG3485" i="1"/>
  <c r="AH3484" i="1"/>
  <c r="AG3484" i="1"/>
  <c r="AH3483" i="1"/>
  <c r="AG3483" i="1"/>
  <c r="AH3482" i="1"/>
  <c r="AG3482" i="1"/>
  <c r="AH3481" i="1"/>
  <c r="AG3481" i="1"/>
  <c r="AH3480" i="1"/>
  <c r="AG3480" i="1"/>
  <c r="AH3479" i="1"/>
  <c r="AG3479" i="1"/>
  <c r="AH3478" i="1"/>
  <c r="AG3478" i="1"/>
  <c r="AH3477" i="1"/>
  <c r="AG3477" i="1"/>
  <c r="AH3476" i="1"/>
  <c r="AG3476" i="1"/>
  <c r="AH3475" i="1"/>
  <c r="AG3475" i="1"/>
  <c r="AH3474" i="1"/>
  <c r="AG3474" i="1"/>
  <c r="AH3473" i="1"/>
  <c r="AG3473" i="1"/>
  <c r="AH3472" i="1"/>
  <c r="AG3472" i="1"/>
  <c r="AH3471" i="1"/>
  <c r="AG3471" i="1"/>
  <c r="AH3470" i="1"/>
  <c r="AG3470" i="1"/>
  <c r="AH3469" i="1"/>
  <c r="AG3469" i="1"/>
  <c r="AH3468" i="1"/>
  <c r="AG3468" i="1"/>
  <c r="AH3467" i="1"/>
  <c r="AG3467" i="1"/>
  <c r="AH3466" i="1"/>
  <c r="AG3466" i="1"/>
  <c r="AH3465" i="1"/>
  <c r="AG3465" i="1"/>
  <c r="AH3464" i="1"/>
  <c r="AG3464" i="1"/>
  <c r="AH3463" i="1"/>
  <c r="AG3463" i="1"/>
  <c r="AH3462" i="1"/>
  <c r="AG3462" i="1"/>
  <c r="AH3461" i="1"/>
  <c r="AG3461" i="1"/>
  <c r="AH3460" i="1"/>
  <c r="AG3460" i="1"/>
  <c r="AH3459" i="1"/>
  <c r="AG3459" i="1"/>
  <c r="AH3458" i="1"/>
  <c r="AG3458" i="1"/>
  <c r="AH3457" i="1"/>
  <c r="AG3457" i="1"/>
  <c r="AH3456" i="1"/>
  <c r="AG3456" i="1"/>
  <c r="AH3455" i="1"/>
  <c r="AG3455" i="1"/>
  <c r="AH3454" i="1"/>
  <c r="AG3454" i="1"/>
  <c r="AH3453" i="1"/>
  <c r="AG3453" i="1"/>
  <c r="AH3452" i="1"/>
  <c r="AG3452" i="1"/>
  <c r="AH3451" i="1"/>
  <c r="AG3451" i="1"/>
  <c r="AH3450" i="1"/>
  <c r="AG3450" i="1"/>
  <c r="AH3449" i="1"/>
  <c r="AG3449" i="1"/>
  <c r="AH3448" i="1"/>
  <c r="AG3448" i="1"/>
  <c r="AH3447" i="1"/>
  <c r="AG3447" i="1"/>
  <c r="AH3446" i="1"/>
  <c r="AG3446" i="1"/>
  <c r="AH3445" i="1"/>
  <c r="AG3445" i="1"/>
  <c r="AH3444" i="1"/>
  <c r="AG3444" i="1"/>
  <c r="AH3443" i="1"/>
  <c r="AG3443" i="1"/>
  <c r="AH3442" i="1"/>
  <c r="AG3442" i="1"/>
  <c r="AH3441" i="1"/>
  <c r="AG3441" i="1"/>
  <c r="AH3440" i="1"/>
  <c r="AG3440" i="1"/>
  <c r="AH3439" i="1"/>
  <c r="AG3439" i="1"/>
  <c r="AH3438" i="1"/>
  <c r="AG3438" i="1"/>
  <c r="AH3437" i="1"/>
  <c r="AG3437" i="1"/>
  <c r="AH3436" i="1"/>
  <c r="AG3436" i="1"/>
  <c r="AH3435" i="1"/>
  <c r="AG3435" i="1"/>
  <c r="AH3434" i="1"/>
  <c r="AG3434" i="1"/>
  <c r="AH3433" i="1"/>
  <c r="AG3433" i="1"/>
  <c r="AH3432" i="1"/>
  <c r="AG3432" i="1"/>
  <c r="AH3431" i="1"/>
  <c r="AG3431" i="1"/>
  <c r="AH3430" i="1"/>
  <c r="AG3430" i="1"/>
  <c r="AH3429" i="1"/>
  <c r="AG3429" i="1"/>
  <c r="AH3428" i="1"/>
  <c r="AG3428" i="1"/>
  <c r="AH3427" i="1"/>
  <c r="AG3427" i="1"/>
  <c r="AH3426" i="1"/>
  <c r="AG3426" i="1"/>
  <c r="AH3425" i="1"/>
  <c r="AG3425" i="1"/>
  <c r="AH3424" i="1"/>
  <c r="AG3424" i="1"/>
  <c r="AH3423" i="1"/>
  <c r="AG3423" i="1"/>
  <c r="AH3422" i="1"/>
  <c r="AG3422" i="1"/>
  <c r="AH3421" i="1"/>
  <c r="AG3421" i="1"/>
  <c r="AH3420" i="1"/>
  <c r="AG3420" i="1"/>
  <c r="AH3419" i="1"/>
  <c r="AG3419" i="1"/>
  <c r="AH3418" i="1"/>
  <c r="AG3418" i="1"/>
  <c r="AH3417" i="1"/>
  <c r="AG3417" i="1"/>
  <c r="AH3416" i="1"/>
  <c r="AG3416" i="1"/>
  <c r="AH3415" i="1"/>
  <c r="AG3415" i="1"/>
  <c r="AH3414" i="1"/>
  <c r="AG3414" i="1"/>
  <c r="AH3413" i="1"/>
  <c r="AG3413" i="1"/>
  <c r="AH3412" i="1"/>
  <c r="AG3412" i="1"/>
  <c r="AH3411" i="1"/>
  <c r="AG3411" i="1"/>
  <c r="AH3410" i="1"/>
  <c r="AG3410" i="1"/>
  <c r="AH3409" i="1"/>
  <c r="AG3409" i="1"/>
  <c r="AH3408" i="1"/>
  <c r="AG3408" i="1"/>
  <c r="AH3407" i="1"/>
  <c r="AG3407" i="1"/>
  <c r="AH3406" i="1"/>
  <c r="AG3406" i="1"/>
  <c r="AH3405" i="1"/>
  <c r="AG3405" i="1"/>
  <c r="AH3404" i="1"/>
  <c r="AG3404" i="1"/>
  <c r="AH3403" i="1"/>
  <c r="AG3403" i="1"/>
  <c r="AH3402" i="1"/>
  <c r="AG3402" i="1"/>
  <c r="AH3401" i="1"/>
  <c r="AG3401" i="1"/>
  <c r="AH3400" i="1"/>
  <c r="AG3400" i="1"/>
  <c r="AH3399" i="1"/>
  <c r="AG3399" i="1"/>
  <c r="AH3398" i="1"/>
  <c r="AG3398" i="1"/>
  <c r="AH3397" i="1"/>
  <c r="AG3397" i="1"/>
  <c r="AH3396" i="1"/>
  <c r="AG3396" i="1"/>
  <c r="AH3395" i="1"/>
  <c r="AG3395" i="1"/>
  <c r="AH3394" i="1"/>
  <c r="AG3394" i="1"/>
  <c r="AH3393" i="1"/>
  <c r="AG3393" i="1"/>
  <c r="AH3392" i="1"/>
  <c r="AG3392" i="1"/>
  <c r="AH3391" i="1"/>
  <c r="AG3391" i="1"/>
  <c r="AH3390" i="1"/>
  <c r="AG3390" i="1"/>
  <c r="AH3389" i="1"/>
  <c r="AG3389" i="1"/>
  <c r="AH3388" i="1"/>
  <c r="AG3388" i="1"/>
  <c r="AH3387" i="1"/>
  <c r="AG3387" i="1"/>
  <c r="AH3386" i="1"/>
  <c r="AG3386" i="1"/>
  <c r="AH3385" i="1"/>
  <c r="AG3385" i="1"/>
  <c r="AH3384" i="1"/>
  <c r="AG3384" i="1"/>
  <c r="AH3383" i="1"/>
  <c r="AG3383" i="1"/>
  <c r="AH3382" i="1"/>
  <c r="AG3382" i="1"/>
  <c r="AH3381" i="1"/>
  <c r="AG3381" i="1"/>
  <c r="AH3380" i="1"/>
  <c r="AG3380" i="1"/>
  <c r="AH3379" i="1"/>
  <c r="AG3379" i="1"/>
  <c r="AH3378" i="1"/>
  <c r="AG3378" i="1"/>
  <c r="AH3377" i="1"/>
  <c r="AG3377" i="1"/>
  <c r="AH3376" i="1"/>
  <c r="AG3376" i="1"/>
  <c r="AH3375" i="1"/>
  <c r="AG3375" i="1"/>
  <c r="AH3374" i="1"/>
  <c r="AG3374" i="1"/>
  <c r="AH3373" i="1"/>
  <c r="AG3373" i="1"/>
  <c r="AH3372" i="1"/>
  <c r="AG3372" i="1"/>
  <c r="AH3371" i="1"/>
  <c r="AG3371" i="1"/>
  <c r="AH3370" i="1"/>
  <c r="AG3370" i="1"/>
  <c r="AH3369" i="1"/>
  <c r="AG3369" i="1"/>
  <c r="AH3368" i="1"/>
  <c r="AG3368" i="1"/>
  <c r="AH3367" i="1"/>
  <c r="AG3367" i="1"/>
  <c r="AH3366" i="1"/>
  <c r="AG3366" i="1"/>
  <c r="AH3365" i="1"/>
  <c r="AG3365" i="1"/>
  <c r="AH3364" i="1"/>
  <c r="AG3364" i="1"/>
  <c r="AH3363" i="1"/>
  <c r="AG3363" i="1"/>
  <c r="AH3362" i="1"/>
  <c r="AG3362" i="1"/>
  <c r="AH3361" i="1"/>
  <c r="AG3361" i="1"/>
  <c r="AH3360" i="1"/>
  <c r="AG3360" i="1"/>
  <c r="AH3359" i="1"/>
  <c r="AG3359" i="1"/>
  <c r="AH3358" i="1"/>
  <c r="AG3358" i="1"/>
  <c r="AH3357" i="1"/>
  <c r="AG3357" i="1"/>
  <c r="AH3356" i="1"/>
  <c r="AG3356" i="1"/>
  <c r="AH3355" i="1"/>
  <c r="AG3355" i="1"/>
  <c r="AH3354" i="1"/>
  <c r="AG3354" i="1"/>
  <c r="AH3353" i="1"/>
  <c r="AG3353" i="1"/>
  <c r="AH3352" i="1"/>
  <c r="AG3352" i="1"/>
  <c r="AH3351" i="1"/>
  <c r="AG3351" i="1"/>
  <c r="AH3350" i="1"/>
  <c r="AG3350" i="1"/>
  <c r="AH3349" i="1"/>
  <c r="AG3349" i="1"/>
  <c r="AH3348" i="1"/>
  <c r="AG3348" i="1"/>
  <c r="AH3347" i="1"/>
  <c r="AG3347" i="1"/>
  <c r="AH3346" i="1"/>
  <c r="AG3346" i="1"/>
  <c r="AH3345" i="1"/>
  <c r="AG3345" i="1"/>
  <c r="AH3344" i="1"/>
  <c r="AG3344" i="1"/>
  <c r="AH3343" i="1"/>
  <c r="AG3343" i="1"/>
  <c r="AH3342" i="1"/>
  <c r="AG3342" i="1"/>
  <c r="AH3341" i="1"/>
  <c r="AG3341" i="1"/>
  <c r="AH3340" i="1"/>
  <c r="AG3340" i="1"/>
  <c r="AH3339" i="1"/>
  <c r="AG3339" i="1"/>
  <c r="AH3338" i="1"/>
  <c r="AG3338" i="1"/>
  <c r="AH3337" i="1"/>
  <c r="AG3337" i="1"/>
  <c r="AH3336" i="1"/>
  <c r="AG3336" i="1"/>
  <c r="AH3335" i="1"/>
  <c r="AG3335" i="1"/>
  <c r="AH3334" i="1"/>
  <c r="AG3334" i="1"/>
  <c r="AH3333" i="1"/>
  <c r="AG3333" i="1"/>
  <c r="AH3332" i="1"/>
  <c r="AG3332" i="1"/>
  <c r="AH3331" i="1"/>
  <c r="AG3331" i="1"/>
  <c r="AH3330" i="1"/>
  <c r="AG3330" i="1"/>
  <c r="AH3329" i="1"/>
  <c r="AG3329" i="1"/>
  <c r="AH3328" i="1"/>
  <c r="AG3328" i="1"/>
  <c r="AH3327" i="1"/>
  <c r="AG3327" i="1"/>
  <c r="AH3326" i="1"/>
  <c r="AG3326" i="1"/>
  <c r="AH3325" i="1"/>
  <c r="AG3325" i="1"/>
  <c r="AH3324" i="1"/>
  <c r="AG3324" i="1"/>
  <c r="AH3323" i="1"/>
  <c r="AG3323" i="1"/>
  <c r="AH3322" i="1"/>
  <c r="AG3322" i="1"/>
  <c r="AH3321" i="1"/>
  <c r="AG3321" i="1"/>
  <c r="AH3320" i="1"/>
  <c r="AG3320" i="1"/>
  <c r="AH3319" i="1"/>
  <c r="AG3319" i="1"/>
  <c r="AH3318" i="1"/>
  <c r="AG3318" i="1"/>
  <c r="AH3317" i="1"/>
  <c r="AG3317" i="1"/>
  <c r="AH3316" i="1"/>
  <c r="AG3316" i="1"/>
  <c r="AH3315" i="1"/>
  <c r="AG3315" i="1"/>
  <c r="AH3314" i="1"/>
  <c r="AG3314" i="1"/>
  <c r="AH3313" i="1"/>
  <c r="AG3313" i="1"/>
  <c r="AH3312" i="1"/>
  <c r="AG3312" i="1"/>
  <c r="AH3311" i="1"/>
  <c r="AG3311" i="1"/>
  <c r="AH3310" i="1"/>
  <c r="AG3310" i="1"/>
  <c r="AH3309" i="1"/>
  <c r="AG3309" i="1"/>
  <c r="AH3308" i="1"/>
  <c r="AG3308" i="1"/>
  <c r="AH3307" i="1"/>
  <c r="AG3307" i="1"/>
  <c r="AH3306" i="1"/>
  <c r="AG3306" i="1"/>
  <c r="AH3305" i="1"/>
  <c r="AG3305" i="1"/>
  <c r="AH3304" i="1"/>
  <c r="AG3304" i="1"/>
  <c r="AH3303" i="1"/>
  <c r="AG3303" i="1"/>
  <c r="AH3302" i="1"/>
  <c r="AG3302" i="1"/>
  <c r="AH3301" i="1"/>
  <c r="AG3301" i="1"/>
  <c r="AH3300" i="1"/>
  <c r="AG3300" i="1"/>
  <c r="AH3299" i="1"/>
  <c r="AG3299" i="1"/>
  <c r="AH3298" i="1"/>
  <c r="AG3298" i="1"/>
  <c r="AH3297" i="1"/>
  <c r="AG3297" i="1"/>
  <c r="AH3296" i="1"/>
  <c r="AG3296" i="1"/>
  <c r="AH3295" i="1"/>
  <c r="AG3295" i="1"/>
  <c r="AH3294" i="1"/>
  <c r="AG3294" i="1"/>
  <c r="AH3293" i="1"/>
  <c r="AG3293" i="1"/>
  <c r="AH3292" i="1"/>
  <c r="AG3292" i="1"/>
  <c r="AH3291" i="1"/>
  <c r="AG3291" i="1"/>
  <c r="AH3290" i="1"/>
  <c r="AG3290" i="1"/>
  <c r="AH3289" i="1"/>
  <c r="AG3289" i="1"/>
  <c r="AH3288" i="1"/>
  <c r="AG3288" i="1"/>
  <c r="AH3287" i="1"/>
  <c r="AG3287" i="1"/>
  <c r="AH3286" i="1"/>
  <c r="AG3286" i="1"/>
  <c r="AH3285" i="1"/>
  <c r="AG3285" i="1"/>
  <c r="AH3284" i="1"/>
  <c r="AG3284" i="1"/>
  <c r="AH3283" i="1"/>
  <c r="AG3283" i="1"/>
  <c r="AH3282" i="1"/>
  <c r="AG3282" i="1"/>
  <c r="AH3281" i="1"/>
  <c r="AG3281" i="1"/>
  <c r="AH3280" i="1"/>
  <c r="AG3280" i="1"/>
  <c r="AH3279" i="1"/>
  <c r="AG3279" i="1"/>
  <c r="AH3278" i="1"/>
  <c r="AG3278" i="1"/>
  <c r="AH3277" i="1"/>
  <c r="AG3277" i="1"/>
  <c r="AH3276" i="1"/>
  <c r="AG3276" i="1"/>
  <c r="AH3275" i="1"/>
  <c r="AG3275" i="1"/>
  <c r="AH3274" i="1"/>
  <c r="AG3274" i="1"/>
  <c r="AH3273" i="1"/>
  <c r="AG3273" i="1"/>
  <c r="AH3272" i="1"/>
  <c r="AG3272" i="1"/>
  <c r="AH3271" i="1"/>
  <c r="AG3271" i="1"/>
  <c r="AH3270" i="1"/>
  <c r="AG3270" i="1"/>
  <c r="AH3269" i="1"/>
  <c r="AG3269" i="1"/>
  <c r="AH3268" i="1"/>
  <c r="AG3268" i="1"/>
  <c r="AH3267" i="1"/>
  <c r="AG3267" i="1"/>
  <c r="AH3266" i="1"/>
  <c r="AG3266" i="1"/>
  <c r="AH3265" i="1"/>
  <c r="AG3265" i="1"/>
  <c r="AH3264" i="1"/>
  <c r="AG3264" i="1"/>
  <c r="AH3263" i="1"/>
  <c r="AG3263" i="1"/>
  <c r="AH3262" i="1"/>
  <c r="AG3262" i="1"/>
  <c r="AH3261" i="1"/>
  <c r="AG3261" i="1"/>
  <c r="AH3260" i="1"/>
  <c r="AG3260" i="1"/>
  <c r="AH3259" i="1"/>
  <c r="AG3259" i="1"/>
  <c r="AH3258" i="1"/>
  <c r="AG3258" i="1"/>
  <c r="AH3257" i="1"/>
  <c r="AG3257" i="1"/>
  <c r="AH3256" i="1"/>
  <c r="AG3256" i="1"/>
  <c r="AH3255" i="1"/>
  <c r="AG3255" i="1"/>
  <c r="AH3254" i="1"/>
  <c r="AG3254" i="1"/>
  <c r="AH3253" i="1"/>
  <c r="AG3253" i="1"/>
  <c r="AH3252" i="1"/>
  <c r="AG3252" i="1"/>
  <c r="AH3251" i="1"/>
  <c r="AG3251" i="1"/>
  <c r="AH3250" i="1"/>
  <c r="AG3250" i="1"/>
  <c r="AH3249" i="1"/>
  <c r="AG3249" i="1"/>
  <c r="AH3248" i="1"/>
  <c r="AG3248" i="1"/>
  <c r="AH3247" i="1"/>
  <c r="AG3247" i="1"/>
  <c r="AH3246" i="1"/>
  <c r="AG3246" i="1"/>
  <c r="AH3245" i="1"/>
  <c r="AG3245" i="1"/>
  <c r="AH3244" i="1"/>
  <c r="AG3244" i="1"/>
  <c r="AH3243" i="1"/>
  <c r="AG3243" i="1"/>
  <c r="AH3242" i="1"/>
  <c r="AG3242" i="1"/>
  <c r="AH3241" i="1"/>
  <c r="AG3241" i="1"/>
  <c r="AH3240" i="1"/>
  <c r="AG3240" i="1"/>
  <c r="AH3239" i="1"/>
  <c r="AG3239" i="1"/>
  <c r="AH3238" i="1"/>
  <c r="AG3238" i="1"/>
  <c r="AH3237" i="1"/>
  <c r="AG3237" i="1"/>
  <c r="AH3236" i="1"/>
  <c r="AG3236" i="1"/>
  <c r="AH3235" i="1"/>
  <c r="AG3235" i="1"/>
  <c r="AH3234" i="1"/>
  <c r="AG3234" i="1"/>
  <c r="AH3233" i="1"/>
  <c r="AG3233" i="1"/>
  <c r="AH3232" i="1"/>
  <c r="AG3232" i="1"/>
  <c r="AH3231" i="1"/>
  <c r="AG3231" i="1"/>
  <c r="AH3230" i="1"/>
  <c r="AG3230" i="1"/>
  <c r="AH3229" i="1"/>
  <c r="AG3229" i="1"/>
  <c r="AH3228" i="1"/>
  <c r="AG3228" i="1"/>
  <c r="AH3227" i="1"/>
  <c r="AG3227" i="1"/>
  <c r="AH3226" i="1"/>
  <c r="AG3226" i="1"/>
  <c r="AH3225" i="1"/>
  <c r="AG3225" i="1"/>
  <c r="AH3224" i="1"/>
  <c r="AG3224" i="1"/>
  <c r="AH3223" i="1"/>
  <c r="AG3223" i="1"/>
  <c r="AH3222" i="1"/>
  <c r="AG3222" i="1"/>
  <c r="AH3221" i="1"/>
  <c r="AG3221" i="1"/>
  <c r="AH3220" i="1"/>
  <c r="AG3220" i="1"/>
  <c r="AH3219" i="1"/>
  <c r="AG3219" i="1"/>
  <c r="AH3218" i="1"/>
  <c r="AG3218" i="1"/>
  <c r="AH3217" i="1"/>
  <c r="AG3217" i="1"/>
  <c r="AH3216" i="1"/>
  <c r="AG3216" i="1"/>
  <c r="AH3215" i="1"/>
  <c r="AG3215" i="1"/>
  <c r="AH3214" i="1"/>
  <c r="AG3214" i="1"/>
  <c r="AH3213" i="1"/>
  <c r="AG3213" i="1"/>
  <c r="AH3212" i="1"/>
  <c r="AG3212" i="1"/>
  <c r="AH3211" i="1"/>
  <c r="AG3211" i="1"/>
  <c r="AH3210" i="1"/>
  <c r="AG3210" i="1"/>
  <c r="AH3209" i="1"/>
  <c r="AG3209" i="1"/>
  <c r="AH3208" i="1"/>
  <c r="AG3208" i="1"/>
  <c r="AH3207" i="1"/>
  <c r="AG3207" i="1"/>
  <c r="AH3206" i="1"/>
  <c r="AG3206" i="1"/>
  <c r="AH3205" i="1"/>
  <c r="AG3205" i="1"/>
  <c r="AH3204" i="1"/>
  <c r="AG3204" i="1"/>
  <c r="AH3203" i="1"/>
  <c r="AG3203" i="1"/>
  <c r="AH3202" i="1"/>
  <c r="AG3202" i="1"/>
  <c r="AH3201" i="1"/>
  <c r="AG3201" i="1"/>
  <c r="AH3200" i="1"/>
  <c r="AG3200" i="1"/>
  <c r="AH3199" i="1"/>
  <c r="AG3199" i="1"/>
  <c r="AH3198" i="1"/>
  <c r="AG3198" i="1"/>
  <c r="AH3197" i="1"/>
  <c r="AG3197" i="1"/>
  <c r="AH3196" i="1"/>
  <c r="AG3196" i="1"/>
  <c r="AH3195" i="1"/>
  <c r="AG3195" i="1"/>
  <c r="AH3194" i="1"/>
  <c r="AG3194" i="1"/>
  <c r="AH3193" i="1"/>
  <c r="AG3193" i="1"/>
  <c r="AH3192" i="1"/>
  <c r="AG3192" i="1"/>
  <c r="AH3191" i="1"/>
  <c r="AG3191" i="1"/>
  <c r="AH3190" i="1"/>
  <c r="AG3190" i="1"/>
  <c r="AH3189" i="1"/>
  <c r="AG3189" i="1"/>
  <c r="AH3188" i="1"/>
  <c r="AG3188" i="1"/>
  <c r="AH3187" i="1"/>
  <c r="AG3187" i="1"/>
  <c r="AH3186" i="1"/>
  <c r="AG3186" i="1"/>
  <c r="AH3185" i="1"/>
  <c r="AG3185" i="1"/>
  <c r="AH3184" i="1"/>
  <c r="AG3184" i="1"/>
  <c r="AH3183" i="1"/>
  <c r="AG3183" i="1"/>
  <c r="AH3182" i="1"/>
  <c r="AG3182" i="1"/>
  <c r="AH3181" i="1"/>
  <c r="AG3181" i="1"/>
  <c r="AH3180" i="1"/>
  <c r="AG3180" i="1"/>
  <c r="AH3179" i="1"/>
  <c r="AG3179" i="1"/>
  <c r="AH3178" i="1"/>
  <c r="AG3178" i="1"/>
  <c r="AH3177" i="1"/>
  <c r="AG3177" i="1"/>
  <c r="AH3176" i="1"/>
  <c r="AG3176" i="1"/>
  <c r="AH3175" i="1"/>
  <c r="AG3175" i="1"/>
  <c r="AH3174" i="1"/>
  <c r="AG3174" i="1"/>
  <c r="AH3173" i="1"/>
  <c r="AG3173" i="1"/>
  <c r="AH3172" i="1"/>
  <c r="AG3172" i="1"/>
  <c r="AH3171" i="1"/>
  <c r="AG3171" i="1"/>
  <c r="AH3170" i="1"/>
  <c r="AG3170" i="1"/>
  <c r="AH3169" i="1"/>
  <c r="AG3169" i="1"/>
  <c r="AH3168" i="1"/>
  <c r="AG3168" i="1"/>
  <c r="AH3167" i="1"/>
  <c r="AG3167" i="1"/>
  <c r="AH3166" i="1"/>
  <c r="AG3166" i="1"/>
  <c r="AH3165" i="1"/>
  <c r="AG3165" i="1"/>
  <c r="AH3164" i="1"/>
  <c r="AG3164" i="1"/>
  <c r="AH3163" i="1"/>
  <c r="AG3163" i="1"/>
  <c r="AH3162" i="1"/>
  <c r="AG3162" i="1"/>
  <c r="AH3161" i="1"/>
  <c r="AG3161" i="1"/>
  <c r="AH3160" i="1"/>
  <c r="AG3160" i="1"/>
  <c r="AH3159" i="1"/>
  <c r="AG3159" i="1"/>
  <c r="AH3158" i="1"/>
  <c r="AG3158" i="1"/>
  <c r="AH3157" i="1"/>
  <c r="AG3157" i="1"/>
  <c r="AH3156" i="1"/>
  <c r="AG3156" i="1"/>
  <c r="AH3155" i="1"/>
  <c r="AG3155" i="1"/>
  <c r="AH3154" i="1"/>
  <c r="AG3154" i="1"/>
  <c r="AH3153" i="1"/>
  <c r="AG3153" i="1"/>
  <c r="AH3152" i="1"/>
  <c r="AG3152" i="1"/>
  <c r="AH3151" i="1"/>
  <c r="AG3151" i="1"/>
  <c r="AH3150" i="1"/>
  <c r="AG3150" i="1"/>
  <c r="AH3149" i="1"/>
  <c r="AG3149" i="1"/>
  <c r="AH3148" i="1"/>
  <c r="AG3148" i="1"/>
  <c r="AH3147" i="1"/>
  <c r="AG3147" i="1"/>
  <c r="AH3146" i="1"/>
  <c r="AG3146" i="1"/>
  <c r="AH3145" i="1"/>
  <c r="AG3145" i="1"/>
  <c r="AH3144" i="1"/>
  <c r="AG3144" i="1"/>
  <c r="AH3143" i="1"/>
  <c r="AG3143" i="1"/>
  <c r="AH3142" i="1"/>
  <c r="AG3142" i="1"/>
  <c r="AH3141" i="1"/>
  <c r="AG3141" i="1"/>
  <c r="AH3140" i="1"/>
  <c r="AG3140" i="1"/>
  <c r="AH3139" i="1"/>
  <c r="AG3139" i="1"/>
  <c r="AH3138" i="1"/>
  <c r="AG3138" i="1"/>
  <c r="AH3137" i="1"/>
  <c r="AG3137" i="1"/>
  <c r="AH3136" i="1"/>
  <c r="AG3136" i="1"/>
  <c r="AH3135" i="1"/>
  <c r="AG3135" i="1"/>
  <c r="AH3134" i="1"/>
  <c r="AG3134" i="1"/>
  <c r="AH3133" i="1"/>
  <c r="AG3133" i="1"/>
  <c r="AH3132" i="1"/>
  <c r="AG3132" i="1"/>
  <c r="AH3131" i="1"/>
  <c r="AG3131" i="1"/>
  <c r="AH3130" i="1"/>
  <c r="AG3130" i="1"/>
  <c r="AH3129" i="1"/>
  <c r="AG3129" i="1"/>
  <c r="AH3128" i="1"/>
  <c r="AG3128" i="1"/>
  <c r="AH3127" i="1"/>
  <c r="AG3127" i="1"/>
  <c r="AH3126" i="1"/>
  <c r="AG3126" i="1"/>
  <c r="AH3125" i="1"/>
  <c r="AG3125" i="1"/>
  <c r="AH3124" i="1"/>
  <c r="AG3124" i="1"/>
  <c r="AH3123" i="1"/>
  <c r="AG3123" i="1"/>
  <c r="AH3122" i="1"/>
  <c r="AG3122" i="1"/>
  <c r="AH3121" i="1"/>
  <c r="AG3121" i="1"/>
  <c r="AH3120" i="1"/>
  <c r="AG3120" i="1"/>
  <c r="AH3119" i="1"/>
  <c r="AG3119" i="1"/>
  <c r="AH3118" i="1"/>
  <c r="AG3118" i="1"/>
  <c r="AH3117" i="1"/>
  <c r="AG3117" i="1"/>
  <c r="AH3116" i="1"/>
  <c r="AG3116" i="1"/>
  <c r="AH3115" i="1"/>
  <c r="AG3115" i="1"/>
  <c r="AH3114" i="1"/>
  <c r="AG3114" i="1"/>
  <c r="AH3113" i="1"/>
  <c r="AG3113" i="1"/>
  <c r="AH3112" i="1"/>
  <c r="AG3112" i="1"/>
  <c r="AH3111" i="1"/>
  <c r="AG3111" i="1"/>
  <c r="AH3110" i="1"/>
  <c r="AG3110" i="1"/>
  <c r="AH3109" i="1"/>
  <c r="AG3109" i="1"/>
  <c r="AH3108" i="1"/>
  <c r="AG3108" i="1"/>
  <c r="AH3107" i="1"/>
  <c r="AG3107" i="1"/>
  <c r="AH3106" i="1"/>
  <c r="AG3106" i="1"/>
  <c r="AH3105" i="1"/>
  <c r="AG3105" i="1"/>
  <c r="AH3104" i="1"/>
  <c r="AG3104" i="1"/>
  <c r="AH3103" i="1"/>
  <c r="AG3103" i="1"/>
  <c r="AH3102" i="1"/>
  <c r="AG3102" i="1"/>
  <c r="AH3101" i="1"/>
  <c r="AG3101" i="1"/>
  <c r="AH3100" i="1"/>
  <c r="AG3100" i="1"/>
  <c r="AH3099" i="1"/>
  <c r="AG3099" i="1"/>
  <c r="AH3098" i="1"/>
  <c r="AG3098" i="1"/>
  <c r="AH3097" i="1"/>
  <c r="AG3097" i="1"/>
  <c r="AH3096" i="1"/>
  <c r="AG3096" i="1"/>
  <c r="AH3095" i="1"/>
  <c r="AG3095" i="1"/>
  <c r="AH3094" i="1"/>
  <c r="AG3094" i="1"/>
  <c r="AH3093" i="1"/>
  <c r="AG3093" i="1"/>
  <c r="AH3092" i="1"/>
  <c r="AG3092" i="1"/>
  <c r="AH3091" i="1"/>
  <c r="AG3091" i="1"/>
  <c r="AH3090" i="1"/>
  <c r="AG3090" i="1"/>
  <c r="AH3089" i="1"/>
  <c r="AG3089" i="1"/>
  <c r="AH3088" i="1"/>
  <c r="AG3088" i="1"/>
  <c r="AH3087" i="1"/>
  <c r="AG3087" i="1"/>
  <c r="AH3086" i="1"/>
  <c r="AG3086" i="1"/>
  <c r="AH3085" i="1"/>
  <c r="AG3085" i="1"/>
  <c r="AH3084" i="1"/>
  <c r="AG3084" i="1"/>
  <c r="AH3083" i="1"/>
  <c r="AG3083" i="1"/>
  <c r="AH3082" i="1"/>
  <c r="AG3082" i="1"/>
  <c r="AH3081" i="1"/>
  <c r="AG3081" i="1"/>
  <c r="AH3080" i="1"/>
  <c r="AG3080" i="1"/>
  <c r="AH3079" i="1"/>
  <c r="AG3079" i="1"/>
  <c r="AH3078" i="1"/>
  <c r="AG3078" i="1"/>
  <c r="AH3077" i="1"/>
  <c r="AG3077" i="1"/>
  <c r="AH3076" i="1"/>
  <c r="AG3076" i="1"/>
  <c r="AH3075" i="1"/>
  <c r="AG3075" i="1"/>
  <c r="AH3074" i="1"/>
  <c r="AG3074" i="1"/>
  <c r="AH3073" i="1"/>
  <c r="AG3073" i="1"/>
  <c r="AH3072" i="1"/>
  <c r="AG3072" i="1"/>
  <c r="AH3071" i="1"/>
  <c r="AG3071" i="1"/>
  <c r="AH3070" i="1"/>
  <c r="AG3070" i="1"/>
  <c r="AH3069" i="1"/>
  <c r="AG3069" i="1"/>
  <c r="AH3068" i="1"/>
  <c r="AG3068" i="1"/>
  <c r="AH3067" i="1"/>
  <c r="AG3067" i="1"/>
  <c r="AH3066" i="1"/>
  <c r="AG3066" i="1"/>
  <c r="AH3065" i="1"/>
  <c r="AG3065" i="1"/>
  <c r="AH3064" i="1"/>
  <c r="AG3064" i="1"/>
  <c r="AH3063" i="1"/>
  <c r="AG3063" i="1"/>
  <c r="AH3062" i="1"/>
  <c r="AG3062" i="1"/>
  <c r="AH3061" i="1"/>
  <c r="AG3061" i="1"/>
  <c r="AH3060" i="1"/>
  <c r="AG3060" i="1"/>
  <c r="AH3059" i="1"/>
  <c r="AG3059" i="1"/>
  <c r="AH3058" i="1"/>
  <c r="AG3058" i="1"/>
  <c r="AH3057" i="1"/>
  <c r="AG3057" i="1"/>
  <c r="AH3056" i="1"/>
  <c r="AG3056" i="1"/>
  <c r="AH3055" i="1"/>
  <c r="AG3055" i="1"/>
  <c r="AH3054" i="1"/>
  <c r="AG3054" i="1"/>
  <c r="AH3053" i="1"/>
  <c r="AG3053" i="1"/>
  <c r="AH3052" i="1"/>
  <c r="AG3052" i="1"/>
  <c r="AH3051" i="1"/>
  <c r="AG3051" i="1"/>
  <c r="AH3050" i="1"/>
  <c r="AG3050" i="1"/>
  <c r="AH3049" i="1"/>
  <c r="AG3049" i="1"/>
  <c r="AH3048" i="1"/>
  <c r="AG3048" i="1"/>
  <c r="AH3047" i="1"/>
  <c r="AG3047" i="1"/>
  <c r="AH3046" i="1"/>
  <c r="AG3046" i="1"/>
  <c r="AH3045" i="1"/>
  <c r="AG3045" i="1"/>
  <c r="AH3044" i="1"/>
  <c r="AG3044" i="1"/>
  <c r="AH3043" i="1"/>
  <c r="AG3043" i="1"/>
  <c r="AH3042" i="1"/>
  <c r="AG3042" i="1"/>
  <c r="AH3041" i="1"/>
  <c r="AG3041" i="1"/>
  <c r="AH3040" i="1"/>
  <c r="AG3040" i="1"/>
  <c r="AH3039" i="1"/>
  <c r="AG3039" i="1"/>
  <c r="AH3038" i="1"/>
  <c r="AG3038" i="1"/>
  <c r="AH3037" i="1"/>
  <c r="AG3037" i="1"/>
  <c r="AH3036" i="1"/>
  <c r="AG3036" i="1"/>
  <c r="AH3035" i="1"/>
  <c r="AG3035" i="1"/>
  <c r="AH3034" i="1"/>
  <c r="AG3034" i="1"/>
  <c r="AH3033" i="1"/>
  <c r="AG3033" i="1"/>
  <c r="AH3032" i="1"/>
  <c r="AG3032" i="1"/>
  <c r="AH3031" i="1"/>
  <c r="AG3031" i="1"/>
  <c r="AH3030" i="1"/>
  <c r="AG3030" i="1"/>
  <c r="AH3029" i="1"/>
  <c r="AG3029" i="1"/>
  <c r="AH3028" i="1"/>
  <c r="AG3028" i="1"/>
  <c r="AH3027" i="1"/>
  <c r="AG3027" i="1"/>
  <c r="AH3026" i="1"/>
  <c r="AG3026" i="1"/>
  <c r="AH3025" i="1"/>
  <c r="AG3025" i="1"/>
  <c r="AH3024" i="1"/>
  <c r="AG3024" i="1"/>
  <c r="AH3023" i="1"/>
  <c r="AG3023" i="1"/>
  <c r="AH3022" i="1"/>
  <c r="AG3022" i="1"/>
  <c r="AH3021" i="1"/>
  <c r="AG3021" i="1"/>
  <c r="AH3020" i="1"/>
  <c r="AG3020" i="1"/>
  <c r="AH3019" i="1"/>
  <c r="AG3019" i="1"/>
  <c r="AH3018" i="1"/>
  <c r="AG3018" i="1"/>
  <c r="AH3017" i="1"/>
  <c r="AG3017" i="1"/>
  <c r="AH3016" i="1"/>
  <c r="AG3016" i="1"/>
  <c r="AH3015" i="1"/>
  <c r="AG3015" i="1"/>
  <c r="AH3014" i="1"/>
  <c r="AG3014" i="1"/>
  <c r="AH3013" i="1"/>
  <c r="AG3013" i="1"/>
  <c r="AH3012" i="1"/>
  <c r="AG3012" i="1"/>
  <c r="AH3011" i="1"/>
  <c r="AG3011" i="1"/>
  <c r="AH3010" i="1"/>
  <c r="AG3010" i="1"/>
  <c r="AH3009" i="1"/>
  <c r="AG3009" i="1"/>
  <c r="K202" i="3"/>
  <c r="H160" i="4"/>
  <c r="V161" i="4"/>
  <c r="O161" i="4"/>
  <c r="L161" i="4"/>
  <c r="I161" i="4"/>
  <c r="V160" i="4"/>
  <c r="O160" i="4"/>
  <c r="L160" i="4"/>
  <c r="I160" i="4"/>
  <c r="V159" i="4"/>
  <c r="O159" i="4"/>
  <c r="L159" i="4"/>
  <c r="I159" i="4"/>
  <c r="O201" i="4"/>
  <c r="L201" i="4"/>
  <c r="O200" i="4"/>
  <c r="L200" i="4"/>
  <c r="O199" i="4"/>
  <c r="L199" i="4"/>
  <c r="O198" i="4"/>
  <c r="L198" i="4"/>
  <c r="O197" i="4"/>
  <c r="L197" i="4"/>
  <c r="O196" i="4"/>
  <c r="L196" i="4"/>
  <c r="O195" i="4"/>
  <c r="L195" i="4"/>
  <c r="O194" i="4"/>
  <c r="L194" i="4"/>
  <c r="O193" i="4"/>
  <c r="L193" i="4"/>
  <c r="O192" i="4"/>
  <c r="L192" i="4"/>
  <c r="O191" i="4"/>
  <c r="L191" i="4"/>
  <c r="O190" i="4"/>
  <c r="L190" i="4"/>
  <c r="O189" i="4"/>
  <c r="L189" i="4"/>
  <c r="O188" i="4"/>
  <c r="L188" i="4"/>
  <c r="O187" i="4"/>
  <c r="L187" i="4"/>
  <c r="O186" i="4"/>
  <c r="L186" i="4"/>
  <c r="O185" i="4"/>
  <c r="L185" i="4"/>
  <c r="O184" i="4"/>
  <c r="L184" i="4"/>
  <c r="O183" i="4"/>
  <c r="L183" i="4"/>
  <c r="O182" i="4"/>
  <c r="L182" i="4"/>
  <c r="O181" i="4"/>
  <c r="L181" i="4"/>
  <c r="O180" i="4"/>
  <c r="L180" i="4"/>
  <c r="O179" i="4"/>
  <c r="L179" i="4"/>
  <c r="O178" i="4"/>
  <c r="L178" i="4"/>
  <c r="O177" i="4"/>
  <c r="L177" i="4"/>
  <c r="O176" i="4"/>
  <c r="L176" i="4"/>
  <c r="O174" i="4"/>
  <c r="L174" i="4"/>
  <c r="O173" i="4"/>
  <c r="L173" i="4"/>
  <c r="O172" i="4"/>
  <c r="L172" i="4"/>
  <c r="O171" i="4"/>
  <c r="L171" i="4"/>
  <c r="O170" i="4"/>
  <c r="L170" i="4"/>
  <c r="O169" i="4"/>
  <c r="L169" i="4"/>
  <c r="O168" i="4"/>
  <c r="L168" i="4"/>
  <c r="O167" i="4"/>
  <c r="L167" i="4"/>
  <c r="O166" i="4"/>
  <c r="L166" i="4"/>
  <c r="O165" i="4"/>
  <c r="L165" i="4"/>
  <c r="O164" i="4"/>
  <c r="L164" i="4"/>
  <c r="O163" i="4"/>
  <c r="L163" i="4"/>
  <c r="O162" i="4"/>
  <c r="L162" i="4"/>
  <c r="O158" i="4"/>
  <c r="L158" i="4"/>
  <c r="O157" i="4"/>
  <c r="L157" i="4"/>
  <c r="O156" i="4"/>
  <c r="L156" i="4"/>
  <c r="O155" i="4"/>
  <c r="L155" i="4"/>
  <c r="O154" i="4"/>
  <c r="L154" i="4"/>
  <c r="O153" i="4"/>
  <c r="L153" i="4"/>
  <c r="O152" i="4"/>
  <c r="L152" i="4"/>
  <c r="I201" i="4"/>
  <c r="H200" i="4"/>
  <c r="I200" i="4" s="1"/>
  <c r="H199" i="4"/>
  <c r="I199" i="4" s="1"/>
  <c r="H198" i="4"/>
  <c r="I198" i="4" s="1"/>
  <c r="H197" i="4"/>
  <c r="I197" i="4" s="1"/>
  <c r="H196" i="4"/>
  <c r="I196" i="4" s="1"/>
  <c r="H195" i="4"/>
  <c r="I195" i="4" s="1"/>
  <c r="H194" i="4"/>
  <c r="I194" i="4" s="1"/>
  <c r="H193" i="4"/>
  <c r="I193" i="4" s="1"/>
  <c r="H192" i="4"/>
  <c r="I192" i="4" s="1"/>
  <c r="H191" i="4"/>
  <c r="I191" i="4" s="1"/>
  <c r="H190" i="4"/>
  <c r="I190" i="4" s="1"/>
  <c r="H189" i="4"/>
  <c r="I189" i="4" s="1"/>
  <c r="H188" i="4"/>
  <c r="I188" i="4" s="1"/>
  <c r="H187" i="4"/>
  <c r="I187" i="4" s="1"/>
  <c r="H186" i="4"/>
  <c r="I186" i="4" s="1"/>
  <c r="H185" i="4"/>
  <c r="I185" i="4" s="1"/>
  <c r="H184" i="4"/>
  <c r="I184" i="4" s="1"/>
  <c r="H183" i="4"/>
  <c r="I183" i="4" s="1"/>
  <c r="H182" i="4"/>
  <c r="I182" i="4" s="1"/>
  <c r="H181" i="4"/>
  <c r="I181" i="4" s="1"/>
  <c r="H180" i="4"/>
  <c r="I180" i="4" s="1"/>
  <c r="H179" i="4"/>
  <c r="I179" i="4" s="1"/>
  <c r="H178" i="4"/>
  <c r="I178" i="4" s="1"/>
  <c r="H177" i="4"/>
  <c r="I177" i="4" s="1"/>
  <c r="H176" i="4"/>
  <c r="I176" i="4" s="1"/>
  <c r="H174" i="4"/>
  <c r="I174" i="4" s="1"/>
  <c r="H173" i="4"/>
  <c r="I173" i="4" s="1"/>
  <c r="H172" i="4"/>
  <c r="I172" i="4" s="1"/>
  <c r="H171" i="4"/>
  <c r="I171" i="4" s="1"/>
  <c r="H170" i="4"/>
  <c r="I170" i="4" s="1"/>
  <c r="H169" i="4"/>
  <c r="I169" i="4" s="1"/>
  <c r="H168" i="4"/>
  <c r="I168" i="4" s="1"/>
  <c r="H167" i="4"/>
  <c r="I167" i="4" s="1"/>
  <c r="H166" i="4"/>
  <c r="I166" i="4" s="1"/>
  <c r="H165" i="4"/>
  <c r="I165" i="4" s="1"/>
  <c r="H164" i="4"/>
  <c r="I164" i="4" s="1"/>
  <c r="H163" i="4"/>
  <c r="I163" i="4" s="1"/>
  <c r="H162" i="4"/>
  <c r="I162" i="4" s="1"/>
  <c r="H158" i="4"/>
  <c r="I158" i="4" s="1"/>
  <c r="H157" i="4"/>
  <c r="I157" i="4" s="1"/>
  <c r="H156" i="4"/>
  <c r="I156" i="4" s="1"/>
  <c r="H155" i="4"/>
  <c r="I155" i="4" s="1"/>
  <c r="H154" i="4"/>
  <c r="I154" i="4" s="1"/>
  <c r="H153" i="4"/>
  <c r="I153" i="4" s="1"/>
  <c r="H152" i="4"/>
  <c r="I152" i="4" s="1"/>
  <c r="H151" i="4"/>
  <c r="Q30" i="6"/>
  <c r="Q29" i="6"/>
  <c r="Q28" i="6"/>
  <c r="Q27" i="6"/>
  <c r="Q26" i="6"/>
  <c r="Q25" i="6"/>
  <c r="Q24" i="6"/>
  <c r="Q23" i="6"/>
  <c r="Q22" i="6"/>
  <c r="Q21" i="6"/>
  <c r="Q20" i="6"/>
  <c r="Q19" i="6"/>
  <c r="Q18" i="6"/>
  <c r="Q17" i="6"/>
  <c r="Q16" i="6"/>
  <c r="Q15" i="6"/>
  <c r="Q14" i="6"/>
  <c r="Q13" i="6"/>
  <c r="Q12" i="6"/>
  <c r="Q11" i="6"/>
  <c r="Q10" i="6"/>
  <c r="Q9" i="6"/>
  <c r="Q8" i="6"/>
  <c r="Q7" i="6"/>
  <c r="Q6" i="6"/>
  <c r="Q5" i="6"/>
  <c r="Q4" i="6"/>
  <c r="Q3" i="6"/>
  <c r="J26" i="11"/>
  <c r="N11" i="11"/>
  <c r="O5" i="11"/>
  <c r="O6" i="11"/>
  <c r="O7" i="11"/>
  <c r="O8" i="11"/>
  <c r="O9" i="11"/>
  <c r="P11" i="11"/>
  <c r="P19" i="11"/>
  <c r="P20" i="11"/>
  <c r="P21" i="11"/>
  <c r="Q11" i="11"/>
  <c r="H14" i="11"/>
  <c r="H15" i="11"/>
  <c r="V157" i="4"/>
  <c r="V164" i="4"/>
  <c r="V170" i="4"/>
  <c r="V169" i="4"/>
  <c r="V167" i="4"/>
  <c r="V166" i="4"/>
  <c r="V163" i="4"/>
  <c r="V162" i="4"/>
  <c r="V158" i="4"/>
  <c r="V155" i="4"/>
  <c r="V154" i="4"/>
  <c r="V153" i="4"/>
  <c r="V152" i="4"/>
  <c r="V201" i="4"/>
  <c r="V151" i="4"/>
  <c r="O151" i="4"/>
  <c r="L151" i="4"/>
  <c r="I151" i="4"/>
  <c r="V156" i="4"/>
  <c r="K210" i="3"/>
  <c r="K209" i="3"/>
  <c r="K192" i="3"/>
  <c r="K199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3" i="3"/>
  <c r="K212" i="3"/>
  <c r="K211" i="3"/>
  <c r="K208" i="3"/>
  <c r="K207" i="3"/>
  <c r="K206" i="3"/>
  <c r="K205" i="3"/>
  <c r="K204" i="3"/>
  <c r="K203" i="3"/>
  <c r="K201" i="3"/>
  <c r="K200" i="3"/>
  <c r="K198" i="3"/>
  <c r="K197" i="3"/>
  <c r="K196" i="3"/>
  <c r="K195" i="3"/>
  <c r="K194" i="3"/>
  <c r="K193" i="3"/>
  <c r="K190" i="3"/>
  <c r="K189" i="3"/>
  <c r="K188" i="3"/>
  <c r="K187" i="3"/>
  <c r="K186" i="3"/>
  <c r="K191" i="3"/>
  <c r="I9" i="11"/>
  <c r="I8" i="11"/>
  <c r="I7" i="11"/>
  <c r="H9" i="11"/>
  <c r="H8" i="11"/>
  <c r="H7" i="11"/>
  <c r="H13" i="11"/>
  <c r="I15" i="11"/>
  <c r="I14" i="11"/>
  <c r="I13" i="11"/>
  <c r="AH3008" i="1"/>
  <c r="AG3008" i="1"/>
  <c r="AH3007" i="1"/>
  <c r="AG3007" i="1"/>
  <c r="AH3006" i="1"/>
  <c r="AG3006" i="1"/>
  <c r="AH3005" i="1"/>
  <c r="AG3005" i="1"/>
  <c r="AH3004" i="1"/>
  <c r="AG3004" i="1"/>
  <c r="AH3003" i="1"/>
  <c r="AG3003" i="1"/>
  <c r="AH3002" i="1"/>
  <c r="AG3002" i="1"/>
  <c r="O55" i="6"/>
  <c r="R55" i="6" s="1"/>
  <c r="O54" i="6"/>
  <c r="R54" i="6" s="1"/>
  <c r="O53" i="6"/>
  <c r="R53" i="6" s="1"/>
  <c r="O52" i="6"/>
  <c r="R52" i="6" s="1"/>
  <c r="O51" i="6"/>
  <c r="R51" i="6" s="1"/>
  <c r="O50" i="6"/>
  <c r="R50" i="6" s="1"/>
  <c r="O49" i="6"/>
  <c r="R49" i="6" s="1"/>
  <c r="O48" i="6"/>
  <c r="R48" i="6" s="1"/>
  <c r="O47" i="6"/>
  <c r="R47" i="6" s="1"/>
  <c r="O46" i="6"/>
  <c r="R46" i="6" s="1"/>
  <c r="O45" i="6"/>
  <c r="R45" i="6" s="1"/>
  <c r="O44" i="6"/>
  <c r="R44" i="6" s="1"/>
  <c r="O43" i="6"/>
  <c r="R43" i="6" s="1"/>
  <c r="O42" i="6"/>
  <c r="R42" i="6" s="1"/>
  <c r="O41" i="6"/>
  <c r="R41" i="6" s="1"/>
  <c r="O40" i="6"/>
  <c r="R40" i="6" s="1"/>
  <c r="O39" i="6"/>
  <c r="R39" i="6" s="1"/>
  <c r="O38" i="6"/>
  <c r="R38" i="6" s="1"/>
  <c r="O37" i="6"/>
  <c r="R37" i="6" s="1"/>
  <c r="O36" i="6"/>
  <c r="R36" i="6" s="1"/>
  <c r="O35" i="6"/>
  <c r="R35" i="6" s="1"/>
  <c r="O34" i="6"/>
  <c r="R34" i="6" s="1"/>
  <c r="O33" i="6"/>
  <c r="R33" i="6" s="1"/>
  <c r="O32" i="6"/>
  <c r="R32" i="6" s="1"/>
  <c r="O31" i="6"/>
  <c r="R31" i="6" s="1"/>
  <c r="O30" i="6"/>
  <c r="O29" i="6"/>
  <c r="O28" i="6"/>
  <c r="O27" i="6"/>
  <c r="O26" i="6"/>
  <c r="O25" i="6"/>
  <c r="O24" i="6"/>
  <c r="R21" i="11"/>
  <c r="R20" i="11"/>
  <c r="R19" i="11"/>
  <c r="Q23" i="11" s="1"/>
  <c r="I16" i="11"/>
  <c r="H16" i="11"/>
  <c r="I10" i="11"/>
  <c r="H10" i="11"/>
  <c r="D10" i="11"/>
  <c r="C10" i="11"/>
  <c r="V118" i="4"/>
  <c r="O118" i="4"/>
  <c r="L118" i="4"/>
  <c r="I118" i="4"/>
  <c r="V108" i="4"/>
  <c r="O108" i="4"/>
  <c r="L108" i="4"/>
  <c r="I108" i="4"/>
  <c r="AH3001" i="1"/>
  <c r="AG3001" i="1"/>
  <c r="AH3000" i="1"/>
  <c r="AG3000" i="1"/>
  <c r="AH2999" i="1"/>
  <c r="AG2999" i="1"/>
  <c r="O130" i="4"/>
  <c r="L130" i="4"/>
  <c r="I130" i="4"/>
  <c r="V115" i="4"/>
  <c r="O115" i="4"/>
  <c r="L115" i="4"/>
  <c r="I115" i="4"/>
  <c r="V149" i="4"/>
  <c r="O149" i="4"/>
  <c r="L149" i="4"/>
  <c r="I149" i="4"/>
  <c r="V148" i="4"/>
  <c r="O148" i="4"/>
  <c r="L148" i="4"/>
  <c r="I148" i="4"/>
  <c r="V147" i="4"/>
  <c r="O147" i="4"/>
  <c r="L147" i="4"/>
  <c r="I147" i="4"/>
  <c r="V146" i="4"/>
  <c r="O146" i="4"/>
  <c r="L146" i="4"/>
  <c r="I146" i="4"/>
  <c r="V145" i="4"/>
  <c r="O145" i="4"/>
  <c r="L145" i="4"/>
  <c r="I145" i="4"/>
  <c r="V144" i="4"/>
  <c r="O144" i="4"/>
  <c r="L144" i="4"/>
  <c r="I144" i="4"/>
  <c r="V143" i="4"/>
  <c r="O143" i="4"/>
  <c r="L143" i="4"/>
  <c r="I143" i="4"/>
  <c r="V142" i="4"/>
  <c r="O142" i="4"/>
  <c r="L142" i="4"/>
  <c r="I142" i="4"/>
  <c r="O141" i="4"/>
  <c r="L141" i="4"/>
  <c r="I141" i="4"/>
  <c r="O140" i="4"/>
  <c r="L140" i="4"/>
  <c r="I140" i="4"/>
  <c r="O139" i="4"/>
  <c r="L139" i="4"/>
  <c r="I139" i="4"/>
  <c r="O138" i="4"/>
  <c r="L138" i="4"/>
  <c r="I138" i="4"/>
  <c r="O137" i="4"/>
  <c r="L137" i="4"/>
  <c r="I137" i="4"/>
  <c r="O136" i="4"/>
  <c r="L136" i="4"/>
  <c r="I136" i="4"/>
  <c r="O135" i="4"/>
  <c r="L135" i="4"/>
  <c r="I135" i="4"/>
  <c r="O134" i="4"/>
  <c r="L134" i="4"/>
  <c r="I134" i="4"/>
  <c r="O133" i="4"/>
  <c r="L133" i="4"/>
  <c r="I133" i="4"/>
  <c r="O132" i="4"/>
  <c r="L132" i="4"/>
  <c r="I132" i="4"/>
  <c r="O131" i="4"/>
  <c r="L131" i="4"/>
  <c r="I131" i="4"/>
  <c r="O128" i="4"/>
  <c r="L128" i="4"/>
  <c r="I128" i="4"/>
  <c r="O127" i="4"/>
  <c r="L127" i="4"/>
  <c r="I127" i="4"/>
  <c r="O126" i="4"/>
  <c r="L126" i="4"/>
  <c r="I126" i="4"/>
  <c r="O125" i="4"/>
  <c r="L125" i="4"/>
  <c r="I125" i="4"/>
  <c r="O129" i="4"/>
  <c r="L129" i="4"/>
  <c r="I129" i="4"/>
  <c r="O124" i="4"/>
  <c r="L124" i="4"/>
  <c r="I124" i="4"/>
  <c r="O121" i="4"/>
  <c r="L121" i="4"/>
  <c r="I121" i="4"/>
  <c r="O123" i="4"/>
  <c r="L123" i="4"/>
  <c r="I123" i="4"/>
  <c r="O122" i="4"/>
  <c r="L122" i="4"/>
  <c r="I122" i="4"/>
  <c r="V120" i="4"/>
  <c r="O120" i="4"/>
  <c r="L120" i="4"/>
  <c r="I120" i="4"/>
  <c r="V119" i="4"/>
  <c r="O119" i="4"/>
  <c r="L119" i="4"/>
  <c r="I119" i="4"/>
  <c r="V117" i="4"/>
  <c r="O117" i="4"/>
  <c r="L117" i="4"/>
  <c r="I117" i="4"/>
  <c r="V116" i="4"/>
  <c r="O116" i="4"/>
  <c r="L116" i="4"/>
  <c r="I116" i="4"/>
  <c r="V114" i="4"/>
  <c r="O114" i="4"/>
  <c r="L114" i="4"/>
  <c r="I114" i="4"/>
  <c r="V113" i="4"/>
  <c r="O113" i="4"/>
  <c r="L113" i="4"/>
  <c r="I113" i="4"/>
  <c r="V112" i="4"/>
  <c r="O112" i="4"/>
  <c r="L112" i="4"/>
  <c r="I112" i="4"/>
  <c r="V111" i="4"/>
  <c r="O111" i="4"/>
  <c r="L111" i="4"/>
  <c r="I111" i="4"/>
  <c r="V110" i="4"/>
  <c r="O110" i="4"/>
  <c r="L110" i="4"/>
  <c r="I110" i="4"/>
  <c r="V109" i="4"/>
  <c r="O109" i="4"/>
  <c r="L109" i="4"/>
  <c r="I109" i="4"/>
  <c r="V107" i="4"/>
  <c r="O107" i="4"/>
  <c r="L107" i="4"/>
  <c r="I107" i="4"/>
  <c r="V106" i="4"/>
  <c r="O106" i="4"/>
  <c r="L106" i="4"/>
  <c r="I106" i="4"/>
  <c r="V105" i="4"/>
  <c r="O105" i="4"/>
  <c r="L105" i="4"/>
  <c r="I105" i="4"/>
  <c r="V104" i="4"/>
  <c r="O104" i="4"/>
  <c r="L104" i="4"/>
  <c r="I104" i="4"/>
  <c r="V150" i="4"/>
  <c r="O150" i="4"/>
  <c r="L150" i="4"/>
  <c r="I150" i="4"/>
  <c r="V103" i="4"/>
  <c r="O103" i="4"/>
  <c r="L103" i="4"/>
  <c r="I103" i="4"/>
  <c r="V102" i="4"/>
  <c r="O102" i="4"/>
  <c r="L102" i="4"/>
  <c r="I102" i="4"/>
  <c r="V101" i="4"/>
  <c r="O101" i="4"/>
  <c r="L101" i="4"/>
  <c r="I101" i="4"/>
  <c r="K138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2" i="3"/>
  <c r="K151" i="3"/>
  <c r="K150" i="3"/>
  <c r="K148" i="3"/>
  <c r="K153" i="3"/>
  <c r="K147" i="3"/>
  <c r="K146" i="3"/>
  <c r="K145" i="3"/>
  <c r="K144" i="3"/>
  <c r="K143" i="3"/>
  <c r="K142" i="3"/>
  <c r="K141" i="3"/>
  <c r="K140" i="3"/>
  <c r="K139" i="3"/>
  <c r="K137" i="3"/>
  <c r="K136" i="3"/>
  <c r="K135" i="3"/>
  <c r="K134" i="3"/>
  <c r="K133" i="3"/>
  <c r="K130" i="3"/>
  <c r="K129" i="3"/>
  <c r="K128" i="3"/>
  <c r="K127" i="3"/>
  <c r="K126" i="3"/>
  <c r="K125" i="3"/>
  <c r="K132" i="3"/>
  <c r="AH2998" i="1"/>
  <c r="AG2998" i="1"/>
  <c r="AH2997" i="1"/>
  <c r="AG2997" i="1"/>
  <c r="AH2996" i="1"/>
  <c r="AG2996" i="1"/>
  <c r="AH2995" i="1"/>
  <c r="AG2995" i="1"/>
  <c r="AH2994" i="1"/>
  <c r="AG2994" i="1"/>
  <c r="AH2993" i="1"/>
  <c r="AG2993" i="1"/>
  <c r="AH2992" i="1"/>
  <c r="AG2992" i="1"/>
  <c r="AH2991" i="1"/>
  <c r="AG2991" i="1"/>
  <c r="AH2990" i="1"/>
  <c r="AG2990" i="1"/>
  <c r="AH2989" i="1"/>
  <c r="AG2989" i="1"/>
  <c r="AH2988" i="1"/>
  <c r="AG2988" i="1"/>
  <c r="AH2987" i="1"/>
  <c r="AG2987" i="1"/>
  <c r="AH2986" i="1"/>
  <c r="AG2986" i="1"/>
  <c r="AH2985" i="1"/>
  <c r="AG2985" i="1"/>
  <c r="AH2984" i="1"/>
  <c r="AG2984" i="1"/>
  <c r="AH2983" i="1"/>
  <c r="AG2983" i="1"/>
  <c r="AH2982" i="1"/>
  <c r="AG2982" i="1"/>
  <c r="AH2981" i="1"/>
  <c r="AG2981" i="1"/>
  <c r="AH2980" i="1"/>
  <c r="AG2980" i="1"/>
  <c r="AH2979" i="1"/>
  <c r="AG2979" i="1"/>
  <c r="AH2978" i="1"/>
  <c r="AG2978" i="1"/>
  <c r="AH2977" i="1"/>
  <c r="AG2977" i="1"/>
  <c r="AH2976" i="1"/>
  <c r="AG2976" i="1"/>
  <c r="AH2975" i="1"/>
  <c r="AG2975" i="1"/>
  <c r="AH2974" i="1"/>
  <c r="AG2974" i="1"/>
  <c r="AH2973" i="1"/>
  <c r="AG2973" i="1"/>
  <c r="AH2972" i="1"/>
  <c r="AG2972" i="1"/>
  <c r="AH2971" i="1"/>
  <c r="AG2971" i="1"/>
  <c r="AH2970" i="1"/>
  <c r="AG2970" i="1"/>
  <c r="AH2969" i="1"/>
  <c r="AG2969" i="1"/>
  <c r="AH2968" i="1"/>
  <c r="AG2968" i="1"/>
  <c r="AH2967" i="1"/>
  <c r="AG2967" i="1"/>
  <c r="AH2966" i="1"/>
  <c r="AG2966" i="1"/>
  <c r="AH2965" i="1"/>
  <c r="AG2965" i="1"/>
  <c r="AH2964" i="1"/>
  <c r="AG2964" i="1"/>
  <c r="AH2963" i="1"/>
  <c r="AG2963" i="1"/>
  <c r="AH2962" i="1"/>
  <c r="AG2962" i="1"/>
  <c r="AH2961" i="1"/>
  <c r="AG2961" i="1"/>
  <c r="AH2960" i="1"/>
  <c r="AG2960" i="1"/>
  <c r="AH2959" i="1"/>
  <c r="AG2959" i="1"/>
  <c r="AH2958" i="1"/>
  <c r="AG2958" i="1"/>
  <c r="AH2957" i="1"/>
  <c r="AG2957" i="1"/>
  <c r="AH2956" i="1"/>
  <c r="AG2956" i="1"/>
  <c r="AH2955" i="1"/>
  <c r="AG2955" i="1"/>
  <c r="AH2954" i="1"/>
  <c r="AG2954" i="1"/>
  <c r="AH2953" i="1"/>
  <c r="AG2953" i="1"/>
  <c r="AH2952" i="1"/>
  <c r="AG2952" i="1"/>
  <c r="AH2951" i="1"/>
  <c r="AG2951" i="1"/>
  <c r="AH2950" i="1"/>
  <c r="AG2950" i="1"/>
  <c r="AH2949" i="1"/>
  <c r="AG2949" i="1"/>
  <c r="AH2948" i="1"/>
  <c r="AG2948" i="1"/>
  <c r="AH2947" i="1"/>
  <c r="AG2947" i="1"/>
  <c r="AH2946" i="1"/>
  <c r="AG2946" i="1"/>
  <c r="AH2945" i="1"/>
  <c r="AG2945" i="1"/>
  <c r="AH2944" i="1"/>
  <c r="AG2944" i="1"/>
  <c r="AH2943" i="1"/>
  <c r="AG2943" i="1"/>
  <c r="AH2942" i="1"/>
  <c r="AG2942" i="1"/>
  <c r="AH2941" i="1"/>
  <c r="AG2941" i="1"/>
  <c r="AH2940" i="1"/>
  <c r="AG2940" i="1"/>
  <c r="AH2939" i="1"/>
  <c r="AG2939" i="1"/>
  <c r="AH2938" i="1"/>
  <c r="AG2938" i="1"/>
  <c r="AH2937" i="1"/>
  <c r="AG2937" i="1"/>
  <c r="AH2936" i="1"/>
  <c r="AG2936" i="1"/>
  <c r="AH2935" i="1"/>
  <c r="AG2935" i="1"/>
  <c r="AH2934" i="1"/>
  <c r="AG2934" i="1"/>
  <c r="AH2933" i="1"/>
  <c r="AG2933" i="1"/>
  <c r="AH2932" i="1"/>
  <c r="AG2932" i="1"/>
  <c r="AH2931" i="1"/>
  <c r="AG2931" i="1"/>
  <c r="AH2930" i="1"/>
  <c r="AG2930" i="1"/>
  <c r="AH2929" i="1"/>
  <c r="AG2929" i="1"/>
  <c r="AH2928" i="1"/>
  <c r="AG2928" i="1"/>
  <c r="AH2927" i="1"/>
  <c r="AG2927" i="1"/>
  <c r="AH2926" i="1"/>
  <c r="AG2926" i="1"/>
  <c r="AH2925" i="1"/>
  <c r="AG2925" i="1"/>
  <c r="AH2924" i="1"/>
  <c r="AG2924" i="1"/>
  <c r="AH2923" i="1"/>
  <c r="AG2923" i="1"/>
  <c r="AH2922" i="1"/>
  <c r="AG2922" i="1"/>
  <c r="AH2921" i="1"/>
  <c r="AG2921" i="1"/>
  <c r="AH2920" i="1"/>
  <c r="AG2920" i="1"/>
  <c r="AH2919" i="1"/>
  <c r="AG2919" i="1"/>
  <c r="AH2918" i="1"/>
  <c r="AG2918" i="1"/>
  <c r="AH2917" i="1"/>
  <c r="AG2917" i="1"/>
  <c r="AH2916" i="1"/>
  <c r="AG2916" i="1"/>
  <c r="AH2915" i="1"/>
  <c r="AG2915" i="1"/>
  <c r="AH2914" i="1"/>
  <c r="AG2914" i="1"/>
  <c r="AH2913" i="1"/>
  <c r="AG2913" i="1"/>
  <c r="AH2912" i="1"/>
  <c r="AG2912" i="1"/>
  <c r="AH2911" i="1"/>
  <c r="AG2911" i="1"/>
  <c r="AH2910" i="1"/>
  <c r="AG2910" i="1"/>
  <c r="AH2909" i="1"/>
  <c r="AG2909" i="1"/>
  <c r="AH2908" i="1"/>
  <c r="AG2908" i="1"/>
  <c r="AH2907" i="1"/>
  <c r="AG2907" i="1"/>
  <c r="AH2906" i="1"/>
  <c r="AG2906" i="1"/>
  <c r="AH2905" i="1"/>
  <c r="AG2905" i="1"/>
  <c r="AH2904" i="1"/>
  <c r="AG2904" i="1"/>
  <c r="AH2903" i="1"/>
  <c r="AG2903" i="1"/>
  <c r="AH2902" i="1"/>
  <c r="AG2902" i="1"/>
  <c r="AH2901" i="1"/>
  <c r="AG2901" i="1"/>
  <c r="AH2900" i="1"/>
  <c r="AG2900" i="1"/>
  <c r="AH2899" i="1"/>
  <c r="AG2899" i="1"/>
  <c r="AH2898" i="1"/>
  <c r="AG2898" i="1"/>
  <c r="AH2897" i="1"/>
  <c r="AG2897" i="1"/>
  <c r="AH2896" i="1"/>
  <c r="AG2896" i="1"/>
  <c r="AH2895" i="1"/>
  <c r="AG2895" i="1"/>
  <c r="AH2894" i="1"/>
  <c r="AG2894" i="1"/>
  <c r="AH2893" i="1"/>
  <c r="AG2893" i="1"/>
  <c r="AH2892" i="1"/>
  <c r="AG2892" i="1"/>
  <c r="AH2891" i="1"/>
  <c r="AG2891" i="1"/>
  <c r="AH2890" i="1"/>
  <c r="AG2890" i="1"/>
  <c r="AH2889" i="1"/>
  <c r="AG2889" i="1"/>
  <c r="AH2888" i="1"/>
  <c r="AG2888" i="1"/>
  <c r="AH2887" i="1"/>
  <c r="AG2887" i="1"/>
  <c r="AH2886" i="1"/>
  <c r="AG2886" i="1"/>
  <c r="AH2885" i="1"/>
  <c r="AG2885" i="1"/>
  <c r="AH2884" i="1"/>
  <c r="AG2884" i="1"/>
  <c r="AH2883" i="1"/>
  <c r="AG2883" i="1"/>
  <c r="AH2882" i="1"/>
  <c r="AG2882" i="1"/>
  <c r="AH2881" i="1"/>
  <c r="AG2881" i="1"/>
  <c r="AH2880" i="1"/>
  <c r="AG2880" i="1"/>
  <c r="AH2879" i="1"/>
  <c r="AG2879" i="1"/>
  <c r="AH2878" i="1"/>
  <c r="AG2878" i="1"/>
  <c r="AH2877" i="1"/>
  <c r="AG2877" i="1"/>
  <c r="AH2876" i="1"/>
  <c r="AG2876" i="1"/>
  <c r="AH2875" i="1"/>
  <c r="AG2875" i="1"/>
  <c r="AH2874" i="1"/>
  <c r="AG2874" i="1"/>
  <c r="AH2873" i="1"/>
  <c r="AG2873" i="1"/>
  <c r="AH2872" i="1"/>
  <c r="AG2872" i="1"/>
  <c r="AH2871" i="1"/>
  <c r="AG2871" i="1"/>
  <c r="AH2870" i="1"/>
  <c r="AG2870" i="1"/>
  <c r="AH2869" i="1"/>
  <c r="AG2869" i="1"/>
  <c r="AH2868" i="1"/>
  <c r="AG2868" i="1"/>
  <c r="AH2867" i="1"/>
  <c r="AG2867" i="1"/>
  <c r="AH2866" i="1"/>
  <c r="AG2866" i="1"/>
  <c r="AH2865" i="1"/>
  <c r="AG2865" i="1"/>
  <c r="AH2864" i="1"/>
  <c r="AG2864" i="1"/>
  <c r="AH2863" i="1"/>
  <c r="AG2863" i="1"/>
  <c r="AH2862" i="1"/>
  <c r="AG2862" i="1"/>
  <c r="AH2861" i="1"/>
  <c r="AG2861" i="1"/>
  <c r="AH2860" i="1"/>
  <c r="AG2860" i="1"/>
  <c r="AH2859" i="1"/>
  <c r="AG2859" i="1"/>
  <c r="AH2858" i="1"/>
  <c r="AG2858" i="1"/>
  <c r="AH2857" i="1"/>
  <c r="AG2857" i="1"/>
  <c r="AH2856" i="1"/>
  <c r="AG2856" i="1"/>
  <c r="AH2855" i="1"/>
  <c r="AG2855" i="1"/>
  <c r="AH2854" i="1"/>
  <c r="AG2854" i="1"/>
  <c r="AH2853" i="1"/>
  <c r="AG2853" i="1"/>
  <c r="AH2852" i="1"/>
  <c r="AG2852" i="1"/>
  <c r="AH2851" i="1"/>
  <c r="AG2851" i="1"/>
  <c r="AH2850" i="1"/>
  <c r="AG2850" i="1"/>
  <c r="AH2849" i="1"/>
  <c r="AG2849" i="1"/>
  <c r="AH2848" i="1"/>
  <c r="AG2848" i="1"/>
  <c r="AH2847" i="1"/>
  <c r="AG2847" i="1"/>
  <c r="AH2846" i="1"/>
  <c r="AG2846" i="1"/>
  <c r="AH2845" i="1"/>
  <c r="AG2845" i="1"/>
  <c r="AH2844" i="1"/>
  <c r="AG2844" i="1"/>
  <c r="AH2843" i="1"/>
  <c r="AG2843" i="1"/>
  <c r="AH2842" i="1"/>
  <c r="AG2842" i="1"/>
  <c r="AH2841" i="1"/>
  <c r="AG2841" i="1"/>
  <c r="AH2840" i="1"/>
  <c r="AG2840" i="1"/>
  <c r="AH2839" i="1"/>
  <c r="AG2839" i="1"/>
  <c r="AH2838" i="1"/>
  <c r="AG2838" i="1"/>
  <c r="AH2837" i="1"/>
  <c r="AG2837" i="1"/>
  <c r="AH2836" i="1"/>
  <c r="AG2836" i="1"/>
  <c r="AH2835" i="1"/>
  <c r="AG2835" i="1"/>
  <c r="AH2834" i="1"/>
  <c r="AG2834" i="1"/>
  <c r="AH2833" i="1"/>
  <c r="AG2833" i="1"/>
  <c r="AH2832" i="1"/>
  <c r="AG2832" i="1"/>
  <c r="AH2831" i="1"/>
  <c r="AG2831" i="1"/>
  <c r="AH2830" i="1"/>
  <c r="AG2830" i="1"/>
  <c r="AH2829" i="1"/>
  <c r="AG2829" i="1"/>
  <c r="AH2828" i="1"/>
  <c r="AG2828" i="1"/>
  <c r="AH2827" i="1"/>
  <c r="AG2827" i="1"/>
  <c r="AH2826" i="1"/>
  <c r="AG2826" i="1"/>
  <c r="AH2825" i="1"/>
  <c r="AG2825" i="1"/>
  <c r="AH2824" i="1"/>
  <c r="AG2824" i="1"/>
  <c r="AH2823" i="1"/>
  <c r="AG2823" i="1"/>
  <c r="AH2822" i="1"/>
  <c r="AG2822" i="1"/>
  <c r="AH2821" i="1"/>
  <c r="AG2821" i="1"/>
  <c r="AH2820" i="1"/>
  <c r="AG2820" i="1"/>
  <c r="AH2819" i="1"/>
  <c r="AG2819" i="1"/>
  <c r="AH2818" i="1"/>
  <c r="AG2818" i="1"/>
  <c r="AH2817" i="1"/>
  <c r="AG2817" i="1"/>
  <c r="AH2816" i="1"/>
  <c r="AG2816" i="1"/>
  <c r="AH2815" i="1"/>
  <c r="AG2815" i="1"/>
  <c r="AH2814" i="1"/>
  <c r="AG2814" i="1"/>
  <c r="AH2813" i="1"/>
  <c r="AG2813" i="1"/>
  <c r="AH2812" i="1"/>
  <c r="AG2812" i="1"/>
  <c r="AH2811" i="1"/>
  <c r="AG2811" i="1"/>
  <c r="AH2810" i="1"/>
  <c r="AG2810" i="1"/>
  <c r="AH2809" i="1"/>
  <c r="AG2809" i="1"/>
  <c r="AH2808" i="1"/>
  <c r="AG2808" i="1"/>
  <c r="AH2807" i="1"/>
  <c r="AG2807" i="1"/>
  <c r="AH2806" i="1"/>
  <c r="AG2806" i="1"/>
  <c r="AH2805" i="1"/>
  <c r="AG2805" i="1"/>
  <c r="AH2804" i="1"/>
  <c r="AG2804" i="1"/>
  <c r="AH2803" i="1"/>
  <c r="AG2803" i="1"/>
  <c r="AH2802" i="1"/>
  <c r="AG2802" i="1"/>
  <c r="AH2801" i="1"/>
  <c r="AG2801" i="1"/>
  <c r="AH2800" i="1"/>
  <c r="AG2800" i="1"/>
  <c r="AH2799" i="1"/>
  <c r="AG2799" i="1"/>
  <c r="AH2798" i="1"/>
  <c r="AG2798" i="1"/>
  <c r="AH2797" i="1"/>
  <c r="AG2797" i="1"/>
  <c r="AH2796" i="1"/>
  <c r="AG2796" i="1"/>
  <c r="AH2795" i="1"/>
  <c r="AG2795" i="1"/>
  <c r="AH2794" i="1"/>
  <c r="AG2794" i="1"/>
  <c r="AH2793" i="1"/>
  <c r="AG2793" i="1"/>
  <c r="AH2792" i="1"/>
  <c r="AG2792" i="1"/>
  <c r="AH2791" i="1"/>
  <c r="AG2791" i="1"/>
  <c r="AH2790" i="1"/>
  <c r="AG2790" i="1"/>
  <c r="AH2789" i="1"/>
  <c r="AG2789" i="1"/>
  <c r="AH2788" i="1"/>
  <c r="AG2788" i="1"/>
  <c r="AH2787" i="1"/>
  <c r="AG2787" i="1"/>
  <c r="AH2786" i="1"/>
  <c r="AG2786" i="1"/>
  <c r="AH2785" i="1"/>
  <c r="AG2785" i="1"/>
  <c r="AH2784" i="1"/>
  <c r="AG2784" i="1"/>
  <c r="AH2783" i="1"/>
  <c r="AG2783" i="1"/>
  <c r="AH2782" i="1"/>
  <c r="AG2782" i="1"/>
  <c r="AH2781" i="1"/>
  <c r="AG2781" i="1"/>
  <c r="AH2780" i="1"/>
  <c r="AG2780" i="1"/>
  <c r="AH2779" i="1"/>
  <c r="AG2779" i="1"/>
  <c r="AH2778" i="1"/>
  <c r="AG2778" i="1"/>
  <c r="AH2777" i="1"/>
  <c r="AG2777" i="1"/>
  <c r="AH2776" i="1"/>
  <c r="AG2776" i="1"/>
  <c r="AH2775" i="1"/>
  <c r="AG2775" i="1"/>
  <c r="AH2774" i="1"/>
  <c r="AG2774" i="1"/>
  <c r="AH2773" i="1"/>
  <c r="AG2773" i="1"/>
  <c r="AH2772" i="1"/>
  <c r="AG2772" i="1"/>
  <c r="AH2771" i="1"/>
  <c r="AG2771" i="1"/>
  <c r="AH2770" i="1"/>
  <c r="AG2770" i="1"/>
  <c r="AH2769" i="1"/>
  <c r="AG2769" i="1"/>
  <c r="AH2768" i="1"/>
  <c r="AG2768" i="1"/>
  <c r="AH2767" i="1"/>
  <c r="AG2767" i="1"/>
  <c r="AH2766" i="1"/>
  <c r="AG2766" i="1"/>
  <c r="AH2765" i="1"/>
  <c r="AG2765" i="1"/>
  <c r="AH2764" i="1"/>
  <c r="AG2764" i="1"/>
  <c r="AH2763" i="1"/>
  <c r="AG2763" i="1"/>
  <c r="AH2762" i="1"/>
  <c r="AG2762" i="1"/>
  <c r="AH2761" i="1"/>
  <c r="AG2761" i="1"/>
  <c r="AH2760" i="1"/>
  <c r="AG2760" i="1"/>
  <c r="AH2759" i="1"/>
  <c r="AG2759" i="1"/>
  <c r="AH2758" i="1"/>
  <c r="AG2758" i="1"/>
  <c r="AH2757" i="1"/>
  <c r="AG2757" i="1"/>
  <c r="AH2756" i="1"/>
  <c r="AG2756" i="1"/>
  <c r="AH2755" i="1"/>
  <c r="AG2755" i="1"/>
  <c r="AH2754" i="1"/>
  <c r="AG2754" i="1"/>
  <c r="AH2753" i="1"/>
  <c r="AG2753" i="1"/>
  <c r="AH2752" i="1"/>
  <c r="AG2752" i="1"/>
  <c r="AH2751" i="1"/>
  <c r="AG2751" i="1"/>
  <c r="AH2750" i="1"/>
  <c r="AG2750" i="1"/>
  <c r="AH2749" i="1"/>
  <c r="AG2749" i="1"/>
  <c r="AH2748" i="1"/>
  <c r="AG2748" i="1"/>
  <c r="AH2747" i="1"/>
  <c r="AG2747" i="1"/>
  <c r="AH2746" i="1"/>
  <c r="AG2746" i="1"/>
  <c r="AH2745" i="1"/>
  <c r="AG2745" i="1"/>
  <c r="AH2744" i="1"/>
  <c r="AG2744" i="1"/>
  <c r="AH2743" i="1"/>
  <c r="AG2743" i="1"/>
  <c r="AH2742" i="1"/>
  <c r="AG2742" i="1"/>
  <c r="AH2741" i="1"/>
  <c r="AG2741" i="1"/>
  <c r="AH2740" i="1"/>
  <c r="AG2740" i="1"/>
  <c r="AH2739" i="1"/>
  <c r="AG2739" i="1"/>
  <c r="AH2738" i="1"/>
  <c r="AG2738" i="1"/>
  <c r="AH2737" i="1"/>
  <c r="AG2737" i="1"/>
  <c r="AH2736" i="1"/>
  <c r="AG2736" i="1"/>
  <c r="AH2735" i="1"/>
  <c r="AG2735" i="1"/>
  <c r="AH2734" i="1"/>
  <c r="AG2734" i="1"/>
  <c r="AH2733" i="1"/>
  <c r="AG2733" i="1"/>
  <c r="AH2732" i="1"/>
  <c r="AG2732" i="1"/>
  <c r="AH2731" i="1"/>
  <c r="AG2731" i="1"/>
  <c r="AH2730" i="1"/>
  <c r="AG2730" i="1"/>
  <c r="AH2729" i="1"/>
  <c r="AG2729" i="1"/>
  <c r="AH2728" i="1"/>
  <c r="AG2728" i="1"/>
  <c r="AH2727" i="1"/>
  <c r="AG2727" i="1"/>
  <c r="AH2726" i="1"/>
  <c r="AG2726" i="1"/>
  <c r="AH2725" i="1"/>
  <c r="AG2725" i="1"/>
  <c r="AH2724" i="1"/>
  <c r="AG2724" i="1"/>
  <c r="AH2723" i="1"/>
  <c r="AG2723" i="1"/>
  <c r="AH2722" i="1"/>
  <c r="AG2722" i="1"/>
  <c r="AH2721" i="1"/>
  <c r="AG2721" i="1"/>
  <c r="AH2720" i="1"/>
  <c r="AG2720" i="1"/>
  <c r="AH2719" i="1"/>
  <c r="AG2719" i="1"/>
  <c r="AH2718" i="1"/>
  <c r="AG2718" i="1"/>
  <c r="AH2717" i="1"/>
  <c r="AG2717" i="1"/>
  <c r="AH2716" i="1"/>
  <c r="AG2716" i="1"/>
  <c r="AH2715" i="1"/>
  <c r="AG2715" i="1"/>
  <c r="AH2714" i="1"/>
  <c r="AG2714" i="1"/>
  <c r="AH2713" i="1"/>
  <c r="AG2713" i="1"/>
  <c r="AH2712" i="1"/>
  <c r="AG2712" i="1"/>
  <c r="AH2711" i="1"/>
  <c r="AG2711" i="1"/>
  <c r="AH2710" i="1"/>
  <c r="AG2710" i="1"/>
  <c r="AH2709" i="1"/>
  <c r="AG2709" i="1"/>
  <c r="AH2708" i="1"/>
  <c r="AG2708" i="1"/>
  <c r="AH2707" i="1"/>
  <c r="AG2707" i="1"/>
  <c r="AH2706" i="1"/>
  <c r="AG2706" i="1"/>
  <c r="AH2705" i="1"/>
  <c r="AG2705" i="1"/>
  <c r="AH2704" i="1"/>
  <c r="AG2704" i="1"/>
  <c r="AH2703" i="1"/>
  <c r="AG2703" i="1"/>
  <c r="AH2702" i="1"/>
  <c r="AG2702" i="1"/>
  <c r="AH2701" i="1"/>
  <c r="AG2701" i="1"/>
  <c r="AH2700" i="1"/>
  <c r="AG2700" i="1"/>
  <c r="AH2699" i="1"/>
  <c r="AG2699" i="1"/>
  <c r="AH2698" i="1"/>
  <c r="AG2698" i="1"/>
  <c r="AH2697" i="1"/>
  <c r="AG2697" i="1"/>
  <c r="AH2696" i="1"/>
  <c r="AG2696" i="1"/>
  <c r="AH2695" i="1"/>
  <c r="AG2695" i="1"/>
  <c r="AH2694" i="1"/>
  <c r="AG2694" i="1"/>
  <c r="AH2693" i="1"/>
  <c r="AG2693" i="1"/>
  <c r="AH2692" i="1"/>
  <c r="AG2692" i="1"/>
  <c r="AH2691" i="1"/>
  <c r="AG2691" i="1"/>
  <c r="AH2690" i="1"/>
  <c r="AG2690" i="1"/>
  <c r="AH2689" i="1"/>
  <c r="AG2689" i="1"/>
  <c r="AH2688" i="1"/>
  <c r="AG2688" i="1"/>
  <c r="AH2687" i="1"/>
  <c r="AG2687" i="1"/>
  <c r="AH2686" i="1"/>
  <c r="AG2686" i="1"/>
  <c r="AH2685" i="1"/>
  <c r="AG2685" i="1"/>
  <c r="AH2684" i="1"/>
  <c r="AG2684" i="1"/>
  <c r="AH2683" i="1"/>
  <c r="AG2683" i="1"/>
  <c r="AH2682" i="1"/>
  <c r="AG2682" i="1"/>
  <c r="AH2681" i="1"/>
  <c r="AG2681" i="1"/>
  <c r="AH2680" i="1"/>
  <c r="AG2680" i="1"/>
  <c r="AH2679" i="1"/>
  <c r="AG2679" i="1"/>
  <c r="AH2678" i="1"/>
  <c r="AG2678" i="1"/>
  <c r="AH2677" i="1"/>
  <c r="AG2677" i="1"/>
  <c r="AH2676" i="1"/>
  <c r="AG2676" i="1"/>
  <c r="AH2675" i="1"/>
  <c r="AG2675" i="1"/>
  <c r="AH2674" i="1"/>
  <c r="AG2674" i="1"/>
  <c r="AH2673" i="1"/>
  <c r="AG2673" i="1"/>
  <c r="AH2672" i="1"/>
  <c r="AG2672" i="1"/>
  <c r="AH2671" i="1"/>
  <c r="AG2671" i="1"/>
  <c r="AH2670" i="1"/>
  <c r="AG2670" i="1"/>
  <c r="AH2669" i="1"/>
  <c r="AG2669" i="1"/>
  <c r="AH2668" i="1"/>
  <c r="AG2668" i="1"/>
  <c r="AH2667" i="1"/>
  <c r="AG2667" i="1"/>
  <c r="AH2666" i="1"/>
  <c r="AG2666" i="1"/>
  <c r="AH2665" i="1"/>
  <c r="AG2665" i="1"/>
  <c r="AH2664" i="1"/>
  <c r="AG2664" i="1"/>
  <c r="AH2663" i="1"/>
  <c r="AG2663" i="1"/>
  <c r="AH2662" i="1"/>
  <c r="AG2662" i="1"/>
  <c r="AH2661" i="1"/>
  <c r="AG2661" i="1"/>
  <c r="AH2660" i="1"/>
  <c r="AG2660" i="1"/>
  <c r="AH2659" i="1"/>
  <c r="AG2659" i="1"/>
  <c r="AH2658" i="1"/>
  <c r="AG2658" i="1"/>
  <c r="AH2657" i="1"/>
  <c r="AG2657" i="1"/>
  <c r="AH2656" i="1"/>
  <c r="AG2656" i="1"/>
  <c r="AH2655" i="1"/>
  <c r="AG2655" i="1"/>
  <c r="AH2654" i="1"/>
  <c r="AG2654" i="1"/>
  <c r="AH2653" i="1"/>
  <c r="AG2653" i="1"/>
  <c r="AH2652" i="1"/>
  <c r="AG2652" i="1"/>
  <c r="AH2651" i="1"/>
  <c r="AG2651" i="1"/>
  <c r="AH2650" i="1"/>
  <c r="AG2650" i="1"/>
  <c r="AH2649" i="1"/>
  <c r="AG2649" i="1"/>
  <c r="AH2648" i="1"/>
  <c r="AG2648" i="1"/>
  <c r="AH2647" i="1"/>
  <c r="AG2647" i="1"/>
  <c r="AH2646" i="1"/>
  <c r="AG2646" i="1"/>
  <c r="AH2645" i="1"/>
  <c r="AG2645" i="1"/>
  <c r="AH2644" i="1"/>
  <c r="AG2644" i="1"/>
  <c r="AH2643" i="1"/>
  <c r="AG2643" i="1"/>
  <c r="AH2642" i="1"/>
  <c r="AG2642" i="1"/>
  <c r="AH2641" i="1"/>
  <c r="AG2641" i="1"/>
  <c r="AH2640" i="1"/>
  <c r="AG2640" i="1"/>
  <c r="AH2639" i="1"/>
  <c r="AG2639" i="1"/>
  <c r="AH2638" i="1"/>
  <c r="AG2638" i="1"/>
  <c r="AH2637" i="1"/>
  <c r="AG2637" i="1"/>
  <c r="AH2636" i="1"/>
  <c r="AG2636" i="1"/>
  <c r="AH2635" i="1"/>
  <c r="AG2635" i="1"/>
  <c r="AH2634" i="1"/>
  <c r="AG2634" i="1"/>
  <c r="AH2633" i="1"/>
  <c r="AG2633" i="1"/>
  <c r="AH2632" i="1"/>
  <c r="AG2632" i="1"/>
  <c r="AH2631" i="1"/>
  <c r="AG2631" i="1"/>
  <c r="AH2630" i="1"/>
  <c r="AG2630" i="1"/>
  <c r="AH2629" i="1"/>
  <c r="AG2629" i="1"/>
  <c r="AH2628" i="1"/>
  <c r="AG2628" i="1"/>
  <c r="AH2627" i="1"/>
  <c r="AG2627" i="1"/>
  <c r="AH2626" i="1"/>
  <c r="AG2626" i="1"/>
  <c r="AH2625" i="1"/>
  <c r="AG2625" i="1"/>
  <c r="AH2624" i="1"/>
  <c r="AG2624" i="1"/>
  <c r="AH2623" i="1"/>
  <c r="AG2623" i="1"/>
  <c r="AH2622" i="1"/>
  <c r="AG2622" i="1"/>
  <c r="AH2621" i="1"/>
  <c r="AG2621" i="1"/>
  <c r="AH2620" i="1"/>
  <c r="AG2620" i="1"/>
  <c r="AH2619" i="1"/>
  <c r="AG2619" i="1"/>
  <c r="AH2618" i="1"/>
  <c r="AG2618" i="1"/>
  <c r="AH2617" i="1"/>
  <c r="AG2617" i="1"/>
  <c r="AH2616" i="1"/>
  <c r="AG2616" i="1"/>
  <c r="AH2615" i="1"/>
  <c r="AG2615" i="1"/>
  <c r="AH2614" i="1"/>
  <c r="AG2614" i="1"/>
  <c r="AH2613" i="1"/>
  <c r="AG2613" i="1"/>
  <c r="AH2612" i="1"/>
  <c r="AG2612" i="1"/>
  <c r="AH2611" i="1"/>
  <c r="AG2611" i="1"/>
  <c r="AH2610" i="1"/>
  <c r="AG2610" i="1"/>
  <c r="AH2609" i="1"/>
  <c r="AG2609" i="1"/>
  <c r="AH2608" i="1"/>
  <c r="AG2608" i="1"/>
  <c r="AH2607" i="1"/>
  <c r="AG2607" i="1"/>
  <c r="AH2606" i="1"/>
  <c r="AG2606" i="1"/>
  <c r="AH2605" i="1"/>
  <c r="AG2605" i="1"/>
  <c r="AH2604" i="1"/>
  <c r="AG2604" i="1"/>
  <c r="AH2603" i="1"/>
  <c r="AG2603" i="1"/>
  <c r="AH2602" i="1"/>
  <c r="AG2602" i="1"/>
  <c r="AH2601" i="1"/>
  <c r="AG2601" i="1"/>
  <c r="AH2600" i="1"/>
  <c r="AG2600" i="1"/>
  <c r="AH2599" i="1"/>
  <c r="AG2599" i="1"/>
  <c r="AH2598" i="1"/>
  <c r="AG2598" i="1"/>
  <c r="AH2597" i="1"/>
  <c r="AG2597" i="1"/>
  <c r="AH2596" i="1"/>
  <c r="AG2596" i="1"/>
  <c r="AH2595" i="1"/>
  <c r="AG2595" i="1"/>
  <c r="AH2594" i="1"/>
  <c r="AG2594" i="1"/>
  <c r="AH2593" i="1"/>
  <c r="AG2593" i="1"/>
  <c r="AH2592" i="1"/>
  <c r="AG2592" i="1"/>
  <c r="AH2591" i="1"/>
  <c r="AG2591" i="1"/>
  <c r="AH2590" i="1"/>
  <c r="AG2590" i="1"/>
  <c r="AH2589" i="1"/>
  <c r="AG2589" i="1"/>
  <c r="AH2588" i="1"/>
  <c r="AG2588" i="1"/>
  <c r="AH2587" i="1"/>
  <c r="AG2587" i="1"/>
  <c r="AH2586" i="1"/>
  <c r="AG2586" i="1"/>
  <c r="AH2585" i="1"/>
  <c r="AG2585" i="1"/>
  <c r="AH2584" i="1"/>
  <c r="AG2584" i="1"/>
  <c r="AH2583" i="1"/>
  <c r="AG2583" i="1"/>
  <c r="AH2582" i="1"/>
  <c r="AG2582" i="1"/>
  <c r="AH2581" i="1"/>
  <c r="AG2581" i="1"/>
  <c r="AH2580" i="1"/>
  <c r="AG2580" i="1"/>
  <c r="AH2579" i="1"/>
  <c r="AG2579" i="1"/>
  <c r="AH2578" i="1"/>
  <c r="AG2578" i="1"/>
  <c r="AH2577" i="1"/>
  <c r="AG2577" i="1"/>
  <c r="AH2576" i="1"/>
  <c r="AG2576" i="1"/>
  <c r="AH2575" i="1"/>
  <c r="AG2575" i="1"/>
  <c r="AH2574" i="1"/>
  <c r="AG2574" i="1"/>
  <c r="AH2573" i="1"/>
  <c r="AG2573" i="1"/>
  <c r="AH2572" i="1"/>
  <c r="AG2572" i="1"/>
  <c r="AH2571" i="1"/>
  <c r="AG2571" i="1"/>
  <c r="AH2570" i="1"/>
  <c r="AG2570" i="1"/>
  <c r="AH2569" i="1"/>
  <c r="AG2569" i="1"/>
  <c r="AH2568" i="1"/>
  <c r="AG2568" i="1"/>
  <c r="AH2567" i="1"/>
  <c r="AG2567" i="1"/>
  <c r="AH2566" i="1"/>
  <c r="AG2566" i="1"/>
  <c r="AH2565" i="1"/>
  <c r="AG2565" i="1"/>
  <c r="AH2564" i="1"/>
  <c r="AG2564" i="1"/>
  <c r="AH2563" i="1"/>
  <c r="AG2563" i="1"/>
  <c r="AH2562" i="1"/>
  <c r="AG2562" i="1"/>
  <c r="AH2561" i="1"/>
  <c r="AG2561" i="1"/>
  <c r="AH2560" i="1"/>
  <c r="AG2560" i="1"/>
  <c r="AH2559" i="1"/>
  <c r="AG2559" i="1"/>
  <c r="AH2558" i="1"/>
  <c r="AG2558" i="1"/>
  <c r="AH2557" i="1"/>
  <c r="AG2557" i="1"/>
  <c r="AH2556" i="1"/>
  <c r="AG2556" i="1"/>
  <c r="AH2555" i="1"/>
  <c r="AG2555" i="1"/>
  <c r="AH2554" i="1"/>
  <c r="AG2554" i="1"/>
  <c r="AH2553" i="1"/>
  <c r="AG2553" i="1"/>
  <c r="AH2552" i="1"/>
  <c r="AG2552" i="1"/>
  <c r="AH2551" i="1"/>
  <c r="AG2551" i="1"/>
  <c r="AH2550" i="1"/>
  <c r="AG2550" i="1"/>
  <c r="AH2549" i="1"/>
  <c r="AG2549" i="1"/>
  <c r="AH2548" i="1"/>
  <c r="AG2548" i="1"/>
  <c r="AH2547" i="1"/>
  <c r="AG2547" i="1"/>
  <c r="AH2546" i="1"/>
  <c r="AG2546" i="1"/>
  <c r="AH2545" i="1"/>
  <c r="AG2545" i="1"/>
  <c r="AH2544" i="1"/>
  <c r="AG2544" i="1"/>
  <c r="AH2543" i="1"/>
  <c r="AG2543" i="1"/>
  <c r="AH2542" i="1"/>
  <c r="AG2542" i="1"/>
  <c r="AH2541" i="1"/>
  <c r="AG2541" i="1"/>
  <c r="AH2540" i="1"/>
  <c r="AG2540" i="1"/>
  <c r="AH2539" i="1"/>
  <c r="AG2539" i="1"/>
  <c r="AH2538" i="1"/>
  <c r="AG2538" i="1"/>
  <c r="AH2537" i="1"/>
  <c r="AG2537" i="1"/>
  <c r="AH2536" i="1"/>
  <c r="AG2536" i="1"/>
  <c r="AH2535" i="1"/>
  <c r="AG2535" i="1"/>
  <c r="AH2534" i="1"/>
  <c r="AG2534" i="1"/>
  <c r="AH2533" i="1"/>
  <c r="AG2533" i="1"/>
  <c r="AH2532" i="1"/>
  <c r="AG2532" i="1"/>
  <c r="AH2531" i="1"/>
  <c r="AG2531" i="1"/>
  <c r="AH2530" i="1"/>
  <c r="AG2530" i="1"/>
  <c r="AH2529" i="1"/>
  <c r="AG2529" i="1"/>
  <c r="AH2528" i="1"/>
  <c r="AG2528" i="1"/>
  <c r="AH2527" i="1"/>
  <c r="AG2527" i="1"/>
  <c r="AH2526" i="1"/>
  <c r="AG2526" i="1"/>
  <c r="AH2525" i="1"/>
  <c r="AG2525" i="1"/>
  <c r="AH2524" i="1"/>
  <c r="AG2524" i="1"/>
  <c r="AH2523" i="1"/>
  <c r="AG2523" i="1"/>
  <c r="AH2522" i="1"/>
  <c r="AG2522" i="1"/>
  <c r="AH2521" i="1"/>
  <c r="AG2521" i="1"/>
  <c r="AH2520" i="1"/>
  <c r="AG2520" i="1"/>
  <c r="AH2519" i="1"/>
  <c r="AG2519" i="1"/>
  <c r="AH2518" i="1"/>
  <c r="AG2518" i="1"/>
  <c r="AH2517" i="1"/>
  <c r="AG2517" i="1"/>
  <c r="AH2516" i="1"/>
  <c r="AG2516" i="1"/>
  <c r="AH2515" i="1"/>
  <c r="AG2515" i="1"/>
  <c r="AH2514" i="1"/>
  <c r="AG2514" i="1"/>
  <c r="AH2513" i="1"/>
  <c r="AG2513" i="1"/>
  <c r="AH2512" i="1"/>
  <c r="AG2512" i="1"/>
  <c r="AH2511" i="1"/>
  <c r="AG2511" i="1"/>
  <c r="AH2510" i="1"/>
  <c r="AG2510" i="1"/>
  <c r="AH2509" i="1"/>
  <c r="AG2509" i="1"/>
  <c r="AH2508" i="1"/>
  <c r="AG2508" i="1"/>
  <c r="AH2507" i="1"/>
  <c r="AG2507" i="1"/>
  <c r="AH2506" i="1"/>
  <c r="AG2506" i="1"/>
  <c r="AH2505" i="1"/>
  <c r="AG2505" i="1"/>
  <c r="AH2504" i="1"/>
  <c r="AG2504" i="1"/>
  <c r="AH2503" i="1"/>
  <c r="AG2503" i="1"/>
  <c r="AH2502" i="1"/>
  <c r="AG2502" i="1"/>
  <c r="AH2501" i="1"/>
  <c r="AG2501" i="1"/>
  <c r="AH2500" i="1"/>
  <c r="AG2500" i="1"/>
  <c r="AH2499" i="1"/>
  <c r="AG2499" i="1"/>
  <c r="AH2498" i="1"/>
  <c r="AG2498" i="1"/>
  <c r="AH2497" i="1"/>
  <c r="AG2497" i="1"/>
  <c r="AH2496" i="1"/>
  <c r="AG2496" i="1"/>
  <c r="AH2495" i="1"/>
  <c r="AG2495" i="1"/>
  <c r="AH2494" i="1"/>
  <c r="AG2494" i="1"/>
  <c r="AH2493" i="1"/>
  <c r="AG2493" i="1"/>
  <c r="AH2492" i="1"/>
  <c r="AG2492" i="1"/>
  <c r="AH2491" i="1"/>
  <c r="AG2491" i="1"/>
  <c r="AH2490" i="1"/>
  <c r="AG2490" i="1"/>
  <c r="AH2489" i="1"/>
  <c r="AG2489" i="1"/>
  <c r="AH2488" i="1"/>
  <c r="AG2488" i="1"/>
  <c r="AH2487" i="1"/>
  <c r="AG2487" i="1"/>
  <c r="AH2486" i="1"/>
  <c r="AG2486" i="1"/>
  <c r="AH2485" i="1"/>
  <c r="AG2485" i="1"/>
  <c r="AH2484" i="1"/>
  <c r="AG2484" i="1"/>
  <c r="AH2483" i="1"/>
  <c r="AG2483" i="1"/>
  <c r="AH2482" i="1"/>
  <c r="AG2482" i="1"/>
  <c r="AH2481" i="1"/>
  <c r="AG2481" i="1"/>
  <c r="AH2480" i="1"/>
  <c r="AG2480" i="1"/>
  <c r="AH2479" i="1"/>
  <c r="AG2479" i="1"/>
  <c r="AH2478" i="1"/>
  <c r="AG2478" i="1"/>
  <c r="AH2477" i="1"/>
  <c r="AG2477" i="1"/>
  <c r="AH2476" i="1"/>
  <c r="AG2476" i="1"/>
  <c r="AH2475" i="1"/>
  <c r="AG2475" i="1"/>
  <c r="AH2474" i="1"/>
  <c r="AG2474" i="1"/>
  <c r="AH2473" i="1"/>
  <c r="AG2473" i="1"/>
  <c r="AH2472" i="1"/>
  <c r="AG2472" i="1"/>
  <c r="AH2471" i="1"/>
  <c r="AG2471" i="1"/>
  <c r="AH2470" i="1"/>
  <c r="AG2470" i="1"/>
  <c r="AH2469" i="1"/>
  <c r="AG2469" i="1"/>
  <c r="AH2468" i="1"/>
  <c r="AG2468" i="1"/>
  <c r="AH2467" i="1"/>
  <c r="AG2467" i="1"/>
  <c r="AH2466" i="1"/>
  <c r="AG2466" i="1"/>
  <c r="AH2465" i="1"/>
  <c r="AG2465" i="1"/>
  <c r="AH2464" i="1"/>
  <c r="AG2464" i="1"/>
  <c r="AH2463" i="1"/>
  <c r="AG2463" i="1"/>
  <c r="AH2462" i="1"/>
  <c r="AG2462" i="1"/>
  <c r="AH2461" i="1"/>
  <c r="AG2461" i="1"/>
  <c r="AH2460" i="1"/>
  <c r="AG2460" i="1"/>
  <c r="AH2459" i="1"/>
  <c r="AG2459" i="1"/>
  <c r="AH2458" i="1"/>
  <c r="AG2458" i="1"/>
  <c r="AH2457" i="1"/>
  <c r="AG2457" i="1"/>
  <c r="AH2456" i="1"/>
  <c r="AG2456" i="1"/>
  <c r="AH2455" i="1"/>
  <c r="AG2455" i="1"/>
  <c r="AH2454" i="1"/>
  <c r="AG2454" i="1"/>
  <c r="AH2453" i="1"/>
  <c r="AG2453" i="1"/>
  <c r="AH2452" i="1"/>
  <c r="AG2452" i="1"/>
  <c r="AH2451" i="1"/>
  <c r="AG2451" i="1"/>
  <c r="AH2450" i="1"/>
  <c r="AG2450" i="1"/>
  <c r="AH2449" i="1"/>
  <c r="AG2449" i="1"/>
  <c r="AH2448" i="1"/>
  <c r="AG2448" i="1"/>
  <c r="AH2447" i="1"/>
  <c r="AG2447" i="1"/>
  <c r="AH2446" i="1"/>
  <c r="AG2446" i="1"/>
  <c r="AH2445" i="1"/>
  <c r="AG2445" i="1"/>
  <c r="AH2444" i="1"/>
  <c r="AG2444" i="1"/>
  <c r="AH2443" i="1"/>
  <c r="AG2443" i="1"/>
  <c r="AH2442" i="1"/>
  <c r="AG2442" i="1"/>
  <c r="AH2441" i="1"/>
  <c r="AG2441" i="1"/>
  <c r="AH2440" i="1"/>
  <c r="AG2440" i="1"/>
  <c r="AH2439" i="1"/>
  <c r="AG2439" i="1"/>
  <c r="AH2438" i="1"/>
  <c r="AG2438" i="1"/>
  <c r="AH2437" i="1"/>
  <c r="AG2437" i="1"/>
  <c r="AH2436" i="1"/>
  <c r="AG2436" i="1"/>
  <c r="AH2435" i="1"/>
  <c r="AG2435" i="1"/>
  <c r="AH2434" i="1"/>
  <c r="AG2434" i="1"/>
  <c r="AH2433" i="1"/>
  <c r="AG2433" i="1"/>
  <c r="AH2432" i="1"/>
  <c r="AG2432" i="1"/>
  <c r="AH2431" i="1"/>
  <c r="AG2431" i="1"/>
  <c r="AH2430" i="1"/>
  <c r="AG2430" i="1"/>
  <c r="AH2429" i="1"/>
  <c r="AG2429" i="1"/>
  <c r="AH2428" i="1"/>
  <c r="AG2428" i="1"/>
  <c r="AH2427" i="1"/>
  <c r="AG2427" i="1"/>
  <c r="AH2426" i="1"/>
  <c r="AG2426" i="1"/>
  <c r="AH2425" i="1"/>
  <c r="AG2425" i="1"/>
  <c r="AH2424" i="1"/>
  <c r="AG2424" i="1"/>
  <c r="AH2423" i="1"/>
  <c r="AG2423" i="1"/>
  <c r="AH2422" i="1"/>
  <c r="AG2422" i="1"/>
  <c r="AH2421" i="1"/>
  <c r="AG2421" i="1"/>
  <c r="AH2420" i="1"/>
  <c r="AG2420" i="1"/>
  <c r="AH2419" i="1"/>
  <c r="AG2419" i="1"/>
  <c r="AH2418" i="1"/>
  <c r="AG2418" i="1"/>
  <c r="AH2417" i="1"/>
  <c r="AG2417" i="1"/>
  <c r="AH2416" i="1"/>
  <c r="AG2416" i="1"/>
  <c r="AH2415" i="1"/>
  <c r="AG2415" i="1"/>
  <c r="AH2414" i="1"/>
  <c r="AG2414" i="1"/>
  <c r="AH2413" i="1"/>
  <c r="AG2413" i="1"/>
  <c r="AH2412" i="1"/>
  <c r="AG2412" i="1"/>
  <c r="AH2411" i="1"/>
  <c r="AG2411" i="1"/>
  <c r="AH2410" i="1"/>
  <c r="AG2410" i="1"/>
  <c r="AH2409" i="1"/>
  <c r="AG2409" i="1"/>
  <c r="AH2408" i="1"/>
  <c r="AG2408" i="1"/>
  <c r="AH2407" i="1"/>
  <c r="AG2407" i="1"/>
  <c r="AH2406" i="1"/>
  <c r="AG2406" i="1"/>
  <c r="AH2405" i="1"/>
  <c r="AG2405" i="1"/>
  <c r="AH2404" i="1"/>
  <c r="AG2404" i="1"/>
  <c r="AH2403" i="1"/>
  <c r="AG2403" i="1"/>
  <c r="AH2402" i="1"/>
  <c r="AG2402" i="1"/>
  <c r="AH2401" i="1"/>
  <c r="AG2401" i="1"/>
  <c r="AH2400" i="1"/>
  <c r="AG2400" i="1"/>
  <c r="AH2399" i="1"/>
  <c r="AG2399" i="1"/>
  <c r="AH2398" i="1"/>
  <c r="AG2398" i="1"/>
  <c r="AH2397" i="1"/>
  <c r="AG2397" i="1"/>
  <c r="AH2396" i="1"/>
  <c r="AG2396" i="1"/>
  <c r="AH2395" i="1"/>
  <c r="AG2395" i="1"/>
  <c r="AH2394" i="1"/>
  <c r="AG2394" i="1"/>
  <c r="AH2393" i="1"/>
  <c r="AG2393" i="1"/>
  <c r="AH2392" i="1"/>
  <c r="AG2392" i="1"/>
  <c r="AH2391" i="1"/>
  <c r="AG2391" i="1"/>
  <c r="AH2390" i="1"/>
  <c r="AG2390" i="1"/>
  <c r="AH2389" i="1"/>
  <c r="AG2389" i="1"/>
  <c r="AH2388" i="1"/>
  <c r="AG2388" i="1"/>
  <c r="AH2387" i="1"/>
  <c r="AG2387" i="1"/>
  <c r="AH2386" i="1"/>
  <c r="AG2386" i="1"/>
  <c r="AH2385" i="1"/>
  <c r="AG2385" i="1"/>
  <c r="AH2384" i="1"/>
  <c r="AG2384" i="1"/>
  <c r="AH2383" i="1"/>
  <c r="AG2383" i="1"/>
  <c r="AH2382" i="1"/>
  <c r="AG2382" i="1"/>
  <c r="AH2381" i="1"/>
  <c r="AG2381" i="1"/>
  <c r="AH2380" i="1"/>
  <c r="AG2380" i="1"/>
  <c r="AH2379" i="1"/>
  <c r="AG2379" i="1"/>
  <c r="AH2378" i="1"/>
  <c r="AG2378" i="1"/>
  <c r="AH2377" i="1"/>
  <c r="AG2377" i="1"/>
  <c r="AH2376" i="1"/>
  <c r="AG2376" i="1"/>
  <c r="AH2375" i="1"/>
  <c r="AG2375" i="1"/>
  <c r="AH2374" i="1"/>
  <c r="AG2374" i="1"/>
  <c r="AH2373" i="1"/>
  <c r="AG2373" i="1"/>
  <c r="AH2372" i="1"/>
  <c r="AG2372" i="1"/>
  <c r="AH2371" i="1"/>
  <c r="AG2371" i="1"/>
  <c r="AH2370" i="1"/>
  <c r="AG2370" i="1"/>
  <c r="AH2369" i="1"/>
  <c r="AG2369" i="1"/>
  <c r="AH2368" i="1"/>
  <c r="AG2368" i="1"/>
  <c r="AH2367" i="1"/>
  <c r="AG2367" i="1"/>
  <c r="AH2366" i="1"/>
  <c r="AG2366" i="1"/>
  <c r="AH2365" i="1"/>
  <c r="AG2365" i="1"/>
  <c r="AH2364" i="1"/>
  <c r="AG2364" i="1"/>
  <c r="AH2363" i="1"/>
  <c r="AG2363" i="1"/>
  <c r="AH2362" i="1"/>
  <c r="AG2362" i="1"/>
  <c r="AH2361" i="1"/>
  <c r="AG2361" i="1"/>
  <c r="AH2360" i="1"/>
  <c r="AG2360" i="1"/>
  <c r="AH2359" i="1"/>
  <c r="AG2359" i="1"/>
  <c r="AH2358" i="1"/>
  <c r="AG2358" i="1"/>
  <c r="AH2357" i="1"/>
  <c r="AG2357" i="1"/>
  <c r="AH2356" i="1"/>
  <c r="AG2356" i="1"/>
  <c r="AH2355" i="1"/>
  <c r="AG2355" i="1"/>
  <c r="AH2354" i="1"/>
  <c r="AG2354" i="1"/>
  <c r="AH2353" i="1"/>
  <c r="AG2353" i="1"/>
  <c r="AH2352" i="1"/>
  <c r="AG2352" i="1"/>
  <c r="AH2351" i="1"/>
  <c r="AG2351" i="1"/>
  <c r="AH2350" i="1"/>
  <c r="AG2350" i="1"/>
  <c r="AH2349" i="1"/>
  <c r="AG2349" i="1"/>
  <c r="AH2348" i="1"/>
  <c r="AG2348" i="1"/>
  <c r="AH2347" i="1"/>
  <c r="AG2347" i="1"/>
  <c r="AH2346" i="1"/>
  <c r="AG2346" i="1"/>
  <c r="AH2345" i="1"/>
  <c r="AG2345" i="1"/>
  <c r="AH2344" i="1"/>
  <c r="AG2344" i="1"/>
  <c r="AH2343" i="1"/>
  <c r="AG2343" i="1"/>
  <c r="AH2342" i="1"/>
  <c r="AG2342" i="1"/>
  <c r="AH2341" i="1"/>
  <c r="AG2341" i="1"/>
  <c r="AH2340" i="1"/>
  <c r="AG2340" i="1"/>
  <c r="AH2339" i="1"/>
  <c r="AG2339" i="1"/>
  <c r="AH2338" i="1"/>
  <c r="AG2338" i="1"/>
  <c r="AH2337" i="1"/>
  <c r="AG2337" i="1"/>
  <c r="AH2336" i="1"/>
  <c r="AG2336" i="1"/>
  <c r="AH2335" i="1"/>
  <c r="AG2335" i="1"/>
  <c r="AH2334" i="1"/>
  <c r="AG2334" i="1"/>
  <c r="AH2333" i="1"/>
  <c r="AG2333" i="1"/>
  <c r="AH2332" i="1"/>
  <c r="AG2332" i="1"/>
  <c r="AH2331" i="1"/>
  <c r="AG2331" i="1"/>
  <c r="AH2330" i="1"/>
  <c r="AG2330" i="1"/>
  <c r="AH2329" i="1"/>
  <c r="AG2329" i="1"/>
  <c r="AH2328" i="1"/>
  <c r="AG2328" i="1"/>
  <c r="AH2327" i="1"/>
  <c r="AG2327" i="1"/>
  <c r="AH2326" i="1"/>
  <c r="AG2326" i="1"/>
  <c r="AH2325" i="1"/>
  <c r="AG2325" i="1"/>
  <c r="AH2324" i="1"/>
  <c r="AG2324" i="1"/>
  <c r="AH2323" i="1"/>
  <c r="AG2323" i="1"/>
  <c r="AH2322" i="1"/>
  <c r="AG2322" i="1"/>
  <c r="AH2321" i="1"/>
  <c r="AG2321" i="1"/>
  <c r="AH2320" i="1"/>
  <c r="AG2320" i="1"/>
  <c r="AH2319" i="1"/>
  <c r="AG2319" i="1"/>
  <c r="AH2318" i="1"/>
  <c r="AG2318" i="1"/>
  <c r="AH2317" i="1"/>
  <c r="AG2317" i="1"/>
  <c r="AH2316" i="1"/>
  <c r="AG2316" i="1"/>
  <c r="AH2315" i="1"/>
  <c r="AG2315" i="1"/>
  <c r="AH2314" i="1"/>
  <c r="AG2314" i="1"/>
  <c r="AH2313" i="1"/>
  <c r="AG2313" i="1"/>
  <c r="AH2312" i="1"/>
  <c r="AG2312" i="1"/>
  <c r="AH2311" i="1"/>
  <c r="AG2311" i="1"/>
  <c r="AH2310" i="1"/>
  <c r="AG2310" i="1"/>
  <c r="AH2309" i="1"/>
  <c r="AG2309" i="1"/>
  <c r="AH2308" i="1"/>
  <c r="AG2308" i="1"/>
  <c r="AH2307" i="1"/>
  <c r="AG2307" i="1"/>
  <c r="AH2306" i="1"/>
  <c r="AG2306" i="1"/>
  <c r="AH2305" i="1"/>
  <c r="AG2305" i="1"/>
  <c r="AH2304" i="1"/>
  <c r="AG2304" i="1"/>
  <c r="AH2303" i="1"/>
  <c r="AG2303" i="1"/>
  <c r="AH2302" i="1"/>
  <c r="AG2302" i="1"/>
  <c r="AH2301" i="1"/>
  <c r="AG2301" i="1"/>
  <c r="AH2300" i="1"/>
  <c r="AG2300" i="1"/>
  <c r="AH2299" i="1"/>
  <c r="AG2299" i="1"/>
  <c r="AH2298" i="1"/>
  <c r="AG2298" i="1"/>
  <c r="AH2297" i="1"/>
  <c r="AG2297" i="1"/>
  <c r="AH2296" i="1"/>
  <c r="AG2296" i="1"/>
  <c r="AH2295" i="1"/>
  <c r="AG2295" i="1"/>
  <c r="AH2294" i="1"/>
  <c r="AG2294" i="1"/>
  <c r="AH2293" i="1"/>
  <c r="AG2293" i="1"/>
  <c r="AH2292" i="1"/>
  <c r="AG2292" i="1"/>
  <c r="AH2291" i="1"/>
  <c r="AG2291" i="1"/>
  <c r="AH2290" i="1"/>
  <c r="AG2290" i="1"/>
  <c r="AH2289" i="1"/>
  <c r="AG2289" i="1"/>
  <c r="AH2288" i="1"/>
  <c r="AG2288" i="1"/>
  <c r="AH2287" i="1"/>
  <c r="AG2287" i="1"/>
  <c r="AH2286" i="1"/>
  <c r="AG2286" i="1"/>
  <c r="AH2285" i="1"/>
  <c r="AG2285" i="1"/>
  <c r="AH2284" i="1"/>
  <c r="AG2284" i="1"/>
  <c r="AH2283" i="1"/>
  <c r="AG2283" i="1"/>
  <c r="AH2282" i="1"/>
  <c r="AG2282" i="1"/>
  <c r="AH2281" i="1"/>
  <c r="AG2281" i="1"/>
  <c r="AH2280" i="1"/>
  <c r="AG2280" i="1"/>
  <c r="AH2279" i="1"/>
  <c r="AG2279" i="1"/>
  <c r="AH2278" i="1"/>
  <c r="AG2278" i="1"/>
  <c r="AH2277" i="1"/>
  <c r="AG2277" i="1"/>
  <c r="AH2276" i="1"/>
  <c r="AG2276" i="1"/>
  <c r="AH2275" i="1"/>
  <c r="AG2275" i="1"/>
  <c r="AH2274" i="1"/>
  <c r="AG2274" i="1"/>
  <c r="AH2273" i="1"/>
  <c r="AG2273" i="1"/>
  <c r="AH2272" i="1"/>
  <c r="AG2272" i="1"/>
  <c r="AH2271" i="1"/>
  <c r="AG2271" i="1"/>
  <c r="AH2270" i="1"/>
  <c r="AG2270" i="1"/>
  <c r="AH2269" i="1"/>
  <c r="AG2269" i="1"/>
  <c r="AH2268" i="1"/>
  <c r="AG2268" i="1"/>
  <c r="AH2267" i="1"/>
  <c r="AG2267" i="1"/>
  <c r="AH2266" i="1"/>
  <c r="AG2266" i="1"/>
  <c r="AH2265" i="1"/>
  <c r="AG2265" i="1"/>
  <c r="AH2264" i="1"/>
  <c r="AG2264" i="1"/>
  <c r="AH2263" i="1"/>
  <c r="AG2263" i="1"/>
  <c r="AH2262" i="1"/>
  <c r="AG2262" i="1"/>
  <c r="AH2261" i="1"/>
  <c r="AG2261" i="1"/>
  <c r="AH2260" i="1"/>
  <c r="AG2260" i="1"/>
  <c r="AH2259" i="1"/>
  <c r="AG2259" i="1"/>
  <c r="AH2258" i="1"/>
  <c r="AG2258" i="1"/>
  <c r="AH2257" i="1"/>
  <c r="AG2257" i="1"/>
  <c r="AH2256" i="1"/>
  <c r="AG2256" i="1"/>
  <c r="AH2255" i="1"/>
  <c r="AG2255" i="1"/>
  <c r="AH2254" i="1"/>
  <c r="AG2254" i="1"/>
  <c r="AH2253" i="1"/>
  <c r="AG2253" i="1"/>
  <c r="AH2252" i="1"/>
  <c r="AG2252" i="1"/>
  <c r="AH2251" i="1"/>
  <c r="AG2251" i="1"/>
  <c r="AH2250" i="1"/>
  <c r="AG2250" i="1"/>
  <c r="AH2249" i="1"/>
  <c r="AG2249" i="1"/>
  <c r="AH2248" i="1"/>
  <c r="AG2248" i="1"/>
  <c r="AH2247" i="1"/>
  <c r="AG2247" i="1"/>
  <c r="AH2246" i="1"/>
  <c r="AG2246" i="1"/>
  <c r="AH2245" i="1"/>
  <c r="AG2245" i="1"/>
  <c r="AH2244" i="1"/>
  <c r="AG2244" i="1"/>
  <c r="AH2243" i="1"/>
  <c r="AG2243" i="1"/>
  <c r="AH2242" i="1"/>
  <c r="AG2242" i="1"/>
  <c r="AH2241" i="1"/>
  <c r="AG2241" i="1"/>
  <c r="AH2240" i="1"/>
  <c r="AG2240" i="1"/>
  <c r="AH2239" i="1"/>
  <c r="AG2239" i="1"/>
  <c r="AH2238" i="1"/>
  <c r="AG2238" i="1"/>
  <c r="AH2237" i="1"/>
  <c r="AG2237" i="1"/>
  <c r="AH2236" i="1"/>
  <c r="AG2236" i="1"/>
  <c r="AH2235" i="1"/>
  <c r="AG2235" i="1"/>
  <c r="AH2234" i="1"/>
  <c r="AG2234" i="1"/>
  <c r="AH2233" i="1"/>
  <c r="AG2233" i="1"/>
  <c r="AH2232" i="1"/>
  <c r="AG2232" i="1"/>
  <c r="AH2231" i="1"/>
  <c r="AG2231" i="1"/>
  <c r="AH2230" i="1"/>
  <c r="AG2230" i="1"/>
  <c r="AH2229" i="1"/>
  <c r="AG2229" i="1"/>
  <c r="AH2228" i="1"/>
  <c r="AG2228" i="1"/>
  <c r="AH2227" i="1"/>
  <c r="AG2227" i="1"/>
  <c r="AH2226" i="1"/>
  <c r="AG2226" i="1"/>
  <c r="AH2225" i="1"/>
  <c r="AG2225" i="1"/>
  <c r="AH2224" i="1"/>
  <c r="AG2224" i="1"/>
  <c r="AH2223" i="1"/>
  <c r="AG2223" i="1"/>
  <c r="AH2222" i="1"/>
  <c r="AG2222" i="1"/>
  <c r="AH2221" i="1"/>
  <c r="AG2221" i="1"/>
  <c r="AH2220" i="1"/>
  <c r="AG2220" i="1"/>
  <c r="AH2219" i="1"/>
  <c r="AG2219" i="1"/>
  <c r="AH2218" i="1"/>
  <c r="AG2218" i="1"/>
  <c r="AH2217" i="1"/>
  <c r="AG2217" i="1"/>
  <c r="AH2216" i="1"/>
  <c r="AG2216" i="1"/>
  <c r="AH2215" i="1"/>
  <c r="AG2215" i="1"/>
  <c r="AH2214" i="1"/>
  <c r="AG2214" i="1"/>
  <c r="AH2213" i="1"/>
  <c r="AG2213" i="1"/>
  <c r="AH2212" i="1"/>
  <c r="AG2212" i="1"/>
  <c r="AH2211" i="1"/>
  <c r="AG2211" i="1"/>
  <c r="AH2210" i="1"/>
  <c r="AG2210" i="1"/>
  <c r="AH2209" i="1"/>
  <c r="AG2209" i="1"/>
  <c r="AH2208" i="1"/>
  <c r="AG2208" i="1"/>
  <c r="AH2207" i="1"/>
  <c r="AG2207" i="1"/>
  <c r="AH2206" i="1"/>
  <c r="AG2206" i="1"/>
  <c r="AH2205" i="1"/>
  <c r="AG2205" i="1"/>
  <c r="AH2204" i="1"/>
  <c r="AG2204" i="1"/>
  <c r="AH2203" i="1"/>
  <c r="AG2203" i="1"/>
  <c r="AH2202" i="1"/>
  <c r="AG2202" i="1"/>
  <c r="AH2201" i="1"/>
  <c r="AG2201" i="1"/>
  <c r="AH2200" i="1"/>
  <c r="AG2200" i="1"/>
  <c r="AH2199" i="1"/>
  <c r="AG2199" i="1"/>
  <c r="AH2198" i="1"/>
  <c r="AG2198" i="1"/>
  <c r="AH2197" i="1"/>
  <c r="AG2197" i="1"/>
  <c r="AH2196" i="1"/>
  <c r="AG2196" i="1"/>
  <c r="AH2195" i="1"/>
  <c r="AG2195" i="1"/>
  <c r="AH2194" i="1"/>
  <c r="AG2194" i="1"/>
  <c r="AH2193" i="1"/>
  <c r="AG2193" i="1"/>
  <c r="AH2192" i="1"/>
  <c r="AG2192" i="1"/>
  <c r="AH2191" i="1"/>
  <c r="AG2191" i="1"/>
  <c r="AH2190" i="1"/>
  <c r="AG2190" i="1"/>
  <c r="AH2189" i="1"/>
  <c r="AG2189" i="1"/>
  <c r="AH2188" i="1"/>
  <c r="AG2188" i="1"/>
  <c r="AH2187" i="1"/>
  <c r="AG2187" i="1"/>
  <c r="AH2186" i="1"/>
  <c r="AG2186" i="1"/>
  <c r="AH2185" i="1"/>
  <c r="AG2185" i="1"/>
  <c r="AH2184" i="1"/>
  <c r="AG2184" i="1"/>
  <c r="AH2183" i="1"/>
  <c r="AG2183" i="1"/>
  <c r="AH2182" i="1"/>
  <c r="AG2182" i="1"/>
  <c r="AH2181" i="1"/>
  <c r="AG2181" i="1"/>
  <c r="AH2180" i="1"/>
  <c r="AG2180" i="1"/>
  <c r="AH2179" i="1"/>
  <c r="AG2179" i="1"/>
  <c r="AH2178" i="1"/>
  <c r="AG2178" i="1"/>
  <c r="AH2177" i="1"/>
  <c r="AG2177" i="1"/>
  <c r="AH2176" i="1"/>
  <c r="AG2176" i="1"/>
  <c r="AH2175" i="1"/>
  <c r="AG2175" i="1"/>
  <c r="AH2174" i="1"/>
  <c r="AG2174" i="1"/>
  <c r="AH2173" i="1"/>
  <c r="AG2173" i="1"/>
  <c r="AH2172" i="1"/>
  <c r="AG2172" i="1"/>
  <c r="AH2171" i="1"/>
  <c r="AG2171" i="1"/>
  <c r="AH2170" i="1"/>
  <c r="AG2170" i="1"/>
  <c r="AH2169" i="1"/>
  <c r="AG2169" i="1"/>
  <c r="AH2168" i="1"/>
  <c r="AG2168" i="1"/>
  <c r="AH2167" i="1"/>
  <c r="AG2167" i="1"/>
  <c r="AH2166" i="1"/>
  <c r="AG2166" i="1"/>
  <c r="AH2165" i="1"/>
  <c r="AG2165" i="1"/>
  <c r="AH2164" i="1"/>
  <c r="AG2164" i="1"/>
  <c r="AH2163" i="1"/>
  <c r="AG2163" i="1"/>
  <c r="AH2162" i="1"/>
  <c r="AG2162" i="1"/>
  <c r="AH2161" i="1"/>
  <c r="AG2161" i="1"/>
  <c r="AH2160" i="1"/>
  <c r="AG2160" i="1"/>
  <c r="AH2159" i="1"/>
  <c r="AG2159" i="1"/>
  <c r="AH2158" i="1"/>
  <c r="AG2158" i="1"/>
  <c r="AH2157" i="1"/>
  <c r="AG2157" i="1"/>
  <c r="AH2156" i="1"/>
  <c r="AG2156" i="1"/>
  <c r="AH2155" i="1"/>
  <c r="AG2155" i="1"/>
  <c r="AH2154" i="1"/>
  <c r="AG2154" i="1"/>
  <c r="AH2153" i="1"/>
  <c r="AG2153" i="1"/>
  <c r="AH2152" i="1"/>
  <c r="AG2152" i="1"/>
  <c r="AH2151" i="1"/>
  <c r="AG2151" i="1"/>
  <c r="AH2150" i="1"/>
  <c r="AG2150" i="1"/>
  <c r="AH2149" i="1"/>
  <c r="AG2149" i="1"/>
  <c r="AH2148" i="1"/>
  <c r="AG2148" i="1"/>
  <c r="AH2147" i="1"/>
  <c r="AG2147" i="1"/>
  <c r="AH2146" i="1"/>
  <c r="AG2146" i="1"/>
  <c r="AH2145" i="1"/>
  <c r="AG2145" i="1"/>
  <c r="AH2144" i="1"/>
  <c r="AG2144" i="1"/>
  <c r="AH2143" i="1"/>
  <c r="AG2143" i="1"/>
  <c r="AH2142" i="1"/>
  <c r="AG2142" i="1"/>
  <c r="AH2141" i="1"/>
  <c r="AG2141" i="1"/>
  <c r="AH2140" i="1"/>
  <c r="AG2140" i="1"/>
  <c r="AH2139" i="1"/>
  <c r="AG2139" i="1"/>
  <c r="AH2138" i="1"/>
  <c r="AG2138" i="1"/>
  <c r="AH2137" i="1"/>
  <c r="AG2137" i="1"/>
  <c r="AH2136" i="1"/>
  <c r="AG2136" i="1"/>
  <c r="AH2135" i="1"/>
  <c r="AG2135" i="1"/>
  <c r="AH2134" i="1"/>
  <c r="AG2134" i="1"/>
  <c r="AH2133" i="1"/>
  <c r="AG2133" i="1"/>
  <c r="AH2132" i="1"/>
  <c r="AG2132" i="1"/>
  <c r="AH2131" i="1"/>
  <c r="AG2131" i="1"/>
  <c r="AH2130" i="1"/>
  <c r="AG2130" i="1"/>
  <c r="AH2129" i="1"/>
  <c r="AG2129" i="1"/>
  <c r="AH2128" i="1"/>
  <c r="AG2128" i="1"/>
  <c r="AH2127" i="1"/>
  <c r="AG2127" i="1"/>
  <c r="AH2126" i="1"/>
  <c r="AG2126" i="1"/>
  <c r="AH2125" i="1"/>
  <c r="AG2125" i="1"/>
  <c r="AH2124" i="1"/>
  <c r="AG2124" i="1"/>
  <c r="AH2123" i="1"/>
  <c r="AG2123" i="1"/>
  <c r="AH2122" i="1"/>
  <c r="AG2122" i="1"/>
  <c r="AH2121" i="1"/>
  <c r="AG2121" i="1"/>
  <c r="AH2120" i="1"/>
  <c r="AG2120" i="1"/>
  <c r="AH2119" i="1"/>
  <c r="AG2119" i="1"/>
  <c r="AH2118" i="1"/>
  <c r="AG2118" i="1"/>
  <c r="AH2117" i="1"/>
  <c r="AG2117" i="1"/>
  <c r="AH2116" i="1"/>
  <c r="AG2116" i="1"/>
  <c r="AH2115" i="1"/>
  <c r="AG2115" i="1"/>
  <c r="AH2114" i="1"/>
  <c r="AG2114" i="1"/>
  <c r="AH2113" i="1"/>
  <c r="AG2113" i="1"/>
  <c r="AH2112" i="1"/>
  <c r="AG2112" i="1"/>
  <c r="AH2111" i="1"/>
  <c r="AG2111" i="1"/>
  <c r="AH2110" i="1"/>
  <c r="AG2110" i="1"/>
  <c r="AH2109" i="1"/>
  <c r="AG2109" i="1"/>
  <c r="AH2108" i="1"/>
  <c r="AG2108" i="1"/>
  <c r="AH2107" i="1"/>
  <c r="AG2107" i="1"/>
  <c r="AH2106" i="1"/>
  <c r="AG2106" i="1"/>
  <c r="AH2105" i="1"/>
  <c r="AG2105" i="1"/>
  <c r="AH2104" i="1"/>
  <c r="AG2104" i="1"/>
  <c r="AH2103" i="1"/>
  <c r="AG2103" i="1"/>
  <c r="AH2102" i="1"/>
  <c r="AG2102" i="1"/>
  <c r="AH2101" i="1"/>
  <c r="AG2101" i="1"/>
  <c r="AH2100" i="1"/>
  <c r="AG2100" i="1"/>
  <c r="AH2099" i="1"/>
  <c r="AG2099" i="1"/>
  <c r="AH2098" i="1"/>
  <c r="AG2098" i="1"/>
  <c r="AH2097" i="1"/>
  <c r="AG2097" i="1"/>
  <c r="AH2096" i="1"/>
  <c r="AG2096" i="1"/>
  <c r="AH2095" i="1"/>
  <c r="AG2095" i="1"/>
  <c r="AH2094" i="1"/>
  <c r="AG2094" i="1"/>
  <c r="AH2093" i="1"/>
  <c r="AG2093" i="1"/>
  <c r="AH2092" i="1"/>
  <c r="AG2092" i="1"/>
  <c r="AH2091" i="1"/>
  <c r="AG2091" i="1"/>
  <c r="AH2090" i="1"/>
  <c r="AG2090" i="1"/>
  <c r="AH2089" i="1"/>
  <c r="AG2089" i="1"/>
  <c r="AH2088" i="1"/>
  <c r="AG2088" i="1"/>
  <c r="AH2087" i="1"/>
  <c r="AG2087" i="1"/>
  <c r="AH2086" i="1"/>
  <c r="AG2086" i="1"/>
  <c r="AH2085" i="1"/>
  <c r="AG2085" i="1"/>
  <c r="AH2084" i="1"/>
  <c r="AG2084" i="1"/>
  <c r="AH2083" i="1"/>
  <c r="AG2083" i="1"/>
  <c r="AH2082" i="1"/>
  <c r="AG2082" i="1"/>
  <c r="AH2081" i="1"/>
  <c r="AG2081" i="1"/>
  <c r="AH2080" i="1"/>
  <c r="AG2080" i="1"/>
  <c r="AH2079" i="1"/>
  <c r="AG2079" i="1"/>
  <c r="AH2078" i="1"/>
  <c r="AG2078" i="1"/>
  <c r="AH2077" i="1"/>
  <c r="AG2077" i="1"/>
  <c r="AH2076" i="1"/>
  <c r="AG2076" i="1"/>
  <c r="AH2075" i="1"/>
  <c r="AG2075" i="1"/>
  <c r="AH2074" i="1"/>
  <c r="AG2074" i="1"/>
  <c r="AH2073" i="1"/>
  <c r="AG2073" i="1"/>
  <c r="AH2072" i="1"/>
  <c r="AG2072" i="1"/>
  <c r="AH2071" i="1"/>
  <c r="AG2071" i="1"/>
  <c r="AH2070" i="1"/>
  <c r="AG2070" i="1"/>
  <c r="AH2069" i="1"/>
  <c r="AG2069" i="1"/>
  <c r="AH2068" i="1"/>
  <c r="AG2068" i="1"/>
  <c r="AH2067" i="1"/>
  <c r="AG2067" i="1"/>
  <c r="AH2066" i="1"/>
  <c r="AG2066" i="1"/>
  <c r="AH2065" i="1"/>
  <c r="AG2065" i="1"/>
  <c r="AH2064" i="1"/>
  <c r="AG2064" i="1"/>
  <c r="AH2063" i="1"/>
  <c r="AG2063" i="1"/>
  <c r="AH2062" i="1"/>
  <c r="AG2062" i="1"/>
  <c r="AH2061" i="1"/>
  <c r="AG2061" i="1"/>
  <c r="AH2060" i="1"/>
  <c r="AG2060" i="1"/>
  <c r="AH2059" i="1"/>
  <c r="AG2059" i="1"/>
  <c r="AH2058" i="1"/>
  <c r="AG2058" i="1"/>
  <c r="AH2057" i="1"/>
  <c r="AG2057" i="1"/>
  <c r="AH2056" i="1"/>
  <c r="AG2056" i="1"/>
  <c r="AH2055" i="1"/>
  <c r="AG2055" i="1"/>
  <c r="AH2054" i="1"/>
  <c r="AG2054" i="1"/>
  <c r="AH2053" i="1"/>
  <c r="AG2053" i="1"/>
  <c r="AH2052" i="1"/>
  <c r="AG2052" i="1"/>
  <c r="AH2051" i="1"/>
  <c r="AG2051" i="1"/>
  <c r="AH2050" i="1"/>
  <c r="AG2050" i="1"/>
  <c r="AH2049" i="1"/>
  <c r="AG2049" i="1"/>
  <c r="AH2048" i="1"/>
  <c r="AG2048" i="1"/>
  <c r="AH2047" i="1"/>
  <c r="AG2047" i="1"/>
  <c r="AH2046" i="1"/>
  <c r="AG2046" i="1"/>
  <c r="AH2045" i="1"/>
  <c r="AG2045" i="1"/>
  <c r="AH2044" i="1"/>
  <c r="AG2044" i="1"/>
  <c r="AH2043" i="1"/>
  <c r="AG2043" i="1"/>
  <c r="AH2042" i="1"/>
  <c r="AG2042" i="1"/>
  <c r="AH2041" i="1"/>
  <c r="AG2041" i="1"/>
  <c r="AH2040" i="1"/>
  <c r="AG2040" i="1"/>
  <c r="AH2039" i="1"/>
  <c r="AG2039" i="1"/>
  <c r="AH2038" i="1"/>
  <c r="AG2038" i="1"/>
  <c r="AH2037" i="1"/>
  <c r="AG2037" i="1"/>
  <c r="AH2036" i="1"/>
  <c r="AG2036" i="1"/>
  <c r="AH2035" i="1"/>
  <c r="AG2035" i="1"/>
  <c r="AH2034" i="1"/>
  <c r="AG2034" i="1"/>
  <c r="AH2033" i="1"/>
  <c r="AG2033" i="1"/>
  <c r="AH2032" i="1"/>
  <c r="AG2032" i="1"/>
  <c r="AH2031" i="1"/>
  <c r="AG2031" i="1"/>
  <c r="AH2030" i="1"/>
  <c r="AG2030" i="1"/>
  <c r="AH2029" i="1"/>
  <c r="AG2029" i="1"/>
  <c r="AH2028" i="1"/>
  <c r="AG2028" i="1"/>
  <c r="AH2027" i="1"/>
  <c r="AG2027" i="1"/>
  <c r="AH2026" i="1"/>
  <c r="AG2026" i="1"/>
  <c r="AH2025" i="1"/>
  <c r="AG2025" i="1"/>
  <c r="AH2024" i="1"/>
  <c r="AG2024" i="1"/>
  <c r="AH2023" i="1"/>
  <c r="AG2023" i="1"/>
  <c r="AH2022" i="1"/>
  <c r="AG2022" i="1"/>
  <c r="AH2021" i="1"/>
  <c r="AG2021" i="1"/>
  <c r="AH2020" i="1"/>
  <c r="AG2020" i="1"/>
  <c r="AH2019" i="1"/>
  <c r="AG2019" i="1"/>
  <c r="AH2018" i="1"/>
  <c r="AG2018" i="1"/>
  <c r="AH2017" i="1"/>
  <c r="AG2017" i="1"/>
  <c r="AH2016" i="1"/>
  <c r="AG2016" i="1"/>
  <c r="AH2015" i="1"/>
  <c r="AG2015" i="1"/>
  <c r="AH2014" i="1"/>
  <c r="AG2014" i="1"/>
  <c r="AH2013" i="1"/>
  <c r="AG2013" i="1"/>
  <c r="AH2012" i="1"/>
  <c r="AG2012" i="1"/>
  <c r="AH2011" i="1"/>
  <c r="AG2011" i="1"/>
  <c r="AH2010" i="1"/>
  <c r="AG2010" i="1"/>
  <c r="AH2009" i="1"/>
  <c r="AG2009" i="1"/>
  <c r="AH2008" i="1"/>
  <c r="AG2008" i="1"/>
  <c r="AH2007" i="1"/>
  <c r="AG2007" i="1"/>
  <c r="AH2006" i="1"/>
  <c r="AG2006" i="1"/>
  <c r="AH2005" i="1"/>
  <c r="AG2005" i="1"/>
  <c r="AH2004" i="1"/>
  <c r="AG2004" i="1"/>
  <c r="AH2003" i="1"/>
  <c r="AG2003" i="1"/>
  <c r="AH2002" i="1"/>
  <c r="AG2002" i="1"/>
  <c r="AH2001" i="1"/>
  <c r="AG2001" i="1"/>
  <c r="AH2000" i="1"/>
  <c r="AG2000" i="1"/>
  <c r="AH1999" i="1"/>
  <c r="AG1999" i="1"/>
  <c r="AH1998" i="1"/>
  <c r="AG1998" i="1"/>
  <c r="AH1997" i="1"/>
  <c r="AG1997" i="1"/>
  <c r="AH1996" i="1"/>
  <c r="AG1996" i="1"/>
  <c r="AH1995" i="1"/>
  <c r="AG1995" i="1"/>
  <c r="AH1994" i="1"/>
  <c r="AG1994" i="1"/>
  <c r="AH1993" i="1"/>
  <c r="AG1993" i="1"/>
  <c r="AH1992" i="1"/>
  <c r="AG1992" i="1"/>
  <c r="AH1991" i="1"/>
  <c r="AG1991" i="1"/>
  <c r="AH1990" i="1"/>
  <c r="AG1990" i="1"/>
  <c r="AH1989" i="1"/>
  <c r="AG1989" i="1"/>
  <c r="AH1988" i="1"/>
  <c r="AG1988" i="1"/>
  <c r="AH1987" i="1"/>
  <c r="AG1987" i="1"/>
  <c r="AH1986" i="1"/>
  <c r="AG1986" i="1"/>
  <c r="AH1985" i="1"/>
  <c r="AG1985" i="1"/>
  <c r="AH1984" i="1"/>
  <c r="AG1984" i="1"/>
  <c r="AH1983" i="1"/>
  <c r="AG1983" i="1"/>
  <c r="AH1982" i="1"/>
  <c r="AG1982" i="1"/>
  <c r="AH1981" i="1"/>
  <c r="AG1981" i="1"/>
  <c r="AH1980" i="1"/>
  <c r="AG1980" i="1"/>
  <c r="AH1979" i="1"/>
  <c r="AG1979" i="1"/>
  <c r="AH1978" i="1"/>
  <c r="AG1978" i="1"/>
  <c r="AH1977" i="1"/>
  <c r="AG1977" i="1"/>
  <c r="AH1976" i="1"/>
  <c r="AG1976" i="1"/>
  <c r="AH1975" i="1"/>
  <c r="AG1975" i="1"/>
  <c r="AH1974" i="1"/>
  <c r="AG1974" i="1"/>
  <c r="AH1973" i="1"/>
  <c r="AG1973" i="1"/>
  <c r="AH1972" i="1"/>
  <c r="AG1972" i="1"/>
  <c r="AH1971" i="1"/>
  <c r="AG1971" i="1"/>
  <c r="AH1970" i="1"/>
  <c r="AG1970" i="1"/>
  <c r="AH1969" i="1"/>
  <c r="AG1969" i="1"/>
  <c r="AH1968" i="1"/>
  <c r="AG1968" i="1"/>
  <c r="AH1967" i="1"/>
  <c r="AG1967" i="1"/>
  <c r="AH1966" i="1"/>
  <c r="AG1966" i="1"/>
  <c r="AH1965" i="1"/>
  <c r="AG1965" i="1"/>
  <c r="AH1964" i="1"/>
  <c r="AG1964" i="1"/>
  <c r="AH1963" i="1"/>
  <c r="AG1963" i="1"/>
  <c r="AH1962" i="1"/>
  <c r="AG1962" i="1"/>
  <c r="AH1961" i="1"/>
  <c r="AG1961" i="1"/>
  <c r="AH1960" i="1"/>
  <c r="AG1960" i="1"/>
  <c r="AH1959" i="1"/>
  <c r="AG1959" i="1"/>
  <c r="AH1958" i="1"/>
  <c r="AG1958" i="1"/>
  <c r="AH1957" i="1"/>
  <c r="AG1957" i="1"/>
  <c r="AH1956" i="1"/>
  <c r="AG1956" i="1"/>
  <c r="AH1955" i="1"/>
  <c r="AG1955" i="1"/>
  <c r="AH1954" i="1"/>
  <c r="AG1954" i="1"/>
  <c r="AH1953" i="1"/>
  <c r="AG1953" i="1"/>
  <c r="AH1952" i="1"/>
  <c r="AG1952" i="1"/>
  <c r="AH1951" i="1"/>
  <c r="AG1951" i="1"/>
  <c r="AH1950" i="1"/>
  <c r="AG1950" i="1"/>
  <c r="AH1949" i="1"/>
  <c r="AG1949" i="1"/>
  <c r="AH1948" i="1"/>
  <c r="AG1948" i="1"/>
  <c r="AH1947" i="1"/>
  <c r="AG1947" i="1"/>
  <c r="AH1946" i="1"/>
  <c r="AG1946" i="1"/>
  <c r="AH1945" i="1"/>
  <c r="AG1945" i="1"/>
  <c r="AH1944" i="1"/>
  <c r="AG1944" i="1"/>
  <c r="AH1943" i="1"/>
  <c r="AG1943" i="1"/>
  <c r="AH1942" i="1"/>
  <c r="AG1942" i="1"/>
  <c r="AH1941" i="1"/>
  <c r="AG1941" i="1"/>
  <c r="AH1940" i="1"/>
  <c r="AG1940" i="1"/>
  <c r="AH1939" i="1"/>
  <c r="AG1939" i="1"/>
  <c r="AH1938" i="1"/>
  <c r="AG1938" i="1"/>
  <c r="AH1937" i="1"/>
  <c r="AG1937" i="1"/>
  <c r="AH1936" i="1"/>
  <c r="AG1936" i="1"/>
  <c r="AH1935" i="1"/>
  <c r="AG1935" i="1"/>
  <c r="AH1934" i="1"/>
  <c r="AG1934" i="1"/>
  <c r="AH1933" i="1"/>
  <c r="AG1933" i="1"/>
  <c r="AH1932" i="1"/>
  <c r="AG1932" i="1"/>
  <c r="AH1931" i="1"/>
  <c r="AG1931" i="1"/>
  <c r="AH1930" i="1"/>
  <c r="AG1930" i="1"/>
  <c r="AH1929" i="1"/>
  <c r="AG1929" i="1"/>
  <c r="AH1928" i="1"/>
  <c r="AG1928" i="1"/>
  <c r="AH1927" i="1"/>
  <c r="AG1927" i="1"/>
  <c r="AH1926" i="1"/>
  <c r="AG1926" i="1"/>
  <c r="AH1925" i="1"/>
  <c r="AG1925" i="1"/>
  <c r="AH1924" i="1"/>
  <c r="AG1924" i="1"/>
  <c r="AH1923" i="1"/>
  <c r="AG1923" i="1"/>
  <c r="AH1922" i="1"/>
  <c r="AG1922" i="1"/>
  <c r="AH1921" i="1"/>
  <c r="AG1921" i="1"/>
  <c r="AH1920" i="1"/>
  <c r="AG1920" i="1"/>
  <c r="AH1919" i="1"/>
  <c r="AG1919" i="1"/>
  <c r="AH1918" i="1"/>
  <c r="AG1918" i="1"/>
  <c r="AH1917" i="1"/>
  <c r="AG1917" i="1"/>
  <c r="AH1916" i="1"/>
  <c r="AG1916" i="1"/>
  <c r="AO57" i="8"/>
  <c r="O23" i="6"/>
  <c r="O77" i="4"/>
  <c r="L77" i="4"/>
  <c r="I77" i="4"/>
  <c r="V66" i="4"/>
  <c r="O66" i="4"/>
  <c r="L66" i="4"/>
  <c r="I66" i="4"/>
  <c r="K78" i="3"/>
  <c r="O22" i="6"/>
  <c r="O21" i="6"/>
  <c r="O20" i="6"/>
  <c r="O19" i="6"/>
  <c r="O18" i="6"/>
  <c r="O17" i="6"/>
  <c r="O16" i="6"/>
  <c r="K76" i="3"/>
  <c r="K75" i="3"/>
  <c r="K73" i="3"/>
  <c r="K77" i="3"/>
  <c r="K74" i="3"/>
  <c r="K72" i="3"/>
  <c r="K65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1" i="3"/>
  <c r="K100" i="3"/>
  <c r="K99" i="3"/>
  <c r="K98" i="3"/>
  <c r="K97" i="3"/>
  <c r="K96" i="3"/>
  <c r="K95" i="3"/>
  <c r="K94" i="3"/>
  <c r="K93" i="3"/>
  <c r="K92" i="3"/>
  <c r="K90" i="3"/>
  <c r="K89" i="3"/>
  <c r="K88" i="3"/>
  <c r="K87" i="3"/>
  <c r="K91" i="3"/>
  <c r="K86" i="3"/>
  <c r="K85" i="3"/>
  <c r="K84" i="3"/>
  <c r="K83" i="3"/>
  <c r="K82" i="3"/>
  <c r="K81" i="3"/>
  <c r="K80" i="3"/>
  <c r="K79" i="3"/>
  <c r="K71" i="3"/>
  <c r="K70" i="3"/>
  <c r="K68" i="3"/>
  <c r="K67" i="3"/>
  <c r="K64" i="3"/>
  <c r="K103" i="3"/>
  <c r="K102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29" i="3"/>
  <c r="AH1915" i="1"/>
  <c r="AG1915" i="1"/>
  <c r="AH1914" i="1"/>
  <c r="AG1914" i="1"/>
  <c r="V99" i="4"/>
  <c r="O99" i="4"/>
  <c r="L99" i="4"/>
  <c r="I99" i="4"/>
  <c r="V98" i="4"/>
  <c r="O98" i="4"/>
  <c r="L98" i="4"/>
  <c r="I98" i="4"/>
  <c r="V97" i="4"/>
  <c r="O97" i="4"/>
  <c r="L97" i="4"/>
  <c r="I97" i="4"/>
  <c r="V96" i="4"/>
  <c r="O96" i="4"/>
  <c r="L96" i="4"/>
  <c r="I96" i="4"/>
  <c r="V95" i="4"/>
  <c r="O95" i="4"/>
  <c r="L95" i="4"/>
  <c r="I95" i="4"/>
  <c r="V94" i="4"/>
  <c r="O94" i="4"/>
  <c r="L94" i="4"/>
  <c r="I94" i="4"/>
  <c r="V93" i="4"/>
  <c r="O93" i="4"/>
  <c r="L93" i="4"/>
  <c r="I93" i="4"/>
  <c r="V92" i="4"/>
  <c r="O92" i="4"/>
  <c r="L92" i="4"/>
  <c r="I92" i="4"/>
  <c r="O91" i="4"/>
  <c r="L91" i="4"/>
  <c r="I91" i="4"/>
  <c r="O90" i="4"/>
  <c r="L90" i="4"/>
  <c r="I90" i="4"/>
  <c r="O89" i="4"/>
  <c r="L89" i="4"/>
  <c r="I89" i="4"/>
  <c r="O88" i="4"/>
  <c r="L88" i="4"/>
  <c r="I88" i="4"/>
  <c r="O87" i="4"/>
  <c r="L87" i="4"/>
  <c r="I87" i="4"/>
  <c r="O86" i="4"/>
  <c r="L86" i="4"/>
  <c r="I86" i="4"/>
  <c r="O84" i="4"/>
  <c r="L84" i="4"/>
  <c r="I84" i="4"/>
  <c r="O83" i="4"/>
  <c r="L83" i="4"/>
  <c r="I83" i="4"/>
  <c r="O82" i="4"/>
  <c r="L82" i="4"/>
  <c r="I82" i="4"/>
  <c r="O81" i="4"/>
  <c r="L81" i="4"/>
  <c r="I81" i="4"/>
  <c r="O80" i="4"/>
  <c r="L80" i="4"/>
  <c r="I80" i="4"/>
  <c r="O78" i="4"/>
  <c r="L78" i="4"/>
  <c r="I78" i="4"/>
  <c r="O76" i="4"/>
  <c r="L76" i="4"/>
  <c r="I76" i="4"/>
  <c r="O75" i="4"/>
  <c r="L75" i="4"/>
  <c r="I75" i="4"/>
  <c r="O79" i="4"/>
  <c r="L79" i="4"/>
  <c r="I79" i="4"/>
  <c r="O74" i="4"/>
  <c r="L74" i="4"/>
  <c r="I74" i="4"/>
  <c r="O71" i="4"/>
  <c r="L71" i="4"/>
  <c r="I71" i="4"/>
  <c r="O73" i="4"/>
  <c r="L73" i="4"/>
  <c r="I73" i="4"/>
  <c r="O72" i="4"/>
  <c r="L72" i="4"/>
  <c r="I72" i="4"/>
  <c r="V70" i="4"/>
  <c r="O70" i="4"/>
  <c r="L70" i="4"/>
  <c r="I70" i="4"/>
  <c r="V69" i="4"/>
  <c r="O69" i="4"/>
  <c r="L69" i="4"/>
  <c r="I69" i="4"/>
  <c r="V68" i="4"/>
  <c r="O68" i="4"/>
  <c r="L68" i="4"/>
  <c r="I68" i="4"/>
  <c r="V67" i="4"/>
  <c r="O67" i="4"/>
  <c r="L67" i="4"/>
  <c r="I67" i="4"/>
  <c r="V65" i="4"/>
  <c r="O65" i="4"/>
  <c r="L65" i="4"/>
  <c r="I65" i="4"/>
  <c r="V64" i="4"/>
  <c r="O64" i="4"/>
  <c r="L64" i="4"/>
  <c r="I64" i="4"/>
  <c r="V63" i="4"/>
  <c r="O63" i="4"/>
  <c r="L63" i="4"/>
  <c r="I63" i="4"/>
  <c r="V62" i="4"/>
  <c r="O62" i="4"/>
  <c r="L62" i="4"/>
  <c r="I62" i="4"/>
  <c r="V61" i="4"/>
  <c r="O61" i="4"/>
  <c r="L61" i="4"/>
  <c r="I61" i="4"/>
  <c r="V60" i="4"/>
  <c r="O60" i="4"/>
  <c r="L60" i="4"/>
  <c r="I60" i="4"/>
  <c r="V59" i="4"/>
  <c r="O59" i="4"/>
  <c r="L59" i="4"/>
  <c r="I59" i="4"/>
  <c r="V58" i="4"/>
  <c r="O58" i="4"/>
  <c r="L58" i="4"/>
  <c r="I58" i="4"/>
  <c r="V57" i="4"/>
  <c r="O57" i="4"/>
  <c r="L57" i="4"/>
  <c r="I57" i="4"/>
  <c r="V56" i="4"/>
  <c r="O56" i="4"/>
  <c r="L56" i="4"/>
  <c r="I56" i="4"/>
  <c r="V55" i="4"/>
  <c r="O55" i="4"/>
  <c r="L55" i="4"/>
  <c r="I55" i="4"/>
  <c r="V54" i="4"/>
  <c r="O54" i="4"/>
  <c r="L54" i="4"/>
  <c r="I54" i="4"/>
  <c r="V100" i="4"/>
  <c r="O100" i="4"/>
  <c r="L100" i="4"/>
  <c r="I100" i="4"/>
  <c r="V53" i="4"/>
  <c r="O53" i="4"/>
  <c r="L53" i="4"/>
  <c r="I53" i="4"/>
  <c r="V52" i="4"/>
  <c r="O52" i="4"/>
  <c r="L52" i="4"/>
  <c r="I52" i="4"/>
  <c r="V51" i="4"/>
  <c r="O51" i="4"/>
  <c r="L51" i="4"/>
  <c r="I51" i="4"/>
  <c r="AG876" i="1"/>
  <c r="AH876" i="1"/>
  <c r="AG877" i="1"/>
  <c r="AH877" i="1"/>
  <c r="AG878" i="1"/>
  <c r="AH878" i="1"/>
  <c r="AG879" i="1"/>
  <c r="AH879" i="1"/>
  <c r="AG880" i="1"/>
  <c r="AH880" i="1"/>
  <c r="AG881" i="1"/>
  <c r="AH881" i="1"/>
  <c r="AG882" i="1"/>
  <c r="AH882" i="1"/>
  <c r="AG883" i="1"/>
  <c r="AH883" i="1"/>
  <c r="AG884" i="1"/>
  <c r="AH884" i="1"/>
  <c r="AG885" i="1"/>
  <c r="AH885" i="1"/>
  <c r="AG886" i="1"/>
  <c r="AH886" i="1"/>
  <c r="AG887" i="1"/>
  <c r="AH887" i="1"/>
  <c r="AG888" i="1"/>
  <c r="AH888" i="1"/>
  <c r="AG889" i="1"/>
  <c r="AH889" i="1"/>
  <c r="AG890" i="1"/>
  <c r="AH890" i="1"/>
  <c r="AG891" i="1"/>
  <c r="AH891" i="1"/>
  <c r="AG892" i="1"/>
  <c r="AH892" i="1"/>
  <c r="AG893" i="1"/>
  <c r="AH893" i="1"/>
  <c r="AG894" i="1"/>
  <c r="AH894" i="1"/>
  <c r="AG895" i="1"/>
  <c r="AH895" i="1"/>
  <c r="AG896" i="1"/>
  <c r="AH896" i="1"/>
  <c r="AG897" i="1"/>
  <c r="AH897" i="1"/>
  <c r="AG898" i="1"/>
  <c r="AH898" i="1"/>
  <c r="AG899" i="1"/>
  <c r="AH899" i="1"/>
  <c r="AG900" i="1"/>
  <c r="AH900" i="1"/>
  <c r="AG901" i="1"/>
  <c r="AH901" i="1"/>
  <c r="AG902" i="1"/>
  <c r="AH902" i="1"/>
  <c r="AG903" i="1"/>
  <c r="AH903" i="1"/>
  <c r="AG904" i="1"/>
  <c r="AH904" i="1"/>
  <c r="AG905" i="1"/>
  <c r="AH905" i="1"/>
  <c r="AG906" i="1"/>
  <c r="AH906" i="1"/>
  <c r="AG907" i="1"/>
  <c r="AH907" i="1"/>
  <c r="AG908" i="1"/>
  <c r="AH908" i="1"/>
  <c r="AG909" i="1"/>
  <c r="AH909" i="1"/>
  <c r="AG910" i="1"/>
  <c r="AH910" i="1"/>
  <c r="AG911" i="1"/>
  <c r="AH911" i="1"/>
  <c r="AG912" i="1"/>
  <c r="AH912" i="1"/>
  <c r="AG913" i="1"/>
  <c r="AH913" i="1"/>
  <c r="AG914" i="1"/>
  <c r="AH914" i="1"/>
  <c r="AG915" i="1"/>
  <c r="AH915" i="1"/>
  <c r="AG916" i="1"/>
  <c r="AH916" i="1"/>
  <c r="AG917" i="1"/>
  <c r="AH917" i="1"/>
  <c r="AG918" i="1"/>
  <c r="AH918" i="1"/>
  <c r="AG919" i="1"/>
  <c r="AH919" i="1"/>
  <c r="AG920" i="1"/>
  <c r="AH920" i="1"/>
  <c r="AG921" i="1"/>
  <c r="AH921" i="1"/>
  <c r="AG922" i="1"/>
  <c r="AH922" i="1"/>
  <c r="AG923" i="1"/>
  <c r="AH923" i="1"/>
  <c r="AG924" i="1"/>
  <c r="AH924" i="1"/>
  <c r="AG925" i="1"/>
  <c r="AH925" i="1"/>
  <c r="AG926" i="1"/>
  <c r="AH926" i="1"/>
  <c r="AG927" i="1"/>
  <c r="AH927" i="1"/>
  <c r="AG928" i="1"/>
  <c r="AH928" i="1"/>
  <c r="AG929" i="1"/>
  <c r="AH929" i="1"/>
  <c r="AG930" i="1"/>
  <c r="AH930" i="1"/>
  <c r="AG931" i="1"/>
  <c r="AH931" i="1"/>
  <c r="AG932" i="1"/>
  <c r="AH932" i="1"/>
  <c r="AG933" i="1"/>
  <c r="AH933" i="1"/>
  <c r="AG934" i="1"/>
  <c r="AH934" i="1"/>
  <c r="AG935" i="1"/>
  <c r="AH935" i="1"/>
  <c r="AG936" i="1"/>
  <c r="AH936" i="1"/>
  <c r="AG937" i="1"/>
  <c r="AH937" i="1"/>
  <c r="AG938" i="1"/>
  <c r="AH938" i="1"/>
  <c r="AG939" i="1"/>
  <c r="AH939" i="1"/>
  <c r="AG940" i="1"/>
  <c r="AH940" i="1"/>
  <c r="AG941" i="1"/>
  <c r="AH941" i="1"/>
  <c r="AG942" i="1"/>
  <c r="AH942" i="1"/>
  <c r="AG943" i="1"/>
  <c r="AH943" i="1"/>
  <c r="AG944" i="1"/>
  <c r="AH944" i="1"/>
  <c r="AG945" i="1"/>
  <c r="AH945" i="1"/>
  <c r="AG946" i="1"/>
  <c r="AH946" i="1"/>
  <c r="AG947" i="1"/>
  <c r="AH947" i="1"/>
  <c r="AG948" i="1"/>
  <c r="AH948" i="1"/>
  <c r="AG949" i="1"/>
  <c r="AH949" i="1"/>
  <c r="AG950" i="1"/>
  <c r="AH950" i="1"/>
  <c r="AG951" i="1"/>
  <c r="AH951" i="1"/>
  <c r="AG952" i="1"/>
  <c r="AH952" i="1"/>
  <c r="AG953" i="1"/>
  <c r="AH953" i="1"/>
  <c r="AG954" i="1"/>
  <c r="AH954" i="1"/>
  <c r="AG955" i="1"/>
  <c r="AH955" i="1"/>
  <c r="AG956" i="1"/>
  <c r="AH956" i="1"/>
  <c r="AG957" i="1"/>
  <c r="AH957" i="1"/>
  <c r="AG958" i="1"/>
  <c r="AH958" i="1"/>
  <c r="AG959" i="1"/>
  <c r="AH959" i="1"/>
  <c r="AG960" i="1"/>
  <c r="AH960" i="1"/>
  <c r="AG961" i="1"/>
  <c r="AH961" i="1"/>
  <c r="AG962" i="1"/>
  <c r="AH962" i="1"/>
  <c r="AG963" i="1"/>
  <c r="AH963" i="1"/>
  <c r="AG964" i="1"/>
  <c r="AH964" i="1"/>
  <c r="AG965" i="1"/>
  <c r="AH965" i="1"/>
  <c r="AG966" i="1"/>
  <c r="AH966" i="1"/>
  <c r="AG967" i="1"/>
  <c r="AH967" i="1"/>
  <c r="AG968" i="1"/>
  <c r="AH968" i="1"/>
  <c r="AG969" i="1"/>
  <c r="AH969" i="1"/>
  <c r="AG970" i="1"/>
  <c r="AH970" i="1"/>
  <c r="AG971" i="1"/>
  <c r="AH971" i="1"/>
  <c r="AG972" i="1"/>
  <c r="AH972" i="1"/>
  <c r="AG973" i="1"/>
  <c r="AH973" i="1"/>
  <c r="AG974" i="1"/>
  <c r="AH974" i="1"/>
  <c r="AG975" i="1"/>
  <c r="AH975" i="1"/>
  <c r="AG976" i="1"/>
  <c r="AH976" i="1"/>
  <c r="AG977" i="1"/>
  <c r="AH977" i="1"/>
  <c r="AG978" i="1"/>
  <c r="AH978" i="1"/>
  <c r="AG979" i="1"/>
  <c r="AH979" i="1"/>
  <c r="AG980" i="1"/>
  <c r="AH980" i="1"/>
  <c r="AG981" i="1"/>
  <c r="AH981" i="1"/>
  <c r="AG982" i="1"/>
  <c r="AH982" i="1"/>
  <c r="AG983" i="1"/>
  <c r="AH983" i="1"/>
  <c r="AG984" i="1"/>
  <c r="AH984" i="1"/>
  <c r="AG985" i="1"/>
  <c r="AH985" i="1"/>
  <c r="AG986" i="1"/>
  <c r="AH986" i="1"/>
  <c r="AG987" i="1"/>
  <c r="AH987" i="1"/>
  <c r="AG988" i="1"/>
  <c r="AH988" i="1"/>
  <c r="AG989" i="1"/>
  <c r="AH989" i="1"/>
  <c r="AG990" i="1"/>
  <c r="AH990" i="1"/>
  <c r="AG991" i="1"/>
  <c r="AH991" i="1"/>
  <c r="AG992" i="1"/>
  <c r="AH992" i="1"/>
  <c r="AG993" i="1"/>
  <c r="AH993" i="1"/>
  <c r="AG994" i="1"/>
  <c r="AH994" i="1"/>
  <c r="AG995" i="1"/>
  <c r="AH995" i="1"/>
  <c r="AG996" i="1"/>
  <c r="AH996" i="1"/>
  <c r="AG997" i="1"/>
  <c r="AH997" i="1"/>
  <c r="AG998" i="1"/>
  <c r="AH998" i="1"/>
  <c r="AG999" i="1"/>
  <c r="AH999" i="1"/>
  <c r="AG1000" i="1"/>
  <c r="AH1000" i="1"/>
  <c r="AG1001" i="1"/>
  <c r="AH1001" i="1"/>
  <c r="AG1002" i="1"/>
  <c r="AH1002" i="1"/>
  <c r="AG1003" i="1"/>
  <c r="AH1003" i="1"/>
  <c r="AG1004" i="1"/>
  <c r="AH1004" i="1"/>
  <c r="AG1005" i="1"/>
  <c r="AH1005" i="1"/>
  <c r="AG1006" i="1"/>
  <c r="AH1006" i="1"/>
  <c r="AG1007" i="1"/>
  <c r="AH1007" i="1"/>
  <c r="AG1008" i="1"/>
  <c r="AH1008" i="1"/>
  <c r="AG1009" i="1"/>
  <c r="AH1009" i="1"/>
  <c r="AG1010" i="1"/>
  <c r="AH1010" i="1"/>
  <c r="AG1011" i="1"/>
  <c r="AH1011" i="1"/>
  <c r="AG1012" i="1"/>
  <c r="AH1012" i="1"/>
  <c r="AG1013" i="1"/>
  <c r="AH1013" i="1"/>
  <c r="AG1014" i="1"/>
  <c r="AH1014" i="1"/>
  <c r="AG1015" i="1"/>
  <c r="AH1015" i="1"/>
  <c r="AG1016" i="1"/>
  <c r="AH1016" i="1"/>
  <c r="AG1017" i="1"/>
  <c r="AH1017" i="1"/>
  <c r="AG1018" i="1"/>
  <c r="AH1018" i="1"/>
  <c r="AG1019" i="1"/>
  <c r="AH1019" i="1"/>
  <c r="AG1020" i="1"/>
  <c r="AH1020" i="1"/>
  <c r="AG1021" i="1"/>
  <c r="AH1021" i="1"/>
  <c r="AG1022" i="1"/>
  <c r="AH1022" i="1"/>
  <c r="AG1023" i="1"/>
  <c r="AH1023" i="1"/>
  <c r="AG1024" i="1"/>
  <c r="AH1024" i="1"/>
  <c r="AG1025" i="1"/>
  <c r="AH1025" i="1"/>
  <c r="AG1026" i="1"/>
  <c r="AH1026" i="1"/>
  <c r="AG1027" i="1"/>
  <c r="AH1027" i="1"/>
  <c r="AG1028" i="1"/>
  <c r="AH1028" i="1"/>
  <c r="AG1029" i="1"/>
  <c r="AH1029" i="1"/>
  <c r="AG1030" i="1"/>
  <c r="AH1030" i="1"/>
  <c r="AG1031" i="1"/>
  <c r="AH1031" i="1"/>
  <c r="AG1032" i="1"/>
  <c r="AH1032" i="1"/>
  <c r="AG1033" i="1"/>
  <c r="AH1033" i="1"/>
  <c r="AG1034" i="1"/>
  <c r="AH1034" i="1"/>
  <c r="AG1035" i="1"/>
  <c r="AH1035" i="1"/>
  <c r="AG1036" i="1"/>
  <c r="AH1036" i="1"/>
  <c r="AG1037" i="1"/>
  <c r="AH1037" i="1"/>
  <c r="AG1038" i="1"/>
  <c r="AH1038" i="1"/>
  <c r="AG1039" i="1"/>
  <c r="AH1039" i="1"/>
  <c r="AG1040" i="1"/>
  <c r="AH1040" i="1"/>
  <c r="AG1041" i="1"/>
  <c r="AH1041" i="1"/>
  <c r="AG1042" i="1"/>
  <c r="AH1042" i="1"/>
  <c r="AG1043" i="1"/>
  <c r="AH1043" i="1"/>
  <c r="AG1044" i="1"/>
  <c r="AH1044" i="1"/>
  <c r="AG1045" i="1"/>
  <c r="AH1045" i="1"/>
  <c r="AG1046" i="1"/>
  <c r="AH1046" i="1"/>
  <c r="AG1047" i="1"/>
  <c r="AH1047" i="1"/>
  <c r="AG1048" i="1"/>
  <c r="AH1048" i="1"/>
  <c r="AG1049" i="1"/>
  <c r="AH1049" i="1"/>
  <c r="AG1050" i="1"/>
  <c r="AH1050" i="1"/>
  <c r="AG1051" i="1"/>
  <c r="AH1051" i="1"/>
  <c r="AG1052" i="1"/>
  <c r="AH1052" i="1"/>
  <c r="AG1053" i="1"/>
  <c r="AH1053" i="1"/>
  <c r="AG1054" i="1"/>
  <c r="AH1054" i="1"/>
  <c r="AG1055" i="1"/>
  <c r="AH1055" i="1"/>
  <c r="AG1056" i="1"/>
  <c r="AH1056" i="1"/>
  <c r="AG1057" i="1"/>
  <c r="AH1057" i="1"/>
  <c r="AG1058" i="1"/>
  <c r="AH1058" i="1"/>
  <c r="AG1059" i="1"/>
  <c r="AH1059" i="1"/>
  <c r="AG1060" i="1"/>
  <c r="AH1060" i="1"/>
  <c r="AG1061" i="1"/>
  <c r="AH1061" i="1"/>
  <c r="AG1062" i="1"/>
  <c r="AH1062" i="1"/>
  <c r="AG1063" i="1"/>
  <c r="AH1063" i="1"/>
  <c r="AG1064" i="1"/>
  <c r="AH1064" i="1"/>
  <c r="AG1065" i="1"/>
  <c r="AH1065" i="1"/>
  <c r="AG1066" i="1"/>
  <c r="AH1066" i="1"/>
  <c r="AG1067" i="1"/>
  <c r="AH1067" i="1"/>
  <c r="AG1068" i="1"/>
  <c r="AH1068" i="1"/>
  <c r="AG1069" i="1"/>
  <c r="AH1069" i="1"/>
  <c r="AG1070" i="1"/>
  <c r="AH1070" i="1"/>
  <c r="AG1071" i="1"/>
  <c r="AH1071" i="1"/>
  <c r="AG1072" i="1"/>
  <c r="AH1072" i="1"/>
  <c r="AG1073" i="1"/>
  <c r="AH1073" i="1"/>
  <c r="AG1074" i="1"/>
  <c r="AH1074" i="1"/>
  <c r="AG1075" i="1"/>
  <c r="AH1075" i="1"/>
  <c r="AG1076" i="1"/>
  <c r="AH1076" i="1"/>
  <c r="AG1077" i="1"/>
  <c r="AH1077" i="1"/>
  <c r="AG1078" i="1"/>
  <c r="AH1078" i="1"/>
  <c r="AG1079" i="1"/>
  <c r="AH1079" i="1"/>
  <c r="AG1080" i="1"/>
  <c r="AH1080" i="1"/>
  <c r="AG1081" i="1"/>
  <c r="AH1081" i="1"/>
  <c r="AG1082" i="1"/>
  <c r="AH1082" i="1"/>
  <c r="AG1083" i="1"/>
  <c r="AH1083" i="1"/>
  <c r="AG1084" i="1"/>
  <c r="AH1084" i="1"/>
  <c r="AG1085" i="1"/>
  <c r="AH1085" i="1"/>
  <c r="AG1086" i="1"/>
  <c r="AH1086" i="1"/>
  <c r="AG1087" i="1"/>
  <c r="AH1087" i="1"/>
  <c r="AG1088" i="1"/>
  <c r="AH1088" i="1"/>
  <c r="AG1089" i="1"/>
  <c r="AH1089" i="1"/>
  <c r="AG1090" i="1"/>
  <c r="AH1090" i="1"/>
  <c r="AG1091" i="1"/>
  <c r="AH1091" i="1"/>
  <c r="AG1092" i="1"/>
  <c r="AH1092" i="1"/>
  <c r="AG1093" i="1"/>
  <c r="AH1093" i="1"/>
  <c r="AG1094" i="1"/>
  <c r="AH1094" i="1"/>
  <c r="AG1095" i="1"/>
  <c r="AH1095" i="1"/>
  <c r="AG1096" i="1"/>
  <c r="AH1096" i="1"/>
  <c r="AG1097" i="1"/>
  <c r="AH1097" i="1"/>
  <c r="AG1098" i="1"/>
  <c r="AH1098" i="1"/>
  <c r="AG1099" i="1"/>
  <c r="AH1099" i="1"/>
  <c r="AG1100" i="1"/>
  <c r="AH1100" i="1"/>
  <c r="AG1101" i="1"/>
  <c r="AH1101" i="1"/>
  <c r="AG1102" i="1"/>
  <c r="AH1102" i="1"/>
  <c r="AG1103" i="1"/>
  <c r="AH1103" i="1"/>
  <c r="AG1104" i="1"/>
  <c r="AH1104" i="1"/>
  <c r="AG1105" i="1"/>
  <c r="AH1105" i="1"/>
  <c r="AG1106" i="1"/>
  <c r="AH1106" i="1"/>
  <c r="AG1107" i="1"/>
  <c r="AH1107" i="1"/>
  <c r="AG1108" i="1"/>
  <c r="AH1108" i="1"/>
  <c r="AG1109" i="1"/>
  <c r="AH1109" i="1"/>
  <c r="AG1110" i="1"/>
  <c r="AH1110" i="1"/>
  <c r="AG1111" i="1"/>
  <c r="AH1111" i="1"/>
  <c r="AG1112" i="1"/>
  <c r="AH1112" i="1"/>
  <c r="AG1113" i="1"/>
  <c r="AH1113" i="1"/>
  <c r="AG1114" i="1"/>
  <c r="AH1114" i="1"/>
  <c r="AG1115" i="1"/>
  <c r="AH1115" i="1"/>
  <c r="AG1116" i="1"/>
  <c r="AH1116" i="1"/>
  <c r="AG1117" i="1"/>
  <c r="AH1117" i="1"/>
  <c r="AG1118" i="1"/>
  <c r="AH1118" i="1"/>
  <c r="AG1119" i="1"/>
  <c r="AH1119" i="1"/>
  <c r="AG1120" i="1"/>
  <c r="AH1120" i="1"/>
  <c r="AG1121" i="1"/>
  <c r="AH1121" i="1"/>
  <c r="AG1122" i="1"/>
  <c r="AH1122" i="1"/>
  <c r="AG1123" i="1"/>
  <c r="AH1123" i="1"/>
  <c r="AG1124" i="1"/>
  <c r="AH1124" i="1"/>
  <c r="AG1125" i="1"/>
  <c r="AH1125" i="1"/>
  <c r="AG1126" i="1"/>
  <c r="AH1126" i="1"/>
  <c r="AG1127" i="1"/>
  <c r="AH1127" i="1"/>
  <c r="AG1128" i="1"/>
  <c r="AH1128" i="1"/>
  <c r="AG1129" i="1"/>
  <c r="AH1129" i="1"/>
  <c r="AG1130" i="1"/>
  <c r="AH1130" i="1"/>
  <c r="AG1131" i="1"/>
  <c r="AH1131" i="1"/>
  <c r="AG1132" i="1"/>
  <c r="AH1132" i="1"/>
  <c r="AG1133" i="1"/>
  <c r="AH1133" i="1"/>
  <c r="AG1134" i="1"/>
  <c r="AH1134" i="1"/>
  <c r="AG1135" i="1"/>
  <c r="AH1135" i="1"/>
  <c r="AG1136" i="1"/>
  <c r="AH1136" i="1"/>
  <c r="AG1137" i="1"/>
  <c r="AH1137" i="1"/>
  <c r="AG1138" i="1"/>
  <c r="AH1138" i="1"/>
  <c r="AG1139" i="1"/>
  <c r="AH1139" i="1"/>
  <c r="AG1140" i="1"/>
  <c r="AH1140" i="1"/>
  <c r="AG1141" i="1"/>
  <c r="AH1141" i="1"/>
  <c r="AG1142" i="1"/>
  <c r="AH1142" i="1"/>
  <c r="AG1143" i="1"/>
  <c r="AH1143" i="1"/>
  <c r="AG1144" i="1"/>
  <c r="AH1144" i="1"/>
  <c r="AG1145" i="1"/>
  <c r="AH1145" i="1"/>
  <c r="AG1146" i="1"/>
  <c r="AH1146" i="1"/>
  <c r="AG1147" i="1"/>
  <c r="AH1147" i="1"/>
  <c r="AG1148" i="1"/>
  <c r="AH1148" i="1"/>
  <c r="AG1149" i="1"/>
  <c r="AH1149" i="1"/>
  <c r="AG1150" i="1"/>
  <c r="AH1150" i="1"/>
  <c r="AG1151" i="1"/>
  <c r="AH1151" i="1"/>
  <c r="AG1152" i="1"/>
  <c r="AH1152" i="1"/>
  <c r="AG1153" i="1"/>
  <c r="AH1153" i="1"/>
  <c r="AG1154" i="1"/>
  <c r="AH1154" i="1"/>
  <c r="AG1155" i="1"/>
  <c r="AH1155" i="1"/>
  <c r="AG1156" i="1"/>
  <c r="AH1156" i="1"/>
  <c r="AG1157" i="1"/>
  <c r="AH1157" i="1"/>
  <c r="AG1158" i="1"/>
  <c r="AH1158" i="1"/>
  <c r="AG1159" i="1"/>
  <c r="AH1159" i="1"/>
  <c r="AG1160" i="1"/>
  <c r="AH1160" i="1"/>
  <c r="AG1161" i="1"/>
  <c r="AH1161" i="1"/>
  <c r="AG1162" i="1"/>
  <c r="AH1162" i="1"/>
  <c r="AG1163" i="1"/>
  <c r="AH1163" i="1"/>
  <c r="AG1164" i="1"/>
  <c r="AH1164" i="1"/>
  <c r="AG1165" i="1"/>
  <c r="AH1165" i="1"/>
  <c r="AG1166" i="1"/>
  <c r="AH1166" i="1"/>
  <c r="AG1167" i="1"/>
  <c r="AH1167" i="1"/>
  <c r="AG1168" i="1"/>
  <c r="AH1168" i="1"/>
  <c r="AG1169" i="1"/>
  <c r="AH1169" i="1"/>
  <c r="AG1170" i="1"/>
  <c r="AH1170" i="1"/>
  <c r="AG1171" i="1"/>
  <c r="AH1171" i="1"/>
  <c r="AG1172" i="1"/>
  <c r="AH1172" i="1"/>
  <c r="AG1173" i="1"/>
  <c r="AH1173" i="1"/>
  <c r="AG1174" i="1"/>
  <c r="AH1174" i="1"/>
  <c r="AG1175" i="1"/>
  <c r="AH1175" i="1"/>
  <c r="AG1176" i="1"/>
  <c r="AH1176" i="1"/>
  <c r="AG1177" i="1"/>
  <c r="AH1177" i="1"/>
  <c r="AG1178" i="1"/>
  <c r="AH1178" i="1"/>
  <c r="AG1179" i="1"/>
  <c r="AH1179" i="1"/>
  <c r="AG1180" i="1"/>
  <c r="AH1180" i="1"/>
  <c r="AG1181" i="1"/>
  <c r="AH1181" i="1"/>
  <c r="AG1182" i="1"/>
  <c r="AH1182" i="1"/>
  <c r="AG1183" i="1"/>
  <c r="AH1183" i="1"/>
  <c r="AG1184" i="1"/>
  <c r="AH1184" i="1"/>
  <c r="AG1185" i="1"/>
  <c r="AH1185" i="1"/>
  <c r="AG1186" i="1"/>
  <c r="AH1186" i="1"/>
  <c r="AG1187" i="1"/>
  <c r="AH1187" i="1"/>
  <c r="AG1188" i="1"/>
  <c r="AH1188" i="1"/>
  <c r="AG1189" i="1"/>
  <c r="AH1189" i="1"/>
  <c r="AG1190" i="1"/>
  <c r="AH1190" i="1"/>
  <c r="AG1191" i="1"/>
  <c r="AH1191" i="1"/>
  <c r="AG1192" i="1"/>
  <c r="AH1192" i="1"/>
  <c r="AG1193" i="1"/>
  <c r="AH1193" i="1"/>
  <c r="AG1194" i="1"/>
  <c r="AH1194" i="1"/>
  <c r="AG1195" i="1"/>
  <c r="AH1195" i="1"/>
  <c r="AG1196" i="1"/>
  <c r="AH1196" i="1"/>
  <c r="AG1197" i="1"/>
  <c r="AH1197" i="1"/>
  <c r="AG1198" i="1"/>
  <c r="AH1198" i="1"/>
  <c r="AG1199" i="1"/>
  <c r="AH1199" i="1"/>
  <c r="AG1200" i="1"/>
  <c r="AH1200" i="1"/>
  <c r="AG1201" i="1"/>
  <c r="AH1201" i="1"/>
  <c r="AG1202" i="1"/>
  <c r="AH1202" i="1"/>
  <c r="AG1203" i="1"/>
  <c r="AH1203" i="1"/>
  <c r="AG1204" i="1"/>
  <c r="AH1204" i="1"/>
  <c r="AG1205" i="1"/>
  <c r="AH1205" i="1"/>
  <c r="AG1206" i="1"/>
  <c r="AH1206" i="1"/>
  <c r="AG1207" i="1"/>
  <c r="AH1207" i="1"/>
  <c r="AG1208" i="1"/>
  <c r="AH1208" i="1"/>
  <c r="AG1209" i="1"/>
  <c r="AH1209" i="1"/>
  <c r="AG1210" i="1"/>
  <c r="AH1210" i="1"/>
  <c r="AG1211" i="1"/>
  <c r="AH1211" i="1"/>
  <c r="AG1212" i="1"/>
  <c r="AH1212" i="1"/>
  <c r="AG1213" i="1"/>
  <c r="AH1213" i="1"/>
  <c r="AG1214" i="1"/>
  <c r="AH1214" i="1"/>
  <c r="AG1215" i="1"/>
  <c r="AH1215" i="1"/>
  <c r="AG1216" i="1"/>
  <c r="AH1216" i="1"/>
  <c r="AG1217" i="1"/>
  <c r="AH1217" i="1"/>
  <c r="AG1218" i="1"/>
  <c r="AH1218" i="1"/>
  <c r="AG1219" i="1"/>
  <c r="AH1219" i="1"/>
  <c r="AG1220" i="1"/>
  <c r="AH1220" i="1"/>
  <c r="AG1221" i="1"/>
  <c r="AH1221" i="1"/>
  <c r="AG1222" i="1"/>
  <c r="AH1222" i="1"/>
  <c r="AG1223" i="1"/>
  <c r="AH1223" i="1"/>
  <c r="AG1224" i="1"/>
  <c r="AH1224" i="1"/>
  <c r="AG1225" i="1"/>
  <c r="AH1225" i="1"/>
  <c r="AG1226" i="1"/>
  <c r="AH1226" i="1"/>
  <c r="AG1227" i="1"/>
  <c r="AH1227" i="1"/>
  <c r="AG1228" i="1"/>
  <c r="AH1228" i="1"/>
  <c r="AG1229" i="1"/>
  <c r="AH1229" i="1"/>
  <c r="AG1230" i="1"/>
  <c r="AH1230" i="1"/>
  <c r="AG1231" i="1"/>
  <c r="AH1231" i="1"/>
  <c r="AG1232" i="1"/>
  <c r="AH1232" i="1"/>
  <c r="AG1233" i="1"/>
  <c r="AH1233" i="1"/>
  <c r="AG1234" i="1"/>
  <c r="AH1234" i="1"/>
  <c r="AG1235" i="1"/>
  <c r="AH1235" i="1"/>
  <c r="AG1236" i="1"/>
  <c r="AH1236" i="1"/>
  <c r="AG1237" i="1"/>
  <c r="AH1237" i="1"/>
  <c r="AG1238" i="1"/>
  <c r="AH1238" i="1"/>
  <c r="AG1239" i="1"/>
  <c r="AH1239" i="1"/>
  <c r="AG1240" i="1"/>
  <c r="AH1240" i="1"/>
  <c r="AG1241" i="1"/>
  <c r="AH1241" i="1"/>
  <c r="AG1242" i="1"/>
  <c r="AH1242" i="1"/>
  <c r="AG1243" i="1"/>
  <c r="AH1243" i="1"/>
  <c r="AG1244" i="1"/>
  <c r="AH1244" i="1"/>
  <c r="AG1245" i="1"/>
  <c r="AH1245" i="1"/>
  <c r="AG1246" i="1"/>
  <c r="AH1246" i="1"/>
  <c r="AG1247" i="1"/>
  <c r="AH1247" i="1"/>
  <c r="AG1248" i="1"/>
  <c r="AH1248" i="1"/>
  <c r="AG1249" i="1"/>
  <c r="AH1249" i="1"/>
  <c r="AG1250" i="1"/>
  <c r="AH1250" i="1"/>
  <c r="AG1251" i="1"/>
  <c r="AH1251" i="1"/>
  <c r="AG1252" i="1"/>
  <c r="AH1252" i="1"/>
  <c r="AG1253" i="1"/>
  <c r="AH1253" i="1"/>
  <c r="AG1254" i="1"/>
  <c r="AH1254" i="1"/>
  <c r="AG1255" i="1"/>
  <c r="AH1255" i="1"/>
  <c r="AG1256" i="1"/>
  <c r="AH1256" i="1"/>
  <c r="AG1257" i="1"/>
  <c r="AH1257" i="1"/>
  <c r="AG1258" i="1"/>
  <c r="AH1258" i="1"/>
  <c r="AG1259" i="1"/>
  <c r="AH1259" i="1"/>
  <c r="AG1260" i="1"/>
  <c r="AH1260" i="1"/>
  <c r="AG1261" i="1"/>
  <c r="AH1261" i="1"/>
  <c r="AG1262" i="1"/>
  <c r="AH1262" i="1"/>
  <c r="AG1263" i="1"/>
  <c r="AH1263" i="1"/>
  <c r="AG1264" i="1"/>
  <c r="AH1264" i="1"/>
  <c r="AG1265" i="1"/>
  <c r="AH1265" i="1"/>
  <c r="AG1266" i="1"/>
  <c r="AH1266" i="1"/>
  <c r="AG1267" i="1"/>
  <c r="AH1267" i="1"/>
  <c r="AG1268" i="1"/>
  <c r="AH1268" i="1"/>
  <c r="AG1269" i="1"/>
  <c r="AH1269" i="1"/>
  <c r="AG1270" i="1"/>
  <c r="AH1270" i="1"/>
  <c r="AG1271" i="1"/>
  <c r="AH1271" i="1"/>
  <c r="AG1272" i="1"/>
  <c r="AH1272" i="1"/>
  <c r="AG1273" i="1"/>
  <c r="AH1273" i="1"/>
  <c r="AG1274" i="1"/>
  <c r="AH1274" i="1"/>
  <c r="AG1275" i="1"/>
  <c r="AH1275" i="1"/>
  <c r="AG1276" i="1"/>
  <c r="AH1276" i="1"/>
  <c r="AG1277" i="1"/>
  <c r="AH1277" i="1"/>
  <c r="AG1278" i="1"/>
  <c r="AH1278" i="1"/>
  <c r="AG1279" i="1"/>
  <c r="AH1279" i="1"/>
  <c r="AG1280" i="1"/>
  <c r="AH1280" i="1"/>
  <c r="AG1281" i="1"/>
  <c r="AH1281" i="1"/>
  <c r="AG1282" i="1"/>
  <c r="AH1282" i="1"/>
  <c r="AG1283" i="1"/>
  <c r="AH1283" i="1"/>
  <c r="AG1284" i="1"/>
  <c r="AH1284" i="1"/>
  <c r="AG1285" i="1"/>
  <c r="AH1285" i="1"/>
  <c r="AG1286" i="1"/>
  <c r="AH1286" i="1"/>
  <c r="AG1287" i="1"/>
  <c r="AH1287" i="1"/>
  <c r="AG1288" i="1"/>
  <c r="AH1288" i="1"/>
  <c r="AG1289" i="1"/>
  <c r="AH1289" i="1"/>
  <c r="AG1290" i="1"/>
  <c r="AH1290" i="1"/>
  <c r="AG1291" i="1"/>
  <c r="AH1291" i="1"/>
  <c r="AG1292" i="1"/>
  <c r="AH1292" i="1"/>
  <c r="AG1293" i="1"/>
  <c r="AH1293" i="1"/>
  <c r="AG1294" i="1"/>
  <c r="AH1294" i="1"/>
  <c r="AG1295" i="1"/>
  <c r="AH1295" i="1"/>
  <c r="AG1296" i="1"/>
  <c r="AH1296" i="1"/>
  <c r="AG1297" i="1"/>
  <c r="AH1297" i="1"/>
  <c r="AG1298" i="1"/>
  <c r="AH1298" i="1"/>
  <c r="AG1299" i="1"/>
  <c r="AH1299" i="1"/>
  <c r="AG1300" i="1"/>
  <c r="AH1300" i="1"/>
  <c r="AG1301" i="1"/>
  <c r="AH1301" i="1"/>
  <c r="AG1302" i="1"/>
  <c r="AH1302" i="1"/>
  <c r="AG1303" i="1"/>
  <c r="AH1303" i="1"/>
  <c r="AG1304" i="1"/>
  <c r="AH1304" i="1"/>
  <c r="AG1305" i="1"/>
  <c r="AH1305" i="1"/>
  <c r="AG1306" i="1"/>
  <c r="AH1306" i="1"/>
  <c r="AG1307" i="1"/>
  <c r="AH1307" i="1"/>
  <c r="AG1308" i="1"/>
  <c r="AH1308" i="1"/>
  <c r="AG1309" i="1"/>
  <c r="AH1309" i="1"/>
  <c r="AG1310" i="1"/>
  <c r="AH1310" i="1"/>
  <c r="AG1311" i="1"/>
  <c r="AH1311" i="1"/>
  <c r="AG1312" i="1"/>
  <c r="AH1312" i="1"/>
  <c r="AG1313" i="1"/>
  <c r="AH1313" i="1"/>
  <c r="AG1314" i="1"/>
  <c r="AH1314" i="1"/>
  <c r="AG1315" i="1"/>
  <c r="AH1315" i="1"/>
  <c r="AG1316" i="1"/>
  <c r="AH1316" i="1"/>
  <c r="AG1317" i="1"/>
  <c r="AH1317" i="1"/>
  <c r="AG1318" i="1"/>
  <c r="AH1318" i="1"/>
  <c r="AG1319" i="1"/>
  <c r="AH1319" i="1"/>
  <c r="AG1320" i="1"/>
  <c r="AH1320" i="1"/>
  <c r="AG1321" i="1"/>
  <c r="AH1321" i="1"/>
  <c r="AG1322" i="1"/>
  <c r="AH1322" i="1"/>
  <c r="AG1323" i="1"/>
  <c r="AH1323" i="1"/>
  <c r="AG1324" i="1"/>
  <c r="AH1324" i="1"/>
  <c r="AG1325" i="1"/>
  <c r="AH1325" i="1"/>
  <c r="AG1326" i="1"/>
  <c r="AH1326" i="1"/>
  <c r="AG1327" i="1"/>
  <c r="AH1327" i="1"/>
  <c r="AG1328" i="1"/>
  <c r="AH1328" i="1"/>
  <c r="AG1329" i="1"/>
  <c r="AH1329" i="1"/>
  <c r="AG1330" i="1"/>
  <c r="AH1330" i="1"/>
  <c r="AG1331" i="1"/>
  <c r="AH1331" i="1"/>
  <c r="AG1332" i="1"/>
  <c r="AH1332" i="1"/>
  <c r="AG1333" i="1"/>
  <c r="AH1333" i="1"/>
  <c r="AG1334" i="1"/>
  <c r="AH1334" i="1"/>
  <c r="AG1335" i="1"/>
  <c r="AH1335" i="1"/>
  <c r="AG1336" i="1"/>
  <c r="AH1336" i="1"/>
  <c r="AG1337" i="1"/>
  <c r="AH1337" i="1"/>
  <c r="AG1338" i="1"/>
  <c r="AH1338" i="1"/>
  <c r="AG1339" i="1"/>
  <c r="AH1339" i="1"/>
  <c r="AG1340" i="1"/>
  <c r="AH1340" i="1"/>
  <c r="AG1341" i="1"/>
  <c r="AH1341" i="1"/>
  <c r="AG1342" i="1"/>
  <c r="AH1342" i="1"/>
  <c r="AG1343" i="1"/>
  <c r="AH1343" i="1"/>
  <c r="AG1344" i="1"/>
  <c r="AH1344" i="1"/>
  <c r="AG1345" i="1"/>
  <c r="AH1345" i="1"/>
  <c r="AG1346" i="1"/>
  <c r="AH1346" i="1"/>
  <c r="AG1347" i="1"/>
  <c r="AH1347" i="1"/>
  <c r="AG1348" i="1"/>
  <c r="AH1348" i="1"/>
  <c r="AG1349" i="1"/>
  <c r="AH1349" i="1"/>
  <c r="AG1350" i="1"/>
  <c r="AH1350" i="1"/>
  <c r="AG1351" i="1"/>
  <c r="AH1351" i="1"/>
  <c r="AG1352" i="1"/>
  <c r="AH1352" i="1"/>
  <c r="AG1353" i="1"/>
  <c r="AH1353" i="1"/>
  <c r="AG1354" i="1"/>
  <c r="AH1354" i="1"/>
  <c r="AG1355" i="1"/>
  <c r="AH1355" i="1"/>
  <c r="AG1356" i="1"/>
  <c r="AH1356" i="1"/>
  <c r="AG1357" i="1"/>
  <c r="AH1357" i="1"/>
  <c r="AG1358" i="1"/>
  <c r="AH1358" i="1"/>
  <c r="AG1359" i="1"/>
  <c r="AH1359" i="1"/>
  <c r="AG1360" i="1"/>
  <c r="AH1360" i="1"/>
  <c r="AG1361" i="1"/>
  <c r="AH1361" i="1"/>
  <c r="AG1362" i="1"/>
  <c r="AH1362" i="1"/>
  <c r="AG1363" i="1"/>
  <c r="AH1363" i="1"/>
  <c r="AG1364" i="1"/>
  <c r="AH1364" i="1"/>
  <c r="AG1365" i="1"/>
  <c r="AH1365" i="1"/>
  <c r="AG1366" i="1"/>
  <c r="AH1366" i="1"/>
  <c r="AG1367" i="1"/>
  <c r="AH1367" i="1"/>
  <c r="AG1368" i="1"/>
  <c r="AH1368" i="1"/>
  <c r="AG1369" i="1"/>
  <c r="AH1369" i="1"/>
  <c r="AG1370" i="1"/>
  <c r="AH1370" i="1"/>
  <c r="AG1371" i="1"/>
  <c r="AH1371" i="1"/>
  <c r="AG1372" i="1"/>
  <c r="AH1372" i="1"/>
  <c r="AG1373" i="1"/>
  <c r="AH1373" i="1"/>
  <c r="AG1374" i="1"/>
  <c r="AH1374" i="1"/>
  <c r="AG1375" i="1"/>
  <c r="AH1375" i="1"/>
  <c r="AG1376" i="1"/>
  <c r="AH1376" i="1"/>
  <c r="AG1377" i="1"/>
  <c r="AH1377" i="1"/>
  <c r="AG1378" i="1"/>
  <c r="AH1378" i="1"/>
  <c r="AG1379" i="1"/>
  <c r="AH1379" i="1"/>
  <c r="AG1380" i="1"/>
  <c r="AH1380" i="1"/>
  <c r="AG1381" i="1"/>
  <c r="AH1381" i="1"/>
  <c r="AG1382" i="1"/>
  <c r="AH1382" i="1"/>
  <c r="AG1383" i="1"/>
  <c r="AH1383" i="1"/>
  <c r="AG1384" i="1"/>
  <c r="AH1384" i="1"/>
  <c r="AG1385" i="1"/>
  <c r="AH1385" i="1"/>
  <c r="AG1386" i="1"/>
  <c r="AH1386" i="1"/>
  <c r="AG1387" i="1"/>
  <c r="AH1387" i="1"/>
  <c r="AG1388" i="1"/>
  <c r="AH1388" i="1"/>
  <c r="AG1389" i="1"/>
  <c r="AH1389" i="1"/>
  <c r="AG1390" i="1"/>
  <c r="AH1390" i="1"/>
  <c r="AG1391" i="1"/>
  <c r="AH1391" i="1"/>
  <c r="AG1392" i="1"/>
  <c r="AH1392" i="1"/>
  <c r="AG1393" i="1"/>
  <c r="AH1393" i="1"/>
  <c r="AG1394" i="1"/>
  <c r="AH1394" i="1"/>
  <c r="AG1395" i="1"/>
  <c r="AH1395" i="1"/>
  <c r="AG1396" i="1"/>
  <c r="AH1396" i="1"/>
  <c r="AG1397" i="1"/>
  <c r="AH1397" i="1"/>
  <c r="AG1398" i="1"/>
  <c r="AH1398" i="1"/>
  <c r="AG1399" i="1"/>
  <c r="AH1399" i="1"/>
  <c r="AG1400" i="1"/>
  <c r="AH1400" i="1"/>
  <c r="AG1401" i="1"/>
  <c r="AH1401" i="1"/>
  <c r="AG1402" i="1"/>
  <c r="AH1402" i="1"/>
  <c r="AG1403" i="1"/>
  <c r="AH1403" i="1"/>
  <c r="AG1404" i="1"/>
  <c r="AH1404" i="1"/>
  <c r="AG1405" i="1"/>
  <c r="AH1405" i="1"/>
  <c r="AG1406" i="1"/>
  <c r="AH1406" i="1"/>
  <c r="AG1407" i="1"/>
  <c r="AH1407" i="1"/>
  <c r="AG1408" i="1"/>
  <c r="AH1408" i="1"/>
  <c r="AG1409" i="1"/>
  <c r="AH1409" i="1"/>
  <c r="AG1410" i="1"/>
  <c r="AH1410" i="1"/>
  <c r="AG1411" i="1"/>
  <c r="AH1411" i="1"/>
  <c r="AG1412" i="1"/>
  <c r="AH1412" i="1"/>
  <c r="AG1413" i="1"/>
  <c r="AH1413" i="1"/>
  <c r="AG1414" i="1"/>
  <c r="AH1414" i="1"/>
  <c r="AG1415" i="1"/>
  <c r="AH1415" i="1"/>
  <c r="AG1416" i="1"/>
  <c r="AH1416" i="1"/>
  <c r="AG1417" i="1"/>
  <c r="AH1417" i="1"/>
  <c r="AG1418" i="1"/>
  <c r="AH1418" i="1"/>
  <c r="AG1419" i="1"/>
  <c r="AH1419" i="1"/>
  <c r="AG1420" i="1"/>
  <c r="AH1420" i="1"/>
  <c r="AG1421" i="1"/>
  <c r="AH1421" i="1"/>
  <c r="AG1422" i="1"/>
  <c r="AH1422" i="1"/>
  <c r="AG1423" i="1"/>
  <c r="AH1423" i="1"/>
  <c r="AG1424" i="1"/>
  <c r="AH1424" i="1"/>
  <c r="AG1425" i="1"/>
  <c r="AH1425" i="1"/>
  <c r="AG1426" i="1"/>
  <c r="AH1426" i="1"/>
  <c r="AG1427" i="1"/>
  <c r="AH1427" i="1"/>
  <c r="AG1428" i="1"/>
  <c r="AH1428" i="1"/>
  <c r="AG1429" i="1"/>
  <c r="AH1429" i="1"/>
  <c r="AG1430" i="1"/>
  <c r="AH1430" i="1"/>
  <c r="AG1431" i="1"/>
  <c r="AH1431" i="1"/>
  <c r="AG1432" i="1"/>
  <c r="AH1432" i="1"/>
  <c r="AG1433" i="1"/>
  <c r="AH1433" i="1"/>
  <c r="AG1434" i="1"/>
  <c r="AH1434" i="1"/>
  <c r="AG1435" i="1"/>
  <c r="AH1435" i="1"/>
  <c r="AG1436" i="1"/>
  <c r="AH1436" i="1"/>
  <c r="AG1437" i="1"/>
  <c r="AH1437" i="1"/>
  <c r="AG1438" i="1"/>
  <c r="AH1438" i="1"/>
  <c r="AG1439" i="1"/>
  <c r="AH1439" i="1"/>
  <c r="AG1440" i="1"/>
  <c r="AH1440" i="1"/>
  <c r="AG1441" i="1"/>
  <c r="AH1441" i="1"/>
  <c r="AG1442" i="1"/>
  <c r="AH1442" i="1"/>
  <c r="AG1443" i="1"/>
  <c r="AH1443" i="1"/>
  <c r="AG1444" i="1"/>
  <c r="AH1444" i="1"/>
  <c r="AG1445" i="1"/>
  <c r="AH1445" i="1"/>
  <c r="AG1446" i="1"/>
  <c r="AH1446" i="1"/>
  <c r="AG1447" i="1"/>
  <c r="AH1447" i="1"/>
  <c r="AG1448" i="1"/>
  <c r="AH1448" i="1"/>
  <c r="AG1449" i="1"/>
  <c r="AH1449" i="1"/>
  <c r="AG1450" i="1"/>
  <c r="AH1450" i="1"/>
  <c r="AG1451" i="1"/>
  <c r="AH1451" i="1"/>
  <c r="AG1452" i="1"/>
  <c r="AH1452" i="1"/>
  <c r="AG1453" i="1"/>
  <c r="AH1453" i="1"/>
  <c r="AG1454" i="1"/>
  <c r="AH1454" i="1"/>
  <c r="AG1455" i="1"/>
  <c r="AH1455" i="1"/>
  <c r="AG1456" i="1"/>
  <c r="AH1456" i="1"/>
  <c r="AG1457" i="1"/>
  <c r="AH1457" i="1"/>
  <c r="AG1458" i="1"/>
  <c r="AH1458" i="1"/>
  <c r="AG1459" i="1"/>
  <c r="AH1459" i="1"/>
  <c r="AG1460" i="1"/>
  <c r="AH1460" i="1"/>
  <c r="AG1461" i="1"/>
  <c r="AH1461" i="1"/>
  <c r="AG1462" i="1"/>
  <c r="AH1462" i="1"/>
  <c r="AG1463" i="1"/>
  <c r="AH1463" i="1"/>
  <c r="AG1464" i="1"/>
  <c r="AH1464" i="1"/>
  <c r="AG1465" i="1"/>
  <c r="AH1465" i="1"/>
  <c r="AG1466" i="1"/>
  <c r="AH1466" i="1"/>
  <c r="AG1467" i="1"/>
  <c r="AH1467" i="1"/>
  <c r="AG1468" i="1"/>
  <c r="AH1468" i="1"/>
  <c r="AG1469" i="1"/>
  <c r="AH1469" i="1"/>
  <c r="AG1470" i="1"/>
  <c r="AH1470" i="1"/>
  <c r="AG1471" i="1"/>
  <c r="AH1471" i="1"/>
  <c r="AG1472" i="1"/>
  <c r="AH1472" i="1"/>
  <c r="AG1473" i="1"/>
  <c r="AH1473" i="1"/>
  <c r="AG1474" i="1"/>
  <c r="AH1474" i="1"/>
  <c r="AG1475" i="1"/>
  <c r="AH1475" i="1"/>
  <c r="AG1476" i="1"/>
  <c r="AH1476" i="1"/>
  <c r="AG1477" i="1"/>
  <c r="AH1477" i="1"/>
  <c r="AG1478" i="1"/>
  <c r="AH1478" i="1"/>
  <c r="AG1479" i="1"/>
  <c r="AH1479" i="1"/>
  <c r="AG1480" i="1"/>
  <c r="AH1480" i="1"/>
  <c r="AG1481" i="1"/>
  <c r="AH1481" i="1"/>
  <c r="AG1482" i="1"/>
  <c r="AH1482" i="1"/>
  <c r="AG1483" i="1"/>
  <c r="AH1483" i="1"/>
  <c r="AG1484" i="1"/>
  <c r="AH1484" i="1"/>
  <c r="AG1485" i="1"/>
  <c r="AH1485" i="1"/>
  <c r="AG1486" i="1"/>
  <c r="AH1486" i="1"/>
  <c r="AG1487" i="1"/>
  <c r="AH1487" i="1"/>
  <c r="AG1488" i="1"/>
  <c r="AH1488" i="1"/>
  <c r="AG1489" i="1"/>
  <c r="AH1489" i="1"/>
  <c r="AG1490" i="1"/>
  <c r="AH1490" i="1"/>
  <c r="AG1491" i="1"/>
  <c r="AH1491" i="1"/>
  <c r="AG1492" i="1"/>
  <c r="AH1492" i="1"/>
  <c r="AG1493" i="1"/>
  <c r="AH1493" i="1"/>
  <c r="AG1494" i="1"/>
  <c r="AH1494" i="1"/>
  <c r="AG1495" i="1"/>
  <c r="AH1495" i="1"/>
  <c r="AG1496" i="1"/>
  <c r="AH1496" i="1"/>
  <c r="AG1497" i="1"/>
  <c r="AH1497" i="1"/>
  <c r="AG1498" i="1"/>
  <c r="AH1498" i="1"/>
  <c r="AG1499" i="1"/>
  <c r="AH1499" i="1"/>
  <c r="AG1500" i="1"/>
  <c r="AH1500" i="1"/>
  <c r="AG1501" i="1"/>
  <c r="AH1501" i="1"/>
  <c r="AG1502" i="1"/>
  <c r="AH1502" i="1"/>
  <c r="AG1503" i="1"/>
  <c r="AH1503" i="1"/>
  <c r="AG1504" i="1"/>
  <c r="AH1504" i="1"/>
  <c r="AG1505" i="1"/>
  <c r="AH1505" i="1"/>
  <c r="AG1506" i="1"/>
  <c r="AH1506" i="1"/>
  <c r="AG1507" i="1"/>
  <c r="AH1507" i="1"/>
  <c r="AG1508" i="1"/>
  <c r="AH1508" i="1"/>
  <c r="AG1509" i="1"/>
  <c r="AH1509" i="1"/>
  <c r="AG1510" i="1"/>
  <c r="AH1510" i="1"/>
  <c r="AG1511" i="1"/>
  <c r="AH1511" i="1"/>
  <c r="AG1512" i="1"/>
  <c r="AH1512" i="1"/>
  <c r="AG1513" i="1"/>
  <c r="AH1513" i="1"/>
  <c r="AG1514" i="1"/>
  <c r="AH1514" i="1"/>
  <c r="AG1515" i="1"/>
  <c r="AH1515" i="1"/>
  <c r="AG1516" i="1"/>
  <c r="AH1516" i="1"/>
  <c r="AG1517" i="1"/>
  <c r="AH1517" i="1"/>
  <c r="AG1518" i="1"/>
  <c r="AH1518" i="1"/>
  <c r="AG1519" i="1"/>
  <c r="AH1519" i="1"/>
  <c r="AG1520" i="1"/>
  <c r="AH1520" i="1"/>
  <c r="AG1521" i="1"/>
  <c r="AH1521" i="1"/>
  <c r="AG1522" i="1"/>
  <c r="AH1522" i="1"/>
  <c r="AG1523" i="1"/>
  <c r="AH1523" i="1"/>
  <c r="AG1524" i="1"/>
  <c r="AH1524" i="1"/>
  <c r="AG1525" i="1"/>
  <c r="AH1525" i="1"/>
  <c r="AG1526" i="1"/>
  <c r="AH1526" i="1"/>
  <c r="AG1527" i="1"/>
  <c r="AH1527" i="1"/>
  <c r="AG1528" i="1"/>
  <c r="AH1528" i="1"/>
  <c r="AG1529" i="1"/>
  <c r="AH1529" i="1"/>
  <c r="AG1530" i="1"/>
  <c r="AH1530" i="1"/>
  <c r="AG1531" i="1"/>
  <c r="AH1531" i="1"/>
  <c r="AG1532" i="1"/>
  <c r="AH1532" i="1"/>
  <c r="AG1533" i="1"/>
  <c r="AH1533" i="1"/>
  <c r="AG1534" i="1"/>
  <c r="AH1534" i="1"/>
  <c r="AG1535" i="1"/>
  <c r="AH1535" i="1"/>
  <c r="AG1536" i="1"/>
  <c r="AH1536" i="1"/>
  <c r="AG1537" i="1"/>
  <c r="AH1537" i="1"/>
  <c r="AG1538" i="1"/>
  <c r="AH1538" i="1"/>
  <c r="AG1539" i="1"/>
  <c r="AH1539" i="1"/>
  <c r="AG1540" i="1"/>
  <c r="AH1540" i="1"/>
  <c r="AG1541" i="1"/>
  <c r="AH1541" i="1"/>
  <c r="AG1542" i="1"/>
  <c r="AH1542" i="1"/>
  <c r="AG1543" i="1"/>
  <c r="AH1543" i="1"/>
  <c r="AG1544" i="1"/>
  <c r="AH1544" i="1"/>
  <c r="AG1545" i="1"/>
  <c r="AH1545" i="1"/>
  <c r="AG1546" i="1"/>
  <c r="AH1546" i="1"/>
  <c r="AG1547" i="1"/>
  <c r="AH1547" i="1"/>
  <c r="AG1548" i="1"/>
  <c r="AH1548" i="1"/>
  <c r="AG1549" i="1"/>
  <c r="AH1549" i="1"/>
  <c r="AG1550" i="1"/>
  <c r="AH1550" i="1"/>
  <c r="AG1551" i="1"/>
  <c r="AH1551" i="1"/>
  <c r="AG1552" i="1"/>
  <c r="AH1552" i="1"/>
  <c r="AG1553" i="1"/>
  <c r="AH1553" i="1"/>
  <c r="AG1554" i="1"/>
  <c r="AH1554" i="1"/>
  <c r="AG1555" i="1"/>
  <c r="AH1555" i="1"/>
  <c r="AG1556" i="1"/>
  <c r="AH1556" i="1"/>
  <c r="AG1557" i="1"/>
  <c r="AH1557" i="1"/>
  <c r="AG1558" i="1"/>
  <c r="AH1558" i="1"/>
  <c r="AG1559" i="1"/>
  <c r="AH1559" i="1"/>
  <c r="AG1560" i="1"/>
  <c r="AH1560" i="1"/>
  <c r="AG1561" i="1"/>
  <c r="AH1561" i="1"/>
  <c r="AG1562" i="1"/>
  <c r="AH1562" i="1"/>
  <c r="AG1563" i="1"/>
  <c r="AH1563" i="1"/>
  <c r="AG1564" i="1"/>
  <c r="AH1564" i="1"/>
  <c r="AG1565" i="1"/>
  <c r="AH1565" i="1"/>
  <c r="AG1566" i="1"/>
  <c r="AH1566" i="1"/>
  <c r="AG1567" i="1"/>
  <c r="AH1567" i="1"/>
  <c r="AG1568" i="1"/>
  <c r="AH1568" i="1"/>
  <c r="AG1569" i="1"/>
  <c r="AH1569" i="1"/>
  <c r="AG1570" i="1"/>
  <c r="AH1570" i="1"/>
  <c r="AG1571" i="1"/>
  <c r="AH1571" i="1"/>
  <c r="AG1572" i="1"/>
  <c r="AH1572" i="1"/>
  <c r="AG1573" i="1"/>
  <c r="AH1573" i="1"/>
  <c r="AG1574" i="1"/>
  <c r="AH1574" i="1"/>
  <c r="AG1575" i="1"/>
  <c r="AH1575" i="1"/>
  <c r="AG1576" i="1"/>
  <c r="AH1576" i="1"/>
  <c r="AG1577" i="1"/>
  <c r="AH1577" i="1"/>
  <c r="AG1578" i="1"/>
  <c r="AH1578" i="1"/>
  <c r="AG1579" i="1"/>
  <c r="AH1579" i="1"/>
  <c r="AG1580" i="1"/>
  <c r="AH1580" i="1"/>
  <c r="AG1581" i="1"/>
  <c r="AH1581" i="1"/>
  <c r="AG1582" i="1"/>
  <c r="AH1582" i="1"/>
  <c r="AG1583" i="1"/>
  <c r="AH1583" i="1"/>
  <c r="AG1584" i="1"/>
  <c r="AH1584" i="1"/>
  <c r="AG1585" i="1"/>
  <c r="AH1585" i="1"/>
  <c r="AG1586" i="1"/>
  <c r="AH1586" i="1"/>
  <c r="AG1587" i="1"/>
  <c r="AH1587" i="1"/>
  <c r="AG1588" i="1"/>
  <c r="AH1588" i="1"/>
  <c r="AG1589" i="1"/>
  <c r="AH1589" i="1"/>
  <c r="AG1590" i="1"/>
  <c r="AH1590" i="1"/>
  <c r="AG1591" i="1"/>
  <c r="AH1591" i="1"/>
  <c r="AG1592" i="1"/>
  <c r="AH1592" i="1"/>
  <c r="AG1593" i="1"/>
  <c r="AH1593" i="1"/>
  <c r="AG1594" i="1"/>
  <c r="AH1594" i="1"/>
  <c r="AG1595" i="1"/>
  <c r="AH1595" i="1"/>
  <c r="AG1596" i="1"/>
  <c r="AH1596" i="1"/>
  <c r="AG1597" i="1"/>
  <c r="AH1597" i="1"/>
  <c r="AG1598" i="1"/>
  <c r="AH1598" i="1"/>
  <c r="AG1599" i="1"/>
  <c r="AH1599" i="1"/>
  <c r="AG1600" i="1"/>
  <c r="AH1600" i="1"/>
  <c r="AG1601" i="1"/>
  <c r="AH1601" i="1"/>
  <c r="AG1602" i="1"/>
  <c r="AH1602" i="1"/>
  <c r="AG1603" i="1"/>
  <c r="AH1603" i="1"/>
  <c r="AG1604" i="1"/>
  <c r="AH1604" i="1"/>
  <c r="AG1605" i="1"/>
  <c r="AH1605" i="1"/>
  <c r="AG1606" i="1"/>
  <c r="AH1606" i="1"/>
  <c r="AG1607" i="1"/>
  <c r="AH1607" i="1"/>
  <c r="AG1608" i="1"/>
  <c r="AH1608" i="1"/>
  <c r="AG1609" i="1"/>
  <c r="AH1609" i="1"/>
  <c r="AG1610" i="1"/>
  <c r="AH1610" i="1"/>
  <c r="AG1611" i="1"/>
  <c r="AH1611" i="1"/>
  <c r="AG1612" i="1"/>
  <c r="AH1612" i="1"/>
  <c r="AG1613" i="1"/>
  <c r="AH1613" i="1"/>
  <c r="AG1614" i="1"/>
  <c r="AH1614" i="1"/>
  <c r="AG1615" i="1"/>
  <c r="AH1615" i="1"/>
  <c r="AG1616" i="1"/>
  <c r="AH1616" i="1"/>
  <c r="AG1617" i="1"/>
  <c r="AH1617" i="1"/>
  <c r="AG1618" i="1"/>
  <c r="AH1618" i="1"/>
  <c r="AG1619" i="1"/>
  <c r="AH1619" i="1"/>
  <c r="AG1620" i="1"/>
  <c r="AH1620" i="1"/>
  <c r="AG1621" i="1"/>
  <c r="AH1621" i="1"/>
  <c r="AG1622" i="1"/>
  <c r="AH1622" i="1"/>
  <c r="AG1623" i="1"/>
  <c r="AH1623" i="1"/>
  <c r="AG1624" i="1"/>
  <c r="AH1624" i="1"/>
  <c r="AG1625" i="1"/>
  <c r="AH1625" i="1"/>
  <c r="AG1626" i="1"/>
  <c r="AH1626" i="1"/>
  <c r="AG1627" i="1"/>
  <c r="AH1627" i="1"/>
  <c r="AG1628" i="1"/>
  <c r="AH1628" i="1"/>
  <c r="AG1629" i="1"/>
  <c r="AH1629" i="1"/>
  <c r="AG1630" i="1"/>
  <c r="AH1630" i="1"/>
  <c r="AG1631" i="1"/>
  <c r="AH1631" i="1"/>
  <c r="AG1632" i="1"/>
  <c r="AH1632" i="1"/>
  <c r="AG1633" i="1"/>
  <c r="AH1633" i="1"/>
  <c r="AG1634" i="1"/>
  <c r="AH1634" i="1"/>
  <c r="AG1635" i="1"/>
  <c r="AH1635" i="1"/>
  <c r="AG1636" i="1"/>
  <c r="AH1636" i="1"/>
  <c r="AG1637" i="1"/>
  <c r="AH1637" i="1"/>
  <c r="AG1638" i="1"/>
  <c r="AH1638" i="1"/>
  <c r="AG1639" i="1"/>
  <c r="AH1639" i="1"/>
  <c r="AG1640" i="1"/>
  <c r="AH1640" i="1"/>
  <c r="AG1641" i="1"/>
  <c r="AH1641" i="1"/>
  <c r="AG1642" i="1"/>
  <c r="AH1642" i="1"/>
  <c r="AG1643" i="1"/>
  <c r="AH1643" i="1"/>
  <c r="AG1644" i="1"/>
  <c r="AH1644" i="1"/>
  <c r="AG1645" i="1"/>
  <c r="AH1645" i="1"/>
  <c r="AG1646" i="1"/>
  <c r="AH1646" i="1"/>
  <c r="AG1647" i="1"/>
  <c r="AH1647" i="1"/>
  <c r="AG1648" i="1"/>
  <c r="AH1648" i="1"/>
  <c r="AG1649" i="1"/>
  <c r="AH1649" i="1"/>
  <c r="AG1650" i="1"/>
  <c r="AH1650" i="1"/>
  <c r="AG1651" i="1"/>
  <c r="AH1651" i="1"/>
  <c r="AG1652" i="1"/>
  <c r="AH1652" i="1"/>
  <c r="AG1653" i="1"/>
  <c r="AH1653" i="1"/>
  <c r="AG1654" i="1"/>
  <c r="AH1654" i="1"/>
  <c r="AG1655" i="1"/>
  <c r="AH1655" i="1"/>
  <c r="AG1656" i="1"/>
  <c r="AH1656" i="1"/>
  <c r="AG1657" i="1"/>
  <c r="AH1657" i="1"/>
  <c r="AG1658" i="1"/>
  <c r="AH1658" i="1"/>
  <c r="AG1659" i="1"/>
  <c r="AH1659" i="1"/>
  <c r="AG1660" i="1"/>
  <c r="AH1660" i="1"/>
  <c r="AG1661" i="1"/>
  <c r="AH1661" i="1"/>
  <c r="AG1662" i="1"/>
  <c r="AH1662" i="1"/>
  <c r="AG1663" i="1"/>
  <c r="AH1663" i="1"/>
  <c r="AG1664" i="1"/>
  <c r="AH1664" i="1"/>
  <c r="AG1665" i="1"/>
  <c r="AH1665" i="1"/>
  <c r="AG1666" i="1"/>
  <c r="AH1666" i="1"/>
  <c r="AG1667" i="1"/>
  <c r="AH1667" i="1"/>
  <c r="AG1668" i="1"/>
  <c r="AH1668" i="1"/>
  <c r="AG1669" i="1"/>
  <c r="AH1669" i="1"/>
  <c r="AG1670" i="1"/>
  <c r="AH1670" i="1"/>
  <c r="AG1671" i="1"/>
  <c r="AH1671" i="1"/>
  <c r="AG1672" i="1"/>
  <c r="AH1672" i="1"/>
  <c r="AG1673" i="1"/>
  <c r="AH1673" i="1"/>
  <c r="AG1674" i="1"/>
  <c r="AH1674" i="1"/>
  <c r="AG1675" i="1"/>
  <c r="AH1675" i="1"/>
  <c r="AG1676" i="1"/>
  <c r="AH1676" i="1"/>
  <c r="AG1677" i="1"/>
  <c r="AH1677" i="1"/>
  <c r="AG1678" i="1"/>
  <c r="AH1678" i="1"/>
  <c r="AG1679" i="1"/>
  <c r="AH1679" i="1"/>
  <c r="AG1680" i="1"/>
  <c r="AH1680" i="1"/>
  <c r="AG1681" i="1"/>
  <c r="AH1681" i="1"/>
  <c r="AG1682" i="1"/>
  <c r="AH1682" i="1"/>
  <c r="AG1683" i="1"/>
  <c r="AH1683" i="1"/>
  <c r="AG1684" i="1"/>
  <c r="AH1684" i="1"/>
  <c r="AG1685" i="1"/>
  <c r="AH1685" i="1"/>
  <c r="AG1686" i="1"/>
  <c r="AH1686" i="1"/>
  <c r="AG1687" i="1"/>
  <c r="AH1687" i="1"/>
  <c r="AG1688" i="1"/>
  <c r="AH1688" i="1"/>
  <c r="AG1689" i="1"/>
  <c r="AH1689" i="1"/>
  <c r="AG1690" i="1"/>
  <c r="AG1691" i="1"/>
  <c r="AG1692" i="1"/>
  <c r="AG1693" i="1"/>
  <c r="AG1694" i="1"/>
  <c r="AG1695" i="1"/>
  <c r="AG1696" i="1"/>
  <c r="AG1697" i="1"/>
  <c r="AG1698" i="1"/>
  <c r="AH1698" i="1"/>
  <c r="AG1699" i="1"/>
  <c r="AH1699" i="1"/>
  <c r="AG1700" i="1"/>
  <c r="AH1700" i="1"/>
  <c r="AG1701" i="1"/>
  <c r="AH1701" i="1"/>
  <c r="AG1702" i="1"/>
  <c r="AH1702" i="1"/>
  <c r="AG1703" i="1"/>
  <c r="AH1703" i="1"/>
  <c r="AG1704" i="1"/>
  <c r="AH1704" i="1"/>
  <c r="AG1705" i="1"/>
  <c r="AH1705" i="1"/>
  <c r="AG1706" i="1"/>
  <c r="AH1706" i="1"/>
  <c r="AG1707" i="1"/>
  <c r="AH1707" i="1"/>
  <c r="AG1708" i="1"/>
  <c r="AH1708" i="1"/>
  <c r="AG1709" i="1"/>
  <c r="AH1709" i="1"/>
  <c r="AG1710" i="1"/>
  <c r="AH1710" i="1"/>
  <c r="AG1711" i="1"/>
  <c r="AH1711" i="1"/>
  <c r="AG1712" i="1"/>
  <c r="AH1712" i="1"/>
  <c r="AG1713" i="1"/>
  <c r="AH1713" i="1"/>
  <c r="AG1714" i="1"/>
  <c r="AH1714" i="1"/>
  <c r="AG1715" i="1"/>
  <c r="AH1715" i="1"/>
  <c r="AG1716" i="1"/>
  <c r="AH1716" i="1"/>
  <c r="AG1717" i="1"/>
  <c r="AH1717" i="1"/>
  <c r="AG1718" i="1"/>
  <c r="AH1718" i="1"/>
  <c r="AG1719" i="1"/>
  <c r="AH1719" i="1"/>
  <c r="AG1720" i="1"/>
  <c r="AH1720" i="1"/>
  <c r="AG1721" i="1"/>
  <c r="AH1721" i="1"/>
  <c r="AG1722" i="1"/>
  <c r="AH1722" i="1"/>
  <c r="AG1723" i="1"/>
  <c r="AH1723" i="1"/>
  <c r="AG1724" i="1"/>
  <c r="AH1724" i="1"/>
  <c r="AG1725" i="1"/>
  <c r="AH1725" i="1"/>
  <c r="AG1726" i="1"/>
  <c r="AH1726" i="1"/>
  <c r="AG1727" i="1"/>
  <c r="AH1727" i="1"/>
  <c r="AG1728" i="1"/>
  <c r="AH1728" i="1"/>
  <c r="AG1729" i="1"/>
  <c r="AH1729" i="1"/>
  <c r="AG1730" i="1"/>
  <c r="AH1730" i="1"/>
  <c r="AG1731" i="1"/>
  <c r="AH1731" i="1"/>
  <c r="AG1732" i="1"/>
  <c r="AH1732" i="1"/>
  <c r="AG1733" i="1"/>
  <c r="AH1733" i="1"/>
  <c r="AG1734" i="1"/>
  <c r="AH1734" i="1"/>
  <c r="AG1735" i="1"/>
  <c r="AH1735" i="1"/>
  <c r="AG1736" i="1"/>
  <c r="AH1736" i="1"/>
  <c r="AG1737" i="1"/>
  <c r="AH1737" i="1"/>
  <c r="AG1738" i="1"/>
  <c r="AH1738" i="1"/>
  <c r="AG1739" i="1"/>
  <c r="AH1739" i="1"/>
  <c r="AG1740" i="1"/>
  <c r="AH1740" i="1"/>
  <c r="AG1741" i="1"/>
  <c r="AH1741" i="1"/>
  <c r="AG1742" i="1"/>
  <c r="AH1742" i="1"/>
  <c r="AG1743" i="1"/>
  <c r="AH1743" i="1"/>
  <c r="AG1744" i="1"/>
  <c r="AH1744" i="1"/>
  <c r="AG1745" i="1"/>
  <c r="AH1745" i="1"/>
  <c r="AG1746" i="1"/>
  <c r="AH1746" i="1"/>
  <c r="AG1747" i="1"/>
  <c r="AH1747" i="1"/>
  <c r="AG1748" i="1"/>
  <c r="AH1748" i="1"/>
  <c r="AG1749" i="1"/>
  <c r="AH1749" i="1"/>
  <c r="AG1750" i="1"/>
  <c r="AH1750" i="1"/>
  <c r="AG1751" i="1"/>
  <c r="AH1751" i="1"/>
  <c r="AG1752" i="1"/>
  <c r="AH1752" i="1"/>
  <c r="AG1753" i="1"/>
  <c r="AH1753" i="1"/>
  <c r="AG1754" i="1"/>
  <c r="AH1754" i="1"/>
  <c r="AG1755" i="1"/>
  <c r="AH1755" i="1"/>
  <c r="AG1756" i="1"/>
  <c r="AH1756" i="1"/>
  <c r="AG1757" i="1"/>
  <c r="AH1757" i="1"/>
  <c r="AG1758" i="1"/>
  <c r="AH1758" i="1"/>
  <c r="AG1759" i="1"/>
  <c r="AH1759" i="1"/>
  <c r="AG1760" i="1"/>
  <c r="AH1760" i="1"/>
  <c r="AG1761" i="1"/>
  <c r="AH1761" i="1"/>
  <c r="AG1762" i="1"/>
  <c r="AH1762" i="1"/>
  <c r="AG1763" i="1"/>
  <c r="AH1763" i="1"/>
  <c r="AG1764" i="1"/>
  <c r="AH1764" i="1"/>
  <c r="AG1765" i="1"/>
  <c r="AH1765" i="1"/>
  <c r="AG1766" i="1"/>
  <c r="AH1766" i="1"/>
  <c r="AG1767" i="1"/>
  <c r="AH1767" i="1"/>
  <c r="AG1768" i="1"/>
  <c r="AH1768" i="1"/>
  <c r="AG1769" i="1"/>
  <c r="AH1769" i="1"/>
  <c r="AG1770" i="1"/>
  <c r="AH1770" i="1"/>
  <c r="AG1771" i="1"/>
  <c r="AH1771" i="1"/>
  <c r="AG1772" i="1"/>
  <c r="AH1772" i="1"/>
  <c r="AG1773" i="1"/>
  <c r="AH1773" i="1"/>
  <c r="AG1774" i="1"/>
  <c r="AH1774" i="1"/>
  <c r="AG1775" i="1"/>
  <c r="AH1775" i="1"/>
  <c r="AG1776" i="1"/>
  <c r="AH1776" i="1"/>
  <c r="AG1777" i="1"/>
  <c r="AH1777" i="1"/>
  <c r="AG1778" i="1"/>
  <c r="AH1778" i="1"/>
  <c r="AG1779" i="1"/>
  <c r="AH1779" i="1"/>
  <c r="AG1780" i="1"/>
  <c r="AH1780" i="1"/>
  <c r="AG1781" i="1"/>
  <c r="AH1781" i="1"/>
  <c r="AG1782" i="1"/>
  <c r="AH1782" i="1"/>
  <c r="AG1783" i="1"/>
  <c r="AH1783" i="1"/>
  <c r="AG1784" i="1"/>
  <c r="AH1784" i="1"/>
  <c r="AG1785" i="1"/>
  <c r="AH1785" i="1"/>
  <c r="AG1786" i="1"/>
  <c r="AH1786" i="1"/>
  <c r="AG1787" i="1"/>
  <c r="AH1787" i="1"/>
  <c r="AG1788" i="1"/>
  <c r="AH1788" i="1"/>
  <c r="AG1789" i="1"/>
  <c r="AH1789" i="1"/>
  <c r="AG1790" i="1"/>
  <c r="AH1790" i="1"/>
  <c r="AG1791" i="1"/>
  <c r="AH1791" i="1"/>
  <c r="AG1792" i="1"/>
  <c r="AH1792" i="1"/>
  <c r="AG1793" i="1"/>
  <c r="AH1793" i="1"/>
  <c r="AG1794" i="1"/>
  <c r="AH1794" i="1"/>
  <c r="AG1795" i="1"/>
  <c r="AH1795" i="1"/>
  <c r="AG1796" i="1"/>
  <c r="AH1796" i="1"/>
  <c r="AG1797" i="1"/>
  <c r="AH1797" i="1"/>
  <c r="AG1798" i="1"/>
  <c r="AH1798" i="1"/>
  <c r="AG1799" i="1"/>
  <c r="AH1799" i="1"/>
  <c r="AG1800" i="1"/>
  <c r="AH1800" i="1"/>
  <c r="AG1801" i="1"/>
  <c r="AH1801" i="1"/>
  <c r="AG1802" i="1"/>
  <c r="AH1802" i="1"/>
  <c r="AG1803" i="1"/>
  <c r="AH1803" i="1"/>
  <c r="AG1804" i="1"/>
  <c r="AH1804" i="1"/>
  <c r="AG1805" i="1"/>
  <c r="AH1805" i="1"/>
  <c r="AG1806" i="1"/>
  <c r="AH1806" i="1"/>
  <c r="AG1807" i="1"/>
  <c r="AH1807" i="1"/>
  <c r="AG1808" i="1"/>
  <c r="AH1808" i="1"/>
  <c r="AG1809" i="1"/>
  <c r="AH1809" i="1"/>
  <c r="AG1810" i="1"/>
  <c r="AH1810" i="1"/>
  <c r="AG1811" i="1"/>
  <c r="AH1811" i="1"/>
  <c r="AG1812" i="1"/>
  <c r="AH1812" i="1"/>
  <c r="AG1813" i="1"/>
  <c r="AH1813" i="1"/>
  <c r="AG1814" i="1"/>
  <c r="AH1814" i="1"/>
  <c r="AG1815" i="1"/>
  <c r="AH1815" i="1"/>
  <c r="AG1816" i="1"/>
  <c r="AH1816" i="1"/>
  <c r="AG1817" i="1"/>
  <c r="AH1817" i="1"/>
  <c r="AG1818" i="1"/>
  <c r="AH1818" i="1"/>
  <c r="AG1819" i="1"/>
  <c r="AH1819" i="1"/>
  <c r="AG1820" i="1"/>
  <c r="AH1820" i="1"/>
  <c r="AG1821" i="1"/>
  <c r="AH1821" i="1"/>
  <c r="AG1822" i="1"/>
  <c r="AH1822" i="1"/>
  <c r="AG1823" i="1"/>
  <c r="AH1823" i="1"/>
  <c r="AG1824" i="1"/>
  <c r="AH1824" i="1"/>
  <c r="AG1825" i="1"/>
  <c r="AH1825" i="1"/>
  <c r="AG1826" i="1"/>
  <c r="AH1826" i="1"/>
  <c r="AG1827" i="1"/>
  <c r="AH1827" i="1"/>
  <c r="AG1828" i="1"/>
  <c r="AH1828" i="1"/>
  <c r="AG1829" i="1"/>
  <c r="AH1829" i="1"/>
  <c r="AG1830" i="1"/>
  <c r="AH1830" i="1"/>
  <c r="AG1831" i="1"/>
  <c r="AH1831" i="1"/>
  <c r="AG1832" i="1"/>
  <c r="AH1832" i="1"/>
  <c r="AG1833" i="1"/>
  <c r="AH1833" i="1"/>
  <c r="AG1834" i="1"/>
  <c r="AH1834" i="1"/>
  <c r="AG1835" i="1"/>
  <c r="AH1835" i="1"/>
  <c r="AG1836" i="1"/>
  <c r="AH1836" i="1"/>
  <c r="AG1837" i="1"/>
  <c r="AH1837" i="1"/>
  <c r="AG1838" i="1"/>
  <c r="AH1838" i="1"/>
  <c r="AG1839" i="1"/>
  <c r="AH1839" i="1"/>
  <c r="AG1840" i="1"/>
  <c r="AH1840" i="1"/>
  <c r="AG1841" i="1"/>
  <c r="AH1841" i="1"/>
  <c r="AG1842" i="1"/>
  <c r="AH1842" i="1"/>
  <c r="AG1843" i="1"/>
  <c r="AH1843" i="1"/>
  <c r="AG1844" i="1"/>
  <c r="AH1844" i="1"/>
  <c r="AG1845" i="1"/>
  <c r="AH1845" i="1"/>
  <c r="AG1846" i="1"/>
  <c r="AH1846" i="1"/>
  <c r="AG1847" i="1"/>
  <c r="AH1847" i="1"/>
  <c r="AG1848" i="1"/>
  <c r="AH1848" i="1"/>
  <c r="AG1849" i="1"/>
  <c r="AH1849" i="1"/>
  <c r="AG1850" i="1"/>
  <c r="AH1850" i="1"/>
  <c r="AG1851" i="1"/>
  <c r="AH1851" i="1"/>
  <c r="AG1852" i="1"/>
  <c r="AH1852" i="1"/>
  <c r="AG1853" i="1"/>
  <c r="AH1853" i="1"/>
  <c r="AG1854" i="1"/>
  <c r="AH1854" i="1"/>
  <c r="AG1855" i="1"/>
  <c r="AH1855" i="1"/>
  <c r="AG1856" i="1"/>
  <c r="AH1856" i="1"/>
  <c r="AG1857" i="1"/>
  <c r="AH1857" i="1"/>
  <c r="AG1858" i="1"/>
  <c r="AH1858" i="1"/>
  <c r="AG1859" i="1"/>
  <c r="AH1859" i="1"/>
  <c r="AG1860" i="1"/>
  <c r="AH1860" i="1"/>
  <c r="AG1861" i="1"/>
  <c r="AH1861" i="1"/>
  <c r="AG1862" i="1"/>
  <c r="AH1862" i="1"/>
  <c r="AG1863" i="1"/>
  <c r="AH1863" i="1"/>
  <c r="AG1864" i="1"/>
  <c r="AH1864" i="1"/>
  <c r="AG1865" i="1"/>
  <c r="AH1865" i="1"/>
  <c r="AG1866" i="1"/>
  <c r="AH1866" i="1"/>
  <c r="AG1867" i="1"/>
  <c r="AH1867" i="1"/>
  <c r="AG1868" i="1"/>
  <c r="AH1868" i="1"/>
  <c r="AG1869" i="1"/>
  <c r="AH1869" i="1"/>
  <c r="AG1870" i="1"/>
  <c r="AH1870" i="1"/>
  <c r="AG1871" i="1"/>
  <c r="AH1871" i="1"/>
  <c r="AG1872" i="1"/>
  <c r="AH1872" i="1"/>
  <c r="AG1873" i="1"/>
  <c r="AH1873" i="1"/>
  <c r="AG1874" i="1"/>
  <c r="AH1874" i="1"/>
  <c r="AG1875" i="1"/>
  <c r="AH1875" i="1"/>
  <c r="AG1876" i="1"/>
  <c r="AH1876" i="1"/>
  <c r="AG1877" i="1"/>
  <c r="AH1877" i="1"/>
  <c r="AG1878" i="1"/>
  <c r="AH1878" i="1"/>
  <c r="AG1879" i="1"/>
  <c r="AH1879" i="1"/>
  <c r="AG1880" i="1"/>
  <c r="AH1880" i="1"/>
  <c r="AG1881" i="1"/>
  <c r="AH1881" i="1"/>
  <c r="AG1882" i="1"/>
  <c r="AH1882" i="1"/>
  <c r="AG1883" i="1"/>
  <c r="AH1883" i="1"/>
  <c r="AG1884" i="1"/>
  <c r="AH1884" i="1"/>
  <c r="AG1885" i="1"/>
  <c r="AH1885" i="1"/>
  <c r="AG1886" i="1"/>
  <c r="AH1886" i="1"/>
  <c r="AG1887" i="1"/>
  <c r="AH1887" i="1"/>
  <c r="AG1888" i="1"/>
  <c r="AH1888" i="1"/>
  <c r="AG1889" i="1"/>
  <c r="AH1889" i="1"/>
  <c r="AG1890" i="1"/>
  <c r="AH1890" i="1"/>
  <c r="AG1891" i="1"/>
  <c r="AH1891" i="1"/>
  <c r="AG1892" i="1"/>
  <c r="AH1892" i="1"/>
  <c r="AG1893" i="1"/>
  <c r="AH1893" i="1"/>
  <c r="AG1894" i="1"/>
  <c r="AH1894" i="1"/>
  <c r="AG1895" i="1"/>
  <c r="AH1895" i="1"/>
  <c r="AG1896" i="1"/>
  <c r="AH1896" i="1"/>
  <c r="AG1897" i="1"/>
  <c r="AH1897" i="1"/>
  <c r="AG1898" i="1"/>
  <c r="AH1898" i="1"/>
  <c r="AG1899" i="1"/>
  <c r="AH1899" i="1"/>
  <c r="AG1900" i="1"/>
  <c r="AH1900" i="1"/>
  <c r="AG1901" i="1"/>
  <c r="AH1901" i="1"/>
  <c r="AG1902" i="1"/>
  <c r="AH1902" i="1"/>
  <c r="AG1903" i="1"/>
  <c r="AH1903" i="1"/>
  <c r="AG1904" i="1"/>
  <c r="AH1904" i="1"/>
  <c r="AG1905" i="1"/>
  <c r="AH1905" i="1"/>
  <c r="AG1906" i="1"/>
  <c r="AH1906" i="1"/>
  <c r="AG1907" i="1"/>
  <c r="AH1907" i="1"/>
  <c r="AG1908" i="1"/>
  <c r="AH1908" i="1"/>
  <c r="AG1909" i="1"/>
  <c r="AH1909" i="1"/>
  <c r="AG1910" i="1"/>
  <c r="AH1910" i="1"/>
  <c r="AG1911" i="1"/>
  <c r="AH1911" i="1"/>
  <c r="AG1912" i="1"/>
  <c r="AH1912" i="1"/>
  <c r="AG1913" i="1"/>
  <c r="AH1913" i="1"/>
  <c r="O7" i="6"/>
  <c r="R7" i="6" s="1"/>
  <c r="P7" i="6"/>
  <c r="AH2" i="1"/>
  <c r="K19" i="3"/>
  <c r="I28" i="4"/>
  <c r="I19" i="4"/>
  <c r="O85" i="4"/>
  <c r="L85" i="4"/>
  <c r="I85" i="4"/>
  <c r="AH875" i="1"/>
  <c r="AG875" i="1"/>
  <c r="AH874" i="1"/>
  <c r="AG874" i="1"/>
  <c r="AH873" i="1"/>
  <c r="AG873" i="1"/>
  <c r="AH872" i="1"/>
  <c r="AG872" i="1"/>
  <c r="AH871" i="1"/>
  <c r="AG871" i="1"/>
  <c r="AH870" i="1"/>
  <c r="AG870" i="1"/>
  <c r="AH869" i="1"/>
  <c r="AG869" i="1"/>
  <c r="AH868" i="1"/>
  <c r="AG868" i="1"/>
  <c r="T11" i="11"/>
  <c r="S11" i="11"/>
  <c r="T12" i="11"/>
  <c r="M11" i="11"/>
  <c r="R11" i="11"/>
  <c r="U11" i="11"/>
  <c r="U9" i="11"/>
  <c r="U8" i="11"/>
  <c r="U7" i="11"/>
  <c r="U6" i="11"/>
  <c r="U5" i="11"/>
  <c r="R9" i="11"/>
  <c r="R8" i="11"/>
  <c r="R7" i="11"/>
  <c r="R6" i="11"/>
  <c r="R5" i="11"/>
  <c r="E7" i="11"/>
  <c r="M23" i="11"/>
  <c r="L19" i="11"/>
  <c r="L20" i="11" s="1"/>
  <c r="L21" i="11" s="1"/>
  <c r="J16" i="11"/>
  <c r="H20" i="11" s="1"/>
  <c r="J15" i="11"/>
  <c r="J14" i="11"/>
  <c r="J13" i="11"/>
  <c r="E16" i="11"/>
  <c r="C20" i="11" s="1"/>
  <c r="E15" i="11"/>
  <c r="E14" i="11"/>
  <c r="E13" i="11"/>
  <c r="J10" i="11"/>
  <c r="H19" i="11" s="1"/>
  <c r="J9" i="11"/>
  <c r="J8" i="11"/>
  <c r="J7" i="11"/>
  <c r="E10" i="11"/>
  <c r="C19" i="11" s="1"/>
  <c r="E9" i="11"/>
  <c r="E8" i="11"/>
  <c r="A3" i="10" a="1"/>
  <c r="A3" i="9" a="1"/>
  <c r="A1" i="8" a="1"/>
  <c r="O15" i="6"/>
  <c r="O14" i="6"/>
  <c r="O13" i="6"/>
  <c r="O12" i="6"/>
  <c r="O11" i="6"/>
  <c r="O10" i="6"/>
  <c r="O9" i="6"/>
  <c r="O8" i="6"/>
  <c r="O6" i="6"/>
  <c r="O5" i="6"/>
  <c r="O4" i="6"/>
  <c r="O3" i="6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4" i="4"/>
  <c r="O33" i="4"/>
  <c r="O32" i="4"/>
  <c r="O31" i="4"/>
  <c r="O30" i="4"/>
  <c r="O28" i="4"/>
  <c r="O27" i="4"/>
  <c r="O26" i="4"/>
  <c r="O25" i="4"/>
  <c r="O29" i="4"/>
  <c r="O24" i="4"/>
  <c r="O21" i="4"/>
  <c r="O23" i="4"/>
  <c r="O22" i="4"/>
  <c r="O20" i="4"/>
  <c r="O19" i="4"/>
  <c r="O18" i="4"/>
  <c r="O17" i="4"/>
  <c r="O16" i="4"/>
  <c r="O15" i="4"/>
  <c r="O14" i="4"/>
  <c r="O13" i="4"/>
  <c r="O12" i="4"/>
  <c r="O11" i="4"/>
  <c r="O35" i="4"/>
  <c r="O10" i="4"/>
  <c r="O9" i="4"/>
  <c r="O8" i="4"/>
  <c r="O7" i="4"/>
  <c r="O6" i="4"/>
  <c r="O5" i="4"/>
  <c r="O50" i="4"/>
  <c r="O4" i="4"/>
  <c r="O3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4" i="4"/>
  <c r="L33" i="4"/>
  <c r="L32" i="4"/>
  <c r="L31" i="4"/>
  <c r="L30" i="4"/>
  <c r="L28" i="4"/>
  <c r="L27" i="4"/>
  <c r="L26" i="4"/>
  <c r="L25" i="4"/>
  <c r="L29" i="4"/>
  <c r="L24" i="4"/>
  <c r="L21" i="4"/>
  <c r="L23" i="4"/>
  <c r="L22" i="4"/>
  <c r="L20" i="4"/>
  <c r="L19" i="4"/>
  <c r="L18" i="4"/>
  <c r="L17" i="4"/>
  <c r="L16" i="4"/>
  <c r="L15" i="4"/>
  <c r="L14" i="4"/>
  <c r="L13" i="4"/>
  <c r="L12" i="4"/>
  <c r="L11" i="4"/>
  <c r="L35" i="4"/>
  <c r="L10" i="4"/>
  <c r="L9" i="4"/>
  <c r="L8" i="4"/>
  <c r="L7" i="4"/>
  <c r="L6" i="4"/>
  <c r="L5" i="4"/>
  <c r="L50" i="4"/>
  <c r="L4" i="4"/>
  <c r="L3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4" i="4"/>
  <c r="I33" i="4"/>
  <c r="I32" i="4"/>
  <c r="I31" i="4"/>
  <c r="I30" i="4"/>
  <c r="I27" i="4"/>
  <c r="I26" i="4"/>
  <c r="I25" i="4"/>
  <c r="I29" i="4"/>
  <c r="I24" i="4"/>
  <c r="I21" i="4"/>
  <c r="I23" i="4"/>
  <c r="I22" i="4"/>
  <c r="I20" i="4"/>
  <c r="I18" i="4"/>
  <c r="I17" i="4"/>
  <c r="I16" i="4"/>
  <c r="I15" i="4"/>
  <c r="I14" i="4"/>
  <c r="I13" i="4"/>
  <c r="I12" i="4"/>
  <c r="I11" i="4"/>
  <c r="I35" i="4"/>
  <c r="I10" i="4"/>
  <c r="I9" i="4"/>
  <c r="I8" i="4"/>
  <c r="I7" i="4"/>
  <c r="I6" i="4"/>
  <c r="I5" i="4"/>
  <c r="I50" i="4"/>
  <c r="I4" i="4"/>
  <c r="I3" i="4"/>
  <c r="V49" i="4"/>
  <c r="V48" i="4"/>
  <c r="V47" i="4"/>
  <c r="V46" i="4"/>
  <c r="V45" i="4"/>
  <c r="V44" i="4"/>
  <c r="V43" i="4"/>
  <c r="V42" i="4"/>
  <c r="V20" i="4"/>
  <c r="V19" i="4"/>
  <c r="V18" i="4"/>
  <c r="V17" i="4"/>
  <c r="V16" i="4"/>
  <c r="V15" i="4"/>
  <c r="V14" i="4"/>
  <c r="V13" i="4"/>
  <c r="V12" i="4"/>
  <c r="V11" i="4"/>
  <c r="V10" i="4"/>
  <c r="V9" i="4"/>
  <c r="V8" i="4"/>
  <c r="V7" i="4"/>
  <c r="V6" i="4"/>
  <c r="V5" i="4"/>
  <c r="V50" i="4"/>
  <c r="V4" i="4"/>
  <c r="V3" i="4"/>
  <c r="V2" i="4"/>
  <c r="O2" i="4"/>
  <c r="L2" i="4"/>
  <c r="I2" i="4"/>
  <c r="K28" i="3"/>
  <c r="K26" i="3"/>
  <c r="K25" i="3"/>
  <c r="K30" i="3"/>
  <c r="K24" i="3"/>
  <c r="K23" i="3"/>
  <c r="K22" i="3"/>
  <c r="K21" i="3"/>
  <c r="K20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AH867" i="1"/>
  <c r="AG867" i="1"/>
  <c r="AH866" i="1"/>
  <c r="AG866" i="1"/>
  <c r="AH865" i="1"/>
  <c r="AG865" i="1"/>
  <c r="AH864" i="1"/>
  <c r="AG864" i="1"/>
  <c r="AH863" i="1"/>
  <c r="AG863" i="1"/>
  <c r="AH862" i="1"/>
  <c r="AG862" i="1"/>
  <c r="AH861" i="1"/>
  <c r="AG861" i="1"/>
  <c r="AH860" i="1"/>
  <c r="AG860" i="1"/>
  <c r="AH859" i="1"/>
  <c r="AG859" i="1"/>
  <c r="AH858" i="1"/>
  <c r="AG858" i="1"/>
  <c r="AH857" i="1"/>
  <c r="AG857" i="1"/>
  <c r="AH856" i="1"/>
  <c r="AG856" i="1"/>
  <c r="AH855" i="1"/>
  <c r="AG855" i="1"/>
  <c r="AH854" i="1"/>
  <c r="AG854" i="1"/>
  <c r="AH853" i="1"/>
  <c r="AG853" i="1"/>
  <c r="AH852" i="1"/>
  <c r="AG852" i="1"/>
  <c r="AH851" i="1"/>
  <c r="AG851" i="1"/>
  <c r="AH850" i="1"/>
  <c r="AG850" i="1"/>
  <c r="AH849" i="1"/>
  <c r="AG849" i="1"/>
  <c r="AH848" i="1"/>
  <c r="AG848" i="1"/>
  <c r="AH847" i="1"/>
  <c r="AG847" i="1"/>
  <c r="AH846" i="1"/>
  <c r="AG846" i="1"/>
  <c r="AH845" i="1"/>
  <c r="AG845" i="1"/>
  <c r="AH844" i="1"/>
  <c r="AG844" i="1"/>
  <c r="AH843" i="1"/>
  <c r="AG843" i="1"/>
  <c r="AH842" i="1"/>
  <c r="AG842" i="1"/>
  <c r="AH841" i="1"/>
  <c r="AG841" i="1"/>
  <c r="AH840" i="1"/>
  <c r="AG840" i="1"/>
  <c r="AH839" i="1"/>
  <c r="AG839" i="1"/>
  <c r="AH838" i="1"/>
  <c r="AG838" i="1"/>
  <c r="AH837" i="1"/>
  <c r="AG837" i="1"/>
  <c r="AH836" i="1"/>
  <c r="AG836" i="1"/>
  <c r="AH835" i="1"/>
  <c r="AG835" i="1"/>
  <c r="AH834" i="1"/>
  <c r="AG834" i="1"/>
  <c r="AH833" i="1"/>
  <c r="AG833" i="1"/>
  <c r="AH832" i="1"/>
  <c r="AG832" i="1"/>
  <c r="AH831" i="1"/>
  <c r="AG831" i="1"/>
  <c r="AH830" i="1"/>
  <c r="AG830" i="1"/>
  <c r="AH829" i="1"/>
  <c r="AG829" i="1"/>
  <c r="AH828" i="1"/>
  <c r="AG828" i="1"/>
  <c r="AH827" i="1"/>
  <c r="AG827" i="1"/>
  <c r="AH826" i="1"/>
  <c r="AG826" i="1"/>
  <c r="AH825" i="1"/>
  <c r="AG825" i="1"/>
  <c r="AH824" i="1"/>
  <c r="AG824" i="1"/>
  <c r="AH823" i="1"/>
  <c r="AG823" i="1"/>
  <c r="AH822" i="1"/>
  <c r="AG822" i="1"/>
  <c r="AH821" i="1"/>
  <c r="AG821" i="1"/>
  <c r="AH820" i="1"/>
  <c r="AG820" i="1"/>
  <c r="AH819" i="1"/>
  <c r="AG819" i="1"/>
  <c r="AH818" i="1"/>
  <c r="AG818" i="1"/>
  <c r="AH817" i="1"/>
  <c r="AG817" i="1"/>
  <c r="AH816" i="1"/>
  <c r="AG816" i="1"/>
  <c r="AH815" i="1"/>
  <c r="AG815" i="1"/>
  <c r="AH814" i="1"/>
  <c r="AG814" i="1"/>
  <c r="AH813" i="1"/>
  <c r="AG813" i="1"/>
  <c r="AH812" i="1"/>
  <c r="AG812" i="1"/>
  <c r="AH811" i="1"/>
  <c r="AG811" i="1"/>
  <c r="AH810" i="1"/>
  <c r="AG810" i="1"/>
  <c r="AH809" i="1"/>
  <c r="AG809" i="1"/>
  <c r="AH808" i="1"/>
  <c r="AG808" i="1"/>
  <c r="AH807" i="1"/>
  <c r="AG807" i="1"/>
  <c r="AH806" i="1"/>
  <c r="AG806" i="1"/>
  <c r="AH805" i="1"/>
  <c r="AG805" i="1"/>
  <c r="AH804" i="1"/>
  <c r="AG804" i="1"/>
  <c r="AH803" i="1"/>
  <c r="AG803" i="1"/>
  <c r="AH802" i="1"/>
  <c r="AG802" i="1"/>
  <c r="AH801" i="1"/>
  <c r="AG801" i="1"/>
  <c r="AH800" i="1"/>
  <c r="AG800" i="1"/>
  <c r="AH799" i="1"/>
  <c r="AG799" i="1"/>
  <c r="AH798" i="1"/>
  <c r="AG798" i="1"/>
  <c r="AH797" i="1"/>
  <c r="AG797" i="1"/>
  <c r="AH796" i="1"/>
  <c r="AG796" i="1"/>
  <c r="AH795" i="1"/>
  <c r="AG795" i="1"/>
  <c r="AH794" i="1"/>
  <c r="AG794" i="1"/>
  <c r="AH793" i="1"/>
  <c r="AG793" i="1"/>
  <c r="AH792" i="1"/>
  <c r="AG792" i="1"/>
  <c r="AH791" i="1"/>
  <c r="AG791" i="1"/>
  <c r="AH790" i="1"/>
  <c r="AG790" i="1"/>
  <c r="AH789" i="1"/>
  <c r="AG789" i="1"/>
  <c r="AH788" i="1"/>
  <c r="AG788" i="1"/>
  <c r="AH787" i="1"/>
  <c r="AG787" i="1"/>
  <c r="AH786" i="1"/>
  <c r="AG786" i="1"/>
  <c r="AH785" i="1"/>
  <c r="AG785" i="1"/>
  <c r="AH784" i="1"/>
  <c r="AG784" i="1"/>
  <c r="AH783" i="1"/>
  <c r="AG783" i="1"/>
  <c r="AH782" i="1"/>
  <c r="AG782" i="1"/>
  <c r="AH781" i="1"/>
  <c r="AG781" i="1"/>
  <c r="AH780" i="1"/>
  <c r="AG780" i="1"/>
  <c r="AH779" i="1"/>
  <c r="AG779" i="1"/>
  <c r="AH778" i="1"/>
  <c r="AG778" i="1"/>
  <c r="AH777" i="1"/>
  <c r="AG777" i="1"/>
  <c r="AH776" i="1"/>
  <c r="AG776" i="1"/>
  <c r="AH775" i="1"/>
  <c r="AG775" i="1"/>
  <c r="AH774" i="1"/>
  <c r="AG774" i="1"/>
  <c r="AH773" i="1"/>
  <c r="AG773" i="1"/>
  <c r="AH772" i="1"/>
  <c r="AG772" i="1"/>
  <c r="AH771" i="1"/>
  <c r="AG771" i="1"/>
  <c r="AH770" i="1"/>
  <c r="AG770" i="1"/>
  <c r="AH769" i="1"/>
  <c r="AG769" i="1"/>
  <c r="AH768" i="1"/>
  <c r="AG768" i="1"/>
  <c r="AH767" i="1"/>
  <c r="AG767" i="1"/>
  <c r="AH766" i="1"/>
  <c r="AG766" i="1"/>
  <c r="AH765" i="1"/>
  <c r="AG765" i="1"/>
  <c r="AH764" i="1"/>
  <c r="AG764" i="1"/>
  <c r="AH763" i="1"/>
  <c r="AG763" i="1"/>
  <c r="AH762" i="1"/>
  <c r="AG762" i="1"/>
  <c r="AH761" i="1"/>
  <c r="AG761" i="1"/>
  <c r="AH760" i="1"/>
  <c r="AG760" i="1"/>
  <c r="AH759" i="1"/>
  <c r="AG759" i="1"/>
  <c r="AH758" i="1"/>
  <c r="AG758" i="1"/>
  <c r="AH757" i="1"/>
  <c r="AG757" i="1"/>
  <c r="AH756" i="1"/>
  <c r="AG756" i="1"/>
  <c r="AH755" i="1"/>
  <c r="AG755" i="1"/>
  <c r="AH754" i="1"/>
  <c r="AG754" i="1"/>
  <c r="AH753" i="1"/>
  <c r="AG753" i="1"/>
  <c r="AH752" i="1"/>
  <c r="AG752" i="1"/>
  <c r="AH751" i="1"/>
  <c r="AG751" i="1"/>
  <c r="AH750" i="1"/>
  <c r="AG750" i="1"/>
  <c r="AH749" i="1"/>
  <c r="AG749" i="1"/>
  <c r="AH748" i="1"/>
  <c r="AG748" i="1"/>
  <c r="AH747" i="1"/>
  <c r="AG747" i="1"/>
  <c r="AH746" i="1"/>
  <c r="AG746" i="1"/>
  <c r="AH745" i="1"/>
  <c r="AG745" i="1"/>
  <c r="AH744" i="1"/>
  <c r="AG744" i="1"/>
  <c r="AH743" i="1"/>
  <c r="AG743" i="1"/>
  <c r="AH742" i="1"/>
  <c r="AG742" i="1"/>
  <c r="AH741" i="1"/>
  <c r="AG741" i="1"/>
  <c r="AH740" i="1"/>
  <c r="AG740" i="1"/>
  <c r="AH739" i="1"/>
  <c r="AG739" i="1"/>
  <c r="AH738" i="1"/>
  <c r="AG738" i="1"/>
  <c r="AH737" i="1"/>
  <c r="AG737" i="1"/>
  <c r="AH736" i="1"/>
  <c r="AG736" i="1"/>
  <c r="AH735" i="1"/>
  <c r="AG735" i="1"/>
  <c r="AH734" i="1"/>
  <c r="AG734" i="1"/>
  <c r="AH733" i="1"/>
  <c r="AG733" i="1"/>
  <c r="AH732" i="1"/>
  <c r="AG732" i="1"/>
  <c r="AH731" i="1"/>
  <c r="AG731" i="1"/>
  <c r="AH730" i="1"/>
  <c r="AG730" i="1"/>
  <c r="AH729" i="1"/>
  <c r="AG729" i="1"/>
  <c r="AH728" i="1"/>
  <c r="AG728" i="1"/>
  <c r="AH727" i="1"/>
  <c r="AG727" i="1"/>
  <c r="AH726" i="1"/>
  <c r="AG726" i="1"/>
  <c r="AH725" i="1"/>
  <c r="AG725" i="1"/>
  <c r="AH724" i="1"/>
  <c r="AG724" i="1"/>
  <c r="AH723" i="1"/>
  <c r="AG723" i="1"/>
  <c r="AH722" i="1"/>
  <c r="AG722" i="1"/>
  <c r="AH721" i="1"/>
  <c r="AG721" i="1"/>
  <c r="AH720" i="1"/>
  <c r="AG720" i="1"/>
  <c r="AH719" i="1"/>
  <c r="AG719" i="1"/>
  <c r="AH718" i="1"/>
  <c r="AG718" i="1"/>
  <c r="AH717" i="1"/>
  <c r="AG717" i="1"/>
  <c r="AH716" i="1"/>
  <c r="AG716" i="1"/>
  <c r="AH715" i="1"/>
  <c r="AG715" i="1"/>
  <c r="AH714" i="1"/>
  <c r="AG714" i="1"/>
  <c r="AH713" i="1"/>
  <c r="AG713" i="1"/>
  <c r="AH712" i="1"/>
  <c r="AG712" i="1"/>
  <c r="AH711" i="1"/>
  <c r="AG711" i="1"/>
  <c r="AH710" i="1"/>
  <c r="AG710" i="1"/>
  <c r="AH709" i="1"/>
  <c r="AG709" i="1"/>
  <c r="AH708" i="1"/>
  <c r="AG708" i="1"/>
  <c r="AH707" i="1"/>
  <c r="AG707" i="1"/>
  <c r="AH706" i="1"/>
  <c r="AG706" i="1"/>
  <c r="AH705" i="1"/>
  <c r="AG705" i="1"/>
  <c r="AH704" i="1"/>
  <c r="AG704" i="1"/>
  <c r="AH703" i="1"/>
  <c r="AG703" i="1"/>
  <c r="AH702" i="1"/>
  <c r="AG702" i="1"/>
  <c r="AH701" i="1"/>
  <c r="AG701" i="1"/>
  <c r="AH700" i="1"/>
  <c r="AG700" i="1"/>
  <c r="AH699" i="1"/>
  <c r="AG699" i="1"/>
  <c r="AH698" i="1"/>
  <c r="AG698" i="1"/>
  <c r="AH697" i="1"/>
  <c r="AG697" i="1"/>
  <c r="AH696" i="1"/>
  <c r="AG696" i="1"/>
  <c r="AH695" i="1"/>
  <c r="AG695" i="1"/>
  <c r="AH694" i="1"/>
  <c r="AG694" i="1"/>
  <c r="AH693" i="1"/>
  <c r="AG693" i="1"/>
  <c r="AH692" i="1"/>
  <c r="AG692" i="1"/>
  <c r="AH691" i="1"/>
  <c r="AG691" i="1"/>
  <c r="AH690" i="1"/>
  <c r="AG690" i="1"/>
  <c r="AH689" i="1"/>
  <c r="AG689" i="1"/>
  <c r="AH688" i="1"/>
  <c r="AG688" i="1"/>
  <c r="AH687" i="1"/>
  <c r="AG687" i="1"/>
  <c r="AH686" i="1"/>
  <c r="AG686" i="1"/>
  <c r="AH685" i="1"/>
  <c r="AG685" i="1"/>
  <c r="AH684" i="1"/>
  <c r="AG684" i="1"/>
  <c r="AH683" i="1"/>
  <c r="AG683" i="1"/>
  <c r="AH682" i="1"/>
  <c r="AG682" i="1"/>
  <c r="AH681" i="1"/>
  <c r="AG681" i="1"/>
  <c r="AH680" i="1"/>
  <c r="AG680" i="1"/>
  <c r="AH679" i="1"/>
  <c r="AG679" i="1"/>
  <c r="AH678" i="1"/>
  <c r="AG678" i="1"/>
  <c r="AH677" i="1"/>
  <c r="AG677" i="1"/>
  <c r="AH676" i="1"/>
  <c r="AG676" i="1"/>
  <c r="AH675" i="1"/>
  <c r="AG675" i="1"/>
  <c r="AH674" i="1"/>
  <c r="AG674" i="1"/>
  <c r="AH673" i="1"/>
  <c r="AG673" i="1"/>
  <c r="AH672" i="1"/>
  <c r="AG672" i="1"/>
  <c r="AH671" i="1"/>
  <c r="AG671" i="1"/>
  <c r="AH670" i="1"/>
  <c r="AG670" i="1"/>
  <c r="AH669" i="1"/>
  <c r="AG669" i="1"/>
  <c r="AH668" i="1"/>
  <c r="AG668" i="1"/>
  <c r="AH667" i="1"/>
  <c r="AG667" i="1"/>
  <c r="AH666" i="1"/>
  <c r="AG666" i="1"/>
  <c r="AH665" i="1"/>
  <c r="AG665" i="1"/>
  <c r="AH664" i="1"/>
  <c r="AG664" i="1"/>
  <c r="AH663" i="1"/>
  <c r="AG663" i="1"/>
  <c r="AH662" i="1"/>
  <c r="AG662" i="1"/>
  <c r="AH661" i="1"/>
  <c r="AG661" i="1"/>
  <c r="AH660" i="1"/>
  <c r="AG660" i="1"/>
  <c r="AH659" i="1"/>
  <c r="AG659" i="1"/>
  <c r="AH658" i="1"/>
  <c r="AG658" i="1"/>
  <c r="AH657" i="1"/>
  <c r="AG657" i="1"/>
  <c r="AH656" i="1"/>
  <c r="AG656" i="1"/>
  <c r="AH655" i="1"/>
  <c r="AG655" i="1"/>
  <c r="AH654" i="1"/>
  <c r="AG654" i="1"/>
  <c r="AH653" i="1"/>
  <c r="AG653" i="1"/>
  <c r="AH652" i="1"/>
  <c r="AG652" i="1"/>
  <c r="AH651" i="1"/>
  <c r="AG651" i="1"/>
  <c r="AH650" i="1"/>
  <c r="AG650" i="1"/>
  <c r="AH649" i="1"/>
  <c r="AG649" i="1"/>
  <c r="AH648" i="1"/>
  <c r="AG648" i="1"/>
  <c r="AH647" i="1"/>
  <c r="AG647" i="1"/>
  <c r="AH646" i="1"/>
  <c r="AG646" i="1"/>
  <c r="AH645" i="1"/>
  <c r="AG645" i="1"/>
  <c r="AH644" i="1"/>
  <c r="AG644" i="1"/>
  <c r="AH643" i="1"/>
  <c r="AG643" i="1"/>
  <c r="AH642" i="1"/>
  <c r="AG642" i="1"/>
  <c r="AH641" i="1"/>
  <c r="AG641" i="1"/>
  <c r="AH640" i="1"/>
  <c r="AG640" i="1"/>
  <c r="AH639" i="1"/>
  <c r="AG639" i="1"/>
  <c r="AH638" i="1"/>
  <c r="AG638" i="1"/>
  <c r="AH637" i="1"/>
  <c r="AG637" i="1"/>
  <c r="AH636" i="1"/>
  <c r="AG636" i="1"/>
  <c r="AH635" i="1"/>
  <c r="AG635" i="1"/>
  <c r="AH634" i="1"/>
  <c r="AG634" i="1"/>
  <c r="AH633" i="1"/>
  <c r="AG633" i="1"/>
  <c r="AH632" i="1"/>
  <c r="AG632" i="1"/>
  <c r="AH631" i="1"/>
  <c r="AG631" i="1"/>
  <c r="AH630" i="1"/>
  <c r="AG630" i="1"/>
  <c r="AH629" i="1"/>
  <c r="AG629" i="1"/>
  <c r="AH628" i="1"/>
  <c r="AG628" i="1"/>
  <c r="AH627" i="1"/>
  <c r="AG627" i="1"/>
  <c r="AH626" i="1"/>
  <c r="AG626" i="1"/>
  <c r="AH625" i="1"/>
  <c r="AG625" i="1"/>
  <c r="AH624" i="1"/>
  <c r="AG624" i="1"/>
  <c r="AH623" i="1"/>
  <c r="AG623" i="1"/>
  <c r="AH622" i="1"/>
  <c r="AG622" i="1"/>
  <c r="AH621" i="1"/>
  <c r="AG621" i="1"/>
  <c r="AH620" i="1"/>
  <c r="AG620" i="1"/>
  <c r="AH619" i="1"/>
  <c r="AG619" i="1"/>
  <c r="AH618" i="1"/>
  <c r="AG618" i="1"/>
  <c r="AH617" i="1"/>
  <c r="AG617" i="1"/>
  <c r="AH616" i="1"/>
  <c r="AG616" i="1"/>
  <c r="AH615" i="1"/>
  <c r="AG615" i="1"/>
  <c r="AH614" i="1"/>
  <c r="AG614" i="1"/>
  <c r="AH613" i="1"/>
  <c r="AG613" i="1"/>
  <c r="AH612" i="1"/>
  <c r="AG612" i="1"/>
  <c r="AH611" i="1"/>
  <c r="AG611" i="1"/>
  <c r="AH610" i="1"/>
  <c r="AG610" i="1"/>
  <c r="AH609" i="1"/>
  <c r="AG609" i="1"/>
  <c r="AH608" i="1"/>
  <c r="AG608" i="1"/>
  <c r="AH607" i="1"/>
  <c r="AG607" i="1"/>
  <c r="AH606" i="1"/>
  <c r="AG606" i="1"/>
  <c r="AH605" i="1"/>
  <c r="AG605" i="1"/>
  <c r="AH604" i="1"/>
  <c r="AG604" i="1"/>
  <c r="AH603" i="1"/>
  <c r="AG603" i="1"/>
  <c r="AH602" i="1"/>
  <c r="AG602" i="1"/>
  <c r="AH601" i="1"/>
  <c r="AG601" i="1"/>
  <c r="AH600" i="1"/>
  <c r="AG600" i="1"/>
  <c r="AH599" i="1"/>
  <c r="AG599" i="1"/>
  <c r="AH598" i="1"/>
  <c r="AG598" i="1"/>
  <c r="AH597" i="1"/>
  <c r="AG597" i="1"/>
  <c r="AH596" i="1"/>
  <c r="AG596" i="1"/>
  <c r="AH595" i="1"/>
  <c r="AG595" i="1"/>
  <c r="AH594" i="1"/>
  <c r="AG594" i="1"/>
  <c r="AH593" i="1"/>
  <c r="AG593" i="1"/>
  <c r="AH592" i="1"/>
  <c r="AG592" i="1"/>
  <c r="AH591" i="1"/>
  <c r="AG591" i="1"/>
  <c r="AH590" i="1"/>
  <c r="AG590" i="1"/>
  <c r="AH589" i="1"/>
  <c r="AG589" i="1"/>
  <c r="AH588" i="1"/>
  <c r="AG588" i="1"/>
  <c r="AH587" i="1"/>
  <c r="AG587" i="1"/>
  <c r="AH586" i="1"/>
  <c r="AG586" i="1"/>
  <c r="AH585" i="1"/>
  <c r="AG585" i="1"/>
  <c r="AH584" i="1"/>
  <c r="AG584" i="1"/>
  <c r="AH583" i="1"/>
  <c r="AG583" i="1"/>
  <c r="AH582" i="1"/>
  <c r="AG582" i="1"/>
  <c r="AH581" i="1"/>
  <c r="AG581" i="1"/>
  <c r="AH580" i="1"/>
  <c r="AG580" i="1"/>
  <c r="AH579" i="1"/>
  <c r="AG579" i="1"/>
  <c r="AH578" i="1"/>
  <c r="AG578" i="1"/>
  <c r="AH577" i="1"/>
  <c r="AG577" i="1"/>
  <c r="AH576" i="1"/>
  <c r="AG576" i="1"/>
  <c r="AH575" i="1"/>
  <c r="AG575" i="1"/>
  <c r="AH574" i="1"/>
  <c r="AG574" i="1"/>
  <c r="AH573" i="1"/>
  <c r="AG573" i="1"/>
  <c r="AH572" i="1"/>
  <c r="AG572" i="1"/>
  <c r="AH571" i="1"/>
  <c r="AG571" i="1"/>
  <c r="AH570" i="1"/>
  <c r="AG570" i="1"/>
  <c r="AH569" i="1"/>
  <c r="AG569" i="1"/>
  <c r="AH568" i="1"/>
  <c r="AG568" i="1"/>
  <c r="AH567" i="1"/>
  <c r="AG567" i="1"/>
  <c r="AH566" i="1"/>
  <c r="AG566" i="1"/>
  <c r="AH565" i="1"/>
  <c r="AG565" i="1"/>
  <c r="AH564" i="1"/>
  <c r="AG564" i="1"/>
  <c r="AH563" i="1"/>
  <c r="AG563" i="1"/>
  <c r="AH562" i="1"/>
  <c r="AG562" i="1"/>
  <c r="AH561" i="1"/>
  <c r="AG561" i="1"/>
  <c r="AH560" i="1"/>
  <c r="AG560" i="1"/>
  <c r="AH559" i="1"/>
  <c r="AG559" i="1"/>
  <c r="AH558" i="1"/>
  <c r="AG558" i="1"/>
  <c r="AH557" i="1"/>
  <c r="AG557" i="1"/>
  <c r="AH556" i="1"/>
  <c r="AG556" i="1"/>
  <c r="AH555" i="1"/>
  <c r="AG555" i="1"/>
  <c r="AH554" i="1"/>
  <c r="AG554" i="1"/>
  <c r="AH553" i="1"/>
  <c r="AG553" i="1"/>
  <c r="AH552" i="1"/>
  <c r="AG552" i="1"/>
  <c r="AH551" i="1"/>
  <c r="AG551" i="1"/>
  <c r="AH550" i="1"/>
  <c r="AG550" i="1"/>
  <c r="AH549" i="1"/>
  <c r="AG549" i="1"/>
  <c r="AH548" i="1"/>
  <c r="AG548" i="1"/>
  <c r="AH547" i="1"/>
  <c r="AG547" i="1"/>
  <c r="AH546" i="1"/>
  <c r="AG546" i="1"/>
  <c r="AH545" i="1"/>
  <c r="AG545" i="1"/>
  <c r="AH544" i="1"/>
  <c r="AG544" i="1"/>
  <c r="AH543" i="1"/>
  <c r="AG543" i="1"/>
  <c r="AH542" i="1"/>
  <c r="AG542" i="1"/>
  <c r="AH541" i="1"/>
  <c r="AG541" i="1"/>
  <c r="AH540" i="1"/>
  <c r="AG540" i="1"/>
  <c r="AH539" i="1"/>
  <c r="AG539" i="1"/>
  <c r="AH538" i="1"/>
  <c r="AG538" i="1"/>
  <c r="AH537" i="1"/>
  <c r="AG537" i="1"/>
  <c r="AH536" i="1"/>
  <c r="AG536" i="1"/>
  <c r="AH535" i="1"/>
  <c r="AG535" i="1"/>
  <c r="AH534" i="1"/>
  <c r="AG534" i="1"/>
  <c r="AH533" i="1"/>
  <c r="AG533" i="1"/>
  <c r="AH532" i="1"/>
  <c r="AG532" i="1"/>
  <c r="AH531" i="1"/>
  <c r="AG531" i="1"/>
  <c r="AH530" i="1"/>
  <c r="AG530" i="1"/>
  <c r="AH529" i="1"/>
  <c r="AG529" i="1"/>
  <c r="AH528" i="1"/>
  <c r="AG528" i="1"/>
  <c r="AH527" i="1"/>
  <c r="AG527" i="1"/>
  <c r="AH526" i="1"/>
  <c r="AG526" i="1"/>
  <c r="AH525" i="1"/>
  <c r="AG525" i="1"/>
  <c r="AH524" i="1"/>
  <c r="AG524" i="1"/>
  <c r="AH523" i="1"/>
  <c r="AG523" i="1"/>
  <c r="AH522" i="1"/>
  <c r="AG522" i="1"/>
  <c r="AH521" i="1"/>
  <c r="AG521" i="1"/>
  <c r="AH520" i="1"/>
  <c r="AG520" i="1"/>
  <c r="AH519" i="1"/>
  <c r="AG519" i="1"/>
  <c r="AH518" i="1"/>
  <c r="AG518" i="1"/>
  <c r="AH517" i="1"/>
  <c r="AG517" i="1"/>
  <c r="AH516" i="1"/>
  <c r="AG516" i="1"/>
  <c r="AH515" i="1"/>
  <c r="AG515" i="1"/>
  <c r="AH514" i="1"/>
  <c r="AG514" i="1"/>
  <c r="AH513" i="1"/>
  <c r="AG513" i="1"/>
  <c r="AH512" i="1"/>
  <c r="AG512" i="1"/>
  <c r="AH511" i="1"/>
  <c r="AG511" i="1"/>
  <c r="AH510" i="1"/>
  <c r="AG510" i="1"/>
  <c r="AH509" i="1"/>
  <c r="AG509" i="1"/>
  <c r="AH508" i="1"/>
  <c r="AG508" i="1"/>
  <c r="AH507" i="1"/>
  <c r="AG507" i="1"/>
  <c r="AH506" i="1"/>
  <c r="AG506" i="1"/>
  <c r="AH505" i="1"/>
  <c r="AG505" i="1"/>
  <c r="AH504" i="1"/>
  <c r="AG504" i="1"/>
  <c r="AH503" i="1"/>
  <c r="AG503" i="1"/>
  <c r="AH502" i="1"/>
  <c r="AG502" i="1"/>
  <c r="AH501" i="1"/>
  <c r="AG501" i="1"/>
  <c r="AH500" i="1"/>
  <c r="AG500" i="1"/>
  <c r="AH499" i="1"/>
  <c r="AG499" i="1"/>
  <c r="AH498" i="1"/>
  <c r="AG498" i="1"/>
  <c r="AH497" i="1"/>
  <c r="AG497" i="1"/>
  <c r="AH496" i="1"/>
  <c r="AG496" i="1"/>
  <c r="AH495" i="1"/>
  <c r="AG495" i="1"/>
  <c r="AH494" i="1"/>
  <c r="AG494" i="1"/>
  <c r="AH493" i="1"/>
  <c r="AG493" i="1"/>
  <c r="AH492" i="1"/>
  <c r="AG492" i="1"/>
  <c r="AH491" i="1"/>
  <c r="AG491" i="1"/>
  <c r="AH490" i="1"/>
  <c r="AG490" i="1"/>
  <c r="AH489" i="1"/>
  <c r="AG489" i="1"/>
  <c r="AH488" i="1"/>
  <c r="AG488" i="1"/>
  <c r="AH487" i="1"/>
  <c r="AG487" i="1"/>
  <c r="AH486" i="1"/>
  <c r="AG486" i="1"/>
  <c r="AH485" i="1"/>
  <c r="AG485" i="1"/>
  <c r="AH484" i="1"/>
  <c r="AG484" i="1"/>
  <c r="AH483" i="1"/>
  <c r="AG483" i="1"/>
  <c r="AH482" i="1"/>
  <c r="AG482" i="1"/>
  <c r="AH481" i="1"/>
  <c r="AG481" i="1"/>
  <c r="AH480" i="1"/>
  <c r="AG480" i="1"/>
  <c r="AH479" i="1"/>
  <c r="AG479" i="1"/>
  <c r="AH478" i="1"/>
  <c r="AG478" i="1"/>
  <c r="AH477" i="1"/>
  <c r="AG477" i="1"/>
  <c r="AH476" i="1"/>
  <c r="AG476" i="1"/>
  <c r="AH475" i="1"/>
  <c r="AG475" i="1"/>
  <c r="AH474" i="1"/>
  <c r="AG474" i="1"/>
  <c r="AH473" i="1"/>
  <c r="AG473" i="1"/>
  <c r="AH472" i="1"/>
  <c r="AG472" i="1"/>
  <c r="AH471" i="1"/>
  <c r="AG471" i="1"/>
  <c r="AH470" i="1"/>
  <c r="AG470" i="1"/>
  <c r="AH469" i="1"/>
  <c r="AG469" i="1"/>
  <c r="AH468" i="1"/>
  <c r="AG468" i="1"/>
  <c r="AH467" i="1"/>
  <c r="AG467" i="1"/>
  <c r="AH466" i="1"/>
  <c r="AG466" i="1"/>
  <c r="AH465" i="1"/>
  <c r="AG465" i="1"/>
  <c r="AH464" i="1"/>
  <c r="AG464" i="1"/>
  <c r="AH463" i="1"/>
  <c r="AG463" i="1"/>
  <c r="AH462" i="1"/>
  <c r="AG462" i="1"/>
  <c r="AH461" i="1"/>
  <c r="AG461" i="1"/>
  <c r="AH460" i="1"/>
  <c r="AG460" i="1"/>
  <c r="AH459" i="1"/>
  <c r="AG459" i="1"/>
  <c r="AH458" i="1"/>
  <c r="AG458" i="1"/>
  <c r="AH457" i="1"/>
  <c r="AG457" i="1"/>
  <c r="AH456" i="1"/>
  <c r="AG456" i="1"/>
  <c r="AH455" i="1"/>
  <c r="AG455" i="1"/>
  <c r="AH454" i="1"/>
  <c r="AG454" i="1"/>
  <c r="AH453" i="1"/>
  <c r="AG453" i="1"/>
  <c r="AH452" i="1"/>
  <c r="AG452" i="1"/>
  <c r="AH451" i="1"/>
  <c r="AG451" i="1"/>
  <c r="AH450" i="1"/>
  <c r="AG450" i="1"/>
  <c r="AH449" i="1"/>
  <c r="AG449" i="1"/>
  <c r="AH448" i="1"/>
  <c r="AG448" i="1"/>
  <c r="AH447" i="1"/>
  <c r="AG447" i="1"/>
  <c r="AH446" i="1"/>
  <c r="AG446" i="1"/>
  <c r="AH445" i="1"/>
  <c r="AG445" i="1"/>
  <c r="AH444" i="1"/>
  <c r="AG444" i="1"/>
  <c r="AH443" i="1"/>
  <c r="AG443" i="1"/>
  <c r="AH442" i="1"/>
  <c r="AG442" i="1"/>
  <c r="AH441" i="1"/>
  <c r="AG441" i="1"/>
  <c r="AH440" i="1"/>
  <c r="AG440" i="1"/>
  <c r="AH439" i="1"/>
  <c r="AG439" i="1"/>
  <c r="AH438" i="1"/>
  <c r="AG438" i="1"/>
  <c r="AH437" i="1"/>
  <c r="AG437" i="1"/>
  <c r="AH436" i="1"/>
  <c r="AG436" i="1"/>
  <c r="AH435" i="1"/>
  <c r="AG435" i="1"/>
  <c r="AH434" i="1"/>
  <c r="AG434" i="1"/>
  <c r="AH433" i="1"/>
  <c r="AG433" i="1"/>
  <c r="AH432" i="1"/>
  <c r="AG432" i="1"/>
  <c r="AH431" i="1"/>
  <c r="AG431" i="1"/>
  <c r="AH430" i="1"/>
  <c r="AG430" i="1"/>
  <c r="AH429" i="1"/>
  <c r="AG429" i="1"/>
  <c r="AH428" i="1"/>
  <c r="AG428" i="1"/>
  <c r="AH427" i="1"/>
  <c r="AG427" i="1"/>
  <c r="AH426" i="1"/>
  <c r="AG426" i="1"/>
  <c r="AH425" i="1"/>
  <c r="AG425" i="1"/>
  <c r="AH424" i="1"/>
  <c r="AG424" i="1"/>
  <c r="AH423" i="1"/>
  <c r="AG423" i="1"/>
  <c r="AH422" i="1"/>
  <c r="AG422" i="1"/>
  <c r="AH421" i="1"/>
  <c r="AG421" i="1"/>
  <c r="AH420" i="1"/>
  <c r="AG420" i="1"/>
  <c r="AH419" i="1"/>
  <c r="AG419" i="1"/>
  <c r="AH418" i="1"/>
  <c r="AG418" i="1"/>
  <c r="AH417" i="1"/>
  <c r="AG417" i="1"/>
  <c r="AH416" i="1"/>
  <c r="AG416" i="1"/>
  <c r="AH415" i="1"/>
  <c r="AG415" i="1"/>
  <c r="AH414" i="1"/>
  <c r="AG414" i="1"/>
  <c r="AH413" i="1"/>
  <c r="AG413" i="1"/>
  <c r="AH412" i="1"/>
  <c r="AG412" i="1"/>
  <c r="AH411" i="1"/>
  <c r="AG411" i="1"/>
  <c r="AH410" i="1"/>
  <c r="AG410" i="1"/>
  <c r="AH409" i="1"/>
  <c r="AG409" i="1"/>
  <c r="AH408" i="1"/>
  <c r="AG408" i="1"/>
  <c r="AH407" i="1"/>
  <c r="AG407" i="1"/>
  <c r="AH406" i="1"/>
  <c r="AG406" i="1"/>
  <c r="AH405" i="1"/>
  <c r="AG405" i="1"/>
  <c r="AH404" i="1"/>
  <c r="AG404" i="1"/>
  <c r="AH403" i="1"/>
  <c r="AG403" i="1"/>
  <c r="AH402" i="1"/>
  <c r="AG402" i="1"/>
  <c r="AH401" i="1"/>
  <c r="AG401" i="1"/>
  <c r="AH400" i="1"/>
  <c r="AG400" i="1"/>
  <c r="AH399" i="1"/>
  <c r="AG399" i="1"/>
  <c r="AH398" i="1"/>
  <c r="AG398" i="1"/>
  <c r="AH397" i="1"/>
  <c r="AG397" i="1"/>
  <c r="AH396" i="1"/>
  <c r="AG396" i="1"/>
  <c r="AH395" i="1"/>
  <c r="AG395" i="1"/>
  <c r="AH394" i="1"/>
  <c r="AG394" i="1"/>
  <c r="AH393" i="1"/>
  <c r="AG393" i="1"/>
  <c r="AH392" i="1"/>
  <c r="AG392" i="1"/>
  <c r="AH391" i="1"/>
  <c r="AG391" i="1"/>
  <c r="AH390" i="1"/>
  <c r="AG390" i="1"/>
  <c r="AH389" i="1"/>
  <c r="AG389" i="1"/>
  <c r="AH388" i="1"/>
  <c r="AG388" i="1"/>
  <c r="AH387" i="1"/>
  <c r="AG387" i="1"/>
  <c r="AH386" i="1"/>
  <c r="AG386" i="1"/>
  <c r="AH385" i="1"/>
  <c r="AG385" i="1"/>
  <c r="AH384" i="1"/>
  <c r="AG384" i="1"/>
  <c r="AH383" i="1"/>
  <c r="AG383" i="1"/>
  <c r="AH382" i="1"/>
  <c r="AG382" i="1"/>
  <c r="AH381" i="1"/>
  <c r="AG381" i="1"/>
  <c r="AH380" i="1"/>
  <c r="AG380" i="1"/>
  <c r="AH379" i="1"/>
  <c r="AG379" i="1"/>
  <c r="AH378" i="1"/>
  <c r="AG378" i="1"/>
  <c r="AH377" i="1"/>
  <c r="AG377" i="1"/>
  <c r="AH376" i="1"/>
  <c r="AG376" i="1"/>
  <c r="AH375" i="1"/>
  <c r="AG375" i="1"/>
  <c r="AH374" i="1"/>
  <c r="AG374" i="1"/>
  <c r="AH373" i="1"/>
  <c r="AG373" i="1"/>
  <c r="AH372" i="1"/>
  <c r="AG372" i="1"/>
  <c r="AH371" i="1"/>
  <c r="AG371" i="1"/>
  <c r="AH370" i="1"/>
  <c r="AG370" i="1"/>
  <c r="AH369" i="1"/>
  <c r="AG369" i="1"/>
  <c r="AH368" i="1"/>
  <c r="AG368" i="1"/>
  <c r="AH367" i="1"/>
  <c r="AG367" i="1"/>
  <c r="AH366" i="1"/>
  <c r="AG366" i="1"/>
  <c r="AH365" i="1"/>
  <c r="AG365" i="1"/>
  <c r="AH364" i="1"/>
  <c r="AG364" i="1"/>
  <c r="AH363" i="1"/>
  <c r="AG363" i="1"/>
  <c r="AH362" i="1"/>
  <c r="AG362" i="1"/>
  <c r="AH361" i="1"/>
  <c r="AG361" i="1"/>
  <c r="AH360" i="1"/>
  <c r="AG360" i="1"/>
  <c r="AH359" i="1"/>
  <c r="AG359" i="1"/>
  <c r="AH358" i="1"/>
  <c r="AG358" i="1"/>
  <c r="AH357" i="1"/>
  <c r="AG357" i="1"/>
  <c r="AH356" i="1"/>
  <c r="AG356" i="1"/>
  <c r="AH355" i="1"/>
  <c r="AG355" i="1"/>
  <c r="AH354" i="1"/>
  <c r="AG354" i="1"/>
  <c r="AH353" i="1"/>
  <c r="AG353" i="1"/>
  <c r="AH352" i="1"/>
  <c r="AG352" i="1"/>
  <c r="AH351" i="1"/>
  <c r="AG351" i="1"/>
  <c r="AH350" i="1"/>
  <c r="AG350" i="1"/>
  <c r="AH349" i="1"/>
  <c r="AG349" i="1"/>
  <c r="AH348" i="1"/>
  <c r="AG348" i="1"/>
  <c r="AH347" i="1"/>
  <c r="AG347" i="1"/>
  <c r="AH346" i="1"/>
  <c r="AG346" i="1"/>
  <c r="AH345" i="1"/>
  <c r="AG345" i="1"/>
  <c r="AH344" i="1"/>
  <c r="AG344" i="1"/>
  <c r="AH343" i="1"/>
  <c r="AG343" i="1"/>
  <c r="AH342" i="1"/>
  <c r="AG342" i="1"/>
  <c r="AH341" i="1"/>
  <c r="AG341" i="1"/>
  <c r="AH340" i="1"/>
  <c r="AG340" i="1"/>
  <c r="AH339" i="1"/>
  <c r="AG339" i="1"/>
  <c r="AH338" i="1"/>
  <c r="AG338" i="1"/>
  <c r="AH337" i="1"/>
  <c r="AG337" i="1"/>
  <c r="AH336" i="1"/>
  <c r="AG336" i="1"/>
  <c r="AH335" i="1"/>
  <c r="AG335" i="1"/>
  <c r="AH334" i="1"/>
  <c r="AG334" i="1"/>
  <c r="AH333" i="1"/>
  <c r="AG333" i="1"/>
  <c r="AH332" i="1"/>
  <c r="AG332" i="1"/>
  <c r="AH331" i="1"/>
  <c r="AG331" i="1"/>
  <c r="AH330" i="1"/>
  <c r="AG330" i="1"/>
  <c r="AH329" i="1"/>
  <c r="AG329" i="1"/>
  <c r="AH328" i="1"/>
  <c r="AG328" i="1"/>
  <c r="AH327" i="1"/>
  <c r="AG327" i="1"/>
  <c r="AH326" i="1"/>
  <c r="AG326" i="1"/>
  <c r="AH325" i="1"/>
  <c r="AG325" i="1"/>
  <c r="AH324" i="1"/>
  <c r="AG324" i="1"/>
  <c r="AH323" i="1"/>
  <c r="AG323" i="1"/>
  <c r="AH322" i="1"/>
  <c r="AG322" i="1"/>
  <c r="AH321" i="1"/>
  <c r="AG321" i="1"/>
  <c r="AH320" i="1"/>
  <c r="AG320" i="1"/>
  <c r="AH319" i="1"/>
  <c r="AG319" i="1"/>
  <c r="AH318" i="1"/>
  <c r="AG318" i="1"/>
  <c r="AH317" i="1"/>
  <c r="AG317" i="1"/>
  <c r="AH316" i="1"/>
  <c r="AG316" i="1"/>
  <c r="AH315" i="1"/>
  <c r="AG315" i="1"/>
  <c r="AH314" i="1"/>
  <c r="AG314" i="1"/>
  <c r="AH313" i="1"/>
  <c r="AG313" i="1"/>
  <c r="AH312" i="1"/>
  <c r="AG312" i="1"/>
  <c r="AH311" i="1"/>
  <c r="AG311" i="1"/>
  <c r="AH310" i="1"/>
  <c r="AG310" i="1"/>
  <c r="AH309" i="1"/>
  <c r="AG309" i="1"/>
  <c r="AH308" i="1"/>
  <c r="AG308" i="1"/>
  <c r="AH307" i="1"/>
  <c r="AG307" i="1"/>
  <c r="AH306" i="1"/>
  <c r="AG306" i="1"/>
  <c r="AH305" i="1"/>
  <c r="AG305" i="1"/>
  <c r="AH304" i="1"/>
  <c r="AG304" i="1"/>
  <c r="AH303" i="1"/>
  <c r="AG303" i="1"/>
  <c r="AH302" i="1"/>
  <c r="AG302" i="1"/>
  <c r="AH301" i="1"/>
  <c r="AG301" i="1"/>
  <c r="AH300" i="1"/>
  <c r="AG300" i="1"/>
  <c r="AH299" i="1"/>
  <c r="AG299" i="1"/>
  <c r="AH298" i="1"/>
  <c r="AG298" i="1"/>
  <c r="AH297" i="1"/>
  <c r="AG297" i="1"/>
  <c r="AH296" i="1"/>
  <c r="AG296" i="1"/>
  <c r="AH295" i="1"/>
  <c r="AG295" i="1"/>
  <c r="AH294" i="1"/>
  <c r="AG294" i="1"/>
  <c r="AH293" i="1"/>
  <c r="AG293" i="1"/>
  <c r="AH292" i="1"/>
  <c r="AG292" i="1"/>
  <c r="AH291" i="1"/>
  <c r="AG291" i="1"/>
  <c r="AH290" i="1"/>
  <c r="AG290" i="1"/>
  <c r="AH289" i="1"/>
  <c r="AG289" i="1"/>
  <c r="AH288" i="1"/>
  <c r="AG288" i="1"/>
  <c r="AH287" i="1"/>
  <c r="AG287" i="1"/>
  <c r="AH286" i="1"/>
  <c r="AG286" i="1"/>
  <c r="AH285" i="1"/>
  <c r="AG285" i="1"/>
  <c r="AH284" i="1"/>
  <c r="AG284" i="1"/>
  <c r="AH283" i="1"/>
  <c r="AG283" i="1"/>
  <c r="AH282" i="1"/>
  <c r="AG282" i="1"/>
  <c r="AH281" i="1"/>
  <c r="AG281" i="1"/>
  <c r="AH280" i="1"/>
  <c r="AG280" i="1"/>
  <c r="AH279" i="1"/>
  <c r="AG279" i="1"/>
  <c r="AH278" i="1"/>
  <c r="AG278" i="1"/>
  <c r="AH277" i="1"/>
  <c r="AG277" i="1"/>
  <c r="AH276" i="1"/>
  <c r="AG276" i="1"/>
  <c r="AH275" i="1"/>
  <c r="AG275" i="1"/>
  <c r="AH274" i="1"/>
  <c r="AG274" i="1"/>
  <c r="AH273" i="1"/>
  <c r="AG273" i="1"/>
  <c r="AH272" i="1"/>
  <c r="AG272" i="1"/>
  <c r="AH271" i="1"/>
  <c r="AG271" i="1"/>
  <c r="AH270" i="1"/>
  <c r="AG270" i="1"/>
  <c r="AH269" i="1"/>
  <c r="AG269" i="1"/>
  <c r="AH268" i="1"/>
  <c r="AG268" i="1"/>
  <c r="AH267" i="1"/>
  <c r="AG267" i="1"/>
  <c r="AH266" i="1"/>
  <c r="AG266" i="1"/>
  <c r="AH265" i="1"/>
  <c r="AG265" i="1"/>
  <c r="AH264" i="1"/>
  <c r="AG264" i="1"/>
  <c r="AH263" i="1"/>
  <c r="AG263" i="1"/>
  <c r="AH262" i="1"/>
  <c r="AG262" i="1"/>
  <c r="AH261" i="1"/>
  <c r="AG261" i="1"/>
  <c r="AH260" i="1"/>
  <c r="AG260" i="1"/>
  <c r="AH259" i="1"/>
  <c r="AG259" i="1"/>
  <c r="AH258" i="1"/>
  <c r="AG258" i="1"/>
  <c r="AH257" i="1"/>
  <c r="AG257" i="1"/>
  <c r="AH256" i="1"/>
  <c r="AG256" i="1"/>
  <c r="AH255" i="1"/>
  <c r="AG255" i="1"/>
  <c r="AH254" i="1"/>
  <c r="AG254" i="1"/>
  <c r="AH253" i="1"/>
  <c r="AG253" i="1"/>
  <c r="AH252" i="1"/>
  <c r="AG252" i="1"/>
  <c r="AH251" i="1"/>
  <c r="AG251" i="1"/>
  <c r="AH250" i="1"/>
  <c r="AG250" i="1"/>
  <c r="AH249" i="1"/>
  <c r="AG249" i="1"/>
  <c r="AH248" i="1"/>
  <c r="AG248" i="1"/>
  <c r="AH247" i="1"/>
  <c r="AG247" i="1"/>
  <c r="AH246" i="1"/>
  <c r="AG246" i="1"/>
  <c r="AH245" i="1"/>
  <c r="AG245" i="1"/>
  <c r="AH244" i="1"/>
  <c r="AG244" i="1"/>
  <c r="AH243" i="1"/>
  <c r="AG243" i="1"/>
  <c r="AH242" i="1"/>
  <c r="AG242" i="1"/>
  <c r="AH241" i="1"/>
  <c r="AG241" i="1"/>
  <c r="AH240" i="1"/>
  <c r="AG240" i="1"/>
  <c r="AH239" i="1"/>
  <c r="AG239" i="1"/>
  <c r="AH238" i="1"/>
  <c r="AG238" i="1"/>
  <c r="AH237" i="1"/>
  <c r="AG237" i="1"/>
  <c r="AH236" i="1"/>
  <c r="AG236" i="1"/>
  <c r="AH235" i="1"/>
  <c r="AG235" i="1"/>
  <c r="AH234" i="1"/>
  <c r="AG234" i="1"/>
  <c r="AH233" i="1"/>
  <c r="AG233" i="1"/>
  <c r="AH232" i="1"/>
  <c r="AG232" i="1"/>
  <c r="AH231" i="1"/>
  <c r="AG231" i="1"/>
  <c r="AH230" i="1"/>
  <c r="AG230" i="1"/>
  <c r="AH229" i="1"/>
  <c r="AG229" i="1"/>
  <c r="AH228" i="1"/>
  <c r="AG228" i="1"/>
  <c r="AH227" i="1"/>
  <c r="AG227" i="1"/>
  <c r="AH226" i="1"/>
  <c r="AG226" i="1"/>
  <c r="AH225" i="1"/>
  <c r="AG225" i="1"/>
  <c r="AH224" i="1"/>
  <c r="AG224" i="1"/>
  <c r="AH223" i="1"/>
  <c r="AG223" i="1"/>
  <c r="AH222" i="1"/>
  <c r="AG222" i="1"/>
  <c r="AH221" i="1"/>
  <c r="AG221" i="1"/>
  <c r="AH220" i="1"/>
  <c r="AG220" i="1"/>
  <c r="AH219" i="1"/>
  <c r="AG219" i="1"/>
  <c r="AH218" i="1"/>
  <c r="AG218" i="1"/>
  <c r="AH217" i="1"/>
  <c r="AG217" i="1"/>
  <c r="AH216" i="1"/>
  <c r="AG216" i="1"/>
  <c r="AH215" i="1"/>
  <c r="AG215" i="1"/>
  <c r="AH214" i="1"/>
  <c r="AG214" i="1"/>
  <c r="AH213" i="1"/>
  <c r="AG213" i="1"/>
  <c r="AH212" i="1"/>
  <c r="AG212" i="1"/>
  <c r="AH211" i="1"/>
  <c r="AG211" i="1"/>
  <c r="AH210" i="1"/>
  <c r="AG210" i="1"/>
  <c r="AH209" i="1"/>
  <c r="AG209" i="1"/>
  <c r="AH208" i="1"/>
  <c r="AG208" i="1"/>
  <c r="AH207" i="1"/>
  <c r="AG207" i="1"/>
  <c r="AH206" i="1"/>
  <c r="AG206" i="1"/>
  <c r="AH205" i="1"/>
  <c r="AG205" i="1"/>
  <c r="AH204" i="1"/>
  <c r="AG204" i="1"/>
  <c r="AH203" i="1"/>
  <c r="AG203" i="1"/>
  <c r="AH202" i="1"/>
  <c r="AG202" i="1"/>
  <c r="AH201" i="1"/>
  <c r="AG201" i="1"/>
  <c r="AH200" i="1"/>
  <c r="AG200" i="1"/>
  <c r="AH199" i="1"/>
  <c r="AG199" i="1"/>
  <c r="AH198" i="1"/>
  <c r="AG198" i="1"/>
  <c r="AH197" i="1"/>
  <c r="AG197" i="1"/>
  <c r="AH196" i="1"/>
  <c r="AG196" i="1"/>
  <c r="AH195" i="1"/>
  <c r="AG195" i="1"/>
  <c r="AH194" i="1"/>
  <c r="AG194" i="1"/>
  <c r="AH193" i="1"/>
  <c r="AG193" i="1"/>
  <c r="AH192" i="1"/>
  <c r="AG192" i="1"/>
  <c r="AH191" i="1"/>
  <c r="AG191" i="1"/>
  <c r="AH190" i="1"/>
  <c r="AG190" i="1"/>
  <c r="AH189" i="1"/>
  <c r="AG189" i="1"/>
  <c r="AH188" i="1"/>
  <c r="AG188" i="1"/>
  <c r="AH187" i="1"/>
  <c r="AG187" i="1"/>
  <c r="AH186" i="1"/>
  <c r="AG186" i="1"/>
  <c r="AH185" i="1"/>
  <c r="AG185" i="1"/>
  <c r="AH184" i="1"/>
  <c r="AG184" i="1"/>
  <c r="AH183" i="1"/>
  <c r="AG183" i="1"/>
  <c r="AH182" i="1"/>
  <c r="AG182" i="1"/>
  <c r="AH181" i="1"/>
  <c r="AG181" i="1"/>
  <c r="AH180" i="1"/>
  <c r="AG180" i="1"/>
  <c r="AH179" i="1"/>
  <c r="AG179" i="1"/>
  <c r="AH178" i="1"/>
  <c r="AG178" i="1"/>
  <c r="AH177" i="1"/>
  <c r="AG177" i="1"/>
  <c r="AH176" i="1"/>
  <c r="AG176" i="1"/>
  <c r="AH175" i="1"/>
  <c r="AG175" i="1"/>
  <c r="AH174" i="1"/>
  <c r="AG174" i="1"/>
  <c r="AH173" i="1"/>
  <c r="AG173" i="1"/>
  <c r="AH172" i="1"/>
  <c r="AG172" i="1"/>
  <c r="AH171" i="1"/>
  <c r="AG171" i="1"/>
  <c r="AH170" i="1"/>
  <c r="AG170" i="1"/>
  <c r="AH169" i="1"/>
  <c r="AG169" i="1"/>
  <c r="AH168" i="1"/>
  <c r="AG168" i="1"/>
  <c r="AH167" i="1"/>
  <c r="AG167" i="1"/>
  <c r="AH166" i="1"/>
  <c r="AG166" i="1"/>
  <c r="AH165" i="1"/>
  <c r="AG165" i="1"/>
  <c r="AH164" i="1"/>
  <c r="AG164" i="1"/>
  <c r="AH163" i="1"/>
  <c r="AG163" i="1"/>
  <c r="AH162" i="1"/>
  <c r="AG162" i="1"/>
  <c r="AH161" i="1"/>
  <c r="AG161" i="1"/>
  <c r="AH160" i="1"/>
  <c r="AG160" i="1"/>
  <c r="AH159" i="1"/>
  <c r="AG159" i="1"/>
  <c r="AH158" i="1"/>
  <c r="AG158" i="1"/>
  <c r="AH157" i="1"/>
  <c r="AG157" i="1"/>
  <c r="AH156" i="1"/>
  <c r="AG156" i="1"/>
  <c r="AH155" i="1"/>
  <c r="AG155" i="1"/>
  <c r="AH154" i="1"/>
  <c r="AG154" i="1"/>
  <c r="AH153" i="1"/>
  <c r="AG153" i="1"/>
  <c r="AH152" i="1"/>
  <c r="AG152" i="1"/>
  <c r="AH151" i="1"/>
  <c r="AG151" i="1"/>
  <c r="AH150" i="1"/>
  <c r="AG150" i="1"/>
  <c r="AH149" i="1"/>
  <c r="AG149" i="1"/>
  <c r="AH148" i="1"/>
  <c r="AG148" i="1"/>
  <c r="AH147" i="1"/>
  <c r="AG147" i="1"/>
  <c r="AH146" i="1"/>
  <c r="AG146" i="1"/>
  <c r="AH145" i="1"/>
  <c r="AG145" i="1"/>
  <c r="AH144" i="1"/>
  <c r="AG144" i="1"/>
  <c r="AH143" i="1"/>
  <c r="AG143" i="1"/>
  <c r="AH142" i="1"/>
  <c r="AG142" i="1"/>
  <c r="AH141" i="1"/>
  <c r="AG141" i="1"/>
  <c r="AH140" i="1"/>
  <c r="AG140" i="1"/>
  <c r="AH139" i="1"/>
  <c r="AG139" i="1"/>
  <c r="AH138" i="1"/>
  <c r="AG138" i="1"/>
  <c r="AH137" i="1"/>
  <c r="AG137" i="1"/>
  <c r="AH136" i="1"/>
  <c r="AG136" i="1"/>
  <c r="AH135" i="1"/>
  <c r="AG135" i="1"/>
  <c r="AH134" i="1"/>
  <c r="AG134" i="1"/>
  <c r="AH133" i="1"/>
  <c r="AG133" i="1"/>
  <c r="AH132" i="1"/>
  <c r="AG132" i="1"/>
  <c r="AH131" i="1"/>
  <c r="AG131" i="1"/>
  <c r="AH130" i="1"/>
  <c r="AG130" i="1"/>
  <c r="AH129" i="1"/>
  <c r="AG129" i="1"/>
  <c r="AH128" i="1"/>
  <c r="AG128" i="1"/>
  <c r="AH127" i="1"/>
  <c r="AG127" i="1"/>
  <c r="AH126" i="1"/>
  <c r="AG126" i="1"/>
  <c r="AH125" i="1"/>
  <c r="AG125" i="1"/>
  <c r="AH124" i="1"/>
  <c r="AG124" i="1"/>
  <c r="AH123" i="1"/>
  <c r="AG123" i="1"/>
  <c r="AH122" i="1"/>
  <c r="AG122" i="1"/>
  <c r="AH121" i="1"/>
  <c r="AG121" i="1"/>
  <c r="AH120" i="1"/>
  <c r="AG120" i="1"/>
  <c r="AH119" i="1"/>
  <c r="AG119" i="1"/>
  <c r="AH118" i="1"/>
  <c r="AG118" i="1"/>
  <c r="AH117" i="1"/>
  <c r="AG117" i="1"/>
  <c r="AH116" i="1"/>
  <c r="AG116" i="1"/>
  <c r="AH115" i="1"/>
  <c r="AG115" i="1"/>
  <c r="AH114" i="1"/>
  <c r="AG114" i="1"/>
  <c r="AH113" i="1"/>
  <c r="AG113" i="1"/>
  <c r="AH112" i="1"/>
  <c r="AG112" i="1"/>
  <c r="AH111" i="1"/>
  <c r="AG111" i="1"/>
  <c r="AH110" i="1"/>
  <c r="AG110" i="1"/>
  <c r="AH109" i="1"/>
  <c r="AG109" i="1"/>
  <c r="AH108" i="1"/>
  <c r="AG108" i="1"/>
  <c r="AH107" i="1"/>
  <c r="AG107" i="1"/>
  <c r="AH106" i="1"/>
  <c r="AG106" i="1"/>
  <c r="AH105" i="1"/>
  <c r="AG105" i="1"/>
  <c r="AH104" i="1"/>
  <c r="AG104" i="1"/>
  <c r="AH103" i="1"/>
  <c r="AG103" i="1"/>
  <c r="AH102" i="1"/>
  <c r="AG102" i="1"/>
  <c r="AH101" i="1"/>
  <c r="AG101" i="1"/>
  <c r="AH100" i="1"/>
  <c r="AG100" i="1"/>
  <c r="AH99" i="1"/>
  <c r="AG99" i="1"/>
  <c r="AH98" i="1"/>
  <c r="AG98" i="1"/>
  <c r="AH97" i="1"/>
  <c r="AG97" i="1"/>
  <c r="AH96" i="1"/>
  <c r="AG96" i="1"/>
  <c r="AH95" i="1"/>
  <c r="AG95" i="1"/>
  <c r="AH94" i="1"/>
  <c r="AG94" i="1"/>
  <c r="AH93" i="1"/>
  <c r="AG93" i="1"/>
  <c r="AH92" i="1"/>
  <c r="AG92" i="1"/>
  <c r="AH91" i="1"/>
  <c r="AG91" i="1"/>
  <c r="AH90" i="1"/>
  <c r="AG90" i="1"/>
  <c r="AH89" i="1"/>
  <c r="AG89" i="1"/>
  <c r="AH88" i="1"/>
  <c r="AG88" i="1"/>
  <c r="AH87" i="1"/>
  <c r="AG87" i="1"/>
  <c r="AH86" i="1"/>
  <c r="AG86" i="1"/>
  <c r="AH85" i="1"/>
  <c r="AG85" i="1"/>
  <c r="AH84" i="1"/>
  <c r="AG84" i="1"/>
  <c r="AH83" i="1"/>
  <c r="AG83" i="1"/>
  <c r="AH82" i="1"/>
  <c r="AG82" i="1"/>
  <c r="AH81" i="1"/>
  <c r="AG81" i="1"/>
  <c r="AH80" i="1"/>
  <c r="AG80" i="1"/>
  <c r="AH79" i="1"/>
  <c r="AG79" i="1"/>
  <c r="AH78" i="1"/>
  <c r="AG78" i="1"/>
  <c r="AH77" i="1"/>
  <c r="AG77" i="1"/>
  <c r="AH76" i="1"/>
  <c r="AG76" i="1"/>
  <c r="AH75" i="1"/>
  <c r="AG75" i="1"/>
  <c r="AH74" i="1"/>
  <c r="AG74" i="1"/>
  <c r="AH73" i="1"/>
  <c r="AG73" i="1"/>
  <c r="AH72" i="1"/>
  <c r="AG72" i="1"/>
  <c r="AH71" i="1"/>
  <c r="AG71" i="1"/>
  <c r="AH70" i="1"/>
  <c r="AG70" i="1"/>
  <c r="AH69" i="1"/>
  <c r="AG69" i="1"/>
  <c r="AH68" i="1"/>
  <c r="AG68" i="1"/>
  <c r="AH67" i="1"/>
  <c r="AG67" i="1"/>
  <c r="AH66" i="1"/>
  <c r="AG66" i="1"/>
  <c r="AH65" i="1"/>
  <c r="AG65" i="1"/>
  <c r="AH64" i="1"/>
  <c r="AG64" i="1"/>
  <c r="AH63" i="1"/>
  <c r="AG63" i="1"/>
  <c r="AH62" i="1"/>
  <c r="AG62" i="1"/>
  <c r="AH61" i="1"/>
  <c r="AG61" i="1"/>
  <c r="AH60" i="1"/>
  <c r="AG60" i="1"/>
  <c r="AH59" i="1"/>
  <c r="AG59" i="1"/>
  <c r="AH58" i="1"/>
  <c r="AG58" i="1"/>
  <c r="AH57" i="1"/>
  <c r="AG57" i="1"/>
  <c r="AH56" i="1"/>
  <c r="AG56" i="1"/>
  <c r="AH55" i="1"/>
  <c r="AG55" i="1"/>
  <c r="AH54" i="1"/>
  <c r="AG54" i="1"/>
  <c r="AH53" i="1"/>
  <c r="AG53" i="1"/>
  <c r="AH52" i="1"/>
  <c r="AG52" i="1"/>
  <c r="AH51" i="1"/>
  <c r="AG51" i="1"/>
  <c r="AH50" i="1"/>
  <c r="AG50" i="1"/>
  <c r="AH49" i="1"/>
  <c r="AG49" i="1"/>
  <c r="AH48" i="1"/>
  <c r="AG48" i="1"/>
  <c r="AH47" i="1"/>
  <c r="AG47" i="1"/>
  <c r="AH46" i="1"/>
  <c r="AG46" i="1"/>
  <c r="AH45" i="1"/>
  <c r="AG45" i="1"/>
  <c r="AH44" i="1"/>
  <c r="AG44" i="1"/>
  <c r="AH43" i="1"/>
  <c r="AG43" i="1"/>
  <c r="AH42" i="1"/>
  <c r="AG42" i="1"/>
  <c r="AH41" i="1"/>
  <c r="AG41" i="1"/>
  <c r="AH40" i="1"/>
  <c r="AG40" i="1"/>
  <c r="AH39" i="1"/>
  <c r="AG39" i="1"/>
  <c r="AH38" i="1"/>
  <c r="AG38" i="1"/>
  <c r="AH37" i="1"/>
  <c r="AG37" i="1"/>
  <c r="AH36" i="1"/>
  <c r="AG36" i="1"/>
  <c r="AH35" i="1"/>
  <c r="AG35" i="1"/>
  <c r="AH34" i="1"/>
  <c r="AG34" i="1"/>
  <c r="AH33" i="1"/>
  <c r="AG33" i="1"/>
  <c r="AH32" i="1"/>
  <c r="AG32" i="1"/>
  <c r="AH31" i="1"/>
  <c r="AG31" i="1"/>
  <c r="AH30" i="1"/>
  <c r="AG30" i="1"/>
  <c r="AH29" i="1"/>
  <c r="AG29" i="1"/>
  <c r="AH28" i="1"/>
  <c r="AG28" i="1"/>
  <c r="AH27" i="1"/>
  <c r="AG27" i="1"/>
  <c r="AH26" i="1"/>
  <c r="AG26" i="1"/>
  <c r="AH25" i="1"/>
  <c r="AG25" i="1"/>
  <c r="AH24" i="1"/>
  <c r="AG24" i="1"/>
  <c r="AH23" i="1"/>
  <c r="AG23" i="1"/>
  <c r="AH22" i="1"/>
  <c r="AG22" i="1"/>
  <c r="AH21" i="1"/>
  <c r="AG21" i="1"/>
  <c r="AH20" i="1"/>
  <c r="AG20" i="1"/>
  <c r="AH19" i="1"/>
  <c r="AG19" i="1"/>
  <c r="AH18" i="1"/>
  <c r="AG18" i="1"/>
  <c r="AH17" i="1"/>
  <c r="AG17" i="1"/>
  <c r="AH16" i="1"/>
  <c r="AG16" i="1"/>
  <c r="AH15" i="1"/>
  <c r="AG15" i="1"/>
  <c r="AH14" i="1"/>
  <c r="AG14" i="1"/>
  <c r="AH13" i="1"/>
  <c r="AG13" i="1"/>
  <c r="AH12" i="1"/>
  <c r="AG12" i="1"/>
  <c r="AH11" i="1"/>
  <c r="AG11" i="1"/>
  <c r="AH10" i="1"/>
  <c r="AG10" i="1"/>
  <c r="AH9" i="1"/>
  <c r="AG9" i="1"/>
  <c r="AH8" i="1"/>
  <c r="AG8" i="1"/>
  <c r="AH7" i="1"/>
  <c r="AG7" i="1"/>
  <c r="AH6" i="1"/>
  <c r="AG6" i="1"/>
  <c r="AH5" i="1"/>
  <c r="AG5" i="1"/>
  <c r="AH4" i="1"/>
  <c r="AG4" i="1"/>
  <c r="AH3" i="1"/>
  <c r="AG3" i="1"/>
  <c r="AE117" i="7" l="1"/>
  <c r="X117" i="7"/>
  <c r="U117" i="7"/>
  <c r="R117" i="7"/>
  <c r="O117" i="7"/>
  <c r="L117" i="7" a="1"/>
  <c r="L117" i="7" s="1"/>
  <c r="J117" i="7"/>
  <c r="X134" i="7"/>
  <c r="U134" i="7"/>
  <c r="R134" i="7"/>
  <c r="O134" i="7"/>
  <c r="X133" i="7"/>
  <c r="V133" i="7" a="1"/>
  <c r="V133" i="7" s="1"/>
  <c r="U133" i="7"/>
  <c r="S133" i="7" a="1"/>
  <c r="S133" i="7" s="1"/>
  <c r="R133" i="7"/>
  <c r="P133" i="7" a="1"/>
  <c r="P133" i="7" s="1"/>
  <c r="O133" i="7"/>
  <c r="M133" i="7" a="1"/>
  <c r="M133" i="7" s="1"/>
  <c r="X132" i="7"/>
  <c r="V132" i="7" a="1"/>
  <c r="V132" i="7" s="1"/>
  <c r="U132" i="7"/>
  <c r="S132" i="7" a="1"/>
  <c r="S132" i="7" s="1"/>
  <c r="R132" i="7"/>
  <c r="P132" i="7" a="1"/>
  <c r="P132" i="7" s="1"/>
  <c r="O132" i="7"/>
  <c r="M132" i="7" a="1"/>
  <c r="M132" i="7" s="1"/>
  <c r="X131" i="7"/>
  <c r="V131" i="7" a="1"/>
  <c r="V131" i="7" s="1"/>
  <c r="U131" i="7"/>
  <c r="S131" i="7" a="1"/>
  <c r="S131" i="7" s="1"/>
  <c r="R131" i="7"/>
  <c r="P131" i="7" a="1"/>
  <c r="P131" i="7" s="1"/>
  <c r="O131" i="7"/>
  <c r="M131" i="7" a="1"/>
  <c r="M131" i="7" s="1"/>
  <c r="X130" i="7"/>
  <c r="V130" i="7" a="1"/>
  <c r="V130" i="7" s="1"/>
  <c r="U130" i="7"/>
  <c r="S130" i="7" a="1"/>
  <c r="S130" i="7" s="1"/>
  <c r="R130" i="7"/>
  <c r="P130" i="7" a="1"/>
  <c r="P130" i="7" s="1"/>
  <c r="O130" i="7"/>
  <c r="M130" i="7" a="1"/>
  <c r="M130" i="7" s="1"/>
  <c r="X129" i="7"/>
  <c r="V129" i="7" a="1"/>
  <c r="V129" i="7" s="1"/>
  <c r="U129" i="7"/>
  <c r="S129" i="7" a="1"/>
  <c r="S129" i="7" s="1"/>
  <c r="R129" i="7"/>
  <c r="P129" i="7" a="1"/>
  <c r="P129" i="7" s="1"/>
  <c r="O129" i="7"/>
  <c r="M129" i="7" a="1"/>
  <c r="M129" i="7" s="1"/>
  <c r="X128" i="7"/>
  <c r="V128" i="7" a="1"/>
  <c r="V128" i="7" s="1"/>
  <c r="U128" i="7"/>
  <c r="S128" i="7" a="1"/>
  <c r="S128" i="7" s="1"/>
  <c r="R128" i="7"/>
  <c r="P128" i="7" a="1"/>
  <c r="P128" i="7" s="1"/>
  <c r="O128" i="7"/>
  <c r="M128" i="7" a="1"/>
  <c r="M128" i="7" s="1"/>
  <c r="X127" i="7"/>
  <c r="U127" i="7"/>
  <c r="R127" i="7"/>
  <c r="O127" i="7"/>
  <c r="X126" i="7"/>
  <c r="V126" i="7" a="1"/>
  <c r="V126" i="7" s="1"/>
  <c r="U126" i="7"/>
  <c r="S126" i="7" a="1"/>
  <c r="S126" i="7" s="1"/>
  <c r="R126" i="7"/>
  <c r="P126" i="7" a="1"/>
  <c r="P126" i="7" s="1"/>
  <c r="O126" i="7"/>
  <c r="M126" i="7" a="1"/>
  <c r="M126" i="7" s="1"/>
  <c r="X125" i="7"/>
  <c r="V125" i="7" a="1"/>
  <c r="V125" i="7" s="1"/>
  <c r="U125" i="7"/>
  <c r="S125" i="7" a="1"/>
  <c r="S125" i="7" s="1"/>
  <c r="R125" i="7"/>
  <c r="P125" i="7" a="1"/>
  <c r="P125" i="7" s="1"/>
  <c r="O125" i="7"/>
  <c r="M125" i="7" a="1"/>
  <c r="M125" i="7" s="1"/>
  <c r="X124" i="7"/>
  <c r="V124" i="7" a="1"/>
  <c r="V124" i="7" s="1"/>
  <c r="U124" i="7"/>
  <c r="S124" i="7" a="1"/>
  <c r="S124" i="7" s="1"/>
  <c r="R124" i="7"/>
  <c r="P124" i="7" a="1"/>
  <c r="P124" i="7" s="1"/>
  <c r="O124" i="7"/>
  <c r="M124" i="7" a="1"/>
  <c r="M124" i="7" s="1"/>
  <c r="X123" i="7"/>
  <c r="V123" i="7" a="1"/>
  <c r="V123" i="7" s="1"/>
  <c r="U123" i="7"/>
  <c r="S123" i="7" a="1"/>
  <c r="S123" i="7" s="1"/>
  <c r="R123" i="7"/>
  <c r="P123" i="7" a="1"/>
  <c r="P123" i="7" s="1"/>
  <c r="O123" i="7"/>
  <c r="M123" i="7" a="1"/>
  <c r="M123" i="7" s="1"/>
  <c r="X122" i="7"/>
  <c r="V122" i="7" a="1"/>
  <c r="V122" i="7" s="1"/>
  <c r="U122" i="7"/>
  <c r="S122" i="7" a="1"/>
  <c r="S122" i="7" s="1"/>
  <c r="R122" i="7"/>
  <c r="P122" i="7" a="1"/>
  <c r="P122" i="7" s="1"/>
  <c r="O122" i="7"/>
  <c r="M122" i="7" a="1"/>
  <c r="M122" i="7" s="1"/>
  <c r="X121" i="7"/>
  <c r="V121" i="7" a="1"/>
  <c r="V121" i="7" s="1"/>
  <c r="U121" i="7"/>
  <c r="S121" i="7" a="1"/>
  <c r="S121" i="7" s="1"/>
  <c r="R121" i="7"/>
  <c r="P121" i="7" a="1"/>
  <c r="P121" i="7" s="1"/>
  <c r="O121" i="7"/>
  <c r="M121" i="7" a="1"/>
  <c r="M121" i="7" s="1"/>
  <c r="X120" i="7"/>
  <c r="U120" i="7"/>
  <c r="R120" i="7"/>
  <c r="O120" i="7"/>
  <c r="X119" i="7"/>
  <c r="V119" i="7" a="1"/>
  <c r="V119" i="7" s="1"/>
  <c r="U119" i="7"/>
  <c r="S119" i="7" a="1"/>
  <c r="S119" i="7" s="1"/>
  <c r="R119" i="7"/>
  <c r="P119" i="7" a="1"/>
  <c r="P119" i="7" s="1"/>
  <c r="O119" i="7"/>
  <c r="M119" i="7" a="1"/>
  <c r="M119" i="7" s="1"/>
  <c r="X118" i="7"/>
  <c r="V118" i="7" a="1"/>
  <c r="V118" i="7" s="1"/>
  <c r="U118" i="7"/>
  <c r="S118" i="7" a="1"/>
  <c r="S118" i="7" s="1"/>
  <c r="R118" i="7"/>
  <c r="P118" i="7" a="1"/>
  <c r="P118" i="7" s="1"/>
  <c r="O118" i="7"/>
  <c r="M118" i="7" a="1"/>
  <c r="M118" i="7" s="1"/>
  <c r="X116" i="7"/>
  <c r="V116" i="7" a="1"/>
  <c r="V116" i="7" s="1"/>
  <c r="U116" i="7"/>
  <c r="S116" i="7" a="1"/>
  <c r="S116" i="7" s="1"/>
  <c r="R116" i="7"/>
  <c r="P116" i="7" a="1"/>
  <c r="P116" i="7" s="1"/>
  <c r="O116" i="7"/>
  <c r="M116" i="7" a="1"/>
  <c r="M116" i="7" s="1"/>
  <c r="X115" i="7"/>
  <c r="V115" i="7" a="1"/>
  <c r="V115" i="7" s="1"/>
  <c r="U115" i="7"/>
  <c r="S115" i="7" a="1"/>
  <c r="S115" i="7" s="1"/>
  <c r="R115" i="7"/>
  <c r="P115" i="7" a="1"/>
  <c r="P115" i="7" s="1"/>
  <c r="O115" i="7"/>
  <c r="M115" i="7" a="1"/>
  <c r="M115" i="7" s="1"/>
  <c r="AL133" i="7"/>
  <c r="I133" i="7" a="1"/>
  <c r="I133" i="7" s="1"/>
  <c r="I132" i="7" a="1"/>
  <c r="I132" i="7" s="1"/>
  <c r="K132" i="7" s="1"/>
  <c r="Z132" i="7" s="1"/>
  <c r="I131" i="7" a="1"/>
  <c r="I131" i="7" s="1"/>
  <c r="I130" i="7" a="1"/>
  <c r="I130" i="7" s="1"/>
  <c r="K130" i="7" s="1"/>
  <c r="AF130" i="7" s="1"/>
  <c r="I129" i="7" a="1"/>
  <c r="I129" i="7" s="1"/>
  <c r="K129" i="7" s="1"/>
  <c r="AF129" i="7" s="1"/>
  <c r="I128" i="7" a="1"/>
  <c r="I128" i="7" s="1"/>
  <c r="I126" i="7" a="1"/>
  <c r="I126" i="7" s="1"/>
  <c r="K126" i="7" s="1"/>
  <c r="AF126" i="7" s="1"/>
  <c r="I125" i="7" a="1"/>
  <c r="I125" i="7" s="1"/>
  <c r="K125" i="7" s="1"/>
  <c r="AF125" i="7" s="1"/>
  <c r="I124" i="7" a="1"/>
  <c r="I124" i="7" s="1"/>
  <c r="K124" i="7" s="1"/>
  <c r="Y124" i="7" s="1"/>
  <c r="I123" i="7" a="1"/>
  <c r="I123" i="7" s="1"/>
  <c r="K123" i="7" s="1"/>
  <c r="Y123" i="7" s="1"/>
  <c r="I122" i="7" a="1"/>
  <c r="I122" i="7" s="1"/>
  <c r="K122" i="7" s="1"/>
  <c r="I121" i="7" a="1"/>
  <c r="I121" i="7" s="1"/>
  <c r="I119" i="7" a="1"/>
  <c r="I119" i="7" s="1"/>
  <c r="I118" i="7" a="1"/>
  <c r="I118" i="7" s="1"/>
  <c r="I116" i="7" a="1"/>
  <c r="I116" i="7" s="1"/>
  <c r="I115" i="7" a="1"/>
  <c r="I115" i="7" s="1"/>
  <c r="K118" i="7"/>
  <c r="O14" i="9"/>
  <c r="H37" i="9"/>
  <c r="AP56" i="9"/>
  <c r="AL56" i="9"/>
  <c r="AJ56" i="9"/>
  <c r="AH56" i="9"/>
  <c r="AG56" i="9"/>
  <c r="AF56" i="9"/>
  <c r="AD56" i="9"/>
  <c r="AC56" i="9"/>
  <c r="AB56" i="9"/>
  <c r="AA56" i="9"/>
  <c r="Y56" i="9"/>
  <c r="X56" i="9"/>
  <c r="V56" i="9"/>
  <c r="U56" i="9"/>
  <c r="O56" i="9"/>
  <c r="M56" i="9"/>
  <c r="K56" i="9"/>
  <c r="I56" i="9"/>
  <c r="AP55" i="9"/>
  <c r="AL55" i="9"/>
  <c r="AJ55" i="9"/>
  <c r="AH55" i="9"/>
  <c r="AG55" i="9"/>
  <c r="AF55" i="9"/>
  <c r="AD55" i="9"/>
  <c r="AC55" i="9"/>
  <c r="AB55" i="9"/>
  <c r="AA55" i="9"/>
  <c r="Y55" i="9"/>
  <c r="X55" i="9"/>
  <c r="V55" i="9"/>
  <c r="U55" i="9"/>
  <c r="O55" i="9"/>
  <c r="M55" i="9"/>
  <c r="L55" i="9"/>
  <c r="K55" i="9"/>
  <c r="I55" i="9"/>
  <c r="H55" i="9"/>
  <c r="AP54" i="9"/>
  <c r="AL54" i="9"/>
  <c r="AJ54" i="9"/>
  <c r="AH54" i="9"/>
  <c r="AG54" i="9"/>
  <c r="AF54" i="9"/>
  <c r="AD54" i="9"/>
  <c r="AC54" i="9"/>
  <c r="AB54" i="9"/>
  <c r="AA54" i="9"/>
  <c r="Y54" i="9"/>
  <c r="X54" i="9"/>
  <c r="V54" i="9"/>
  <c r="U54" i="9"/>
  <c r="O54" i="9"/>
  <c r="M54" i="9"/>
  <c r="L54" i="9"/>
  <c r="K54" i="9"/>
  <c r="I54" i="9"/>
  <c r="H54" i="9"/>
  <c r="AP53" i="9"/>
  <c r="AL53" i="9"/>
  <c r="AJ53" i="9"/>
  <c r="AH53" i="9"/>
  <c r="AG53" i="9"/>
  <c r="AF53" i="9"/>
  <c r="AD53" i="9"/>
  <c r="AC53" i="9"/>
  <c r="AB53" i="9"/>
  <c r="AA53" i="9"/>
  <c r="Y53" i="9"/>
  <c r="X53" i="9"/>
  <c r="V53" i="9"/>
  <c r="U53" i="9"/>
  <c r="O53" i="9"/>
  <c r="M53" i="9"/>
  <c r="K53" i="9"/>
  <c r="I53" i="9"/>
  <c r="AP52" i="9"/>
  <c r="AL52" i="9"/>
  <c r="AJ52" i="9"/>
  <c r="AH52" i="9"/>
  <c r="AG52" i="9"/>
  <c r="AF52" i="9"/>
  <c r="AD52" i="9"/>
  <c r="AC52" i="9"/>
  <c r="AB52" i="9"/>
  <c r="AA52" i="9"/>
  <c r="Y52" i="9"/>
  <c r="X52" i="9"/>
  <c r="V52" i="9"/>
  <c r="U52" i="9"/>
  <c r="O52" i="9"/>
  <c r="M52" i="9"/>
  <c r="K52" i="9"/>
  <c r="I52" i="9"/>
  <c r="AP51" i="9"/>
  <c r="AL51" i="9"/>
  <c r="AJ51" i="9"/>
  <c r="AH51" i="9"/>
  <c r="AG51" i="9"/>
  <c r="AF51" i="9"/>
  <c r="AD51" i="9"/>
  <c r="AC51" i="9"/>
  <c r="AB51" i="9"/>
  <c r="AA51" i="9"/>
  <c r="Y51" i="9"/>
  <c r="X51" i="9"/>
  <c r="V51" i="9"/>
  <c r="U51" i="9"/>
  <c r="O51" i="9"/>
  <c r="M51" i="9"/>
  <c r="L51" i="9"/>
  <c r="K51" i="9"/>
  <c r="I51" i="9"/>
  <c r="H51" i="9"/>
  <c r="AP50" i="9"/>
  <c r="AL50" i="9"/>
  <c r="AJ50" i="9"/>
  <c r="AH50" i="9"/>
  <c r="AG50" i="9"/>
  <c r="AF50" i="9"/>
  <c r="AD50" i="9"/>
  <c r="AC50" i="9"/>
  <c r="AB50" i="9"/>
  <c r="AA50" i="9"/>
  <c r="Y50" i="9"/>
  <c r="X50" i="9"/>
  <c r="V50" i="9"/>
  <c r="U50" i="9"/>
  <c r="O50" i="9"/>
  <c r="M50" i="9"/>
  <c r="K50" i="9"/>
  <c r="I50" i="9"/>
  <c r="AP49" i="9"/>
  <c r="AL49" i="9"/>
  <c r="AJ49" i="9"/>
  <c r="AH49" i="9"/>
  <c r="AG49" i="9"/>
  <c r="AF49" i="9"/>
  <c r="AD49" i="9"/>
  <c r="AC49" i="9"/>
  <c r="AB49" i="9"/>
  <c r="AA49" i="9"/>
  <c r="Y49" i="9"/>
  <c r="X49" i="9"/>
  <c r="V49" i="9"/>
  <c r="U49" i="9"/>
  <c r="O49" i="9"/>
  <c r="M49" i="9"/>
  <c r="K49" i="9"/>
  <c r="I49" i="9"/>
  <c r="AP48" i="9"/>
  <c r="AL48" i="9"/>
  <c r="AJ48" i="9"/>
  <c r="AH48" i="9"/>
  <c r="AG48" i="9"/>
  <c r="AF48" i="9"/>
  <c r="AD48" i="9"/>
  <c r="AC48" i="9"/>
  <c r="AB48" i="9"/>
  <c r="AA48" i="9"/>
  <c r="Y48" i="9"/>
  <c r="X48" i="9"/>
  <c r="V48" i="9"/>
  <c r="U48" i="9"/>
  <c r="O48" i="9"/>
  <c r="M48" i="9"/>
  <c r="K48" i="9"/>
  <c r="I48" i="9"/>
  <c r="AP47" i="9"/>
  <c r="AL47" i="9"/>
  <c r="AJ47" i="9"/>
  <c r="AH47" i="9"/>
  <c r="AG47" i="9"/>
  <c r="AF47" i="9"/>
  <c r="AD47" i="9"/>
  <c r="AC47" i="9"/>
  <c r="AB47" i="9"/>
  <c r="AA47" i="9"/>
  <c r="Y47" i="9"/>
  <c r="X47" i="9"/>
  <c r="V47" i="9"/>
  <c r="U47" i="9"/>
  <c r="O47" i="9"/>
  <c r="M47" i="9"/>
  <c r="K47" i="9"/>
  <c r="I47" i="9"/>
  <c r="AP46" i="9"/>
  <c r="AL46" i="9"/>
  <c r="AJ46" i="9"/>
  <c r="AH46" i="9"/>
  <c r="AG46" i="9"/>
  <c r="AF46" i="9"/>
  <c r="AD46" i="9"/>
  <c r="AC46" i="9"/>
  <c r="AB46" i="9"/>
  <c r="AA46" i="9"/>
  <c r="Y46" i="9"/>
  <c r="X46" i="9"/>
  <c r="V46" i="9"/>
  <c r="U46" i="9"/>
  <c r="O46" i="9"/>
  <c r="M46" i="9"/>
  <c r="K46" i="9"/>
  <c r="I46" i="9"/>
  <c r="A3" i="10"/>
  <c r="AK8" i="10"/>
  <c r="AG8" i="10"/>
  <c r="AE8" i="10"/>
  <c r="AB8" i="10"/>
  <c r="AA8" i="10"/>
  <c r="W8" i="10"/>
  <c r="U8" i="10"/>
  <c r="Y8" i="10" s="1"/>
  <c r="T8" i="10"/>
  <c r="X8" i="10" s="1"/>
  <c r="N8" i="10"/>
  <c r="L8" i="10"/>
  <c r="AC8" i="10" s="1"/>
  <c r="J8" i="10"/>
  <c r="H8" i="10"/>
  <c r="AC133" i="7"/>
  <c r="AC132" i="7"/>
  <c r="AC131" i="7"/>
  <c r="AC130" i="7"/>
  <c r="AC129" i="7"/>
  <c r="AC128" i="7"/>
  <c r="AC126" i="7"/>
  <c r="AC125" i="7"/>
  <c r="AC124" i="7"/>
  <c r="AC123" i="7"/>
  <c r="AC122" i="7"/>
  <c r="AC121" i="7"/>
  <c r="AC119" i="7"/>
  <c r="AC118" i="7"/>
  <c r="AC116" i="7"/>
  <c r="AC115" i="7"/>
  <c r="AC117" i="7" s="1"/>
  <c r="G8" i="10"/>
  <c r="L52" i="9"/>
  <c r="N52" i="9" s="1"/>
  <c r="R52" i="9" s="1"/>
  <c r="H52" i="9"/>
  <c r="L46" i="9"/>
  <c r="H46" i="9"/>
  <c r="L47" i="9"/>
  <c r="H47" i="9"/>
  <c r="L49" i="9"/>
  <c r="H49" i="9"/>
  <c r="L56" i="9"/>
  <c r="H56" i="9"/>
  <c r="L53" i="9"/>
  <c r="H53" i="9"/>
  <c r="L48" i="9"/>
  <c r="H48" i="9"/>
  <c r="L50" i="9"/>
  <c r="H50" i="9"/>
  <c r="AL116" i="7"/>
  <c r="AL132" i="7"/>
  <c r="AI115" i="7"/>
  <c r="AM115" i="7" s="1"/>
  <c r="AL118" i="7"/>
  <c r="K119" i="7"/>
  <c r="Z119" i="7" s="1"/>
  <c r="I5" i="9"/>
  <c r="M6" i="9"/>
  <c r="I8" i="9"/>
  <c r="M9" i="9"/>
  <c r="I11" i="9"/>
  <c r="M12" i="9"/>
  <c r="I14" i="9"/>
  <c r="O4" i="9"/>
  <c r="K6" i="9"/>
  <c r="O7" i="9"/>
  <c r="K9" i="9"/>
  <c r="O10" i="9"/>
  <c r="K12" i="9"/>
  <c r="O13" i="9"/>
  <c r="A3" i="9"/>
  <c r="AL117" i="7"/>
  <c r="AI118" i="7"/>
  <c r="AM118" i="7" s="1"/>
  <c r="AL121" i="7"/>
  <c r="AI122" i="7"/>
  <c r="AM122" i="7" s="1"/>
  <c r="AL124" i="7"/>
  <c r="AI125" i="7"/>
  <c r="AM125" i="7" s="1"/>
  <c r="AI132" i="7"/>
  <c r="AM132" i="7" s="1"/>
  <c r="I4" i="9"/>
  <c r="M5" i="9"/>
  <c r="I7" i="9"/>
  <c r="M8" i="9"/>
  <c r="I10" i="9"/>
  <c r="M11" i="9"/>
  <c r="I13" i="9"/>
  <c r="M14" i="9"/>
  <c r="W49" i="8"/>
  <c r="T49" i="8"/>
  <c r="S49" i="8"/>
  <c r="Q49" i="8"/>
  <c r="P49" i="8"/>
  <c r="L49" i="8"/>
  <c r="J49" i="8"/>
  <c r="I49" i="8"/>
  <c r="W48" i="8"/>
  <c r="T48" i="8"/>
  <c r="S48" i="8"/>
  <c r="Q48" i="8"/>
  <c r="P48" i="8"/>
  <c r="L48" i="8"/>
  <c r="J48" i="8"/>
  <c r="I48" i="8"/>
  <c r="W47" i="8"/>
  <c r="T47" i="8"/>
  <c r="S47" i="8"/>
  <c r="Q47" i="8"/>
  <c r="P47" i="8"/>
  <c r="L47" i="8"/>
  <c r="J47" i="8"/>
  <c r="I47" i="8"/>
  <c r="W46" i="8"/>
  <c r="T46" i="8"/>
  <c r="S46" i="8"/>
  <c r="Q46" i="8"/>
  <c r="P46" i="8"/>
  <c r="L46" i="8"/>
  <c r="J46" i="8"/>
  <c r="I46" i="8"/>
  <c r="W45" i="8"/>
  <c r="T45" i="8"/>
  <c r="S45" i="8"/>
  <c r="Q45" i="8"/>
  <c r="P45" i="8"/>
  <c r="L45" i="8"/>
  <c r="J45" i="8"/>
  <c r="I45" i="8"/>
  <c r="W44" i="8"/>
  <c r="T44" i="8"/>
  <c r="S44" i="8"/>
  <c r="Q44" i="8"/>
  <c r="P44" i="8"/>
  <c r="L44" i="8"/>
  <c r="J44" i="8"/>
  <c r="I44" i="8"/>
  <c r="W43" i="8"/>
  <c r="T43" i="8"/>
  <c r="S43" i="8"/>
  <c r="Q43" i="8"/>
  <c r="P43" i="8"/>
  <c r="L43" i="8"/>
  <c r="J43" i="8"/>
  <c r="I43" i="8"/>
  <c r="W42" i="8"/>
  <c r="T42" i="8"/>
  <c r="S42" i="8"/>
  <c r="Q42" i="8"/>
  <c r="P42" i="8"/>
  <c r="L42" i="8"/>
  <c r="J42" i="8"/>
  <c r="W41" i="8"/>
  <c r="T41" i="8"/>
  <c r="S41" i="8"/>
  <c r="Q41" i="8"/>
  <c r="P41" i="8"/>
  <c r="L41" i="8"/>
  <c r="J41" i="8"/>
  <c r="I41" i="8"/>
  <c r="K5" i="9"/>
  <c r="O6" i="9"/>
  <c r="K8" i="9"/>
  <c r="O9" i="9"/>
  <c r="K11" i="9"/>
  <c r="O12" i="9"/>
  <c r="K14" i="9"/>
  <c r="M4" i="9"/>
  <c r="I6" i="9"/>
  <c r="M7" i="9"/>
  <c r="I9" i="9"/>
  <c r="M10" i="9"/>
  <c r="I12" i="9"/>
  <c r="M13" i="9"/>
  <c r="K4" i="9"/>
  <c r="O5" i="9"/>
  <c r="K7" i="9"/>
  <c r="O8" i="9"/>
  <c r="K10" i="9"/>
  <c r="O11" i="9"/>
  <c r="K13" i="9"/>
  <c r="Q17" i="14"/>
  <c r="O17" i="14"/>
  <c r="J17" i="14"/>
  <c r="I17" i="14"/>
  <c r="Q16" i="14"/>
  <c r="O16" i="14"/>
  <c r="J16" i="14"/>
  <c r="I16" i="14"/>
  <c r="Q15" i="14"/>
  <c r="O15" i="14"/>
  <c r="J15" i="14"/>
  <c r="I15" i="14"/>
  <c r="Q14" i="14"/>
  <c r="O14" i="14"/>
  <c r="J14" i="14"/>
  <c r="I14" i="14"/>
  <c r="Q13" i="14"/>
  <c r="O13" i="14"/>
  <c r="J13" i="14"/>
  <c r="I13" i="14"/>
  <c r="Q12" i="14"/>
  <c r="O12" i="14"/>
  <c r="J12" i="14"/>
  <c r="I12" i="14"/>
  <c r="Q11" i="14"/>
  <c r="O11" i="14"/>
  <c r="J11" i="14"/>
  <c r="I11" i="14"/>
  <c r="Q10" i="14"/>
  <c r="O10" i="14"/>
  <c r="J10" i="14"/>
  <c r="AL128" i="7"/>
  <c r="AI129" i="7"/>
  <c r="AM129" i="7" s="1"/>
  <c r="AL127" i="7"/>
  <c r="K128" i="7"/>
  <c r="Y128" i="7" s="1"/>
  <c r="AI119" i="7"/>
  <c r="AM119" i="7" s="1"/>
  <c r="AI120" i="7"/>
  <c r="AM120" i="7" s="1"/>
  <c r="AL122" i="7"/>
  <c r="AI123" i="7"/>
  <c r="AM123" i="7" s="1"/>
  <c r="AL125" i="7"/>
  <c r="AI126" i="7"/>
  <c r="AM126" i="7" s="1"/>
  <c r="AI128" i="7"/>
  <c r="AM128" i="7" s="1"/>
  <c r="AL130" i="7"/>
  <c r="K131" i="7"/>
  <c r="Y131" i="7" s="1"/>
  <c r="AI131" i="7"/>
  <c r="AM131" i="7" s="1"/>
  <c r="AL115" i="7"/>
  <c r="AI117" i="7"/>
  <c r="AM117" i="7" s="1"/>
  <c r="AL119" i="7"/>
  <c r="AL120" i="7"/>
  <c r="AI121" i="7"/>
  <c r="AM121" i="7" s="1"/>
  <c r="AL123" i="7"/>
  <c r="AI124" i="7"/>
  <c r="AM124" i="7" s="1"/>
  <c r="AL126" i="7"/>
  <c r="AI127" i="7"/>
  <c r="AM127" i="7" s="1"/>
  <c r="AL129" i="7"/>
  <c r="AI130" i="7"/>
  <c r="AM130" i="7" s="1"/>
  <c r="K115" i="7"/>
  <c r="K116" i="7"/>
  <c r="AF116" i="7" s="1"/>
  <c r="AO124" i="7"/>
  <c r="AO125" i="7"/>
  <c r="AO129" i="7"/>
  <c r="AO130" i="7"/>
  <c r="X114" i="7"/>
  <c r="U114" i="7"/>
  <c r="R114" i="7"/>
  <c r="O114" i="7"/>
  <c r="L114" i="7" a="1"/>
  <c r="L114" i="7" s="1"/>
  <c r="J114" i="7"/>
  <c r="X113" i="7"/>
  <c r="U113" i="7"/>
  <c r="R113" i="7"/>
  <c r="O113" i="7"/>
  <c r="L113" i="7" a="1"/>
  <c r="L113" i="7" s="1"/>
  <c r="J113" i="7"/>
  <c r="I113" i="7" a="1"/>
  <c r="I113" i="7" s="1"/>
  <c r="X112" i="7"/>
  <c r="U112" i="7"/>
  <c r="R112" i="7"/>
  <c r="O112" i="7"/>
  <c r="L112" i="7" a="1"/>
  <c r="L112" i="7" s="1"/>
  <c r="J112" i="7"/>
  <c r="I112" i="7" a="1"/>
  <c r="I112" i="7" s="1"/>
  <c r="X111" i="7"/>
  <c r="U111" i="7"/>
  <c r="R111" i="7"/>
  <c r="O111" i="7"/>
  <c r="L111" i="7" a="1"/>
  <c r="L111" i="7" s="1"/>
  <c r="J111" i="7"/>
  <c r="I111" i="7" a="1"/>
  <c r="I111" i="7" s="1"/>
  <c r="X110" i="7"/>
  <c r="U110" i="7"/>
  <c r="R110" i="7"/>
  <c r="O110" i="7"/>
  <c r="L110" i="7" a="1"/>
  <c r="L110" i="7" s="1"/>
  <c r="J110" i="7"/>
  <c r="I110" i="7" a="1"/>
  <c r="I110" i="7" s="1"/>
  <c r="X109" i="7"/>
  <c r="U109" i="7"/>
  <c r="R109" i="7"/>
  <c r="O109" i="7"/>
  <c r="L109" i="7" a="1"/>
  <c r="L109" i="7" s="1"/>
  <c r="J109" i="7"/>
  <c r="I109" i="7" a="1"/>
  <c r="I109" i="7" s="1"/>
  <c r="X108" i="7"/>
  <c r="U108" i="7"/>
  <c r="R108" i="7"/>
  <c r="O108" i="7"/>
  <c r="L108" i="7" a="1"/>
  <c r="L108" i="7" s="1"/>
  <c r="J108" i="7"/>
  <c r="I108" i="7" a="1"/>
  <c r="I108" i="7" s="1"/>
  <c r="X107" i="7"/>
  <c r="U107" i="7"/>
  <c r="R107" i="7"/>
  <c r="O107" i="7"/>
  <c r="L107" i="7" a="1"/>
  <c r="L107" i="7" s="1"/>
  <c r="J107" i="7"/>
  <c r="I107" i="7" a="1"/>
  <c r="I107" i="7" s="1"/>
  <c r="I102" i="7" s="1" a="1"/>
  <c r="I102" i="7" s="1"/>
  <c r="X105" i="7"/>
  <c r="U105" i="7"/>
  <c r="R105" i="7"/>
  <c r="O105" i="7"/>
  <c r="L105" i="7" a="1"/>
  <c r="L105" i="7" s="1"/>
  <c r="J105" i="7"/>
  <c r="I105" i="7" a="1"/>
  <c r="I105" i="7" s="1"/>
  <c r="X104" i="7"/>
  <c r="U104" i="7"/>
  <c r="R104" i="7"/>
  <c r="O104" i="7"/>
  <c r="L104" i="7" a="1"/>
  <c r="L104" i="7" s="1"/>
  <c r="J104" i="7"/>
  <c r="I104" i="7" a="1"/>
  <c r="I104" i="7" s="1"/>
  <c r="X103" i="7"/>
  <c r="U103" i="7"/>
  <c r="R103" i="7"/>
  <c r="O103" i="7"/>
  <c r="L103" i="7" a="1"/>
  <c r="L103" i="7" s="1"/>
  <c r="J103" i="7"/>
  <c r="I103" i="7" a="1"/>
  <c r="I103" i="7" s="1"/>
  <c r="X102" i="7"/>
  <c r="U102" i="7"/>
  <c r="R102" i="7"/>
  <c r="O102" i="7"/>
  <c r="L102" i="7" a="1"/>
  <c r="L102" i="7" s="1"/>
  <c r="J102" i="7"/>
  <c r="X101" i="7"/>
  <c r="U101" i="7"/>
  <c r="R101" i="7"/>
  <c r="O101" i="7"/>
  <c r="L101" i="7" a="1"/>
  <c r="L101" i="7" s="1"/>
  <c r="J101" i="7"/>
  <c r="X100" i="7"/>
  <c r="U100" i="7"/>
  <c r="R100" i="7"/>
  <c r="O100" i="7"/>
  <c r="L100" i="7" a="1"/>
  <c r="L100" i="7" s="1"/>
  <c r="J100" i="7"/>
  <c r="I100" i="7" a="1"/>
  <c r="I100" i="7" s="1"/>
  <c r="X99" i="7"/>
  <c r="U99" i="7"/>
  <c r="R99" i="7"/>
  <c r="O99" i="7"/>
  <c r="L99" i="7" a="1"/>
  <c r="L99" i="7" s="1"/>
  <c r="J99" i="7"/>
  <c r="X98" i="7"/>
  <c r="U98" i="7"/>
  <c r="R98" i="7"/>
  <c r="O98" i="7"/>
  <c r="L98" i="7" a="1"/>
  <c r="L98" i="7" s="1"/>
  <c r="J98" i="7"/>
  <c r="X97" i="7"/>
  <c r="U97" i="7"/>
  <c r="R97" i="7"/>
  <c r="O97" i="7"/>
  <c r="L97" i="7" a="1"/>
  <c r="L97" i="7" s="1"/>
  <c r="J97" i="7"/>
  <c r="X96" i="7"/>
  <c r="U96" i="7"/>
  <c r="R96" i="7"/>
  <c r="O96" i="7"/>
  <c r="L96" i="7" a="1"/>
  <c r="L96" i="7" s="1"/>
  <c r="J96" i="7"/>
  <c r="X95" i="7"/>
  <c r="U95" i="7"/>
  <c r="R95" i="7"/>
  <c r="O95" i="7"/>
  <c r="L95" i="7" a="1"/>
  <c r="L95" i="7" s="1"/>
  <c r="J95" i="7"/>
  <c r="I95" i="7" a="1"/>
  <c r="I95" i="7" s="1"/>
  <c r="X94" i="7"/>
  <c r="U94" i="7"/>
  <c r="R94" i="7"/>
  <c r="O94" i="7"/>
  <c r="L94" i="7" a="1"/>
  <c r="L94" i="7" s="1"/>
  <c r="J94" i="7"/>
  <c r="I94" i="7" a="1"/>
  <c r="I94" i="7" s="1"/>
  <c r="X93" i="7"/>
  <c r="U93" i="7"/>
  <c r="R93" i="7"/>
  <c r="O93" i="7"/>
  <c r="L93" i="7" a="1"/>
  <c r="L93" i="7" s="1"/>
  <c r="J93" i="7"/>
  <c r="I93" i="7" a="1"/>
  <c r="I93" i="7" s="1"/>
  <c r="X92" i="7"/>
  <c r="U92" i="7"/>
  <c r="R92" i="7"/>
  <c r="O92" i="7"/>
  <c r="L92" i="7" a="1"/>
  <c r="L92" i="7" s="1"/>
  <c r="J92" i="7"/>
  <c r="X91" i="7"/>
  <c r="U91" i="7"/>
  <c r="R91" i="7"/>
  <c r="O91" i="7"/>
  <c r="L91" i="7" a="1"/>
  <c r="L91" i="7" s="1"/>
  <c r="J91" i="7"/>
  <c r="I91" i="7" a="1"/>
  <c r="I91" i="7" s="1"/>
  <c r="X90" i="7"/>
  <c r="U90" i="7"/>
  <c r="R90" i="7"/>
  <c r="O90" i="7"/>
  <c r="L90" i="7" a="1"/>
  <c r="L90" i="7" s="1"/>
  <c r="J90" i="7"/>
  <c r="I90" i="7" a="1"/>
  <c r="I90" i="7" s="1"/>
  <c r="X89" i="7"/>
  <c r="U89" i="7"/>
  <c r="R89" i="7"/>
  <c r="O89" i="7"/>
  <c r="L89" i="7" a="1"/>
  <c r="L89" i="7" s="1"/>
  <c r="J89" i="7"/>
  <c r="I89" i="7" a="1"/>
  <c r="I89" i="7" s="1"/>
  <c r="X88" i="7"/>
  <c r="U88" i="7"/>
  <c r="R88" i="7"/>
  <c r="O88" i="7"/>
  <c r="L88" i="7" a="1"/>
  <c r="L88" i="7" s="1"/>
  <c r="J88" i="7"/>
  <c r="I88" i="7" a="1"/>
  <c r="I88" i="7" s="1"/>
  <c r="X87" i="7"/>
  <c r="U87" i="7"/>
  <c r="R87" i="7"/>
  <c r="O87" i="7"/>
  <c r="L87" i="7" a="1"/>
  <c r="L87" i="7" s="1"/>
  <c r="J87" i="7"/>
  <c r="I87" i="7" a="1"/>
  <c r="I87" i="7" s="1"/>
  <c r="X86" i="7"/>
  <c r="U86" i="7"/>
  <c r="R86" i="7"/>
  <c r="O86" i="7"/>
  <c r="L86" i="7" a="1"/>
  <c r="L86" i="7" s="1"/>
  <c r="J86" i="7"/>
  <c r="I86" i="7" a="1"/>
  <c r="I86" i="7" s="1"/>
  <c r="X106" i="7"/>
  <c r="U106" i="7"/>
  <c r="R106" i="7"/>
  <c r="O106" i="7"/>
  <c r="R72" i="6"/>
  <c r="P72" i="6"/>
  <c r="R73" i="6"/>
  <c r="P73" i="6"/>
  <c r="R74" i="6"/>
  <c r="P74" i="6"/>
  <c r="R70" i="6"/>
  <c r="P70" i="6"/>
  <c r="R71" i="6"/>
  <c r="P71" i="6"/>
  <c r="V111" i="7" a="1"/>
  <c r="V111" i="7" s="1"/>
  <c r="S111" i="7" a="1"/>
  <c r="S111" i="7" s="1"/>
  <c r="T111" i="7" s="1"/>
  <c r="P111" i="7" a="1"/>
  <c r="P111" i="7" s="1"/>
  <c r="M111" i="7" a="1"/>
  <c r="M111" i="7" s="1"/>
  <c r="N111" i="7" s="1"/>
  <c r="V87" i="7" a="1"/>
  <c r="V87" i="7" s="1"/>
  <c r="S87" i="7" a="1"/>
  <c r="S87" i="7" s="1"/>
  <c r="P87" i="7" a="1"/>
  <c r="P87" i="7" s="1"/>
  <c r="M87" i="7" a="1"/>
  <c r="M87" i="7" s="1"/>
  <c r="V107" i="7" a="1"/>
  <c r="V107" i="7" s="1"/>
  <c r="S107" i="7" a="1"/>
  <c r="S107" i="7" s="1"/>
  <c r="P107" i="7" a="1"/>
  <c r="P107" i="7" s="1"/>
  <c r="M107" i="7" a="1"/>
  <c r="M107" i="7" s="1"/>
  <c r="V108" i="7" a="1"/>
  <c r="V108" i="7" s="1"/>
  <c r="W108" i="7" s="1"/>
  <c r="S108" i="7" a="1"/>
  <c r="S108" i="7" s="1"/>
  <c r="P108" i="7" a="1"/>
  <c r="P108" i="7" s="1"/>
  <c r="M108" i="7" a="1"/>
  <c r="M108" i="7" s="1"/>
  <c r="V110" i="7" a="1"/>
  <c r="V110" i="7" s="1"/>
  <c r="W110" i="7" s="1"/>
  <c r="S110" i="7" a="1"/>
  <c r="S110" i="7" s="1"/>
  <c r="P110" i="7" a="1"/>
  <c r="P110" i="7" s="1"/>
  <c r="Q110" i="7" s="1"/>
  <c r="M110" i="7" a="1"/>
  <c r="M110" i="7" s="1"/>
  <c r="N110" i="7" s="1"/>
  <c r="V105" i="7" a="1"/>
  <c r="V105" i="7" s="1"/>
  <c r="S105" i="7" a="1"/>
  <c r="S105" i="7" s="1"/>
  <c r="T105" i="7" s="1"/>
  <c r="P105" i="7" a="1"/>
  <c r="P105" i="7" s="1"/>
  <c r="M105" i="7" a="1"/>
  <c r="M105" i="7" s="1"/>
  <c r="V109" i="7" a="1"/>
  <c r="V109" i="7" s="1"/>
  <c r="W109" i="7" s="1"/>
  <c r="S109" i="7" a="1"/>
  <c r="S109" i="7" s="1"/>
  <c r="P109" i="7" a="1"/>
  <c r="P109" i="7" s="1"/>
  <c r="M109" i="7" a="1"/>
  <c r="M109" i="7" s="1"/>
  <c r="N109" i="7" s="1"/>
  <c r="V101" i="7" a="1"/>
  <c r="V101" i="7" s="1"/>
  <c r="S101" i="7" a="1"/>
  <c r="S101" i="7" s="1"/>
  <c r="P101" i="7" a="1"/>
  <c r="P101" i="7" s="1"/>
  <c r="M101" i="7" a="1"/>
  <c r="M101" i="7" s="1"/>
  <c r="V112" i="7" a="1"/>
  <c r="V112" i="7" s="1"/>
  <c r="S112" i="7" a="1"/>
  <c r="S112" i="7" s="1"/>
  <c r="T112" i="7" s="1"/>
  <c r="P112" i="7" a="1"/>
  <c r="P112" i="7" s="1"/>
  <c r="M112" i="7" a="1"/>
  <c r="M112" i="7" s="1"/>
  <c r="V95" i="7" a="1"/>
  <c r="V95" i="7" s="1"/>
  <c r="S95" i="7" a="1"/>
  <c r="S95" i="7" s="1"/>
  <c r="T95" i="7" s="1"/>
  <c r="P95" i="7" a="1"/>
  <c r="P95" i="7" s="1"/>
  <c r="M95" i="7" a="1"/>
  <c r="M95" i="7" s="1"/>
  <c r="V113" i="7" a="1"/>
  <c r="V113" i="7" s="1"/>
  <c r="W113" i="7" s="1"/>
  <c r="S113" i="7" a="1"/>
  <c r="S113" i="7" s="1"/>
  <c r="T113" i="7" s="1"/>
  <c r="P113" i="7" a="1"/>
  <c r="P113" i="7" s="1"/>
  <c r="Q113" i="7" s="1"/>
  <c r="M113" i="7" a="1"/>
  <c r="M113" i="7" s="1"/>
  <c r="N113" i="7" s="1"/>
  <c r="V104" i="7" a="1"/>
  <c r="V104" i="7" s="1"/>
  <c r="S104" i="7" a="1"/>
  <c r="S104" i="7" s="1"/>
  <c r="P104" i="7" a="1"/>
  <c r="P104" i="7" s="1"/>
  <c r="Q104" i="7" s="1"/>
  <c r="M104" i="7" a="1"/>
  <c r="M104" i="7" s="1"/>
  <c r="V100" i="7" a="1"/>
  <c r="V100" i="7" s="1"/>
  <c r="W100" i="7" s="1"/>
  <c r="S100" i="7" a="1"/>
  <c r="S100" i="7" s="1"/>
  <c r="P100" i="7" a="1"/>
  <c r="P100" i="7" s="1"/>
  <c r="M100" i="7" a="1"/>
  <c r="M100" i="7" s="1"/>
  <c r="N100" i="7" s="1"/>
  <c r="V86" i="7" a="1"/>
  <c r="V86" i="7" s="1"/>
  <c r="S86" i="7" a="1"/>
  <c r="S86" i="7" s="1"/>
  <c r="P86" i="7" a="1"/>
  <c r="P86" i="7" s="1"/>
  <c r="Q86" i="7" s="1"/>
  <c r="M86" i="7" a="1"/>
  <c r="M86" i="7" s="1"/>
  <c r="M106" i="7" a="1"/>
  <c r="M106" i="7" s="1"/>
  <c r="V94" i="7" a="1"/>
  <c r="V94" i="7" s="1"/>
  <c r="W94" i="7" s="1"/>
  <c r="S94" i="7" a="1"/>
  <c r="S94" i="7" s="1"/>
  <c r="T94" i="7" s="1"/>
  <c r="P94" i="7" a="1"/>
  <c r="P94" i="7" s="1"/>
  <c r="Q94" i="7" s="1"/>
  <c r="M94" i="7" a="1"/>
  <c r="M94" i="7" s="1"/>
  <c r="N94" i="7" s="1"/>
  <c r="V102" i="7" a="1"/>
  <c r="V102" i="7" s="1"/>
  <c r="S102" i="7" a="1"/>
  <c r="S102" i="7" s="1"/>
  <c r="P102" i="7" a="1"/>
  <c r="P102" i="7" s="1"/>
  <c r="M102" i="7" a="1"/>
  <c r="M102" i="7" s="1"/>
  <c r="V88" i="7" a="1"/>
  <c r="V88" i="7" s="1"/>
  <c r="W88" i="7" s="1"/>
  <c r="S88" i="7" a="1"/>
  <c r="S88" i="7" s="1"/>
  <c r="P88" i="7" a="1"/>
  <c r="P88" i="7" s="1"/>
  <c r="M88" i="7" a="1"/>
  <c r="M88" i="7" s="1"/>
  <c r="N88" i="7" s="1"/>
  <c r="V93" i="7" a="1"/>
  <c r="V93" i="7" s="1"/>
  <c r="W93" i="7" s="1"/>
  <c r="S93" i="7" a="1"/>
  <c r="S93" i="7" s="1"/>
  <c r="T93" i="7" s="1"/>
  <c r="P93" i="7" a="1"/>
  <c r="P93" i="7" s="1"/>
  <c r="Q93" i="7" s="1"/>
  <c r="M93" i="7" a="1"/>
  <c r="M93" i="7" s="1"/>
  <c r="N93" i="7" s="1"/>
  <c r="V91" i="7" a="1"/>
  <c r="V91" i="7" s="1"/>
  <c r="S91" i="7" a="1"/>
  <c r="S91" i="7" s="1"/>
  <c r="T91" i="7" s="1"/>
  <c r="P91" i="7" a="1"/>
  <c r="P91" i="7" s="1"/>
  <c r="M91" i="7" a="1"/>
  <c r="M91" i="7" s="1"/>
  <c r="V89" i="7" a="1"/>
  <c r="V89" i="7" s="1"/>
  <c r="W89" i="7" s="1"/>
  <c r="S89" i="7" a="1"/>
  <c r="S89" i="7" s="1"/>
  <c r="T89" i="7" s="1"/>
  <c r="P89" i="7" a="1"/>
  <c r="P89" i="7" s="1"/>
  <c r="Q89" i="7" s="1"/>
  <c r="M89" i="7" a="1"/>
  <c r="M89" i="7" s="1"/>
  <c r="N89" i="7" s="1"/>
  <c r="V90" i="7" a="1"/>
  <c r="V90" i="7" s="1"/>
  <c r="W90" i="7" s="1"/>
  <c r="S90" i="7" a="1"/>
  <c r="S90" i="7" s="1"/>
  <c r="T90" i="7" s="1"/>
  <c r="P90" i="7" a="1"/>
  <c r="P90" i="7" s="1"/>
  <c r="Q90" i="7" s="1"/>
  <c r="M90" i="7" a="1"/>
  <c r="M90" i="7" s="1"/>
  <c r="N90" i="7" s="1"/>
  <c r="V103" i="7" a="1"/>
  <c r="V103" i="7" s="1"/>
  <c r="W103" i="7" s="1"/>
  <c r="S103" i="7" a="1"/>
  <c r="S103" i="7" s="1"/>
  <c r="T103" i="7" s="1"/>
  <c r="P103" i="7" a="1"/>
  <c r="P103" i="7" s="1"/>
  <c r="Q103" i="7" s="1"/>
  <c r="M103" i="7" a="1"/>
  <c r="M103" i="7" s="1"/>
  <c r="N103" i="7" s="1"/>
  <c r="K86" i="7"/>
  <c r="Q87" i="7"/>
  <c r="T87" i="7"/>
  <c r="S92" i="7" a="1"/>
  <c r="S92" i="7" s="1"/>
  <c r="P92" i="7" a="1"/>
  <c r="P92" i="7" s="1"/>
  <c r="I92" i="7" a="1"/>
  <c r="I92" i="7" s="1"/>
  <c r="K92" i="7" s="1"/>
  <c r="K90" i="7"/>
  <c r="N105" i="7"/>
  <c r="W105" i="7"/>
  <c r="N107" i="7"/>
  <c r="T107" i="7"/>
  <c r="W107" i="7"/>
  <c r="Q108" i="7"/>
  <c r="T108" i="7"/>
  <c r="Q109" i="7"/>
  <c r="T110" i="7"/>
  <c r="Q111" i="7"/>
  <c r="W111" i="7"/>
  <c r="P106" i="7" a="1"/>
  <c r="P106" i="7" s="1"/>
  <c r="AN114" i="7"/>
  <c r="AK114" i="7"/>
  <c r="AJ114" i="7"/>
  <c r="AH114" i="7"/>
  <c r="AG114" i="7"/>
  <c r="AE114" i="7"/>
  <c r="L40" i="8"/>
  <c r="L39" i="8"/>
  <c r="L38" i="8"/>
  <c r="L37" i="8"/>
  <c r="L36" i="8"/>
  <c r="L35" i="8"/>
  <c r="L34" i="8"/>
  <c r="L33" i="8"/>
  <c r="L32" i="8"/>
  <c r="J40" i="8"/>
  <c r="I40" i="8"/>
  <c r="W39" i="8"/>
  <c r="T39" i="8"/>
  <c r="S39" i="8"/>
  <c r="Q39" i="8"/>
  <c r="P39" i="8"/>
  <c r="J39" i="8"/>
  <c r="I39" i="8"/>
  <c r="W38" i="8"/>
  <c r="T38" i="8"/>
  <c r="S38" i="8"/>
  <c r="Q38" i="8"/>
  <c r="P38" i="8"/>
  <c r="J38" i="8"/>
  <c r="I38" i="8"/>
  <c r="W37" i="8"/>
  <c r="T37" i="8"/>
  <c r="S37" i="8"/>
  <c r="Q37" i="8"/>
  <c r="P37" i="8"/>
  <c r="J37" i="8"/>
  <c r="I37" i="8"/>
  <c r="W36" i="8"/>
  <c r="T36" i="8"/>
  <c r="S36" i="8"/>
  <c r="Q36" i="8"/>
  <c r="P36" i="8"/>
  <c r="J36" i="8"/>
  <c r="I36" i="8"/>
  <c r="J35" i="8"/>
  <c r="I35" i="8"/>
  <c r="W34" i="8"/>
  <c r="T34" i="8"/>
  <c r="S34" i="8"/>
  <c r="Q34" i="8"/>
  <c r="P34" i="8"/>
  <c r="J34" i="8"/>
  <c r="I34" i="8"/>
  <c r="W33" i="8"/>
  <c r="T33" i="8"/>
  <c r="S33" i="8"/>
  <c r="Q33" i="8"/>
  <c r="P33" i="8"/>
  <c r="J33" i="8"/>
  <c r="W32" i="8"/>
  <c r="T32" i="8"/>
  <c r="S32" i="8"/>
  <c r="Q32" i="8"/>
  <c r="P32" i="8"/>
  <c r="J32" i="8"/>
  <c r="I32" i="8"/>
  <c r="AP45" i="9"/>
  <c r="AL45" i="9"/>
  <c r="AJ45" i="9"/>
  <c r="AH45" i="9"/>
  <c r="AG45" i="9"/>
  <c r="AF45" i="9"/>
  <c r="AD45" i="9"/>
  <c r="AC45" i="9"/>
  <c r="AB45" i="9"/>
  <c r="AA45" i="9"/>
  <c r="Y45" i="9"/>
  <c r="X45" i="9"/>
  <c r="V45" i="9"/>
  <c r="U45" i="9"/>
  <c r="O45" i="9"/>
  <c r="M45" i="9"/>
  <c r="K45" i="9"/>
  <c r="I45" i="9"/>
  <c r="AP44" i="9"/>
  <c r="AL44" i="9"/>
  <c r="AJ44" i="9"/>
  <c r="AH44" i="9"/>
  <c r="AG44" i="9"/>
  <c r="AF44" i="9"/>
  <c r="AD44" i="9"/>
  <c r="AC44" i="9"/>
  <c r="AB44" i="9"/>
  <c r="AA44" i="9"/>
  <c r="Y44" i="9"/>
  <c r="X44" i="9"/>
  <c r="V44" i="9"/>
  <c r="U44" i="9"/>
  <c r="O44" i="9"/>
  <c r="M44" i="9"/>
  <c r="K44" i="9"/>
  <c r="I44" i="9"/>
  <c r="AJ43" i="9"/>
  <c r="AF43" i="9"/>
  <c r="O43" i="9"/>
  <c r="M43" i="9"/>
  <c r="K43" i="9"/>
  <c r="I43" i="9"/>
  <c r="AP42" i="9"/>
  <c r="AL42" i="9"/>
  <c r="AJ42" i="9"/>
  <c r="AH42" i="9"/>
  <c r="AG42" i="9"/>
  <c r="AF42" i="9"/>
  <c r="AD42" i="9"/>
  <c r="AC42" i="9"/>
  <c r="AB42" i="9"/>
  <c r="AA42" i="9"/>
  <c r="Y42" i="9"/>
  <c r="X42" i="9"/>
  <c r="V42" i="9"/>
  <c r="U42" i="9"/>
  <c r="O42" i="9"/>
  <c r="M42" i="9"/>
  <c r="K42" i="9"/>
  <c r="I42" i="9"/>
  <c r="AP41" i="9"/>
  <c r="AL41" i="9"/>
  <c r="AJ41" i="9"/>
  <c r="AH41" i="9"/>
  <c r="AG41" i="9"/>
  <c r="AF41" i="9"/>
  <c r="AD41" i="9"/>
  <c r="AC41" i="9"/>
  <c r="AB41" i="9"/>
  <c r="AA41" i="9"/>
  <c r="Y41" i="9"/>
  <c r="X41" i="9"/>
  <c r="V41" i="9"/>
  <c r="U41" i="9"/>
  <c r="O41" i="9"/>
  <c r="M41" i="9"/>
  <c r="AH43" i="9" s="1"/>
  <c r="L41" i="9"/>
  <c r="K41" i="9"/>
  <c r="I41" i="9"/>
  <c r="H41" i="9"/>
  <c r="AP40" i="9"/>
  <c r="AL40" i="9"/>
  <c r="AJ40" i="9"/>
  <c r="AH40" i="9"/>
  <c r="AG40" i="9"/>
  <c r="AF40" i="9"/>
  <c r="AD40" i="9"/>
  <c r="AC40" i="9"/>
  <c r="AB40" i="9"/>
  <c r="AA40" i="9"/>
  <c r="Y40" i="9"/>
  <c r="X40" i="9"/>
  <c r="V40" i="9"/>
  <c r="U40" i="9"/>
  <c r="O40" i="9"/>
  <c r="M40" i="9"/>
  <c r="K40" i="9"/>
  <c r="I40" i="9"/>
  <c r="AP39" i="9"/>
  <c r="AL39" i="9"/>
  <c r="AJ39" i="9"/>
  <c r="AH39" i="9"/>
  <c r="AG39" i="9"/>
  <c r="AF39" i="9"/>
  <c r="AD39" i="9"/>
  <c r="AC39" i="9"/>
  <c r="AB39" i="9"/>
  <c r="AA39" i="9"/>
  <c r="Y39" i="9"/>
  <c r="X39" i="9"/>
  <c r="V39" i="9"/>
  <c r="U39" i="9"/>
  <c r="O39" i="9"/>
  <c r="M39" i="9"/>
  <c r="K39" i="9"/>
  <c r="I39" i="9"/>
  <c r="AJ38" i="9"/>
  <c r="AF38" i="9"/>
  <c r="O38" i="9"/>
  <c r="M38" i="9"/>
  <c r="K38" i="9"/>
  <c r="I38" i="9"/>
  <c r="AP37" i="9"/>
  <c r="AL37" i="9"/>
  <c r="AJ37" i="9"/>
  <c r="AH37" i="9"/>
  <c r="AG37" i="9"/>
  <c r="AF37" i="9"/>
  <c r="AD37" i="9"/>
  <c r="AC37" i="9"/>
  <c r="AB37" i="9"/>
  <c r="AA37" i="9"/>
  <c r="Y37" i="9"/>
  <c r="X37" i="9"/>
  <c r="V37" i="9"/>
  <c r="U37" i="9"/>
  <c r="O37" i="9"/>
  <c r="M37" i="9"/>
  <c r="K37" i="9"/>
  <c r="I37" i="9"/>
  <c r="AP36" i="9"/>
  <c r="AL36" i="9"/>
  <c r="AJ36" i="9"/>
  <c r="AH36" i="9"/>
  <c r="AG36" i="9"/>
  <c r="AF36" i="9"/>
  <c r="AD36" i="9"/>
  <c r="AC36" i="9"/>
  <c r="AB36" i="9"/>
  <c r="AA36" i="9"/>
  <c r="Y36" i="9"/>
  <c r="X36" i="9"/>
  <c r="V36" i="9"/>
  <c r="U36" i="9"/>
  <c r="O36" i="9"/>
  <c r="M36" i="9"/>
  <c r="AH38" i="9" s="1"/>
  <c r="L36" i="9"/>
  <c r="K36" i="9"/>
  <c r="I36" i="9"/>
  <c r="AD38" i="9" s="1"/>
  <c r="H36" i="9"/>
  <c r="AK7" i="10"/>
  <c r="AG7" i="10"/>
  <c r="AE7" i="10"/>
  <c r="AB7" i="10"/>
  <c r="AA7" i="10"/>
  <c r="W7" i="10"/>
  <c r="U7" i="10"/>
  <c r="Y7" i="10" s="1"/>
  <c r="T7" i="10"/>
  <c r="X7" i="10" s="1"/>
  <c r="N7" i="10"/>
  <c r="L7" i="10"/>
  <c r="AC7" i="10" s="1"/>
  <c r="J7" i="10"/>
  <c r="H7" i="10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3" i="6"/>
  <c r="R3" i="6"/>
  <c r="P4" i="6"/>
  <c r="R4" i="6"/>
  <c r="P5" i="6"/>
  <c r="R5" i="6"/>
  <c r="P6" i="6"/>
  <c r="R6" i="6"/>
  <c r="P8" i="6"/>
  <c r="R8" i="6"/>
  <c r="P9" i="6"/>
  <c r="R9" i="6"/>
  <c r="P10" i="6"/>
  <c r="R10" i="6"/>
  <c r="P11" i="6"/>
  <c r="R11" i="6"/>
  <c r="P12" i="6"/>
  <c r="R12" i="6"/>
  <c r="P13" i="6"/>
  <c r="R13" i="6"/>
  <c r="P14" i="6"/>
  <c r="R14" i="6"/>
  <c r="P15" i="6"/>
  <c r="R15" i="6"/>
  <c r="P16" i="6"/>
  <c r="R16" i="6"/>
  <c r="P17" i="6"/>
  <c r="R17" i="6"/>
  <c r="P18" i="6"/>
  <c r="R18" i="6"/>
  <c r="P19" i="6"/>
  <c r="R19" i="6"/>
  <c r="P20" i="6"/>
  <c r="R20" i="6"/>
  <c r="P21" i="6"/>
  <c r="R21" i="6"/>
  <c r="P22" i="6"/>
  <c r="R22" i="6"/>
  <c r="P23" i="6"/>
  <c r="R23" i="6"/>
  <c r="P24" i="6"/>
  <c r="R24" i="6"/>
  <c r="P25" i="6"/>
  <c r="R25" i="6"/>
  <c r="P26" i="6"/>
  <c r="R26" i="6"/>
  <c r="P27" i="6"/>
  <c r="R27" i="6"/>
  <c r="P28" i="6"/>
  <c r="R28" i="6"/>
  <c r="P29" i="6"/>
  <c r="R29" i="6"/>
  <c r="P30" i="6"/>
  <c r="R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L43" i="9"/>
  <c r="H43" i="9"/>
  <c r="L38" i="9"/>
  <c r="N38" i="9" s="1"/>
  <c r="R38" i="9" s="1"/>
  <c r="H38" i="9"/>
  <c r="L37" i="9"/>
  <c r="L39" i="9"/>
  <c r="H39" i="9"/>
  <c r="L45" i="9"/>
  <c r="H45" i="9"/>
  <c r="L42" i="9"/>
  <c r="H42" i="9"/>
  <c r="L44" i="9"/>
  <c r="H44" i="9"/>
  <c r="L40" i="9"/>
  <c r="H40" i="9"/>
  <c r="AN113" i="7"/>
  <c r="AK113" i="7"/>
  <c r="AJ113" i="7"/>
  <c r="AH113" i="7"/>
  <c r="AG113" i="7"/>
  <c r="AE113" i="7"/>
  <c r="AE112" i="7"/>
  <c r="AH111" i="7"/>
  <c r="AG111" i="7"/>
  <c r="AE111" i="7"/>
  <c r="AK110" i="7"/>
  <c r="AH110" i="7"/>
  <c r="AG110" i="7"/>
  <c r="AE110" i="7"/>
  <c r="AN109" i="7"/>
  <c r="AK109" i="7"/>
  <c r="AJ109" i="7"/>
  <c r="AH109" i="7"/>
  <c r="AG109" i="7"/>
  <c r="AE109" i="7"/>
  <c r="AC109" i="7"/>
  <c r="AE108" i="7"/>
  <c r="AC108" i="7"/>
  <c r="AN107" i="7"/>
  <c r="AK107" i="7"/>
  <c r="AJ107" i="7"/>
  <c r="AH107" i="7"/>
  <c r="AG107" i="7"/>
  <c r="AE107" i="7"/>
  <c r="AH106" i="7"/>
  <c r="AG106" i="7"/>
  <c r="AE106" i="7"/>
  <c r="L106" i="7" a="1"/>
  <c r="L106" i="7" s="1"/>
  <c r="J106" i="7"/>
  <c r="AK105" i="7"/>
  <c r="AH105" i="7"/>
  <c r="AG105" i="7"/>
  <c r="AE105" i="7"/>
  <c r="AE104" i="7"/>
  <c r="AN103" i="7"/>
  <c r="AK103" i="7"/>
  <c r="AJ103" i="7"/>
  <c r="AH103" i="7"/>
  <c r="AG103" i="7"/>
  <c r="AE103" i="7"/>
  <c r="AN102" i="7"/>
  <c r="AK102" i="7"/>
  <c r="AJ102" i="7"/>
  <c r="AH102" i="7"/>
  <c r="AG102" i="7"/>
  <c r="AE102" i="7"/>
  <c r="AH101" i="7"/>
  <c r="AE101" i="7"/>
  <c r="AE100" i="7"/>
  <c r="AN99" i="7"/>
  <c r="AK99" i="7"/>
  <c r="AJ99" i="7"/>
  <c r="AH99" i="7"/>
  <c r="AG99" i="7"/>
  <c r="AE99" i="7"/>
  <c r="AN98" i="7"/>
  <c r="AK98" i="7"/>
  <c r="AJ98" i="7"/>
  <c r="AH98" i="7"/>
  <c r="AG98" i="7"/>
  <c r="AE98" i="7"/>
  <c r="AN97" i="7"/>
  <c r="AK97" i="7"/>
  <c r="AJ97" i="7"/>
  <c r="AH97" i="7"/>
  <c r="AG97" i="7"/>
  <c r="AE97" i="7"/>
  <c r="AE96" i="7"/>
  <c r="AH95" i="7"/>
  <c r="AG95" i="7"/>
  <c r="AE95" i="7"/>
  <c r="AC95" i="7"/>
  <c r="AN94" i="7"/>
  <c r="AK94" i="7"/>
  <c r="AJ94" i="7"/>
  <c r="AH94" i="7"/>
  <c r="AG94" i="7"/>
  <c r="AE94" i="7"/>
  <c r="AC94" i="7"/>
  <c r="AH96" i="7"/>
  <c r="AH93" i="7"/>
  <c r="AG93" i="7"/>
  <c r="AE93" i="7"/>
  <c r="AC93" i="7"/>
  <c r="AE92" i="7"/>
  <c r="AH91" i="7"/>
  <c r="AG91" i="7"/>
  <c r="AE91" i="7"/>
  <c r="AC91" i="7"/>
  <c r="AH90" i="7"/>
  <c r="AG90" i="7"/>
  <c r="AE90" i="7"/>
  <c r="AC90" i="7"/>
  <c r="AH92" i="7"/>
  <c r="AN89" i="7"/>
  <c r="AK89" i="7"/>
  <c r="AJ89" i="7"/>
  <c r="AH89" i="7"/>
  <c r="AG89" i="7"/>
  <c r="AE89" i="7"/>
  <c r="AC89" i="7"/>
  <c r="AE88" i="7"/>
  <c r="AC88" i="7"/>
  <c r="AN87" i="7"/>
  <c r="AK87" i="7"/>
  <c r="AJ87" i="7"/>
  <c r="AH87" i="7"/>
  <c r="AG87" i="7"/>
  <c r="AE87" i="7"/>
  <c r="AC87" i="7"/>
  <c r="AE86" i="7"/>
  <c r="AC86" i="7"/>
  <c r="AE2" i="7"/>
  <c r="AC2" i="7"/>
  <c r="AC110" i="7" s="1"/>
  <c r="J2" i="7"/>
  <c r="I2" i="7"/>
  <c r="Q2" i="14"/>
  <c r="O2" i="14"/>
  <c r="Q9" i="14"/>
  <c r="O9" i="14"/>
  <c r="J9" i="14"/>
  <c r="I9" i="14"/>
  <c r="Q8" i="14"/>
  <c r="O8" i="14"/>
  <c r="J8" i="14"/>
  <c r="I8" i="14"/>
  <c r="Q7" i="14"/>
  <c r="O7" i="14"/>
  <c r="J7" i="14"/>
  <c r="I7" i="14"/>
  <c r="Q6" i="14"/>
  <c r="O6" i="14"/>
  <c r="J6" i="14"/>
  <c r="I6" i="14"/>
  <c r="Q5" i="14"/>
  <c r="O5" i="14"/>
  <c r="J5" i="14"/>
  <c r="I5" i="14"/>
  <c r="Q4" i="14"/>
  <c r="O4" i="14"/>
  <c r="J4" i="14"/>
  <c r="I4" i="14"/>
  <c r="Q3" i="14"/>
  <c r="O3" i="14"/>
  <c r="J3" i="14"/>
  <c r="I3" i="14"/>
  <c r="AE2" i="14"/>
  <c r="S12" i="11"/>
  <c r="O11" i="11"/>
  <c r="Q26" i="11"/>
  <c r="J2" i="14"/>
  <c r="H21" i="11"/>
  <c r="J27" i="11"/>
  <c r="J25" i="11"/>
  <c r="C8" i="12"/>
  <c r="J31" i="8"/>
  <c r="I31" i="8"/>
  <c r="C2" i="12"/>
  <c r="C7" i="12"/>
  <c r="C6" i="12"/>
  <c r="C5" i="12"/>
  <c r="C4" i="12"/>
  <c r="C3" i="12"/>
  <c r="C9" i="12"/>
  <c r="AB25" i="9"/>
  <c r="AB24" i="9"/>
  <c r="AB23" i="9"/>
  <c r="AB20" i="9"/>
  <c r="AB19" i="9"/>
  <c r="AB17" i="9"/>
  <c r="AB15" i="9"/>
  <c r="AB13" i="9"/>
  <c r="AB12" i="9"/>
  <c r="AB9" i="9"/>
  <c r="AB8" i="9"/>
  <c r="AB7" i="9"/>
  <c r="AB5" i="9"/>
  <c r="AB4" i="9"/>
  <c r="AA25" i="9"/>
  <c r="AA24" i="9"/>
  <c r="AA23" i="9"/>
  <c r="AA20" i="9"/>
  <c r="AA19" i="9"/>
  <c r="AA17" i="9"/>
  <c r="AA15" i="9"/>
  <c r="AA13" i="9"/>
  <c r="AA12" i="9"/>
  <c r="AA9" i="9"/>
  <c r="AA8" i="9"/>
  <c r="AA7" i="9"/>
  <c r="AA5" i="9"/>
  <c r="AA4" i="9"/>
  <c r="AJ35" i="9"/>
  <c r="AF35" i="9"/>
  <c r="O35" i="9"/>
  <c r="K35" i="9"/>
  <c r="AJ34" i="9"/>
  <c r="AF34" i="9"/>
  <c r="O34" i="9"/>
  <c r="K34" i="9"/>
  <c r="AJ33" i="9"/>
  <c r="AF33" i="9"/>
  <c r="O33" i="9"/>
  <c r="K33" i="9"/>
  <c r="AJ32" i="9"/>
  <c r="AF32" i="9"/>
  <c r="O32" i="9"/>
  <c r="K32" i="9"/>
  <c r="AJ31" i="9"/>
  <c r="AF31" i="9"/>
  <c r="O31" i="9"/>
  <c r="K31" i="9"/>
  <c r="AJ30" i="9"/>
  <c r="AF30" i="9"/>
  <c r="O30" i="9"/>
  <c r="K30" i="9"/>
  <c r="AJ29" i="9"/>
  <c r="AF29" i="9"/>
  <c r="O29" i="9"/>
  <c r="K29" i="9"/>
  <c r="AJ28" i="9"/>
  <c r="AF28" i="9"/>
  <c r="O28" i="9"/>
  <c r="K28" i="9"/>
  <c r="AJ27" i="9"/>
  <c r="AF27" i="9"/>
  <c r="O27" i="9"/>
  <c r="K27" i="9"/>
  <c r="AJ26" i="9"/>
  <c r="AF26" i="9"/>
  <c r="O26" i="9"/>
  <c r="K26" i="9"/>
  <c r="T5" i="10"/>
  <c r="X5" i="10" s="1"/>
  <c r="T4" i="10"/>
  <c r="X4" i="10" s="1"/>
  <c r="AE6" i="10"/>
  <c r="AA6" i="10"/>
  <c r="W6" i="10"/>
  <c r="N6" i="10"/>
  <c r="J6" i="10"/>
  <c r="I26" i="9"/>
  <c r="M26" i="9"/>
  <c r="I27" i="9"/>
  <c r="M27" i="9"/>
  <c r="I28" i="9"/>
  <c r="M28" i="9"/>
  <c r="I29" i="9"/>
  <c r="M29" i="9"/>
  <c r="I30" i="9"/>
  <c r="M30" i="9"/>
  <c r="I31" i="9"/>
  <c r="M31" i="9"/>
  <c r="I32" i="9"/>
  <c r="M32" i="9"/>
  <c r="H6" i="10"/>
  <c r="L6" i="10"/>
  <c r="AC6" i="10" s="1"/>
  <c r="I33" i="9"/>
  <c r="M33" i="9"/>
  <c r="I34" i="9"/>
  <c r="M34" i="9"/>
  <c r="I35" i="9"/>
  <c r="M35" i="9"/>
  <c r="C21" i="11"/>
  <c r="E27" i="11"/>
  <c r="E26" i="11"/>
  <c r="E25" i="11"/>
  <c r="U12" i="11"/>
  <c r="L32" i="9"/>
  <c r="H32" i="9"/>
  <c r="L28" i="9"/>
  <c r="N28" i="9" s="1"/>
  <c r="R28" i="9" s="1"/>
  <c r="H28" i="9"/>
  <c r="L35" i="9"/>
  <c r="H35" i="9"/>
  <c r="J35" i="9" s="1"/>
  <c r="L29" i="9"/>
  <c r="H29" i="9"/>
  <c r="L27" i="9"/>
  <c r="H27" i="9"/>
  <c r="L26" i="9"/>
  <c r="N26" i="9" s="1"/>
  <c r="H26" i="9"/>
  <c r="L34" i="9"/>
  <c r="H34" i="9"/>
  <c r="L30" i="9"/>
  <c r="H30" i="9"/>
  <c r="L31" i="9"/>
  <c r="H31" i="9"/>
  <c r="L33" i="9"/>
  <c r="H33" i="9"/>
  <c r="J33" i="9" s="1"/>
  <c r="AN53" i="7"/>
  <c r="AN50" i="7"/>
  <c r="AN45" i="7"/>
  <c r="AN37" i="7"/>
  <c r="AN32" i="7"/>
  <c r="AN30" i="7"/>
  <c r="J64" i="7"/>
  <c r="AK85" i="7"/>
  <c r="AJ85" i="7"/>
  <c r="AE85" i="7"/>
  <c r="X85" i="7"/>
  <c r="U85" i="7"/>
  <c r="R85" i="7"/>
  <c r="O85" i="7"/>
  <c r="L85" i="7" a="1"/>
  <c r="L85" i="7" s="1"/>
  <c r="J85" i="7"/>
  <c r="AE84" i="7"/>
  <c r="X84" i="7"/>
  <c r="U84" i="7"/>
  <c r="R84" i="7"/>
  <c r="O84" i="7"/>
  <c r="L84" i="7" a="1"/>
  <c r="L84" i="7" s="1"/>
  <c r="J84" i="7"/>
  <c r="AE83" i="7"/>
  <c r="X83" i="7"/>
  <c r="U83" i="7"/>
  <c r="R83" i="7"/>
  <c r="O83" i="7"/>
  <c r="L83" i="7" a="1"/>
  <c r="L83" i="7" s="1"/>
  <c r="J83" i="7"/>
  <c r="AE82" i="7"/>
  <c r="AC82" i="7"/>
  <c r="X82" i="7"/>
  <c r="V82" i="7"/>
  <c r="U82" i="7"/>
  <c r="S82" i="7"/>
  <c r="R82" i="7"/>
  <c r="P82" i="7"/>
  <c r="O82" i="7"/>
  <c r="M82" i="7"/>
  <c r="L82" i="7" a="1"/>
  <c r="L82" i="7" s="1"/>
  <c r="J82" i="7"/>
  <c r="AK104" i="7" s="1"/>
  <c r="I82" i="7"/>
  <c r="AE81" i="7"/>
  <c r="X81" i="7"/>
  <c r="U81" i="7"/>
  <c r="R81" i="7"/>
  <c r="O81" i="7"/>
  <c r="L81" i="7" a="1"/>
  <c r="L81" i="7" s="1"/>
  <c r="J81" i="7"/>
  <c r="AE80" i="7"/>
  <c r="X80" i="7"/>
  <c r="U80" i="7"/>
  <c r="R80" i="7"/>
  <c r="O80" i="7"/>
  <c r="L80" i="7" a="1"/>
  <c r="L80" i="7" s="1"/>
  <c r="J80" i="7"/>
  <c r="AE79" i="7"/>
  <c r="X79" i="7"/>
  <c r="U79" i="7"/>
  <c r="R79" i="7"/>
  <c r="O79" i="7"/>
  <c r="L79" i="7" a="1"/>
  <c r="L79" i="7" s="1"/>
  <c r="J79" i="7"/>
  <c r="AE78" i="7"/>
  <c r="X78" i="7"/>
  <c r="U78" i="7"/>
  <c r="R78" i="7"/>
  <c r="O78" i="7"/>
  <c r="L78" i="7" a="1"/>
  <c r="L78" i="7" s="1"/>
  <c r="J78" i="7"/>
  <c r="AE77" i="7"/>
  <c r="X77" i="7"/>
  <c r="U77" i="7"/>
  <c r="R77" i="7"/>
  <c r="O77" i="7"/>
  <c r="L77" i="7" a="1"/>
  <c r="L77" i="7" s="1"/>
  <c r="J77" i="7"/>
  <c r="AE76" i="7"/>
  <c r="X76" i="7"/>
  <c r="U76" i="7"/>
  <c r="R76" i="7"/>
  <c r="O76" i="7"/>
  <c r="L76" i="7" a="1"/>
  <c r="L76" i="7" s="1"/>
  <c r="J76" i="7"/>
  <c r="AE75" i="7"/>
  <c r="X75" i="7"/>
  <c r="U75" i="7"/>
  <c r="R75" i="7"/>
  <c r="O75" i="7"/>
  <c r="L75" i="7" a="1"/>
  <c r="L75" i="7" s="1"/>
  <c r="AE74" i="7"/>
  <c r="AC74" i="7"/>
  <c r="X74" i="7"/>
  <c r="V74" i="7"/>
  <c r="U74" i="7"/>
  <c r="S74" i="7"/>
  <c r="R74" i="7"/>
  <c r="P74" i="7"/>
  <c r="O74" i="7"/>
  <c r="M74" i="7"/>
  <c r="L74" i="7" a="1"/>
  <c r="L74" i="7" s="1"/>
  <c r="I74" i="7"/>
  <c r="AE73" i="7"/>
  <c r="X73" i="7"/>
  <c r="U73" i="7"/>
  <c r="R73" i="7"/>
  <c r="O73" i="7"/>
  <c r="L73" i="7" a="1"/>
  <c r="L73" i="7" s="1"/>
  <c r="AE72" i="7"/>
  <c r="X72" i="7"/>
  <c r="U72" i="7"/>
  <c r="R72" i="7"/>
  <c r="O72" i="7"/>
  <c r="L72" i="7" a="1"/>
  <c r="L72" i="7" s="1"/>
  <c r="AE71" i="7"/>
  <c r="X71" i="7"/>
  <c r="U71" i="7"/>
  <c r="R71" i="7"/>
  <c r="O71" i="7"/>
  <c r="L71" i="7" a="1"/>
  <c r="L71" i="7" s="1"/>
  <c r="J71" i="7"/>
  <c r="AE70" i="7"/>
  <c r="X70" i="7"/>
  <c r="U70" i="7"/>
  <c r="R70" i="7"/>
  <c r="O70" i="7"/>
  <c r="L70" i="7" a="1"/>
  <c r="L70" i="7" s="1"/>
  <c r="J70" i="7"/>
  <c r="AE69" i="7"/>
  <c r="X69" i="7"/>
  <c r="U69" i="7"/>
  <c r="R69" i="7"/>
  <c r="O69" i="7"/>
  <c r="L69" i="7" a="1"/>
  <c r="L69" i="7" s="1"/>
  <c r="J69" i="7"/>
  <c r="AE68" i="7"/>
  <c r="AC68" i="7"/>
  <c r="X68" i="7"/>
  <c r="V68" i="7"/>
  <c r="U68" i="7"/>
  <c r="S68" i="7"/>
  <c r="R68" i="7"/>
  <c r="P68" i="7"/>
  <c r="O68" i="7"/>
  <c r="M68" i="7"/>
  <c r="L68" i="7" a="1"/>
  <c r="L68" i="7" s="1"/>
  <c r="J68" i="7"/>
  <c r="I68" i="7"/>
  <c r="AE67" i="7"/>
  <c r="AC67" i="7"/>
  <c r="X67" i="7"/>
  <c r="V67" i="7"/>
  <c r="V59" i="7" s="1"/>
  <c r="U67" i="7"/>
  <c r="S67" i="7"/>
  <c r="R67" i="7"/>
  <c r="P67" i="7"/>
  <c r="P59" i="7" s="1"/>
  <c r="O67" i="7"/>
  <c r="M67" i="7"/>
  <c r="M59" i="7" s="1"/>
  <c r="L67" i="7" a="1"/>
  <c r="L67" i="7" s="1"/>
  <c r="J67" i="7"/>
  <c r="I67" i="7"/>
  <c r="I59" i="7" s="1"/>
  <c r="AE66" i="7"/>
  <c r="AC66" i="7"/>
  <c r="X66" i="7"/>
  <c r="V66" i="7"/>
  <c r="U66" i="7"/>
  <c r="S66" i="7"/>
  <c r="R66" i="7"/>
  <c r="P66" i="7"/>
  <c r="O66" i="7"/>
  <c r="M66" i="7"/>
  <c r="L66" i="7" a="1"/>
  <c r="L66" i="7" s="1"/>
  <c r="J66" i="7"/>
  <c r="I66" i="7"/>
  <c r="AE65" i="7"/>
  <c r="AC65" i="7"/>
  <c r="X65" i="7"/>
  <c r="V65" i="7"/>
  <c r="U65" i="7"/>
  <c r="S65" i="7"/>
  <c r="R65" i="7"/>
  <c r="P65" i="7"/>
  <c r="O65" i="7"/>
  <c r="M65" i="7"/>
  <c r="L65" i="7" a="1"/>
  <c r="L65" i="7" s="1"/>
  <c r="J65" i="7"/>
  <c r="I65" i="7"/>
  <c r="AE64" i="7"/>
  <c r="X64" i="7"/>
  <c r="U64" i="7"/>
  <c r="R64" i="7"/>
  <c r="O64" i="7"/>
  <c r="L64" i="7" a="1"/>
  <c r="L64" i="7" s="1"/>
  <c r="AE63" i="7"/>
  <c r="AC63" i="7"/>
  <c r="AC64" i="7" s="1"/>
  <c r="X63" i="7"/>
  <c r="V63" i="7"/>
  <c r="V64" i="7" s="1"/>
  <c r="U63" i="7"/>
  <c r="S63" i="7"/>
  <c r="S64" i="7" s="1"/>
  <c r="R63" i="7"/>
  <c r="P63" i="7"/>
  <c r="P64" i="7" s="1"/>
  <c r="O63" i="7"/>
  <c r="M63" i="7"/>
  <c r="M64" i="7" s="1"/>
  <c r="L63" i="7" a="1"/>
  <c r="L63" i="7" s="1"/>
  <c r="J63" i="7"/>
  <c r="I63" i="7"/>
  <c r="I64" i="7" s="1"/>
  <c r="AE62" i="7"/>
  <c r="AC62" i="7"/>
  <c r="X62" i="7"/>
  <c r="V62" i="7"/>
  <c r="U62" i="7"/>
  <c r="S62" i="7"/>
  <c r="R62" i="7"/>
  <c r="P62" i="7"/>
  <c r="O62" i="7"/>
  <c r="M62" i="7"/>
  <c r="L62" i="7" a="1"/>
  <c r="L62" i="7" s="1"/>
  <c r="J62" i="7"/>
  <c r="I62" i="7"/>
  <c r="AE61" i="7"/>
  <c r="AC61" i="7"/>
  <c r="X61" i="7"/>
  <c r="V61" i="7"/>
  <c r="U61" i="7"/>
  <c r="S61" i="7"/>
  <c r="R61" i="7"/>
  <c r="P61" i="7"/>
  <c r="O61" i="7"/>
  <c r="M61" i="7"/>
  <c r="L61" i="7" a="1"/>
  <c r="L61" i="7" s="1"/>
  <c r="J61" i="7"/>
  <c r="I61" i="7"/>
  <c r="AE60" i="7"/>
  <c r="AC60" i="7"/>
  <c r="X60" i="7"/>
  <c r="V60" i="7"/>
  <c r="U60" i="7"/>
  <c r="S60" i="7"/>
  <c r="R60" i="7"/>
  <c r="P60" i="7"/>
  <c r="O60" i="7"/>
  <c r="M60" i="7"/>
  <c r="L60" i="7" a="1"/>
  <c r="L60" i="7" s="1"/>
  <c r="J60" i="7"/>
  <c r="I60" i="7"/>
  <c r="W60" i="7" s="1"/>
  <c r="AE59" i="7"/>
  <c r="X59" i="7"/>
  <c r="U59" i="7"/>
  <c r="S59" i="7"/>
  <c r="R59" i="7"/>
  <c r="O59" i="7"/>
  <c r="L59" i="7" a="1"/>
  <c r="L59" i="7" s="1"/>
  <c r="J59" i="7"/>
  <c r="AE58" i="7"/>
  <c r="X58" i="7"/>
  <c r="U58" i="7"/>
  <c r="R58" i="7"/>
  <c r="O58" i="7"/>
  <c r="L58" i="7" a="1"/>
  <c r="L58" i="7" s="1"/>
  <c r="J58" i="7"/>
  <c r="W19" i="8"/>
  <c r="W18" i="8"/>
  <c r="W15" i="8"/>
  <c r="W14" i="8"/>
  <c r="W13" i="8"/>
  <c r="W11" i="8"/>
  <c r="W10" i="8"/>
  <c r="W7" i="8"/>
  <c r="W6" i="8"/>
  <c r="W5" i="8"/>
  <c r="W3" i="8"/>
  <c r="W2" i="8"/>
  <c r="J30" i="8"/>
  <c r="I30" i="8"/>
  <c r="J29" i="8"/>
  <c r="I29" i="8"/>
  <c r="J28" i="8"/>
  <c r="I28" i="8"/>
  <c r="J27" i="8"/>
  <c r="I27" i="8"/>
  <c r="J26" i="8"/>
  <c r="I26" i="8"/>
  <c r="J25" i="8"/>
  <c r="I25" i="8"/>
  <c r="J24" i="8"/>
  <c r="I24" i="8"/>
  <c r="T23" i="8"/>
  <c r="S23" i="8"/>
  <c r="J23" i="8"/>
  <c r="J22" i="8"/>
  <c r="I22" i="8"/>
  <c r="J21" i="8"/>
  <c r="I21" i="8"/>
  <c r="J72" i="7"/>
  <c r="J73" i="7"/>
  <c r="AK95" i="7" s="1"/>
  <c r="J74" i="7"/>
  <c r="AK91" i="7" s="1"/>
  <c r="J75" i="7"/>
  <c r="AC55" i="7"/>
  <c r="AC54" i="7"/>
  <c r="AC96" i="7" s="1"/>
  <c r="AC53" i="7"/>
  <c r="AC52" i="7"/>
  <c r="AC51" i="7"/>
  <c r="AC50" i="7"/>
  <c r="AC47" i="7"/>
  <c r="AC46" i="7"/>
  <c r="AC45" i="7"/>
  <c r="AC43" i="7"/>
  <c r="AC42" i="7"/>
  <c r="AC41" i="7"/>
  <c r="AC40" i="7"/>
  <c r="AC39" i="7"/>
  <c r="AC35" i="7"/>
  <c r="AC33" i="7"/>
  <c r="AC30" i="7"/>
  <c r="AC34" i="7"/>
  <c r="AK53" i="7"/>
  <c r="AJ53" i="7"/>
  <c r="AK50" i="7"/>
  <c r="AJ50" i="7"/>
  <c r="AK45" i="7"/>
  <c r="AJ45" i="7"/>
  <c r="AK37" i="7"/>
  <c r="AJ37" i="7"/>
  <c r="AK36" i="7"/>
  <c r="AJ36" i="7"/>
  <c r="AK32" i="7"/>
  <c r="AJ32" i="7"/>
  <c r="AK31" i="7"/>
  <c r="AJ31" i="7"/>
  <c r="AK30" i="7"/>
  <c r="AJ30" i="7"/>
  <c r="AK27" i="7"/>
  <c r="AJ27" i="7"/>
  <c r="AK25" i="7"/>
  <c r="AJ25" i="7"/>
  <c r="AK21" i="7"/>
  <c r="AJ21" i="7"/>
  <c r="AK17" i="7"/>
  <c r="AJ17" i="7"/>
  <c r="AK16" i="7"/>
  <c r="AJ16" i="7"/>
  <c r="AK15" i="7"/>
  <c r="AJ15" i="7"/>
  <c r="AK13" i="7"/>
  <c r="AJ13" i="7"/>
  <c r="AK11" i="7"/>
  <c r="AJ11" i="7"/>
  <c r="AK10" i="7"/>
  <c r="AJ10" i="7"/>
  <c r="AK9" i="7"/>
  <c r="AJ9" i="7"/>
  <c r="AK7" i="7"/>
  <c r="AJ7" i="7"/>
  <c r="AK6" i="7"/>
  <c r="AJ6" i="7"/>
  <c r="AK3" i="7"/>
  <c r="AJ3" i="7"/>
  <c r="AK2" i="7"/>
  <c r="AJ2" i="7"/>
  <c r="AH53" i="7"/>
  <c r="AG53" i="7"/>
  <c r="AH50" i="7"/>
  <c r="AG50" i="7"/>
  <c r="AH45" i="7"/>
  <c r="AG45" i="7"/>
  <c r="AG40" i="7"/>
  <c r="AH37" i="7"/>
  <c r="AG37" i="7"/>
  <c r="AH32" i="7"/>
  <c r="AG32" i="7"/>
  <c r="AH30" i="7"/>
  <c r="AG30" i="7"/>
  <c r="AH27" i="7"/>
  <c r="AG27" i="7"/>
  <c r="AH25" i="7"/>
  <c r="AG25" i="7"/>
  <c r="AH21" i="7"/>
  <c r="AG21" i="7"/>
  <c r="AH17" i="7"/>
  <c r="AG17" i="7"/>
  <c r="AH15" i="7"/>
  <c r="AG15" i="7"/>
  <c r="AH13" i="7"/>
  <c r="AG13" i="7"/>
  <c r="AH11" i="7"/>
  <c r="AG11" i="7"/>
  <c r="AH10" i="7"/>
  <c r="AG10" i="7"/>
  <c r="AH7" i="7"/>
  <c r="AG7" i="7"/>
  <c r="AH6" i="7"/>
  <c r="AG6" i="7"/>
  <c r="AH3" i="7"/>
  <c r="AG3" i="7"/>
  <c r="AH2" i="7"/>
  <c r="AG2" i="7"/>
  <c r="AN27" i="7"/>
  <c r="AN25" i="7"/>
  <c r="AN21" i="7"/>
  <c r="AN17" i="7"/>
  <c r="AN15" i="7"/>
  <c r="AN13" i="7"/>
  <c r="AN11" i="7"/>
  <c r="AN10" i="7"/>
  <c r="AN7" i="7"/>
  <c r="AN6" i="7"/>
  <c r="AN3" i="7"/>
  <c r="AN2" i="7"/>
  <c r="I55" i="7"/>
  <c r="I54" i="7"/>
  <c r="AG55" i="7" s="1"/>
  <c r="I53" i="7"/>
  <c r="I52" i="7"/>
  <c r="I51" i="7"/>
  <c r="I50" i="7"/>
  <c r="I47" i="7"/>
  <c r="I46" i="7"/>
  <c r="I45" i="7"/>
  <c r="I43" i="7"/>
  <c r="I42" i="7"/>
  <c r="AG44" i="7" s="1"/>
  <c r="I41" i="7"/>
  <c r="AG43" i="7" s="1"/>
  <c r="I40" i="7"/>
  <c r="I39" i="7"/>
  <c r="I35" i="7"/>
  <c r="AJ55" i="7" s="1"/>
  <c r="I34" i="7"/>
  <c r="I33" i="7"/>
  <c r="I30" i="7"/>
  <c r="U37" i="7"/>
  <c r="R37" i="7"/>
  <c r="O37" i="7"/>
  <c r="U36" i="7"/>
  <c r="R36" i="7"/>
  <c r="O36" i="7"/>
  <c r="U35" i="7"/>
  <c r="R35" i="7"/>
  <c r="O35" i="7"/>
  <c r="U34" i="7"/>
  <c r="R34" i="7"/>
  <c r="O34" i="7"/>
  <c r="U33" i="7"/>
  <c r="R33" i="7"/>
  <c r="O33" i="7"/>
  <c r="U32" i="7"/>
  <c r="R32" i="7"/>
  <c r="O32" i="7"/>
  <c r="U31" i="7"/>
  <c r="R31" i="7"/>
  <c r="O31" i="7"/>
  <c r="U30" i="7"/>
  <c r="R30" i="7"/>
  <c r="O30" i="7"/>
  <c r="U57" i="7"/>
  <c r="R57" i="7"/>
  <c r="O57" i="7"/>
  <c r="U56" i="7"/>
  <c r="R56" i="7"/>
  <c r="O56" i="7"/>
  <c r="U55" i="7"/>
  <c r="R55" i="7"/>
  <c r="O55" i="7"/>
  <c r="U54" i="7"/>
  <c r="R54" i="7"/>
  <c r="O54" i="7"/>
  <c r="U53" i="7"/>
  <c r="R53" i="7"/>
  <c r="O53" i="7"/>
  <c r="U52" i="7"/>
  <c r="R52" i="7"/>
  <c r="O52" i="7"/>
  <c r="U51" i="7"/>
  <c r="R51" i="7"/>
  <c r="O51" i="7"/>
  <c r="U50" i="7"/>
  <c r="R50" i="7"/>
  <c r="O50" i="7"/>
  <c r="U49" i="7"/>
  <c r="R49" i="7"/>
  <c r="O49" i="7"/>
  <c r="U48" i="7"/>
  <c r="R48" i="7"/>
  <c r="O48" i="7"/>
  <c r="U47" i="7"/>
  <c r="R47" i="7"/>
  <c r="O47" i="7"/>
  <c r="U46" i="7"/>
  <c r="R46" i="7"/>
  <c r="O46" i="7"/>
  <c r="U45" i="7"/>
  <c r="R45" i="7"/>
  <c r="O45" i="7"/>
  <c r="U44" i="7"/>
  <c r="R44" i="7"/>
  <c r="O44" i="7"/>
  <c r="U43" i="7"/>
  <c r="R43" i="7"/>
  <c r="O43" i="7"/>
  <c r="U42" i="7"/>
  <c r="R42" i="7"/>
  <c r="O42" i="7"/>
  <c r="U41" i="7"/>
  <c r="R41" i="7"/>
  <c r="O41" i="7"/>
  <c r="U40" i="7"/>
  <c r="R40" i="7"/>
  <c r="O40" i="7"/>
  <c r="U39" i="7"/>
  <c r="R39" i="7"/>
  <c r="O39" i="7"/>
  <c r="X57" i="7"/>
  <c r="X56" i="7"/>
  <c r="X55" i="7"/>
  <c r="X54" i="7"/>
  <c r="X53" i="7"/>
  <c r="X52" i="7"/>
  <c r="X51" i="7"/>
  <c r="X50" i="7"/>
  <c r="X49" i="7"/>
  <c r="X48" i="7"/>
  <c r="X47" i="7"/>
  <c r="X46" i="7"/>
  <c r="X45" i="7"/>
  <c r="X44" i="7"/>
  <c r="X43" i="7"/>
  <c r="X42" i="7"/>
  <c r="X41" i="7"/>
  <c r="X40" i="7"/>
  <c r="X38" i="7"/>
  <c r="U38" i="7"/>
  <c r="R38" i="7"/>
  <c r="O38" i="7"/>
  <c r="X37" i="7"/>
  <c r="X36" i="7"/>
  <c r="X35" i="7"/>
  <c r="X34" i="7"/>
  <c r="X33" i="7"/>
  <c r="X32" i="7"/>
  <c r="X31" i="7"/>
  <c r="X30" i="7"/>
  <c r="T19" i="8"/>
  <c r="T18" i="8"/>
  <c r="T15" i="8"/>
  <c r="T14" i="8"/>
  <c r="T13" i="8"/>
  <c r="T12" i="8"/>
  <c r="T11" i="8"/>
  <c r="T10" i="8"/>
  <c r="T7" i="8"/>
  <c r="T6" i="8"/>
  <c r="T5" i="8"/>
  <c r="T3" i="8"/>
  <c r="T2" i="8"/>
  <c r="S19" i="8"/>
  <c r="S18" i="8"/>
  <c r="S15" i="8"/>
  <c r="S14" i="8"/>
  <c r="S13" i="8"/>
  <c r="S12" i="8"/>
  <c r="S11" i="8"/>
  <c r="S10" i="8"/>
  <c r="S7" i="8"/>
  <c r="S6" i="8"/>
  <c r="S5" i="8"/>
  <c r="S3" i="8"/>
  <c r="S2" i="8"/>
  <c r="Q19" i="8"/>
  <c r="Q18" i="8"/>
  <c r="Q15" i="8"/>
  <c r="Q14" i="8"/>
  <c r="Q13" i="8"/>
  <c r="Q11" i="8"/>
  <c r="Q10" i="8"/>
  <c r="Q7" i="8"/>
  <c r="Q6" i="8"/>
  <c r="Q5" i="8"/>
  <c r="Q3" i="8"/>
  <c r="Q2" i="8"/>
  <c r="P19" i="8"/>
  <c r="P18" i="8"/>
  <c r="P15" i="8"/>
  <c r="P14" i="8"/>
  <c r="P13" i="8"/>
  <c r="P11" i="8"/>
  <c r="P10" i="8"/>
  <c r="P7" i="8"/>
  <c r="P6" i="8"/>
  <c r="P5" i="8"/>
  <c r="P3" i="8"/>
  <c r="P2" i="8"/>
  <c r="AP24" i="9"/>
  <c r="AP23" i="9"/>
  <c r="AP20" i="9"/>
  <c r="AP19" i="9"/>
  <c r="AP17" i="9"/>
  <c r="AP15" i="9"/>
  <c r="AP13" i="9"/>
  <c r="AP12" i="9"/>
  <c r="AP9" i="9"/>
  <c r="AP8" i="9"/>
  <c r="AP7" i="9"/>
  <c r="AP5" i="9"/>
  <c r="AP4" i="9"/>
  <c r="AP25" i="9"/>
  <c r="AL25" i="9"/>
  <c r="AL24" i="9"/>
  <c r="AL23" i="9"/>
  <c r="AL20" i="9"/>
  <c r="AL19" i="9"/>
  <c r="AL17" i="9"/>
  <c r="AL15" i="9"/>
  <c r="AL13" i="9"/>
  <c r="AL12" i="9"/>
  <c r="AL9" i="9"/>
  <c r="AL8" i="9"/>
  <c r="AL7" i="9"/>
  <c r="AL5" i="9"/>
  <c r="AL4" i="9"/>
  <c r="AG25" i="9"/>
  <c r="AJ24" i="9"/>
  <c r="AH24" i="9"/>
  <c r="AG24" i="9"/>
  <c r="AF24" i="9"/>
  <c r="AD24" i="9"/>
  <c r="AC24" i="9"/>
  <c r="AJ23" i="9"/>
  <c r="AH23" i="9"/>
  <c r="AG23" i="9"/>
  <c r="AF23" i="9"/>
  <c r="AD23" i="9"/>
  <c r="AC23" i="9"/>
  <c r="AJ22" i="9"/>
  <c r="AF22" i="9"/>
  <c r="AJ21" i="9"/>
  <c r="AF21" i="9"/>
  <c r="AJ20" i="9"/>
  <c r="AH20" i="9"/>
  <c r="AG20" i="9"/>
  <c r="AF20" i="9"/>
  <c r="AD20" i="9"/>
  <c r="AC20" i="9"/>
  <c r="AJ19" i="9"/>
  <c r="AH19" i="9"/>
  <c r="AG19" i="9"/>
  <c r="AF19" i="9"/>
  <c r="AD19" i="9"/>
  <c r="AC19" i="9"/>
  <c r="AJ18" i="9"/>
  <c r="AF18" i="9"/>
  <c r="AJ17" i="9"/>
  <c r="AH17" i="9"/>
  <c r="AG17" i="9"/>
  <c r="AF17" i="9"/>
  <c r="AD17" i="9"/>
  <c r="AC17" i="9"/>
  <c r="AJ16" i="9"/>
  <c r="AF16" i="9"/>
  <c r="AJ15" i="9"/>
  <c r="AH15" i="9"/>
  <c r="AG15" i="9"/>
  <c r="AF15" i="9"/>
  <c r="AD15" i="9"/>
  <c r="AC15" i="9"/>
  <c r="AJ14" i="9"/>
  <c r="AH14" i="9"/>
  <c r="AF14" i="9"/>
  <c r="AD14" i="9"/>
  <c r="AJ13" i="9"/>
  <c r="AH13" i="9"/>
  <c r="AG13" i="9"/>
  <c r="AF13" i="9"/>
  <c r="AD13" i="9"/>
  <c r="AC13" i="9"/>
  <c r="AJ12" i="9"/>
  <c r="AH12" i="9"/>
  <c r="AG12" i="9"/>
  <c r="AF12" i="9"/>
  <c r="AD12" i="9"/>
  <c r="AC12" i="9"/>
  <c r="AJ11" i="9"/>
  <c r="AH11" i="9"/>
  <c r="AF11" i="9"/>
  <c r="AD11" i="9"/>
  <c r="AJ10" i="9"/>
  <c r="AH10" i="9"/>
  <c r="AF10" i="9"/>
  <c r="AD10" i="9"/>
  <c r="AJ9" i="9"/>
  <c r="AH9" i="9"/>
  <c r="AG9" i="9"/>
  <c r="AF9" i="9"/>
  <c r="AD9" i="9"/>
  <c r="AC9" i="9"/>
  <c r="AJ8" i="9"/>
  <c r="AH8" i="9"/>
  <c r="AG8" i="9"/>
  <c r="AF8" i="9"/>
  <c r="AD8" i="9"/>
  <c r="AC8" i="9"/>
  <c r="AJ7" i="9"/>
  <c r="AH7" i="9"/>
  <c r="AG7" i="9"/>
  <c r="AF7" i="9"/>
  <c r="AD7" i="9"/>
  <c r="AC7" i="9"/>
  <c r="AJ6" i="9"/>
  <c r="AH6" i="9"/>
  <c r="AF6" i="9"/>
  <c r="AD6" i="9"/>
  <c r="AJ5" i="9"/>
  <c r="AH5" i="9"/>
  <c r="AG5" i="9"/>
  <c r="AF5" i="9"/>
  <c r="AD5" i="9"/>
  <c r="AC5" i="9"/>
  <c r="AJ4" i="9"/>
  <c r="AH4" i="9"/>
  <c r="AG4" i="9"/>
  <c r="AF4" i="9"/>
  <c r="AD4" i="9"/>
  <c r="AC4" i="9"/>
  <c r="AH25" i="9"/>
  <c r="AD25" i="9"/>
  <c r="AC25" i="9"/>
  <c r="U25" i="9"/>
  <c r="Y24" i="9"/>
  <c r="Y23" i="9"/>
  <c r="Y20" i="9"/>
  <c r="Y19" i="9"/>
  <c r="Y17" i="9"/>
  <c r="Y15" i="9"/>
  <c r="Y13" i="9"/>
  <c r="Y12" i="9"/>
  <c r="Y9" i="9"/>
  <c r="Y8" i="9"/>
  <c r="Y7" i="9"/>
  <c r="Y5" i="9"/>
  <c r="Y4" i="9"/>
  <c r="Y25" i="9"/>
  <c r="X25" i="9"/>
  <c r="X24" i="9"/>
  <c r="X23" i="9"/>
  <c r="X20" i="9"/>
  <c r="X19" i="9"/>
  <c r="X17" i="9"/>
  <c r="X15" i="9"/>
  <c r="X13" i="9"/>
  <c r="X12" i="9"/>
  <c r="X9" i="9"/>
  <c r="X8" i="9"/>
  <c r="X7" i="9"/>
  <c r="X5" i="9"/>
  <c r="X4" i="9"/>
  <c r="V24" i="9"/>
  <c r="U24" i="9"/>
  <c r="V23" i="9"/>
  <c r="U23" i="9"/>
  <c r="V20" i="9"/>
  <c r="U20" i="9"/>
  <c r="V19" i="9"/>
  <c r="U19" i="9"/>
  <c r="V17" i="9"/>
  <c r="U17" i="9"/>
  <c r="V15" i="9"/>
  <c r="U15" i="9"/>
  <c r="V14" i="9"/>
  <c r="V13" i="9"/>
  <c r="U13" i="9"/>
  <c r="V12" i="9"/>
  <c r="U12" i="9"/>
  <c r="V11" i="9"/>
  <c r="V10" i="9"/>
  <c r="V9" i="9"/>
  <c r="U9" i="9"/>
  <c r="V8" i="9"/>
  <c r="U8" i="9"/>
  <c r="V7" i="9"/>
  <c r="U7" i="9"/>
  <c r="V6" i="9"/>
  <c r="V5" i="9"/>
  <c r="U5" i="9"/>
  <c r="V4" i="9"/>
  <c r="U4" i="9"/>
  <c r="V25" i="9"/>
  <c r="AJ25" i="9"/>
  <c r="O25" i="9"/>
  <c r="AF25" i="9"/>
  <c r="K25" i="9"/>
  <c r="AK5" i="10"/>
  <c r="AK4" i="10"/>
  <c r="AE5" i="10"/>
  <c r="AE4" i="10"/>
  <c r="N4" i="10"/>
  <c r="L4" i="10"/>
  <c r="AC4" i="10" s="1"/>
  <c r="AB5" i="10"/>
  <c r="AB4" i="10"/>
  <c r="AA5" i="10"/>
  <c r="AA4" i="10"/>
  <c r="V42" i="7"/>
  <c r="S42" i="7"/>
  <c r="P42" i="7"/>
  <c r="M42" i="7"/>
  <c r="V54" i="7"/>
  <c r="S54" i="7"/>
  <c r="P54" i="7"/>
  <c r="M54" i="7"/>
  <c r="V45" i="7"/>
  <c r="S45" i="7"/>
  <c r="P45" i="7"/>
  <c r="M45" i="7"/>
  <c r="V35" i="7"/>
  <c r="S35" i="7"/>
  <c r="P35" i="7"/>
  <c r="M35" i="7"/>
  <c r="V34" i="7"/>
  <c r="S34" i="7"/>
  <c r="P34" i="7"/>
  <c r="M34" i="7"/>
  <c r="V33" i="7"/>
  <c r="S33" i="7"/>
  <c r="P33" i="7"/>
  <c r="M33" i="7"/>
  <c r="V30" i="7"/>
  <c r="S30" i="7"/>
  <c r="P30" i="7"/>
  <c r="M30" i="7"/>
  <c r="V47" i="7"/>
  <c r="S47" i="7"/>
  <c r="P47" i="7"/>
  <c r="M47" i="7"/>
  <c r="V53" i="7"/>
  <c r="S53" i="7"/>
  <c r="P53" i="7"/>
  <c r="M53" i="7"/>
  <c r="V46" i="7"/>
  <c r="S46" i="7"/>
  <c r="P46" i="7"/>
  <c r="M46" i="7"/>
  <c r="V41" i="7"/>
  <c r="S41" i="7"/>
  <c r="P41" i="7"/>
  <c r="M41" i="7"/>
  <c r="V40" i="7"/>
  <c r="S40" i="7"/>
  <c r="P40" i="7"/>
  <c r="M40" i="7"/>
  <c r="V39" i="7"/>
  <c r="S39" i="7"/>
  <c r="P39" i="7"/>
  <c r="M39" i="7"/>
  <c r="V55" i="7"/>
  <c r="S55" i="7"/>
  <c r="P55" i="7"/>
  <c r="M55" i="7"/>
  <c r="V51" i="7"/>
  <c r="S51" i="7"/>
  <c r="P51" i="7"/>
  <c r="M51" i="7"/>
  <c r="V52" i="7"/>
  <c r="S52" i="7"/>
  <c r="P52" i="7"/>
  <c r="M52" i="7"/>
  <c r="V50" i="7"/>
  <c r="S50" i="7"/>
  <c r="P50" i="7"/>
  <c r="M50" i="7"/>
  <c r="V43" i="7"/>
  <c r="S43" i="7"/>
  <c r="P43" i="7"/>
  <c r="M43" i="7"/>
  <c r="W5" i="10"/>
  <c r="W4" i="10"/>
  <c r="U5" i="10"/>
  <c r="Y5" i="10" s="1"/>
  <c r="U4" i="10"/>
  <c r="Y4" i="10" s="1"/>
  <c r="AG5" i="10"/>
  <c r="AG4" i="10"/>
  <c r="L22" i="9"/>
  <c r="L12" i="9"/>
  <c r="N12" i="9" s="1"/>
  <c r="R12" i="9" s="1"/>
  <c r="L11" i="9"/>
  <c r="N11" i="9" s="1"/>
  <c r="R11" i="9" s="1"/>
  <c r="L5" i="9"/>
  <c r="N5" i="9" s="1"/>
  <c r="R5" i="9" s="1"/>
  <c r="H5" i="9"/>
  <c r="J5" i="9" s="1"/>
  <c r="Q5" i="9" s="1"/>
  <c r="H11" i="9"/>
  <c r="J11" i="9" s="1"/>
  <c r="Q11" i="9" s="1"/>
  <c r="H12" i="9"/>
  <c r="J12" i="9" s="1"/>
  <c r="Q12" i="9" s="1"/>
  <c r="AL14" i="9" s="1"/>
  <c r="H22" i="9"/>
  <c r="L13" i="9"/>
  <c r="N13" i="9" s="1"/>
  <c r="R13" i="9" s="1"/>
  <c r="H13" i="9"/>
  <c r="J13" i="9" s="1"/>
  <c r="Q13" i="9" s="1"/>
  <c r="L10" i="9"/>
  <c r="N10" i="9" s="1"/>
  <c r="R10" i="9" s="1"/>
  <c r="H10" i="9"/>
  <c r="J10" i="9" s="1"/>
  <c r="Q10" i="9" s="1"/>
  <c r="L8" i="9"/>
  <c r="N8" i="9" s="1"/>
  <c r="R8" i="9" s="1"/>
  <c r="H8" i="9"/>
  <c r="J8" i="9" s="1"/>
  <c r="Q8" i="9" s="1"/>
  <c r="L14" i="9"/>
  <c r="N14" i="9" s="1"/>
  <c r="R14" i="9" s="1"/>
  <c r="H14" i="9"/>
  <c r="J14" i="9" s="1"/>
  <c r="Q14" i="9" s="1"/>
  <c r="L9" i="9"/>
  <c r="N9" i="9" s="1"/>
  <c r="R9" i="9" s="1"/>
  <c r="H9" i="9"/>
  <c r="J9" i="9" s="1"/>
  <c r="Q9" i="9" s="1"/>
  <c r="AL11" i="9" s="1"/>
  <c r="L4" i="9"/>
  <c r="N4" i="9" s="1"/>
  <c r="H4" i="9"/>
  <c r="J4" i="9" s="1"/>
  <c r="Q4" i="9" s="1"/>
  <c r="L7" i="9"/>
  <c r="N7" i="9" s="1"/>
  <c r="R7" i="9" s="1"/>
  <c r="H7" i="9"/>
  <c r="J7" i="9" s="1"/>
  <c r="Q7" i="9" s="1"/>
  <c r="L6" i="9"/>
  <c r="N6" i="9" s="1"/>
  <c r="R6" i="9" s="1"/>
  <c r="H6" i="9"/>
  <c r="J6" i="9" s="1"/>
  <c r="Q6" i="9" s="1"/>
  <c r="L25" i="9"/>
  <c r="H25" i="9"/>
  <c r="L20" i="9"/>
  <c r="AG22" i="9" s="1"/>
  <c r="H20" i="9"/>
  <c r="L16" i="9"/>
  <c r="H16" i="9"/>
  <c r="L21" i="9"/>
  <c r="H21" i="9"/>
  <c r="L23" i="9"/>
  <c r="H23" i="9"/>
  <c r="L15" i="9"/>
  <c r="H15" i="9"/>
  <c r="L17" i="9"/>
  <c r="H17" i="9"/>
  <c r="L24" i="9"/>
  <c r="H24" i="9"/>
  <c r="L18" i="9"/>
  <c r="H18" i="9"/>
  <c r="L19" i="9"/>
  <c r="H19" i="9"/>
  <c r="AC21" i="9" s="1"/>
  <c r="J20" i="7"/>
  <c r="AH22" i="7" s="1"/>
  <c r="J4" i="8"/>
  <c r="J7" i="8"/>
  <c r="J21" i="7"/>
  <c r="J24" i="7"/>
  <c r="AK26" i="7" s="1"/>
  <c r="J27" i="7"/>
  <c r="I4" i="7"/>
  <c r="M5" i="7"/>
  <c r="O7" i="7"/>
  <c r="AE9" i="7"/>
  <c r="AE12" i="7"/>
  <c r="U18" i="7"/>
  <c r="U21" i="7"/>
  <c r="I25" i="7"/>
  <c r="AE27" i="7"/>
  <c r="J5" i="7"/>
  <c r="J8" i="7"/>
  <c r="J11" i="7"/>
  <c r="J14" i="7"/>
  <c r="AH16" i="7" s="1"/>
  <c r="J17" i="7"/>
  <c r="J2" i="8"/>
  <c r="J5" i="8"/>
  <c r="J8" i="8"/>
  <c r="R2" i="7"/>
  <c r="U3" i="7"/>
  <c r="R4" i="7"/>
  <c r="S5" i="7"/>
  <c r="O8" i="7"/>
  <c r="AE13" i="7"/>
  <c r="AE16" i="7"/>
  <c r="X19" i="7"/>
  <c r="I23" i="7"/>
  <c r="AC25" i="7"/>
  <c r="X28" i="7"/>
  <c r="X3" i="7"/>
  <c r="X4" i="7"/>
  <c r="I6" i="7"/>
  <c r="X14" i="7"/>
  <c r="X20" i="7"/>
  <c r="AE23" i="7"/>
  <c r="AE26" i="7"/>
  <c r="I16" i="9"/>
  <c r="K16" i="9"/>
  <c r="M16" i="9"/>
  <c r="O16" i="9"/>
  <c r="I17" i="9"/>
  <c r="K17" i="9"/>
  <c r="M17" i="9"/>
  <c r="O17" i="9"/>
  <c r="I18" i="9"/>
  <c r="K18" i="9"/>
  <c r="M18" i="9"/>
  <c r="O18" i="9"/>
  <c r="I19" i="9"/>
  <c r="K19" i="9"/>
  <c r="M19" i="9"/>
  <c r="O19" i="9"/>
  <c r="I20" i="9"/>
  <c r="K20" i="9"/>
  <c r="M20" i="9"/>
  <c r="O20" i="9"/>
  <c r="I21" i="9"/>
  <c r="K21" i="9"/>
  <c r="M21" i="9"/>
  <c r="O21" i="9"/>
  <c r="I22" i="9"/>
  <c r="K22" i="9"/>
  <c r="M22" i="9"/>
  <c r="O22" i="9"/>
  <c r="I23" i="9"/>
  <c r="K23" i="9"/>
  <c r="M23" i="9"/>
  <c r="O23" i="9"/>
  <c r="I24" i="9"/>
  <c r="K24" i="9"/>
  <c r="M24" i="9"/>
  <c r="O24" i="9"/>
  <c r="I25" i="9"/>
  <c r="M25" i="9"/>
  <c r="H5" i="10"/>
  <c r="J5" i="10"/>
  <c r="L5" i="10"/>
  <c r="AC5" i="10" s="1"/>
  <c r="N5" i="10"/>
  <c r="J30" i="7"/>
  <c r="L30" i="7" a="1"/>
  <c r="L30" i="7" s="1"/>
  <c r="AE30" i="7"/>
  <c r="J31" i="7"/>
  <c r="AH31" i="7" s="1"/>
  <c r="L31" i="7" a="1"/>
  <c r="L31" i="7" s="1"/>
  <c r="AE31" i="7"/>
  <c r="J32" i="7"/>
  <c r="AH34" i="7" s="1"/>
  <c r="L32" i="7" a="1"/>
  <c r="L32" i="7" s="1"/>
  <c r="AE32" i="7"/>
  <c r="J33" i="7"/>
  <c r="AK55" i="7" s="1"/>
  <c r="L33" i="7" a="1"/>
  <c r="L33" i="7" s="1"/>
  <c r="AE33" i="7"/>
  <c r="J34" i="7"/>
  <c r="L34" i="7" a="1"/>
  <c r="L34" i="7" s="1"/>
  <c r="AE34" i="7"/>
  <c r="J35" i="7"/>
  <c r="L35" i="7" a="1"/>
  <c r="L35" i="7" s="1"/>
  <c r="AE35" i="7"/>
  <c r="J36" i="7"/>
  <c r="AH38" i="7" s="1"/>
  <c r="L36" i="7" a="1"/>
  <c r="L36" i="7" s="1"/>
  <c r="AE36" i="7"/>
  <c r="J37" i="7"/>
  <c r="AH39" i="7" s="1"/>
  <c r="L37" i="7" a="1"/>
  <c r="L37" i="7" s="1"/>
  <c r="AE37" i="7"/>
  <c r="J38" i="7"/>
  <c r="L38" i="7" a="1"/>
  <c r="L38" i="7" s="1"/>
  <c r="AE38" i="7"/>
  <c r="J39" i="7"/>
  <c r="AH41" i="7" s="1"/>
  <c r="L39" i="7" a="1"/>
  <c r="L39" i="7" s="1"/>
  <c r="X39" i="7"/>
  <c r="AE39" i="7"/>
  <c r="J40" i="7"/>
  <c r="AH40" i="7" s="1"/>
  <c r="L40" i="7" a="1"/>
  <c r="L40" i="7" s="1"/>
  <c r="AE40" i="7"/>
  <c r="J41" i="7"/>
  <c r="AH43" i="7" s="1"/>
  <c r="L41" i="7" a="1"/>
  <c r="L41" i="7" s="1"/>
  <c r="AE41" i="7"/>
  <c r="J42" i="7"/>
  <c r="AK44" i="7" s="1"/>
  <c r="L42" i="7" a="1"/>
  <c r="L42" i="7" s="1"/>
  <c r="AE42" i="7"/>
  <c r="J43" i="7"/>
  <c r="L43" i="7" a="1"/>
  <c r="L43" i="7" s="1"/>
  <c r="AE43" i="7"/>
  <c r="J44" i="7"/>
  <c r="L44" i="7" a="1"/>
  <c r="L44" i="7" s="1"/>
  <c r="AE44" i="7"/>
  <c r="J45" i="7"/>
  <c r="L45" i="7" a="1"/>
  <c r="L45" i="7" s="1"/>
  <c r="AE45" i="7"/>
  <c r="J46" i="7"/>
  <c r="AH48" i="7" s="1"/>
  <c r="L46" i="7" a="1"/>
  <c r="L46" i="7" s="1"/>
  <c r="AE46" i="7"/>
  <c r="J47" i="7"/>
  <c r="L47" i="7" a="1"/>
  <c r="L47" i="7" s="1"/>
  <c r="AE47" i="7"/>
  <c r="J48" i="7"/>
  <c r="L48" i="7" a="1"/>
  <c r="L48" i="7" s="1"/>
  <c r="AE48" i="7"/>
  <c r="J49" i="7"/>
  <c r="L49" i="7" a="1"/>
  <c r="L49" i="7" s="1"/>
  <c r="AE49" i="7"/>
  <c r="J50" i="7"/>
  <c r="L50" i="7" a="1"/>
  <c r="L50" i="7" s="1"/>
  <c r="AE50" i="7"/>
  <c r="J51" i="7"/>
  <c r="L51" i="7" a="1"/>
  <c r="L51" i="7" s="1"/>
  <c r="AE51" i="7"/>
  <c r="J52" i="7"/>
  <c r="L52" i="7" a="1"/>
  <c r="L52" i="7" s="1"/>
  <c r="AE52" i="7"/>
  <c r="J53" i="7"/>
  <c r="AH55" i="7" s="1"/>
  <c r="L53" i="7" a="1"/>
  <c r="L53" i="7" s="1"/>
  <c r="AE53" i="7"/>
  <c r="J54" i="7"/>
  <c r="L54" i="7" a="1"/>
  <c r="L54" i="7" s="1"/>
  <c r="AE54" i="7"/>
  <c r="J55" i="7"/>
  <c r="AH57" i="7" s="1"/>
  <c r="L55" i="7" a="1"/>
  <c r="L55" i="7" s="1"/>
  <c r="AE55" i="7"/>
  <c r="J56" i="7"/>
  <c r="L56" i="7" a="1"/>
  <c r="L56" i="7" s="1"/>
  <c r="AE56" i="7"/>
  <c r="J57" i="7"/>
  <c r="L57" i="7" a="1"/>
  <c r="L57" i="7" s="1"/>
  <c r="AE57" i="7"/>
  <c r="I9" i="8"/>
  <c r="J12" i="8"/>
  <c r="J13" i="8"/>
  <c r="J14" i="8"/>
  <c r="I15" i="8"/>
  <c r="J15" i="8"/>
  <c r="I16" i="8"/>
  <c r="J16" i="8"/>
  <c r="I17" i="8"/>
  <c r="J17" i="8"/>
  <c r="I18" i="8"/>
  <c r="J18" i="8"/>
  <c r="I19" i="8"/>
  <c r="J19" i="8"/>
  <c r="I20" i="8"/>
  <c r="J20" i="8"/>
  <c r="M4" i="7"/>
  <c r="S4" i="7"/>
  <c r="AE4" i="7"/>
  <c r="O5" i="7"/>
  <c r="V5" i="7"/>
  <c r="U6" i="7"/>
  <c r="X7" i="7"/>
  <c r="R8" i="7"/>
  <c r="R9" i="7"/>
  <c r="U10" i="7"/>
  <c r="O11" i="7"/>
  <c r="R12" i="7"/>
  <c r="O13" i="7"/>
  <c r="I14" i="7"/>
  <c r="AG16" i="7" s="1"/>
  <c r="O16" i="7"/>
  <c r="O17" i="7"/>
  <c r="AE18" i="7"/>
  <c r="O22" i="7"/>
  <c r="R23" i="7"/>
  <c r="U24" i="7"/>
  <c r="O25" i="7"/>
  <c r="R26" i="7"/>
  <c r="O27" i="7"/>
  <c r="I28" i="7"/>
  <c r="O29" i="7"/>
  <c r="J3" i="7"/>
  <c r="J6" i="7"/>
  <c r="AK88" i="7" s="1"/>
  <c r="J9" i="7"/>
  <c r="J12" i="7"/>
  <c r="AK49" i="7" s="1"/>
  <c r="J15" i="7"/>
  <c r="J18" i="7"/>
  <c r="J10" i="8"/>
  <c r="J23" i="7"/>
  <c r="J26" i="7"/>
  <c r="J29" i="7"/>
  <c r="U2" i="7"/>
  <c r="O3" i="7"/>
  <c r="AE3" i="7"/>
  <c r="O4" i="7"/>
  <c r="V4" i="7"/>
  <c r="I5" i="7"/>
  <c r="R5" i="7"/>
  <c r="X5" i="7"/>
  <c r="AC6" i="7"/>
  <c r="AE7" i="7"/>
  <c r="U9" i="7"/>
  <c r="X10" i="7"/>
  <c r="X11" i="7"/>
  <c r="AC12" i="7"/>
  <c r="U13" i="7"/>
  <c r="R14" i="7"/>
  <c r="U15" i="7"/>
  <c r="X16" i="7"/>
  <c r="R17" i="7"/>
  <c r="R18" i="7"/>
  <c r="U19" i="7"/>
  <c r="O20" i="7"/>
  <c r="O21" i="7"/>
  <c r="X22" i="7"/>
  <c r="U23" i="7"/>
  <c r="X24" i="7"/>
  <c r="X25" i="7"/>
  <c r="AC26" i="7"/>
  <c r="AC31" i="7" s="1"/>
  <c r="AC38" i="7" s="1"/>
  <c r="U27" i="7"/>
  <c r="R28" i="7"/>
  <c r="X29" i="7"/>
  <c r="L29" i="7" a="1"/>
  <c r="L29" i="7" s="1"/>
  <c r="L28" i="7" a="1"/>
  <c r="L28" i="7" s="1"/>
  <c r="L27" i="7" a="1"/>
  <c r="L27" i="7" s="1"/>
  <c r="L26" i="7" a="1"/>
  <c r="L26" i="7" s="1"/>
  <c r="L25" i="7" a="1"/>
  <c r="L25" i="7" s="1"/>
  <c r="L24" i="7" a="1"/>
  <c r="L24" i="7" s="1"/>
  <c r="L23" i="7" a="1"/>
  <c r="L23" i="7" s="1"/>
  <c r="L22" i="7" a="1"/>
  <c r="L22" i="7" s="1"/>
  <c r="L21" i="7" a="1"/>
  <c r="L21" i="7" s="1"/>
  <c r="L20" i="7" a="1"/>
  <c r="L20" i="7" s="1"/>
  <c r="L18" i="7" a="1"/>
  <c r="L18" i="7" s="1"/>
  <c r="L17" i="7" a="1"/>
  <c r="L17" i="7" s="1"/>
  <c r="L16" i="7" a="1"/>
  <c r="L16" i="7" s="1"/>
  <c r="L15" i="7" a="1"/>
  <c r="L15" i="7" s="1"/>
  <c r="L14" i="7" a="1"/>
  <c r="L14" i="7" s="1"/>
  <c r="L13" i="7" a="1"/>
  <c r="L13" i="7" s="1"/>
  <c r="L12" i="7" a="1"/>
  <c r="L12" i="7" s="1"/>
  <c r="L11" i="7" a="1"/>
  <c r="L11" i="7" s="1"/>
  <c r="L10" i="7" a="1"/>
  <c r="L10" i="7" s="1"/>
  <c r="L9" i="7" a="1"/>
  <c r="L9" i="7" s="1"/>
  <c r="L8" i="7" a="1"/>
  <c r="L8" i="7" s="1"/>
  <c r="L7" i="7" a="1"/>
  <c r="L7" i="7" s="1"/>
  <c r="L6" i="7" a="1"/>
  <c r="L6" i="7" s="1"/>
  <c r="L5" i="7" a="1"/>
  <c r="L5" i="7" s="1"/>
  <c r="L4" i="7" a="1"/>
  <c r="L4" i="7" s="1"/>
  <c r="L3" i="7" a="1"/>
  <c r="L3" i="7" s="1"/>
  <c r="L2" i="7" a="1"/>
  <c r="L2" i="7" s="1"/>
  <c r="L19" i="7" a="1"/>
  <c r="L19" i="7" s="1"/>
  <c r="O15" i="9"/>
  <c r="K15" i="9"/>
  <c r="I15" i="9"/>
  <c r="M15" i="9"/>
  <c r="I2" i="8"/>
  <c r="J4" i="7"/>
  <c r="J7" i="7"/>
  <c r="AK111" i="7" s="1"/>
  <c r="J10" i="7"/>
  <c r="J13" i="7"/>
  <c r="J16" i="7"/>
  <c r="AH18" i="7" s="1"/>
  <c r="J19" i="7"/>
  <c r="J3" i="8"/>
  <c r="J6" i="8"/>
  <c r="J9" i="8"/>
  <c r="J22" i="7"/>
  <c r="J25" i="7"/>
  <c r="J28" i="7"/>
  <c r="O2" i="7"/>
  <c r="X2" i="7"/>
  <c r="I3" i="7"/>
  <c r="R3" i="7"/>
  <c r="AC3" i="7"/>
  <c r="P4" i="7"/>
  <c r="U4" i="7"/>
  <c r="AC4" i="7"/>
  <c r="P5" i="7"/>
  <c r="U5" i="7"/>
  <c r="AC5" i="7"/>
  <c r="R6" i="7"/>
  <c r="AE6" i="7"/>
  <c r="U7" i="7"/>
  <c r="X8" i="7"/>
  <c r="O10" i="7"/>
  <c r="AE10" i="7"/>
  <c r="R11" i="7"/>
  <c r="I12" i="7"/>
  <c r="U12" i="7"/>
  <c r="X13" i="7"/>
  <c r="O14" i="7"/>
  <c r="R15" i="7"/>
  <c r="AE15" i="7"/>
  <c r="U16" i="7"/>
  <c r="X17" i="7"/>
  <c r="O19" i="7"/>
  <c r="AE19" i="7"/>
  <c r="R20" i="7"/>
  <c r="X21" i="7"/>
  <c r="U22" i="7"/>
  <c r="AC23" i="7"/>
  <c r="O24" i="7"/>
  <c r="AE24" i="7"/>
  <c r="R25" i="7"/>
  <c r="I26" i="7"/>
  <c r="U26" i="7"/>
  <c r="X27" i="7"/>
  <c r="O28" i="7"/>
  <c r="AC28" i="7"/>
  <c r="U29" i="7"/>
  <c r="I6" i="8"/>
  <c r="J11" i="8"/>
  <c r="AC83" i="7"/>
  <c r="AC7" i="7" s="1"/>
  <c r="AE29" i="7"/>
  <c r="R29" i="7"/>
  <c r="AE28" i="7"/>
  <c r="U28" i="7"/>
  <c r="AC27" i="7"/>
  <c r="AC32" i="7" s="1"/>
  <c r="R27" i="7"/>
  <c r="I27" i="7"/>
  <c r="X26" i="7"/>
  <c r="O26" i="7"/>
  <c r="AE25" i="7"/>
  <c r="U25" i="7"/>
  <c r="AC24" i="7"/>
  <c r="R24" i="7"/>
  <c r="I24" i="7"/>
  <c r="X23" i="7"/>
  <c r="O23" i="7"/>
  <c r="AE22" i="7"/>
  <c r="R22" i="7"/>
  <c r="AE21" i="7"/>
  <c r="R21" i="7"/>
  <c r="AE20" i="7"/>
  <c r="U20" i="7"/>
  <c r="R19" i="7"/>
  <c r="X18" i="7"/>
  <c r="O18" i="7"/>
  <c r="AE17" i="7"/>
  <c r="U17" i="7"/>
  <c r="R16" i="7"/>
  <c r="X15" i="7"/>
  <c r="O15" i="7"/>
  <c r="AE14" i="7"/>
  <c r="U14" i="7"/>
  <c r="AC13" i="7"/>
  <c r="R13" i="7"/>
  <c r="I13" i="7"/>
  <c r="X12" i="7"/>
  <c r="O12" i="7"/>
  <c r="AE11" i="7"/>
  <c r="U11" i="7"/>
  <c r="R10" i="7"/>
  <c r="X9" i="7"/>
  <c r="O9" i="7"/>
  <c r="AE8" i="7"/>
  <c r="U8" i="7"/>
  <c r="R7" i="7"/>
  <c r="X6" i="7"/>
  <c r="O6" i="7"/>
  <c r="AE5" i="7"/>
  <c r="I7" i="8"/>
  <c r="I3" i="8"/>
  <c r="I5" i="8"/>
  <c r="I8" i="8"/>
  <c r="A1" i="8"/>
  <c r="I33" i="8" s="1"/>
  <c r="J4" i="10"/>
  <c r="H4" i="10"/>
  <c r="V27" i="7"/>
  <c r="V32" i="7" s="1"/>
  <c r="S27" i="7"/>
  <c r="S32" i="7" s="1"/>
  <c r="S37" i="7" s="1"/>
  <c r="P27" i="7"/>
  <c r="P32" i="7" s="1"/>
  <c r="M27" i="7"/>
  <c r="M32" i="7" s="1"/>
  <c r="V25" i="7"/>
  <c r="S25" i="7"/>
  <c r="P25" i="7"/>
  <c r="M25" i="7"/>
  <c r="V28" i="7"/>
  <c r="S28" i="7"/>
  <c r="P28" i="7"/>
  <c r="M28" i="7"/>
  <c r="V24" i="7"/>
  <c r="S24" i="7"/>
  <c r="P24" i="7"/>
  <c r="M24" i="7"/>
  <c r="V6" i="7"/>
  <c r="S6" i="7"/>
  <c r="P6" i="7"/>
  <c r="M6" i="7"/>
  <c r="V26" i="7"/>
  <c r="V31" i="7" s="1"/>
  <c r="S26" i="7"/>
  <c r="P26" i="7"/>
  <c r="P31" i="7" s="1"/>
  <c r="P38" i="7" s="1"/>
  <c r="M26" i="7"/>
  <c r="M31" i="7" s="1"/>
  <c r="V23" i="7"/>
  <c r="S23" i="7"/>
  <c r="P23" i="7"/>
  <c r="M23" i="7"/>
  <c r="V3" i="7"/>
  <c r="S3" i="7"/>
  <c r="P3" i="7"/>
  <c r="M3" i="7"/>
  <c r="V12" i="7"/>
  <c r="S12" i="7"/>
  <c r="P12" i="7"/>
  <c r="M12" i="7"/>
  <c r="V2" i="7"/>
  <c r="S2" i="7"/>
  <c r="P2" i="7"/>
  <c r="M2" i="7"/>
  <c r="V13" i="7"/>
  <c r="S13" i="7"/>
  <c r="P13" i="7"/>
  <c r="M13" i="7"/>
  <c r="N50" i="9" l="1"/>
  <c r="R50" i="9" s="1"/>
  <c r="J53" i="9"/>
  <c r="Q53" i="9" s="1"/>
  <c r="N56" i="9"/>
  <c r="R56" i="9" s="1"/>
  <c r="N46" i="9"/>
  <c r="R46" i="9" s="1"/>
  <c r="I8" i="10"/>
  <c r="Q8" i="10" s="1"/>
  <c r="T100" i="7"/>
  <c r="Q112" i="7"/>
  <c r="J48" i="9"/>
  <c r="Q48" i="9" s="1"/>
  <c r="J49" i="9"/>
  <c r="Q49" i="9" s="1"/>
  <c r="AD8" i="10"/>
  <c r="Z8" i="10"/>
  <c r="N53" i="9"/>
  <c r="R53" i="9" s="1"/>
  <c r="N47" i="9"/>
  <c r="R47" i="9" s="1"/>
  <c r="J52" i="9"/>
  <c r="Q52" i="9" s="1"/>
  <c r="AD118" i="7"/>
  <c r="AF119" i="7"/>
  <c r="T86" i="7"/>
  <c r="Q100" i="7"/>
  <c r="N112" i="7"/>
  <c r="W112" i="7"/>
  <c r="N48" i="9"/>
  <c r="R48" i="9" s="1"/>
  <c r="N49" i="9"/>
  <c r="R49" i="9" s="1"/>
  <c r="V8" i="10"/>
  <c r="Z55" i="9"/>
  <c r="Z56" i="9"/>
  <c r="S117" i="7" a="1"/>
  <c r="S117" i="7" s="1"/>
  <c r="T117" i="7" s="1"/>
  <c r="K41" i="8"/>
  <c r="M41" i="8" s="1"/>
  <c r="J47" i="9"/>
  <c r="Q47" i="9" s="1"/>
  <c r="Z51" i="9"/>
  <c r="Z52" i="9"/>
  <c r="Z53" i="9"/>
  <c r="J54" i="9"/>
  <c r="Q54" i="9" s="1"/>
  <c r="AD131" i="7"/>
  <c r="J50" i="9"/>
  <c r="Q50" i="9" s="1"/>
  <c r="J56" i="9"/>
  <c r="Q56" i="9" s="1"/>
  <c r="AD128" i="7"/>
  <c r="M117" i="7" a="1"/>
  <c r="M117" i="7" s="1"/>
  <c r="V117" i="7" a="1"/>
  <c r="V117" i="7" s="1"/>
  <c r="J46" i="9"/>
  <c r="Q46" i="9" s="1"/>
  <c r="P117" i="7" a="1"/>
  <c r="P117" i="7" s="1"/>
  <c r="Q117" i="7" s="1"/>
  <c r="K117" i="7"/>
  <c r="AD117" i="7" s="1"/>
  <c r="N115" i="7"/>
  <c r="Q115" i="7"/>
  <c r="T115" i="7"/>
  <c r="W115" i="7"/>
  <c r="N116" i="7"/>
  <c r="Q116" i="7"/>
  <c r="T116" i="7"/>
  <c r="W116" i="7"/>
  <c r="V120" i="7" a="1"/>
  <c r="V120" i="7" s="1"/>
  <c r="S120" i="7" a="1"/>
  <c r="S120" i="7" s="1"/>
  <c r="P120" i="7" a="1"/>
  <c r="P120" i="7" s="1"/>
  <c r="M120" i="7" a="1"/>
  <c r="M120" i="7" s="1"/>
  <c r="N118" i="7"/>
  <c r="Q118" i="7"/>
  <c r="T118" i="7"/>
  <c r="W118" i="7"/>
  <c r="N119" i="7"/>
  <c r="Q119" i="7"/>
  <c r="T119" i="7"/>
  <c r="W119" i="7"/>
  <c r="V134" i="7" a="1"/>
  <c r="V134" i="7" s="1"/>
  <c r="S134" i="7" a="1"/>
  <c r="S134" i="7" s="1"/>
  <c r="P134" i="7" a="1"/>
  <c r="P134" i="7" s="1"/>
  <c r="M134" i="7" a="1"/>
  <c r="M134" i="7" s="1"/>
  <c r="N121" i="7"/>
  <c r="Q121" i="7"/>
  <c r="T121" i="7"/>
  <c r="W121" i="7"/>
  <c r="N122" i="7"/>
  <c r="Q122" i="7"/>
  <c r="T122" i="7"/>
  <c r="W122" i="7"/>
  <c r="N123" i="7"/>
  <c r="Q123" i="7"/>
  <c r="T123" i="7"/>
  <c r="W123" i="7"/>
  <c r="N124" i="7"/>
  <c r="Q124" i="7"/>
  <c r="T124" i="7"/>
  <c r="W124" i="7"/>
  <c r="N125" i="7"/>
  <c r="Q125" i="7"/>
  <c r="T125" i="7"/>
  <c r="W125" i="7"/>
  <c r="N126" i="7"/>
  <c r="Q126" i="7"/>
  <c r="T126" i="7"/>
  <c r="W126" i="7"/>
  <c r="V127" i="7" a="1"/>
  <c r="V127" i="7" s="1"/>
  <c r="S127" i="7" a="1"/>
  <c r="S127" i="7" s="1"/>
  <c r="P127" i="7" a="1"/>
  <c r="P127" i="7" s="1"/>
  <c r="M127" i="7" a="1"/>
  <c r="M127" i="7" s="1"/>
  <c r="N128" i="7"/>
  <c r="Q128" i="7"/>
  <c r="T128" i="7"/>
  <c r="W128" i="7"/>
  <c r="N129" i="7"/>
  <c r="Q129" i="7"/>
  <c r="AP129" i="7" s="1"/>
  <c r="T129" i="7"/>
  <c r="W129" i="7"/>
  <c r="N130" i="7"/>
  <c r="Q130" i="7"/>
  <c r="T130" i="7"/>
  <c r="W130" i="7"/>
  <c r="N131" i="7"/>
  <c r="Q131" i="7"/>
  <c r="T131" i="7"/>
  <c r="W131" i="7"/>
  <c r="N132" i="7"/>
  <c r="Q132" i="7"/>
  <c r="T132" i="7"/>
  <c r="W132" i="7"/>
  <c r="N133" i="7"/>
  <c r="AP133" i="7" s="1"/>
  <c r="Q133" i="7"/>
  <c r="T133" i="7"/>
  <c r="W133" i="7"/>
  <c r="Z115" i="7"/>
  <c r="AD115" i="7"/>
  <c r="AO118" i="7"/>
  <c r="AD129" i="7"/>
  <c r="Y129" i="7"/>
  <c r="Z128" i="7"/>
  <c r="AD125" i="7"/>
  <c r="Y125" i="7"/>
  <c r="Y132" i="7"/>
  <c r="I127" i="7" a="1"/>
  <c r="I127" i="7" s="1"/>
  <c r="K127" i="7" s="1"/>
  <c r="Y130" i="7"/>
  <c r="AF124" i="7"/>
  <c r="AD119" i="7"/>
  <c r="Z54" i="9"/>
  <c r="J55" i="9"/>
  <c r="N55" i="9"/>
  <c r="R55" i="9" s="1"/>
  <c r="I120" i="7" a="1"/>
  <c r="I120" i="7" s="1"/>
  <c r="I134" i="7" a="1"/>
  <c r="I134" i="7" s="1"/>
  <c r="Y122" i="7"/>
  <c r="Z122" i="7"/>
  <c r="Z46" i="9"/>
  <c r="Z47" i="9"/>
  <c r="Z48" i="9"/>
  <c r="Z49" i="9"/>
  <c r="Z50" i="9"/>
  <c r="J51" i="9"/>
  <c r="Q51" i="9" s="1"/>
  <c r="N40" i="9"/>
  <c r="R40" i="9" s="1"/>
  <c r="J42" i="9"/>
  <c r="Q42" i="9" s="1"/>
  <c r="AF132" i="7"/>
  <c r="Z126" i="7"/>
  <c r="AA126" i="7" s="1"/>
  <c r="Z123" i="7"/>
  <c r="AF123" i="7"/>
  <c r="Y115" i="7"/>
  <c r="AA115" i="7" s="1"/>
  <c r="Y126" i="7"/>
  <c r="AF115" i="7"/>
  <c r="K134" i="7"/>
  <c r="AF134" i="7" s="1"/>
  <c r="AD116" i="7"/>
  <c r="AD123" i="7"/>
  <c r="AD126" i="7"/>
  <c r="Z131" i="7"/>
  <c r="Z130" i="7"/>
  <c r="Z125" i="7"/>
  <c r="AF122" i="7"/>
  <c r="Y119" i="7"/>
  <c r="AA119" i="7" s="1"/>
  <c r="AB119" i="7" s="1"/>
  <c r="Y116" i="7"/>
  <c r="K133" i="7"/>
  <c r="P49" i="9"/>
  <c r="AC127" i="7"/>
  <c r="N51" i="9"/>
  <c r="W104" i="7"/>
  <c r="Q95" i="7"/>
  <c r="AF131" i="7"/>
  <c r="Z124" i="7"/>
  <c r="AD122" i="7"/>
  <c r="K121" i="7"/>
  <c r="AD121" i="7" s="1"/>
  <c r="Z116" i="7"/>
  <c r="S49" i="9"/>
  <c r="P52" i="9"/>
  <c r="W46" i="9"/>
  <c r="AE46" i="9"/>
  <c r="AI46" i="9"/>
  <c r="AM46" i="9" s="1" a="1"/>
  <c r="AM46" i="9" s="1"/>
  <c r="AN46" i="9" s="1"/>
  <c r="W55" i="9"/>
  <c r="AE55" i="9"/>
  <c r="AI55" i="9"/>
  <c r="AM55" i="9" s="1" a="1"/>
  <c r="AM55" i="9" s="1"/>
  <c r="AN55" i="9" s="1"/>
  <c r="W56" i="9"/>
  <c r="AE56" i="9"/>
  <c r="AI56" i="9"/>
  <c r="AM56" i="9" s="1" a="1"/>
  <c r="AM56" i="9" s="1"/>
  <c r="AN56" i="9" s="1"/>
  <c r="Z129" i="7"/>
  <c r="AF128" i="7"/>
  <c r="S47" i="9"/>
  <c r="K120" i="7"/>
  <c r="Y120" i="7" s="1"/>
  <c r="AC134" i="7"/>
  <c r="N54" i="9"/>
  <c r="W54" i="9"/>
  <c r="AE54" i="9"/>
  <c r="AI54" i="9"/>
  <c r="AM54" i="9" s="1" a="1"/>
  <c r="AM54" i="9" s="1"/>
  <c r="AN54" i="9" s="1"/>
  <c r="AD132" i="7"/>
  <c r="AD130" i="7"/>
  <c r="AD124" i="7"/>
  <c r="N41" i="8"/>
  <c r="O41" i="8" s="1"/>
  <c r="S52" i="9"/>
  <c r="AC120" i="7"/>
  <c r="W51" i="9"/>
  <c r="AE51" i="9"/>
  <c r="AI51" i="9"/>
  <c r="AM51" i="9" s="1" a="1"/>
  <c r="AM51" i="9" s="1"/>
  <c r="AN51" i="9" s="1"/>
  <c r="W52" i="9"/>
  <c r="AE52" i="9"/>
  <c r="AI52" i="9"/>
  <c r="AM52" i="9" s="1" a="1"/>
  <c r="AM52" i="9" s="1"/>
  <c r="AN52" i="9" s="1"/>
  <c r="W53" i="9"/>
  <c r="AE53" i="9"/>
  <c r="AI53" i="9"/>
  <c r="AM53" i="9" s="1" a="1"/>
  <c r="AM53" i="9" s="1"/>
  <c r="AN53" i="9" s="1"/>
  <c r="W47" i="9"/>
  <c r="AE47" i="9"/>
  <c r="AI47" i="9"/>
  <c r="AM47" i="9" s="1" a="1"/>
  <c r="AM47" i="9" s="1"/>
  <c r="AN47" i="9" s="1"/>
  <c r="W48" i="9"/>
  <c r="AE48" i="9"/>
  <c r="AI48" i="9"/>
  <c r="AM48" i="9" s="1" a="1"/>
  <c r="AM48" i="9" s="1"/>
  <c r="AN48" i="9" s="1"/>
  <c r="W49" i="9"/>
  <c r="AE49" i="9"/>
  <c r="AI49" i="9"/>
  <c r="AM49" i="9" s="1" a="1"/>
  <c r="AM49" i="9" s="1"/>
  <c r="AN49" i="9" s="1"/>
  <c r="W50" i="9"/>
  <c r="AE50" i="9"/>
  <c r="AI50" i="9"/>
  <c r="AM50" i="9" s="1" a="1"/>
  <c r="AM50" i="9" s="1"/>
  <c r="AN50" i="9" s="1"/>
  <c r="P48" i="9"/>
  <c r="S48" i="9"/>
  <c r="AO115" i="7"/>
  <c r="N87" i="7"/>
  <c r="W87" i="7"/>
  <c r="V92" i="7" a="1"/>
  <c r="V92" i="7" s="1"/>
  <c r="W92" i="7" s="1"/>
  <c r="N95" i="7"/>
  <c r="V106" i="7" a="1"/>
  <c r="V106" i="7" s="1"/>
  <c r="S53" i="9"/>
  <c r="M92" i="7" a="1"/>
  <c r="M92" i="7" s="1"/>
  <c r="N91" i="7"/>
  <c r="W91" i="7"/>
  <c r="Q88" i="7"/>
  <c r="S106" i="7" a="1"/>
  <c r="S106" i="7" s="1"/>
  <c r="AO106" i="7" s="1"/>
  <c r="T104" i="7"/>
  <c r="Q91" i="7"/>
  <c r="T88" i="7"/>
  <c r="AP115" i="7"/>
  <c r="AO119" i="7"/>
  <c r="K8" i="10"/>
  <c r="M8" i="10" s="1"/>
  <c r="O8" i="10" s="1"/>
  <c r="P50" i="9"/>
  <c r="P56" i="9"/>
  <c r="P53" i="9"/>
  <c r="T53" i="9" s="1"/>
  <c r="P47" i="9"/>
  <c r="P46" i="9"/>
  <c r="P8" i="10"/>
  <c r="R8" i="10" s="1"/>
  <c r="S56" i="9"/>
  <c r="S50" i="9"/>
  <c r="S46" i="9"/>
  <c r="T46" i="9" s="1"/>
  <c r="AH8" i="10" a="1"/>
  <c r="AH8" i="10" s="1"/>
  <c r="AI8" i="10" s="1"/>
  <c r="AF8" i="10"/>
  <c r="T56" i="9"/>
  <c r="T47" i="9"/>
  <c r="K17" i="14"/>
  <c r="AO132" i="7"/>
  <c r="W95" i="7"/>
  <c r="N108" i="7"/>
  <c r="AP108" i="7" s="1"/>
  <c r="AO128" i="7"/>
  <c r="AO122" i="7"/>
  <c r="N86" i="7"/>
  <c r="W86" i="7"/>
  <c r="T109" i="7"/>
  <c r="AP109" i="7" s="1"/>
  <c r="Q107" i="7"/>
  <c r="AP107" i="7" s="1"/>
  <c r="AD35" i="9"/>
  <c r="K33" i="8"/>
  <c r="M33" i="8" s="1"/>
  <c r="N33" i="8" s="1"/>
  <c r="O33" i="8" s="1"/>
  <c r="AD31" i="9"/>
  <c r="N104" i="7"/>
  <c r="K16" i="14"/>
  <c r="R42" i="8"/>
  <c r="V42" i="8" s="1"/>
  <c r="R45" i="8"/>
  <c r="V45" i="8" s="1"/>
  <c r="R48" i="8"/>
  <c r="V48" i="8" s="1"/>
  <c r="K14" i="14"/>
  <c r="Q105" i="7"/>
  <c r="AP105" i="7" s="1"/>
  <c r="K13" i="14"/>
  <c r="L13" i="14" s="1"/>
  <c r="U44" i="8"/>
  <c r="K45" i="8"/>
  <c r="M45" i="8" s="1"/>
  <c r="N45" i="8" s="1"/>
  <c r="O45" i="8" s="1"/>
  <c r="U47" i="8"/>
  <c r="K48" i="8"/>
  <c r="M48" i="8" s="1"/>
  <c r="N48" i="8" s="1"/>
  <c r="O48" i="8" s="1"/>
  <c r="U41" i="8"/>
  <c r="R44" i="8"/>
  <c r="V44" i="8" s="1"/>
  <c r="R47" i="8"/>
  <c r="V47" i="8" s="1"/>
  <c r="I42" i="8"/>
  <c r="K42" i="8" s="1"/>
  <c r="M42" i="8" s="1"/>
  <c r="N42" i="8" s="1"/>
  <c r="O42" i="8" s="1"/>
  <c r="AD34" i="9"/>
  <c r="K11" i="14"/>
  <c r="I10" i="14"/>
  <c r="K10" i="14" s="1"/>
  <c r="U43" i="8"/>
  <c r="K44" i="8"/>
  <c r="M44" i="8" s="1"/>
  <c r="N44" i="8" s="1"/>
  <c r="O44" i="8" s="1"/>
  <c r="U46" i="8"/>
  <c r="K47" i="8"/>
  <c r="M47" i="8" s="1"/>
  <c r="N47" i="8" s="1"/>
  <c r="O47" i="8" s="1"/>
  <c r="U49" i="8"/>
  <c r="K12" i="14"/>
  <c r="K15" i="14"/>
  <c r="R41" i="8"/>
  <c r="V41" i="8" s="1"/>
  <c r="U42" i="8"/>
  <c r="K43" i="8"/>
  <c r="M43" i="8" s="1"/>
  <c r="N43" i="8" s="1"/>
  <c r="O43" i="8" s="1"/>
  <c r="R43" i="8"/>
  <c r="V43" i="8" s="1"/>
  <c r="U45" i="8"/>
  <c r="K46" i="8"/>
  <c r="M46" i="8" s="1"/>
  <c r="N46" i="8" s="1"/>
  <c r="O46" i="8" s="1"/>
  <c r="R46" i="8"/>
  <c r="V46" i="8" s="1"/>
  <c r="U48" i="8"/>
  <c r="K49" i="8"/>
  <c r="M49" i="8" s="1"/>
  <c r="N49" i="8" s="1"/>
  <c r="O49" i="8" s="1"/>
  <c r="R49" i="8"/>
  <c r="V49" i="8" s="1"/>
  <c r="AO123" i="7"/>
  <c r="K2" i="7"/>
  <c r="Y2" i="7" s="1"/>
  <c r="AD32" i="9"/>
  <c r="AO133" i="7"/>
  <c r="AO116" i="7"/>
  <c r="AO121" i="7"/>
  <c r="AO100" i="7"/>
  <c r="AO126" i="7"/>
  <c r="I106" i="7" a="1"/>
  <c r="I106" i="7" s="1"/>
  <c r="I101" i="7" s="1" a="1"/>
  <c r="I101" i="7" s="1"/>
  <c r="N101" i="7" s="1"/>
  <c r="K113" i="7"/>
  <c r="AO131" i="7"/>
  <c r="AP121" i="7"/>
  <c r="AA132" i="7"/>
  <c r="AA131" i="7"/>
  <c r="AA130" i="7"/>
  <c r="AB130" i="7" s="1"/>
  <c r="AA128" i="7"/>
  <c r="AB128" i="7" s="1"/>
  <c r="AA124" i="7"/>
  <c r="AB124" i="7" s="1"/>
  <c r="AA123" i="7"/>
  <c r="AB123" i="7" s="1"/>
  <c r="AP132" i="7"/>
  <c r="AP130" i="7"/>
  <c r="AP125" i="7"/>
  <c r="AP124" i="7"/>
  <c r="AP123" i="7"/>
  <c r="AP122" i="7"/>
  <c r="AP119" i="7"/>
  <c r="AP118" i="7"/>
  <c r="AF121" i="7"/>
  <c r="Z121" i="7"/>
  <c r="Y121" i="7"/>
  <c r="AF118" i="7"/>
  <c r="Z118" i="7"/>
  <c r="Y118" i="7"/>
  <c r="AF120" i="7"/>
  <c r="AK56" i="7"/>
  <c r="M38" i="7"/>
  <c r="V38" i="7"/>
  <c r="P37" i="7"/>
  <c r="AK19" i="7"/>
  <c r="AH56" i="7"/>
  <c r="AH51" i="7"/>
  <c r="M37" i="7"/>
  <c r="V37" i="7"/>
  <c r="AK29" i="7"/>
  <c r="AH19" i="7"/>
  <c r="AC37" i="7"/>
  <c r="AK90" i="7"/>
  <c r="AG41" i="7"/>
  <c r="AI41" i="7" s="1"/>
  <c r="AM41" i="7" s="1"/>
  <c r="AK101" i="7"/>
  <c r="AH54" i="7"/>
  <c r="AH46" i="7"/>
  <c r="AH23" i="7"/>
  <c r="AG54" i="7"/>
  <c r="S97" i="7" a="1"/>
  <c r="S97" i="7" s="1"/>
  <c r="AC97" i="7"/>
  <c r="AH86" i="7"/>
  <c r="Q102" i="7"/>
  <c r="AH42" i="7"/>
  <c r="AK57" i="7"/>
  <c r="N102" i="7"/>
  <c r="W102" i="7"/>
  <c r="AH52" i="7"/>
  <c r="AD21" i="9"/>
  <c r="AE21" i="9" s="1"/>
  <c r="AG16" i="9"/>
  <c r="AH29" i="7"/>
  <c r="AH36" i="7"/>
  <c r="AC43" i="9"/>
  <c r="AG43" i="9"/>
  <c r="AI43" i="9" s="1"/>
  <c r="AM43" i="9" s="1" a="1"/>
  <c r="AM43" i="9" s="1"/>
  <c r="AH47" i="7"/>
  <c r="Y38" i="9"/>
  <c r="AH24" i="7"/>
  <c r="AD16" i="9"/>
  <c r="N4" i="7"/>
  <c r="AH21" i="9"/>
  <c r="U21" i="9"/>
  <c r="AG52" i="7"/>
  <c r="AG42" i="7"/>
  <c r="AK42" i="7"/>
  <c r="AC38" i="9"/>
  <c r="AE38" i="9" s="1"/>
  <c r="AG38" i="9"/>
  <c r="AI38" i="9" s="1"/>
  <c r="AM38" i="9" s="1" a="1"/>
  <c r="AM38" i="9" s="1"/>
  <c r="AD43" i="9"/>
  <c r="T102" i="7"/>
  <c r="U11" i="9"/>
  <c r="W11" i="9" s="1"/>
  <c r="AA11" i="9" s="1"/>
  <c r="U16" i="9"/>
  <c r="V21" i="9"/>
  <c r="X21" i="9"/>
  <c r="Y21" i="9"/>
  <c r="AC11" i="9"/>
  <c r="AE11" i="9" s="1"/>
  <c r="AG11" i="9"/>
  <c r="AI11" i="9" s="1"/>
  <c r="AM11" i="9" s="1" a="1"/>
  <c r="AM11" i="9" s="1"/>
  <c r="AN11" i="9" s="1"/>
  <c r="AG21" i="9"/>
  <c r="P9" i="8"/>
  <c r="P17" i="8"/>
  <c r="AK23" i="7"/>
  <c r="AJ54" i="7"/>
  <c r="V38" i="9"/>
  <c r="X43" i="9"/>
  <c r="P40" i="8"/>
  <c r="T40" i="8"/>
  <c r="M97" i="7" a="1"/>
  <c r="M97" i="7" s="1"/>
  <c r="V97" i="7" a="1"/>
  <c r="V97" i="7" s="1"/>
  <c r="S96" i="7" a="1"/>
  <c r="S96" i="7" s="1"/>
  <c r="I97" i="7" a="1"/>
  <c r="I97" i="7" s="1"/>
  <c r="K97" i="7" s="1"/>
  <c r="AG28" i="7"/>
  <c r="AK28" i="7"/>
  <c r="V16" i="9"/>
  <c r="X11" i="9"/>
  <c r="Y11" i="9"/>
  <c r="AC16" i="9"/>
  <c r="AE16" i="9" s="1"/>
  <c r="T9" i="8"/>
  <c r="AH9" i="7"/>
  <c r="AK54" i="7"/>
  <c r="AK86" i="7"/>
  <c r="AK93" i="7"/>
  <c r="X38" i="9"/>
  <c r="U43" i="9"/>
  <c r="Y43" i="9"/>
  <c r="P35" i="8"/>
  <c r="T35" i="8"/>
  <c r="Q40" i="8"/>
  <c r="P97" i="7" a="1"/>
  <c r="P97" i="7" s="1"/>
  <c r="M96" i="7" a="1"/>
  <c r="M96" i="7" s="1"/>
  <c r="V96" i="7" a="1"/>
  <c r="V96" i="7" s="1"/>
  <c r="AG14" i="7"/>
  <c r="AH14" i="7"/>
  <c r="AK14" i="7"/>
  <c r="AH28" i="7"/>
  <c r="X16" i="9"/>
  <c r="Y16" i="9"/>
  <c r="AH16" i="9"/>
  <c r="Q9" i="8"/>
  <c r="Q17" i="8"/>
  <c r="R17" i="8" s="1"/>
  <c r="V17" i="8" s="1"/>
  <c r="T17" i="8"/>
  <c r="AH33" i="7"/>
  <c r="AH49" i="7"/>
  <c r="AK33" i="7"/>
  <c r="AK41" i="7"/>
  <c r="AK46" i="7"/>
  <c r="AK106" i="7"/>
  <c r="U38" i="9"/>
  <c r="V43" i="9"/>
  <c r="Q35" i="8"/>
  <c r="R35" i="8" s="1"/>
  <c r="V35" i="8" s="1"/>
  <c r="P96" i="7" a="1"/>
  <c r="P96" i="7" s="1"/>
  <c r="I96" i="7" a="1"/>
  <c r="I96" i="7" s="1"/>
  <c r="K103" i="7"/>
  <c r="K107" i="7"/>
  <c r="K110" i="7"/>
  <c r="Z110" i="7" s="1"/>
  <c r="K87" i="7"/>
  <c r="K94" i="7"/>
  <c r="K111" i="7"/>
  <c r="AD33" i="9"/>
  <c r="K88" i="7"/>
  <c r="K91" i="7"/>
  <c r="Y91" i="7" s="1"/>
  <c r="K95" i="7"/>
  <c r="K112" i="7"/>
  <c r="N42" i="9"/>
  <c r="R42" i="9" s="1"/>
  <c r="S42" i="9" s="1"/>
  <c r="K100" i="7"/>
  <c r="K104" i="7"/>
  <c r="K108" i="7"/>
  <c r="AO112" i="7"/>
  <c r="K89" i="7"/>
  <c r="Z89" i="7" s="1"/>
  <c r="K93" i="7"/>
  <c r="K102" i="7"/>
  <c r="K105" i="7"/>
  <c r="K109" i="7"/>
  <c r="N45" i="9"/>
  <c r="R45" i="9" s="1"/>
  <c r="AO88" i="7"/>
  <c r="AO86" i="7"/>
  <c r="AO104" i="7"/>
  <c r="AO105" i="7"/>
  <c r="AO107" i="7"/>
  <c r="AC92" i="7"/>
  <c r="J44" i="9"/>
  <c r="Q44" i="9" s="1"/>
  <c r="J43" i="9"/>
  <c r="Q43" i="9" s="1"/>
  <c r="Z36" i="9"/>
  <c r="AO90" i="7"/>
  <c r="AO91" i="7"/>
  <c r="AO102" i="7"/>
  <c r="J45" i="9"/>
  <c r="Q45" i="9" s="1"/>
  <c r="N36" i="9"/>
  <c r="R36" i="9" s="1"/>
  <c r="AL114" i="7"/>
  <c r="N44" i="9"/>
  <c r="R44" i="9" s="1"/>
  <c r="N43" i="9"/>
  <c r="R43" i="9" s="1"/>
  <c r="AO89" i="7"/>
  <c r="AO93" i="7"/>
  <c r="AO94" i="7"/>
  <c r="AO103" i="7"/>
  <c r="AO113" i="7"/>
  <c r="AO101" i="7"/>
  <c r="AO110" i="7"/>
  <c r="AO87" i="7"/>
  <c r="AO95" i="7"/>
  <c r="AO109" i="7"/>
  <c r="AO108" i="7"/>
  <c r="AO111" i="7"/>
  <c r="N92" i="7"/>
  <c r="Q92" i="7"/>
  <c r="T92" i="7"/>
  <c r="AP90" i="7"/>
  <c r="AP113" i="7"/>
  <c r="AP112" i="7"/>
  <c r="AP111" i="7"/>
  <c r="AP110" i="7"/>
  <c r="AP103" i="7"/>
  <c r="AP100" i="7"/>
  <c r="AP94" i="7"/>
  <c r="AP89" i="7"/>
  <c r="AO92" i="7"/>
  <c r="N6" i="7"/>
  <c r="W6" i="7"/>
  <c r="K74" i="7"/>
  <c r="AD74" i="7" s="1"/>
  <c r="J40" i="9"/>
  <c r="P40" i="9" s="1"/>
  <c r="N39" i="9"/>
  <c r="R39" i="9" s="1"/>
  <c r="J38" i="9"/>
  <c r="Q38" i="9" s="1"/>
  <c r="S38" i="9" s="1"/>
  <c r="R34" i="8"/>
  <c r="V34" i="8" s="1"/>
  <c r="K36" i="8"/>
  <c r="M36" i="8" s="1"/>
  <c r="N36" i="8" s="1"/>
  <c r="O36" i="8" s="1"/>
  <c r="R37" i="8"/>
  <c r="V37" i="8" s="1"/>
  <c r="U38" i="8"/>
  <c r="K39" i="8"/>
  <c r="M39" i="8" s="1"/>
  <c r="N39" i="8" s="1"/>
  <c r="O39" i="8" s="1"/>
  <c r="AI114" i="7"/>
  <c r="AM114" i="7" s="1"/>
  <c r="J36" i="9"/>
  <c r="Q36" i="9" s="1"/>
  <c r="R32" i="8"/>
  <c r="V32" i="8" s="1"/>
  <c r="R33" i="8"/>
  <c r="V33" i="8" s="1"/>
  <c r="R36" i="8"/>
  <c r="V36" i="8" s="1"/>
  <c r="U37" i="8"/>
  <c r="K38" i="8"/>
  <c r="M38" i="8" s="1"/>
  <c r="N38" i="8" s="1"/>
  <c r="O38" i="8" s="1"/>
  <c r="R39" i="8"/>
  <c r="V39" i="8" s="1"/>
  <c r="N37" i="9"/>
  <c r="R37" i="9" s="1"/>
  <c r="Z37" i="9"/>
  <c r="Z39" i="9"/>
  <c r="Z40" i="9"/>
  <c r="J41" i="9"/>
  <c r="N41" i="9"/>
  <c r="R41" i="9" s="1"/>
  <c r="W41" i="9"/>
  <c r="AE41" i="9"/>
  <c r="AI41" i="9"/>
  <c r="AM41" i="9" s="1" a="1"/>
  <c r="AM41" i="9" s="1"/>
  <c r="AN41" i="9" s="1"/>
  <c r="W42" i="9"/>
  <c r="AE42" i="9"/>
  <c r="AI42" i="9"/>
  <c r="AM42" i="9" s="1" a="1"/>
  <c r="AM42" i="9" s="1"/>
  <c r="AN42" i="9" s="1"/>
  <c r="W44" i="9"/>
  <c r="AE44" i="9"/>
  <c r="AI44" i="9"/>
  <c r="AM44" i="9" s="1" a="1"/>
  <c r="AM44" i="9" s="1"/>
  <c r="AN44" i="9" s="1"/>
  <c r="W45" i="9"/>
  <c r="AE45" i="9"/>
  <c r="AI45" i="9"/>
  <c r="AM45" i="9" s="1" a="1"/>
  <c r="AM45" i="9" s="1"/>
  <c r="AN45" i="9" s="1"/>
  <c r="J37" i="9"/>
  <c r="V7" i="10"/>
  <c r="J39" i="9"/>
  <c r="Q39" i="9" s="1"/>
  <c r="Z7" i="10"/>
  <c r="AH7" i="10" s="1" a="1"/>
  <c r="AH7" i="10" s="1"/>
  <c r="AI7" i="10" s="1"/>
  <c r="K32" i="8"/>
  <c r="M32" i="8" s="1"/>
  <c r="N32" i="8" s="1"/>
  <c r="O32" i="8" s="1"/>
  <c r="U36" i="8"/>
  <c r="K37" i="8"/>
  <c r="M37" i="8" s="1"/>
  <c r="N37" i="8" s="1"/>
  <c r="O37" i="8" s="1"/>
  <c r="R38" i="8"/>
  <c r="V38" i="8" s="1"/>
  <c r="U39" i="8"/>
  <c r="K40" i="8"/>
  <c r="M40" i="8" s="1"/>
  <c r="N40" i="8" s="1"/>
  <c r="O40" i="8" s="1"/>
  <c r="AD7" i="10"/>
  <c r="U32" i="8"/>
  <c r="U33" i="8"/>
  <c r="K34" i="8"/>
  <c r="M34" i="8" s="1"/>
  <c r="N34" i="8" s="1"/>
  <c r="O34" i="8" s="1"/>
  <c r="I2" i="14"/>
  <c r="K2" i="14" s="1"/>
  <c r="W36" i="9"/>
  <c r="AE36" i="9"/>
  <c r="AI36" i="9"/>
  <c r="AM36" i="9" s="1" a="1"/>
  <c r="AM36" i="9" s="1"/>
  <c r="AN36" i="9" s="1"/>
  <c r="W37" i="9"/>
  <c r="AE37" i="9"/>
  <c r="AI37" i="9"/>
  <c r="AM37" i="9" s="1" a="1"/>
  <c r="AM37" i="9" s="1"/>
  <c r="AN37" i="9" s="1"/>
  <c r="W39" i="9"/>
  <c r="AE39" i="9"/>
  <c r="AI39" i="9"/>
  <c r="AM39" i="9" s="1" a="1"/>
  <c r="AM39" i="9" s="1"/>
  <c r="AN39" i="9" s="1"/>
  <c r="W40" i="9"/>
  <c r="AE40" i="9"/>
  <c r="AI40" i="9"/>
  <c r="AM40" i="9" s="1" a="1"/>
  <c r="AM40" i="9" s="1"/>
  <c r="AN40" i="9" s="1"/>
  <c r="U34" i="8"/>
  <c r="K35" i="8"/>
  <c r="M35" i="8" s="1"/>
  <c r="N35" i="8" s="1"/>
  <c r="O35" i="8" s="1"/>
  <c r="Z41" i="9"/>
  <c r="Z42" i="9"/>
  <c r="Z44" i="9"/>
  <c r="Z45" i="9"/>
  <c r="N82" i="7"/>
  <c r="T25" i="7"/>
  <c r="G4" i="10"/>
  <c r="G7" i="10"/>
  <c r="I7" i="10" s="1"/>
  <c r="Q6" i="7"/>
  <c r="K27" i="7"/>
  <c r="Z27" i="7" s="1"/>
  <c r="AI113" i="7"/>
  <c r="AM113" i="7" s="1"/>
  <c r="T6" i="7"/>
  <c r="AL94" i="7"/>
  <c r="AI95" i="7"/>
  <c r="AM95" i="7" s="1"/>
  <c r="N74" i="7"/>
  <c r="AL113" i="7"/>
  <c r="T4" i="7"/>
  <c r="AI111" i="7"/>
  <c r="AM111" i="7" s="1"/>
  <c r="J26" i="9"/>
  <c r="Q26" i="9" s="1"/>
  <c r="N24" i="7"/>
  <c r="N30" i="9"/>
  <c r="R30" i="9" s="1"/>
  <c r="N27" i="9"/>
  <c r="R27" i="9" s="1"/>
  <c r="Y92" i="7"/>
  <c r="AD29" i="9"/>
  <c r="T74" i="7"/>
  <c r="AD26" i="9"/>
  <c r="Q13" i="7"/>
  <c r="T23" i="7"/>
  <c r="N25" i="7"/>
  <c r="W25" i="7"/>
  <c r="Q5" i="7"/>
  <c r="AD28" i="9"/>
  <c r="W74" i="7"/>
  <c r="N23" i="7"/>
  <c r="W23" i="7"/>
  <c r="T26" i="7"/>
  <c r="Q25" i="7"/>
  <c r="AD30" i="9"/>
  <c r="AD27" i="9"/>
  <c r="AI89" i="7"/>
  <c r="AM89" i="7" s="1"/>
  <c r="W59" i="7"/>
  <c r="AL10" i="9"/>
  <c r="K6" i="7"/>
  <c r="AF6" i="7" s="1"/>
  <c r="U6" i="10"/>
  <c r="Y6" i="10" s="1"/>
  <c r="AL6" i="9"/>
  <c r="K4" i="7"/>
  <c r="Z4" i="7" s="1"/>
  <c r="AH22" i="9"/>
  <c r="AI22" i="9" s="1"/>
  <c r="AM22" i="9" s="1" a="1"/>
  <c r="AM22" i="9" s="1"/>
  <c r="AC22" i="9"/>
  <c r="X18" i="9"/>
  <c r="AG10" i="9"/>
  <c r="AI10" i="9" s="1"/>
  <c r="AM10" i="9" s="1" a="1"/>
  <c r="AM10" i="9" s="1"/>
  <c r="AC14" i="9"/>
  <c r="AE14" i="9" s="1"/>
  <c r="S31" i="7"/>
  <c r="S38" i="7" s="1"/>
  <c r="I31" i="7"/>
  <c r="I38" i="7" s="1"/>
  <c r="AG39" i="7" s="1"/>
  <c r="AI39" i="7" s="1"/>
  <c r="AM39" i="7" s="1"/>
  <c r="AG5" i="7"/>
  <c r="AH26" i="7"/>
  <c r="AK5" i="7"/>
  <c r="AK8" i="7"/>
  <c r="AK18" i="7"/>
  <c r="AK22" i="7"/>
  <c r="Q82" i="7"/>
  <c r="Q74" i="7"/>
  <c r="N35" i="9"/>
  <c r="R35" i="9" s="1"/>
  <c r="AL109" i="7"/>
  <c r="Y22" i="9"/>
  <c r="AC18" i="9"/>
  <c r="I32" i="7"/>
  <c r="AG34" i="7" s="1"/>
  <c r="AI34" i="7" s="1"/>
  <c r="AM34" i="7" s="1"/>
  <c r="AH5" i="7"/>
  <c r="AG35" i="7"/>
  <c r="AJ35" i="7"/>
  <c r="AJ39" i="7"/>
  <c r="AJ43" i="7"/>
  <c r="K4" i="14"/>
  <c r="R4" i="14" s="1"/>
  <c r="K7" i="14"/>
  <c r="AH88" i="7"/>
  <c r="AG92" i="7"/>
  <c r="AI92" i="7" s="1"/>
  <c r="AM92" i="7" s="1"/>
  <c r="AL97" i="7"/>
  <c r="AI98" i="7"/>
  <c r="AM98" i="7" s="1"/>
  <c r="AH100" i="7"/>
  <c r="AH104" i="7"/>
  <c r="AH108" i="7"/>
  <c r="AH112" i="7"/>
  <c r="U18" i="9"/>
  <c r="AC6" i="9"/>
  <c r="AE6" i="9" s="1"/>
  <c r="AC10" i="9"/>
  <c r="AE10" i="9" s="1"/>
  <c r="U14" i="9"/>
  <c r="W14" i="9" s="1"/>
  <c r="AA14" i="9" s="1"/>
  <c r="AG26" i="7"/>
  <c r="AH35" i="7"/>
  <c r="AG47" i="7"/>
  <c r="AK35" i="7"/>
  <c r="AK39" i="7"/>
  <c r="AK43" i="7"/>
  <c r="AK47" i="7"/>
  <c r="AK51" i="7"/>
  <c r="W82" i="7"/>
  <c r="W65" i="7"/>
  <c r="AC111" i="7"/>
  <c r="N2" i="7"/>
  <c r="P14" i="7"/>
  <c r="Q14" i="7" s="1"/>
  <c r="S15" i="7"/>
  <c r="T2" i="7"/>
  <c r="M14" i="7"/>
  <c r="N14" i="7" s="1"/>
  <c r="V14" i="7"/>
  <c r="W14" i="7" s="1"/>
  <c r="Q4" i="7"/>
  <c r="AK84" i="7"/>
  <c r="AK108" i="7"/>
  <c r="W4" i="7"/>
  <c r="AK96" i="7"/>
  <c r="AK100" i="7"/>
  <c r="AK92" i="7"/>
  <c r="U10" i="9"/>
  <c r="W10" i="9" s="1"/>
  <c r="AA10" i="9" s="1"/>
  <c r="U22" i="9"/>
  <c r="X10" i="9"/>
  <c r="X22" i="9"/>
  <c r="Y14" i="9"/>
  <c r="AG6" i="9"/>
  <c r="AI6" i="9" s="1"/>
  <c r="AM6" i="9" s="1" a="1"/>
  <c r="AM6" i="9" s="1"/>
  <c r="AG14" i="9"/>
  <c r="AI14" i="9" s="1"/>
  <c r="AM14" i="9" s="1" a="1"/>
  <c r="AM14" i="9" s="1"/>
  <c r="AN14" i="9" s="1"/>
  <c r="AG18" i="9"/>
  <c r="P8" i="8"/>
  <c r="P20" i="8"/>
  <c r="Q4" i="8"/>
  <c r="Q16" i="8"/>
  <c r="T20" i="8"/>
  <c r="T4" i="8"/>
  <c r="T16" i="8"/>
  <c r="AG4" i="7"/>
  <c r="AH8" i="7"/>
  <c r="AH20" i="7"/>
  <c r="AH44" i="7"/>
  <c r="AI44" i="7" s="1"/>
  <c r="AM44" i="7" s="1"/>
  <c r="AK4" i="7"/>
  <c r="AK24" i="7"/>
  <c r="AJ44" i="7"/>
  <c r="AL44" i="7" s="1"/>
  <c r="AN44" i="7" s="1"/>
  <c r="AK48" i="7"/>
  <c r="W66" i="7"/>
  <c r="M15" i="7"/>
  <c r="V15" i="7"/>
  <c r="U6" i="9"/>
  <c r="W6" i="9" s="1"/>
  <c r="AA6" i="9" s="1"/>
  <c r="V22" i="9"/>
  <c r="X14" i="9"/>
  <c r="Y6" i="9"/>
  <c r="Y18" i="9"/>
  <c r="AD18" i="9"/>
  <c r="AH18" i="9"/>
  <c r="AD22" i="9"/>
  <c r="Q8" i="8"/>
  <c r="Q20" i="8"/>
  <c r="T8" i="8"/>
  <c r="AH4" i="7"/>
  <c r="AG12" i="7"/>
  <c r="AK12" i="7"/>
  <c r="AJ20" i="7"/>
  <c r="AK38" i="7"/>
  <c r="AK112" i="7"/>
  <c r="W2" i="7"/>
  <c r="Q2" i="7"/>
  <c r="I11" i="8"/>
  <c r="P30" i="8" s="1"/>
  <c r="V18" i="9"/>
  <c r="X6" i="9"/>
  <c r="Y10" i="9"/>
  <c r="Q12" i="8"/>
  <c r="AH12" i="7"/>
  <c r="AG20" i="7"/>
  <c r="AK34" i="7"/>
  <c r="AK40" i="7"/>
  <c r="AK52" i="7"/>
  <c r="AK20" i="7"/>
  <c r="Q64" i="7"/>
  <c r="Q68" i="7"/>
  <c r="J34" i="9"/>
  <c r="Q34" i="9" s="1"/>
  <c r="J32" i="9"/>
  <c r="Q32" i="9" s="1"/>
  <c r="J28" i="9"/>
  <c r="Q28" i="9" s="1"/>
  <c r="K5" i="14"/>
  <c r="K8" i="14"/>
  <c r="R8" i="14" s="1"/>
  <c r="AL87" i="7"/>
  <c r="AG88" i="7"/>
  <c r="AI91" i="7"/>
  <c r="AM91" i="7" s="1"/>
  <c r="AI94" i="7"/>
  <c r="AM94" i="7" s="1"/>
  <c r="AI97" i="7"/>
  <c r="AM97" i="7" s="1"/>
  <c r="AL99" i="7"/>
  <c r="AL102" i="7"/>
  <c r="AL103" i="7"/>
  <c r="AI107" i="7"/>
  <c r="AM107" i="7" s="1"/>
  <c r="AI110" i="7"/>
  <c r="AM110" i="7" s="1"/>
  <c r="AG96" i="7"/>
  <c r="AI96" i="7" s="1"/>
  <c r="AM96" i="7" s="1"/>
  <c r="AI103" i="7"/>
  <c r="AM103" i="7" s="1"/>
  <c r="AI109" i="7"/>
  <c r="AM109" i="7" s="1"/>
  <c r="N33" i="9"/>
  <c r="R33" i="9" s="1"/>
  <c r="J30" i="9"/>
  <c r="Q30" i="9" s="1"/>
  <c r="N34" i="9"/>
  <c r="R34" i="9" s="1"/>
  <c r="N29" i="9"/>
  <c r="R29" i="9" s="1"/>
  <c r="N32" i="9"/>
  <c r="R32" i="9" s="1"/>
  <c r="AD86" i="7"/>
  <c r="K3" i="14"/>
  <c r="R3" i="14" s="1"/>
  <c r="K6" i="14"/>
  <c r="R6" i="14" s="1"/>
  <c r="K9" i="14"/>
  <c r="R9" i="14" s="1"/>
  <c r="AI87" i="7"/>
  <c r="AM87" i="7" s="1"/>
  <c r="AL89" i="7"/>
  <c r="AI90" i="7"/>
  <c r="AM90" i="7" s="1"/>
  <c r="AI93" i="7"/>
  <c r="AM93" i="7" s="1"/>
  <c r="AL98" i="7"/>
  <c r="AI99" i="7"/>
  <c r="AM99" i="7" s="1"/>
  <c r="AI102" i="7"/>
  <c r="AM102" i="7" s="1"/>
  <c r="AI105" i="7"/>
  <c r="AM105" i="7" s="1"/>
  <c r="AL107" i="7"/>
  <c r="J31" i="9"/>
  <c r="Q31" i="9" s="1"/>
  <c r="AI106" i="7"/>
  <c r="AM106" i="7" s="1"/>
  <c r="T63" i="7"/>
  <c r="AD5" i="10"/>
  <c r="J29" i="9"/>
  <c r="Q29" i="9" s="1"/>
  <c r="K31" i="8"/>
  <c r="L31" i="8" s="1"/>
  <c r="W62" i="7"/>
  <c r="T64" i="7"/>
  <c r="T60" i="7"/>
  <c r="T65" i="7"/>
  <c r="T66" i="7"/>
  <c r="T67" i="7"/>
  <c r="T68" i="7"/>
  <c r="N12" i="7"/>
  <c r="W12" i="7"/>
  <c r="T3" i="7"/>
  <c r="T27" i="7"/>
  <c r="T24" i="7"/>
  <c r="N3" i="7"/>
  <c r="W3" i="7"/>
  <c r="T28" i="7"/>
  <c r="P31" i="8"/>
  <c r="T31" i="8"/>
  <c r="Q31" i="8"/>
  <c r="W61" i="7"/>
  <c r="W63" i="7"/>
  <c r="N65" i="7"/>
  <c r="Q12" i="7"/>
  <c r="N27" i="7"/>
  <c r="N26" i="7"/>
  <c r="W26" i="7"/>
  <c r="T5" i="7"/>
  <c r="J27" i="9"/>
  <c r="Q27" i="9" s="1"/>
  <c r="W27" i="7"/>
  <c r="AD4" i="10"/>
  <c r="K30" i="8"/>
  <c r="M30" i="8" s="1"/>
  <c r="T61" i="7"/>
  <c r="Q62" i="7"/>
  <c r="N64" i="7"/>
  <c r="W64" i="7"/>
  <c r="N66" i="7"/>
  <c r="N67" i="7"/>
  <c r="Q67" i="7"/>
  <c r="W67" i="7"/>
  <c r="N68" i="7"/>
  <c r="W68" i="7"/>
  <c r="T82" i="7"/>
  <c r="N31" i="9"/>
  <c r="R31" i="9" s="1"/>
  <c r="Q65" i="7"/>
  <c r="K82" i="7"/>
  <c r="Q23" i="7"/>
  <c r="C10" i="12"/>
  <c r="R26" i="9"/>
  <c r="G6" i="10"/>
  <c r="I6" i="10" s="1"/>
  <c r="Q6" i="10" s="1"/>
  <c r="N59" i="7"/>
  <c r="Q59" i="7"/>
  <c r="N60" i="7"/>
  <c r="Q60" i="7"/>
  <c r="N61" i="7"/>
  <c r="N62" i="7"/>
  <c r="N63" i="7"/>
  <c r="K21" i="8"/>
  <c r="L21" i="8" s="1"/>
  <c r="U23" i="8"/>
  <c r="T59" i="7"/>
  <c r="Q61" i="7"/>
  <c r="T62" i="7"/>
  <c r="Q63" i="7"/>
  <c r="Q66" i="7"/>
  <c r="Y35" i="9"/>
  <c r="Y34" i="9"/>
  <c r="Y33" i="9"/>
  <c r="Y32" i="9"/>
  <c r="Y31" i="9"/>
  <c r="Y30" i="9"/>
  <c r="Y29" i="9"/>
  <c r="Y28" i="9"/>
  <c r="Y27" i="9"/>
  <c r="Y26" i="9"/>
  <c r="AH35" i="9"/>
  <c r="V35" i="9"/>
  <c r="AH34" i="9"/>
  <c r="V34" i="9"/>
  <c r="AH33" i="9"/>
  <c r="V33" i="9"/>
  <c r="AH32" i="9"/>
  <c r="V32" i="9"/>
  <c r="AH31" i="9"/>
  <c r="V31" i="9"/>
  <c r="AH30" i="9"/>
  <c r="V30" i="9"/>
  <c r="AH29" i="9"/>
  <c r="V29" i="9"/>
  <c r="AH28" i="9"/>
  <c r="V28" i="9"/>
  <c r="AH27" i="9"/>
  <c r="V27" i="9"/>
  <c r="AH26" i="9"/>
  <c r="V26" i="9"/>
  <c r="AC28" i="9"/>
  <c r="AG28" i="9"/>
  <c r="U28" i="9"/>
  <c r="AC29" i="9"/>
  <c r="AG29" i="9"/>
  <c r="AI29" i="9" s="1"/>
  <c r="U29" i="9"/>
  <c r="AC26" i="9"/>
  <c r="U26" i="9"/>
  <c r="X35" i="9"/>
  <c r="X34" i="9"/>
  <c r="X33" i="9"/>
  <c r="X32" i="9"/>
  <c r="X31" i="9"/>
  <c r="X30" i="9"/>
  <c r="X29" i="9"/>
  <c r="X28" i="9"/>
  <c r="X27" i="9"/>
  <c r="AG26" i="9"/>
  <c r="X26" i="9"/>
  <c r="AC35" i="9"/>
  <c r="AG35" i="9"/>
  <c r="U35" i="9"/>
  <c r="AC30" i="9"/>
  <c r="AG30" i="9"/>
  <c r="U30" i="9"/>
  <c r="AC31" i="9"/>
  <c r="AG31" i="9"/>
  <c r="U31" i="9"/>
  <c r="AC34" i="9"/>
  <c r="AG34" i="9"/>
  <c r="U34" i="9"/>
  <c r="AC33" i="9"/>
  <c r="AC32" i="9"/>
  <c r="AC27" i="9"/>
  <c r="AG27" i="9"/>
  <c r="U27" i="9"/>
  <c r="AG32" i="9"/>
  <c r="U32" i="9"/>
  <c r="AG33" i="9"/>
  <c r="U33" i="9"/>
  <c r="Q35" i="9"/>
  <c r="Q33" i="9"/>
  <c r="W25" i="9"/>
  <c r="AK76" i="7"/>
  <c r="P83" i="7"/>
  <c r="AL85" i="7"/>
  <c r="AI3" i="7"/>
  <c r="AM3" i="7" s="1"/>
  <c r="AI6" i="7"/>
  <c r="AM6" i="7" s="1"/>
  <c r="AI15" i="7"/>
  <c r="AM15" i="7" s="1"/>
  <c r="AI21" i="7"/>
  <c r="AM21" i="7" s="1"/>
  <c r="AI27" i="7"/>
  <c r="AM27" i="7" s="1"/>
  <c r="AI30" i="7"/>
  <c r="AM30" i="7" s="1"/>
  <c r="AI45" i="7"/>
  <c r="AM45" i="7" s="1"/>
  <c r="AL2" i="7"/>
  <c r="AL11" i="7"/>
  <c r="AL17" i="7"/>
  <c r="AL25" i="7"/>
  <c r="AL31" i="7"/>
  <c r="AL37" i="7"/>
  <c r="AL55" i="7"/>
  <c r="K24" i="8"/>
  <c r="K27" i="8"/>
  <c r="K59" i="7"/>
  <c r="K60" i="7"/>
  <c r="K61" i="7"/>
  <c r="I83" i="7"/>
  <c r="M83" i="7"/>
  <c r="V83" i="7"/>
  <c r="S83" i="7"/>
  <c r="AG82" i="7"/>
  <c r="K25" i="8"/>
  <c r="K28" i="8"/>
  <c r="K62" i="7"/>
  <c r="K63" i="7"/>
  <c r="K64" i="7"/>
  <c r="K65" i="7"/>
  <c r="K66" i="7"/>
  <c r="K67" i="7"/>
  <c r="K68" i="7"/>
  <c r="K22" i="8"/>
  <c r="K26" i="8"/>
  <c r="K29" i="8"/>
  <c r="I23" i="8"/>
  <c r="K23" i="8" s="1"/>
  <c r="M23" i="8" s="1"/>
  <c r="P29" i="8"/>
  <c r="AC76" i="7"/>
  <c r="AC20" i="7" s="1"/>
  <c r="V76" i="7"/>
  <c r="S76" i="7"/>
  <c r="S20" i="7" s="1"/>
  <c r="P76" i="7"/>
  <c r="M76" i="7"/>
  <c r="I76" i="7"/>
  <c r="K76" i="7" s="1"/>
  <c r="I84" i="7"/>
  <c r="M84" i="7"/>
  <c r="P84" i="7"/>
  <c r="S84" i="7"/>
  <c r="V84" i="7"/>
  <c r="AC84" i="7"/>
  <c r="AG66" i="7"/>
  <c r="AH83" i="7"/>
  <c r="Q28" i="8"/>
  <c r="Q25" i="8"/>
  <c r="Q22" i="8"/>
  <c r="AH70" i="7"/>
  <c r="AH67" i="7"/>
  <c r="AH62" i="7"/>
  <c r="AH59" i="7"/>
  <c r="AH84" i="7"/>
  <c r="AH81" i="7"/>
  <c r="AH78" i="7"/>
  <c r="Q29" i="8"/>
  <c r="AH69" i="7"/>
  <c r="AH66" i="7"/>
  <c r="AH61" i="7"/>
  <c r="AH58" i="7"/>
  <c r="AG68" i="7"/>
  <c r="AH73" i="7"/>
  <c r="Q30" i="8"/>
  <c r="K25" i="7"/>
  <c r="AF25" i="7" s="1"/>
  <c r="AH80" i="7"/>
  <c r="AK83" i="7"/>
  <c r="AK82" i="7"/>
  <c r="AK81" i="7"/>
  <c r="AK80" i="7"/>
  <c r="AK79" i="7"/>
  <c r="AK78" i="7"/>
  <c r="AK77" i="7"/>
  <c r="AH77" i="7"/>
  <c r="AH74" i="7"/>
  <c r="AH72" i="7"/>
  <c r="AK64" i="7"/>
  <c r="AH64" i="7"/>
  <c r="AK75" i="7"/>
  <c r="AK74" i="7"/>
  <c r="AK73" i="7"/>
  <c r="AK72" i="7"/>
  <c r="AK71" i="7"/>
  <c r="AH71" i="7"/>
  <c r="AH68" i="7"/>
  <c r="AK70" i="7"/>
  <c r="AK69" i="7"/>
  <c r="AK68" i="7"/>
  <c r="AK67" i="7"/>
  <c r="AK66" i="7"/>
  <c r="AK65" i="7"/>
  <c r="AH65" i="7"/>
  <c r="AH63" i="7"/>
  <c r="AK63" i="7"/>
  <c r="AK62" i="7"/>
  <c r="AK61" i="7"/>
  <c r="AK60" i="7"/>
  <c r="AH60" i="7"/>
  <c r="AH85" i="7"/>
  <c r="AK59" i="7"/>
  <c r="AK58" i="7"/>
  <c r="AH82" i="7"/>
  <c r="AH79" i="7"/>
  <c r="AH76" i="7"/>
  <c r="AH75" i="7"/>
  <c r="K13" i="7"/>
  <c r="AF13" i="7" s="1"/>
  <c r="AG67" i="7"/>
  <c r="K24" i="7"/>
  <c r="Z24" i="7" s="1"/>
  <c r="AJ71" i="7"/>
  <c r="K5" i="7"/>
  <c r="Z5" i="7" s="1"/>
  <c r="AG60" i="7"/>
  <c r="AG64" i="7"/>
  <c r="Q27" i="8"/>
  <c r="Q24" i="8"/>
  <c r="T30" i="8"/>
  <c r="T29" i="8"/>
  <c r="T28" i="8"/>
  <c r="T27" i="8"/>
  <c r="T26" i="8"/>
  <c r="T25" i="8"/>
  <c r="T24" i="8"/>
  <c r="T22" i="8"/>
  <c r="T21" i="8"/>
  <c r="Q21" i="8"/>
  <c r="Q26" i="8"/>
  <c r="Q23" i="8"/>
  <c r="K8" i="8"/>
  <c r="L8" i="8" s="1"/>
  <c r="P27" i="8"/>
  <c r="K5" i="8"/>
  <c r="M5" i="8" s="1"/>
  <c r="P24" i="8"/>
  <c r="K7" i="8"/>
  <c r="L7" i="8" s="1"/>
  <c r="P26" i="8"/>
  <c r="K6" i="8"/>
  <c r="L6" i="8" s="1"/>
  <c r="P25" i="8"/>
  <c r="K2" i="8"/>
  <c r="L2" i="8" s="1"/>
  <c r="P28" i="8"/>
  <c r="K14" i="7"/>
  <c r="Z14" i="7" s="1"/>
  <c r="P6" i="9"/>
  <c r="N13" i="7"/>
  <c r="W13" i="7"/>
  <c r="T12" i="7"/>
  <c r="Q3" i="7"/>
  <c r="Q24" i="7"/>
  <c r="N28" i="7"/>
  <c r="W28" i="7"/>
  <c r="Q27" i="7"/>
  <c r="K26" i="7"/>
  <c r="AD26" i="7" s="1"/>
  <c r="K23" i="7"/>
  <c r="AD23" i="7" s="1"/>
  <c r="W24" i="7"/>
  <c r="Z5" i="10"/>
  <c r="W5" i="7"/>
  <c r="N5" i="7"/>
  <c r="T13" i="7"/>
  <c r="R3" i="8"/>
  <c r="V3" i="8" s="1"/>
  <c r="R6" i="8"/>
  <c r="V6" i="8" s="1"/>
  <c r="R15" i="8"/>
  <c r="V15" i="8" s="1"/>
  <c r="R18" i="8"/>
  <c r="V18" i="8" s="1"/>
  <c r="U3" i="8"/>
  <c r="U6" i="8"/>
  <c r="U12" i="8"/>
  <c r="U15" i="8"/>
  <c r="U18" i="8"/>
  <c r="AI7" i="7"/>
  <c r="AM7" i="7" s="1"/>
  <c r="AI10" i="7"/>
  <c r="AM10" i="7" s="1"/>
  <c r="AI13" i="7"/>
  <c r="AM13" i="7" s="1"/>
  <c r="AI16" i="7"/>
  <c r="AM16" i="7" s="1"/>
  <c r="AI25" i="7"/>
  <c r="AM25" i="7" s="1"/>
  <c r="AI37" i="7"/>
  <c r="AM37" i="7" s="1"/>
  <c r="AI40" i="7"/>
  <c r="AM40" i="7" s="1"/>
  <c r="AI43" i="7"/>
  <c r="AM43" i="7" s="1"/>
  <c r="AI55" i="7"/>
  <c r="AM55" i="7" s="1"/>
  <c r="AL3" i="7"/>
  <c r="AL6" i="7"/>
  <c r="AL9" i="7"/>
  <c r="AL15" i="7"/>
  <c r="AL32" i="7"/>
  <c r="AL50" i="7"/>
  <c r="AL53" i="7"/>
  <c r="P9" i="9"/>
  <c r="V4" i="10"/>
  <c r="R2" i="8"/>
  <c r="V2" i="8" s="1"/>
  <c r="R5" i="8"/>
  <c r="V5" i="8" s="1"/>
  <c r="R11" i="8"/>
  <c r="V11" i="8" s="1"/>
  <c r="R14" i="8"/>
  <c r="V14" i="8" s="1"/>
  <c r="U2" i="8"/>
  <c r="U5" i="8"/>
  <c r="U11" i="8"/>
  <c r="U14" i="8"/>
  <c r="AC48" i="7"/>
  <c r="AC104" i="7" s="1"/>
  <c r="AC56" i="7"/>
  <c r="Z4" i="10"/>
  <c r="V5" i="10"/>
  <c r="I48" i="7"/>
  <c r="AG48" i="7" s="1"/>
  <c r="AI48" i="7" s="1"/>
  <c r="AM48" i="7" s="1"/>
  <c r="AI2" i="7"/>
  <c r="AM2" i="7" s="1"/>
  <c r="AI11" i="7"/>
  <c r="AM11" i="7" s="1"/>
  <c r="AI17" i="7"/>
  <c r="AM17" i="7" s="1"/>
  <c r="AI32" i="7"/>
  <c r="AM32" i="7" s="1"/>
  <c r="AI50" i="7"/>
  <c r="AM50" i="7" s="1"/>
  <c r="AI53" i="7"/>
  <c r="AM53" i="7" s="1"/>
  <c r="AL7" i="7"/>
  <c r="AL10" i="7"/>
  <c r="AL13" i="7"/>
  <c r="AL16" i="7"/>
  <c r="AL21" i="7"/>
  <c r="AL27" i="7"/>
  <c r="AL30" i="7"/>
  <c r="AL36" i="7"/>
  <c r="AL45" i="7"/>
  <c r="AE4" i="9"/>
  <c r="AI4" i="9"/>
  <c r="AE5" i="9"/>
  <c r="AI5" i="9"/>
  <c r="AM5" i="9" s="1" a="1"/>
  <c r="AM5" i="9" s="1"/>
  <c r="AN5" i="9" s="1"/>
  <c r="AE7" i="9"/>
  <c r="AI7" i="9"/>
  <c r="AM7" i="9" s="1" a="1"/>
  <c r="AM7" i="9" s="1"/>
  <c r="AN7" i="9" s="1"/>
  <c r="AE8" i="9"/>
  <c r="AI8" i="9"/>
  <c r="AM8" i="9" s="1" a="1"/>
  <c r="AM8" i="9" s="1"/>
  <c r="AN8" i="9" s="1"/>
  <c r="AE9" i="9"/>
  <c r="AI9" i="9"/>
  <c r="AM9" i="9" s="1" a="1"/>
  <c r="AM9" i="9" s="1"/>
  <c r="AN9" i="9" s="1"/>
  <c r="AE12" i="9"/>
  <c r="AI12" i="9"/>
  <c r="AM12" i="9" s="1" a="1"/>
  <c r="AM12" i="9" s="1"/>
  <c r="AN12" i="9" s="1"/>
  <c r="AE13" i="9"/>
  <c r="AI13" i="9"/>
  <c r="AM13" i="9" s="1" a="1"/>
  <c r="AM13" i="9" s="1"/>
  <c r="AN13" i="9" s="1"/>
  <c r="AE15" i="9"/>
  <c r="AI15" i="9"/>
  <c r="AM15" i="9" s="1" a="1"/>
  <c r="AM15" i="9" s="1"/>
  <c r="AN15" i="9" s="1"/>
  <c r="AE17" i="9"/>
  <c r="AI17" i="9"/>
  <c r="AM17" i="9" s="1" a="1"/>
  <c r="AM17" i="9" s="1"/>
  <c r="AN17" i="9" s="1"/>
  <c r="AE19" i="9"/>
  <c r="AI19" i="9"/>
  <c r="AM19" i="9" s="1" a="1"/>
  <c r="AM19" i="9" s="1"/>
  <c r="AN19" i="9" s="1"/>
  <c r="AE20" i="9"/>
  <c r="AI20" i="9"/>
  <c r="AM20" i="9" s="1" a="1"/>
  <c r="AM20" i="9" s="1"/>
  <c r="AN20" i="9" s="1"/>
  <c r="AE23" i="9"/>
  <c r="AI23" i="9"/>
  <c r="AM23" i="9" s="1" a="1"/>
  <c r="AM23" i="9" s="1"/>
  <c r="AN23" i="9" s="1"/>
  <c r="AE24" i="9"/>
  <c r="AI24" i="9"/>
  <c r="AM24" i="9" s="1" a="1"/>
  <c r="AM24" i="9" s="1"/>
  <c r="AN24" i="9" s="1"/>
  <c r="R7" i="8"/>
  <c r="V7" i="8" s="1"/>
  <c r="R10" i="8"/>
  <c r="V10" i="8" s="1"/>
  <c r="R13" i="8"/>
  <c r="V13" i="8" s="1"/>
  <c r="R19" i="8"/>
  <c r="V19" i="8" s="1"/>
  <c r="U7" i="8"/>
  <c r="U10" i="8"/>
  <c r="U13" i="8"/>
  <c r="U19" i="8"/>
  <c r="R4" i="9"/>
  <c r="S4" i="9" s="1"/>
  <c r="G5" i="10"/>
  <c r="M48" i="7"/>
  <c r="P48" i="7"/>
  <c r="S48" i="7"/>
  <c r="V48" i="7"/>
  <c r="P7" i="9"/>
  <c r="S12" i="9"/>
  <c r="S9" i="9"/>
  <c r="Z25" i="9"/>
  <c r="W4" i="9"/>
  <c r="W5" i="9"/>
  <c r="W7" i="9"/>
  <c r="W8" i="9"/>
  <c r="W9" i="9"/>
  <c r="W12" i="9"/>
  <c r="W13" i="9"/>
  <c r="W15" i="9"/>
  <c r="W17" i="9"/>
  <c r="W19" i="9"/>
  <c r="W20" i="9"/>
  <c r="W23" i="9"/>
  <c r="W24" i="9"/>
  <c r="Z4" i="9"/>
  <c r="Z5" i="9"/>
  <c r="Z7" i="9"/>
  <c r="Z8" i="9"/>
  <c r="Z9" i="9"/>
  <c r="Z12" i="9"/>
  <c r="Z13" i="9"/>
  <c r="Z15" i="9"/>
  <c r="Z17" i="9"/>
  <c r="Z19" i="9"/>
  <c r="Z20" i="9"/>
  <c r="Z23" i="9"/>
  <c r="Z24" i="9"/>
  <c r="AI25" i="9"/>
  <c r="AM25" i="9" s="1" a="1"/>
  <c r="AM25" i="9" s="1"/>
  <c r="AN25" i="9" s="1"/>
  <c r="AE25" i="9"/>
  <c r="V56" i="7"/>
  <c r="V49" i="7" s="1"/>
  <c r="S56" i="7"/>
  <c r="S49" i="7" s="1"/>
  <c r="P56" i="7"/>
  <c r="P49" i="7" s="1"/>
  <c r="M56" i="7"/>
  <c r="M49" i="7" s="1"/>
  <c r="I56" i="7"/>
  <c r="W55" i="7"/>
  <c r="N55" i="7"/>
  <c r="Q55" i="7"/>
  <c r="T55" i="7"/>
  <c r="W54" i="7"/>
  <c r="N54" i="7"/>
  <c r="Q54" i="7"/>
  <c r="T54" i="7"/>
  <c r="W53" i="7"/>
  <c r="N53" i="7"/>
  <c r="Q53" i="7"/>
  <c r="T53" i="7"/>
  <c r="W52" i="7"/>
  <c r="N52" i="7"/>
  <c r="Q52" i="7"/>
  <c r="T52" i="7"/>
  <c r="W51" i="7"/>
  <c r="N51" i="7"/>
  <c r="Q51" i="7"/>
  <c r="T51" i="7"/>
  <c r="W50" i="7"/>
  <c r="N50" i="7"/>
  <c r="Q50" i="7"/>
  <c r="T50" i="7"/>
  <c r="W47" i="7"/>
  <c r="N47" i="7"/>
  <c r="Q47" i="7"/>
  <c r="T47" i="7"/>
  <c r="W46" i="7"/>
  <c r="N46" i="7"/>
  <c r="Q46" i="7"/>
  <c r="T46" i="7"/>
  <c r="W45" i="7"/>
  <c r="N45" i="7"/>
  <c r="Q45" i="7"/>
  <c r="T45" i="7"/>
  <c r="W43" i="7"/>
  <c r="N43" i="7"/>
  <c r="Q43" i="7"/>
  <c r="T43" i="7"/>
  <c r="W42" i="7"/>
  <c r="N42" i="7"/>
  <c r="Q42" i="7"/>
  <c r="T42" i="7"/>
  <c r="W41" i="7"/>
  <c r="N41" i="7"/>
  <c r="Q41" i="7"/>
  <c r="T41" i="7"/>
  <c r="W40" i="7"/>
  <c r="N40" i="7"/>
  <c r="Q40" i="7"/>
  <c r="T40" i="7"/>
  <c r="N39" i="7"/>
  <c r="Q39" i="7"/>
  <c r="T39" i="7"/>
  <c r="W35" i="7"/>
  <c r="N35" i="7"/>
  <c r="Q35" i="7"/>
  <c r="T35" i="7"/>
  <c r="W34" i="7"/>
  <c r="N34" i="7"/>
  <c r="Q34" i="7"/>
  <c r="T34" i="7"/>
  <c r="W33" i="7"/>
  <c r="N33" i="7"/>
  <c r="Q33" i="7"/>
  <c r="T33" i="7"/>
  <c r="T30" i="7"/>
  <c r="Q30" i="7"/>
  <c r="N30" i="7"/>
  <c r="W30" i="7"/>
  <c r="W39" i="7"/>
  <c r="P4" i="9"/>
  <c r="P12" i="9"/>
  <c r="P10" i="9"/>
  <c r="S6" i="9"/>
  <c r="K3" i="8"/>
  <c r="M3" i="8" s="1"/>
  <c r="K12" i="7"/>
  <c r="Y12" i="7" s="1"/>
  <c r="K3" i="7"/>
  <c r="AD3" i="7" s="1"/>
  <c r="P13" i="9"/>
  <c r="S13" i="9"/>
  <c r="S10" i="9"/>
  <c r="S7" i="9"/>
  <c r="K28" i="7"/>
  <c r="Z28" i="7" s="1"/>
  <c r="K9" i="8"/>
  <c r="L9" i="8" s="1"/>
  <c r="S14" i="9"/>
  <c r="S11" i="9"/>
  <c r="S8" i="9"/>
  <c r="S5" i="9"/>
  <c r="Q26" i="7"/>
  <c r="P14" i="9"/>
  <c r="P11" i="9"/>
  <c r="P8" i="9"/>
  <c r="P5" i="9"/>
  <c r="Q28" i="7"/>
  <c r="N15" i="9"/>
  <c r="R15" i="9" s="1"/>
  <c r="N25" i="9"/>
  <c r="R25" i="9" s="1"/>
  <c r="J25" i="9"/>
  <c r="N24" i="9"/>
  <c r="R24" i="9" s="1"/>
  <c r="J24" i="9"/>
  <c r="N23" i="9"/>
  <c r="R23" i="9" s="1"/>
  <c r="J23" i="9"/>
  <c r="N22" i="9"/>
  <c r="R22" i="9" s="1"/>
  <c r="J22" i="9"/>
  <c r="N21" i="9"/>
  <c r="R21" i="9" s="1"/>
  <c r="J21" i="9"/>
  <c r="N20" i="9"/>
  <c r="R20" i="9" s="1"/>
  <c r="J20" i="9"/>
  <c r="N19" i="9"/>
  <c r="R19" i="9" s="1"/>
  <c r="J19" i="9"/>
  <c r="N18" i="9"/>
  <c r="R18" i="9" s="1"/>
  <c r="J18" i="9"/>
  <c r="N17" i="9"/>
  <c r="R17" i="9" s="1"/>
  <c r="J17" i="9"/>
  <c r="N16" i="9"/>
  <c r="R16" i="9" s="1"/>
  <c r="J16" i="9"/>
  <c r="K20" i="8"/>
  <c r="K19" i="8"/>
  <c r="K18" i="8"/>
  <c r="K17" i="8"/>
  <c r="K16" i="8"/>
  <c r="K15" i="8"/>
  <c r="K55" i="7"/>
  <c r="K54" i="7"/>
  <c r="K53" i="7"/>
  <c r="K52" i="7"/>
  <c r="K51" i="7"/>
  <c r="K50" i="7"/>
  <c r="K47" i="7"/>
  <c r="K46" i="7"/>
  <c r="K45" i="7"/>
  <c r="K43" i="7"/>
  <c r="K42" i="7"/>
  <c r="K41" i="7"/>
  <c r="K40" i="7"/>
  <c r="K39" i="7"/>
  <c r="K35" i="7"/>
  <c r="K34" i="7"/>
  <c r="K33" i="7"/>
  <c r="K30" i="7"/>
  <c r="J15" i="9"/>
  <c r="K11" i="8"/>
  <c r="M11" i="8" s="1"/>
  <c r="I4" i="10"/>
  <c r="AC22" i="7"/>
  <c r="AC21" i="7" s="1"/>
  <c r="V22" i="7"/>
  <c r="S22" i="7"/>
  <c r="P22" i="7"/>
  <c r="M22" i="7"/>
  <c r="I22" i="7"/>
  <c r="AG24" i="7" s="1"/>
  <c r="AB131" i="7" l="1"/>
  <c r="AA122" i="7"/>
  <c r="AB122" i="7" s="1"/>
  <c r="AE35" i="9"/>
  <c r="T49" i="9"/>
  <c r="Z120" i="7"/>
  <c r="T52" i="9"/>
  <c r="AK55" i="9"/>
  <c r="AF117" i="7"/>
  <c r="AA125" i="7"/>
  <c r="AB125" i="7" s="1"/>
  <c r="AA129" i="7"/>
  <c r="AB129" i="7" s="1"/>
  <c r="AP131" i="7"/>
  <c r="AP128" i="7"/>
  <c r="AB132" i="7"/>
  <c r="AO55" i="9"/>
  <c r="AQ55" i="9" s="1"/>
  <c r="Z117" i="7"/>
  <c r="AK56" i="9"/>
  <c r="AO56" i="9" s="1"/>
  <c r="AQ56" i="9" s="1"/>
  <c r="W117" i="7"/>
  <c r="N117" i="7"/>
  <c r="Z127" i="7"/>
  <c r="AF127" i="7"/>
  <c r="AD127" i="7"/>
  <c r="Y117" i="7"/>
  <c r="AA117" i="7" s="1"/>
  <c r="AB117" i="7" s="1"/>
  <c r="AA116" i="7"/>
  <c r="Q127" i="7"/>
  <c r="N134" i="7"/>
  <c r="W134" i="7"/>
  <c r="N120" i="7"/>
  <c r="W120" i="7"/>
  <c r="AD120" i="7"/>
  <c r="T127" i="7"/>
  <c r="Q134" i="7"/>
  <c r="Q120" i="7"/>
  <c r="N127" i="7"/>
  <c r="W127" i="7"/>
  <c r="T134" i="7"/>
  <c r="T120" i="7"/>
  <c r="AP116" i="7"/>
  <c r="AK46" i="9"/>
  <c r="AO46" i="9" s="1"/>
  <c r="AQ46" i="9" s="1"/>
  <c r="AE34" i="9"/>
  <c r="Q55" i="9"/>
  <c r="S55" i="9" s="1"/>
  <c r="P55" i="9"/>
  <c r="AP91" i="7"/>
  <c r="AP88" i="7"/>
  <c r="AP87" i="7"/>
  <c r="AP95" i="7"/>
  <c r="AO120" i="7"/>
  <c r="Y127" i="7"/>
  <c r="Z134" i="7"/>
  <c r="Y134" i="7"/>
  <c r="AB115" i="7"/>
  <c r="AO127" i="7"/>
  <c r="AD134" i="7"/>
  <c r="T48" i="9"/>
  <c r="R51" i="9"/>
  <c r="S51" i="9" s="1"/>
  <c r="P51" i="9"/>
  <c r="T50" i="9"/>
  <c r="AF133" i="7"/>
  <c r="Z133" i="7"/>
  <c r="Y133" i="7"/>
  <c r="AD133" i="7"/>
  <c r="AK50" i="9"/>
  <c r="AK48" i="9"/>
  <c r="AK47" i="9"/>
  <c r="AO47" i="9" s="1"/>
  <c r="AQ47" i="9" s="1"/>
  <c r="AK53" i="9"/>
  <c r="AO53" i="9" s="1"/>
  <c r="AQ53" i="9" s="1"/>
  <c r="AK54" i="9"/>
  <c r="AI21" i="9"/>
  <c r="AM21" i="9" s="1" a="1"/>
  <c r="AM21" i="9" s="1"/>
  <c r="AO48" i="9"/>
  <c r="AQ48" i="9" s="1"/>
  <c r="AO54" i="9"/>
  <c r="AQ54" i="9" s="1"/>
  <c r="AI54" i="7"/>
  <c r="AM54" i="7" s="1"/>
  <c r="AO50" i="9"/>
  <c r="AQ50" i="9" s="1"/>
  <c r="AK49" i="9"/>
  <c r="AO49" i="9" s="1"/>
  <c r="AQ49" i="9" s="1"/>
  <c r="AK51" i="9"/>
  <c r="AO51" i="9" s="1"/>
  <c r="AQ51" i="9" s="1"/>
  <c r="AO134" i="7"/>
  <c r="AK52" i="9"/>
  <c r="AO52" i="9" s="1"/>
  <c r="AQ52" i="9" s="1"/>
  <c r="R54" i="9"/>
  <c r="S54" i="9" s="1"/>
  <c r="P54" i="9"/>
  <c r="Z21" i="9"/>
  <c r="W29" i="9"/>
  <c r="AA29" i="9" s="1"/>
  <c r="Z26" i="9"/>
  <c r="AI24" i="7"/>
  <c r="AM24" i="7" s="1"/>
  <c r="N106" i="7"/>
  <c r="Y4" i="7"/>
  <c r="AA4" i="7" s="1"/>
  <c r="AD2" i="7"/>
  <c r="N32" i="7"/>
  <c r="AP86" i="7"/>
  <c r="S8" i="10"/>
  <c r="AP104" i="7"/>
  <c r="W16" i="9"/>
  <c r="AA16" i="9" s="1"/>
  <c r="AE31" i="9"/>
  <c r="K38" i="7"/>
  <c r="W106" i="7"/>
  <c r="Z2" i="7"/>
  <c r="AF2" i="7"/>
  <c r="AI47" i="7"/>
  <c r="AM47" i="7" s="1"/>
  <c r="W21" i="9"/>
  <c r="AA21" i="9" s="1"/>
  <c r="AI52" i="7"/>
  <c r="AM52" i="7" s="1"/>
  <c r="AB116" i="7"/>
  <c r="AJ8" i="10"/>
  <c r="AL8" i="10" s="1"/>
  <c r="Z11" i="9"/>
  <c r="AI14" i="7"/>
  <c r="AM14" i="7" s="1"/>
  <c r="AL54" i="7"/>
  <c r="AN54" i="7" s="1"/>
  <c r="P17" i="14"/>
  <c r="M17" i="14"/>
  <c r="R17" i="14"/>
  <c r="L17" i="14"/>
  <c r="AI42" i="7"/>
  <c r="AM42" i="7" s="1"/>
  <c r="Z16" i="9"/>
  <c r="AE43" i="9"/>
  <c r="AI28" i="7"/>
  <c r="AM28" i="7" s="1"/>
  <c r="R9" i="8"/>
  <c r="V9" i="8" s="1"/>
  <c r="AI16" i="9"/>
  <c r="AM16" i="9" s="1" a="1"/>
  <c r="AM16" i="9" s="1"/>
  <c r="Q38" i="7"/>
  <c r="Z74" i="7"/>
  <c r="Q106" i="7"/>
  <c r="AE32" i="9"/>
  <c r="T106" i="7"/>
  <c r="T38" i="7"/>
  <c r="R40" i="8"/>
  <c r="V40" i="8" s="1"/>
  <c r="AD6" i="7"/>
  <c r="W30" i="9"/>
  <c r="AA30" i="9" s="1"/>
  <c r="AP102" i="7"/>
  <c r="Y74" i="7"/>
  <c r="AF91" i="7"/>
  <c r="Z38" i="9"/>
  <c r="R14" i="14"/>
  <c r="L14" i="14"/>
  <c r="P14" i="14"/>
  <c r="M14" i="14"/>
  <c r="M16" i="14"/>
  <c r="R16" i="14"/>
  <c r="L16" i="14"/>
  <c r="P16" i="14"/>
  <c r="R13" i="14"/>
  <c r="M13" i="14"/>
  <c r="N13" i="14" s="1"/>
  <c r="P13" i="14"/>
  <c r="Z43" i="9"/>
  <c r="AI33" i="9"/>
  <c r="AM33" i="9" s="1" a="1"/>
  <c r="AM33" i="9" s="1"/>
  <c r="Q97" i="7"/>
  <c r="R12" i="14"/>
  <c r="L12" i="14"/>
  <c r="P12" i="14"/>
  <c r="M12" i="14"/>
  <c r="M10" i="14"/>
  <c r="R10" i="14"/>
  <c r="L10" i="14"/>
  <c r="P10" i="14"/>
  <c r="W33" i="9"/>
  <c r="AA33" i="9" s="1"/>
  <c r="AI30" i="9"/>
  <c r="AM30" i="9" s="1" a="1"/>
  <c r="AM30" i="9" s="1"/>
  <c r="AI4" i="7"/>
  <c r="AM4" i="7" s="1"/>
  <c r="AD91" i="7"/>
  <c r="K101" i="7"/>
  <c r="Z101" i="7" s="1"/>
  <c r="R15" i="14"/>
  <c r="L15" i="14"/>
  <c r="P15" i="14"/>
  <c r="M15" i="14"/>
  <c r="P11" i="14"/>
  <c r="M11" i="14"/>
  <c r="R11" i="14"/>
  <c r="L11" i="14"/>
  <c r="N38" i="7"/>
  <c r="W38" i="7"/>
  <c r="AB126" i="7"/>
  <c r="AF74" i="7"/>
  <c r="Z91" i="7"/>
  <c r="AP126" i="7"/>
  <c r="AD4" i="7"/>
  <c r="AA120" i="7"/>
  <c r="AB120" i="7" s="1"/>
  <c r="AA118" i="7"/>
  <c r="AB118" i="7" s="1"/>
  <c r="P42" i="9"/>
  <c r="AO97" i="7"/>
  <c r="Q101" i="7"/>
  <c r="W38" i="9"/>
  <c r="AA38" i="9" s="1"/>
  <c r="W101" i="7"/>
  <c r="T97" i="7"/>
  <c r="T101" i="7"/>
  <c r="AP120" i="7"/>
  <c r="AA121" i="7"/>
  <c r="AB121" i="7" s="1"/>
  <c r="S45" i="9"/>
  <c r="W43" i="9"/>
  <c r="AA43" i="9" s="1"/>
  <c r="P44" i="9"/>
  <c r="AE33" i="9"/>
  <c r="Q40" i="9"/>
  <c r="S40" i="9" s="1"/>
  <c r="T40" i="9" s="1"/>
  <c r="K96" i="7"/>
  <c r="S44" i="9"/>
  <c r="AB16" i="9"/>
  <c r="S36" i="9"/>
  <c r="I37" i="7"/>
  <c r="Z18" i="9"/>
  <c r="AB18" i="9" s="1"/>
  <c r="S98" i="7" a="1"/>
  <c r="S98" i="7" s="1"/>
  <c r="I98" i="7" a="1"/>
  <c r="I98" i="7" s="1"/>
  <c r="P98" i="7" a="1"/>
  <c r="P98" i="7" s="1"/>
  <c r="V98" i="7" a="1"/>
  <c r="V98" i="7" s="1"/>
  <c r="M98" i="7" a="1"/>
  <c r="M98" i="7" s="1"/>
  <c r="AB21" i="9"/>
  <c r="M75" i="7"/>
  <c r="M20" i="7"/>
  <c r="V75" i="7"/>
  <c r="V20" i="7"/>
  <c r="AG31" i="7"/>
  <c r="AI31" i="7" s="1"/>
  <c r="AM31" i="7" s="1"/>
  <c r="AG33" i="7"/>
  <c r="AI33" i="7" s="1"/>
  <c r="AM33" i="7" s="1"/>
  <c r="N96" i="7"/>
  <c r="N97" i="7"/>
  <c r="AC49" i="7"/>
  <c r="P75" i="7"/>
  <c r="P20" i="7"/>
  <c r="Q96" i="7"/>
  <c r="T96" i="7"/>
  <c r="I20" i="7"/>
  <c r="AB43" i="9"/>
  <c r="AB38" i="9"/>
  <c r="AO96" i="7"/>
  <c r="W96" i="7"/>
  <c r="W97" i="7"/>
  <c r="P45" i="9"/>
  <c r="T45" i="9" s="1"/>
  <c r="K7" i="10"/>
  <c r="M7" i="10" s="1"/>
  <c r="O7" i="10" s="1"/>
  <c r="S43" i="9"/>
  <c r="P38" i="9"/>
  <c r="T38" i="9" s="1"/>
  <c r="AE29" i="9"/>
  <c r="AK29" i="9" s="1"/>
  <c r="AP92" i="7"/>
  <c r="AF5" i="10"/>
  <c r="AF4" i="7"/>
  <c r="L30" i="8"/>
  <c r="T44" i="9"/>
  <c r="S39" i="9"/>
  <c r="P43" i="9"/>
  <c r="AP106" i="7"/>
  <c r="K32" i="7"/>
  <c r="AF32" i="7" s="1"/>
  <c r="Q32" i="7"/>
  <c r="AN6" i="9"/>
  <c r="T32" i="7"/>
  <c r="W32" i="7"/>
  <c r="T42" i="9"/>
  <c r="AF7" i="10"/>
  <c r="AJ7" i="10" s="1"/>
  <c r="AL7" i="10" s="1"/>
  <c r="P36" i="9"/>
  <c r="T36" i="9" s="1"/>
  <c r="AP93" i="7"/>
  <c r="P39" i="9"/>
  <c r="AF27" i="7"/>
  <c r="Y27" i="7"/>
  <c r="AA27" i="7" s="1"/>
  <c r="AB27" i="7" s="1"/>
  <c r="AD27" i="7"/>
  <c r="P26" i="9"/>
  <c r="P4" i="14"/>
  <c r="AK41" i="9"/>
  <c r="AO41" i="9" s="1"/>
  <c r="AQ41" i="9" s="1"/>
  <c r="AK45" i="9"/>
  <c r="AO45" i="9" s="1"/>
  <c r="AQ45" i="9" s="1"/>
  <c r="AK44" i="9"/>
  <c r="AO44" i="9" s="1"/>
  <c r="AQ44" i="9" s="1"/>
  <c r="AK43" i="9"/>
  <c r="AK42" i="9"/>
  <c r="AO42" i="9" s="1"/>
  <c r="AQ42" i="9" s="1"/>
  <c r="P41" i="9"/>
  <c r="Q41" i="9"/>
  <c r="P37" i="9"/>
  <c r="Q37" i="9"/>
  <c r="S37" i="9" s="1"/>
  <c r="AK38" i="9"/>
  <c r="AK37" i="9"/>
  <c r="AO37" i="9" s="1"/>
  <c r="AQ37" i="9" s="1"/>
  <c r="AK36" i="9"/>
  <c r="AO36" i="9" s="1"/>
  <c r="AQ36" i="9" s="1"/>
  <c r="AK40" i="9"/>
  <c r="AO40" i="9" s="1"/>
  <c r="AQ40" i="9" s="1"/>
  <c r="AK39" i="9"/>
  <c r="AO39" i="9" s="1"/>
  <c r="AQ39" i="9" s="1"/>
  <c r="P32" i="9"/>
  <c r="Z10" i="9"/>
  <c r="AB10" i="9" s="1"/>
  <c r="AN10" i="9"/>
  <c r="P30" i="9"/>
  <c r="AE28" i="9"/>
  <c r="M31" i="8"/>
  <c r="P78" i="7"/>
  <c r="S78" i="7"/>
  <c r="AE18" i="9"/>
  <c r="R8" i="8"/>
  <c r="V8" i="8" s="1"/>
  <c r="P28" i="9"/>
  <c r="AE30" i="9"/>
  <c r="AK30" i="9" s="1"/>
  <c r="AD89" i="7"/>
  <c r="Y89" i="7"/>
  <c r="AA89" i="7" s="1"/>
  <c r="AB89" i="7" s="1"/>
  <c r="AF89" i="7"/>
  <c r="AL20" i="7"/>
  <c r="R20" i="8"/>
  <c r="V20" i="8" s="1"/>
  <c r="Z14" i="9"/>
  <c r="AL43" i="7"/>
  <c r="AL39" i="7"/>
  <c r="AN39" i="7" s="1"/>
  <c r="AE26" i="9"/>
  <c r="AI12" i="7"/>
  <c r="AM12" i="7" s="1"/>
  <c r="AI20" i="7"/>
  <c r="AM20" i="7" s="1"/>
  <c r="AL35" i="7"/>
  <c r="AI26" i="7"/>
  <c r="AM26" i="7" s="1"/>
  <c r="N31" i="7"/>
  <c r="AD92" i="7"/>
  <c r="L2" i="14"/>
  <c r="R2" i="14"/>
  <c r="M5" i="14"/>
  <c r="R5" i="14"/>
  <c r="M7" i="14"/>
  <c r="R7" i="14"/>
  <c r="AI35" i="7"/>
  <c r="AM35" i="7" s="1"/>
  <c r="AI5" i="7"/>
  <c r="AM5" i="7" s="1"/>
  <c r="AE22" i="9"/>
  <c r="AK22" i="9" s="1"/>
  <c r="AF4" i="10"/>
  <c r="Z6" i="9"/>
  <c r="Z22" i="9"/>
  <c r="AB22" i="9" s="1"/>
  <c r="AB4" i="7"/>
  <c r="P29" i="9"/>
  <c r="AE27" i="9"/>
  <c r="P27" i="9"/>
  <c r="AF110" i="7"/>
  <c r="P34" i="9"/>
  <c r="AI18" i="9"/>
  <c r="AM18" i="9" s="1" a="1"/>
  <c r="AM18" i="9" s="1"/>
  <c r="W22" i="9"/>
  <c r="AA22" i="9" s="1"/>
  <c r="W18" i="9"/>
  <c r="AA18" i="9" s="1"/>
  <c r="P4" i="10"/>
  <c r="Q4" i="10"/>
  <c r="K31" i="7"/>
  <c r="Y31" i="7" s="1"/>
  <c r="Q31" i="7"/>
  <c r="P33" i="9"/>
  <c r="S35" i="9"/>
  <c r="AI88" i="7"/>
  <c r="AM88" i="7" s="1"/>
  <c r="Y110" i="7"/>
  <c r="AA110" i="7" s="1"/>
  <c r="AB110" i="7" s="1"/>
  <c r="AD110" i="7"/>
  <c r="AF92" i="7"/>
  <c r="T31" i="7"/>
  <c r="W31" i="7"/>
  <c r="P35" i="9"/>
  <c r="Z92" i="7"/>
  <c r="AA92" i="7" s="1"/>
  <c r="AB92" i="7" s="1"/>
  <c r="Q7" i="10"/>
  <c r="P7" i="10"/>
  <c r="Y95" i="7"/>
  <c r="AF95" i="7"/>
  <c r="Z95" i="7"/>
  <c r="AD95" i="7"/>
  <c r="P7" i="14"/>
  <c r="AI64" i="7"/>
  <c r="AM64" i="7" s="1"/>
  <c r="P2" i="14"/>
  <c r="M2" i="14"/>
  <c r="Z29" i="9"/>
  <c r="AB29" i="9" s="1"/>
  <c r="AF86" i="7"/>
  <c r="M57" i="7"/>
  <c r="P44" i="7"/>
  <c r="M78" i="7"/>
  <c r="V78" i="7"/>
  <c r="V57" i="7"/>
  <c r="P57" i="7"/>
  <c r="V44" i="7"/>
  <c r="I44" i="7"/>
  <c r="AJ51" i="7" s="1"/>
  <c r="AL51" i="7" s="1"/>
  <c r="I49" i="7"/>
  <c r="Q49" i="7" s="1"/>
  <c r="AF101" i="7"/>
  <c r="M44" i="7"/>
  <c r="S44" i="7"/>
  <c r="AC44" i="7"/>
  <c r="V9" i="7"/>
  <c r="V81" i="7"/>
  <c r="V18" i="7" s="1"/>
  <c r="M9" i="7"/>
  <c r="M81" i="7"/>
  <c r="M18" i="7" s="1"/>
  <c r="V8" i="7"/>
  <c r="V80" i="7"/>
  <c r="M8" i="7"/>
  <c r="M80" i="7"/>
  <c r="M7" i="7"/>
  <c r="L4" i="14"/>
  <c r="M4" i="14"/>
  <c r="M58" i="7"/>
  <c r="AN35" i="7"/>
  <c r="S81" i="7"/>
  <c r="S18" i="7" s="1"/>
  <c r="S80" i="7"/>
  <c r="K84" i="7"/>
  <c r="Y84" i="7" s="1"/>
  <c r="AC75" i="7"/>
  <c r="AC58" i="7"/>
  <c r="S7" i="7"/>
  <c r="AN55" i="7"/>
  <c r="AN31" i="7"/>
  <c r="P7" i="7"/>
  <c r="S16" i="8"/>
  <c r="U16" i="8" s="1"/>
  <c r="AN5" i="7"/>
  <c r="I58" i="7"/>
  <c r="AJ26" i="7"/>
  <c r="AL26" i="7" s="1"/>
  <c r="AC81" i="7"/>
  <c r="AC18" i="7" s="1"/>
  <c r="AC14" i="7" s="1"/>
  <c r="AD14" i="7" s="1"/>
  <c r="P9" i="7"/>
  <c r="P81" i="7"/>
  <c r="P18" i="7" s="1"/>
  <c r="AC80" i="7"/>
  <c r="P8" i="7"/>
  <c r="P80" i="7"/>
  <c r="S75" i="7"/>
  <c r="S58" i="7"/>
  <c r="V7" i="7"/>
  <c r="AN43" i="7"/>
  <c r="L7" i="14"/>
  <c r="Z6" i="7"/>
  <c r="Y6" i="7"/>
  <c r="AN26" i="7"/>
  <c r="V58" i="7"/>
  <c r="P58" i="7"/>
  <c r="AN14" i="7"/>
  <c r="T84" i="7"/>
  <c r="S8" i="7"/>
  <c r="K83" i="7"/>
  <c r="Y83" i="7" s="1"/>
  <c r="I7" i="7"/>
  <c r="Y88" i="7"/>
  <c r="AD88" i="7"/>
  <c r="Z88" i="7"/>
  <c r="P5" i="14"/>
  <c r="L5" i="14"/>
  <c r="S20" i="8"/>
  <c r="U20" i="8" s="1"/>
  <c r="W20" i="8" s="1"/>
  <c r="AJ38" i="7"/>
  <c r="AL38" i="7" s="1"/>
  <c r="AN38" i="7" s="1"/>
  <c r="AN28" i="7"/>
  <c r="AG56" i="7"/>
  <c r="AI56" i="7" s="1"/>
  <c r="AM56" i="7" s="1"/>
  <c r="AB6" i="9"/>
  <c r="K4" i="10"/>
  <c r="M4" i="10" s="1"/>
  <c r="O4" i="10" s="1"/>
  <c r="W27" i="9"/>
  <c r="AA27" i="9" s="1"/>
  <c r="AI34" i="9"/>
  <c r="AM34" i="9" s="1" a="1"/>
  <c r="AM34" i="9" s="1"/>
  <c r="AI31" i="9"/>
  <c r="AM31" i="9" s="1" a="1"/>
  <c r="AM31" i="9" s="1"/>
  <c r="Z32" i="9"/>
  <c r="Z35" i="9"/>
  <c r="W35" i="9"/>
  <c r="AA35" i="9" s="1"/>
  <c r="AJ112" i="7"/>
  <c r="AL112" i="7" s="1"/>
  <c r="AF94" i="7"/>
  <c r="AD94" i="7"/>
  <c r="Z94" i="7"/>
  <c r="Y94" i="7"/>
  <c r="AF88" i="7"/>
  <c r="AJ48" i="7"/>
  <c r="AL48" i="7" s="1"/>
  <c r="AN48" i="7" s="1"/>
  <c r="AJ34" i="7"/>
  <c r="AL34" i="7" s="1"/>
  <c r="AN34" i="7" s="1"/>
  <c r="AN12" i="7"/>
  <c r="AN24" i="7"/>
  <c r="S8" i="8"/>
  <c r="U8" i="8" s="1"/>
  <c r="W8" i="8" s="1"/>
  <c r="AN16" i="7"/>
  <c r="I8" i="7"/>
  <c r="AG62" i="7" s="1"/>
  <c r="AI62" i="7" s="1"/>
  <c r="AM62" i="7" s="1"/>
  <c r="AI28" i="9"/>
  <c r="AM28" i="9" s="1" a="1"/>
  <c r="AM28" i="9" s="1"/>
  <c r="Z86" i="7"/>
  <c r="AF100" i="7"/>
  <c r="Z100" i="7"/>
  <c r="Y100" i="7"/>
  <c r="Y97" i="7"/>
  <c r="AF97" i="7"/>
  <c r="Z97" i="7"/>
  <c r="AD97" i="7"/>
  <c r="L8" i="14"/>
  <c r="M8" i="14"/>
  <c r="P8" i="14"/>
  <c r="AN20" i="7"/>
  <c r="P16" i="8"/>
  <c r="R16" i="8" s="1"/>
  <c r="V16" i="8" s="1"/>
  <c r="I13" i="8"/>
  <c r="AJ40" i="7"/>
  <c r="AL40" i="7" s="1"/>
  <c r="AN40" i="7" s="1"/>
  <c r="AJ88" i="7"/>
  <c r="AL88" i="7" s="1"/>
  <c r="AN88" i="7" s="1"/>
  <c r="AN4" i="7"/>
  <c r="AJ12" i="7"/>
  <c r="AL12" i="7" s="1"/>
  <c r="I9" i="7"/>
  <c r="Z25" i="7"/>
  <c r="W32" i="9"/>
  <c r="AA32" i="9" s="1"/>
  <c r="AI27" i="9"/>
  <c r="AK27" i="9" s="1"/>
  <c r="Z27" i="9"/>
  <c r="Z30" i="9"/>
  <c r="AB30" i="9" s="1"/>
  <c r="Z33" i="9"/>
  <c r="AB33" i="9" s="1"/>
  <c r="W26" i="9"/>
  <c r="AA26" i="9" s="1"/>
  <c r="K6" i="10"/>
  <c r="M6" i="10" s="1"/>
  <c r="AF108" i="7"/>
  <c r="Z108" i="7"/>
  <c r="AD108" i="7"/>
  <c r="Y108" i="7"/>
  <c r="Z96" i="7"/>
  <c r="AD96" i="7"/>
  <c r="Y96" i="7"/>
  <c r="AF96" i="7"/>
  <c r="Z93" i="7"/>
  <c r="AD93" i="7"/>
  <c r="Y93" i="7"/>
  <c r="AF93" i="7"/>
  <c r="Y90" i="7"/>
  <c r="AF90" i="7"/>
  <c r="Z90" i="7"/>
  <c r="Y87" i="7"/>
  <c r="AF87" i="7"/>
  <c r="Z87" i="7"/>
  <c r="M6" i="14"/>
  <c r="P6" i="14"/>
  <c r="L6" i="14"/>
  <c r="P31" i="9"/>
  <c r="R31" i="8"/>
  <c r="V31" i="8" s="1"/>
  <c r="Y86" i="7"/>
  <c r="Z109" i="7"/>
  <c r="AD109" i="7"/>
  <c r="Y109" i="7"/>
  <c r="AF109" i="7"/>
  <c r="M3" i="14"/>
  <c r="P3" i="14"/>
  <c r="L3" i="14"/>
  <c r="AD90" i="7"/>
  <c r="M9" i="14"/>
  <c r="P9" i="14"/>
  <c r="L9" i="14"/>
  <c r="AD87" i="7"/>
  <c r="AA91" i="7"/>
  <c r="AB91" i="7" s="1"/>
  <c r="AF5" i="7"/>
  <c r="L23" i="8"/>
  <c r="N23" i="8" s="1"/>
  <c r="O23" i="8" s="1"/>
  <c r="Y5" i="7"/>
  <c r="AA5" i="7" s="1"/>
  <c r="AB5" i="7" s="1"/>
  <c r="N31" i="8"/>
  <c r="O31" i="8" s="1"/>
  <c r="AD5" i="7"/>
  <c r="M21" i="8"/>
  <c r="N21" i="8" s="1"/>
  <c r="O21" i="8" s="1"/>
  <c r="M7" i="8"/>
  <c r="N7" i="8" s="1"/>
  <c r="O7" i="8" s="1"/>
  <c r="M8" i="8"/>
  <c r="N8" i="8" s="1"/>
  <c r="O8" i="8" s="1"/>
  <c r="T7" i="9"/>
  <c r="AA74" i="7"/>
  <c r="AB74" i="7" s="1"/>
  <c r="AH5" i="10" a="1"/>
  <c r="AH5" i="10" s="1"/>
  <c r="AI5" i="10" s="1"/>
  <c r="AD25" i="7"/>
  <c r="M6" i="8"/>
  <c r="N6" i="8" s="1"/>
  <c r="O6" i="8" s="1"/>
  <c r="R25" i="8"/>
  <c r="V25" i="8" s="1"/>
  <c r="AD13" i="7"/>
  <c r="L5" i="8"/>
  <c r="N5" i="8" s="1"/>
  <c r="O5" i="8" s="1"/>
  <c r="M2" i="8"/>
  <c r="N2" i="8" s="1"/>
  <c r="O2" i="8" s="1"/>
  <c r="Y25" i="7"/>
  <c r="Y13" i="7"/>
  <c r="AI32" i="9"/>
  <c r="AK32" i="9" s="1"/>
  <c r="AK33" i="9"/>
  <c r="AI26" i="9"/>
  <c r="AM26" i="9" s="1" a="1"/>
  <c r="AM26" i="9" s="1"/>
  <c r="W28" i="9"/>
  <c r="AA28" i="9" s="1"/>
  <c r="W31" i="9"/>
  <c r="AA31" i="9" s="1"/>
  <c r="W34" i="9"/>
  <c r="AA34" i="9" s="1"/>
  <c r="AI35" i="9"/>
  <c r="AM35" i="9" s="1" a="1"/>
  <c r="AM35" i="9" s="1"/>
  <c r="Z28" i="9"/>
  <c r="Z31" i="9"/>
  <c r="Z34" i="9"/>
  <c r="AM29" i="9" a="1"/>
  <c r="AM29" i="9" s="1"/>
  <c r="Z13" i="7"/>
  <c r="AI82" i="7"/>
  <c r="AM82" i="7" s="1"/>
  <c r="Y82" i="7"/>
  <c r="AF82" i="7"/>
  <c r="Z82" i="7"/>
  <c r="AD82" i="7"/>
  <c r="AF26" i="7"/>
  <c r="T13" i="9"/>
  <c r="AD24" i="7"/>
  <c r="AI67" i="7"/>
  <c r="AM67" i="7" s="1"/>
  <c r="AI68" i="7"/>
  <c r="AM68" i="7" s="1"/>
  <c r="Z26" i="7"/>
  <c r="Y26" i="7"/>
  <c r="AF24" i="7"/>
  <c r="T6" i="9"/>
  <c r="Y24" i="7"/>
  <c r="AA24" i="7" s="1"/>
  <c r="AB24" i="7" s="1"/>
  <c r="R28" i="8"/>
  <c r="V28" i="8" s="1"/>
  <c r="M9" i="8"/>
  <c r="N9" i="8" s="1"/>
  <c r="O9" i="8" s="1"/>
  <c r="Z12" i="7"/>
  <c r="AA12" i="7" s="1"/>
  <c r="AB12" i="7" s="1"/>
  <c r="R27" i="8"/>
  <c r="V27" i="8" s="1"/>
  <c r="AB6" i="10"/>
  <c r="AD6" i="10" s="1"/>
  <c r="I5" i="10"/>
  <c r="T6" i="10"/>
  <c r="AM4" i="9" a="1"/>
  <c r="AM4" i="9" s="1"/>
  <c r="AN4" i="9" s="1"/>
  <c r="P6" i="10"/>
  <c r="Y23" i="7"/>
  <c r="AG83" i="7"/>
  <c r="AI83" i="7" s="1"/>
  <c r="AM83" i="7" s="1"/>
  <c r="S26" i="9"/>
  <c r="T26" i="9" s="1"/>
  <c r="S27" i="9"/>
  <c r="S28" i="9"/>
  <c r="T28" i="9" s="1"/>
  <c r="S29" i="9"/>
  <c r="S30" i="9"/>
  <c r="S31" i="9"/>
  <c r="S32" i="9"/>
  <c r="S33" i="9"/>
  <c r="S34" i="9"/>
  <c r="AF23" i="7"/>
  <c r="Z23" i="7"/>
  <c r="W84" i="7"/>
  <c r="N84" i="7"/>
  <c r="W83" i="7"/>
  <c r="AF61" i="7"/>
  <c r="Z61" i="7"/>
  <c r="Y61" i="7"/>
  <c r="Q83" i="7"/>
  <c r="AD61" i="7"/>
  <c r="R26" i="8"/>
  <c r="V26" i="8" s="1"/>
  <c r="T83" i="7"/>
  <c r="N83" i="7"/>
  <c r="Y60" i="7"/>
  <c r="AF60" i="7"/>
  <c r="Z60" i="7"/>
  <c r="M27" i="8"/>
  <c r="L27" i="8"/>
  <c r="I75" i="7"/>
  <c r="AD60" i="7"/>
  <c r="Y3" i="7"/>
  <c r="Z59" i="7"/>
  <c r="Y59" i="7"/>
  <c r="AF59" i="7"/>
  <c r="L24" i="8"/>
  <c r="M24" i="8"/>
  <c r="T9" i="9"/>
  <c r="Y14" i="7"/>
  <c r="AA14" i="7" s="1"/>
  <c r="M29" i="8"/>
  <c r="L29" i="8"/>
  <c r="AF66" i="7"/>
  <c r="Z66" i="7"/>
  <c r="AD66" i="7"/>
  <c r="Y66" i="7"/>
  <c r="AF63" i="7"/>
  <c r="Z63" i="7"/>
  <c r="AD63" i="7"/>
  <c r="Y63" i="7"/>
  <c r="L25" i="8"/>
  <c r="M25" i="8"/>
  <c r="L3" i="8"/>
  <c r="N3" i="8" s="1"/>
  <c r="O3" i="8" s="1"/>
  <c r="AH4" i="10" a="1"/>
  <c r="AH4" i="10" s="1"/>
  <c r="AI4" i="10" s="1"/>
  <c r="AF14" i="7"/>
  <c r="N30" i="8"/>
  <c r="O30" i="8" s="1"/>
  <c r="R24" i="8"/>
  <c r="V24" i="8" s="1"/>
  <c r="AI60" i="7"/>
  <c r="AL71" i="7"/>
  <c r="Q84" i="7"/>
  <c r="M26" i="8"/>
  <c r="L26" i="8"/>
  <c r="Y68" i="7"/>
  <c r="AF68" i="7"/>
  <c r="Z68" i="7"/>
  <c r="AD68" i="7"/>
  <c r="Y65" i="7"/>
  <c r="AF65" i="7"/>
  <c r="Z65" i="7"/>
  <c r="AD65" i="7"/>
  <c r="Y62" i="7"/>
  <c r="AF62" i="7"/>
  <c r="Z62" i="7"/>
  <c r="AD62" i="7"/>
  <c r="Z83" i="7"/>
  <c r="M22" i="8"/>
  <c r="L22" i="8"/>
  <c r="Z67" i="7"/>
  <c r="AD67" i="7"/>
  <c r="Y67" i="7"/>
  <c r="AF67" i="7"/>
  <c r="Z64" i="7"/>
  <c r="AD64" i="7"/>
  <c r="Y64" i="7"/>
  <c r="AF64" i="7"/>
  <c r="L28" i="8"/>
  <c r="M28" i="8"/>
  <c r="AI66" i="7"/>
  <c r="AF76" i="7"/>
  <c r="Z76" i="7"/>
  <c r="Y76" i="7"/>
  <c r="N76" i="7"/>
  <c r="Q76" i="7"/>
  <c r="T76" i="7"/>
  <c r="W76" i="7"/>
  <c r="AD76" i="7"/>
  <c r="R29" i="8"/>
  <c r="R30" i="8"/>
  <c r="AJ77" i="7"/>
  <c r="AL77" i="7" s="1"/>
  <c r="AG84" i="7"/>
  <c r="AI84" i="7" s="1"/>
  <c r="AF12" i="7"/>
  <c r="N56" i="7"/>
  <c r="P15" i="9"/>
  <c r="T8" i="9"/>
  <c r="AD12" i="7"/>
  <c r="Q56" i="7"/>
  <c r="AD28" i="7"/>
  <c r="T5" i="9"/>
  <c r="T14" i="9"/>
  <c r="T10" i="9"/>
  <c r="K56" i="7"/>
  <c r="AF56" i="7" s="1"/>
  <c r="T56" i="7"/>
  <c r="W56" i="7"/>
  <c r="T12" i="9"/>
  <c r="AK24" i="9"/>
  <c r="AO24" i="9" s="1"/>
  <c r="AQ24" i="9" s="1"/>
  <c r="AK21" i="9"/>
  <c r="AK18" i="9"/>
  <c r="AK15" i="9"/>
  <c r="AO15" i="9" s="1"/>
  <c r="AQ15" i="9" s="1"/>
  <c r="AK14" i="9"/>
  <c r="AO14" i="9" s="1"/>
  <c r="AK12" i="9"/>
  <c r="AO12" i="9" s="1"/>
  <c r="AQ12" i="9" s="1"/>
  <c r="AK11" i="9"/>
  <c r="AO11" i="9" s="1"/>
  <c r="AK9" i="9"/>
  <c r="AO9" i="9" s="1"/>
  <c r="AQ9" i="9" s="1"/>
  <c r="AK8" i="9"/>
  <c r="AO8" i="9" s="1"/>
  <c r="AQ8" i="9" s="1"/>
  <c r="AK6" i="9"/>
  <c r="AK5" i="9"/>
  <c r="AO5" i="9" s="1"/>
  <c r="AQ5" i="9" s="1"/>
  <c r="AK23" i="9"/>
  <c r="AO23" i="9" s="1"/>
  <c r="AQ23" i="9" s="1"/>
  <c r="AK20" i="9"/>
  <c r="AO20" i="9" s="1"/>
  <c r="AQ20" i="9" s="1"/>
  <c r="AK17" i="9"/>
  <c r="AO17" i="9" s="1"/>
  <c r="AQ17" i="9" s="1"/>
  <c r="Y28" i="7"/>
  <c r="AA28" i="7" s="1"/>
  <c r="AB28" i="7" s="1"/>
  <c r="AF3" i="7"/>
  <c r="AA2" i="7"/>
  <c r="AB2" i="7" s="1"/>
  <c r="AF28" i="7"/>
  <c r="Z3" i="7"/>
  <c r="AK25" i="9"/>
  <c r="AO25" i="9" s="1"/>
  <c r="AQ25" i="9" s="1"/>
  <c r="AK19" i="9"/>
  <c r="AO19" i="9" s="1"/>
  <c r="AQ19" i="9" s="1"/>
  <c r="AK16" i="9"/>
  <c r="AK13" i="9"/>
  <c r="AO13" i="9" s="1"/>
  <c r="AQ13" i="9" s="1"/>
  <c r="AK10" i="9"/>
  <c r="AO10" i="9" s="1"/>
  <c r="AK7" i="9"/>
  <c r="AO7" i="9" s="1"/>
  <c r="AQ7" i="9" s="1"/>
  <c r="AK4" i="9"/>
  <c r="T4" i="9"/>
  <c r="T11" i="9"/>
  <c r="K5" i="10"/>
  <c r="M5" i="10" s="1"/>
  <c r="L11" i="8"/>
  <c r="N11" i="8" s="1"/>
  <c r="O11" i="8" s="1"/>
  <c r="Q15" i="9"/>
  <c r="P16" i="9"/>
  <c r="Q16" i="9"/>
  <c r="P17" i="9"/>
  <c r="Q17" i="9"/>
  <c r="P18" i="9"/>
  <c r="Q18" i="9"/>
  <c r="P19" i="9"/>
  <c r="Q19" i="9"/>
  <c r="P20" i="9"/>
  <c r="Q20" i="9"/>
  <c r="P21" i="9"/>
  <c r="Q21" i="9"/>
  <c r="P22" i="9"/>
  <c r="Q22" i="9"/>
  <c r="P23" i="9"/>
  <c r="Q23" i="9"/>
  <c r="P24" i="9"/>
  <c r="Q24" i="9"/>
  <c r="P25" i="9"/>
  <c r="Q25" i="9"/>
  <c r="AF30" i="7"/>
  <c r="Y30" i="7"/>
  <c r="Z30" i="7"/>
  <c r="AD30" i="7"/>
  <c r="AF31" i="7"/>
  <c r="Y32" i="7"/>
  <c r="AF33" i="7"/>
  <c r="Y33" i="7"/>
  <c r="Z33" i="7"/>
  <c r="AD33" i="7"/>
  <c r="AF34" i="7"/>
  <c r="Y34" i="7"/>
  <c r="Z34" i="7"/>
  <c r="AD34" i="7"/>
  <c r="AF35" i="7"/>
  <c r="Y35" i="7"/>
  <c r="Z35" i="7"/>
  <c r="AD35" i="7"/>
  <c r="AF38" i="7"/>
  <c r="Y38" i="7"/>
  <c r="Z38" i="7"/>
  <c r="AD38" i="7"/>
  <c r="AF39" i="7"/>
  <c r="Y39" i="7"/>
  <c r="Z39" i="7"/>
  <c r="AD39" i="7"/>
  <c r="AF40" i="7"/>
  <c r="Y40" i="7"/>
  <c r="Z40" i="7"/>
  <c r="AD40" i="7"/>
  <c r="AF41" i="7"/>
  <c r="Y41" i="7"/>
  <c r="Z41" i="7"/>
  <c r="AD41" i="7"/>
  <c r="AF42" i="7"/>
  <c r="Y42" i="7"/>
  <c r="Z42" i="7"/>
  <c r="AD42" i="7"/>
  <c r="AF43" i="7"/>
  <c r="Y43" i="7"/>
  <c r="Z43" i="7"/>
  <c r="AD43" i="7"/>
  <c r="AF45" i="7"/>
  <c r="Y45" i="7"/>
  <c r="Z45" i="7"/>
  <c r="AD45" i="7"/>
  <c r="AF46" i="7"/>
  <c r="Y46" i="7"/>
  <c r="Z46" i="7"/>
  <c r="AD46" i="7"/>
  <c r="AF47" i="7"/>
  <c r="Y47" i="7"/>
  <c r="Z47" i="7"/>
  <c r="AD47" i="7"/>
  <c r="AF50" i="7"/>
  <c r="Y50" i="7"/>
  <c r="Z50" i="7"/>
  <c r="AD50" i="7"/>
  <c r="AF51" i="7"/>
  <c r="Y51" i="7"/>
  <c r="Z51" i="7"/>
  <c r="AD51" i="7"/>
  <c r="AF52" i="7"/>
  <c r="Y52" i="7"/>
  <c r="Z52" i="7"/>
  <c r="AD52" i="7"/>
  <c r="AF53" i="7"/>
  <c r="Y53" i="7"/>
  <c r="Z53" i="7"/>
  <c r="AD53" i="7"/>
  <c r="AF54" i="7"/>
  <c r="Y54" i="7"/>
  <c r="Z54" i="7"/>
  <c r="AD54" i="7"/>
  <c r="AF55" i="7"/>
  <c r="Y55" i="7"/>
  <c r="Z55" i="7"/>
  <c r="AD55" i="7"/>
  <c r="L15" i="8"/>
  <c r="M15" i="8"/>
  <c r="L16" i="8"/>
  <c r="M16" i="8"/>
  <c r="L17" i="8"/>
  <c r="M17" i="8"/>
  <c r="L18" i="8"/>
  <c r="M18" i="8"/>
  <c r="L19" i="8"/>
  <c r="M19" i="8"/>
  <c r="L20" i="8"/>
  <c r="M20" i="8"/>
  <c r="K22" i="7"/>
  <c r="AF22" i="7" s="1"/>
  <c r="I21" i="7"/>
  <c r="M21" i="7"/>
  <c r="N22" i="7"/>
  <c r="P21" i="7"/>
  <c r="Q22" i="7"/>
  <c r="S21" i="7"/>
  <c r="T22" i="7"/>
  <c r="V21" i="7"/>
  <c r="W22" i="7"/>
  <c r="AP127" i="7" l="1"/>
  <c r="R4" i="10"/>
  <c r="W49" i="7"/>
  <c r="T33" i="9"/>
  <c r="AP134" i="7"/>
  <c r="AA127" i="7"/>
  <c r="AB127" i="7" s="1"/>
  <c r="T55" i="9"/>
  <c r="Y101" i="7"/>
  <c r="AA134" i="7"/>
  <c r="AB134" i="7" s="1"/>
  <c r="T54" i="9"/>
  <c r="T51" i="9"/>
  <c r="AA133" i="7"/>
  <c r="AB133" i="7" s="1"/>
  <c r="N16" i="14"/>
  <c r="N17" i="14"/>
  <c r="Z32" i="7"/>
  <c r="K49" i="7"/>
  <c r="W98" i="7"/>
  <c r="N12" i="14"/>
  <c r="N10" i="14"/>
  <c r="N14" i="14"/>
  <c r="N15" i="14"/>
  <c r="N11" i="14"/>
  <c r="AD32" i="7"/>
  <c r="T29" i="9"/>
  <c r="N7" i="14"/>
  <c r="AP101" i="7"/>
  <c r="T30" i="9"/>
  <c r="AD31" i="7"/>
  <c r="N2" i="14"/>
  <c r="AJ56" i="7"/>
  <c r="AL56" i="7" s="1"/>
  <c r="AD84" i="7"/>
  <c r="AJ4" i="10"/>
  <c r="AL4" i="10" s="1"/>
  <c r="K98" i="7"/>
  <c r="AF83" i="7"/>
  <c r="T27" i="9"/>
  <c r="T98" i="7"/>
  <c r="I114" i="7" a="1"/>
  <c r="I114" i="7" s="1"/>
  <c r="V114" i="7" a="1"/>
  <c r="V114" i="7" s="1"/>
  <c r="S114" i="7" a="1"/>
  <c r="S114" i="7" s="1"/>
  <c r="T35" i="9"/>
  <c r="P114" i="7" a="1"/>
  <c r="P114" i="7" s="1"/>
  <c r="M114" i="7" a="1"/>
  <c r="M114" i="7" s="1"/>
  <c r="AP11" i="9"/>
  <c r="AQ11" i="9" s="1"/>
  <c r="Z31" i="7"/>
  <c r="AD83" i="7"/>
  <c r="T32" i="9"/>
  <c r="S19" i="7"/>
  <c r="S70" i="7"/>
  <c r="M11" i="7"/>
  <c r="M73" i="7"/>
  <c r="M17" i="7" s="1"/>
  <c r="S11" i="7"/>
  <c r="S73" i="7"/>
  <c r="T39" i="9"/>
  <c r="P70" i="7"/>
  <c r="I19" i="7"/>
  <c r="K19" i="7" s="1"/>
  <c r="AC19" i="7"/>
  <c r="AC15" i="7" s="1"/>
  <c r="AC70" i="7"/>
  <c r="P11" i="7"/>
  <c r="P73" i="7"/>
  <c r="M70" i="7"/>
  <c r="N5" i="14"/>
  <c r="V11" i="7"/>
  <c r="V73" i="7"/>
  <c r="V17" i="7" s="1"/>
  <c r="V70" i="7"/>
  <c r="W37" i="7"/>
  <c r="T37" i="7"/>
  <c r="N37" i="7"/>
  <c r="Q37" i="7"/>
  <c r="K37" i="7"/>
  <c r="AG46" i="7"/>
  <c r="AI46" i="7" s="1"/>
  <c r="AM46" i="7" s="1"/>
  <c r="T43" i="9"/>
  <c r="K20" i="7"/>
  <c r="Q20" i="7"/>
  <c r="AP96" i="7"/>
  <c r="W20" i="7"/>
  <c r="M19" i="7"/>
  <c r="N98" i="7"/>
  <c r="AO98" i="7"/>
  <c r="Z98" i="7"/>
  <c r="Y98" i="7"/>
  <c r="AF98" i="7"/>
  <c r="I15" i="7"/>
  <c r="S14" i="7"/>
  <c r="S41" i="9"/>
  <c r="T41" i="9" s="1"/>
  <c r="AL43" i="9"/>
  <c r="AN43" i="9" s="1"/>
  <c r="AO43" i="9" s="1"/>
  <c r="P19" i="7"/>
  <c r="AL38" i="9"/>
  <c r="AN38" i="9" s="1"/>
  <c r="AO38" i="9" s="1"/>
  <c r="V19" i="7"/>
  <c r="P17" i="7"/>
  <c r="AG22" i="7"/>
  <c r="AI22" i="7" s="1"/>
  <c r="AM22" i="7" s="1"/>
  <c r="AG23" i="7"/>
  <c r="AI23" i="7" s="1"/>
  <c r="S17" i="7"/>
  <c r="AL21" i="9"/>
  <c r="AN21" i="9" s="1"/>
  <c r="AO21" i="9" s="1"/>
  <c r="S15" i="9"/>
  <c r="T15" i="9" s="1"/>
  <c r="AL16" i="9"/>
  <c r="AN16" i="9" s="1"/>
  <c r="AO16" i="9" s="1"/>
  <c r="AP6" i="9"/>
  <c r="AG9" i="7"/>
  <c r="AI9" i="7" s="1"/>
  <c r="AG51" i="7"/>
  <c r="AI51" i="7" s="1"/>
  <c r="AM51" i="7" s="1"/>
  <c r="AG49" i="7"/>
  <c r="AI49" i="7" s="1"/>
  <c r="AM49" i="7" s="1"/>
  <c r="AJ106" i="7"/>
  <c r="AL106" i="7" s="1"/>
  <c r="AN106" i="7" s="1"/>
  <c r="AJ41" i="7"/>
  <c r="AL41" i="7" s="1"/>
  <c r="AN41" i="7" s="1"/>
  <c r="AJ49" i="7"/>
  <c r="AL49" i="7" s="1"/>
  <c r="AP97" i="7"/>
  <c r="N20" i="7"/>
  <c r="Q98" i="7"/>
  <c r="T20" i="7"/>
  <c r="T49" i="7"/>
  <c r="AK31" i="9"/>
  <c r="AF84" i="7"/>
  <c r="N49" i="7"/>
  <c r="AO6" i="9"/>
  <c r="T34" i="9"/>
  <c r="AJ5" i="10"/>
  <c r="AL5" i="10" s="1"/>
  <c r="Z84" i="7"/>
  <c r="AA84" i="7" s="1"/>
  <c r="AB84" i="7" s="1"/>
  <c r="T37" i="9"/>
  <c r="AP38" i="9" s="1"/>
  <c r="P79" i="7"/>
  <c r="S79" i="7"/>
  <c r="M79" i="7"/>
  <c r="M69" i="7" s="1"/>
  <c r="V79" i="7"/>
  <c r="V69" i="7" s="1"/>
  <c r="P5" i="10"/>
  <c r="AG6" i="10" s="1"/>
  <c r="Q5" i="10"/>
  <c r="R7" i="10"/>
  <c r="S7" i="10" s="1"/>
  <c r="AA95" i="7"/>
  <c r="AB95" i="7" s="1"/>
  <c r="AB32" i="9"/>
  <c r="AB35" i="9"/>
  <c r="AK28" i="9"/>
  <c r="D9" i="12"/>
  <c r="E9" i="12" s="1"/>
  <c r="T31" i="9"/>
  <c r="AA13" i="7"/>
  <c r="AB13" i="7" s="1"/>
  <c r="AB26" i="9"/>
  <c r="AA25" i="7"/>
  <c r="AB25" i="7" s="1"/>
  <c r="AC107" i="7"/>
  <c r="AA6" i="7"/>
  <c r="AB6" i="7" s="1"/>
  <c r="AM32" i="9" a="1"/>
  <c r="AM32" i="9" s="1"/>
  <c r="AM27" i="9" a="1"/>
  <c r="AM27" i="9" s="1"/>
  <c r="AA86" i="7"/>
  <c r="AB86" i="7" s="1"/>
  <c r="AB27" i="9"/>
  <c r="AK26" i="9"/>
  <c r="AA109" i="7"/>
  <c r="AB109" i="7" s="1"/>
  <c r="N6" i="14"/>
  <c r="AK34" i="9"/>
  <c r="AB34" i="9"/>
  <c r="N8" i="14"/>
  <c r="AA101" i="7"/>
  <c r="AB101" i="7" s="1"/>
  <c r="R6" i="10"/>
  <c r="AA26" i="7"/>
  <c r="AB26" i="7" s="1"/>
  <c r="AC78" i="7"/>
  <c r="AC73" i="7" s="1"/>
  <c r="AC17" i="7" s="1"/>
  <c r="S57" i="7"/>
  <c r="AC57" i="7"/>
  <c r="N44" i="7"/>
  <c r="M77" i="7"/>
  <c r="K13" i="8"/>
  <c r="P22" i="8"/>
  <c r="R22" i="8" s="1"/>
  <c r="V22" i="8" s="1"/>
  <c r="AA100" i="7"/>
  <c r="AB100" i="7" s="1"/>
  <c r="AJ61" i="7"/>
  <c r="AL61" i="7" s="1"/>
  <c r="AG61" i="7"/>
  <c r="AI61" i="7" s="1"/>
  <c r="AM61" i="7" s="1"/>
  <c r="AJ60" i="7"/>
  <c r="AL60" i="7" s="1"/>
  <c r="AN60" i="7" s="1"/>
  <c r="Q58" i="7"/>
  <c r="K58" i="7"/>
  <c r="AF58" i="7" s="1"/>
  <c r="AJ58" i="7"/>
  <c r="AL58" i="7" s="1"/>
  <c r="K44" i="7"/>
  <c r="Q44" i="7"/>
  <c r="O6" i="10"/>
  <c r="W58" i="7"/>
  <c r="T58" i="7"/>
  <c r="T44" i="7"/>
  <c r="W44" i="7"/>
  <c r="K9" i="7"/>
  <c r="Y9" i="7" s="1"/>
  <c r="AJ108" i="7"/>
  <c r="AL108" i="7" s="1"/>
  <c r="AN108" i="7" s="1"/>
  <c r="AA88" i="7"/>
  <c r="AB88" i="7" s="1"/>
  <c r="I79" i="7"/>
  <c r="I69" i="7" s="1"/>
  <c r="K69" i="7" s="1"/>
  <c r="N58" i="7"/>
  <c r="N4" i="14"/>
  <c r="D3" i="12"/>
  <c r="E3" i="12" s="1"/>
  <c r="K8" i="7"/>
  <c r="Z8" i="7" s="1"/>
  <c r="I78" i="7"/>
  <c r="AJ92" i="7"/>
  <c r="AL92" i="7" s="1"/>
  <c r="AN92" i="7" s="1"/>
  <c r="AJ104" i="7"/>
  <c r="AL104" i="7" s="1"/>
  <c r="AN22" i="7"/>
  <c r="AL18" i="9"/>
  <c r="AN18" i="9" s="1"/>
  <c r="AO18" i="9" s="1"/>
  <c r="K75" i="7"/>
  <c r="I57" i="7"/>
  <c r="AJ62" i="7"/>
  <c r="AL62" i="7" s="1"/>
  <c r="AN62" i="7" s="1"/>
  <c r="W7" i="7"/>
  <c r="AJ5" i="7"/>
  <c r="AL5" i="7" s="1"/>
  <c r="AJ8" i="7"/>
  <c r="AL8" i="7" s="1"/>
  <c r="I80" i="7"/>
  <c r="K80" i="7" s="1"/>
  <c r="I81" i="7"/>
  <c r="AJ100" i="7"/>
  <c r="AL100" i="7" s="1"/>
  <c r="AP14" i="9"/>
  <c r="AQ14" i="9" s="1"/>
  <c r="AP10" i="9"/>
  <c r="AQ10" i="9" s="1"/>
  <c r="AA97" i="7"/>
  <c r="AB97" i="7" s="1"/>
  <c r="AB14" i="9"/>
  <c r="T7" i="7"/>
  <c r="AN56" i="7"/>
  <c r="N7" i="7"/>
  <c r="N9" i="7"/>
  <c r="AG104" i="7"/>
  <c r="AI104" i="7" s="1"/>
  <c r="Q8" i="7"/>
  <c r="W16" i="8"/>
  <c r="N8" i="7"/>
  <c r="W9" i="7"/>
  <c r="Q9" i="7"/>
  <c r="AL22" i="9"/>
  <c r="AN22" i="9" s="1"/>
  <c r="AO22" i="9" s="1"/>
  <c r="Z104" i="7"/>
  <c r="Y104" i="7"/>
  <c r="AF104" i="7"/>
  <c r="AA94" i="7"/>
  <c r="AB94" i="7" s="1"/>
  <c r="K7" i="7"/>
  <c r="AG8" i="7"/>
  <c r="AI8" i="7" s="1"/>
  <c r="T8" i="7"/>
  <c r="Q7" i="7"/>
  <c r="W8" i="7"/>
  <c r="AD104" i="7"/>
  <c r="N9" i="14"/>
  <c r="N3" i="14"/>
  <c r="AA93" i="7"/>
  <c r="AB93" i="7" s="1"/>
  <c r="AA87" i="7"/>
  <c r="AB87" i="7" s="1"/>
  <c r="AA90" i="7"/>
  <c r="AB90" i="7" s="1"/>
  <c r="AA96" i="7"/>
  <c r="AB96" i="7" s="1"/>
  <c r="AA108" i="7"/>
  <c r="AB108" i="7" s="1"/>
  <c r="Z103" i="7"/>
  <c r="Y103" i="7"/>
  <c r="AF103" i="7"/>
  <c r="Z56" i="7"/>
  <c r="AB28" i="9"/>
  <c r="AB31" i="9"/>
  <c r="AK35" i="9"/>
  <c r="Y56" i="7"/>
  <c r="AA3" i="7"/>
  <c r="AB3" i="7" s="1"/>
  <c r="AA82" i="7"/>
  <c r="AB82" i="7" s="1"/>
  <c r="AA23" i="7"/>
  <c r="AB23" i="7" s="1"/>
  <c r="AO4" i="9"/>
  <c r="AQ4" i="9" s="1"/>
  <c r="N27" i="8"/>
  <c r="O27" i="8" s="1"/>
  <c r="X6" i="10"/>
  <c r="Z6" i="10" s="1"/>
  <c r="V6" i="10"/>
  <c r="AA67" i="7"/>
  <c r="AB67" i="7" s="1"/>
  <c r="AD56" i="7"/>
  <c r="N22" i="8"/>
  <c r="O22" i="8" s="1"/>
  <c r="AA63" i="7"/>
  <c r="AB63" i="7" s="1"/>
  <c r="S24" i="9"/>
  <c r="T24" i="9" s="1"/>
  <c r="AL34" i="9"/>
  <c r="AN34" i="9" s="1"/>
  <c r="S23" i="9"/>
  <c r="T23" i="9" s="1"/>
  <c r="AP33" i="9" s="1"/>
  <c r="AL33" i="9"/>
  <c r="AN33" i="9" s="1"/>
  <c r="AO33" i="9" s="1"/>
  <c r="S22" i="9"/>
  <c r="T22" i="9" s="1"/>
  <c r="AL32" i="9"/>
  <c r="S21" i="9"/>
  <c r="T21" i="9" s="1"/>
  <c r="AP31" i="9" s="1"/>
  <c r="AL31" i="9"/>
  <c r="AN31" i="9" s="1"/>
  <c r="S20" i="9"/>
  <c r="T20" i="9" s="1"/>
  <c r="AL30" i="9"/>
  <c r="AN30" i="9" s="1"/>
  <c r="AO30" i="9" s="1"/>
  <c r="S19" i="9"/>
  <c r="T19" i="9" s="1"/>
  <c r="AL29" i="9"/>
  <c r="AN29" i="9" s="1"/>
  <c r="AO29" i="9" s="1"/>
  <c r="S18" i="9"/>
  <c r="T18" i="9" s="1"/>
  <c r="AL28" i="9"/>
  <c r="AN28" i="9" s="1"/>
  <c r="S17" i="9"/>
  <c r="T17" i="9" s="1"/>
  <c r="AL27" i="9"/>
  <c r="S16" i="9"/>
  <c r="T16" i="9" s="1"/>
  <c r="AL26" i="9"/>
  <c r="AN26" i="9" s="1"/>
  <c r="S25" i="9"/>
  <c r="T25" i="9" s="1"/>
  <c r="AP35" i="9" s="1"/>
  <c r="AL35" i="9"/>
  <c r="AN35" i="9" s="1"/>
  <c r="N24" i="8"/>
  <c r="O24" i="8" s="1"/>
  <c r="N29" i="8"/>
  <c r="O29" i="8" s="1"/>
  <c r="AA59" i="7"/>
  <c r="AB59" i="7" s="1"/>
  <c r="AA60" i="7"/>
  <c r="AB60" i="7" s="1"/>
  <c r="Q75" i="7"/>
  <c r="AA61" i="7"/>
  <c r="AB61" i="7" s="1"/>
  <c r="T75" i="7"/>
  <c r="W75" i="7"/>
  <c r="N75" i="7"/>
  <c r="N28" i="8"/>
  <c r="O28" i="8" s="1"/>
  <c r="AA83" i="7"/>
  <c r="AB83" i="7" s="1"/>
  <c r="AA76" i="7"/>
  <c r="AB76" i="7" s="1"/>
  <c r="AA68" i="7"/>
  <c r="AB68" i="7" s="1"/>
  <c r="AA66" i="7"/>
  <c r="AB66" i="7" s="1"/>
  <c r="AA64" i="7"/>
  <c r="AB64" i="7" s="1"/>
  <c r="AA62" i="7"/>
  <c r="AB62" i="7" s="1"/>
  <c r="N26" i="8"/>
  <c r="O26" i="8" s="1"/>
  <c r="AM60" i="7"/>
  <c r="N25" i="8"/>
  <c r="O25" i="8" s="1"/>
  <c r="AA65" i="7"/>
  <c r="AB65" i="7" s="1"/>
  <c r="V30" i="8"/>
  <c r="V29" i="8"/>
  <c r="AM66" i="7"/>
  <c r="K21" i="7"/>
  <c r="Z21" i="7" s="1"/>
  <c r="AG76" i="7"/>
  <c r="AI76" i="7" s="1"/>
  <c r="AM84" i="7"/>
  <c r="N48" i="7"/>
  <c r="Q48" i="7"/>
  <c r="T48" i="7"/>
  <c r="W48" i="7"/>
  <c r="O5" i="10"/>
  <c r="T21" i="7"/>
  <c r="W21" i="7"/>
  <c r="N21" i="7"/>
  <c r="K48" i="7"/>
  <c r="Y49" i="7"/>
  <c r="Z49" i="7"/>
  <c r="AF49" i="7"/>
  <c r="AD49" i="7"/>
  <c r="N20" i="8"/>
  <c r="O20" i="8" s="1"/>
  <c r="N19" i="8"/>
  <c r="O19" i="8" s="1"/>
  <c r="N18" i="8"/>
  <c r="O18" i="8" s="1"/>
  <c r="N17" i="8"/>
  <c r="O17" i="8" s="1"/>
  <c r="N16" i="8"/>
  <c r="O16" i="8" s="1"/>
  <c r="N15" i="8"/>
  <c r="O15" i="8" s="1"/>
  <c r="AA55" i="7"/>
  <c r="AB55" i="7" s="1"/>
  <c r="AA54" i="7"/>
  <c r="AB54" i="7" s="1"/>
  <c r="AA53" i="7"/>
  <c r="AB53" i="7" s="1"/>
  <c r="AA52" i="7"/>
  <c r="AB52" i="7" s="1"/>
  <c r="AA51" i="7"/>
  <c r="AB51" i="7" s="1"/>
  <c r="AA50" i="7"/>
  <c r="AB50" i="7" s="1"/>
  <c r="AA47" i="7"/>
  <c r="AB47" i="7" s="1"/>
  <c r="AA46" i="7"/>
  <c r="AB46" i="7" s="1"/>
  <c r="AA45" i="7"/>
  <c r="AB45" i="7" s="1"/>
  <c r="AA43" i="7"/>
  <c r="AB43" i="7" s="1"/>
  <c r="AA42" i="7"/>
  <c r="AB42" i="7" s="1"/>
  <c r="AA41" i="7"/>
  <c r="AB41" i="7" s="1"/>
  <c r="AA40" i="7"/>
  <c r="AB40" i="7" s="1"/>
  <c r="AA39" i="7"/>
  <c r="AB39" i="7" s="1"/>
  <c r="AA38" i="7"/>
  <c r="AB38" i="7" s="1"/>
  <c r="AA35" i="7"/>
  <c r="AB35" i="7" s="1"/>
  <c r="AA34" i="7"/>
  <c r="AB34" i="7" s="1"/>
  <c r="AA33" i="7"/>
  <c r="AB33" i="7" s="1"/>
  <c r="AA32" i="7"/>
  <c r="AB32" i="7" s="1"/>
  <c r="AA31" i="7"/>
  <c r="AB31" i="7" s="1"/>
  <c r="AA30" i="7"/>
  <c r="AB30" i="7" s="1"/>
  <c r="Y22" i="7"/>
  <c r="Z22" i="7"/>
  <c r="S4" i="10"/>
  <c r="AD22" i="7"/>
  <c r="Q21" i="7"/>
  <c r="AN32" i="9" l="1"/>
  <c r="AO32" i="9" s="1"/>
  <c r="AP32" i="9"/>
  <c r="AQ32" i="9" s="1"/>
  <c r="W19" i="7"/>
  <c r="AO26" i="9"/>
  <c r="V77" i="7"/>
  <c r="AP34" i="9"/>
  <c r="T114" i="7"/>
  <c r="W114" i="7"/>
  <c r="AG69" i="7"/>
  <c r="AI69" i="7" s="1"/>
  <c r="AM69" i="7" s="1"/>
  <c r="N69" i="7"/>
  <c r="K114" i="7"/>
  <c r="AJ110" i="7"/>
  <c r="AL110" i="7" s="1"/>
  <c r="AN110" i="7" s="1"/>
  <c r="AJ105" i="7"/>
  <c r="AL105" i="7" s="1"/>
  <c r="AN105" i="7" s="1"/>
  <c r="M99" i="7" a="1"/>
  <c r="M99" i="7" s="1"/>
  <c r="P99" i="7" a="1"/>
  <c r="P99" i="7" s="1"/>
  <c r="S99" i="7" a="1"/>
  <c r="S99" i="7" s="1"/>
  <c r="V99" i="7" a="1"/>
  <c r="V99" i="7" s="1"/>
  <c r="I99" i="7" a="1"/>
  <c r="I99" i="7" s="1"/>
  <c r="AF69" i="7"/>
  <c r="Y69" i="7"/>
  <c r="Z69" i="7"/>
  <c r="S77" i="7"/>
  <c r="S69" i="7"/>
  <c r="T69" i="7" s="1"/>
  <c r="AP16" i="9"/>
  <c r="AQ16" i="9" s="1"/>
  <c r="W69" i="7"/>
  <c r="P77" i="7"/>
  <c r="P69" i="7"/>
  <c r="Q69" i="7" s="1"/>
  <c r="AN51" i="7"/>
  <c r="AO28" i="9"/>
  <c r="N19" i="7"/>
  <c r="T19" i="7"/>
  <c r="Q114" i="7"/>
  <c r="AO114" i="7"/>
  <c r="N114" i="7"/>
  <c r="I11" i="7"/>
  <c r="Q11" i="7" s="1"/>
  <c r="I73" i="7"/>
  <c r="W73" i="7" s="1"/>
  <c r="AJ42" i="7"/>
  <c r="AL42" i="7" s="1"/>
  <c r="AN42" i="7" s="1"/>
  <c r="AG57" i="7"/>
  <c r="AI57" i="7" s="1"/>
  <c r="AM57" i="7" s="1"/>
  <c r="AJ47" i="7"/>
  <c r="AL47" i="7" s="1"/>
  <c r="AN47" i="7" s="1"/>
  <c r="AJ52" i="7"/>
  <c r="AL52" i="7" s="1"/>
  <c r="AN52" i="7" s="1"/>
  <c r="AJ57" i="7"/>
  <c r="AL57" i="7" s="1"/>
  <c r="AN57" i="7" s="1"/>
  <c r="AJ96" i="7"/>
  <c r="AL96" i="7" s="1"/>
  <c r="AN96" i="7" s="1"/>
  <c r="V10" i="7"/>
  <c r="Y37" i="7"/>
  <c r="AF37" i="7"/>
  <c r="AD37" i="7"/>
  <c r="Z37" i="7"/>
  <c r="AP43" i="9"/>
  <c r="AQ43" i="9" s="1"/>
  <c r="AJ91" i="7"/>
  <c r="AL91" i="7" s="1"/>
  <c r="AN91" i="7" s="1"/>
  <c r="M10" i="7"/>
  <c r="S10" i="7"/>
  <c r="I70" i="7"/>
  <c r="AN49" i="7"/>
  <c r="P15" i="7"/>
  <c r="Q19" i="7"/>
  <c r="AG81" i="7"/>
  <c r="AI81" i="7" s="1"/>
  <c r="AM81" i="7" s="1"/>
  <c r="I18" i="7"/>
  <c r="AG58" i="7"/>
  <c r="AI58" i="7" s="1"/>
  <c r="AM58" i="7" s="1"/>
  <c r="AG59" i="7"/>
  <c r="AI59" i="7" s="1"/>
  <c r="AM59" i="7" s="1"/>
  <c r="Y20" i="7"/>
  <c r="Z20" i="7"/>
  <c r="AF20" i="7"/>
  <c r="AD20" i="7"/>
  <c r="AQ38" i="9"/>
  <c r="AO31" i="9"/>
  <c r="AQ31" i="9" s="1"/>
  <c r="AJ59" i="7"/>
  <c r="AL59" i="7" s="1"/>
  <c r="AC11" i="7"/>
  <c r="AQ6" i="9"/>
  <c r="AM9" i="7"/>
  <c r="AN9" i="7"/>
  <c r="P16" i="7"/>
  <c r="Z19" i="7"/>
  <c r="Y19" i="7"/>
  <c r="AF19" i="7"/>
  <c r="AD19" i="7"/>
  <c r="AP98" i="7"/>
  <c r="AP21" i="9"/>
  <c r="AQ21" i="9" s="1"/>
  <c r="AJ111" i="7"/>
  <c r="AL111" i="7" s="1"/>
  <c r="AN111" i="7" s="1"/>
  <c r="AM23" i="7"/>
  <c r="AN23" i="7"/>
  <c r="T14" i="7"/>
  <c r="AB14" i="7" s="1"/>
  <c r="S9" i="7"/>
  <c r="T9" i="7" s="1"/>
  <c r="K15" i="7"/>
  <c r="T15" i="7"/>
  <c r="W15" i="7"/>
  <c r="N15" i="7"/>
  <c r="AA98" i="7"/>
  <c r="AB98" i="7" s="1"/>
  <c r="R5" i="10"/>
  <c r="S5" i="10" s="1"/>
  <c r="S6" i="10"/>
  <c r="AF9" i="7"/>
  <c r="Z9" i="7"/>
  <c r="AA9" i="7" s="1"/>
  <c r="AO34" i="9"/>
  <c r="AQ34" i="9" s="1"/>
  <c r="D2" i="12"/>
  <c r="E2" i="12" s="1"/>
  <c r="AN27" i="9"/>
  <c r="AO27" i="9" s="1"/>
  <c r="AD75" i="7"/>
  <c r="Y75" i="7"/>
  <c r="AA56" i="7"/>
  <c r="AB56" i="7" s="1"/>
  <c r="AF75" i="7"/>
  <c r="Z58" i="7"/>
  <c r="Z75" i="7"/>
  <c r="AD58" i="7"/>
  <c r="W80" i="7"/>
  <c r="Y58" i="7"/>
  <c r="T80" i="7"/>
  <c r="AP29" i="9"/>
  <c r="AQ29" i="9" s="1"/>
  <c r="AP27" i="9"/>
  <c r="Z44" i="7"/>
  <c r="AF44" i="7"/>
  <c r="AD44" i="7"/>
  <c r="Y44" i="7"/>
  <c r="AN61" i="7"/>
  <c r="M13" i="8"/>
  <c r="L13" i="8"/>
  <c r="K79" i="7"/>
  <c r="AG79" i="7"/>
  <c r="AI79" i="7" s="1"/>
  <c r="AM79" i="7" s="1"/>
  <c r="I10" i="8"/>
  <c r="AP28" i="9"/>
  <c r="I77" i="7"/>
  <c r="AG78" i="7"/>
  <c r="AI78" i="7" s="1"/>
  <c r="AM78" i="7" s="1"/>
  <c r="AJ83" i="7"/>
  <c r="AL83" i="7" s="1"/>
  <c r="AN83" i="7" s="1"/>
  <c r="AJ80" i="7"/>
  <c r="AL80" i="7" s="1"/>
  <c r="AJ82" i="7"/>
  <c r="AL82" i="7" s="1"/>
  <c r="AN82" i="7" s="1"/>
  <c r="AJ79" i="7"/>
  <c r="AL79" i="7" s="1"/>
  <c r="AJ78" i="7"/>
  <c r="AL78" i="7" s="1"/>
  <c r="AJ84" i="7"/>
  <c r="AL84" i="7" s="1"/>
  <c r="AN84" i="7" s="1"/>
  <c r="AC59" i="7"/>
  <c r="AA104" i="7"/>
  <c r="AB104" i="7" s="1"/>
  <c r="AG112" i="7"/>
  <c r="AI112" i="7" s="1"/>
  <c r="K78" i="7"/>
  <c r="AG80" i="7"/>
  <c r="AI80" i="7" s="1"/>
  <c r="N78" i="7"/>
  <c r="Q78" i="7"/>
  <c r="W78" i="7"/>
  <c r="T78" i="7"/>
  <c r="Y8" i="7"/>
  <c r="AA8" i="7" s="1"/>
  <c r="AB8" i="7" s="1"/>
  <c r="AF8" i="7"/>
  <c r="Z113" i="7"/>
  <c r="Y113" i="7"/>
  <c r="AF113" i="7"/>
  <c r="Q79" i="7"/>
  <c r="N80" i="7"/>
  <c r="W79" i="7"/>
  <c r="AJ22" i="7"/>
  <c r="AL22" i="7" s="1"/>
  <c r="AJ18" i="7"/>
  <c r="AL18" i="7" s="1"/>
  <c r="N81" i="7"/>
  <c r="K81" i="7"/>
  <c r="Y21" i="7"/>
  <c r="AA21" i="7" s="1"/>
  <c r="AB21" i="7" s="1"/>
  <c r="AD21" i="7"/>
  <c r="Z80" i="7"/>
  <c r="AD80" i="7"/>
  <c r="AF80" i="7"/>
  <c r="Y80" i="7"/>
  <c r="Q80" i="7"/>
  <c r="T81" i="7"/>
  <c r="AF112" i="7"/>
  <c r="Z112" i="7"/>
  <c r="Y112" i="7"/>
  <c r="W81" i="7"/>
  <c r="Q81" i="7"/>
  <c r="N79" i="7"/>
  <c r="T79" i="7"/>
  <c r="AO35" i="9"/>
  <c r="AQ35" i="9" s="1"/>
  <c r="AM8" i="7"/>
  <c r="AN8" i="7"/>
  <c r="Z102" i="7"/>
  <c r="AF102" i="7"/>
  <c r="Y102" i="7"/>
  <c r="AP26" i="9"/>
  <c r="AQ26" i="9" s="1"/>
  <c r="AP18" i="9"/>
  <c r="AQ18" i="9" s="1"/>
  <c r="AF21" i="7"/>
  <c r="AP30" i="9"/>
  <c r="AQ30" i="9" s="1"/>
  <c r="AP22" i="9"/>
  <c r="AQ22" i="9" s="1"/>
  <c r="AD7" i="7"/>
  <c r="Z7" i="7"/>
  <c r="AF7" i="7"/>
  <c r="Y7" i="7"/>
  <c r="AM104" i="7"/>
  <c r="AN104" i="7"/>
  <c r="AA103" i="7"/>
  <c r="AB103" i="7" s="1"/>
  <c r="AQ33" i="9"/>
  <c r="AH6" i="10" a="1"/>
  <c r="AH6" i="10" s="1"/>
  <c r="AI6" i="10" s="1"/>
  <c r="AF6" i="10"/>
  <c r="AM76" i="7"/>
  <c r="W57" i="7"/>
  <c r="T57" i="7"/>
  <c r="Q57" i="7"/>
  <c r="N57" i="7"/>
  <c r="K57" i="7"/>
  <c r="Y48" i="7"/>
  <c r="Z48" i="7"/>
  <c r="AF48" i="7"/>
  <c r="AD48" i="7"/>
  <c r="AA49" i="7"/>
  <c r="AB49" i="7" s="1"/>
  <c r="AA22" i="7"/>
  <c r="AB22" i="7" s="1"/>
  <c r="AB9" i="7" l="1"/>
  <c r="AQ28" i="9"/>
  <c r="W11" i="7"/>
  <c r="AN58" i="7"/>
  <c r="N73" i="7"/>
  <c r="W99" i="7"/>
  <c r="AN78" i="7"/>
  <c r="T73" i="7"/>
  <c r="AK6" i="10"/>
  <c r="N11" i="7"/>
  <c r="P29" i="7"/>
  <c r="P36" i="7" s="1"/>
  <c r="AA69" i="7"/>
  <c r="AB69" i="7" s="1"/>
  <c r="AG101" i="7"/>
  <c r="AI101" i="7" s="1"/>
  <c r="AM101" i="7" s="1"/>
  <c r="K99" i="7"/>
  <c r="AG100" i="7"/>
  <c r="AI100" i="7" s="1"/>
  <c r="Q99" i="7"/>
  <c r="AJ95" i="7"/>
  <c r="AL95" i="7" s="1"/>
  <c r="AN95" i="7" s="1"/>
  <c r="AJ90" i="7"/>
  <c r="AL90" i="7" s="1"/>
  <c r="AN90" i="7" s="1"/>
  <c r="AG75" i="7"/>
  <c r="AI75" i="7" s="1"/>
  <c r="AM75" i="7" s="1"/>
  <c r="AO99" i="7"/>
  <c r="N99" i="7"/>
  <c r="Q73" i="7"/>
  <c r="T99" i="7"/>
  <c r="M16" i="7"/>
  <c r="M29" i="7" s="1"/>
  <c r="M36" i="7" s="1"/>
  <c r="K73" i="7"/>
  <c r="AD73" i="7" s="1"/>
  <c r="I17" i="7"/>
  <c r="AG65" i="7"/>
  <c r="AI65" i="7" s="1"/>
  <c r="AM65" i="7" s="1"/>
  <c r="AN59" i="7"/>
  <c r="AG19" i="7"/>
  <c r="AI19" i="7" s="1"/>
  <c r="AM19" i="7" s="1"/>
  <c r="AG73" i="7"/>
  <c r="AI73" i="7" s="1"/>
  <c r="AM73" i="7" s="1"/>
  <c r="K70" i="7"/>
  <c r="D5" i="12" s="1"/>
  <c r="E5" i="12" s="1"/>
  <c r="AP114" i="7"/>
  <c r="AA37" i="7"/>
  <c r="AB37" i="7" s="1"/>
  <c r="AN19" i="7"/>
  <c r="T70" i="7"/>
  <c r="AA19" i="7"/>
  <c r="AB19" i="7" s="1"/>
  <c r="K11" i="7"/>
  <c r="T11" i="7"/>
  <c r="I10" i="7"/>
  <c r="K10" i="7" s="1"/>
  <c r="I36" i="7"/>
  <c r="AG29" i="7"/>
  <c r="AI29" i="7" s="1"/>
  <c r="AJ29" i="7"/>
  <c r="AL29" i="7" s="1"/>
  <c r="N70" i="7"/>
  <c r="Q70" i="7"/>
  <c r="W70" i="7"/>
  <c r="AQ27" i="9"/>
  <c r="W77" i="7"/>
  <c r="AB11" i="9"/>
  <c r="AD15" i="7"/>
  <c r="AF15" i="7"/>
  <c r="Z15" i="7"/>
  <c r="Y15" i="7"/>
  <c r="P10" i="7"/>
  <c r="Q15" i="7"/>
  <c r="AA20" i="7"/>
  <c r="AB20" i="7" s="1"/>
  <c r="K18" i="7"/>
  <c r="N18" i="7"/>
  <c r="T18" i="7"/>
  <c r="Q18" i="7"/>
  <c r="W18" i="7"/>
  <c r="AA44" i="7"/>
  <c r="AB44" i="7" s="1"/>
  <c r="AA58" i="7"/>
  <c r="AB58" i="7" s="1"/>
  <c r="Y79" i="7"/>
  <c r="AF79" i="7"/>
  <c r="Z79" i="7"/>
  <c r="AA102" i="7"/>
  <c r="AB102" i="7" s="1"/>
  <c r="AN79" i="7"/>
  <c r="AA75" i="7"/>
  <c r="AB75" i="7" s="1"/>
  <c r="AD107" i="7"/>
  <c r="AA80" i="7"/>
  <c r="AB80" i="7" s="1"/>
  <c r="AD59" i="7"/>
  <c r="K77" i="7"/>
  <c r="AG77" i="7"/>
  <c r="AI77" i="7" s="1"/>
  <c r="T77" i="7"/>
  <c r="Q77" i="7"/>
  <c r="K10" i="8"/>
  <c r="I4" i="8"/>
  <c r="AA113" i="7"/>
  <c r="AB113" i="7" s="1"/>
  <c r="N77" i="7"/>
  <c r="N13" i="8"/>
  <c r="O13" i="8" s="1"/>
  <c r="AM80" i="7"/>
  <c r="AN80" i="7"/>
  <c r="AF111" i="7"/>
  <c r="AD111" i="7"/>
  <c r="Z111" i="7"/>
  <c r="Y111" i="7"/>
  <c r="AD81" i="7"/>
  <c r="Y81" i="7"/>
  <c r="Z81" i="7"/>
  <c r="AF81" i="7"/>
  <c r="Z78" i="7"/>
  <c r="AF78" i="7"/>
  <c r="AD78" i="7"/>
  <c r="Y78" i="7"/>
  <c r="AA112" i="7"/>
  <c r="AB112" i="7" s="1"/>
  <c r="AM112" i="7"/>
  <c r="AN112" i="7"/>
  <c r="AA7" i="7"/>
  <c r="AB7" i="7" s="1"/>
  <c r="AJ6" i="10"/>
  <c r="AL6" i="10" s="1"/>
  <c r="AA48" i="7"/>
  <c r="AB48" i="7" s="1"/>
  <c r="Y57" i="7"/>
  <c r="AD57" i="7"/>
  <c r="Z57" i="7"/>
  <c r="AF57" i="7"/>
  <c r="Y73" i="7" l="1"/>
  <c r="AF73" i="7"/>
  <c r="Y70" i="7"/>
  <c r="Z73" i="7"/>
  <c r="W10" i="7"/>
  <c r="Q10" i="7"/>
  <c r="N10" i="7"/>
  <c r="Z70" i="7"/>
  <c r="AM100" i="7"/>
  <c r="AN100" i="7"/>
  <c r="AD70" i="7"/>
  <c r="AF70" i="7"/>
  <c r="AP99" i="7"/>
  <c r="K17" i="7"/>
  <c r="W17" i="7"/>
  <c r="T17" i="7"/>
  <c r="Q17" i="7"/>
  <c r="N17" i="7"/>
  <c r="AG74" i="7"/>
  <c r="AI74" i="7" s="1"/>
  <c r="AM74" i="7" s="1"/>
  <c r="AJ23" i="7"/>
  <c r="AL23" i="7" s="1"/>
  <c r="AJ64" i="7"/>
  <c r="AL64" i="7" s="1"/>
  <c r="AN64" i="7" s="1"/>
  <c r="I16" i="7"/>
  <c r="N16" i="7" s="1"/>
  <c r="AJ81" i="7"/>
  <c r="AL81" i="7" s="1"/>
  <c r="AN81" i="7" s="1"/>
  <c r="AG63" i="7"/>
  <c r="AI63" i="7" s="1"/>
  <c r="AM63" i="7" s="1"/>
  <c r="AJ93" i="7"/>
  <c r="AL93" i="7" s="1"/>
  <c r="AN93" i="7" s="1"/>
  <c r="AJ46" i="7"/>
  <c r="AL46" i="7" s="1"/>
  <c r="AN46" i="7" s="1"/>
  <c r="T10" i="7"/>
  <c r="AJ63" i="7"/>
  <c r="AL63" i="7" s="1"/>
  <c r="AM29" i="7"/>
  <c r="AN29" i="7"/>
  <c r="AC113" i="7"/>
  <c r="AG38" i="7"/>
  <c r="AI38" i="7" s="1"/>
  <c r="AM38" i="7" s="1"/>
  <c r="AG36" i="7"/>
  <c r="AI36" i="7" s="1"/>
  <c r="K36" i="7"/>
  <c r="N36" i="7"/>
  <c r="Q36" i="7"/>
  <c r="Z11" i="7"/>
  <c r="Y11" i="7"/>
  <c r="AF11" i="7"/>
  <c r="AJ19" i="7"/>
  <c r="AL19" i="7" s="1"/>
  <c r="AJ24" i="7"/>
  <c r="AL24" i="7" s="1"/>
  <c r="AJ14" i="7"/>
  <c r="AL14" i="7" s="1"/>
  <c r="AD11" i="7"/>
  <c r="S9" i="8"/>
  <c r="U9" i="8" s="1"/>
  <c r="W9" i="8" s="1"/>
  <c r="S40" i="8"/>
  <c r="U40" i="8" s="1"/>
  <c r="W40" i="8" s="1"/>
  <c r="S17" i="8"/>
  <c r="U17" i="8" s="1"/>
  <c r="W17" i="8" s="1"/>
  <c r="S35" i="8"/>
  <c r="U35" i="8" s="1"/>
  <c r="W35" i="8" s="1"/>
  <c r="P4" i="8"/>
  <c r="R4" i="8" s="1"/>
  <c r="V4" i="8" s="1"/>
  <c r="S4" i="8"/>
  <c r="U4" i="8" s="1"/>
  <c r="I12" i="8"/>
  <c r="S30" i="8" s="1"/>
  <c r="U30" i="8" s="1"/>
  <c r="W30" i="8" s="1"/>
  <c r="AD18" i="7"/>
  <c r="AF18" i="7"/>
  <c r="Y18" i="7"/>
  <c r="Z18" i="7"/>
  <c r="AA15" i="7"/>
  <c r="AB15" i="7" s="1"/>
  <c r="AF10" i="7"/>
  <c r="Z10" i="7"/>
  <c r="Y10" i="7"/>
  <c r="AA79" i="7"/>
  <c r="AB79" i="7" s="1"/>
  <c r="Y114" i="7"/>
  <c r="AF107" i="7"/>
  <c r="Y107" i="7"/>
  <c r="Z107" i="7"/>
  <c r="AG108" i="7"/>
  <c r="AI108" i="7" s="1"/>
  <c r="AM108" i="7" s="1"/>
  <c r="K106" i="7"/>
  <c r="Y105" i="7"/>
  <c r="Z105" i="7"/>
  <c r="AF105" i="7"/>
  <c r="AA78" i="7"/>
  <c r="AB78" i="7" s="1"/>
  <c r="L10" i="8"/>
  <c r="M10" i="8"/>
  <c r="Z77" i="7"/>
  <c r="AF77" i="7"/>
  <c r="Y77" i="7"/>
  <c r="K4" i="8"/>
  <c r="D8" i="12" s="1"/>
  <c r="E8" i="12" s="1"/>
  <c r="AN77" i="7"/>
  <c r="AM77" i="7"/>
  <c r="AA81" i="7"/>
  <c r="AB81" i="7" s="1"/>
  <c r="AA111" i="7"/>
  <c r="AB111" i="7" s="1"/>
  <c r="AA57" i="7"/>
  <c r="AB57" i="7" s="1"/>
  <c r="AA73" i="7" l="1"/>
  <c r="AB73" i="7" s="1"/>
  <c r="AA70" i="7"/>
  <c r="AB70" i="7" s="1"/>
  <c r="AN63" i="7"/>
  <c r="I29" i="7"/>
  <c r="AJ65" i="7"/>
  <c r="AL65" i="7" s="1"/>
  <c r="AN65" i="7" s="1"/>
  <c r="AJ68" i="7"/>
  <c r="AL68" i="7" s="1"/>
  <c r="AN68" i="7" s="1"/>
  <c r="AJ66" i="7"/>
  <c r="AL66" i="7" s="1"/>
  <c r="AN66" i="7" s="1"/>
  <c r="AG70" i="7"/>
  <c r="AI70" i="7" s="1"/>
  <c r="AM70" i="7" s="1"/>
  <c r="AJ67" i="7"/>
  <c r="AL67" i="7" s="1"/>
  <c r="AN67" i="7" s="1"/>
  <c r="AJ70" i="7"/>
  <c r="AL70" i="7" s="1"/>
  <c r="AJ69" i="7"/>
  <c r="AL69" i="7" s="1"/>
  <c r="AN69" i="7" s="1"/>
  <c r="AG86" i="7"/>
  <c r="AI86" i="7" s="1"/>
  <c r="AM86" i="7" s="1"/>
  <c r="AJ4" i="7"/>
  <c r="AL4" i="7" s="1"/>
  <c r="AJ86" i="7"/>
  <c r="AL86" i="7" s="1"/>
  <c r="AN86" i="7" s="1"/>
  <c r="AJ33" i="7"/>
  <c r="AL33" i="7" s="1"/>
  <c r="AN33" i="7" s="1"/>
  <c r="AJ101" i="7"/>
  <c r="AL101" i="7" s="1"/>
  <c r="AN101" i="7" s="1"/>
  <c r="AJ28" i="7"/>
  <c r="AL28" i="7" s="1"/>
  <c r="AG18" i="7"/>
  <c r="AI18" i="7" s="1"/>
  <c r="K16" i="7"/>
  <c r="Q16" i="7"/>
  <c r="AF17" i="7"/>
  <c r="AD17" i="7"/>
  <c r="Z17" i="7"/>
  <c r="Y17" i="7"/>
  <c r="S25" i="8"/>
  <c r="U25" i="8" s="1"/>
  <c r="W25" i="8" s="1"/>
  <c r="P21" i="8"/>
  <c r="R21" i="8" s="1"/>
  <c r="V21" i="8" s="1"/>
  <c r="I14" i="8"/>
  <c r="S27" i="8"/>
  <c r="U27" i="8" s="1"/>
  <c r="W27" i="8" s="1"/>
  <c r="S31" i="8"/>
  <c r="U31" i="8" s="1"/>
  <c r="W31" i="8" s="1"/>
  <c r="S21" i="8"/>
  <c r="U21" i="8" s="1"/>
  <c r="S28" i="8"/>
  <c r="U28" i="8" s="1"/>
  <c r="W28" i="8" s="1"/>
  <c r="S26" i="8"/>
  <c r="U26" i="8" s="1"/>
  <c r="W26" i="8" s="1"/>
  <c r="S29" i="8"/>
  <c r="U29" i="8" s="1"/>
  <c r="W29" i="8" s="1"/>
  <c r="S24" i="8"/>
  <c r="U24" i="8" s="1"/>
  <c r="W24" i="8" s="1"/>
  <c r="S22" i="8"/>
  <c r="U22" i="8" s="1"/>
  <c r="W22" i="8" s="1"/>
  <c r="Z36" i="7"/>
  <c r="Y36" i="7"/>
  <c r="AF36" i="7"/>
  <c r="AM36" i="7"/>
  <c r="AN36" i="7"/>
  <c r="AD113" i="7"/>
  <c r="AC103" i="7"/>
  <c r="AC98" i="7" s="1"/>
  <c r="D7" i="12"/>
  <c r="E7" i="12" s="1"/>
  <c r="AA10" i="7"/>
  <c r="AB10" i="7" s="1"/>
  <c r="AA11" i="7"/>
  <c r="AB11" i="7" s="1"/>
  <c r="K12" i="8"/>
  <c r="P12" i="8"/>
  <c r="R12" i="8" s="1"/>
  <c r="AA18" i="7"/>
  <c r="AB18" i="7" s="1"/>
  <c r="W4" i="8"/>
  <c r="Z114" i="7"/>
  <c r="AA114" i="7" s="1"/>
  <c r="AB114" i="7" s="1"/>
  <c r="AF114" i="7"/>
  <c r="AA107" i="7"/>
  <c r="AB107" i="7" s="1"/>
  <c r="Y106" i="7"/>
  <c r="Z106" i="7"/>
  <c r="AF106" i="7"/>
  <c r="AA105" i="7"/>
  <c r="AB105" i="7" s="1"/>
  <c r="Z99" i="7"/>
  <c r="AF99" i="7"/>
  <c r="Y99" i="7"/>
  <c r="L4" i="8"/>
  <c r="M4" i="8"/>
  <c r="N10" i="8"/>
  <c r="O10" i="8" s="1"/>
  <c r="AA77" i="7"/>
  <c r="AB77" i="7" s="1"/>
  <c r="W21" i="8" l="1"/>
  <c r="AN70" i="7"/>
  <c r="AD98" i="7"/>
  <c r="AC114" i="7"/>
  <c r="AD114" i="7" s="1"/>
  <c r="K29" i="7"/>
  <c r="N29" i="7"/>
  <c r="Q29" i="7"/>
  <c r="AF16" i="7"/>
  <c r="Y16" i="7"/>
  <c r="Z16" i="7"/>
  <c r="AA17" i="7"/>
  <c r="AB17" i="7" s="1"/>
  <c r="AN18" i="7"/>
  <c r="AM18" i="7"/>
  <c r="K14" i="8"/>
  <c r="P23" i="8"/>
  <c r="R23" i="8" s="1"/>
  <c r="AA36" i="7"/>
  <c r="AC79" i="7"/>
  <c r="AD103" i="7"/>
  <c r="V12" i="8"/>
  <c r="W12" i="8"/>
  <c r="M12" i="8"/>
  <c r="L12" i="8"/>
  <c r="AA99" i="7"/>
  <c r="AB99" i="7" s="1"/>
  <c r="AA106" i="7"/>
  <c r="AB106" i="7" s="1"/>
  <c r="N4" i="8"/>
  <c r="O4" i="8" s="1"/>
  <c r="D4" i="12" l="1"/>
  <c r="Y29" i="7"/>
  <c r="Z29" i="7"/>
  <c r="AF29" i="7"/>
  <c r="AC77" i="7"/>
  <c r="AC72" i="7" s="1"/>
  <c r="AC69" i="7"/>
  <c r="AC10" i="7"/>
  <c r="AD10" i="7" s="1"/>
  <c r="AA16" i="7"/>
  <c r="W23" i="8"/>
  <c r="V23" i="8"/>
  <c r="M14" i="8"/>
  <c r="L14" i="8"/>
  <c r="AC16" i="7"/>
  <c r="AD79" i="7"/>
  <c r="N12" i="8"/>
  <c r="O12" i="8" s="1"/>
  <c r="AC105" i="7"/>
  <c r="AC100" i="7" s="1"/>
  <c r="AC112" i="7"/>
  <c r="AA29" i="7" l="1"/>
  <c r="AD69" i="7"/>
  <c r="AC85" i="7"/>
  <c r="AC71" i="7"/>
  <c r="E4" i="12"/>
  <c r="AD77" i="7"/>
  <c r="AC8" i="7"/>
  <c r="AD8" i="7" s="1"/>
  <c r="N14" i="8"/>
  <c r="O14" i="8" s="1"/>
  <c r="AC102" i="7"/>
  <c r="AD102" i="7" s="1"/>
  <c r="AC106" i="7"/>
  <c r="AC101" i="7" s="1"/>
  <c r="AD101" i="7" s="1"/>
  <c r="AD16" i="7"/>
  <c r="AC29" i="7"/>
  <c r="AD100" i="7"/>
  <c r="AD112" i="7"/>
  <c r="AD105" i="7"/>
  <c r="AC99" i="7" l="1"/>
  <c r="AD99" i="7" s="1"/>
  <c r="AD106" i="7"/>
  <c r="AC9" i="7"/>
  <c r="AD9" i="7" s="1"/>
  <c r="AC36" i="7"/>
  <c r="AD36" i="7" s="1"/>
  <c r="AD29" i="7"/>
  <c r="S16" i="7"/>
  <c r="S29" i="7" s="1"/>
  <c r="T29" i="7" s="1"/>
  <c r="V16" i="7"/>
  <c r="V29" i="7" s="1"/>
  <c r="W29" i="7" s="1"/>
  <c r="I72" i="7"/>
  <c r="K72" i="7" s="1"/>
  <c r="M72" i="7"/>
  <c r="M71" i="7" s="1"/>
  <c r="P72" i="7"/>
  <c r="P71" i="7" s="1"/>
  <c r="S72" i="7"/>
  <c r="S71" i="7" s="1"/>
  <c r="V72" i="7"/>
  <c r="V71" i="7" s="1"/>
  <c r="S36" i="7"/>
  <c r="T36" i="7" s="1"/>
  <c r="V36" i="7"/>
  <c r="W36" i="7" s="1"/>
  <c r="AJ73" i="7" l="1"/>
  <c r="AL73" i="7" s="1"/>
  <c r="AN73" i="7" s="1"/>
  <c r="AJ74" i="7"/>
  <c r="AL74" i="7" s="1"/>
  <c r="AN74" i="7" s="1"/>
  <c r="AG72" i="7"/>
  <c r="AI72" i="7" s="1"/>
  <c r="AM72" i="7" s="1"/>
  <c r="AJ76" i="7"/>
  <c r="AL76" i="7" s="1"/>
  <c r="AN76" i="7" s="1"/>
  <c r="I85" i="7"/>
  <c r="K85" i="7" s="1"/>
  <c r="Y85" i="7" s="1"/>
  <c r="AJ75" i="7"/>
  <c r="AL75" i="7" s="1"/>
  <c r="AN75" i="7" s="1"/>
  <c r="AJ72" i="7"/>
  <c r="AL72" i="7" s="1"/>
  <c r="I71" i="7"/>
  <c r="K71" i="7" s="1"/>
  <c r="Y71" i="7" s="1"/>
  <c r="AB36" i="7"/>
  <c r="T72" i="7"/>
  <c r="M85" i="7"/>
  <c r="AB29" i="7"/>
  <c r="Y72" i="7"/>
  <c r="AF72" i="7"/>
  <c r="Z72" i="7"/>
  <c r="D6" i="12"/>
  <c r="AD72" i="7"/>
  <c r="V85" i="7"/>
  <c r="Q72" i="7"/>
  <c r="P85" i="7"/>
  <c r="W16" i="7"/>
  <c r="W72" i="7"/>
  <c r="N72" i="7"/>
  <c r="S85" i="7"/>
  <c r="T16" i="7"/>
  <c r="AG85" i="7" l="1"/>
  <c r="AI85" i="7" s="1"/>
  <c r="AM85" i="7" s="1"/>
  <c r="AN72" i="7"/>
  <c r="T85" i="7"/>
  <c r="Q85" i="7"/>
  <c r="W85" i="7"/>
  <c r="N85" i="7"/>
  <c r="AG71" i="7"/>
  <c r="AI71" i="7" s="1"/>
  <c r="AM71" i="7" s="1"/>
  <c r="AD85" i="7"/>
  <c r="AF85" i="7"/>
  <c r="Z85" i="7"/>
  <c r="AA85" i="7" s="1"/>
  <c r="AB16" i="7"/>
  <c r="Z71" i="7"/>
  <c r="AA71" i="7" s="1"/>
  <c r="W71" i="7"/>
  <c r="AD71" i="7"/>
  <c r="AF71" i="7"/>
  <c r="Q71" i="7"/>
  <c r="N71" i="7"/>
  <c r="T71" i="7"/>
  <c r="AN85" i="7"/>
  <c r="D10" i="12"/>
  <c r="E10" i="12" s="1"/>
  <c r="E6" i="12"/>
  <c r="AA72" i="7"/>
  <c r="AB72" i="7" s="1"/>
  <c r="AN71" i="7" l="1"/>
  <c r="AB85" i="7"/>
  <c r="AB71" i="7"/>
  <c r="AP117" i="7" l="1"/>
  <c r="AO11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tc={8D1D27A2-A04A-4904-A577-1E248C58308C}</author>
  </authors>
  <commentList>
    <comment ref="A102" authorId="0" shapeId="0" xr:uid="{8D1D27A2-A04A-4904-A577-1E248C5830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Calculo de rescisão 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<sst xmlns="http://schemas.openxmlformats.org/spreadsheetml/2006/main" count="66290" uniqueCount="4593">
  <si>
    <t>ANO</t>
  </si>
  <si>
    <t>MES</t>
  </si>
  <si>
    <t>ID_DO_CLIENTE</t>
  </si>
  <si>
    <t>CLIENTE</t>
  </si>
  <si>
    <t>ID_NEGOCIO</t>
  </si>
  <si>
    <t>CONTRATO</t>
  </si>
  <si>
    <t>ID_ITEM_DE_LINHA</t>
  </si>
  <si>
    <t>CATEGORIA_DO_ITEM</t>
  </si>
  <si>
    <t>BOOKING</t>
  </si>
  <si>
    <t>ARR</t>
  </si>
  <si>
    <t>RESTANTE_ARR</t>
  </si>
  <si>
    <t>MRR</t>
  </si>
  <si>
    <t>NMRR</t>
  </si>
  <si>
    <t>MRR_EXPANSAO</t>
  </si>
  <si>
    <t>MRR_RENOVACAO</t>
  </si>
  <si>
    <t>CONSULTOR</t>
  </si>
  <si>
    <t>EQUIPE</t>
  </si>
  <si>
    <t>VERTICAL</t>
  </si>
  <si>
    <t>FECHAMENTO_NEGOCIO</t>
  </si>
  <si>
    <t>FECHAMENTO_AJUSTADO</t>
  </si>
  <si>
    <t>DATA_DE_INICIO</t>
  </si>
  <si>
    <t>DATA_DE_RENOVACAO</t>
  </si>
  <si>
    <t>VIGENCIA</t>
  </si>
  <si>
    <t>DURACAO</t>
  </si>
  <si>
    <t>TIPO_DO_CONTRATO</t>
  </si>
  <si>
    <t>TIPO_DA_VENDA</t>
  </si>
  <si>
    <t>FORMA_DE_PAGAMENTO</t>
  </si>
  <si>
    <t>PARCELAS</t>
  </si>
  <si>
    <t>PIPELINE</t>
  </si>
  <si>
    <t>ITEM_DE_LINHA</t>
  </si>
  <si>
    <t>FAMILIA_DO_ITEM_DE_LINHA</t>
  </si>
  <si>
    <t>APLICACAO_DO_ITEM_DE_LINHA</t>
  </si>
  <si>
    <t>Acel Form Pag</t>
  </si>
  <si>
    <t>Pago &gt;400k</t>
  </si>
  <si>
    <t>Prefeitura do Município de Cianorte</t>
  </si>
  <si>
    <t>Software</t>
  </si>
  <si>
    <t>deize.rudek@altoqi.com.br</t>
  </si>
  <si>
    <t>B2G</t>
  </si>
  <si>
    <t>12 meses</t>
  </si>
  <si>
    <t>Vitalício</t>
  </si>
  <si>
    <t>Transferência bancária</t>
  </si>
  <si>
    <t>Comercial B2G</t>
  </si>
  <si>
    <t>SSA 1 ano para AltoQi Builder Premium Governo</t>
  </si>
  <si>
    <t>Builder</t>
  </si>
  <si>
    <t>Premium</t>
  </si>
  <si>
    <t>SSA 1 ano para AltoQi Eberick Infinity Governo</t>
  </si>
  <si>
    <t>Eberick</t>
  </si>
  <si>
    <t>Infinity</t>
  </si>
  <si>
    <t>SSA 1 ano para AltoQi Builder Infinity Governo</t>
  </si>
  <si>
    <t>Assinatura</t>
  </si>
  <si>
    <t>Plano Visus Obras Públicas Premium Governo</t>
  </si>
  <si>
    <t>Visus Obras Públicas</t>
  </si>
  <si>
    <t>FUNDACAO UNIVERSIDADE FEDERAL DA GRANDE DOURADOS</t>
  </si>
  <si>
    <t>Plano AltoQi Builder Premium Governo</t>
  </si>
  <si>
    <t>Plano AltoQi Eberick Premium Governo</t>
  </si>
  <si>
    <t>Prefeitura Municipal de Imbe</t>
  </si>
  <si>
    <t>24 meses</t>
  </si>
  <si>
    <t>Plataforma BIM - AltoQi Gestão Pública – Projetos, Gestão e Controle de Custos</t>
  </si>
  <si>
    <t>Visus Control Tower</t>
  </si>
  <si>
    <t>Sem Aplicação</t>
  </si>
  <si>
    <t>MUNICIPIO DE REALEZA</t>
  </si>
  <si>
    <t>SSA 2 anos para AltoQi Builder Premium Governo</t>
  </si>
  <si>
    <t>Plano Builder 2025 Premium Governo</t>
  </si>
  <si>
    <t>Plano Eberick 2025 Premium Governo</t>
  </si>
  <si>
    <t>SSA 2 anos para AltoQi Eberick Premium Governo</t>
  </si>
  <si>
    <t>UNIVERSIDADE FEDERAL DE UBERLANDIA</t>
  </si>
  <si>
    <t>soraia@altoqi.com.br</t>
  </si>
  <si>
    <t>Plano AltoQi Builder 2025 Infinity Governo - Upgrade</t>
  </si>
  <si>
    <t>ORGANIZACAO BRASILEIRA PARA O DESENVOLVIMENTO CIENTIFICO E TECNOLOGICO DO CONTROLE DO ESPACO AEREO-CTCEA</t>
  </si>
  <si>
    <t>jordayn.almeida@altoqi.com.br</t>
  </si>
  <si>
    <t>Plano AltoQi Builder Infinity Governo</t>
  </si>
  <si>
    <t>MUNICÍPIO DE FOZ DO IGUAÇU</t>
  </si>
  <si>
    <t>henry.petersen@altoqi.com.br</t>
  </si>
  <si>
    <t>Plano Visus Obras Públicas Infinity Governo</t>
  </si>
  <si>
    <t>FUNDACAO CULTURAL E DE FOMENTO A PESQUISA, ENSINO, EXTENSAO E INOVACAO - FADEX</t>
  </si>
  <si>
    <t>tabata.couto@altoqi.com.br</t>
  </si>
  <si>
    <t>Renovação com Expansão</t>
  </si>
  <si>
    <t>ASSOCIACAO PAULISTA SUDOESTE DA IASD</t>
  </si>
  <si>
    <t>jenifer.soares@altoqi.com.br</t>
  </si>
  <si>
    <t>IES</t>
  </si>
  <si>
    <t>B2E</t>
  </si>
  <si>
    <t>Renovação</t>
  </si>
  <si>
    <t>Boleto</t>
  </si>
  <si>
    <t>Comercial B2E - Instituição</t>
  </si>
  <si>
    <t>Plano Builder Premium</t>
  </si>
  <si>
    <t>Plano Eberick Premium</t>
  </si>
  <si>
    <t>MUNICIPIO DE EMBU DAS ARTES</t>
  </si>
  <si>
    <t>angelica.steinbach@altoqi.com.br</t>
  </si>
  <si>
    <t>MUNICIPIO DE URUOCA</t>
  </si>
  <si>
    <t>VICTA PARTICIPACOES LTDA</t>
  </si>
  <si>
    <t>henrique.silva@altoqi.com.br</t>
  </si>
  <si>
    <t>B2B Construtora</t>
  </si>
  <si>
    <t>Boleto Recorrente</t>
  </si>
  <si>
    <t>Comercial B2B - Construtoras</t>
  </si>
  <si>
    <t>Plano Visus Cost Management Enterprise</t>
  </si>
  <si>
    <t>Visus Cost</t>
  </si>
  <si>
    <t>Enterprise</t>
  </si>
  <si>
    <t>UNIVERSIDADE TECNOLOGICA FEDERAL DO PARANA</t>
  </si>
  <si>
    <t>fernanda.barbosa@altoqi.com.br</t>
  </si>
  <si>
    <t>UNESPAR - UNIVERSIDADE ESTADUAL DO PARANA</t>
  </si>
  <si>
    <t>Plano AltoQi Eberick Infinity Governo</t>
  </si>
  <si>
    <t>Prefeitura Municipal de Amambai-ms</t>
  </si>
  <si>
    <t>36 meses</t>
  </si>
  <si>
    <t>MUNICIPIO DE SAO BENTO DO SUL</t>
  </si>
  <si>
    <t>Curso</t>
  </si>
  <si>
    <t>Plataforma AltoQi Education - Cursos de Software</t>
  </si>
  <si>
    <t>Outros</t>
  </si>
  <si>
    <t>MINISTERIO PUBLICO DO ESTADO DO ESPIRITO SANTO</t>
  </si>
  <si>
    <t>MUNICIPIO DE ITAPECERICA DA SERRA</t>
  </si>
  <si>
    <t>RIBEIRO DO VALE ENGENHARIA LTDA</t>
  </si>
  <si>
    <t>rubia.estipe@altoqi.com.br</t>
  </si>
  <si>
    <t>Saving</t>
  </si>
  <si>
    <t>Cartão de crédito</t>
  </si>
  <si>
    <t>CS - Saving</t>
  </si>
  <si>
    <t>Plano Builder Hidro Premium</t>
  </si>
  <si>
    <t>IGOR GUIMARAES  MATIAS</t>
  </si>
  <si>
    <t>marcela@altoqi.com.br</t>
  </si>
  <si>
    <t>Pix</t>
  </si>
  <si>
    <t>Plano Builder Professional</t>
  </si>
  <si>
    <t>Professional</t>
  </si>
  <si>
    <t>BMV ENGENHARIA LTDA</t>
  </si>
  <si>
    <t>silvia.estipe@altoqi.com.br</t>
  </si>
  <si>
    <t>Cartão de crédito - Recorrente</t>
  </si>
  <si>
    <t>ENERGIA CONSULT - ENGENHARIA, CONSULTORIA E GERENCIAMENTO DE PROJETOS LTDA</t>
  </si>
  <si>
    <t>RIBEIRO LOPES CONSULTORIA E SERVIÇOS</t>
  </si>
  <si>
    <t>Plano Builder Infinity</t>
  </si>
  <si>
    <t>Inaldo Almeida Dias</t>
  </si>
  <si>
    <t>jaqueline.correa@altoqi.com.br</t>
  </si>
  <si>
    <t>JUNKES EMPREENDIMENTOS IMOBILIARIOS LTDA</t>
  </si>
  <si>
    <t>eloyse.silveira@altoqi.com.br</t>
  </si>
  <si>
    <t>Atenas</t>
  </si>
  <si>
    <t>Plano Eberick Enterprise</t>
  </si>
  <si>
    <t>Assessoria e Consultoria Miotto</t>
  </si>
  <si>
    <t>rosana@altoqi.com.br</t>
  </si>
  <si>
    <t>Plano InBIM Premium</t>
  </si>
  <si>
    <t>InBIM</t>
  </si>
  <si>
    <t>Fernando Oliveira</t>
  </si>
  <si>
    <t>francyellen@altoqi.com.br</t>
  </si>
  <si>
    <t>Plano InBIM Professional</t>
  </si>
  <si>
    <t>Alfa Mk Construtora</t>
  </si>
  <si>
    <t>Plano Eberick Professional</t>
  </si>
  <si>
    <t>Kleber Melo Ferreira</t>
  </si>
  <si>
    <t>Plano Visus Cost Management Premium</t>
  </si>
  <si>
    <t>David Dantas de Lima</t>
  </si>
  <si>
    <t>Mayara Galdino Dias</t>
  </si>
  <si>
    <t>Naiara Cristina de Souza Carvalho</t>
  </si>
  <si>
    <t>Plano InBIM Enterprise</t>
  </si>
  <si>
    <t>Marina Roque</t>
  </si>
  <si>
    <t>Gabriel Pires</t>
  </si>
  <si>
    <t>Plano Builder Enterprise</t>
  </si>
  <si>
    <t>Padilha &amp; Ribeiro - Engenharia e Projetos Associados</t>
  </si>
  <si>
    <t>Cleber Leandro Schneider</t>
  </si>
  <si>
    <t>Fernanda Amorim Medeiros Patriota</t>
  </si>
  <si>
    <t>Vantuir Capelin</t>
  </si>
  <si>
    <t>Plano Eberick Infinity</t>
  </si>
  <si>
    <t>LLES ENGENHARIA</t>
  </si>
  <si>
    <t>Leonardo Lago</t>
  </si>
  <si>
    <t>Leonardo Francisconi</t>
  </si>
  <si>
    <t>Plano Builder Hidro Infinity</t>
  </si>
  <si>
    <t>Saymon Silva Miranda Jacinto</t>
  </si>
  <si>
    <t>Plano Builder Elétrica Premium</t>
  </si>
  <si>
    <t>M2 PROJETOS DE TECNOLOGIA E ILUMINACAO</t>
  </si>
  <si>
    <t>cintia@altoqi.com.br</t>
  </si>
  <si>
    <t>Plano Builder Elétrica Enterprise</t>
  </si>
  <si>
    <t>julio cheres</t>
  </si>
  <si>
    <t>thiago.oliveira@altoqi.com.br</t>
  </si>
  <si>
    <t>Renovação Automática</t>
  </si>
  <si>
    <t>DEMACHKI ENGENHARIA INCORPORACAO E CONSTRUCAO LTDA</t>
  </si>
  <si>
    <t>Danyllo Barreto Fontes</t>
  </si>
  <si>
    <t>Karoline Leitão</t>
  </si>
  <si>
    <t>Joana Finger Pasin</t>
  </si>
  <si>
    <t>Alessandro Daiske Wakasugui</t>
  </si>
  <si>
    <t>Arthur Santos</t>
  </si>
  <si>
    <t>J F Engenharia</t>
  </si>
  <si>
    <t>Plano Builder Elétrica Infinity</t>
  </si>
  <si>
    <t>Rafael Mendes Sabino</t>
  </si>
  <si>
    <t>UNION PROJETOS</t>
  </si>
  <si>
    <t>Alan Novaes Silva</t>
  </si>
  <si>
    <t>Thiago SDSA</t>
  </si>
  <si>
    <t>ASSOCIACAO DOS MUNICIPIOS DA REGIAO SERRANA</t>
  </si>
  <si>
    <t>marcelo matos</t>
  </si>
  <si>
    <t>Cintia Sganzerla</t>
  </si>
  <si>
    <t>Eduardo Deitos</t>
  </si>
  <si>
    <t>OXFORD ENGENHARIA</t>
  </si>
  <si>
    <t>SEHT ENGENHARIA</t>
  </si>
  <si>
    <t>Guylherme Rezende Rosário</t>
  </si>
  <si>
    <t>Município de Divinopolis</t>
  </si>
  <si>
    <t>Leonardo Bianconi Welchek</t>
  </si>
  <si>
    <t>Joao Henrique Zangaro Dos Santos</t>
  </si>
  <si>
    <t>GE PROJETOS &amp; CONSTRUCAO LTDA</t>
  </si>
  <si>
    <t>aline.pureza@altoqi.com.br</t>
  </si>
  <si>
    <t>Farmer</t>
  </si>
  <si>
    <t>Farmer - Deméter</t>
  </si>
  <si>
    <t>Lucca Caselli</t>
  </si>
  <si>
    <t>Leandro Brenes Burque</t>
  </si>
  <si>
    <t>PROJETARY</t>
  </si>
  <si>
    <t>André Rodrigo Neuhauser</t>
  </si>
  <si>
    <t>Servcon-servicos de Construcoes</t>
  </si>
  <si>
    <t>beatriz@altoqi.com.br</t>
  </si>
  <si>
    <t>Robert Alex Nogueira da Silva</t>
  </si>
  <si>
    <t>Cicero Nataniel Lima De Pinho</t>
  </si>
  <si>
    <t>Thaisa Trento</t>
  </si>
  <si>
    <t>Luis Piccoli</t>
  </si>
  <si>
    <t>Luana Soares Nogueira</t>
  </si>
  <si>
    <t>TERRES DOS SANTOS ARQUITETURA E ENGENHARIA LTDA</t>
  </si>
  <si>
    <t>José Vieira Dornelas Neto</t>
  </si>
  <si>
    <t>Pamela Pelissari</t>
  </si>
  <si>
    <t>Kassio Fernando Candido De Lima</t>
  </si>
  <si>
    <t>Brasil ao Cubo</t>
  </si>
  <si>
    <t>Clicie Anne Barbosa De Freitas</t>
  </si>
  <si>
    <t>FRIGORIFICO SAO JOAO</t>
  </si>
  <si>
    <t>Rayron Cirqueira Castro</t>
  </si>
  <si>
    <t>Claudio Henrique Pitzer De Azevedo</t>
  </si>
  <si>
    <t>Isadora Brochetto</t>
  </si>
  <si>
    <t>Douglas Afonso Santos</t>
  </si>
  <si>
    <t>Rodrigo da Fonseca</t>
  </si>
  <si>
    <t>Jessica Naiara Hellmann Schlickmann</t>
  </si>
  <si>
    <t>PROCAUTI ENGENHARIA S/S LTDA</t>
  </si>
  <si>
    <t>Alexandre Jorge Foltram</t>
  </si>
  <si>
    <t>FERNANDO ABDALA DO AMARAL</t>
  </si>
  <si>
    <t>Julliederson Campos Cunha</t>
  </si>
  <si>
    <t>Leandro Granato</t>
  </si>
  <si>
    <t>Valson Do Carmo Moraes Junior</t>
  </si>
  <si>
    <t>NORDESTE LOGISTICA S.A</t>
  </si>
  <si>
    <t>Juliano Roberto Pierezan</t>
  </si>
  <si>
    <t>Guilherme Schmitz</t>
  </si>
  <si>
    <t>Marcelo Corrêa Merlo Pantuzza</t>
  </si>
  <si>
    <t>W R Engenharia e Consultoria LTDA W R ENGENHARIA</t>
  </si>
  <si>
    <t>Fagner Junior Fernandes</t>
  </si>
  <si>
    <t>Plano Builder Hidro Enterprise</t>
  </si>
  <si>
    <t>UNION ARQUITETURA E ENGENHARIA</t>
  </si>
  <si>
    <t>Juan Duarte Silva</t>
  </si>
  <si>
    <t>Douglas De Miranda Kons</t>
  </si>
  <si>
    <t>Rafael Perius</t>
  </si>
  <si>
    <t>Carlos Alberto Lago Honaiser</t>
  </si>
  <si>
    <t>Joao Henrique Sampaio Oliveira</t>
  </si>
  <si>
    <t>Altair Nogueira</t>
  </si>
  <si>
    <t>Caio Eduardo Pedrosa De Sousa</t>
  </si>
  <si>
    <t>Carlos Shibukawa</t>
  </si>
  <si>
    <t>Ramon Thales Pereira E Silva</t>
  </si>
  <si>
    <t>André Guimarães</t>
  </si>
  <si>
    <t>Lucas Pongeluppe</t>
  </si>
  <si>
    <t>Tiago Silva Lopes</t>
  </si>
  <si>
    <t>Plano Visus Cost Management Projetista</t>
  </si>
  <si>
    <t>Projetista</t>
  </si>
  <si>
    <t>BOM PRINCIPIO ALIMENTOS</t>
  </si>
  <si>
    <t>SPIES BESSLER ENGENHARIA E CONSTRUCOES LTDA</t>
  </si>
  <si>
    <t>FAJ NEGOCIOS IMOBILIARIOS LTDA</t>
  </si>
  <si>
    <t>Fernanda Mostardeiro</t>
  </si>
  <si>
    <t>MGR PROJETTAR ENGENHARIA DE PROJETOS LTDA</t>
  </si>
  <si>
    <t>Gustavo De Almeida Ladeira</t>
  </si>
  <si>
    <t>Rc7 Incorporacoes</t>
  </si>
  <si>
    <t>Cláudio Gustavo Da Silva Duarte Carvalho</t>
  </si>
  <si>
    <t>ELTON ZEM</t>
  </si>
  <si>
    <t>Maicon Tiago Dickel</t>
  </si>
  <si>
    <t>GRAYCE SUELEN ARQUITETURA E URBANISMO</t>
  </si>
  <si>
    <t>Plano Visus Collab</t>
  </si>
  <si>
    <t>Visus Collab</t>
  </si>
  <si>
    <t>Cruz Engenharia</t>
  </si>
  <si>
    <t>Dyego Batista</t>
  </si>
  <si>
    <t>Gabriela Neves</t>
  </si>
  <si>
    <t>LUCAS SENA NOLETO</t>
  </si>
  <si>
    <t>Larissa Figueiredo</t>
  </si>
  <si>
    <t>Sidmar Colombo</t>
  </si>
  <si>
    <t>RN ENGENHARIA</t>
  </si>
  <si>
    <t>Ax Construction</t>
  </si>
  <si>
    <t>Marco Tulio Caetano Melo</t>
  </si>
  <si>
    <t>Thiago Faria Costa</t>
  </si>
  <si>
    <t>Adriel Viana Campos</t>
  </si>
  <si>
    <t>PLANO CONSTRUTORA E ENGENHARIA</t>
  </si>
  <si>
    <t>Pedro Henrique Meyer</t>
  </si>
  <si>
    <t>Ivaldo Vieira De Pádua Padua</t>
  </si>
  <si>
    <t>Vagner Souza Leão</t>
  </si>
  <si>
    <t>Danillo Tauan Carvalho Arapiraca</t>
  </si>
  <si>
    <t>Giuseppe Salgueiro Caporusso Caporusso</t>
  </si>
  <si>
    <t>GEOVANI DOS SANTOS SENA FILHO Filho</t>
  </si>
  <si>
    <t>Mailson Rodrigo Pena</t>
  </si>
  <si>
    <t>AltoQi Learning</t>
  </si>
  <si>
    <t>Leandro Muller</t>
  </si>
  <si>
    <t>Jose Fortunato Parreira De Souza Junior</t>
  </si>
  <si>
    <t>Gabriel Arico</t>
  </si>
  <si>
    <t>Patrick Rodrigues</t>
  </si>
  <si>
    <t>TGL CONSTRUCOES LTDA</t>
  </si>
  <si>
    <t>Caíque Kelisson Martins Ferreira</t>
  </si>
  <si>
    <t>CONAMP ENGENHARIA LTDA</t>
  </si>
  <si>
    <t>DBA Engenharia</t>
  </si>
  <si>
    <t>Gabriela Peres de Miranda</t>
  </si>
  <si>
    <t>GS ENGENHARIA</t>
  </si>
  <si>
    <t>Plano Visus Planning</t>
  </si>
  <si>
    <t>Visus Planning</t>
  </si>
  <si>
    <t>LOGG INFRA SOLUCOES CORPORATIVAS LTDA</t>
  </si>
  <si>
    <t>Gustavo Dos Santos Moraes Pedro</t>
  </si>
  <si>
    <t>Luis Carlos Da Silva</t>
  </si>
  <si>
    <t>Tiago Domingues da Silva</t>
  </si>
  <si>
    <t>VAE-PROJETOS &amp; GERENCIAMENTO</t>
  </si>
  <si>
    <t>Odair Zumdel</t>
  </si>
  <si>
    <t>Felipe Silva</t>
  </si>
  <si>
    <t>Ana Paula Savarias</t>
  </si>
  <si>
    <t>Thiago Guedes De Albuquerque</t>
  </si>
  <si>
    <t>artur.francisco@altoqi.com.br</t>
  </si>
  <si>
    <t>FSB</t>
  </si>
  <si>
    <t>Comercial FSB</t>
  </si>
  <si>
    <t>Rafael Janson</t>
  </si>
  <si>
    <t>Thiago Mendonça</t>
  </si>
  <si>
    <t>Kariny Varani Grinke</t>
  </si>
  <si>
    <t>Thais Lazzarotto Erdmann</t>
  </si>
  <si>
    <t>Carlos Alberto Alves Junior</t>
  </si>
  <si>
    <t>Wendel Moretto</t>
  </si>
  <si>
    <t>RL2 CONSTRUCOES ASSESSORIA E CONSULTORIA DE ENGENHARIA</t>
  </si>
  <si>
    <t>Hamilton Caldeira Gomes Junior Caldeira</t>
  </si>
  <si>
    <t>Matheus Henrique Mattuella</t>
  </si>
  <si>
    <t>Matheus Roberto Martins Batista</t>
  </si>
  <si>
    <t>Tássia Pereira</t>
  </si>
  <si>
    <t>francisco.junior@altoqi.com.br</t>
  </si>
  <si>
    <t>Ares</t>
  </si>
  <si>
    <t>Comercial - ARES</t>
  </si>
  <si>
    <t>Tiago Foppa Dos Santos</t>
  </si>
  <si>
    <t>6B ARQUITETURA E ENGENHARIA</t>
  </si>
  <si>
    <t>Sipal Industria E Comercio Ltda</t>
  </si>
  <si>
    <t>Leonardo Antonio Pinto</t>
  </si>
  <si>
    <t>Wellington Da Silva Martins</t>
  </si>
  <si>
    <t>Izabel Moresco</t>
  </si>
  <si>
    <t>Felipe Hirt</t>
  </si>
  <si>
    <t>clidiani@altoqi.com.br</t>
  </si>
  <si>
    <t>Expansão</t>
  </si>
  <si>
    <t>Somatec Desenvolvimento de Obras</t>
  </si>
  <si>
    <t>V ENGENHARIA</t>
  </si>
  <si>
    <t>Karoline Ribeiro</t>
  </si>
  <si>
    <t>GEROLIN ENGENHARIA</t>
  </si>
  <si>
    <t>Artur Manenti</t>
  </si>
  <si>
    <t>NJB ENGENHARIA LTDA</t>
  </si>
  <si>
    <t>BITTER ENGENHARIA ELETRICA</t>
  </si>
  <si>
    <t>Monica Da Cunha E Silva</t>
  </si>
  <si>
    <t>Igor Souza Brandao</t>
  </si>
  <si>
    <t>BRUNO CECCATO DA COSTA 02865641651</t>
  </si>
  <si>
    <t>Wladimir Lamarão</t>
  </si>
  <si>
    <t>Plano InBIM Infinity</t>
  </si>
  <si>
    <t>Huildys Estácio de Oliveira</t>
  </si>
  <si>
    <t>Bruno Jose Macias Montouro</t>
  </si>
  <si>
    <t>Fabio Lamounier</t>
  </si>
  <si>
    <t>Roger Briskievicz</t>
  </si>
  <si>
    <t>Sergio Foppa</t>
  </si>
  <si>
    <t>LUIZ JOSE NORONHA TEIXEIRA Noronha Teixeira</t>
  </si>
  <si>
    <t>Manuella De Carvalho Viana</t>
  </si>
  <si>
    <t>Thiago Rodrigo Alves Martins Martins</t>
  </si>
  <si>
    <t>Gustavo Gregorio</t>
  </si>
  <si>
    <t>Bernardo Lucca</t>
  </si>
  <si>
    <t>CONSORCIO INFRA L2M</t>
  </si>
  <si>
    <t>fernanda.fertonani@altoqi.com.br</t>
  </si>
  <si>
    <t>B2B Escritório</t>
  </si>
  <si>
    <t>Comercial B2B - Escritórios</t>
  </si>
  <si>
    <t>Plano Visus Cost Management e Planning Enterprise</t>
  </si>
  <si>
    <t>PROJETO-A TEC</t>
  </si>
  <si>
    <t>Jose Oizimas Junior - Projetos Eletricos &amp; Consultoria</t>
  </si>
  <si>
    <t>AABBENGENHARIA E CONSTRUCOES LTDA</t>
  </si>
  <si>
    <t>Jannerson Canuto de Souza</t>
  </si>
  <si>
    <t>RAPHAEL MORAIS DA SILVA LTDA</t>
  </si>
  <si>
    <t>Cleiton de Souza da Silva</t>
  </si>
  <si>
    <t>Antonio Alderi de Sousa</t>
  </si>
  <si>
    <t>Luís Fabiano Celestrino</t>
  </si>
  <si>
    <t>TFC ENGENHARIA LTDA</t>
  </si>
  <si>
    <t>paola.oliveira@altoqi.com.br</t>
  </si>
  <si>
    <t>Plano Visus Workflow</t>
  </si>
  <si>
    <t>Visus Wokflow</t>
  </si>
  <si>
    <t>CLARA ENGENHARIA E SERVICOS LTDA</t>
  </si>
  <si>
    <t>Matheus Soares de Araújo Pereira Soares De Araújo Pereira</t>
  </si>
  <si>
    <t>NC PROJETOS</t>
  </si>
  <si>
    <t>mariana@altoqi.com.br</t>
  </si>
  <si>
    <t>Add-on Bases de orçamento Visus Cost management</t>
  </si>
  <si>
    <t>Gabriel Miranda</t>
  </si>
  <si>
    <t>Rafael Andrey Buttura</t>
  </si>
  <si>
    <t>Keilla  Oliveira Dos Santos</t>
  </si>
  <si>
    <t>Guilherme Antonio Campos</t>
  </si>
  <si>
    <t>ARTHUR HENRIQUE Sieben</t>
  </si>
  <si>
    <t>Filipe Coutinho</t>
  </si>
  <si>
    <t>TRICHES ENGENHARIA E CONSULTORIA LTDA</t>
  </si>
  <si>
    <t>Gustavo Bortoluzzi</t>
  </si>
  <si>
    <t>Manoel Furtado</t>
  </si>
  <si>
    <t>Sara Brandao E Silva</t>
  </si>
  <si>
    <t>CENTRA CONSTRUCOES E EMPREENDIMENTOS LTDA</t>
  </si>
  <si>
    <t>Wesley Oliveira Darne</t>
  </si>
  <si>
    <t>Karine Santos</t>
  </si>
  <si>
    <t>Gelson da Silva</t>
  </si>
  <si>
    <t>Alexandre Leonardo Zampieri Christofano Orbolato</t>
  </si>
  <si>
    <t>David Montanhini</t>
  </si>
  <si>
    <t>RIVER ENGENHARIA E CONSULTORIA</t>
  </si>
  <si>
    <t>Mateus Coivo Villela</t>
  </si>
  <si>
    <t>UNIBASE INFORMATICA E SERVICOS LTDA</t>
  </si>
  <si>
    <t>Regina Ferreira</t>
  </si>
  <si>
    <t>Gabriel Augusto Bortolozo</t>
  </si>
  <si>
    <t>Rogério Maia</t>
  </si>
  <si>
    <t>Roberto Correa</t>
  </si>
  <si>
    <t>Francisco Sidnir Do Amaral</t>
  </si>
  <si>
    <t>Luiz Coelho</t>
  </si>
  <si>
    <t>PROINST ENGENHARIA</t>
  </si>
  <si>
    <t>MGF INCORPORADORA</t>
  </si>
  <si>
    <t>Josemar Furtado</t>
  </si>
  <si>
    <t>Bruno Machado Cagnacci</t>
  </si>
  <si>
    <t>Rafael dos Santos da Silva Barbosa</t>
  </si>
  <si>
    <t>Lucas Henrique Szereda</t>
  </si>
  <si>
    <t>Jose Wellington Rodrigues De Lima Junior</t>
  </si>
  <si>
    <t>Renato Gama Araujo</t>
  </si>
  <si>
    <t>Lucas Carmona</t>
  </si>
  <si>
    <t>GM PROJETOS E PERICIAS</t>
  </si>
  <si>
    <t>Celeste Martins Leite</t>
  </si>
  <si>
    <t>STRAL PROJETOS ELETRICOS</t>
  </si>
  <si>
    <t>Daira Sibele De Oliveira</t>
  </si>
  <si>
    <t>Luana Moreira</t>
  </si>
  <si>
    <t>JOSE MARQUES DOS SANTOS Marques Dos Santos</t>
  </si>
  <si>
    <t>Fabricio Carlos Gabriel Oliveira</t>
  </si>
  <si>
    <t>Ricardo Allen Filgueira Pontes Morais</t>
  </si>
  <si>
    <t>JOÃO PAULO DOS SANTOS DA CONCEIÇÃO</t>
  </si>
  <si>
    <t>Tiago Matias Lino</t>
  </si>
  <si>
    <t>Vinícius Albuqueruque</t>
  </si>
  <si>
    <t>Fernando Pires</t>
  </si>
  <si>
    <t>Judah Medeiros</t>
  </si>
  <si>
    <t>Cesar Amorim</t>
  </si>
  <si>
    <t>SELVA URBANA LTDA</t>
  </si>
  <si>
    <t>Ricardo De Moraes</t>
  </si>
  <si>
    <t>Josué Neto</t>
  </si>
  <si>
    <t>João Batista de Moraes Jr</t>
  </si>
  <si>
    <t>Larissa Kuntz</t>
  </si>
  <si>
    <t>Rodrigo Araujo Dos Santos</t>
  </si>
  <si>
    <t>GRUPO BABITONGA ENGENHARIA</t>
  </si>
  <si>
    <t>Christian Begot</t>
  </si>
  <si>
    <t>Sidney Salomé</t>
  </si>
  <si>
    <t>Felipe De Paula Lima Nascimento</t>
  </si>
  <si>
    <t>Bg Engenharia</t>
  </si>
  <si>
    <t>IVAN CARLOS SAMPAIO ANDRADE Sampaio Andrade</t>
  </si>
  <si>
    <t>Fernando PADILHA</t>
  </si>
  <si>
    <t>Alessandro Rogério Souza Junior</t>
  </si>
  <si>
    <t>Axo Engenharia</t>
  </si>
  <si>
    <t>Arthur Silva</t>
  </si>
  <si>
    <t>Guilherme Reis Azevedo</t>
  </si>
  <si>
    <t>Rafael Paschoalini</t>
  </si>
  <si>
    <t>Wander Jose Dos Santos</t>
  </si>
  <si>
    <t>Wilson Roberto Engel Junior</t>
  </si>
  <si>
    <t>Juliana Ferreira Brito dos Santos</t>
  </si>
  <si>
    <t>Guilherme Manente</t>
  </si>
  <si>
    <t>OLIVEIRA SILVA ENGENHARIA LTDA</t>
  </si>
  <si>
    <t>Marcelo Ribeiro</t>
  </si>
  <si>
    <t>COMPLEMENTARE ENGENHARIA</t>
  </si>
  <si>
    <t>Mateus De Lima Souza De Lima Souza</t>
  </si>
  <si>
    <t>Michel Batista</t>
  </si>
  <si>
    <t>Lumini Engenharias</t>
  </si>
  <si>
    <t>ANA DE ANDRADE</t>
  </si>
  <si>
    <t>Matheus Da Silva</t>
  </si>
  <si>
    <t>EMFLORTEC EMPREENDIMENTOS LTDA</t>
  </si>
  <si>
    <t>ECOVOLTZ ENGENHARIA LTDA</t>
  </si>
  <si>
    <t>Sidnei Felipe Da Silva</t>
  </si>
  <si>
    <t>Giovanni Almeida</t>
  </si>
  <si>
    <t>Andreza Felix</t>
  </si>
  <si>
    <t>Leonardo Naoto Hirosue Naoto Hirose</t>
  </si>
  <si>
    <t>CM FERRARI ENGENHARIA</t>
  </si>
  <si>
    <t>New Construtora</t>
  </si>
  <si>
    <t>AES MATERIAIS DE CONSTRUCAO</t>
  </si>
  <si>
    <t>Wilson Thompson</t>
  </si>
  <si>
    <t>Vivian Butel Pereira</t>
  </si>
  <si>
    <t>Presley De Andrade</t>
  </si>
  <si>
    <t>MUNICIPIO DE LONDRINA</t>
  </si>
  <si>
    <t>Edilson Denisio Julio</t>
  </si>
  <si>
    <t>Guilherme Battalini Silva</t>
  </si>
  <si>
    <t>Yasmin Lorrainy Silveria Dos Santos</t>
  </si>
  <si>
    <t>Jorge  Gallotti De Souza</t>
  </si>
  <si>
    <t>Charles Michel Lasta</t>
  </si>
  <si>
    <t>Miguel Antonio Guerra</t>
  </si>
  <si>
    <t>carolina bernhard</t>
  </si>
  <si>
    <t>Soraia Moreira</t>
  </si>
  <si>
    <t>Sidney Martins</t>
  </si>
  <si>
    <t>thales.sa@altoqi.com.br</t>
  </si>
  <si>
    <t>Sandro Martins</t>
  </si>
  <si>
    <t>BRUNO  NUNES AGUIAR</t>
  </si>
  <si>
    <t>Fernando Augusto Volpato</t>
  </si>
  <si>
    <t>Simon Sabino Jacó Do Nascimento</t>
  </si>
  <si>
    <t>Reginaldo Bento Pereira Netto</t>
  </si>
  <si>
    <t>Elison Rodrigues Pereira</t>
  </si>
  <si>
    <t>Alexandre De Carli De Menezes</t>
  </si>
  <si>
    <t>André Teixeira</t>
  </si>
  <si>
    <t>Eduardo Nascimento Borges</t>
  </si>
  <si>
    <t>Pedro Henrique Da Silva</t>
  </si>
  <si>
    <t>Biena Engenharia</t>
  </si>
  <si>
    <t>R PEOTTA ENGENHARIA E CONSULTORIA LTDA</t>
  </si>
  <si>
    <t>Lucas Aparecido Ferreira</t>
  </si>
  <si>
    <t>Brasil Martins De Oliveira Filho</t>
  </si>
  <si>
    <t>Jesiel Bega</t>
  </si>
  <si>
    <t>Daniel Felix da Silva</t>
  </si>
  <si>
    <t>Diego Zeferino</t>
  </si>
  <si>
    <t>Gabriel Righi</t>
  </si>
  <si>
    <t>Eduard Graber</t>
  </si>
  <si>
    <t>Alvino De Souza Alkmim Alkmim</t>
  </si>
  <si>
    <t>Poli Junior</t>
  </si>
  <si>
    <t>Jeferson Garcia Da Silva</t>
  </si>
  <si>
    <t>George Nogueira</t>
  </si>
  <si>
    <t>Andreia Mendes</t>
  </si>
  <si>
    <t>Agatha Ribeiro</t>
  </si>
  <si>
    <t>Comercial B2E - Estudantes</t>
  </si>
  <si>
    <t>Robson Neri Jeremias</t>
  </si>
  <si>
    <t>marketing@altoqi.com.br</t>
  </si>
  <si>
    <t>E-Commerce</t>
  </si>
  <si>
    <t>Comercial - E-commerce</t>
  </si>
  <si>
    <t>Swamy Negris De Barcellos</t>
  </si>
  <si>
    <t>anderson.ortiz@altoqi.com.br</t>
  </si>
  <si>
    <t>Weverton Souza</t>
  </si>
  <si>
    <t>Deivson Junio Silva Andrade</t>
  </si>
  <si>
    <t>Alexandre Camargo Pansera</t>
  </si>
  <si>
    <t>3t Engenharia</t>
  </si>
  <si>
    <t>eliane.guinther@altoqi.com.br</t>
  </si>
  <si>
    <t>Danilo Fagundes</t>
  </si>
  <si>
    <t>Kelyne Ketley Figueiredo Ladislau</t>
  </si>
  <si>
    <t>VAZ ENGENHARIA ELETRICA</t>
  </si>
  <si>
    <t>Pedro Barbosa De Oliveira</t>
  </si>
  <si>
    <t>susana.becker@altoqi.com.br</t>
  </si>
  <si>
    <t>Wellington Pereira Batista</t>
  </si>
  <si>
    <t>SOMAR ENGENHARIA</t>
  </si>
  <si>
    <t>Alan Francelino Castro Alves</t>
  </si>
  <si>
    <t>AC&amp;F SERVICOS TECNICOS LTDA</t>
  </si>
  <si>
    <t>Luciano Camargo Kometani</t>
  </si>
  <si>
    <t>EWA ENGENHARIA LTDA</t>
  </si>
  <si>
    <t>Tiago Ricci Bianco</t>
  </si>
  <si>
    <t>INTERTECHNE MODULLAR</t>
  </si>
  <si>
    <t>renata.parizotto@altoqi.com.br</t>
  </si>
  <si>
    <t>Thiago Araujo</t>
  </si>
  <si>
    <t>Felipe Vieira</t>
  </si>
  <si>
    <t>David Candido Bernardi</t>
  </si>
  <si>
    <t>Gustavo Nunes da Silva</t>
  </si>
  <si>
    <t>Angela Patricia Raffler</t>
  </si>
  <si>
    <t>ARENA ASSESSORIA DE PROJETOS LTDA</t>
  </si>
  <si>
    <t>Add-on usuários Collab</t>
  </si>
  <si>
    <t>Everton Fattori</t>
  </si>
  <si>
    <t>FORTPRE PRE MOLDADOS LTDA</t>
  </si>
  <si>
    <t>Carlos Bruno Bezerra Pires</t>
  </si>
  <si>
    <t>MUNICIPIO DE FLOR DA SERRA DO SUL</t>
  </si>
  <si>
    <t>Cristiano Viveiros de Carvalho</t>
  </si>
  <si>
    <t>AGF ENGENHARIA</t>
  </si>
  <si>
    <t>Victor Ponchio</t>
  </si>
  <si>
    <t>Elder dos Santos Guerra Filho</t>
  </si>
  <si>
    <t>Gabriela Matias Roncato</t>
  </si>
  <si>
    <t>Cauê Santiago</t>
  </si>
  <si>
    <t>Ricardo Galvão da Silva</t>
  </si>
  <si>
    <t>Henrique Iwano</t>
  </si>
  <si>
    <t>Francisco Amorim</t>
  </si>
  <si>
    <t>Jonatas Fernandes dos Prazeres</t>
  </si>
  <si>
    <t>Caroline Gonzaga</t>
  </si>
  <si>
    <t>Rhonan Lima De Souza Lima De Souza</t>
  </si>
  <si>
    <t>Brendo Wesley</t>
  </si>
  <si>
    <t>Centro Universitário de Volta Redonda - UNIFOA</t>
  </si>
  <si>
    <t>Flavia Silveira Votto</t>
  </si>
  <si>
    <t>Renato Facuri</t>
  </si>
  <si>
    <t>SENA ESTRUTURAS E INSTALAÇÕES</t>
  </si>
  <si>
    <t>plano_business</t>
  </si>
  <si>
    <t>Add-on usuários Workflow</t>
  </si>
  <si>
    <t>Cauã Nunes</t>
  </si>
  <si>
    <t>Neocub Construtora e Incorporadora</t>
  </si>
  <si>
    <t>José Henrique Lopes</t>
  </si>
  <si>
    <t>Manoel Alves Da Silva</t>
  </si>
  <si>
    <t>Otavio Augusto Botta Martins</t>
  </si>
  <si>
    <t>Jfx Engenharia</t>
  </si>
  <si>
    <t>AETOS ARQUITETURA LTDA</t>
  </si>
  <si>
    <t>Johnny Herbert De Oliveira Maia</t>
  </si>
  <si>
    <t>Jose Felipe Carneiro</t>
  </si>
  <si>
    <t>Marllone dos Santos Plotegher</t>
  </si>
  <si>
    <t>Luan Gomes Santos</t>
  </si>
  <si>
    <t>jhully.neybian@altoqi.com.br</t>
  </si>
  <si>
    <t>Senai/DF</t>
  </si>
  <si>
    <t>Plano Visus Collab Governo</t>
  </si>
  <si>
    <t>Wagner Luiz De Souza Soares</t>
  </si>
  <si>
    <t>Ezio Nascimento Miranda</t>
  </si>
  <si>
    <t>PROJR - EMPRESA JUNIOR DE ENGENHARIA CIVIL</t>
  </si>
  <si>
    <t>José Marcelo de Luna</t>
  </si>
  <si>
    <t>Rafael Couto</t>
  </si>
  <si>
    <t>Lourival Lopes Cruz</t>
  </si>
  <si>
    <t>Amilton Luiz Filho</t>
  </si>
  <si>
    <t>Jose Aquino</t>
  </si>
  <si>
    <t>Davide Melo</t>
  </si>
  <si>
    <t>Amr Engenharia</t>
  </si>
  <si>
    <t>Renan Barbosa</t>
  </si>
  <si>
    <t>Antonio Pereira De Sousa Neto</t>
  </si>
  <si>
    <t>GABRIEL ARAUJO REGO</t>
  </si>
  <si>
    <t>Crhistian Ducatto</t>
  </si>
  <si>
    <t>ANDRE LACERDA JORGE LTDA</t>
  </si>
  <si>
    <t>POLARIS ENGENHARIA</t>
  </si>
  <si>
    <t>Elkson Souza Coronel</t>
  </si>
  <si>
    <t>Lucas Krasuski Arquiteto LTDA</t>
  </si>
  <si>
    <t>STUDIO PROJETTE ARQUITETURA E ENGENHARIA LTDA</t>
  </si>
  <si>
    <t>PEDRO FERREIRA</t>
  </si>
  <si>
    <t>Hb Henzel Brothers Pre Moldados</t>
  </si>
  <si>
    <t>Luiz Eduardo Soares Teixeira</t>
  </si>
  <si>
    <t>Andre Rodrigues</t>
  </si>
  <si>
    <t>Maisa Amalia Kronbauer</t>
  </si>
  <si>
    <t>André Burin</t>
  </si>
  <si>
    <t>Alexandre Bastos Abrão</t>
  </si>
  <si>
    <t>TELL ENGENHARIA E INSTALACOES LTDA</t>
  </si>
  <si>
    <t>Renato Freitas</t>
  </si>
  <si>
    <t>ARMANI ENGENHARIA</t>
  </si>
  <si>
    <t>PAG ENGENHARIA E CONSULTORIA LTDA</t>
  </si>
  <si>
    <t>Claudiney Otavio de Matos</t>
  </si>
  <si>
    <t>Raviis Engenharia</t>
  </si>
  <si>
    <t>Danilo Ferreira Costa</t>
  </si>
  <si>
    <t>CS - Expansão</t>
  </si>
  <si>
    <t>Rodrigo Nunes Marangon</t>
  </si>
  <si>
    <t>Kleferson Paiva</t>
  </si>
  <si>
    <t>Tipo Projetos</t>
  </si>
  <si>
    <t>SINGULAR ENGENHARIA ELETRICA LTDA</t>
  </si>
  <si>
    <t>C3 Engenharia e Incorporacoes</t>
  </si>
  <si>
    <t>Alvaro Damasceno</t>
  </si>
  <si>
    <t>guilherme Vieira Quadros</t>
  </si>
  <si>
    <t>Hans De Souza</t>
  </si>
  <si>
    <t>Peterspn Rosa'</t>
  </si>
  <si>
    <t>Nilécio Dantas</t>
  </si>
  <si>
    <t>Pedro Quirino</t>
  </si>
  <si>
    <t>SOLLEVO ENGENHARIA CRIATIVA</t>
  </si>
  <si>
    <t>Tamara Magalhaes de Aguiar</t>
  </si>
  <si>
    <t>Helder Matheus Heinrich</t>
  </si>
  <si>
    <t>Mariana Reis</t>
  </si>
  <si>
    <t>Victor Melo</t>
  </si>
  <si>
    <t>Rômulo Ferreira da Silva</t>
  </si>
  <si>
    <t>Leandro Marques</t>
  </si>
  <si>
    <t>Evandro Resende</t>
  </si>
  <si>
    <t>Daniel Ferreira</t>
  </si>
  <si>
    <t>FURLANI PROJETOS DE ENGENHARIA</t>
  </si>
  <si>
    <t>José Elizeu Lima dos Santos Lima dos Santos</t>
  </si>
  <si>
    <t>Carlos Eduardo Pretto</t>
  </si>
  <si>
    <t>Carpegiani Lima</t>
  </si>
  <si>
    <t>Lucas Caires</t>
  </si>
  <si>
    <t>Ricardo Candido Frizzera</t>
  </si>
  <si>
    <t>METABIM</t>
  </si>
  <si>
    <t>Paula Maria Gomes Marques</t>
  </si>
  <si>
    <t>MODULE ENGENHARIA</t>
  </si>
  <si>
    <t>Marlon Da Fonseca Fernandes</t>
  </si>
  <si>
    <t>Rafael Palmijiano Badaro</t>
  </si>
  <si>
    <t>Jean Carlo Borges</t>
  </si>
  <si>
    <t>Vitor Cantolini Theodoro De Souza</t>
  </si>
  <si>
    <t>Domingos Leal</t>
  </si>
  <si>
    <t>Márcio Peixoto</t>
  </si>
  <si>
    <t>META PROJETOS E ADMINISTRACAO DE OBRAS LTDA</t>
  </si>
  <si>
    <t>Eduardo Silva Lima</t>
  </si>
  <si>
    <t>ALFA PLOTTER</t>
  </si>
  <si>
    <t>Roberto Berg</t>
  </si>
  <si>
    <t>Ricardo Galdino</t>
  </si>
  <si>
    <t>CS - Renovações</t>
  </si>
  <si>
    <t>Alberto Do Nascimento Matias Matias</t>
  </si>
  <si>
    <t>Thiago Miguel DOS SANTOS CABRAL</t>
  </si>
  <si>
    <t>Ksn Engenharia Consultiva</t>
  </si>
  <si>
    <t>Joice de Oliveira Bueno</t>
  </si>
  <si>
    <t>Fernando Ruppenthal Ruppenthal</t>
  </si>
  <si>
    <t>Joaquim Quirino Lopes</t>
  </si>
  <si>
    <t>Ricardo Goncalves Monteiro Filho</t>
  </si>
  <si>
    <t>Geoe+</t>
  </si>
  <si>
    <t>ALEXANDRE CESAR DA FRAGA PINHEIRO JUNIOR 915.359.307-30</t>
  </si>
  <si>
    <t>NATANAEL GOMES</t>
  </si>
  <si>
    <t>Karla Barreto Alves</t>
  </si>
  <si>
    <t>Lucas Andrade Lill</t>
  </si>
  <si>
    <t>André Luiz Debroi Semensatto</t>
  </si>
  <si>
    <t>Maria Almeida</t>
  </si>
  <si>
    <t>Matheus Soares Nascimento</t>
  </si>
  <si>
    <t>Luiz Carlos Schafranski</t>
  </si>
  <si>
    <t>Edneia Conceição Duarte</t>
  </si>
  <si>
    <t>Marcos Vinicius</t>
  </si>
  <si>
    <t>Ana Paula Freitas</t>
  </si>
  <si>
    <t>Claudio Pereira</t>
  </si>
  <si>
    <t>Carlos Henrique Fernandes Santos</t>
  </si>
  <si>
    <t>MOMENTO FLETOR SOLUCOES ESTRUTURAIS</t>
  </si>
  <si>
    <t>Claudio Dornelis</t>
  </si>
  <si>
    <t>Tanielli Nascimento</t>
  </si>
  <si>
    <t>Rg Pre Moldados Ltda Premoldados LTDA</t>
  </si>
  <si>
    <t>Taina Lummertz De Oliveira</t>
  </si>
  <si>
    <t>Thiago Martins Pereira</t>
  </si>
  <si>
    <t>HRT FRANCA GESTAO IMOBILIARIA LTDA</t>
  </si>
  <si>
    <t>rafael.acencio@altoqi.com.br</t>
  </si>
  <si>
    <t>Walter Pereira</t>
  </si>
  <si>
    <t>Renato Andrade</t>
  </si>
  <si>
    <t>Marcos Roberto Araujo Bonfim</t>
  </si>
  <si>
    <t>Marcelo Bretz Batti</t>
  </si>
  <si>
    <t>Implantação</t>
  </si>
  <si>
    <t>IMPLANTA ALTOQI VISUS WF + CB – STANDARD</t>
  </si>
  <si>
    <t>ALENCAR ENGENHARIA LTDA</t>
  </si>
  <si>
    <t>J. AUGUSTO FERREIRA CORREIA ENGENHARIA LTDA</t>
  </si>
  <si>
    <t>Joao Carlos Dos Santos Canhada</t>
  </si>
  <si>
    <t>Maria Luiza de Souza Kretzer</t>
  </si>
  <si>
    <t>1 mês</t>
  </si>
  <si>
    <t>ASSOCIACAO DE POUPANCA E EMPRESTIMO POUPEX</t>
  </si>
  <si>
    <t>Ricardo Sousa Santos Filho</t>
  </si>
  <si>
    <t>José Alissomelky Silva Fernandes</t>
  </si>
  <si>
    <t>Recepeti</t>
  </si>
  <si>
    <t>camila.nakahara@altoqi.com.br</t>
  </si>
  <si>
    <t>Treinamento Pós Graduação</t>
  </si>
  <si>
    <t>Humberto Sabino</t>
  </si>
  <si>
    <t>S T C - Construtora</t>
  </si>
  <si>
    <t>PAMELA RAYARA</t>
  </si>
  <si>
    <t>Rodrigo Suzuki</t>
  </si>
  <si>
    <t>Vitor Hugo Marquez Silva</t>
  </si>
  <si>
    <t>48 meses</t>
  </si>
  <si>
    <t>Aldo Da Silva</t>
  </si>
  <si>
    <t>CARVALHO &amp; COSTA ENGENHARIA LTDA</t>
  </si>
  <si>
    <t>Matheus Fernando Rieger</t>
  </si>
  <si>
    <t>VOLTEC SOLUCOES EM ENERGIA LTDA</t>
  </si>
  <si>
    <t>Leila Cerqueira Sandoval</t>
  </si>
  <si>
    <t>63.038.569 RICARDO CAVALHERI ALEXANDRE</t>
  </si>
  <si>
    <t>Lucas Tavares</t>
  </si>
  <si>
    <t>Plataforma AltoQi Education - Assinatura de cursos</t>
  </si>
  <si>
    <t>Fabio Morais De Matos</t>
  </si>
  <si>
    <t>Construtora Mazutti</t>
  </si>
  <si>
    <t>Eletrohm</t>
  </si>
  <si>
    <t>EMPREITEIRA DE MAO DE OBRA KOLLN LTDA</t>
  </si>
  <si>
    <t>MODELA BIM</t>
  </si>
  <si>
    <t>Diego Augusto Fioravante</t>
  </si>
  <si>
    <t>Guilherme Somavila</t>
  </si>
  <si>
    <t>Felipe Peres</t>
  </si>
  <si>
    <t>MAOBA EMPREENDIMENTOS</t>
  </si>
  <si>
    <t>Rutte Barros</t>
  </si>
  <si>
    <t>ARQUIMEDES ENGENHARIA CIVIL LTDA</t>
  </si>
  <si>
    <t>BASELINE CONSULTORIA</t>
  </si>
  <si>
    <t>Marcelo Précoma</t>
  </si>
  <si>
    <t>Joao Luiz Dos Santos Katczinski</t>
  </si>
  <si>
    <t>ONCAP CONSTRUCOES LTDA</t>
  </si>
  <si>
    <t>Edifica</t>
  </si>
  <si>
    <t>Danubio Carvalho Moura</t>
  </si>
  <si>
    <t>Andre Valentim Rodrigues</t>
  </si>
  <si>
    <t>NOUS ENGENHARIA LTDA</t>
  </si>
  <si>
    <t>Jeferson Ost Patzlaff</t>
  </si>
  <si>
    <t>João Orsi</t>
  </si>
  <si>
    <t>José Otavio Salvador</t>
  </si>
  <si>
    <t>Vitor Eduardo Pereira Araujo</t>
  </si>
  <si>
    <t>Eduardo Marinho Carvalhaes Silva</t>
  </si>
  <si>
    <t>RCA ENGENHARIA DE PROJETOS SS</t>
  </si>
  <si>
    <t>Claudiano Jose Sagaz</t>
  </si>
  <si>
    <t>Tarcísio Junior</t>
  </si>
  <si>
    <t>Alessandro Edilson Malcher Muniz</t>
  </si>
  <si>
    <t>Ana Luiza Guglielmetti Cavallari</t>
  </si>
  <si>
    <t>CONSTRUTORA DIAS ALBUQUERQUE LTDA</t>
  </si>
  <si>
    <t>Jose Roberto Westerich Machado</t>
  </si>
  <si>
    <t>José Batista Reis</t>
  </si>
  <si>
    <t>Vinicius Bacon</t>
  </si>
  <si>
    <t>Alcinei Oliveira</t>
  </si>
  <si>
    <t>Jessica Menegazzo</t>
  </si>
  <si>
    <t>Marcelo Pilon</t>
  </si>
  <si>
    <t>Hebio Moreira</t>
  </si>
  <si>
    <t>Jemes Lopz</t>
  </si>
  <si>
    <t>Michelangelo Cassiano</t>
  </si>
  <si>
    <t>Welerson Cogo Cogo</t>
  </si>
  <si>
    <t>Leandro Damasceno</t>
  </si>
  <si>
    <t>Amós de Oliveira Castro</t>
  </si>
  <si>
    <t>Walace Silva</t>
  </si>
  <si>
    <t>Robson Chaves</t>
  </si>
  <si>
    <t>Gabriel De Matos Bastos</t>
  </si>
  <si>
    <t>Aceplan Construções e Incorporações LTDA</t>
  </si>
  <si>
    <t>OFFICINA TRES PRESTADORA DE SERVICOS LTDA</t>
  </si>
  <si>
    <t>Guilherme Henrique Ferreira</t>
  </si>
  <si>
    <t>Clovis Cipolletta</t>
  </si>
  <si>
    <t>Alleato Engenharia Estrutural</t>
  </si>
  <si>
    <t>Leandro Barros</t>
  </si>
  <si>
    <t>Jianluca Sgoda Niquele</t>
  </si>
  <si>
    <t>A5 CT ENGENHARIA</t>
  </si>
  <si>
    <t>INTEGRA + ARQUITETURA , ENGENHARIA E INTERIORES</t>
  </si>
  <si>
    <t>IMATEK SERVICOS LTDA</t>
  </si>
  <si>
    <t>Carolina Goncalves Benatti</t>
  </si>
  <si>
    <t>Mariane Rodrigues Santos Christo</t>
  </si>
  <si>
    <t>ATECX ENGENHARIA</t>
  </si>
  <si>
    <t>Pioneer Engenharia</t>
  </si>
  <si>
    <t>Jose Eduardo Bezerra</t>
  </si>
  <si>
    <t>Milca Moraes Elias Antunes</t>
  </si>
  <si>
    <t>Pilares Empresa Junior</t>
  </si>
  <si>
    <t>CWC SOLUCOES EM ENGENHARIA</t>
  </si>
  <si>
    <t>Ricardo Simplicio Mota</t>
  </si>
  <si>
    <t>Felipe Munhoz Moreira Da Silva</t>
  </si>
  <si>
    <t>Domingos Fernandes De Melo Faria Filho</t>
  </si>
  <si>
    <t>Bruno Tibola Galdino</t>
  </si>
  <si>
    <t>P.R.C. EMPREENDIMENTOS IMOBILIARIOS LTDA.</t>
  </si>
  <si>
    <t>Leonardo Eskelsen</t>
  </si>
  <si>
    <t>Felisberto Pereira</t>
  </si>
  <si>
    <t>NEO ENGENHARIA</t>
  </si>
  <si>
    <t>Márcio Moreira</t>
  </si>
  <si>
    <t>Caio Souza</t>
  </si>
  <si>
    <t>Engemos</t>
  </si>
  <si>
    <t>LT7 ENGENHARIA, PROJETOS E EXECUCOES LTDA</t>
  </si>
  <si>
    <t>Isabela Lorentz Pinheiro Rosa</t>
  </si>
  <si>
    <t>Stephano Barbosa</t>
  </si>
  <si>
    <t>Cavent Engenharia</t>
  </si>
  <si>
    <t>Wellington Douglas da Silva</t>
  </si>
  <si>
    <t>DSM ENGENHARIA</t>
  </si>
  <si>
    <t>LEGUS ENGENHARIA E SERVICOS</t>
  </si>
  <si>
    <t>Fiamma Araujo</t>
  </si>
  <si>
    <t>Júlia de Faria</t>
  </si>
  <si>
    <t>Tha Engenharia</t>
  </si>
  <si>
    <t>Joubert Da Silva</t>
  </si>
  <si>
    <t>GABRIEL LEAL</t>
  </si>
  <si>
    <t>Giuseppe Milanez Marcello</t>
  </si>
  <si>
    <t>MAXFALCON ENGENHARIA</t>
  </si>
  <si>
    <t>THAUAN MOREIRA</t>
  </si>
  <si>
    <t>Rafael Luchesi</t>
  </si>
  <si>
    <t>Thiago TOBIAS</t>
  </si>
  <si>
    <t>Igor Takiy</t>
  </si>
  <si>
    <t>Bryan Feliciano</t>
  </si>
  <si>
    <t>Rodrigo Marcio Teixeira</t>
  </si>
  <si>
    <t>Bergson Matias</t>
  </si>
  <si>
    <t>Heto Arquitetura</t>
  </si>
  <si>
    <t>Jacson Santana Ferreira</t>
  </si>
  <si>
    <t>Marco Antonio Costa Albuquerque</t>
  </si>
  <si>
    <t>Eloa Raquel Olsen Elias</t>
  </si>
  <si>
    <t>Vitor Riesz Pelosini</t>
  </si>
  <si>
    <t>Destrave Engenharia</t>
  </si>
  <si>
    <t>Guilherme Santos</t>
  </si>
  <si>
    <t>Igor Wesley Dias</t>
  </si>
  <si>
    <t>Eder Claro Pedrozo</t>
  </si>
  <si>
    <t>debora.vieira@altoqi.com.br</t>
  </si>
  <si>
    <t>VALLENGE CONSULTORIA, PROJETOS E OBRAS LTDA</t>
  </si>
  <si>
    <t>José Antonia de Oliveira Filho</t>
  </si>
  <si>
    <t>Breno Nunes Costa</t>
  </si>
  <si>
    <t>Danilo Rios Xavier</t>
  </si>
  <si>
    <t>GLOBO ENGENHARIA LTDA</t>
  </si>
  <si>
    <t>Heloisa Hitz Rodrigues Gomes</t>
  </si>
  <si>
    <t>Camila Késia Pecegueiro</t>
  </si>
  <si>
    <t>Advanaldo De Souza Soares</t>
  </si>
  <si>
    <t>Facundo Pezzali</t>
  </si>
  <si>
    <t>Ana Elisa Silva Eras</t>
  </si>
  <si>
    <t>Fábio Sampaio</t>
  </si>
  <si>
    <t>Luana Lucena</t>
  </si>
  <si>
    <t>Nelio Aquine De Moura</t>
  </si>
  <si>
    <t>Gabriela Coradi</t>
  </si>
  <si>
    <t>Deivid Tobias Bastos Silva</t>
  </si>
  <si>
    <t>FELIPE DE ALMEIDA</t>
  </si>
  <si>
    <t>Cristhian Bleichvel Johann</t>
  </si>
  <si>
    <t>Thiago Sugano</t>
  </si>
  <si>
    <t>Demetrius Tenório de Melo Medeiros</t>
  </si>
  <si>
    <t>Camila Taciane Rossi</t>
  </si>
  <si>
    <t>Lucas Barbosa</t>
  </si>
  <si>
    <t>MCM MONTAGENS INDUSTRIAIS</t>
  </si>
  <si>
    <t>Invista Engenharia</t>
  </si>
  <si>
    <t>José Júnior</t>
  </si>
  <si>
    <t>renata.scheffer@altoqi.com.br</t>
  </si>
  <si>
    <t>Marcelo Cennerelli</t>
  </si>
  <si>
    <t>Daniel Rego Silva Portela</t>
  </si>
  <si>
    <t>CONSTRUTTORE EMPREENDIMENTOS IMOBILIARIOS LTDA</t>
  </si>
  <si>
    <t>Plano Visus Control Tower</t>
  </si>
  <si>
    <t>Camilo Hernandez</t>
  </si>
  <si>
    <t>Antrax Serviços de Engenharia e Representações Ltda ME Antrax Engenharia</t>
  </si>
  <si>
    <t>Raphael Vinicius Carlotto De Aguiar</t>
  </si>
  <si>
    <t>Murilo Almeida Campos</t>
  </si>
  <si>
    <t>SANTA CASA DE MISERICORDIA DE ARACATUBA</t>
  </si>
  <si>
    <t>EFICACIA PROJETOS E CONSULTORIA LTDA</t>
  </si>
  <si>
    <t>Mario Santiago</t>
  </si>
  <si>
    <t>Luiz Pazuch</t>
  </si>
  <si>
    <t>Bidese Construtora</t>
  </si>
  <si>
    <t>Tobias Luiz Marchioro Toassi Toassi</t>
  </si>
  <si>
    <t>Caio Alves de Sousa</t>
  </si>
  <si>
    <t>Diana Paula Herzog Mauri</t>
  </si>
  <si>
    <t>Gabriel Frederico Séccolo</t>
  </si>
  <si>
    <t>Jheniffer Almeida Silva</t>
  </si>
  <si>
    <t>ENGECHAP SERVICOS LTDA</t>
  </si>
  <si>
    <t>CONNECT PROJETOS E CONSTRUCAO LTDA</t>
  </si>
  <si>
    <t>Juliano Martins da Silva</t>
  </si>
  <si>
    <t>Luan Liberato Ossemer</t>
  </si>
  <si>
    <t>Bruno Almeida E Silva Almeida</t>
  </si>
  <si>
    <t>FORMA ARQUITETURA E URBANISMO LTDA</t>
  </si>
  <si>
    <t>CORADELLO FERES ENGENHARIA LTDA</t>
  </si>
  <si>
    <t>CRAVO ENGENHARIA</t>
  </si>
  <si>
    <t>Ricardo Ramos Martins</t>
  </si>
  <si>
    <t>ANDRE DORIA SILVA</t>
  </si>
  <si>
    <t>Leonardo Matheus Avanci</t>
  </si>
  <si>
    <t>Rodrigo Marciano</t>
  </si>
  <si>
    <t>Rodrigo Ferreira</t>
  </si>
  <si>
    <t>Guilherme Henrique Silva Abreu</t>
  </si>
  <si>
    <t>Gloria Maria Silva Ferreira Fonseca</t>
  </si>
  <si>
    <t>Ana Paula Muller de Brum</t>
  </si>
  <si>
    <t>Edson Antonio Zak Piegat</t>
  </si>
  <si>
    <t>LUNA ENGENHARIA LTDA.</t>
  </si>
  <si>
    <t>Valentina Alessandra Carvalho Do Vale</t>
  </si>
  <si>
    <t>CONCREMETAL ESTRUTURAS PRE-MOLDADAS E METALICAS</t>
  </si>
  <si>
    <t>ROBERTO VASCONCELOS PINHEIRO Vasconcelos Pinheiro</t>
  </si>
  <si>
    <t>Itallo Mahatan Danoa Lima</t>
  </si>
  <si>
    <t>T.C.N CONSTRUTORA E REFORMA LTDA</t>
  </si>
  <si>
    <t>Carlos Torrezan</t>
  </si>
  <si>
    <t>Kaique Miranda Da Cruz</t>
  </si>
  <si>
    <t>BASSO PRE MOLDADOS E METALURGICA</t>
  </si>
  <si>
    <t>Julio Cesar Zanchett</t>
  </si>
  <si>
    <t>Thallyson Wanderley</t>
  </si>
  <si>
    <t>Marcos Alves</t>
  </si>
  <si>
    <t>Irani Rossini De Souza</t>
  </si>
  <si>
    <t>L S B CONSTRUCOES LTDA</t>
  </si>
  <si>
    <t>Eriky Sodré Lima</t>
  </si>
  <si>
    <t>Debora Tonini</t>
  </si>
  <si>
    <t>Thiago Siqueira</t>
  </si>
  <si>
    <t>Redilson De Queiroz</t>
  </si>
  <si>
    <t>Rafael Ivannoff</t>
  </si>
  <si>
    <t>Adriel dos Santos Pinto</t>
  </si>
  <si>
    <t>Eduardo Nenow</t>
  </si>
  <si>
    <t>Oscar Junior De Souza Fernandes</t>
  </si>
  <si>
    <t>Matheus Henrique Barbosa Costa</t>
  </si>
  <si>
    <t>R TORRES ENGENHARIA LTDA</t>
  </si>
  <si>
    <t>Diogo Henry Cunha Lima</t>
  </si>
  <si>
    <t>Julio Repolho</t>
  </si>
  <si>
    <t>Matheus Do Rosário Nunes</t>
  </si>
  <si>
    <t>DIMENSAO20 PROJETOS E OBRAS</t>
  </si>
  <si>
    <t>Eduardo Henrique Albuquerque Alves Batalha</t>
  </si>
  <si>
    <t>Kahenna Tezza Moreira</t>
  </si>
  <si>
    <t>Traco Civil Projetos</t>
  </si>
  <si>
    <t>FERRARI ENGENHARIA</t>
  </si>
  <si>
    <t>Gustavo Holanda Pimentel</t>
  </si>
  <si>
    <t>Rodrick Lopes Pereira</t>
  </si>
  <si>
    <t>RBS INCORPORACOES</t>
  </si>
  <si>
    <t>Vinicius dos Santos Bordoli Affonso</t>
  </si>
  <si>
    <t>Luzinei Rodrigues Ribeiro</t>
  </si>
  <si>
    <t>Phs Engenharia</t>
  </si>
  <si>
    <t>Marcela Santos Lopes</t>
  </si>
  <si>
    <t>Closvaldir Bertol Bertol</t>
  </si>
  <si>
    <t>WALLACE BARBOZA</t>
  </si>
  <si>
    <t>Kayque Souza</t>
  </si>
  <si>
    <t>Suzy Rasmussen Nunes</t>
  </si>
  <si>
    <t>Gabriela Soledade Da Silva</t>
  </si>
  <si>
    <t>Fabian Oliveira Paulambella</t>
  </si>
  <si>
    <t>Ikaro Gabriel Carlott</t>
  </si>
  <si>
    <t>Alex Hammes</t>
  </si>
  <si>
    <t>Sandro Timm Willemann</t>
  </si>
  <si>
    <t>William Correa</t>
  </si>
  <si>
    <t>Armando Freitas Filho</t>
  </si>
  <si>
    <t>Oscar Felipe Weitzemann</t>
  </si>
  <si>
    <t>Kessler Goncalves Dos Reis</t>
  </si>
  <si>
    <t>Denys Rangel Cardoso Júnior</t>
  </si>
  <si>
    <t>CLEY EUGENIO FONTANA Fontana</t>
  </si>
  <si>
    <t>Marcelo Fontanelli</t>
  </si>
  <si>
    <t>Victor Primo</t>
  </si>
  <si>
    <t>Anne Cledna Santos Celestino</t>
  </si>
  <si>
    <t>Vinicius Moreira</t>
  </si>
  <si>
    <t>Yankha da Silva</t>
  </si>
  <si>
    <t>Adriano Bodnar</t>
  </si>
  <si>
    <t>Rafael de Almeida Oprime</t>
  </si>
  <si>
    <t>Elton Figueredo</t>
  </si>
  <si>
    <t>Kleyner Idalencio Serafim</t>
  </si>
  <si>
    <t>Mariana Laura de Oliveira Brachini</t>
  </si>
  <si>
    <t>Gelber Amaral</t>
  </si>
  <si>
    <t>Tiago Zanotti</t>
  </si>
  <si>
    <t>Kellen Oliveira</t>
  </si>
  <si>
    <t>Antonio Trugilio</t>
  </si>
  <si>
    <t>Danilo Fernandes Ceranto</t>
  </si>
  <si>
    <t>Ana Paula Coimbra</t>
  </si>
  <si>
    <t>Jaber Nonato Farias</t>
  </si>
  <si>
    <t>Luiz Julio Dias Melo</t>
  </si>
  <si>
    <t>Rodrigo Locateli Nunes</t>
  </si>
  <si>
    <t>Reynan Ferri</t>
  </si>
  <si>
    <t>Fabiano Fernandes De Oliveira</t>
  </si>
  <si>
    <t>Mateus Lamon Cerra</t>
  </si>
  <si>
    <t>Ivan Couto</t>
  </si>
  <si>
    <t>Luan Figueiredo de Oliveira</t>
  </si>
  <si>
    <t>Thiago Valério Cardoso</t>
  </si>
  <si>
    <t>Rafael Bello</t>
  </si>
  <si>
    <t>José Benício da Silva Filho</t>
  </si>
  <si>
    <t>Milton Kleber de Sousa</t>
  </si>
  <si>
    <t>Maurício Mottin</t>
  </si>
  <si>
    <t>Paulo Valverde</t>
  </si>
  <si>
    <t>Herick Pita</t>
  </si>
  <si>
    <t>Layse Ribeiro Mascarenhas</t>
  </si>
  <si>
    <t>Bruno Márcio Resende Andrade</t>
  </si>
  <si>
    <t>Lucas Pinheiro</t>
  </si>
  <si>
    <t>Adriano oliveira</t>
  </si>
  <si>
    <t>Matheus Marchetti</t>
  </si>
  <si>
    <t>André Luis Pereira Bezerra</t>
  </si>
  <si>
    <t>Luis Sousa</t>
  </si>
  <si>
    <t>Amanda Linda</t>
  </si>
  <si>
    <t>Thiago de Barros Ortega</t>
  </si>
  <si>
    <t>Nicolas Stofela Stofela</t>
  </si>
  <si>
    <t>Jorge Oliveira</t>
  </si>
  <si>
    <t>Marcelo Reiguel</t>
  </si>
  <si>
    <t>Murilo Mendes Martins</t>
  </si>
  <si>
    <t>Abraao De Sousa Ribeiro</t>
  </si>
  <si>
    <t>Danylla Nunes</t>
  </si>
  <si>
    <t>Lorena Vieira Franco</t>
  </si>
  <si>
    <t>Mateus Sales</t>
  </si>
  <si>
    <t>Rodrigo Balsan Damasio</t>
  </si>
  <si>
    <t>Davidson da Silva</t>
  </si>
  <si>
    <t>Elton Dreger Alcantara</t>
  </si>
  <si>
    <t>Denis Moreira Pereira</t>
  </si>
  <si>
    <t>Yorran Oliveira</t>
  </si>
  <si>
    <t>VLADER DANIEL</t>
  </si>
  <si>
    <t>Lucas De Souza</t>
  </si>
  <si>
    <t>felipe milde</t>
  </si>
  <si>
    <t>Talisson Lucas Ricci Ramos</t>
  </si>
  <si>
    <t>Jose Mario De Oliveira Nunes</t>
  </si>
  <si>
    <t>Diogo Girardi</t>
  </si>
  <si>
    <t>Wylliams Carvalho</t>
  </si>
  <si>
    <t>Diego Medeiros</t>
  </si>
  <si>
    <t>Klaus Quirino Terra</t>
  </si>
  <si>
    <t>Marcelo Nunes</t>
  </si>
  <si>
    <t>Nathan Ribeiro</t>
  </si>
  <si>
    <t>José Lucas</t>
  </si>
  <si>
    <t>Vitor Carvalho</t>
  </si>
  <si>
    <t>Weslen Cantanhede Marques</t>
  </si>
  <si>
    <t>Alex Santos Aguiar</t>
  </si>
  <si>
    <t>Barbara Maria Pereira Do Amaral</t>
  </si>
  <si>
    <t>Thais Elenize De Siqueira</t>
  </si>
  <si>
    <t>Everton de Oliveira Santos</t>
  </si>
  <si>
    <t>Carlos Sassemann</t>
  </si>
  <si>
    <t>Saulo Oliveira</t>
  </si>
  <si>
    <t>Roberta Galindo</t>
  </si>
  <si>
    <t>Flavia Santos</t>
  </si>
  <si>
    <t>Carolina Galvão</t>
  </si>
  <si>
    <t>Ricardo Henrique De Carvalho</t>
  </si>
  <si>
    <t>Helder Matheus</t>
  </si>
  <si>
    <t>Claudio Roberto Sousa Braga</t>
  </si>
  <si>
    <t>Douglas Rossi</t>
  </si>
  <si>
    <t>Jean Pagno</t>
  </si>
  <si>
    <t>Mateus Souza Martins</t>
  </si>
  <si>
    <t>Fernando Albéniz</t>
  </si>
  <si>
    <t>Rubens Chaud</t>
  </si>
  <si>
    <t>Amanda Nayara Silva Souza</t>
  </si>
  <si>
    <t>Dener Soares</t>
  </si>
  <si>
    <t>Rhuan Ribeiro Campos</t>
  </si>
  <si>
    <t>Hugo Moreira</t>
  </si>
  <si>
    <t>Roberto Côrtes</t>
  </si>
  <si>
    <t>Germano Reis Coelho</t>
  </si>
  <si>
    <t>Thiago Pereira</t>
  </si>
  <si>
    <t>EDWIN RAMOS DE CAMARGO</t>
  </si>
  <si>
    <t>Leandro Schmitt</t>
  </si>
  <si>
    <t>Marcio Santana</t>
  </si>
  <si>
    <t>Marcos Roberto Dalmaso</t>
  </si>
  <si>
    <t>Thiago Pagliuso Santana</t>
  </si>
  <si>
    <t>Deyvson Melo</t>
  </si>
  <si>
    <t>Rafael Heinrich</t>
  </si>
  <si>
    <t>Carlos Henrique Mendes dos Santos</t>
  </si>
  <si>
    <t>Matheus Fernandes</t>
  </si>
  <si>
    <t>Jamelle Lopes</t>
  </si>
  <si>
    <t>Celso Miranda</t>
  </si>
  <si>
    <t>Matheus Angelo</t>
  </si>
  <si>
    <t>Ritiele Magnum</t>
  </si>
  <si>
    <t>CAROLINE MADRUGA</t>
  </si>
  <si>
    <t>Alaer Luiz Alves Pereira</t>
  </si>
  <si>
    <t>Thiago Miranda</t>
  </si>
  <si>
    <t xml:space="preserve"> Plano Visus Workflow</t>
  </si>
  <si>
    <t>Andre Barros de Oliveira Costa</t>
  </si>
  <si>
    <t>Fernanda Strapasson</t>
  </si>
  <si>
    <t>Igor Cabral</t>
  </si>
  <si>
    <t>Gabriel Fernandes Boschette</t>
  </si>
  <si>
    <t>Gustavo Oliveira Brasil</t>
  </si>
  <si>
    <t>Bruna Baesso</t>
  </si>
  <si>
    <t>Gilson Marafiga Pedroso</t>
  </si>
  <si>
    <t>Richard Theodore Do Nascimento Flavio</t>
  </si>
  <si>
    <t>Alisson Luiz</t>
  </si>
  <si>
    <t>Analdo Silva</t>
  </si>
  <si>
    <t>Jean Paul Rodriguez Sanchez</t>
  </si>
  <si>
    <t>Maurilio Correa Marques Irineu</t>
  </si>
  <si>
    <t>Adilon Marques dos Santos</t>
  </si>
  <si>
    <t>Rafael Santos Ferreira</t>
  </si>
  <si>
    <t>João Paulo Alencar Leite</t>
  </si>
  <si>
    <t>Arthur Muller De Azevedo</t>
  </si>
  <si>
    <t>Victor Silva Brito Dos Reis</t>
  </si>
  <si>
    <t>Atila Costa Marinho</t>
  </si>
  <si>
    <t>Fernando Squarize Chagas</t>
  </si>
  <si>
    <t>Rodrigo Nogueira Rodrigues</t>
  </si>
  <si>
    <t>Mauricio Ribeiro</t>
  </si>
  <si>
    <t>Rodrigo Spiazzi Terra</t>
  </si>
  <si>
    <t>Chelington Boarin</t>
  </si>
  <si>
    <t>Lais Fernanda Gindri</t>
  </si>
  <si>
    <t>Elizan Junior</t>
  </si>
  <si>
    <t>Guilherme Da Silveira Garcez</t>
  </si>
  <si>
    <t>Guilherme Bovo</t>
  </si>
  <si>
    <t>Lara Rúbia Tranin</t>
  </si>
  <si>
    <t>Murilo Lima Costa</t>
  </si>
  <si>
    <t>Tauane Lobo</t>
  </si>
  <si>
    <t>José Macêdo</t>
  </si>
  <si>
    <t>Marcelo Zabotti</t>
  </si>
  <si>
    <t>Juliana Rozin Barbosa</t>
  </si>
  <si>
    <t>Victor Hugo Moreira Do Couto Souza</t>
  </si>
  <si>
    <t>Paulo Monteiro</t>
  </si>
  <si>
    <t>Dicson Stechi</t>
  </si>
  <si>
    <t>Henrique Quinco</t>
  </si>
  <si>
    <t>Danilo Strapasson</t>
  </si>
  <si>
    <t>Leonardo Faria de Souza</t>
  </si>
  <si>
    <t>Victor Simoes</t>
  </si>
  <si>
    <t>Cleiton Antunes Dias</t>
  </si>
  <si>
    <t>Rafael Berbet</t>
  </si>
  <si>
    <t>Willian França</t>
  </si>
  <si>
    <t>Marcio Roberto Silva De Lima</t>
  </si>
  <si>
    <t>Rafael Bianchi</t>
  </si>
  <si>
    <t>Cleber Santos Avelino Barreto</t>
  </si>
  <si>
    <t>rodrigo.lima@altoqi.com.br</t>
  </si>
  <si>
    <t>William Eggert</t>
  </si>
  <si>
    <t>Rubens Nishita</t>
  </si>
  <si>
    <t>Alisson Eduardo Moraes</t>
  </si>
  <si>
    <t>Joao Antonio Bagatoli</t>
  </si>
  <si>
    <t>Ulisses Vitorio Dias</t>
  </si>
  <si>
    <t>Rachel Cavalheiro de Lima</t>
  </si>
  <si>
    <t>Marcos Misson</t>
  </si>
  <si>
    <t>Frank Charles Silva Leitão</t>
  </si>
  <si>
    <t>Matheus Tavares</t>
  </si>
  <si>
    <t>Gustavo Burgarelli Batista</t>
  </si>
  <si>
    <t>Marcelo Aparecido</t>
  </si>
  <si>
    <t>Gisele Borba</t>
  </si>
  <si>
    <t>Juliana Oliveira</t>
  </si>
  <si>
    <t>Aline Link</t>
  </si>
  <si>
    <t>Alysson Bianchini</t>
  </si>
  <si>
    <t>Emanuel Felix Leite</t>
  </si>
  <si>
    <t>Thaynara Larreny Oliveira</t>
  </si>
  <si>
    <t>Iury Barros Borges</t>
  </si>
  <si>
    <t>Luana Ribeiro</t>
  </si>
  <si>
    <t>William Santos</t>
  </si>
  <si>
    <t>Bruno Lana Bortolusci</t>
  </si>
  <si>
    <t>Igor Schneider</t>
  </si>
  <si>
    <t>Gabriel Cardoso</t>
  </si>
  <si>
    <t>Filipe Stroher Bandeira</t>
  </si>
  <si>
    <t>Irak Pereira De Sousa</t>
  </si>
  <si>
    <t>Luiz Pinheiro</t>
  </si>
  <si>
    <t>Warllen Pinheiro</t>
  </si>
  <si>
    <t>Marcel Coelho Andrade</t>
  </si>
  <si>
    <t>Aloisio Ferreira De Souza Filho</t>
  </si>
  <si>
    <t>Rodrigo Igor Silva De Lima</t>
  </si>
  <si>
    <t>Tiago Civa</t>
  </si>
  <si>
    <t>Helder Gonçalves Costa</t>
  </si>
  <si>
    <t>Pedro Raul Alarcon Nogueira Silva</t>
  </si>
  <si>
    <t>Fernanda Alves Basilio Poletto</t>
  </si>
  <si>
    <t>Leandro de Castro Silva</t>
  </si>
  <si>
    <t>Luigi Rafael Francisquini</t>
  </si>
  <si>
    <t>Geovanni Romanha Silva</t>
  </si>
  <si>
    <t>WALBEM WAGNO DOS SANTOS</t>
  </si>
  <si>
    <t>Talita Iohana Domingos</t>
  </si>
  <si>
    <t>Gustavo Gomes Penetra</t>
  </si>
  <si>
    <t>Leandro Leite De Souza</t>
  </si>
  <si>
    <t>Igor Guimarães Silva</t>
  </si>
  <si>
    <t>Rene Tenorio Soares</t>
  </si>
  <si>
    <t>Henrique Oliveira Amorim</t>
  </si>
  <si>
    <t>Edmilson Rogério Pereira</t>
  </si>
  <si>
    <t>Douglas Monteiro</t>
  </si>
  <si>
    <t>Sabrina De Paula</t>
  </si>
  <si>
    <t>Gustavo Bertoglio Hammerich</t>
  </si>
  <si>
    <t>Antonia Isabela Cavalcante Marques</t>
  </si>
  <si>
    <t>Jose Joao De Andrade Neto</t>
  </si>
  <si>
    <t>Jorge Manoel Jorge</t>
  </si>
  <si>
    <t>Lucas Biazon</t>
  </si>
  <si>
    <t>Iris Nazare Cordeiro Da Silva</t>
  </si>
  <si>
    <t>Hellen Mass</t>
  </si>
  <si>
    <t>Wesley Benedito Pereira Aragao</t>
  </si>
  <si>
    <t>Carlos Prata Breder</t>
  </si>
  <si>
    <t>Paulo Henrique Gomes Carneiro</t>
  </si>
  <si>
    <t>Matheus Souza Miranda Beltrão</t>
  </si>
  <si>
    <t>Ricardo Silveira Ferrao</t>
  </si>
  <si>
    <t>Maria Fernanda Franco Roque</t>
  </si>
  <si>
    <t>Julio César Girardi</t>
  </si>
  <si>
    <t>Leonardo Lazaro Silva</t>
  </si>
  <si>
    <t>Eduardo Jorge Camilo</t>
  </si>
  <si>
    <t>EPLAN ENGENHARIA LTDA</t>
  </si>
  <si>
    <t>MUNICIPIO DE NOVO REPARTIMENTO</t>
  </si>
  <si>
    <t>LAB 381 ARQUITETURA E ENGENHARIA</t>
  </si>
  <si>
    <t>POMPIER TREINAMENTOS E INSTALACOES EM SEGURANCA DO TRABALHO LTDA</t>
  </si>
  <si>
    <t>Nillander Alves Arquitetura e Interiores</t>
  </si>
  <si>
    <t>CONSORCIO ZADAR-ENGETECNICA</t>
  </si>
  <si>
    <t>Apf Engenharia</t>
  </si>
  <si>
    <t>AICOM COMERCIO E SERVICOS DE TELECOMUNICACOES LTDA</t>
  </si>
  <si>
    <t>LABORA ENGENHARIA E ARQUITETURA</t>
  </si>
  <si>
    <t>Santa Terezinha de Itaipu Prefeitura Gab do Prefeito</t>
  </si>
  <si>
    <t>GALFLEX</t>
  </si>
  <si>
    <t>FEGO ENGENHARIA</t>
  </si>
  <si>
    <t>PROJETART</t>
  </si>
  <si>
    <t>IPANEMA INDUSTRIA DE PRODUTOS VETERINARIOS LTDA</t>
  </si>
  <si>
    <t>MF PROJETOS E CONSULTORIA</t>
  </si>
  <si>
    <t>SERPRA SERVICOS PROJETOS E ASSESSORIA LTDA</t>
  </si>
  <si>
    <t>DEO ENGENHARIA AVALIACOES E PERICIAS LTDA</t>
  </si>
  <si>
    <t>Diretoria de Obras Civis da Marinha</t>
  </si>
  <si>
    <t>Stroit</t>
  </si>
  <si>
    <t>LGD ENGENHARIA</t>
  </si>
  <si>
    <t>TFR ENGENHARIA LTDA</t>
  </si>
  <si>
    <t>PREFEITURA MUN SAO FELIX DO ARAGUAIA</t>
  </si>
  <si>
    <t>GEOAX ENGENHARIA</t>
  </si>
  <si>
    <t>raquel.zanatta@altoqi.com.br</t>
  </si>
  <si>
    <t>GABRIEL ADAMS ENGENHARIA CIVIL</t>
  </si>
  <si>
    <t>SVAIZER &amp; GUTIERREZ ENGENHARIA LTDA</t>
  </si>
  <si>
    <t>ALISSON KLAUCK ENGENHARIA ESTRUTURAL LTDA</t>
  </si>
  <si>
    <t>FAA - FUNDACAO EDUCACIONAL DOM ANDRE ARCOVERDE</t>
  </si>
  <si>
    <t>carla.araujo@altoqi.com.br</t>
  </si>
  <si>
    <t>Quanta Consultoria</t>
  </si>
  <si>
    <t xml:space="preserve"> Plano Visus Cost Management e Planning Enterprise</t>
  </si>
  <si>
    <t>Prefeitura Municipal de Monte Negro/RO</t>
  </si>
  <si>
    <t>DANIEL DE PAULA ARQUITETURA E CONSTRUCOES</t>
  </si>
  <si>
    <t>Universidade Estadual de Campinas</t>
  </si>
  <si>
    <t>HUCOFRE ENGENHARIA E INOVACAO LTDA.</t>
  </si>
  <si>
    <t>ANDRADELIMA SERVICOS DE ENGENHARIA</t>
  </si>
  <si>
    <t>VALOR REAL EMPREENDIMENTOS IMOBILIARIOS LTDA</t>
  </si>
  <si>
    <t>GAMA ENGENHARIA ELETRICA</t>
  </si>
  <si>
    <t>Conducta Energia Ltda</t>
  </si>
  <si>
    <t>MACIEL DE ANDRADE ENGENHARIA E CONSTRUCOES LTDA</t>
  </si>
  <si>
    <t>AXIS ENGENHARIA LTDA</t>
  </si>
  <si>
    <t>Nova Estrutura Tecnica - Net Useb</t>
  </si>
  <si>
    <t>SETA - SERVICOS DE ENGENHARIA E TRANSPORTES</t>
  </si>
  <si>
    <t>Alicerzy Engenharia</t>
  </si>
  <si>
    <t>AQUINO GROUP ENERGIA</t>
  </si>
  <si>
    <t>BOLD ENGENHARIA</t>
  </si>
  <si>
    <t>AMORIM ENGENHARIA ELETRICA E MANUTENCAO</t>
  </si>
  <si>
    <t>APICE ENGENHARIA LTDA</t>
  </si>
  <si>
    <t>MUNICIPIO DE SCHROEDER</t>
  </si>
  <si>
    <t>Grupo Dome Engenharia Integrada</t>
  </si>
  <si>
    <t>ECOPLAN ENGENHARIA LTDA</t>
  </si>
  <si>
    <t>H-sis Engenharia</t>
  </si>
  <si>
    <t>GT WEBER ENGENHARIAS LTDA</t>
  </si>
  <si>
    <t>VJ DESIGN E ENGENHARIA LTDA</t>
  </si>
  <si>
    <t>Cobrecom</t>
  </si>
  <si>
    <t>vinicius.moraes@altoqi.com.br</t>
  </si>
  <si>
    <t>Fabricantes</t>
  </si>
  <si>
    <t>15 meses</t>
  </si>
  <si>
    <t>Comercial Fabricantes</t>
  </si>
  <si>
    <t>Plano Fabricantes Entry</t>
  </si>
  <si>
    <t>GMARTINI ENGENHARIA E CIA LTDA</t>
  </si>
  <si>
    <t>KOLLING ENGENHARIA E CONSULTORIA</t>
  </si>
  <si>
    <t>INOVARE SOLUCOES CONSTRUTIVAS LTDA</t>
  </si>
  <si>
    <t>SCHEFFER &amp; CIA LTDA</t>
  </si>
  <si>
    <t>PROJETARE ARQUITETURA, ENGENHARIA E CONSTRUCOES</t>
  </si>
  <si>
    <t>MOTTA ARQUITETURA E ENGENHARIA LTDA</t>
  </si>
  <si>
    <t>MAURICIO ALEXANDRE DE CARVALHO VIANNA</t>
  </si>
  <si>
    <t>LOGG</t>
  </si>
  <si>
    <t>Anderson Pacheco</t>
  </si>
  <si>
    <t>Julio Cesar Rech</t>
  </si>
  <si>
    <t>RECORD PLANEJAMENTO E CONSTRUCAO LTDA.</t>
  </si>
  <si>
    <t xml:space="preserve"> Plano Visus Cost Management Enterprise</t>
  </si>
  <si>
    <t>TACK EMPREENDIMENTOS IMOBILIARIOS LTDA</t>
  </si>
  <si>
    <t>denis.silva@altoqi.com.br</t>
  </si>
  <si>
    <t>STCP ENGENHARIA DE PROJETOS LTDA</t>
  </si>
  <si>
    <t>FOX ENGENHARIA E CONSULTORIA LTDA</t>
  </si>
  <si>
    <t>Centro Universitario Assis Gurgacz</t>
  </si>
  <si>
    <t>NEW ENGENHARIA</t>
  </si>
  <si>
    <t>Add-on espaço extra 100 GB Visus Collab</t>
  </si>
  <si>
    <t>DLAR CONSTRUTORA LTDA</t>
  </si>
  <si>
    <t>A RECH ENGENHARIA LTDA</t>
  </si>
  <si>
    <t>Bezerra Incorporadora</t>
  </si>
  <si>
    <t>AMERICA LATINA ENGENHARIA</t>
  </si>
  <si>
    <t>FRANZMANN ENGENHARIA E CONSULTORIA LTDA</t>
  </si>
  <si>
    <t>CONSTRUTORA CIVIL INDUSTRIAL LTDA</t>
  </si>
  <si>
    <t>CERTEL ARTEFATOS DE CIMENTO LTDA</t>
  </si>
  <si>
    <t>Projetos de Engenharia</t>
  </si>
  <si>
    <t>W. STORCK ENGENHARIA</t>
  </si>
  <si>
    <t>GM COMERCIAL E MONTAGEM INDUSTRIAL LTDA</t>
  </si>
  <si>
    <t>IACC PRE-MOLDADOS LTDA</t>
  </si>
  <si>
    <t>LOBA URBANISMO LIMITADA</t>
  </si>
  <si>
    <t>3 meses</t>
  </si>
  <si>
    <t>Servico</t>
  </si>
  <si>
    <t>IMPLANTA ALTOQI VISUS PLATAFORMA – PREMIUM - HORA</t>
  </si>
  <si>
    <t>SESI DF - DEPARTAMENTO REGIONAL DO DISTRITO FEDERAL</t>
  </si>
  <si>
    <t>Cracto Solutions</t>
  </si>
  <si>
    <t>GTX ENGENHARIA</t>
  </si>
  <si>
    <t>KATA OFFSITE</t>
  </si>
  <si>
    <t>SUPERMERCADO NORDESTAO LTDA</t>
  </si>
  <si>
    <t>Sandra Mendes Monzini Rotta</t>
  </si>
  <si>
    <t>Walner Enrique Lopez Mena</t>
  </si>
  <si>
    <t>VIEIRA SANTOS ENGENHARIA INTEGRADA</t>
  </si>
  <si>
    <t>Matheus Fernandes Santos</t>
  </si>
  <si>
    <t>Pedro Henrique</t>
  </si>
  <si>
    <t>PIVELO CONSTRUCOES</t>
  </si>
  <si>
    <t>MUNICIPIO DE PONTE NOVA</t>
  </si>
  <si>
    <t>nathan.alves@altoqi.com.br</t>
  </si>
  <si>
    <t>PROSEP ENGENHARIA LTDA</t>
  </si>
  <si>
    <t>METRICA ENGENHARIA</t>
  </si>
  <si>
    <t>VCA CONSTRUTORA</t>
  </si>
  <si>
    <t>Gabriel Lucas Jung</t>
  </si>
  <si>
    <t>Gustavo Kieltika Viecelli</t>
  </si>
  <si>
    <t>Joao Victor Baranhuk</t>
  </si>
  <si>
    <t>OBJETIVA PROJETOS</t>
  </si>
  <si>
    <t>Jefferson Santos De Brito</t>
  </si>
  <si>
    <t>Mariana Vieira</t>
  </si>
  <si>
    <t>Luiz Alberto Silva</t>
  </si>
  <si>
    <t>Tellure Engenharia</t>
  </si>
  <si>
    <t>Haus Engenharia e Construcoes</t>
  </si>
  <si>
    <t>Utm Engenharia</t>
  </si>
  <si>
    <t>Celio Augusto Pereira Da Cruz</t>
  </si>
  <si>
    <t>RIBEIRO E CARVALHO ARQUITETURA LTDA</t>
  </si>
  <si>
    <t>DIMENSIONAL ENGENHARIA LTDA</t>
  </si>
  <si>
    <t>Arnaldo Sorrentino</t>
  </si>
  <si>
    <t>Vinicius da Silva Spricigo</t>
  </si>
  <si>
    <t>Bruna Raubach</t>
  </si>
  <si>
    <t>Kleber Lourenço</t>
  </si>
  <si>
    <t>Gabriel Saraiva</t>
  </si>
  <si>
    <t>DIEGO HENRIQUE DE SOUZA OLIVEIRA Henrique</t>
  </si>
  <si>
    <t>Queren Hapuque Andrade Costa</t>
  </si>
  <si>
    <t>Alexandre Dalssoto</t>
  </si>
  <si>
    <t>Frederico Prado</t>
  </si>
  <si>
    <t>Rodrigo Rodrigues de Lima</t>
  </si>
  <si>
    <t xml:space="preserve"> Plano Visus Cost Management Projetista</t>
  </si>
  <si>
    <t>Alberto Zin Lanzendorf</t>
  </si>
  <si>
    <t>Maurício Filho</t>
  </si>
  <si>
    <t>Anderson Nascimento Rosa</t>
  </si>
  <si>
    <t>Flavio Henrique De Jesus Campos</t>
  </si>
  <si>
    <t>Lucas Marques Nogueira</t>
  </si>
  <si>
    <t>Renato Alves Ferreira</t>
  </si>
  <si>
    <t>Ricardo Lima</t>
  </si>
  <si>
    <t>Isaias De Jesus Conceicao</t>
  </si>
  <si>
    <t>Lucas Lopes Queiroga</t>
  </si>
  <si>
    <t>Everton Luiz Cruz Berto</t>
  </si>
  <si>
    <t>Pedro Henriques Citeli</t>
  </si>
  <si>
    <t>Cristieli Luza</t>
  </si>
  <si>
    <t>Daniela Chequer Gouveia Mol</t>
  </si>
  <si>
    <t>Tassio da Silva</t>
  </si>
  <si>
    <t>Gabriela Rocha Schneckenberg</t>
  </si>
  <si>
    <t>Jose Mauro Loures Ramos</t>
  </si>
  <si>
    <t>João Pantarotto</t>
  </si>
  <si>
    <t>Anderson Gustavo De Assis Feitosa</t>
  </si>
  <si>
    <t>Kênio Cassemiro Corrêa</t>
  </si>
  <si>
    <t>Adriano Cirino</t>
  </si>
  <si>
    <t>Igor Borba Do Nascimento</t>
  </si>
  <si>
    <t>Yasmin Reis</t>
  </si>
  <si>
    <t>Andre Barroso</t>
  </si>
  <si>
    <t>Filipe Pinheiro Vianes</t>
  </si>
  <si>
    <t>Leonardo Picolli Piccoli Bragagnolo</t>
  </si>
  <si>
    <t>Mateus Vieira Conrado Dantas</t>
  </si>
  <si>
    <t>Helena Guerreiro De Almeida</t>
  </si>
  <si>
    <t>Fernando Justino De Souza</t>
  </si>
  <si>
    <t>Alan Santana</t>
  </si>
  <si>
    <t>Jorge Alberto Ferreira</t>
  </si>
  <si>
    <t>Alexa Costa Silva</t>
  </si>
  <si>
    <t>Jose Caio Dos Santos Silva</t>
  </si>
  <si>
    <t>Tobias Jun Shimosaka</t>
  </si>
  <si>
    <t>Diego De Castro Maia Ribeiro</t>
  </si>
  <si>
    <t>Lidiane Biazin</t>
  </si>
  <si>
    <t>Valdiny Chaves De Sousa</t>
  </si>
  <si>
    <t>Tiago Ferri</t>
  </si>
  <si>
    <t>Fagner Bessa</t>
  </si>
  <si>
    <t>Adriano Antunes Da Roza</t>
  </si>
  <si>
    <t>Félix Alceu Guimarães Pereira</t>
  </si>
  <si>
    <t>Marcelo Dias</t>
  </si>
  <si>
    <t>Thomas Gottschalck Cavalcanti</t>
  </si>
  <si>
    <t>Alberto De Castro</t>
  </si>
  <si>
    <t>Beatriz Paulina De Sousa</t>
  </si>
  <si>
    <t>José Paulo Okumoto</t>
  </si>
  <si>
    <t>Felipe Augusto Dos Santos</t>
  </si>
  <si>
    <t>João Benedito Verdade</t>
  </si>
  <si>
    <t>Gabriel Kreuz</t>
  </si>
  <si>
    <t>Eliano Erasmo Da Silva</t>
  </si>
  <si>
    <t>Fabio Nascimento</t>
  </si>
  <si>
    <t>Keverson Da Silva Martins</t>
  </si>
  <si>
    <t>Gisele Rezende</t>
  </si>
  <si>
    <t>Emanoel Taumaturgo</t>
  </si>
  <si>
    <t>Wagner Peres Ramos</t>
  </si>
  <si>
    <t>Isabel Cristina Teixeira De Souza Almeida</t>
  </si>
  <si>
    <t>Taynan Junior Zimmermann</t>
  </si>
  <si>
    <t>Mike Bruno Aurelio Do Carmo</t>
  </si>
  <si>
    <t>Anderson Cunha</t>
  </si>
  <si>
    <t>Jarine Emanuele Cardoso Silva</t>
  </si>
  <si>
    <t>Mauricio Ramenzoni</t>
  </si>
  <si>
    <t>Carlos Eduardo Hasenkamp Silveira Machado</t>
  </si>
  <si>
    <t>Fabio Antunes Dolce</t>
  </si>
  <si>
    <t>Murilo Perosa Rosolen</t>
  </si>
  <si>
    <t>Everton Santos</t>
  </si>
  <si>
    <t>Hander Gomes</t>
  </si>
  <si>
    <t>Diego Moreira De Lima</t>
  </si>
  <si>
    <t>Amalla Rangel</t>
  </si>
  <si>
    <t>Luca Magalhaes</t>
  </si>
  <si>
    <t>victor.suzuki@altoqi.com.br</t>
  </si>
  <si>
    <t>Yuri Campos Nunes Silva</t>
  </si>
  <si>
    <t>Manoel Cardoso de Sousa Junior</t>
  </si>
  <si>
    <t>Abner Da Silva Inacio</t>
  </si>
  <si>
    <t>Fransuellen de Araújo Corguinha Piran Araújo</t>
  </si>
  <si>
    <t>Renato Luiz Rama</t>
  </si>
  <si>
    <t>Lorran Ferreira Oliveira</t>
  </si>
  <si>
    <t>Gustavo Alves Dos Santos</t>
  </si>
  <si>
    <t>Rodrigo Tenfen Dacoregio</t>
  </si>
  <si>
    <t>Wesley de Santos</t>
  </si>
  <si>
    <t>Jucimara Cardoso Da Silva</t>
  </si>
  <si>
    <t>Eveline Borges Ferreira</t>
  </si>
  <si>
    <t>Beatriz Asterio Romero</t>
  </si>
  <si>
    <t>Felipe Do Nascimento Lima</t>
  </si>
  <si>
    <t>Jose Mattos</t>
  </si>
  <si>
    <t>Jessica Eulalia De Oliveira Dantas Fernandes</t>
  </si>
  <si>
    <t>David Rodrigues</t>
  </si>
  <si>
    <t>UEM - UNIVERSIDADE ESTADUAL DE MARINGA</t>
  </si>
  <si>
    <t>INDELEVEL PROJETOS E CONSTRUCOES RESIDENCIAIS LTDA</t>
  </si>
  <si>
    <t>Alexandre Lemos</t>
  </si>
  <si>
    <t>Deise Dos Santos Marques</t>
  </si>
  <si>
    <t>paulo cesar brancaglioni junior</t>
  </si>
  <si>
    <t>Vanessa Ribeiro Pahim Becker</t>
  </si>
  <si>
    <t>Giovanna Goncalves Da Silva</t>
  </si>
  <si>
    <t>Fernando Frasao</t>
  </si>
  <si>
    <t>Lucas Sampaio Farina</t>
  </si>
  <si>
    <t>João Henrique Lacerda</t>
  </si>
  <si>
    <t>Douglas Ferreira</t>
  </si>
  <si>
    <t>Andre Araujo</t>
  </si>
  <si>
    <t>Marcelo Canci Canci</t>
  </si>
  <si>
    <t>Fellipe Barbosa</t>
  </si>
  <si>
    <t>Caio Ricardo Melo Dos Santos</t>
  </si>
  <si>
    <t>Edson Lorenzetti</t>
  </si>
  <si>
    <t>Igor Crisol</t>
  </si>
  <si>
    <t>John Bernardes</t>
  </si>
  <si>
    <t>Camila Moraes Rosa</t>
  </si>
  <si>
    <t>Tomás Augusto Pedrosa</t>
  </si>
  <si>
    <t>Walyson Mineiro Leite</t>
  </si>
  <si>
    <t>Ido Manoel</t>
  </si>
  <si>
    <t>João Magalhaes</t>
  </si>
  <si>
    <t>Aldo Marcos</t>
  </si>
  <si>
    <t>Alysson Santos Oliveira</t>
  </si>
  <si>
    <t>PROCALCULO - ENGENHARIA DE ESTRUTURAS LTDA</t>
  </si>
  <si>
    <t>Patrick Troes</t>
  </si>
  <si>
    <t>João Matheus Monteiro de Souza</t>
  </si>
  <si>
    <t>Daniel Jorge Dias</t>
  </si>
  <si>
    <t>Luiz Gabriel Santos Da Silva</t>
  </si>
  <si>
    <t>Felipe Vargas E Silva</t>
  </si>
  <si>
    <t>Marcelo Da Silva</t>
  </si>
  <si>
    <t>Guilherme Tel Dias da Silva Luz</t>
  </si>
  <si>
    <t>Jackson Roberto G. Rezende Rezende</t>
  </si>
  <si>
    <t>Rafael Vieira Da Silva</t>
  </si>
  <si>
    <t>ALYSSON TAVARES</t>
  </si>
  <si>
    <t>ANDERSON LUIZ CAVICHIOLI</t>
  </si>
  <si>
    <t>Bruna Mascarenhas</t>
  </si>
  <si>
    <t>Rodrigo Vinicius Silva Dantas</t>
  </si>
  <si>
    <t>Alexandre Souza Garziera</t>
  </si>
  <si>
    <t>Ronaldo Nascimento</t>
  </si>
  <si>
    <t>Cicero Dos Santos</t>
  </si>
  <si>
    <t>Alcindo Jose Soares Caldeira</t>
  </si>
  <si>
    <t>Carlos Alberto Bortoluzzi</t>
  </si>
  <si>
    <t>Samuel Moraes Pedreira</t>
  </si>
  <si>
    <t>Rogério Donizetti</t>
  </si>
  <si>
    <t>Guilherme Lucas Azinari</t>
  </si>
  <si>
    <t>Bruno Assis Ravena De Souza</t>
  </si>
  <si>
    <t>Ericson Ziviani</t>
  </si>
  <si>
    <t>Arquenatol Dei Svaldi Silveira</t>
  </si>
  <si>
    <t>Celso Panissa</t>
  </si>
  <si>
    <t>REGINALDO PEREIRA</t>
  </si>
  <si>
    <t>haroldo ribeiro da costa júnior jr</t>
  </si>
  <si>
    <t>Fabio Zilio Caron</t>
  </si>
  <si>
    <t>EDUARDO FERNANDES</t>
  </si>
  <si>
    <t>David Faria</t>
  </si>
  <si>
    <t>Roberto Neves Da Silva</t>
  </si>
  <si>
    <t>Walmir Anselmo Mattos</t>
  </si>
  <si>
    <t>George Gomes</t>
  </si>
  <si>
    <t>Caio Amorim</t>
  </si>
  <si>
    <t>Ayrton Damasceno Alexandre</t>
  </si>
  <si>
    <t>ALVARO SIMAS ANTUNES MARTINS Simas</t>
  </si>
  <si>
    <t>Andreson Wolters</t>
  </si>
  <si>
    <t>Marcos Paulo Freitas Souza Fonseca</t>
  </si>
  <si>
    <t>BRUNO DOS SANTOS</t>
  </si>
  <si>
    <t>Luiz Carlo Fernandes de Araújo</t>
  </si>
  <si>
    <t>Arialdo Mercadante</t>
  </si>
  <si>
    <t>Marlon Andrioli</t>
  </si>
  <si>
    <t>Jocieli Locatelli</t>
  </si>
  <si>
    <t>Giulia Dadalto Lordes Araujo</t>
  </si>
  <si>
    <t>Raimundo Amorim</t>
  </si>
  <si>
    <t>David de Lima</t>
  </si>
  <si>
    <t>Rainon Brasil</t>
  </si>
  <si>
    <t>Julio Cheres</t>
  </si>
  <si>
    <t>Eduardo Furst</t>
  </si>
  <si>
    <t>Felipe Bissoli</t>
  </si>
  <si>
    <t>Cairo Samuel de Lima</t>
  </si>
  <si>
    <t>Gabriel Colferai</t>
  </si>
  <si>
    <t>Joao Niero Batista</t>
  </si>
  <si>
    <t>Mateus Carvalho de Souza</t>
  </si>
  <si>
    <t>Leonardo Berta da Silva</t>
  </si>
  <si>
    <t>Rodrigo Lopes Ferri</t>
  </si>
  <si>
    <t>Danilo Machioni</t>
  </si>
  <si>
    <t>Thais Viola De Oliveira</t>
  </si>
  <si>
    <t>Mateus Martins De Freitas</t>
  </si>
  <si>
    <t>Andreia Nobrega</t>
  </si>
  <si>
    <t>Pedro Henrique Hartmann Prata</t>
  </si>
  <si>
    <t>Weksley Dos Reis Ferreira</t>
  </si>
  <si>
    <t>Everton De Moura Luz</t>
  </si>
  <si>
    <t>Bruno Diniz de Araujo</t>
  </si>
  <si>
    <t>Luan Garcia</t>
  </si>
  <si>
    <t>Matheus Abdala</t>
  </si>
  <si>
    <t>Alvaro Guilherme De Freitas Silva</t>
  </si>
  <si>
    <t>Jose Patrick Soares Santana</t>
  </si>
  <si>
    <t>Ramiro Emmerich</t>
  </si>
  <si>
    <t>Evelyn Francyelli Lilles Teixeira</t>
  </si>
  <si>
    <t>LETICIA ZUCHETTO</t>
  </si>
  <si>
    <t>Pedro Junior</t>
  </si>
  <si>
    <t>Gustavo Pinheiro</t>
  </si>
  <si>
    <t>Belissa Aguillar</t>
  </si>
  <si>
    <t>Jose Orlando Sobreira</t>
  </si>
  <si>
    <t>Rafael De Jesus</t>
  </si>
  <si>
    <t>Luiz Gustavo Fruet</t>
  </si>
  <si>
    <t>Mayla Tatiane Gomes Garcia</t>
  </si>
  <si>
    <t>Daniel Henrique Faxina</t>
  </si>
  <si>
    <t>Vinícius Moura Silva</t>
  </si>
  <si>
    <t>Natalia Rodrigues Sari</t>
  </si>
  <si>
    <t>Paulo Roberto Santana Sauaia Sauaia</t>
  </si>
  <si>
    <t>Liane Habeck</t>
  </si>
  <si>
    <t>Adriano Trovato</t>
  </si>
  <si>
    <t>Marcus Vinicius Fraga Lobo Filho</t>
  </si>
  <si>
    <t>Adam Sordi Maier</t>
  </si>
  <si>
    <t>MICHELON E CUNHA ENGENHARIA LTDA</t>
  </si>
  <si>
    <t>Rodrigo Lacerda</t>
  </si>
  <si>
    <t>CAVA ENGENHARIA DE INFRAESTRUTURA</t>
  </si>
  <si>
    <t>DBN - DEBONI SISTEMAS CONSTRUTIVOS LTDA</t>
  </si>
  <si>
    <t>JLAV - PROJETOS E CONSULTORIA DE INSTALACOES LTDA</t>
  </si>
  <si>
    <t>Ronaldo Machado</t>
  </si>
  <si>
    <t>Cid Murillo Leite Penteado</t>
  </si>
  <si>
    <t>JORGE PEZENTE</t>
  </si>
  <si>
    <t>Ewerson Jackson Alves de Oliveira Feitosa Carvalho</t>
  </si>
  <si>
    <t>PLANACON PLANEJAMENTO ASSESSORIA DE PROJETOS TECNICOS LTDA</t>
  </si>
  <si>
    <t>Eduardo Do Carmo</t>
  </si>
  <si>
    <t>Juliana Gavazzi Cobo</t>
  </si>
  <si>
    <t>IVALDO PÁDUA</t>
  </si>
  <si>
    <t>Isys De Mattos Vieira</t>
  </si>
  <si>
    <t>Nerivaldo Soares da Costa</t>
  </si>
  <si>
    <t>Felipe Locatelli</t>
  </si>
  <si>
    <t>Guilherme Flor Cornélio</t>
  </si>
  <si>
    <t>Rosalvo Holtz Santos Junior</t>
  </si>
  <si>
    <t>Andressa Cavalcante de Sousa</t>
  </si>
  <si>
    <t>Marcia Lourensi Lucas</t>
  </si>
  <si>
    <t>Thiago Novak</t>
  </si>
  <si>
    <t>Alan Roberto de Souza</t>
  </si>
  <si>
    <t>Karollin Gomes Meireles Correia</t>
  </si>
  <si>
    <t>Rafael Pires Portella</t>
  </si>
  <si>
    <t>Filipe Morais Borges</t>
  </si>
  <si>
    <t>JHONATAS AUGUSTO ROCHA VIEIRA</t>
  </si>
  <si>
    <t>Flavio Da Silva</t>
  </si>
  <si>
    <t>Patricia Erbes</t>
  </si>
  <si>
    <t>João Victor Floriano</t>
  </si>
  <si>
    <t>Danilo Wagner</t>
  </si>
  <si>
    <t>Tamara Helena Gallina</t>
  </si>
  <si>
    <t>reinaldo roberto</t>
  </si>
  <si>
    <t>Sergio Junior</t>
  </si>
  <si>
    <t>JOSE ROBERTO VERARDO Verardo</t>
  </si>
  <si>
    <t>Leandro Dewes</t>
  </si>
  <si>
    <t>Paula Flumian Soubhia</t>
  </si>
  <si>
    <t>Flávio Rezende</t>
  </si>
  <si>
    <t>Murilo Mazzoni</t>
  </si>
  <si>
    <t>Dayanna Regina Teofilo</t>
  </si>
  <si>
    <t>Zalmir Dalponte Zapelini</t>
  </si>
  <si>
    <t>Carlos Andrade de Loiola</t>
  </si>
  <si>
    <t>Renan Costa</t>
  </si>
  <si>
    <t>Ronaldo Junio De Souza</t>
  </si>
  <si>
    <t>Rodrigo Augusto  Gouveia</t>
  </si>
  <si>
    <t>Felipe Dorighello</t>
  </si>
  <si>
    <t>Lucan Marinho Viana Santos</t>
  </si>
  <si>
    <t>Matheus Henrique Barbosa Simões</t>
  </si>
  <si>
    <t>Alessandro Pereira Homem</t>
  </si>
  <si>
    <t>RAPHAEL LIPPI</t>
  </si>
  <si>
    <t>Risnaldo Cardoso</t>
  </si>
  <si>
    <t>Jose Vertuan</t>
  </si>
  <si>
    <t>Victor Eduardo Bueno Ataide</t>
  </si>
  <si>
    <t>Fernando Affonso Névoa</t>
  </si>
  <si>
    <t>Jean Carlo Valduga</t>
  </si>
  <si>
    <t>Thais Aparecida De Lemes Berto</t>
  </si>
  <si>
    <t>Marcelo Antonio de Oliveira</t>
  </si>
  <si>
    <t>Joéliton Souza</t>
  </si>
  <si>
    <t>Leonardo Renesto</t>
  </si>
  <si>
    <t>Mariana Silva Pedrosa</t>
  </si>
  <si>
    <t>Julianderson Silveira</t>
  </si>
  <si>
    <t>Fábio Braga da Fonseca</t>
  </si>
  <si>
    <t>Lucas Zanchetta</t>
  </si>
  <si>
    <t>João Carlos Coelho Vitoriano</t>
  </si>
  <si>
    <t>Jose Leite Dos Santos Neto</t>
  </si>
  <si>
    <t>Fernanda De Souza</t>
  </si>
  <si>
    <t>Rodrigo Fidalgo Correa</t>
  </si>
  <si>
    <t>Paulo Victor Antonio Franco</t>
  </si>
  <si>
    <t>Paulo Daniel Balderi</t>
  </si>
  <si>
    <t>Danielson Costa</t>
  </si>
  <si>
    <t>Cesar Augusto Tercio Zamperlini</t>
  </si>
  <si>
    <t>Leonardo Coelho</t>
  </si>
  <si>
    <t>Helinho Silva</t>
  </si>
  <si>
    <t>Jeferson Souza</t>
  </si>
  <si>
    <t>Marcelo Palharini</t>
  </si>
  <si>
    <t>LUIS FERNANDO OLIVEIRA</t>
  </si>
  <si>
    <t>Matheus Morioka</t>
  </si>
  <si>
    <t>Jose Luis Prado Sanchez</t>
  </si>
  <si>
    <t>Moab Garcia</t>
  </si>
  <si>
    <t>MARCELO KANAI</t>
  </si>
  <si>
    <t>Yure Taborga Ramos</t>
  </si>
  <si>
    <t>Leonardo Del Angelo Privat</t>
  </si>
  <si>
    <t>Diego Rodrigo Dias</t>
  </si>
  <si>
    <t>Jose Amaral</t>
  </si>
  <si>
    <t>Diogo Martins Zacchi</t>
  </si>
  <si>
    <t>Marcelo Rosa</t>
  </si>
  <si>
    <t>Mateus Vicente Moletta</t>
  </si>
  <si>
    <t>SERVEL</t>
  </si>
  <si>
    <t>Wagner Lourenzon</t>
  </si>
  <si>
    <t>UNISELVA - FUNDACAO DE APOIO E DESENVOLVIMENTO DA UFMT</t>
  </si>
  <si>
    <t>Otávio Chaves</t>
  </si>
  <si>
    <t>Gustavo Augusto Batista Da Silva</t>
  </si>
  <si>
    <t>Edgard Rodrigues Machado Junior</t>
  </si>
  <si>
    <t>Anderson Dino Claudino</t>
  </si>
  <si>
    <t>DO AMARAL</t>
  </si>
  <si>
    <t>Joanna Paulla Alves De Castro</t>
  </si>
  <si>
    <t>Jonathan Nepomuceno de Felipe</t>
  </si>
  <si>
    <t>Rafael Vinicius Train</t>
  </si>
  <si>
    <t>EMPRESA BRASILEIRA DE SERVICOS HOSPITALARES - EBSERH/ES</t>
  </si>
  <si>
    <t>Flavio Lacerda Torres</t>
  </si>
  <si>
    <t>Manuel Vitor Costa Nunes</t>
  </si>
  <si>
    <t>BC CUIABA II EMPREENDIMENTO IMOBILIARIO SPE LTDA</t>
  </si>
  <si>
    <t>Willyan Pereira Rabelo</t>
  </si>
  <si>
    <t>Daniel Oliveira De Lima</t>
  </si>
  <si>
    <t>Willian Masson</t>
  </si>
  <si>
    <t>Jean Fonseca Oliveira</t>
  </si>
  <si>
    <t>Christian pereira</t>
  </si>
  <si>
    <t>MONIQUE FERREIRA</t>
  </si>
  <si>
    <t>Forei Alves</t>
  </si>
  <si>
    <t>Rafael Mattos Pereira</t>
  </si>
  <si>
    <t>SLC AGRICOLA S.A.</t>
  </si>
  <si>
    <t>Francisco Stepheson Sulla da Silva</t>
  </si>
  <si>
    <t>CELLA E BAGGIO ENERGIAS RENOVAVEIS LTDA</t>
  </si>
  <si>
    <t>Alessandro Ferreira</t>
  </si>
  <si>
    <t>CONSEB ENGENHARIA E CONSULTORIA LTDA</t>
  </si>
  <si>
    <t>Oliveira Cotta Arquitetos</t>
  </si>
  <si>
    <t>STALT ENGENHARIA LTDA</t>
  </si>
  <si>
    <t>TIALISSON DANTAS ENGENHARIA E CONSULTORIA LTDA</t>
  </si>
  <si>
    <t>ATR INCORPORADORA LTDA</t>
  </si>
  <si>
    <t>TECNOVA PROJETEC ENGENHARIA LTDA</t>
  </si>
  <si>
    <t>DEC CONSULTORIA E PROJETOS</t>
  </si>
  <si>
    <t>OF7 PROJETOS ARQUITETURA E ENGENHARIA LTDA</t>
  </si>
  <si>
    <t>KOCH LEAL ENGENHARIA LTDA</t>
  </si>
  <si>
    <t>MURALHA CONSTRUTORA</t>
  </si>
  <si>
    <t>Nova Gfi Consultoria</t>
  </si>
  <si>
    <t>RODRIGUES &amp; REBELO ENGENHARIA LTDA</t>
  </si>
  <si>
    <t>E4 SOLUCOES EM ENERGIA</t>
  </si>
  <si>
    <t>Fj Engenharia</t>
  </si>
  <si>
    <t>FOXY PROJETOS ENGENHARIA</t>
  </si>
  <si>
    <t>Phj Construcoes</t>
  </si>
  <si>
    <t>FIORI ENGENHARIA LTDA</t>
  </si>
  <si>
    <t>Pavao Empreendimentos</t>
  </si>
  <si>
    <t>Contec Engenharia e Construcoes</t>
  </si>
  <si>
    <t>ACS ENGENHARIA</t>
  </si>
  <si>
    <t>Nicolau Herrero Management Consulting</t>
  </si>
  <si>
    <t>SEVEN CONTRUTORA LTDA</t>
  </si>
  <si>
    <t>Delcio Saldanha</t>
  </si>
  <si>
    <t>LUIZ HENRIQUE OLAVO ENGENHARIA GEOTECNICA LTDA.</t>
  </si>
  <si>
    <t>Engerios Pre-moldados e Artefatos de Cimento</t>
  </si>
  <si>
    <t>Livic Engenharia</t>
  </si>
  <si>
    <t>Inovar Projetos E Empreendimentos Imobiliarios</t>
  </si>
  <si>
    <t>COMPANHIA BRASILEIRA DE PROJETOS E EXECUCOES</t>
  </si>
  <si>
    <t>IGOR SANTOS SIQUEIRA</t>
  </si>
  <si>
    <t>DIAMOND - CONSTRUTORA E INCORPORADORA LTDA</t>
  </si>
  <si>
    <t>Candeia Engenharia</t>
  </si>
  <si>
    <t>Firewise Engenharia</t>
  </si>
  <si>
    <t>Egide Engenharia</t>
  </si>
  <si>
    <t>UNIAO CENTRAL BRASILEIRA DA IGREJA ADVENTISTA DO SETIMO DIA</t>
  </si>
  <si>
    <t>TRES E LANZARINI SOLUCOES ESTRUTURAIS</t>
  </si>
  <si>
    <t>Arrais Engenharia e Arquitetura Ltda</t>
  </si>
  <si>
    <t>Construtora Abba</t>
  </si>
  <si>
    <t>IDEALIZAR SOLUCOES EM PROJETOS</t>
  </si>
  <si>
    <t>Proj Civil Engenharia</t>
  </si>
  <si>
    <t>MBM SERVICOS DE ENGENHARIA LTDA.</t>
  </si>
  <si>
    <t>MUNICIPIO DE JOINVILLE</t>
  </si>
  <si>
    <t>SSA 3 anos para AltoQi Eberick Infinity Governo</t>
  </si>
  <si>
    <t>SSA 3 anos para AltoQi Builder Infinity Governo</t>
  </si>
  <si>
    <t>CTO ENGENHARIA</t>
  </si>
  <si>
    <t>EMPOWER ENGENHARIA E CONSULTORIA</t>
  </si>
  <si>
    <t>Congregacao Crista no Brasil</t>
  </si>
  <si>
    <t>MILKY MOO FRANCHISING - SERVIÇOS DE GESTÃO DE FRANQUIAS LTDA</t>
  </si>
  <si>
    <t>PACOTE DE HORAS DE CONSULTORIA ESPECIALIZADA - PCT 4H</t>
  </si>
  <si>
    <t>MARCONI SOUTO ARQUITETURA E PLANEJAMENTO LTDA</t>
  </si>
  <si>
    <t>LL ENGENHARIA E PROJETOS</t>
  </si>
  <si>
    <t>Taine Alves Mello</t>
  </si>
  <si>
    <t>MUNICIPIO DE BRUSQUE</t>
  </si>
  <si>
    <t>60 meses</t>
  </si>
  <si>
    <t>SSA 5 anos para AltoQi Builder Infinity Governo</t>
  </si>
  <si>
    <t>Plano Builder 2025 Infinity Governo</t>
  </si>
  <si>
    <t>IDG ENGENHARIA TECNOLOGIA E CONSULTORIA</t>
  </si>
  <si>
    <t>A1 ENGENHARIA E GERENCIAMENTO LTDA</t>
  </si>
  <si>
    <t>Mvt Engenharia</t>
  </si>
  <si>
    <t>DEFENSORIA PUBLICA DO ESTADO DO PARANA</t>
  </si>
  <si>
    <t>BIVI MATRIZ CONSTRUCAO E ADMINISTRACAO LTDA</t>
  </si>
  <si>
    <t>Pre Fabricados</t>
  </si>
  <si>
    <t>LBM ENGENHARIA LTDA</t>
  </si>
  <si>
    <t>HARCO ENGENHARIA E ARQUITETURA LTDA</t>
  </si>
  <si>
    <t>NORTEPLAN Engenharia E Consultoria Ltda</t>
  </si>
  <si>
    <t>G4F</t>
  </si>
  <si>
    <t>PROGHETO ENGENHARIA ELETRICA</t>
  </si>
  <si>
    <t>Capannoni - Engenharia &amp; Investimentos Ltda</t>
  </si>
  <si>
    <t>J. L. BORGES ALVES ARQUITETURA</t>
  </si>
  <si>
    <t>Cidiane Rosa</t>
  </si>
  <si>
    <t>HOBBY MAQUETES CONST.E COM. DE MINIATURAS</t>
  </si>
  <si>
    <t>ENGTER ENGENHARIA LTDA</t>
  </si>
  <si>
    <t>ONE MASTER ARQUITETURA E URBANISMO LTDA</t>
  </si>
  <si>
    <t>BEACH PARK HOTEIS E TURISMO S/A</t>
  </si>
  <si>
    <t>MUNICIPIO DE GUARAPUAVA</t>
  </si>
  <si>
    <t>CRS - OBRAS, PROJETOS E CONSULTORIAS</t>
  </si>
  <si>
    <t>Csoares</t>
  </si>
  <si>
    <t>Gabriel Silveira</t>
  </si>
  <si>
    <t>MUNICIPIO DE CANINDE - CE</t>
  </si>
  <si>
    <t>MUNICIPIO DE JATAI - GO</t>
  </si>
  <si>
    <t>CONSTRUTORA VENANCIO LTDA</t>
  </si>
  <si>
    <t>ETICA AMBIENTAL</t>
  </si>
  <si>
    <t>SPI SOLUCOES EM POTENCIA INTEGRADA LTDA</t>
  </si>
  <si>
    <t>LINA SOLUCOES EM ENGENHARIA</t>
  </si>
  <si>
    <t>R A C DE OLIVEIRA INCORPORACOES E CONSTRUCOES LTDA</t>
  </si>
  <si>
    <t>PLASSON DO BRASIL LTDA</t>
  </si>
  <si>
    <t>CONIN CONSTRUCAO E MONTAGEM LTDA</t>
  </si>
  <si>
    <t>MUNICIPIO DE GAUCHA DO NORTE</t>
  </si>
  <si>
    <t>BILFOR EMPREENDIMENTOS LTDA</t>
  </si>
  <si>
    <t>RDC GARRIDO CONSULTORIA LTDA</t>
  </si>
  <si>
    <t>Gs Costa</t>
  </si>
  <si>
    <t>Litoral Sul Consultoria e Projetos de Engenharia Eireli</t>
  </si>
  <si>
    <t>FIGUEIRA ENGENHARIA - PROJETOS E CONSTRUCOES LTDA</t>
  </si>
  <si>
    <t>ALPHA ENGENHARIA</t>
  </si>
  <si>
    <t>AF SUL AUTOMACAO INDUSTRIAL LTDA</t>
  </si>
  <si>
    <t>Baya Engenharia</t>
  </si>
  <si>
    <t>MMM/SP ENGENHARIA CIVIL INDUSTRIA E COMERCIO DE PRE-MOLDADOS LTDA</t>
  </si>
  <si>
    <t>Clopes Construcao e Servicos</t>
  </si>
  <si>
    <t>ENERGETH ENGENHARIA E SERVICOS</t>
  </si>
  <si>
    <t>LYFE INCORPORACOES E EMPREENDIMENTOS IMOBILIARIOS LTDA</t>
  </si>
  <si>
    <t>NIB NUCLEO DE INOVACAO BIM</t>
  </si>
  <si>
    <t>Y ALMEIDA ENGENHARIA E CONSULTORIA</t>
  </si>
  <si>
    <t>ROMAN &amp; CRESTANI SERVICOS DE ARQUITETURA E ENGENHARIA LTDA</t>
  </si>
  <si>
    <t>FSB ENGENHARIA E CONSULTORIA LTDA</t>
  </si>
  <si>
    <t>DRILL PERFURACOES E CONSTRUCAO CIVIL LTDA</t>
  </si>
  <si>
    <t>ANTONIO CARLOS R CARNEIRO - CONSTRUCOES E ENGENHARIA</t>
  </si>
  <si>
    <t>FAIRBAIRN ENGENHARIA E CONSTRUCOES LTDA</t>
  </si>
  <si>
    <t>ENGETECHS</t>
  </si>
  <si>
    <t>ENERGIACERTA</t>
  </si>
  <si>
    <t>DEPECIL DISTRIBUIDORA DE MATERIAIS DE CONSTRUCAO LTDA</t>
  </si>
  <si>
    <t>Dafmc Solucoes</t>
  </si>
  <si>
    <t>TECH7 - INSTALACOES DE TECNOLOGIA LTDA</t>
  </si>
  <si>
    <t>Cb Projeto Estrutural</t>
  </si>
  <si>
    <t>Ph Projetos de Engenharia</t>
  </si>
  <si>
    <t>Amalfi</t>
  </si>
  <si>
    <t>Plano Visus Tracking</t>
  </si>
  <si>
    <t>Visus Tracking</t>
  </si>
  <si>
    <t>Vitalmar Engenharia</t>
  </si>
  <si>
    <t>SESI AM - ADMINISTRACAO REGIONAL NO AMAZONAS</t>
  </si>
  <si>
    <t>ROBERTO FERREIRA COMERCIAL E CONSTRUTORA LTDA</t>
  </si>
  <si>
    <t>SINFRA - SUPERINTENDENCIA DE INFRAESTRUTURA DA UFPE</t>
  </si>
  <si>
    <t>MASTER PROJECTS</t>
  </si>
  <si>
    <t>CONSTRUTORA MESSA</t>
  </si>
  <si>
    <t>Haer Projetos</t>
  </si>
  <si>
    <t>STTONE CONSTRUTORA ENGENHARIA E ARQUITETURA</t>
  </si>
  <si>
    <t>NEX COMERCIO E SERVIÇO DE SEGURANÇA E TECONOLOGIA DA INFORMAÇÃO LTDA</t>
  </si>
  <si>
    <t>Avantec Solucoes em Engenharia</t>
  </si>
  <si>
    <t>FOX MILENIUM ENGENHARIA E CONSTRUCOES LTDA</t>
  </si>
  <si>
    <t>63.188.066 GUILHERME SILVA NEVES</t>
  </si>
  <si>
    <t>Magicon Construcao Civil</t>
  </si>
  <si>
    <t>LAGHI ENGENHARIA LTDA</t>
  </si>
  <si>
    <t>Terra Verde</t>
  </si>
  <si>
    <t>VERTIKALI EMPREENDIMENTOS</t>
  </si>
  <si>
    <t>Land5 - Paisagismo e Desenho Urbano</t>
  </si>
  <si>
    <t>Steinhaus Engenharia, Projeto e Construcoes</t>
  </si>
  <si>
    <t xml:space="preserve"> Plano Visus Planning</t>
  </si>
  <si>
    <t>ATCO ARQUITETURA E ADMINISTRACAO DE OBRAS LTDA</t>
  </si>
  <si>
    <t>XY TECH ENGENHARIA LTDA</t>
  </si>
  <si>
    <t>APPIX SOLUCOES EM BIM E APPIX LTDA</t>
  </si>
  <si>
    <t>IMPONENCE PRE MOLDADOS LTDA</t>
  </si>
  <si>
    <t>VBMO CONSTRUTORA LTDA</t>
  </si>
  <si>
    <t>52.269.542 CASSIO RODRIGO DIAS GOMES</t>
  </si>
  <si>
    <t>Alecio Douglas</t>
  </si>
  <si>
    <t>Edineia Aparecida Quirino Maciel</t>
  </si>
  <si>
    <t>Mosso Engenharia Ltda</t>
  </si>
  <si>
    <t>PLANBIM ENGENHARIA</t>
  </si>
  <si>
    <t>Diego Seraphim</t>
  </si>
  <si>
    <t>Raul Batista Silva</t>
  </si>
  <si>
    <t>Eneias Vidoti</t>
  </si>
  <si>
    <t>Vinicius Maciel Santos Leite</t>
  </si>
  <si>
    <t>Matheus Goncalves</t>
  </si>
  <si>
    <t>Leandro Gomes Rufino</t>
  </si>
  <si>
    <t>Adriano Plentz de Jesus</t>
  </si>
  <si>
    <t>Marcos Albino</t>
  </si>
  <si>
    <t>Letucha da Silva</t>
  </si>
  <si>
    <t>Andre Lemos</t>
  </si>
  <si>
    <t>andressio rebelo</t>
  </si>
  <si>
    <t>Laryssa Lacerda</t>
  </si>
  <si>
    <t>Lorena Gomes</t>
  </si>
  <si>
    <t>luan caio medeiros jaless Caio</t>
  </si>
  <si>
    <t>Willian Silveira</t>
  </si>
  <si>
    <t>Henrique Souza Lopes</t>
  </si>
  <si>
    <t>Juliane Krämer Matte</t>
  </si>
  <si>
    <t>Janaina Junges</t>
  </si>
  <si>
    <t>Ana Carolina Rodrigues Vicente</t>
  </si>
  <si>
    <t>Gustavo José Toniolo</t>
  </si>
  <si>
    <t>Francielliton Moreira</t>
  </si>
  <si>
    <t>Joao Marcelo Gomes Rocha</t>
  </si>
  <si>
    <t>Daiany Emanuely Barbosa Lomas</t>
  </si>
  <si>
    <t>Vania Canova Silveira</t>
  </si>
  <si>
    <t>Maiko Naves</t>
  </si>
  <si>
    <t>Aline Priscila Megiolaro</t>
  </si>
  <si>
    <t>Paulo Henrique Silva Leite</t>
  </si>
  <si>
    <t>Giancarlo Balbuena</t>
  </si>
  <si>
    <t>GUILHERME Radiske</t>
  </si>
  <si>
    <t>Rafael Melegari</t>
  </si>
  <si>
    <t>Charles Tomazini</t>
  </si>
  <si>
    <t>Guilherme Puggina Polegatti</t>
  </si>
  <si>
    <t>Gabriel Lipiec</t>
  </si>
  <si>
    <t>Priscila Aquino</t>
  </si>
  <si>
    <t>Daniel Storck</t>
  </si>
  <si>
    <t>Marco Tulio Carvalhaes</t>
  </si>
  <si>
    <t>Ketlem Suiane dos Santos</t>
  </si>
  <si>
    <t>Douglas Alves Martins</t>
  </si>
  <si>
    <t>Bruna Nakashima</t>
  </si>
  <si>
    <t>Alberto Barbosa Maia</t>
  </si>
  <si>
    <t>Raquel Juliana Ribeiro</t>
  </si>
  <si>
    <t>José Matheus</t>
  </si>
  <si>
    <t>Jean De Oliveira Goncalves</t>
  </si>
  <si>
    <t>Renan Marcio Vilas Boas</t>
  </si>
  <si>
    <t>Bruno Kny Bonfante</t>
  </si>
  <si>
    <t>Genisson Barros</t>
  </si>
  <si>
    <t>Renata da Silva Vieira</t>
  </si>
  <si>
    <t>Arthur Marcondes Câmara Mineiro</t>
  </si>
  <si>
    <t>Luiz Henrique  Peixoto E Cunha</t>
  </si>
  <si>
    <t>Diego Sousa Silva</t>
  </si>
  <si>
    <t>Raniel Wilkens Fagner Carvalho</t>
  </si>
  <si>
    <t>Samantha Cristina Menezes Brito</t>
  </si>
  <si>
    <t>Amanda Turatti</t>
  </si>
  <si>
    <t>Valdiney de Souza Silva</t>
  </si>
  <si>
    <t>Vinicius Chaves</t>
  </si>
  <si>
    <t>Joao Vieira De Rezende Neto</t>
  </si>
  <si>
    <t>Joao Silva</t>
  </si>
  <si>
    <t>Diego Vieira Dos Santos</t>
  </si>
  <si>
    <t>Emanuella Elizeu Nunes</t>
  </si>
  <si>
    <t>Lucas Ferraz</t>
  </si>
  <si>
    <t>Jeferson Ayres</t>
  </si>
  <si>
    <t>Gabriel Alencar Matias Reis</t>
  </si>
  <si>
    <t>Pablo Dutra Dos Santos</t>
  </si>
  <si>
    <t>Joao Camara</t>
  </si>
  <si>
    <t>Milene Woinaroski</t>
  </si>
  <si>
    <t>Ewerton Henrique De Souza</t>
  </si>
  <si>
    <t>Adson Michel Pimenta Trindade</t>
  </si>
  <si>
    <t>Pedro Henrique Silva Fonseca</t>
  </si>
  <si>
    <t>Marcos Barbosa</t>
  </si>
  <si>
    <t>Tayla Fisco Garcia</t>
  </si>
  <si>
    <t>Antonino Jose Junior</t>
  </si>
  <si>
    <t>Natália Vieira de Assis</t>
  </si>
  <si>
    <t>Thiago Marangon</t>
  </si>
  <si>
    <t>Juliana Pereira Pimentel Macarini</t>
  </si>
  <si>
    <t>Thiago Oberdan Maciel Martins</t>
  </si>
  <si>
    <t>Pablo Conrado Prestes De Oliveira</t>
  </si>
  <si>
    <t>Victor Mesquita</t>
  </si>
  <si>
    <t>Jackson Menezes</t>
  </si>
  <si>
    <t>Experience Sucesso AltoQi</t>
  </si>
  <si>
    <t>FLAVIO REGIS VIANA RODRIGUES Regis Viana Rodrigues</t>
  </si>
  <si>
    <t>Antonio Martins</t>
  </si>
  <si>
    <t>Pablo Kawe Da Silva Alves</t>
  </si>
  <si>
    <t>Romulo Lima</t>
  </si>
  <si>
    <t>Gabriel Elizeu Riba</t>
  </si>
  <si>
    <t>Wallace Silva</t>
  </si>
  <si>
    <t>Cleison Iago Bellei Foppa Bellei Foppa</t>
  </si>
  <si>
    <t>Victor Hugo Braga Fernandes</t>
  </si>
  <si>
    <t>Fabiano Da Silva Dutra</t>
  </si>
  <si>
    <t>Marcos Beninca</t>
  </si>
  <si>
    <t>Guiherme Cesar Bomfim Cruz Vieira</t>
  </si>
  <si>
    <t>Jonathan Kozikoski</t>
  </si>
  <si>
    <t>Jefferson Felipe Da Silva</t>
  </si>
  <si>
    <t>Waldir Ronqui Junior</t>
  </si>
  <si>
    <t>Simone Cristina Cordeiro Amaral</t>
  </si>
  <si>
    <t>Everton Zucolotto</t>
  </si>
  <si>
    <t>André Luis Madeira</t>
  </si>
  <si>
    <t>Lucas Beschorner</t>
  </si>
  <si>
    <t>Luiz Victor Lima Duarte</t>
  </si>
  <si>
    <t>Thais Salamanca</t>
  </si>
  <si>
    <t>Jean Cortez</t>
  </si>
  <si>
    <t>Taline Rios</t>
  </si>
  <si>
    <t>KELVIN  WESLEY BINOTTI FRANCO</t>
  </si>
  <si>
    <t>Micheli Goedel</t>
  </si>
  <si>
    <t>Josimara Freitas Fernandes da Silva Andrade</t>
  </si>
  <si>
    <t>Vlademir Rodrigues Fontolan</t>
  </si>
  <si>
    <t>Victor Guedes Resende Valim</t>
  </si>
  <si>
    <t>Daniel Junior Machado</t>
  </si>
  <si>
    <t>Gabriela Medeiros</t>
  </si>
  <si>
    <t>Axel Agostini</t>
  </si>
  <si>
    <t>Eduardo Pereira</t>
  </si>
  <si>
    <t>Thiago Faria</t>
  </si>
  <si>
    <t>Karla Sima</t>
  </si>
  <si>
    <t>Mailon Bartolomeu</t>
  </si>
  <si>
    <t>Ernani De Moura Coelho</t>
  </si>
  <si>
    <t>Romeu Ribeiro Zulian</t>
  </si>
  <si>
    <t>Jadilson Silva França</t>
  </si>
  <si>
    <t>Michel Stuart</t>
  </si>
  <si>
    <t>Sabrina Andrade Silveira</t>
  </si>
  <si>
    <t>Tallis Henrique Pereira Fonseca</t>
  </si>
  <si>
    <t>Diego José Gonçalves</t>
  </si>
  <si>
    <t>Augusto Melato Fernandes</t>
  </si>
  <si>
    <t>Erika Rinke</t>
  </si>
  <si>
    <t>Marcelo França Martins</t>
  </si>
  <si>
    <t>Wallace Savegnago</t>
  </si>
  <si>
    <t>Levi Livino Sponchiado Junior</t>
  </si>
  <si>
    <t>Eder Magrini Guilherme Guilherme</t>
  </si>
  <si>
    <t>Antonio Carlos Fernandes</t>
  </si>
  <si>
    <t>Guilherme Muller</t>
  </si>
  <si>
    <t>Andre Pires De Morais</t>
  </si>
  <si>
    <t>Paulo Roberto Cerutti</t>
  </si>
  <si>
    <t>Rafael Moreira Goncalves</t>
  </si>
  <si>
    <t>Felipe Santana</t>
  </si>
  <si>
    <t>Hélio Henrique Mees</t>
  </si>
  <si>
    <t>Angelo Adato</t>
  </si>
  <si>
    <t>Lucas Castilhos Dornelles</t>
  </si>
  <si>
    <t>Lucas Andrade Marcos</t>
  </si>
  <si>
    <t>Vanio Jose  Da Silva</t>
  </si>
  <si>
    <t>Felipe Montibeller</t>
  </si>
  <si>
    <t>Ronis Corrêa</t>
  </si>
  <si>
    <t>Laura Schmitt</t>
  </si>
  <si>
    <t>Marcos Baldissera</t>
  </si>
  <si>
    <t>Marcos Antonio Padilha Júnior</t>
  </si>
  <si>
    <t>Contrutura Pilar</t>
  </si>
  <si>
    <t>Matheus Custódio Menezes Nascimento</t>
  </si>
  <si>
    <t>Admilson Junior</t>
  </si>
  <si>
    <t>Isabella Teixeira Campos Ottoni</t>
  </si>
  <si>
    <t>Valéria Ramos Erdeman</t>
  </si>
  <si>
    <t>Joel Gallis</t>
  </si>
  <si>
    <t>Mayla Bianchini Cruz</t>
  </si>
  <si>
    <t>Karina Ferreira De Andrade</t>
  </si>
  <si>
    <t>Ruan Victor da Silva Pereira</t>
  </si>
  <si>
    <t>Rogerio Silva Braga</t>
  </si>
  <si>
    <t>Gustavo Calza</t>
  </si>
  <si>
    <t>Everton Silva</t>
  </si>
  <si>
    <t>Kaio Ribeiro Oliveira Junior</t>
  </si>
  <si>
    <t>Luis Araújo Reis Araujo Reis</t>
  </si>
  <si>
    <t>Fernando Henrique Amaral De Paula</t>
  </si>
  <si>
    <t>Juliano Maestri</t>
  </si>
  <si>
    <t>Wilson Moreira De Melo Filho</t>
  </si>
  <si>
    <t>Silvio Duarte</t>
  </si>
  <si>
    <t>Cesar Henrique Leao Da Silva</t>
  </si>
  <si>
    <t>Bruna Melo</t>
  </si>
  <si>
    <t>Matheus Ferreira</t>
  </si>
  <si>
    <t>cleber oliveira</t>
  </si>
  <si>
    <t>Ana Laura de Faria Maciel</t>
  </si>
  <si>
    <t>Bruno Andrade de Carvalho</t>
  </si>
  <si>
    <t>Eduardo Machado</t>
  </si>
  <si>
    <t>Leonardo Oliveira Silva</t>
  </si>
  <si>
    <t>Marcos Antonio Silva</t>
  </si>
  <si>
    <t>Lucas Spineli Santana</t>
  </si>
  <si>
    <t>Thomas Sanches</t>
  </si>
  <si>
    <t>Antonio Cesar Mayer</t>
  </si>
  <si>
    <t>THUAN SALES DE BARROS</t>
  </si>
  <si>
    <t>Kaue Kohn Buratto Prandi</t>
  </si>
  <si>
    <t>Rene Peter</t>
  </si>
  <si>
    <t>Bruno Sucharski</t>
  </si>
  <si>
    <t>Fabianno Lima</t>
  </si>
  <si>
    <t>Adriano Meireles</t>
  </si>
  <si>
    <t>Agnaldo Junior</t>
  </si>
  <si>
    <t>Wanderley  Pereira De Freitas Junior</t>
  </si>
  <si>
    <t>Impacto Ltda</t>
  </si>
  <si>
    <t>Jhony Dias</t>
  </si>
  <si>
    <t>VALÉRIA BARBOSA GOMES DE SANTIS de Santis</t>
  </si>
  <si>
    <t>Erikson Da Silva Araujo</t>
  </si>
  <si>
    <t>Rafael Bortoluzzi</t>
  </si>
  <si>
    <t>Sthone Junior De Sousa</t>
  </si>
  <si>
    <t>Jamir Sampaio</t>
  </si>
  <si>
    <t>Matheus Lima</t>
  </si>
  <si>
    <t>Romulo Silva</t>
  </si>
  <si>
    <t>Ramires Franz</t>
  </si>
  <si>
    <t>Pedro Caique</t>
  </si>
  <si>
    <t>Ana Caroline Guimarães Soares</t>
  </si>
  <si>
    <t>Maurício Chaves Lima</t>
  </si>
  <si>
    <t>Luiz Fernando Santana</t>
  </si>
  <si>
    <t>Pedro Paulo Da Silva Nogueira</t>
  </si>
  <si>
    <t>Daniel Rauber</t>
  </si>
  <si>
    <t>Jorge Nascimento</t>
  </si>
  <si>
    <t>Carlos Nogueira</t>
  </si>
  <si>
    <t>Romulo Rafael Leite</t>
  </si>
  <si>
    <t>Carlos Eduardo Garcia</t>
  </si>
  <si>
    <t>Edson Junior</t>
  </si>
  <si>
    <t>Thiago Ternowski Freitas</t>
  </si>
  <si>
    <t>Warley Ferreira</t>
  </si>
  <si>
    <t>Vinicius Menezes</t>
  </si>
  <si>
    <t>Andre Neto</t>
  </si>
  <si>
    <t>Anderson de Resende</t>
  </si>
  <si>
    <t>Clademir Tibolla</t>
  </si>
  <si>
    <t>Ruytter Ruan Meireles</t>
  </si>
  <si>
    <t>Patricia Viana De Jesus</t>
  </si>
  <si>
    <t>Mádson Luan Cruz Ribeiro</t>
  </si>
  <si>
    <t>Daniel Mendonca</t>
  </si>
  <si>
    <t>Weberton Bello</t>
  </si>
  <si>
    <t>Lucas Castro</t>
  </si>
  <si>
    <t>Alexandre Rodrigues Azevedo</t>
  </si>
  <si>
    <t>Gustavo Hernandes Gallate</t>
  </si>
  <si>
    <t>Henrique De Oliveira</t>
  </si>
  <si>
    <t>Fabricia Ritter Moro</t>
  </si>
  <si>
    <t>Leandro Scheffer</t>
  </si>
  <si>
    <t>Giovani Wolff Sfredo</t>
  </si>
  <si>
    <t>Abner Vitor</t>
  </si>
  <si>
    <t>Gabriel Jeronymo Lopes</t>
  </si>
  <si>
    <t>Simone Walesko</t>
  </si>
  <si>
    <t>Rodimar Balbinot</t>
  </si>
  <si>
    <t>Jonathan Schmitz Janke</t>
  </si>
  <si>
    <t>Thiago Vinicius Wolf</t>
  </si>
  <si>
    <t>Felipe Souza de Oliveira</t>
  </si>
  <si>
    <t>Lucas Neiva</t>
  </si>
  <si>
    <t>Humberto Wilke</t>
  </si>
  <si>
    <t>Maria Eduarda Mattei Cardoso</t>
  </si>
  <si>
    <t>Eduardo Melim Ferreira</t>
  </si>
  <si>
    <t>Ivan Rodrigues Lima</t>
  </si>
  <si>
    <t>Roberta Bastos</t>
  </si>
  <si>
    <t>Carlos Augusto Moura</t>
  </si>
  <si>
    <t>João Pedro Silva</t>
  </si>
  <si>
    <t>Chrystian Ventura</t>
  </si>
  <si>
    <t>Mauricio Pinheiro</t>
  </si>
  <si>
    <t>Kayo Vinícius</t>
  </si>
  <si>
    <t>Marlon Pierre Jara</t>
  </si>
  <si>
    <t>Renato de Souza Garin Simoes</t>
  </si>
  <si>
    <t>Rafael Lorenzon De Jesus</t>
  </si>
  <si>
    <t>Evandro Provin</t>
  </si>
  <si>
    <t>Ricardo Augusto Voss</t>
  </si>
  <si>
    <t>Herlon Hoffmann</t>
  </si>
  <si>
    <t>Ewerton Lopes Tassi</t>
  </si>
  <si>
    <t>Diego Lima</t>
  </si>
  <si>
    <t>Ricardo Alex Rodrigues Ribeiro</t>
  </si>
  <si>
    <t>Gabriel Villela Gibram</t>
  </si>
  <si>
    <t>Luiz Silva</t>
  </si>
  <si>
    <t>Samuel Lucas Silva De Medeiros</t>
  </si>
  <si>
    <t>Saulo Mendes da Costa Pereira</t>
  </si>
  <si>
    <t>Ilka Maria Da Silva</t>
  </si>
  <si>
    <t>André Henrique</t>
  </si>
  <si>
    <t>Lara Fumaco</t>
  </si>
  <si>
    <t>Yuri Krauss</t>
  </si>
  <si>
    <t>Claudio Caldeira Goncalves Junior</t>
  </si>
  <si>
    <t>Rogers Zoccoli</t>
  </si>
  <si>
    <t>Gimas Lusa</t>
  </si>
  <si>
    <t>Antonio Carlos Da Paixao Carlos da Paixão</t>
  </si>
  <si>
    <t>Diogo Felipe Steinheuser</t>
  </si>
  <si>
    <t>Gleziani DA SILVA</t>
  </si>
  <si>
    <t>Alexsandro Galvão Helal</t>
  </si>
  <si>
    <t>Rodrigo Grawe</t>
  </si>
  <si>
    <t>Jane Mari de Andrade Souza Neta</t>
  </si>
  <si>
    <t>Diniz Faria</t>
  </si>
  <si>
    <t>Márcio Adelar Peruchi</t>
  </si>
  <si>
    <t>William Araujo</t>
  </si>
  <si>
    <t>Matheus William Vicente De Paiva</t>
  </si>
  <si>
    <t>Gabriel Souza Marchini</t>
  </si>
  <si>
    <t>Rhuan Gabryel Goncalves</t>
  </si>
  <si>
    <t>Tallys Aguiar</t>
  </si>
  <si>
    <t>Ésio Magalhães</t>
  </si>
  <si>
    <t>Charles Benini</t>
  </si>
  <si>
    <t>Douglas Martins Sousa</t>
  </si>
  <si>
    <t>Naise Beatriz Teobaldo De Oliveira</t>
  </si>
  <si>
    <t>Beatriz Mota Pedro De Oliveira</t>
  </si>
  <si>
    <t>Isabela Silva Assunção</t>
  </si>
  <si>
    <t>Epaminondas De Freitas Neto</t>
  </si>
  <si>
    <t>Ronnie James da Silva Sousa</t>
  </si>
  <si>
    <t>felipe.labes@altoqi.com.br</t>
  </si>
  <si>
    <t>Carlos Wagner Gomes Mota Gomes Mota</t>
  </si>
  <si>
    <t>Marcos Leoncio Silva</t>
  </si>
  <si>
    <t>Manoel Ferreira Lima Junior</t>
  </si>
  <si>
    <t>Marcelo Barrichello Cascales</t>
  </si>
  <si>
    <t>Leandro Henrique</t>
  </si>
  <si>
    <t>ANA BESCH</t>
  </si>
  <si>
    <t>Romulo Da Silva</t>
  </si>
  <si>
    <t>Gustavo Jesus Do Amaral</t>
  </si>
  <si>
    <t>Fernando Henrique Fernandes Sousa</t>
  </si>
  <si>
    <t>Matheus Aranha</t>
  </si>
  <si>
    <t>Paulo Júnior Cherene Camara</t>
  </si>
  <si>
    <t>Vinícius Duarte Esteves da Silva</t>
  </si>
  <si>
    <t>Adriana Abreu</t>
  </si>
  <si>
    <t>Maria Debora Damiao</t>
  </si>
  <si>
    <t>Lucas Schmitz</t>
  </si>
  <si>
    <t>GABRIEL CAMILOTTI KORP</t>
  </si>
  <si>
    <t>Pedro Ferreira Neto</t>
  </si>
  <si>
    <t>Alisson Malagutti</t>
  </si>
  <si>
    <t>Silvano Flauber Aielo</t>
  </si>
  <si>
    <t>Paulo Sergio Da Silva Aurencao</t>
  </si>
  <si>
    <t>Luiz Fernando Correia Megiolaro</t>
  </si>
  <si>
    <t>Eliomar Rodrigo Sinigaglia</t>
  </si>
  <si>
    <t>Josué Dutra de Barros</t>
  </si>
  <si>
    <t>Carlos Henrique Maciel</t>
  </si>
  <si>
    <t>Caio Sousa</t>
  </si>
  <si>
    <t>Geovanne Ricardo Stange Ghizoni</t>
  </si>
  <si>
    <t>Rafael Rocha da Silva</t>
  </si>
  <si>
    <t>Fabio Azevedo</t>
  </si>
  <si>
    <t>Diego Souza</t>
  </si>
  <si>
    <t>James Cruz De Oliveira</t>
  </si>
  <si>
    <t>Gabriela Souza e Silva</t>
  </si>
  <si>
    <t>Igor Felipe Barbosa</t>
  </si>
  <si>
    <t>Rafael Laskowski</t>
  </si>
  <si>
    <t>Marcus Nunes</t>
  </si>
  <si>
    <t>Marcos Roberto Magela Dini</t>
  </si>
  <si>
    <t>Lucas Branquinho</t>
  </si>
  <si>
    <t>Wellington Júnio Oliveira Moura</t>
  </si>
  <si>
    <t>Vinícius Hugo Müller</t>
  </si>
  <si>
    <t>Andréia Grasiela Führ Prati</t>
  </si>
  <si>
    <t>Vinicius Do Nascimento Pereira</t>
  </si>
  <si>
    <t>Matheus Melo</t>
  </si>
  <si>
    <t>Kelyne Ketley de Figueiredo Ladislau</t>
  </si>
  <si>
    <t>Leandro Serafim Rocha</t>
  </si>
  <si>
    <t>Alexandre de Morais Sanches Lorenzoni de Oliveira</t>
  </si>
  <si>
    <t>Rafael Luciano Bottega</t>
  </si>
  <si>
    <t>Rogerianne Naruma Coimbra Ribeiro Junqueira</t>
  </si>
  <si>
    <t>José Alberto Brasil</t>
  </si>
  <si>
    <t>Danielle Veiga</t>
  </si>
  <si>
    <t>Mark Anderson Moreira E Silva</t>
  </si>
  <si>
    <t>Wesley De Almeida</t>
  </si>
  <si>
    <t>Felipe Maldaner</t>
  </si>
  <si>
    <t>Eliton ferraz</t>
  </si>
  <si>
    <t>Paulo Victor C Sousa</t>
  </si>
  <si>
    <t>Pedro Silva de Souza</t>
  </si>
  <si>
    <t>Pedro Vinícius Nascimento de Lima</t>
  </si>
  <si>
    <t>Juliana Feitosa Apolinario Correia</t>
  </si>
  <si>
    <t>Marco Rogerio Levendoschi</t>
  </si>
  <si>
    <t>Edem  Marcos Corbacho</t>
  </si>
  <si>
    <t>Marcos  Kohler Rauber</t>
  </si>
  <si>
    <t>Kleison Moraes dos Santos</t>
  </si>
  <si>
    <t>KARLA  BARRETO ALVES</t>
  </si>
  <si>
    <t>Rodrigo Torquato Domingues</t>
  </si>
  <si>
    <t>MUNICIPIO DE CAMPO VERDE</t>
  </si>
  <si>
    <t>leandro.fontana@altoqi.com.br</t>
  </si>
  <si>
    <t>IMAC ENGENHARIA LTDA</t>
  </si>
  <si>
    <t>GTS ENGENHARIA E TOPOGRAFIA LTDA</t>
  </si>
  <si>
    <t>ESTRUTURA CONSULTORIA &amp; ENGENHARIA LTDA</t>
  </si>
  <si>
    <t>UFBA</t>
  </si>
  <si>
    <t>MUNICIPIO DE LUZ</t>
  </si>
  <si>
    <t>MARCIENE DA SILVA ARAUJO 46165860559</t>
  </si>
  <si>
    <t>METAL BUENO</t>
  </si>
  <si>
    <t>PD PROJETOS DE ENGENHARIA LTDA</t>
  </si>
  <si>
    <t>IDEAR PROJETOS COMPLEMENTARES</t>
  </si>
  <si>
    <t>MUNICIPIO DE SAO FIDELIS</t>
  </si>
  <si>
    <t>Plano AltoQi Eberick 2025 Premium Governo - Upgrade</t>
  </si>
  <si>
    <t>Plano AltoQi Builder 2025 Premium Governo - Upgrade</t>
  </si>
  <si>
    <t>SSA 1 ano para AltoQi Eberick Premium Governo</t>
  </si>
  <si>
    <t>LOGUS SERVICOS</t>
  </si>
  <si>
    <t>ASSOCIACAO DE MUNICIPIOS DO NOROESTE DE SANTA CATARINA</t>
  </si>
  <si>
    <t>MUNICIPIO DE CEU AZUL</t>
  </si>
  <si>
    <t>ACCIS ENGENHARIA</t>
  </si>
  <si>
    <t>PREF MUN DE OBIDOS PA</t>
  </si>
  <si>
    <t>GOV - SUPORTE ESPECIALIZADO - STANDARD</t>
  </si>
  <si>
    <t>Focus 3d Engenharia</t>
  </si>
  <si>
    <t>Viavoz Projetos</t>
  </si>
  <si>
    <t>CLPT ENGENHARIA</t>
  </si>
  <si>
    <t>MPC PROJETOS E INSTALACOES</t>
  </si>
  <si>
    <t>PROGRAM ENGENHARIA LTDA</t>
  </si>
  <si>
    <t>SMART ENGENHARIA E ARQUITETURA LTDA</t>
  </si>
  <si>
    <t>MEKA ENGENHARIA</t>
  </si>
  <si>
    <t>HEAD5 ENGENHARIA LTDA.</t>
  </si>
  <si>
    <t>CONSTRUTORA VIEIRA</t>
  </si>
  <si>
    <t>MUNICIPIO DE BARRA VELHA</t>
  </si>
  <si>
    <t>J.P LEMOS PROJETOS DE INSTALACOES PREDIAIS E ASSESSORIA LTDA</t>
  </si>
  <si>
    <t>MUNICIPIO DE UNIAO DA VITORIA</t>
  </si>
  <si>
    <t>MUNICIPIO DE NOVA MAMORE</t>
  </si>
  <si>
    <t>Pn Empreendimentos</t>
  </si>
  <si>
    <t>ITANHAEM GABINETE PREFEITO</t>
  </si>
  <si>
    <t>ARCHMAX ARQUITETURA E ENGENHARIA</t>
  </si>
  <si>
    <t>MUNICIPIO DE MONTE BELO DO SUL - RS</t>
  </si>
  <si>
    <t>UNESC ES - UNIAO DE EDUCACAO E CULTURA GILDASIO AMADO</t>
  </si>
  <si>
    <t>DEGEPOL</t>
  </si>
  <si>
    <t>EXCORE ENGENHARIA</t>
  </si>
  <si>
    <t>Portela Engenharia e Construcao</t>
  </si>
  <si>
    <t>NOUS SOLUCOES EM ENGENHARIA</t>
  </si>
  <si>
    <t>ZION ARQUITETURA E ENGENHARIA</t>
  </si>
  <si>
    <t>MAGYRUS ENGENHARIA DE INCENDIO</t>
  </si>
  <si>
    <t>NEXT ENGENHARIA</t>
  </si>
  <si>
    <t>I C F Negocios Imobiliarios</t>
  </si>
  <si>
    <t>RAMOS ENGENHARIA DE INSTALACOES</t>
  </si>
  <si>
    <t>Pilar Projeto e Construcao</t>
  </si>
  <si>
    <t>MUNICIPIO DE MANGA</t>
  </si>
  <si>
    <t>Sifase Eletrica</t>
  </si>
  <si>
    <t>AGIL ENGENHARIA</t>
  </si>
  <si>
    <t>MUNICIPIO DE ROMELANDIA</t>
  </si>
  <si>
    <t>ARCO ENGENHARIA E CONSTRUCAO LTDA</t>
  </si>
  <si>
    <t>IDEALIZE ENGENHARIA CIVIL LTDA</t>
  </si>
  <si>
    <t>DEFENSORIA PUBLICA DO ESTADO DO RIO DE JANEIRO</t>
  </si>
  <si>
    <t>FORTESAS</t>
  </si>
  <si>
    <t>MUNICIPIO DE JARAGUA DO SUL</t>
  </si>
  <si>
    <t>GOV - SUPORTE ESPECIALIZADO - ADVANCED</t>
  </si>
  <si>
    <t>JACOBINA MINERACAO E COMERCIO LTDA</t>
  </si>
  <si>
    <t>A2M1 ENGENHARIA</t>
  </si>
  <si>
    <t>DH ENGENHARIA CIVIL LTDA</t>
  </si>
  <si>
    <t>CESUSC - COMPLEXO DE ENSINO SUPERIOR DE SANTA CATARINA LTDA</t>
  </si>
  <si>
    <t>House Engenharia</t>
  </si>
  <si>
    <t>Mlr</t>
  </si>
  <si>
    <t>PREVIEW ARQ.ENG</t>
  </si>
  <si>
    <t>VELMON ENGENHARIA</t>
  </si>
  <si>
    <t>DIEGO MELO DA SILVA 38081015809</t>
  </si>
  <si>
    <t>Prefeitura Municipal de Sapezal</t>
  </si>
  <si>
    <t>Inove Projetos</t>
  </si>
  <si>
    <t>SCHWEITZER ENGENHARIA CONSTRUTORA E INCORPORADORA LTDA</t>
  </si>
  <si>
    <t>ARQPLAN PROJETOS E SERVICOS LTDA</t>
  </si>
  <si>
    <t>GALBIATTI SERVICOS DE ENGENHARIA ELETRICA LTDA</t>
  </si>
  <si>
    <t>A.G.INCORPORADORA</t>
  </si>
  <si>
    <t>Atopus Engenharia</t>
  </si>
  <si>
    <t>MUNICIPIO DE RIO BRANCO</t>
  </si>
  <si>
    <t>KROLOW ENGENHARIA</t>
  </si>
  <si>
    <t>Suellen Borges Dos Santos</t>
  </si>
  <si>
    <t>GRIFA ENGENHARIA E ASSOCIADOS LTDA</t>
  </si>
  <si>
    <t>JOAL TEITELBAUM EXCELENCIA EM ENGENHARIA S/S</t>
  </si>
  <si>
    <t>Atempo Facilities</t>
  </si>
  <si>
    <t>MUNICIPIO DE LAVRAS</t>
  </si>
  <si>
    <t>RGK ENGENHARIA LTDA</t>
  </si>
  <si>
    <t>BP8 BANCO DE PROJETOS IMOBILIARIOS LTDA</t>
  </si>
  <si>
    <t>Ben Engenharia</t>
  </si>
  <si>
    <t>MAGON ENGENHARIA</t>
  </si>
  <si>
    <t>ENGEMIL</t>
  </si>
  <si>
    <t>77 PILARES LTDA</t>
  </si>
  <si>
    <t>FIORA SOLUCOES EM PREVENCAO DE INCENDIOS LTDA.</t>
  </si>
  <si>
    <t>LITHOS ARQUITETURA E ENGENHARIA LTDA</t>
  </si>
  <si>
    <t>GBM ENGENHARIA E CONSTRUCAO LTDA</t>
  </si>
  <si>
    <t>Interest Engenharia Ltda</t>
  </si>
  <si>
    <t>VIEIRA MELLO LTDA</t>
  </si>
  <si>
    <t>Belgo Arames</t>
  </si>
  <si>
    <t>Plano Fabricantes Gold</t>
  </si>
  <si>
    <t>Implanta Fabricantes - Setup Eberick</t>
  </si>
  <si>
    <t>C3 ARQUITETURA E ENGENHARIA</t>
  </si>
  <si>
    <t>Herf Engenharia</t>
  </si>
  <si>
    <t>IMOVELINE ARQUITETURA E CONSTRUÇÃO</t>
  </si>
  <si>
    <t>AUSEC</t>
  </si>
  <si>
    <t>VF ENGENHARIA</t>
  </si>
  <si>
    <t>UEAP - UNIVERSIDADE DO ESTADO DO AMAPÁ</t>
  </si>
  <si>
    <t>LUNARDELI ENGENHARIA</t>
  </si>
  <si>
    <t>Gmartini Engenharia</t>
  </si>
  <si>
    <t>Poli júnior</t>
  </si>
  <si>
    <t>MAC INCORPORADORA LTDA</t>
  </si>
  <si>
    <t>Grupo Adn</t>
  </si>
  <si>
    <t>Eg Projetos e Consultorias</t>
  </si>
  <si>
    <t>QUBO ENGENHARIA</t>
  </si>
  <si>
    <t>MUNICIPIO DE SENGES</t>
  </si>
  <si>
    <t>UEPG - UNIVERSIDADE ESTADUAL DE PONTA GROSSA</t>
  </si>
  <si>
    <t>PROLUX ENGENHARIA LTDA</t>
  </si>
  <si>
    <t>CR ARQUITETURA E CONSTRUCAO LTDA</t>
  </si>
  <si>
    <t>Z5BIM ENGENHARIA DE PROJETOS</t>
  </si>
  <si>
    <t>M2JVIP CONSULTORIA E ENGENHARIA LTDA</t>
  </si>
  <si>
    <t>SESC MT - SERVICO SOCIAL DO COMERCIO ADMINISTRAÇÃO REGIONAL MATO GROSSO - Centro-Sul</t>
  </si>
  <si>
    <t>Danilo Augusto Diniz Araujo</t>
  </si>
  <si>
    <t>Joao Paulo De Castro Fernandes</t>
  </si>
  <si>
    <t>Katia Da Silva</t>
  </si>
  <si>
    <t>Rodrigo Viana Santana Barbosa</t>
  </si>
  <si>
    <t>CONSORCIO HTM</t>
  </si>
  <si>
    <t>IPSUM GEOTECH</t>
  </si>
  <si>
    <t>ALISON ANTUNES ENGENHARIA E CONSTRUCOES LTDA</t>
  </si>
  <si>
    <t>ESSER MENEGAZZO EMPREENDIMENTOS</t>
  </si>
  <si>
    <t>SANCO PROJETOS LTDA</t>
  </si>
  <si>
    <t>LACON ENGENHARIA</t>
  </si>
  <si>
    <t>CANOVA ENGENHARIA</t>
  </si>
  <si>
    <t>DEKA ENGENHARIA</t>
  </si>
  <si>
    <t>A L FISNACK ENGENHARIA</t>
  </si>
  <si>
    <t>Luzia Das Gracas Leal Ayres</t>
  </si>
  <si>
    <t>Lucas Arruda</t>
  </si>
  <si>
    <t>Mateus Marciano Pituco</t>
  </si>
  <si>
    <t>Paulo Freitas</t>
  </si>
  <si>
    <t>Elias Frohlich</t>
  </si>
  <si>
    <t>Érbio Matos Machado</t>
  </si>
  <si>
    <t>Jackson Da Cruz Barboza</t>
  </si>
  <si>
    <t>Renan Mello</t>
  </si>
  <si>
    <t>Mauricio Putinato</t>
  </si>
  <si>
    <t>David Felipe De Souza</t>
  </si>
  <si>
    <t>Andre De Almeida Braga</t>
  </si>
  <si>
    <t>Marcelo Poli</t>
  </si>
  <si>
    <t>Tatiane Fazan Infrestrutura Aeroportuaria Ltda</t>
  </si>
  <si>
    <t>Thiago Gallassi Matsunaga</t>
  </si>
  <si>
    <t>Victor Alexandre Dos Santos Vasconcellos</t>
  </si>
  <si>
    <t>Leonardo Henrique Stecca</t>
  </si>
  <si>
    <t>Silvio Bruno Nunes Da Silva</t>
  </si>
  <si>
    <t>Alisson Henrique Cardoso</t>
  </si>
  <si>
    <t>Gustavo Henrique Ramos Alves</t>
  </si>
  <si>
    <t>Giovany Silva</t>
  </si>
  <si>
    <t>MAXBARRAMENTOS INDUSTRIA E COMERCIO LTDA</t>
  </si>
  <si>
    <t>Plano Fabricantes Start</t>
  </si>
  <si>
    <t>Rolison Felipe</t>
  </si>
  <si>
    <t>Luan Pereira</t>
  </si>
  <si>
    <t>Alexsandro  Cicero Da Silva</t>
  </si>
  <si>
    <t>Caio Luis Lemos Malheiros</t>
  </si>
  <si>
    <t>Matheus Henrique Alves Cambui</t>
  </si>
  <si>
    <t>Rondon Braga</t>
  </si>
  <si>
    <t>THAIS DIAS ENGENHARIA</t>
  </si>
  <si>
    <t>Cezar Mayolino</t>
  </si>
  <si>
    <t>Marcos Antonio Pereira Marcolino</t>
  </si>
  <si>
    <t>Mauricio Dias Da Silva</t>
  </si>
  <si>
    <t>Angelica Molina Barba De Ebert</t>
  </si>
  <si>
    <t>ADILSON BUENO</t>
  </si>
  <si>
    <t>Igor Begnami Corbanezi</t>
  </si>
  <si>
    <t>Bruno Henrique Silva De Lima</t>
  </si>
  <si>
    <t>GUSTAVO ALCANTARA</t>
  </si>
  <si>
    <t>Gustavo Barros Sanches</t>
  </si>
  <si>
    <t>Lucas Bezerra Costa</t>
  </si>
  <si>
    <t>André Lisboa</t>
  </si>
  <si>
    <t>Edgar Antonio Dos Santos</t>
  </si>
  <si>
    <t>Andreza Alves</t>
  </si>
  <si>
    <t>Darlan Santos</t>
  </si>
  <si>
    <t>Ricardo Luiz de Barros Pereira Júnior</t>
  </si>
  <si>
    <t>Heitor Guimaraes Trombert</t>
  </si>
  <si>
    <t>Simone Lemos</t>
  </si>
  <si>
    <t>Alexandre Sodré Silva</t>
  </si>
  <si>
    <t>Daniel Santos Silva</t>
  </si>
  <si>
    <t>Emerson Ferreira da Silva</t>
  </si>
  <si>
    <t>Pedro Henrique Cruz Alves</t>
  </si>
  <si>
    <t>Cesar Torres Santos Filho</t>
  </si>
  <si>
    <t>Antonio Marcos Merlini Simao</t>
  </si>
  <si>
    <t>Sergio Botelho Magalhaes</t>
  </si>
  <si>
    <t>Felipe Mata Machado Barbosa Chaves</t>
  </si>
  <si>
    <t>Amanda Morais Koehler</t>
  </si>
  <si>
    <t>Susana Favarin</t>
  </si>
  <si>
    <t>Thiago Vidal</t>
  </si>
  <si>
    <t>Sheila Andrade Moreira</t>
  </si>
  <si>
    <t>José Da Guia Pereira Da Silva J. Da Guia P. Da Silva</t>
  </si>
  <si>
    <t>BRUNO Ramos</t>
  </si>
  <si>
    <t>Luana Bispo</t>
  </si>
  <si>
    <t>Andrews Do Nascimento Baldo</t>
  </si>
  <si>
    <t>PREFEITURA MUNICIPAL DE AMPERE Prefeitura de Ampére</t>
  </si>
  <si>
    <t>Carlos Alberto Martins Cravo</t>
  </si>
  <si>
    <t>Nei Lamboglia</t>
  </si>
  <si>
    <t>Daniele Hoepers Maule</t>
  </si>
  <si>
    <t>Carlos Alberto Papini</t>
  </si>
  <si>
    <t>Bruno Birck da Mota</t>
  </si>
  <si>
    <t>Hudson Santiago Borges Pementa</t>
  </si>
  <si>
    <t>sonia.zielinski@altoqi.com.br</t>
  </si>
  <si>
    <t>Khauan Mota Leite</t>
  </si>
  <si>
    <t>Renan Roberto Da Silva</t>
  </si>
  <si>
    <t>Alexandre Dias Martins</t>
  </si>
  <si>
    <t>Clovis Bernardo Martins de Araujo</t>
  </si>
  <si>
    <t>Suiberto Lessa Junior</t>
  </si>
  <si>
    <t>Thabata Zebral</t>
  </si>
  <si>
    <t>Alfredo De Oliveira Souza</t>
  </si>
  <si>
    <t>NOVALTERNATIVA INCORPORADORA LTDA</t>
  </si>
  <si>
    <t>Fernando Jose Rodrigues</t>
  </si>
  <si>
    <t>Leandro Da Silva Gomes</t>
  </si>
  <si>
    <t>George Augusto Alves Rosendo</t>
  </si>
  <si>
    <t>Alex Costa</t>
  </si>
  <si>
    <t>José Augusto Pacheco</t>
  </si>
  <si>
    <t>José Jair Oliveira Alves</t>
  </si>
  <si>
    <t>Lucas Goltara</t>
  </si>
  <si>
    <t>Francisco Thiago Rocha Barros</t>
  </si>
  <si>
    <t>Carlos Lucio Rotondo</t>
  </si>
  <si>
    <t>Marlon Gomes</t>
  </si>
  <si>
    <t>Douglas Amadeu</t>
  </si>
  <si>
    <t>Luan Grotto</t>
  </si>
  <si>
    <t>Andressa Furtado De Oliveira</t>
  </si>
  <si>
    <t>Diego Raniere Nascimento Da Silva</t>
  </si>
  <si>
    <t>Paulo Roberto Alves Ribeiro</t>
  </si>
  <si>
    <t>Adriano Ferreira Da Silva</t>
  </si>
  <si>
    <t>Joednio Souza Pretzel</t>
  </si>
  <si>
    <t>Barbara Kubeneck</t>
  </si>
  <si>
    <t>Carlos Eduardo Souza</t>
  </si>
  <si>
    <t>Felipe Moreira</t>
  </si>
  <si>
    <t>Michele Pereira Mageste Miranda</t>
  </si>
  <si>
    <t>Ana Paula Chaves Silva</t>
  </si>
  <si>
    <t>Flavia Faria De Almeida</t>
  </si>
  <si>
    <t>Eduarda Moraes Pereira</t>
  </si>
  <si>
    <t>Breno Rezende</t>
  </si>
  <si>
    <t>Joao Paulo De Werneck Alves Ribeiro</t>
  </si>
  <si>
    <t>Wilson Machado De Castro Junior</t>
  </si>
  <si>
    <t>Junior Menezes Almeida</t>
  </si>
  <si>
    <t>Joao Victor Oliveira De Freitas</t>
  </si>
  <si>
    <t>Elienai Galdino</t>
  </si>
  <si>
    <t>Pablo DE SIQUEIRA</t>
  </si>
  <si>
    <t>Andre Luiz Amorim Da Fonseca</t>
  </si>
  <si>
    <t>Brenno Augusthus De Souza Santiago</t>
  </si>
  <si>
    <t>Gunther Rodrigues De Oliveira</t>
  </si>
  <si>
    <t>Thais Carolini Dos Santos</t>
  </si>
  <si>
    <t>Maicon Willian Dos Santos</t>
  </si>
  <si>
    <t>Leonardo Polmann</t>
  </si>
  <si>
    <t>Marcos Paulo Santana Da Silva</t>
  </si>
  <si>
    <t>Isadora Taborda Camargo</t>
  </si>
  <si>
    <t>Leticia Rodrigues</t>
  </si>
  <si>
    <t>André Cavalheiro</t>
  </si>
  <si>
    <t>Felipe Frota</t>
  </si>
  <si>
    <t>Denner Costa Cavalcante</t>
  </si>
  <si>
    <t>Jefferson de Paula</t>
  </si>
  <si>
    <t>Augusto Pippi</t>
  </si>
  <si>
    <t>Rodrigo Gabriel Soares Da Silva</t>
  </si>
  <si>
    <t>Higor Dias Santos</t>
  </si>
  <si>
    <t>Bruno Fiorini Zuchi</t>
  </si>
  <si>
    <t>Felipe Apolinario</t>
  </si>
  <si>
    <t>Matheus Figueredo</t>
  </si>
  <si>
    <t>David Kaio Ribeiro Gimenes</t>
  </si>
  <si>
    <t>Diego Montanholi</t>
  </si>
  <si>
    <t>Rian Victor Flores Almeida</t>
  </si>
  <si>
    <t>Fabiano Melo</t>
  </si>
  <si>
    <t>DIAS E CARDOZO ENGENHARIA</t>
  </si>
  <si>
    <t>BARELLA ENGENHARIA</t>
  </si>
  <si>
    <t>DAC ENGENHARIA LTDA</t>
  </si>
  <si>
    <t>Joao Pedro Breder Branquinho Nogueira</t>
  </si>
  <si>
    <t>Evando de Souza Leite Neto</t>
  </si>
  <si>
    <t>Juan Fernandes Azevedo Cutrim</t>
  </si>
  <si>
    <t>Luciana de Lourdes Bullara</t>
  </si>
  <si>
    <t>Fernanda Aguiar Gabriel</t>
  </si>
  <si>
    <t>Arthur Portilho Marques</t>
  </si>
  <si>
    <t>Cristiano Sesti Rochedo</t>
  </si>
  <si>
    <t>Carlos Reis</t>
  </si>
  <si>
    <t>Danilo Derkian da Silva Torres</t>
  </si>
  <si>
    <t>Ismael Abreu Abreu Silvestre Costa</t>
  </si>
  <si>
    <t>Patrick Macedo</t>
  </si>
  <si>
    <t>Fernanda Lopes Vieira</t>
  </si>
  <si>
    <t>Kevin Augusto Marcelino Cordeiro Ferreira</t>
  </si>
  <si>
    <t>Gustavo Fernandes</t>
  </si>
  <si>
    <t>Djems Durandis</t>
  </si>
  <si>
    <t>Priscila Mappelli</t>
  </si>
  <si>
    <t>Filipe Dos Santos Nunes</t>
  </si>
  <si>
    <t>Keyla Aurea Lopes</t>
  </si>
  <si>
    <t>Edson Rodrigues De Campos</t>
  </si>
  <si>
    <t>Gustavo Henrique Rosa Melo</t>
  </si>
  <si>
    <t>Fernanda Luyza Scarmocin</t>
  </si>
  <si>
    <t>Eloane Silva</t>
  </si>
  <si>
    <t>Rosinha Pereira Alencar Cunha</t>
  </si>
  <si>
    <t>Matheus Ricardo Pertile</t>
  </si>
  <si>
    <t>Lenilton Souza</t>
  </si>
  <si>
    <t>Viktor De Miranda Amstalden</t>
  </si>
  <si>
    <t>Jessica Henrique Teixeira</t>
  </si>
  <si>
    <t>Jose Paulo Roquette</t>
  </si>
  <si>
    <t>Reli Maria Polidoro</t>
  </si>
  <si>
    <t>João Paulo Nunes de Almeida</t>
  </si>
  <si>
    <t>Daniel Merigo</t>
  </si>
  <si>
    <t>Afonso Oliveira Ribeiro</t>
  </si>
  <si>
    <t>Rafael Mendonça</t>
  </si>
  <si>
    <t>Daniela Gonçalves</t>
  </si>
  <si>
    <t>Luiz Alfredo De Aquino Gariglio</t>
  </si>
  <si>
    <t>Danilo Santos Xavier Guimaraes</t>
  </si>
  <si>
    <t>Italo Eduardo Gomes Viana</t>
  </si>
  <si>
    <t>Yanka Fernandes Franca Silva</t>
  </si>
  <si>
    <t>Felipe Müller</t>
  </si>
  <si>
    <t>Carlos Alberto Ismael Lutti</t>
  </si>
  <si>
    <t>Wellington Da Cunha Santarosa</t>
  </si>
  <si>
    <t>Gilmar De Moura Soares</t>
  </si>
  <si>
    <t>Kelly Kuhn Giaretta</t>
  </si>
  <si>
    <t>Felipe Giovane Gabeline</t>
  </si>
  <si>
    <t>Marcelus Barroso Souza</t>
  </si>
  <si>
    <t>Geovani Battisti</t>
  </si>
  <si>
    <t>Gustavo Martins de Oliveira</t>
  </si>
  <si>
    <t>Victor Hugo Alves da Paixão</t>
  </si>
  <si>
    <t>Carlos Bozalia</t>
  </si>
  <si>
    <t>Wilhen Kuchta</t>
  </si>
  <si>
    <t>Matthews Vargas Vaucher Bandeira</t>
  </si>
  <si>
    <t>Ethier Lauermann</t>
  </si>
  <si>
    <t>Antônio Carlos Rheinheimer Vieira</t>
  </si>
  <si>
    <t>Marcela Guimarães</t>
  </si>
  <si>
    <t>Ana Carolina Cespedes</t>
  </si>
  <si>
    <t>Ricardo Guilherme Prediger Sordi Prediger Sordi</t>
  </si>
  <si>
    <t>Anna Paula Dal Pizzol</t>
  </si>
  <si>
    <t>Guilherme Sousa Saraiva</t>
  </si>
  <si>
    <t>Mateus Freitas Braga</t>
  </si>
  <si>
    <t>Lucas Gualberto Elias</t>
  </si>
  <si>
    <t>Aurick Fabian Alves</t>
  </si>
  <si>
    <t>Marlon Muller</t>
  </si>
  <si>
    <t>Carlos Henrique Coelho Silva</t>
  </si>
  <si>
    <t>Anderson Guntzel</t>
  </si>
  <si>
    <t>Christian Eduardo Sgorla</t>
  </si>
  <si>
    <t>Douglas  Dantas Dias</t>
  </si>
  <si>
    <t>Tailan Peruzzo</t>
  </si>
  <si>
    <t>Bruna Ferreira De Almeida</t>
  </si>
  <si>
    <t>Solange Marchiori</t>
  </si>
  <si>
    <t>Isabella Cristina Peixoto De Souza</t>
  </si>
  <si>
    <t>Lucca Pael Santana Do Nascimento</t>
  </si>
  <si>
    <t>Aline Greffin</t>
  </si>
  <si>
    <t>Edson Henrique Pereira</t>
  </si>
  <si>
    <t>Mario Araujo Calheiros</t>
  </si>
  <si>
    <t>Add-on espaço extra 500 GB Visus Collab</t>
  </si>
  <si>
    <t>Clodoaldo Da Silva</t>
  </si>
  <si>
    <t>Angélica Gubert</t>
  </si>
  <si>
    <t>Patrícia Carine Moresco</t>
  </si>
  <si>
    <t>Matheus Caixeta</t>
  </si>
  <si>
    <t>Marco Antonio Costa</t>
  </si>
  <si>
    <t>Igor Vinicius Silva  Campos</t>
  </si>
  <si>
    <t>Vanessa Regina Verissimo Greco</t>
  </si>
  <si>
    <t>Lucas Victor Burjack</t>
  </si>
  <si>
    <t>Adailton Marcelo Lehrer</t>
  </si>
  <si>
    <t>Andre Paz Zilli</t>
  </si>
  <si>
    <t>Vinicius Henrique Martins Militao</t>
  </si>
  <si>
    <t>Ericka Leandro</t>
  </si>
  <si>
    <t>João Paulo Pessoa de Alencar Paulo Pessoa De Alencar</t>
  </si>
  <si>
    <t>Iuane Susan</t>
  </si>
  <si>
    <t>Raynon Rangel Da Silva Ferreira</t>
  </si>
  <si>
    <t>Murillo Martins Hannum</t>
  </si>
  <si>
    <t>Juliano Longue Broedel</t>
  </si>
  <si>
    <t>Roberto Kassouf</t>
  </si>
  <si>
    <t>Lucio Flavio da Silva Feitoza</t>
  </si>
  <si>
    <t>Everthon Faria Passos</t>
  </si>
  <si>
    <t>Jean Frank Buzzi Buzzi</t>
  </si>
  <si>
    <t>Mateus de Godoy Trippia</t>
  </si>
  <si>
    <t>Thiago Barreto Tavares</t>
  </si>
  <si>
    <t>Pedro Henrique Barbosa Orsi</t>
  </si>
  <si>
    <t>Vinícius Silveira</t>
  </si>
  <si>
    <t>Ricardo Barreto Braidotte</t>
  </si>
  <si>
    <t>Caique Mello</t>
  </si>
  <si>
    <t>Clarindo Correa Garces Neto</t>
  </si>
  <si>
    <t>Bruno Fernandes da Conceição</t>
  </si>
  <si>
    <t>Leonardo Thiesen</t>
  </si>
  <si>
    <t>Hugo Oriani</t>
  </si>
  <si>
    <t>Guilherme Francisco Ferreira</t>
  </si>
  <si>
    <t>Rafael Di Lorenzo</t>
  </si>
  <si>
    <t>Wagner Marques Da Silva</t>
  </si>
  <si>
    <t>Francisco Eugenio Vieira de Resende Meireles</t>
  </si>
  <si>
    <t>Wester Cardoso Campos Filho</t>
  </si>
  <si>
    <t>Thiago Alves de Oliveira</t>
  </si>
  <si>
    <t>Flávia Mendonca</t>
  </si>
  <si>
    <t>Elias Fernando Trombini</t>
  </si>
  <si>
    <t>BRUNO CARVALHO</t>
  </si>
  <si>
    <t>Kelvi Veloso</t>
  </si>
  <si>
    <t>Hennysow Renato Trajano  Gandra</t>
  </si>
  <si>
    <t>Cristiano Batista</t>
  </si>
  <si>
    <t>Fernando Bertollo</t>
  </si>
  <si>
    <t>Francisco Carvalho</t>
  </si>
  <si>
    <t>Tainá Almeida Leonel</t>
  </si>
  <si>
    <t>Paulo Cesar Teodoro</t>
  </si>
  <si>
    <t>Daniel Waldir Rosa</t>
  </si>
  <si>
    <t>Ruan Rafael Baleeiro Alves Santos</t>
  </si>
  <si>
    <t>Kelvinn Soares</t>
  </si>
  <si>
    <t>Leonardo Elton Da Silva</t>
  </si>
  <si>
    <t>Jonatan Luiz Gregorio</t>
  </si>
  <si>
    <t>Jonathan Leite</t>
  </si>
  <si>
    <t>Guilherme Spohr</t>
  </si>
  <si>
    <t>Bruno Ferreira Silva</t>
  </si>
  <si>
    <t>Valmir Rodrigues de Albuquerque Filho</t>
  </si>
  <si>
    <t>Vitor Cesar  Bando Cavaglieri</t>
  </si>
  <si>
    <t>Oziel Rodrigues Da Silva</t>
  </si>
  <si>
    <t>KPG GESTÃO DE OBRAS E ENGENHARIA</t>
  </si>
  <si>
    <t>RENATO JANTARA</t>
  </si>
  <si>
    <t>Augusto Gatto Teloken</t>
  </si>
  <si>
    <t>Cristiano Augusto Guimaraes Feitosa</t>
  </si>
  <si>
    <t>Leandro Manoel</t>
  </si>
  <si>
    <t>Roberto Lelis Vieira Dos Santos</t>
  </si>
  <si>
    <t>Gislaine Marques Serafim</t>
  </si>
  <si>
    <t>Roselaine Cristiana Miicke Trisch Kleinibing</t>
  </si>
  <si>
    <t>TAUF EMPREENDIMENTOS</t>
  </si>
  <si>
    <t>Plano Visus Collab Empreendimentos</t>
  </si>
  <si>
    <t>Empreendimentos</t>
  </si>
  <si>
    <t>Sara de Sousa de Sousa</t>
  </si>
  <si>
    <t>Jose Eduardo Cury Megid</t>
  </si>
  <si>
    <t>Artur Bavaresco</t>
  </si>
  <si>
    <t>SECRETARIA DE ESTADO DA ASSISTENCIA E DO DESENVOLVIMENTO SOCIAL-SEAS</t>
  </si>
  <si>
    <t>RJDE ENGENHARIA E CONSULTORIA LTDA</t>
  </si>
  <si>
    <t>Alair De Jesus Rodrigues</t>
  </si>
  <si>
    <t>Isaac Pacelli Falcao Costa Ferreira</t>
  </si>
  <si>
    <t>3ipa Incorporacoes e Engenharia</t>
  </si>
  <si>
    <t>Eguimar Marques</t>
  </si>
  <si>
    <t>Joanderson Silva De Oliveira</t>
  </si>
  <si>
    <t>Levi Rios</t>
  </si>
  <si>
    <t>RC ENGENHARIA</t>
  </si>
  <si>
    <t>Rafael Camilo Gomes Ruberto</t>
  </si>
  <si>
    <t>Rodrigo Lazzarotto</t>
  </si>
  <si>
    <t>Gustavo Ruas Caires</t>
  </si>
  <si>
    <t>Eduardo Rodrigues Prata</t>
  </si>
  <si>
    <t>Elias Alves Da Silva</t>
  </si>
  <si>
    <t>Marcos Santana De Queiroz</t>
  </si>
  <si>
    <t>Arion Kennedy Antunes da Silva</t>
  </si>
  <si>
    <t>Artur Gabriel Arnold Becker</t>
  </si>
  <si>
    <t>Cleiton da Silva Duarte</t>
  </si>
  <si>
    <t>PLANEX ARQUITETURA E URBANISMO</t>
  </si>
  <si>
    <t>sobral vannier engenharia ltda jvp engenharia</t>
  </si>
  <si>
    <t>Yves Hide Saloio</t>
  </si>
  <si>
    <t>Raul Augusto Lopes</t>
  </si>
  <si>
    <t>Marcelo Martins Da Cruz Neto</t>
  </si>
  <si>
    <t>DORNELIS ENGENHARIA</t>
  </si>
  <si>
    <t>DIPELNET</t>
  </si>
  <si>
    <t>Az Profissionais Associados</t>
  </si>
  <si>
    <t>ORDUS ENGENHARIA LTDA</t>
  </si>
  <si>
    <t>TERWAN SOLUCOES EM ELETRICIDADE INDUSTRIA E COMERCIO LTDA</t>
  </si>
  <si>
    <t>LUCAS RODRIGUES ENGENHARIA CIVIL</t>
  </si>
  <si>
    <t>FAPEU - FUNDACAO DE AMPARO A PESQUISA E EXTENSAO UNIVERSITARIA</t>
  </si>
  <si>
    <t>MUNICIPIO DE RONDONOPOLIS</t>
  </si>
  <si>
    <t>CONSTRUTORA BARBOSA MELLO</t>
  </si>
  <si>
    <t>Bruna Florez Da Silveira</t>
  </si>
  <si>
    <t>Lucas Oliveira</t>
  </si>
  <si>
    <t>MUNICIPIO DE SANTA LUZIA/PB</t>
  </si>
  <si>
    <t>Net Container</t>
  </si>
  <si>
    <t>UPF - FUNDACAO UNIVERSIDADE DE PASSO FUNDO</t>
  </si>
  <si>
    <t>50.137.784 ENZO SANTOS DULEBA</t>
  </si>
  <si>
    <t>Fb Projetos de Engenharia</t>
  </si>
  <si>
    <t>MUNICIPIO DE BARRA DO GARCAS</t>
  </si>
  <si>
    <t>MUNICIPIO DE ENTRE RIOS DO OESTE</t>
  </si>
  <si>
    <t>SECRETARIA DE ESTADO DA JUSTICA - SEJUS</t>
  </si>
  <si>
    <t>AQ2 ARQUITETURA</t>
  </si>
  <si>
    <t>MARKINVEST DESENVOLVIMENTO IMOBILIARIO LTDA</t>
  </si>
  <si>
    <t>RK CONSULTORIA TECNICA LTDA</t>
  </si>
  <si>
    <t>SPK SOLUCOES EM ENGENHARIA LTDA</t>
  </si>
  <si>
    <t>PORTO5 INVESTIMENTOS IMOBILIARIOS S.A</t>
  </si>
  <si>
    <t>CGL CONSTRUTORA E INCORPORADORA LTDA</t>
  </si>
  <si>
    <t>CN CONSTRUTORA</t>
  </si>
  <si>
    <t>MUNICIPIO DE GOVERNADOR JORGE TEIXEIRA</t>
  </si>
  <si>
    <t>CONSORCIO INTEGRADO MULTIFINALITARIO DO VALE DO JEQUITINHONHA</t>
  </si>
  <si>
    <t>Rm- Consultoria Engenharia</t>
  </si>
  <si>
    <t>SEVEN SEAS ENGENHARIA LTDA</t>
  </si>
  <si>
    <t>CONSTRUTORA FONTANA</t>
  </si>
  <si>
    <t>Gazin S.a.</t>
  </si>
  <si>
    <t>EDUARDO LOPES DE FARIA</t>
  </si>
  <si>
    <t>HERGEN S A MAQUINAS E EQUIPAMENTOS</t>
  </si>
  <si>
    <t>A&amp;m Engenharia</t>
  </si>
  <si>
    <t>MANZOLI ENGENHARIA E CONSULTORIA LTDA</t>
  </si>
  <si>
    <t>RUAN ROGERIO DE CARVALHO URIVES 43833482893</t>
  </si>
  <si>
    <t>LOPES GUIMARAES ENGENHARIA LTDA</t>
  </si>
  <si>
    <t>CONSTRUTORA ESQUARE ENGENHARIA &amp; PROJETOS LTDA</t>
  </si>
  <si>
    <t>WMP SERVICOS DE ENGENHARIA LTDA</t>
  </si>
  <si>
    <t>SAAE SERVICO AUTONOMO DE AGUA E ESGOTO</t>
  </si>
  <si>
    <t>CALCULAR PROJETOS</t>
  </si>
  <si>
    <t>IB TECNOLOGIA</t>
  </si>
  <si>
    <t>Melcia Engenharia</t>
  </si>
  <si>
    <t>WGB ENGENHARIA DE EMPREENDIMENTOS</t>
  </si>
  <si>
    <t>CONSTRUDESIGN CONSULTORIA EM CONSTRUCAO E INFORMATICA LTDA</t>
  </si>
  <si>
    <t>I7</t>
  </si>
  <si>
    <t>HANTERA ENGENHARIA</t>
  </si>
  <si>
    <t>CONSORCIO STCP-PROSUL</t>
  </si>
  <si>
    <t>WEG LINHARES EQUIPAMENTOS ELETRICOS S/A</t>
  </si>
  <si>
    <t>DIAS GOMES PREVENÇÃO DE INCÊNDIOS</t>
  </si>
  <si>
    <t>YOUCON ARQUITETURA E ENGENHARIA LTDA</t>
  </si>
  <si>
    <t>Secretaria de Estado da Segurança Pública do Paraná (SESP/PR)</t>
  </si>
  <si>
    <t>SECRETARIA DE ESTADO DE PLANEJAMENTO E GESTAO DE MATO GROSSO (SEPLAG/MT)</t>
  </si>
  <si>
    <t>Plano AltoQi Eberick 2025 Infinity Governo - Upgrade</t>
  </si>
  <si>
    <t>Plano Eberick 2025 Infinity Governo</t>
  </si>
  <si>
    <t>Freitas e Botelho Engenharia</t>
  </si>
  <si>
    <t>ZECTO SOLUCOES EM ENGENHARIA</t>
  </si>
  <si>
    <t>Câmara dos Deputados</t>
  </si>
  <si>
    <t>Als Energia</t>
  </si>
  <si>
    <t>AMPLIE ENGENHARIA</t>
  </si>
  <si>
    <t>Statiq Engenharia e Projetos</t>
  </si>
  <si>
    <t>SECRETARIA DE ESTADO DE OBRAS E SERVICOS PUBLICOS - SEOSP/RO</t>
  </si>
  <si>
    <t>VENTO REGINATO ARQUITETURA E ENGENHARIA LTDA</t>
  </si>
  <si>
    <t>FUNCAMP - FUNDACAO DE DESENVOLVIMENTO DA UNICAMP</t>
  </si>
  <si>
    <t>REWAG ENGENHARIA</t>
  </si>
  <si>
    <t>SM - SERVICOS DE ENGENHARIA LTDA</t>
  </si>
  <si>
    <t>F. C. OLIVEIRA &amp; CIA. LTDA</t>
  </si>
  <si>
    <t>Emergo</t>
  </si>
  <si>
    <t>IMPLANTA ALTOQI VISUS COST MANAGEMENT - ADVANCED</t>
  </si>
  <si>
    <t>MUNICIPIO DE PLANALTO ALEGRE</t>
  </si>
  <si>
    <t>ENGERA ENERGIA E MEIO AMBIENTE</t>
  </si>
  <si>
    <t>Nova Solucoes em Energia</t>
  </si>
  <si>
    <t>Emachado Engenharia LTDA</t>
  </si>
  <si>
    <t>INSTITUTO CHICO MENDES - ICMBIO</t>
  </si>
  <si>
    <t>GNM PROJETOS</t>
  </si>
  <si>
    <t>Jackson Adriano Rubas</t>
  </si>
  <si>
    <t>VALORI ENGENHARIA</t>
  </si>
  <si>
    <t>BARBARA MANHOSO ENGENHARIA E CONSULTORIA LTDA</t>
  </si>
  <si>
    <t>Urbanizadora Paranoazinho</t>
  </si>
  <si>
    <t>PACOTE DE HORAS DE CONSULTORIA ESPECIALIZADA - PCT 12H</t>
  </si>
  <si>
    <t>Andressa De Sa Morande</t>
  </si>
  <si>
    <t>Porto Pires Engenharia</t>
  </si>
  <si>
    <t>PLANESUL INCORPORACOES</t>
  </si>
  <si>
    <t>Mg Incorporadora</t>
  </si>
  <si>
    <t>Elielton Franca Dos Santos</t>
  </si>
  <si>
    <t>PREFEITURA DO MUNICIPIO DE JARU</t>
  </si>
  <si>
    <t>Joao Victor Tavares Cunha</t>
  </si>
  <si>
    <t>Municipio de Maravilha/SC</t>
  </si>
  <si>
    <t>MG Vidros Automotivos Ltda</t>
  </si>
  <si>
    <t>MPE ENGENHARIA E SERVICOS S/A</t>
  </si>
  <si>
    <t>WASI SERVICOS DE ARQUITETURA E PROJETOS LTDA</t>
  </si>
  <si>
    <t>MUNICIPIO DE MARTINHO CAMPOS</t>
  </si>
  <si>
    <t>SPACE PROJETOS LTDA - ME</t>
  </si>
  <si>
    <t>GR INOVA CONSTRUTORA LTDA</t>
  </si>
  <si>
    <t>PRODESAN PROGRESSO E DESENVOLVIMENTO DE SANTOS SA</t>
  </si>
  <si>
    <t>Villiger Architecture &amp; Design</t>
  </si>
  <si>
    <t>Morana</t>
  </si>
  <si>
    <t>MOLTER E COSTA ENGENHARIA</t>
  </si>
  <si>
    <t>MUNICIPIO DE LAPAO</t>
  </si>
  <si>
    <t>OMNI ENGENHARIA E PROJETOS LTDA</t>
  </si>
  <si>
    <t>Dwd Empreendimentos</t>
  </si>
  <si>
    <t>CONSTRUTORA K&amp;F METALURGICA E PRE MOLDADOS LTDA</t>
  </si>
  <si>
    <t>64.034.893 ZAINE GUIMEL COSTA ARRAIS</t>
  </si>
  <si>
    <t>Jdm Construcoes</t>
  </si>
  <si>
    <t>Tg Engenharia e Locacoes</t>
  </si>
  <si>
    <t>MELQUIOR FORGIARINI SCHEID 03099971006</t>
  </si>
  <si>
    <t>Construtora Concretiza</t>
  </si>
  <si>
    <t>Djoice Zanetti Engenharia</t>
  </si>
  <si>
    <t>DOMERE ENGENHARIA E URBANISMO</t>
  </si>
  <si>
    <t>WEG EQUIPAMENTOS ELETRICOS S/A</t>
  </si>
  <si>
    <t>Vivat Engenharia</t>
  </si>
  <si>
    <t>WM SERVICOS DE ENGENHARIA LTDA</t>
  </si>
  <si>
    <t>TIBERIO CONSTRUCOES E INCORPORACOES S/A</t>
  </si>
  <si>
    <t>IMPLANTA ALTOQI BUILDER ELÉTRICA E HIDROSSANITÁRIO – ADVANCED</t>
  </si>
  <si>
    <t>MUNICIPIO DE CRUCILANDIA</t>
  </si>
  <si>
    <t>QTI ENG.</t>
  </si>
  <si>
    <t>JM CONSTRUCOES METALICAS ITAPETININGA LTDA</t>
  </si>
  <si>
    <t>DOMI HOUSE</t>
  </si>
  <si>
    <t>GUAJARA ENGENHARIA E ARQUITETURA LTDA</t>
  </si>
  <si>
    <t>REGIANE VIEIRA PINTO 11998488675</t>
  </si>
  <si>
    <t>CIVILFRIO CONSTRUCOES INDUSTRIALIZADAS LTDA</t>
  </si>
  <si>
    <t>58.634.638 MATHEUS AVILA BRUNETTI</t>
  </si>
  <si>
    <t>VIZIMARTINS</t>
  </si>
  <si>
    <t>Bsw Arquitetura e Engenharia</t>
  </si>
  <si>
    <t>DMF ENGENHARIA</t>
  </si>
  <si>
    <t>65.136.740 DIEGO DO NASCIMENTO SANTOS CENEIA</t>
  </si>
  <si>
    <t>Omni Plann Engenharia LTDA</t>
  </si>
  <si>
    <t>Plangeff</t>
  </si>
  <si>
    <t>CASA SMARTNEST AUDIO E VIDEO LTDA</t>
  </si>
  <si>
    <t>SOLAR TECH LTDA</t>
  </si>
  <si>
    <t>ORION ADMINISTRACAO E SERVICOS AERONAUTICOS LTDA</t>
  </si>
  <si>
    <t>PEJOTAESTRUTURAS NEGOCIOS DIGITAIS LTDA</t>
  </si>
  <si>
    <t>FELIPE BERTOLDI DE MELO ASSESSORIA</t>
  </si>
  <si>
    <t>RENGEL ENGENHARIA E ARQUITETURA</t>
  </si>
  <si>
    <t>ONESUN SOLUCOES EM ENERGIA LTDA</t>
  </si>
  <si>
    <t>ENG1 - ENGENHARIA E AUTOMACAO LTDA</t>
  </si>
  <si>
    <t>Amx Locacao e Terraplanagem</t>
  </si>
  <si>
    <t>THL PARTICIPACOES LTDA</t>
  </si>
  <si>
    <t>FELIPE TELOKEN LTDA</t>
  </si>
  <si>
    <t>Milatech Construcoes</t>
  </si>
  <si>
    <t>CARLOS ALBERTO OLIVEIRA AMORIM ENGENHARIA</t>
  </si>
  <si>
    <t>F &amp; T CONSTRUCOES LTDA</t>
  </si>
  <si>
    <t>LOUSA ARQUITETURA E CONSTRUCAO LTDA</t>
  </si>
  <si>
    <t>LIMERPLAN ENGENHARIA E CONSTRUCOES</t>
  </si>
  <si>
    <t>TOSTES E DINIZ CONSTRUCOES E LOCACAO DE EQUIPAMENTOS LTDA</t>
  </si>
  <si>
    <t>Sesi - Departamento Regional de Mato Grosso</t>
  </si>
  <si>
    <t>IRC ENGENHARIA LTDA</t>
  </si>
  <si>
    <t>Elemento Engenharia e Arquitetura</t>
  </si>
  <si>
    <t>Genesis Pre-moldados de Cimento</t>
  </si>
  <si>
    <t>MUNICIPIO DE SAO JOAO DO TRIUNFO</t>
  </si>
  <si>
    <t>MEGAMULTITECNICA ENGENHARIA E CLIMATIZACAO LTDA</t>
  </si>
  <si>
    <t>URBANO JALES SOLUCOES EM ENGENHARIA LTDA</t>
  </si>
  <si>
    <t>Norte Projetos</t>
  </si>
  <si>
    <t>Ponta Grossa Engenharia</t>
  </si>
  <si>
    <t>Z HOUSE ADMINISTRACAO E PARTICIPACOES LTDA</t>
  </si>
  <si>
    <t>Souza Muller Engenharia</t>
  </si>
  <si>
    <t>HTBR ARQUITETURA E ENGENHARIA LTDA</t>
  </si>
  <si>
    <t>FOCCO STEEL FRAME LTDA</t>
  </si>
  <si>
    <t>Esmerina Pereira de Souza</t>
  </si>
  <si>
    <t>Kirk Martins Barroso</t>
  </si>
  <si>
    <t>Mario Roberto Brandao Soares</t>
  </si>
  <si>
    <t>Pamela Risso</t>
  </si>
  <si>
    <t>Thiago Monteiro</t>
  </si>
  <si>
    <t>Gabriel Péricles Borges Aragão</t>
  </si>
  <si>
    <t>Eber Luciano</t>
  </si>
  <si>
    <t>João Carlos Angelico Neto</t>
  </si>
  <si>
    <t>Raiane Macedo</t>
  </si>
  <si>
    <t>Carlos Giovanny Matos Do Vale</t>
  </si>
  <si>
    <t>Cláudio José Nascimento Madureira</t>
  </si>
  <si>
    <t>Paulo Henrique</t>
  </si>
  <si>
    <t>Wagner Mendonça Alves Aguiar Mendonça Alves Aguiar</t>
  </si>
  <si>
    <t>Luciana Brum</t>
  </si>
  <si>
    <t>Thadeu Bastos</t>
  </si>
  <si>
    <t>Clóvis Moraes</t>
  </si>
  <si>
    <t>Gabriel Soares Filardi</t>
  </si>
  <si>
    <t>Emerson Pereira</t>
  </si>
  <si>
    <t>Rafaela Travaim</t>
  </si>
  <si>
    <t>Roni Paulo Gandolfi</t>
  </si>
  <si>
    <t>Otavio Patricio Mateus Junior</t>
  </si>
  <si>
    <t>Josinaldo Santos de Jesus</t>
  </si>
  <si>
    <t>Ivo Hoffmann</t>
  </si>
  <si>
    <t>Eduardo Borges Oliveira</t>
  </si>
  <si>
    <t>Alessandra Carla Klein</t>
  </si>
  <si>
    <t>Ana Paula Chiodeli</t>
  </si>
  <si>
    <t>Aline Cristhine Campelo Silva Souza</t>
  </si>
  <si>
    <t>Alexandre Natalino da Silva</t>
  </si>
  <si>
    <t>Matheus Ilirio Tres</t>
  </si>
  <si>
    <t>Jackson Negreiros</t>
  </si>
  <si>
    <t>Fernando Barbosa</t>
  </si>
  <si>
    <t>André Luís Pereira</t>
  </si>
  <si>
    <t>Amauri Xavier</t>
  </si>
  <si>
    <t>MAIKON SPREAFICO</t>
  </si>
  <si>
    <t>Carlos Henrique Andrade</t>
  </si>
  <si>
    <t>Giovane Kuhn</t>
  </si>
  <si>
    <t>Joao Vitor Lemos De Oliveira</t>
  </si>
  <si>
    <t>Lorena Galvao Barbosa Silva</t>
  </si>
  <si>
    <t>Fernando Morais</t>
  </si>
  <si>
    <t>Diego Correia de Oliveira</t>
  </si>
  <si>
    <t>Rogerio Otavio Dos Santos Barbosa</t>
  </si>
  <si>
    <t>Marcelo Hermogenes</t>
  </si>
  <si>
    <t>Hugo Delleon da Silva Pimenta</t>
  </si>
  <si>
    <t>Alexandre Tomazoni</t>
  </si>
  <si>
    <t>Andre Bellucci</t>
  </si>
  <si>
    <t>Guilherme Goncalves Sanavia</t>
  </si>
  <si>
    <t>Giuliano Zacharias</t>
  </si>
  <si>
    <t>Jose Renato Peixoto De Araujo</t>
  </si>
  <si>
    <t>Luis Fernando Wensing Alba</t>
  </si>
  <si>
    <t>Bruno Hermann Druschel Neto</t>
  </si>
  <si>
    <t>Adriano Portugal</t>
  </si>
  <si>
    <t>Artur Santos</t>
  </si>
  <si>
    <t>Eduardo Marques</t>
  </si>
  <si>
    <t>Mayara Venturi Schroeder</t>
  </si>
  <si>
    <t>Rafael Dias</t>
  </si>
  <si>
    <t>Gabriel Sagrilo</t>
  </si>
  <si>
    <t>Richard Rodrigues Esperidiao De Sa</t>
  </si>
  <si>
    <t>Luiz Fernando Tavares Ramos</t>
  </si>
  <si>
    <t>Lucas Vaez Dias</t>
  </si>
  <si>
    <t>Igor Loureno Soares Valle</t>
  </si>
  <si>
    <t>Andre Matheus de Almeida Freitas</t>
  </si>
  <si>
    <t>Paulo Palmeira Machado</t>
  </si>
  <si>
    <t>Benzon Gabriel Do Prado Leite Do Prado Leite</t>
  </si>
  <si>
    <t>Yuri Covatti Azevedo</t>
  </si>
  <si>
    <t>Luana Mendes</t>
  </si>
  <si>
    <t>Gil Felix Madalena</t>
  </si>
  <si>
    <t>Veridiane Trevisan Dal Bem</t>
  </si>
  <si>
    <t>Gabriel Eggert Da Maia</t>
  </si>
  <si>
    <t>Lucas Nunes</t>
  </si>
  <si>
    <t>Paulo Henrique Gasparetto</t>
  </si>
  <si>
    <t>Maico Gavinho Montoril</t>
  </si>
  <si>
    <t>Danilo Cordeiro De Carvalho</t>
  </si>
  <si>
    <t>Jenifer Turani</t>
  </si>
  <si>
    <t>Indeterminado</t>
  </si>
  <si>
    <t>Plano AltoQi Essential - Mensal</t>
  </si>
  <si>
    <t>Dary Ferreira</t>
  </si>
  <si>
    <t>Andre Rocha</t>
  </si>
  <si>
    <t>Alan Zanela</t>
  </si>
  <si>
    <t>Fernando Stroisch</t>
  </si>
  <si>
    <t>Fabiana Da Rosa Sufiatti</t>
  </si>
  <si>
    <t>Eder Floriano de Oliveira</t>
  </si>
  <si>
    <t>Marcos Aquino</t>
  </si>
  <si>
    <t>Peterson Vinicius Dos Santos Espindola</t>
  </si>
  <si>
    <t>Gabriel de Aquino</t>
  </si>
  <si>
    <t>Bruno Christoff Silveira</t>
  </si>
  <si>
    <t>Bethania Carla Fernandes</t>
  </si>
  <si>
    <t>Morgana Busanello Zanelato</t>
  </si>
  <si>
    <t>Andreia Cristina Serraglio</t>
  </si>
  <si>
    <t>Igor Soares Alves</t>
  </si>
  <si>
    <t>Margarete Dos Santos Pereira</t>
  </si>
  <si>
    <t>Debora Carolayne De Oliveira</t>
  </si>
  <si>
    <t>Diego Pinheiro Figueiredo</t>
  </si>
  <si>
    <t>Anderson da Silva Hilario</t>
  </si>
  <si>
    <t>ATAIDES  De Paula Macedo Neto</t>
  </si>
  <si>
    <t>Paola Marques de Souza</t>
  </si>
  <si>
    <t>Alex Aragao</t>
  </si>
  <si>
    <t>Albert Loura</t>
  </si>
  <si>
    <t>Leandro Augusto Araujo</t>
  </si>
  <si>
    <t>Adriano Pinel Merloti</t>
  </si>
  <si>
    <t>Gabriel Vergara</t>
  </si>
  <si>
    <t>Mateus Furquim Vieira Anibal</t>
  </si>
  <si>
    <t>Bruno Porto Silva</t>
  </si>
  <si>
    <t>Wanessa Santos Jaime</t>
  </si>
  <si>
    <t>Fabrício Santos</t>
  </si>
  <si>
    <t>Renato Silva Ribeiro</t>
  </si>
  <si>
    <t>Lea Zeizer</t>
  </si>
  <si>
    <t>José Antonio de Oliveira Filho</t>
  </si>
  <si>
    <t>Felix Felipe Rodrigues Sousa</t>
  </si>
  <si>
    <t>Danielle Cristina De Oliveira</t>
  </si>
  <si>
    <t>Guilherme De Bom Burigo</t>
  </si>
  <si>
    <t>Sabrina Signori</t>
  </si>
  <si>
    <t>Rodrigo Ribeiro Cavaleiro De Macedo</t>
  </si>
  <si>
    <t>Leopoldo Curti Neto</t>
  </si>
  <si>
    <t>José Vitor Borges de Assis</t>
  </si>
  <si>
    <t>Ryan Henrique</t>
  </si>
  <si>
    <t>Luis Henrique Dos Santos Bocardi</t>
  </si>
  <si>
    <t>Marcus Vinicius Dias Nunes</t>
  </si>
  <si>
    <t>Pedro Henrique de Souza Kondlatsch</t>
  </si>
  <si>
    <t>Luis Gustavo Sales</t>
  </si>
  <si>
    <t>Silvia Bernardo Silva Feitosa De Sousa</t>
  </si>
  <si>
    <t>Marcio Lemos Coelho</t>
  </si>
  <si>
    <t>Joao Bosco Vieira da Silva</t>
  </si>
  <si>
    <t>Matheus Mourad</t>
  </si>
  <si>
    <t>Hermes Anélio</t>
  </si>
  <si>
    <t>Paulo Goyos</t>
  </si>
  <si>
    <t>Gihad Mohamad</t>
  </si>
  <si>
    <t>Rafael Gabriel</t>
  </si>
  <si>
    <t>João Vitor Leite Francisco</t>
  </si>
  <si>
    <t>Orisvaldo Martins Iareski</t>
  </si>
  <si>
    <t>Andre Souza</t>
  </si>
  <si>
    <t>Carlos Vinicius Martines Vanti</t>
  </si>
  <si>
    <t>DIONI SHINOHARA Shinohara</t>
  </si>
  <si>
    <t>Felipe Saboya</t>
  </si>
  <si>
    <t>Diego Galvao Martins</t>
  </si>
  <si>
    <t>Maik Alexandre</t>
  </si>
  <si>
    <t>Letcia Rodrigues Machado Lima</t>
  </si>
  <si>
    <t>Isabella Magalhães Valadares</t>
  </si>
  <si>
    <t>Mauricio Georgino Correa Rios</t>
  </si>
  <si>
    <t>Marcus Vinicius Brostoline</t>
  </si>
  <si>
    <t>Osvaldo Tadeu de Camargo Junior</t>
  </si>
  <si>
    <t>Luiz Henrique Palassi Costa</t>
  </si>
  <si>
    <t>Leonardo Buttchevitz Dias</t>
  </si>
  <si>
    <t>Bruno Alessandro Giardulli</t>
  </si>
  <si>
    <t>Douglas Franca Gama</t>
  </si>
  <si>
    <t>Carlos Henrique de Souza Gonçalves de Souza Gonçalves</t>
  </si>
  <si>
    <t>Alan da Silveira Piovani</t>
  </si>
  <si>
    <t>Matheus Souza</t>
  </si>
  <si>
    <t>Wagner Duarte</t>
  </si>
  <si>
    <t>Guilherme Medeiros</t>
  </si>
  <si>
    <t>Liziane Dall Agnolo Guidi</t>
  </si>
  <si>
    <t>Adriane Carvalho Santos</t>
  </si>
  <si>
    <t>Adolfo Ferreira</t>
  </si>
  <si>
    <t>Jucelino Novais</t>
  </si>
  <si>
    <t>Paula Carvalho</t>
  </si>
  <si>
    <t>Milena Bandeira de Melo</t>
  </si>
  <si>
    <t>Rafael Holanda de França</t>
  </si>
  <si>
    <t>João Pedro Soares da Fonseca</t>
  </si>
  <si>
    <t>Laura Sousa</t>
  </si>
  <si>
    <t>Caio Antonio</t>
  </si>
  <si>
    <t>Raphael Batista De Oliveira</t>
  </si>
  <si>
    <t>Eloisio Cacio Barbosa Filho</t>
  </si>
  <si>
    <t>Jéssica Aline Hubler</t>
  </si>
  <si>
    <t>André Luis de Ávila</t>
  </si>
  <si>
    <t>Hilderardi Mendonca De Melo</t>
  </si>
  <si>
    <t>Erick Roberto De Moraes</t>
  </si>
  <si>
    <t>Bruna Leticia De Souza</t>
  </si>
  <si>
    <t>Thiago Teles</t>
  </si>
  <si>
    <t>Diego Araujo</t>
  </si>
  <si>
    <t>Roger Alan Guinami</t>
  </si>
  <si>
    <t>Igor Fornasa</t>
  </si>
  <si>
    <t>Ronald Lopes Silva</t>
  </si>
  <si>
    <t>Gabriel Anchieta Mendes Melo</t>
  </si>
  <si>
    <t>Lucas Pires Cruvinel</t>
  </si>
  <si>
    <t>Luísa Wasem Gonçalves</t>
  </si>
  <si>
    <t>Rafael Artacho</t>
  </si>
  <si>
    <t>Darci Veloso da Silva Júnior Veloso Da Silva Junior</t>
  </si>
  <si>
    <t>Mauricio Henrique Silva</t>
  </si>
  <si>
    <t>Rogger Tortelli</t>
  </si>
  <si>
    <t>Analine Oliveira Santos</t>
  </si>
  <si>
    <t>Elciony Pereira Da Silva Filho</t>
  </si>
  <si>
    <t>Vicente Neto</t>
  </si>
  <si>
    <t>Edes Oliveira</t>
  </si>
  <si>
    <t>Mateus Cavalcante Belarmino</t>
  </si>
  <si>
    <t>Luciana Tozzo Bertuol</t>
  </si>
  <si>
    <t>Danilo da Cunha Machado</t>
  </si>
  <si>
    <t>Paulo Pontello</t>
  </si>
  <si>
    <t>Alexandre Gemin</t>
  </si>
  <si>
    <t>Osvaldo Coimbra Diniz</t>
  </si>
  <si>
    <t>DIOGO RODRIGUES</t>
  </si>
  <si>
    <t>Thadeu Paiva</t>
  </si>
  <si>
    <t>Izabelle Wendler</t>
  </si>
  <si>
    <t>Evaldo De Jesus</t>
  </si>
  <si>
    <t>Pedro Henrique Santos</t>
  </si>
  <si>
    <t>Guilherme Silva</t>
  </si>
  <si>
    <t>Eduardo Fernandes Riquinho</t>
  </si>
  <si>
    <t>Beatriz Teixeira</t>
  </si>
  <si>
    <t>Tércia Nogueira Queiróz</t>
  </si>
  <si>
    <t>moana Almeida</t>
  </si>
  <si>
    <t>Hugo Peres</t>
  </si>
  <si>
    <t>Ronan Mendes Da Silva</t>
  </si>
  <si>
    <t>Morgana Basso</t>
  </si>
  <si>
    <t>Gustavo Henrique Nobrega Borges</t>
  </si>
  <si>
    <t>Joao Otavio Ferreira Silva Claro</t>
  </si>
  <si>
    <t>Jeferson Gabriel Botelho de Novaes</t>
  </si>
  <si>
    <t>Andre Caetano Junio Guimaraes</t>
  </si>
  <si>
    <t>Guilherme Antonio Testoni</t>
  </si>
  <si>
    <t>Sinicleito Viera Canela</t>
  </si>
  <si>
    <t>Pedro Luduvice Neto</t>
  </si>
  <si>
    <t>Samuel Dantas</t>
  </si>
  <si>
    <t>Pablo Roberto dos Santos</t>
  </si>
  <si>
    <t>Bruno Bertaglia</t>
  </si>
  <si>
    <t>Camila Pereira Dos Santos De Oliveira</t>
  </si>
  <si>
    <t>Neylon Almeida Carvalho</t>
  </si>
  <si>
    <t>Geraldo Borges Mendes Filho</t>
  </si>
  <si>
    <t>IGOR PARRO</t>
  </si>
  <si>
    <t>Otoniel Gomes Costa</t>
  </si>
  <si>
    <t>Alexandre Lopes Da Luz</t>
  </si>
  <si>
    <t>Fernando Luiz Da Mota E Silva</t>
  </si>
  <si>
    <t>Ivan Vilalba</t>
  </si>
  <si>
    <t>Wesley Mervile</t>
  </si>
  <si>
    <t>Michel Silvestre de Souza</t>
  </si>
  <si>
    <t>Dafne Cristina Landmann Thessing</t>
  </si>
  <si>
    <t>Michael De Carvalho Fonseca</t>
  </si>
  <si>
    <t>Adelmo Jose Do Nascimento</t>
  </si>
  <si>
    <t>Douglas Andreto Silva Cruz</t>
  </si>
  <si>
    <t>Diego de Castro Leuterio</t>
  </si>
  <si>
    <t>Leonardo Consorte</t>
  </si>
  <si>
    <t>Alison Fagner Barbosa de Oliveira</t>
  </si>
  <si>
    <t>Ana Celia Pedroso De Oliveira</t>
  </si>
  <si>
    <t>Thayse Kochem Fagundes</t>
  </si>
  <si>
    <t>Guilherme Cabral De Souza</t>
  </si>
  <si>
    <t>Samuel de Oliveira</t>
  </si>
  <si>
    <t>Hellykan Monteiro</t>
  </si>
  <si>
    <t>Adrian Henrique</t>
  </si>
  <si>
    <t>Nicollas de Souza</t>
  </si>
  <si>
    <t>Fabricia Silva De Oliveira</t>
  </si>
  <si>
    <t>Gustavo Bardi</t>
  </si>
  <si>
    <t>Henrique Freitas</t>
  </si>
  <si>
    <t>Jonas Ghisleri</t>
  </si>
  <si>
    <t>Thiago Cesar Bravo</t>
  </si>
  <si>
    <t>Daniela Maia Gomes Maia Gomes</t>
  </si>
  <si>
    <t>Larissa Fernandes de Oliveira</t>
  </si>
  <si>
    <t>Joao Renato Angelini De Andrade</t>
  </si>
  <si>
    <t>Wellington Jhony Pereira Souza</t>
  </si>
  <si>
    <t>Bruno Roberto Carvalho Rocha Rocha</t>
  </si>
  <si>
    <t>Maíra Alves</t>
  </si>
  <si>
    <t>Aline Barbosa Silva</t>
  </si>
  <si>
    <t>Vitória Siqueira</t>
  </si>
  <si>
    <t>Jose Leonardo Simao Castro</t>
  </si>
  <si>
    <t>Fabricio Bispo</t>
  </si>
  <si>
    <t>Severino Jose Da Silva Filho</t>
  </si>
  <si>
    <t>Rafael Pereira de Oliveira</t>
  </si>
  <si>
    <t>Jhessica Hana Leite De Souza</t>
  </si>
  <si>
    <t>Luiz Claudio Dos Santos Pinheiro</t>
  </si>
  <si>
    <t>Willy Fernando Chara Delgadillo</t>
  </si>
  <si>
    <t>Cristian Otoni</t>
  </si>
  <si>
    <t>Guilherme Dias</t>
  </si>
  <si>
    <t>Leandro Cicero Almeida de Brito</t>
  </si>
  <si>
    <t>Ednaldo Rafael Pimentel Feitosa</t>
  </si>
  <si>
    <t>Paulo Robert Paes Morais</t>
  </si>
  <si>
    <t>William Silva</t>
  </si>
  <si>
    <t>Leandro Regalin</t>
  </si>
  <si>
    <t>Rafael  Aesio de Oliveira Zaltron</t>
  </si>
  <si>
    <t>Gustavo Brito De Souza Mendes</t>
  </si>
  <si>
    <t>Allan Damasceno</t>
  </si>
  <si>
    <t>Adeilson Amorim</t>
  </si>
  <si>
    <t>Lucas Henrique de Oliveira</t>
  </si>
  <si>
    <t>Flávia Votto</t>
  </si>
  <si>
    <t>Ederson Freire</t>
  </si>
  <si>
    <t>Emerson Silva Ferreira</t>
  </si>
  <si>
    <t>Rafael de Souza</t>
  </si>
  <si>
    <t>Hugo Leonardo Menezes de Sales</t>
  </si>
  <si>
    <t>Claudio Ramos</t>
  </si>
  <si>
    <t>Ataliba David Antonio Filho</t>
  </si>
  <si>
    <t>Casen Engenharia</t>
  </si>
  <si>
    <t>MUNICIPIO DE NOVO ORIENTE - CE</t>
  </si>
  <si>
    <t>BROZZY ENGINEERING</t>
  </si>
  <si>
    <t>ENGAVA - ENGENHARIA E AVALIACOES LTDA</t>
  </si>
  <si>
    <t>ALVES SERVICOS DE ENGENHARIA LTDA</t>
  </si>
  <si>
    <t>Macaw Engenharia Macaw</t>
  </si>
  <si>
    <t>LR SERVICOS E ENGENHARIA</t>
  </si>
  <si>
    <t>RP ENGENHARIA</t>
  </si>
  <si>
    <t>DUFFAL ENGENHARIA ARQUITETURA E CONSULTORIA LTDA</t>
  </si>
  <si>
    <t>MUNICIPIO DE ENGENHEIRO COELHO</t>
  </si>
  <si>
    <t>SIBREN ENGENHARIA LTDA</t>
  </si>
  <si>
    <t>Rc</t>
  </si>
  <si>
    <t>GUIMA Engenharia LTDA</t>
  </si>
  <si>
    <t>MARINHO EMPREENDIMENTOS IMOBILIARIOS E EDUCACIONAIS LTDA</t>
  </si>
  <si>
    <t>V.A PONTES ENGENHARIA</t>
  </si>
  <si>
    <t>MUNICIPIO DE BODOCO</t>
  </si>
  <si>
    <t>STEIN ENGENHARIA ESTRUTURAL E CONSTRUCAO</t>
  </si>
  <si>
    <t>SENAI PR - Ponta Grossa</t>
  </si>
  <si>
    <t>Plano Visus Obras Públicas Infinity Plus Governo</t>
  </si>
  <si>
    <t>EPEC ENGENHARIA</t>
  </si>
  <si>
    <t>LINEAR ENGENHARIA CIVIL</t>
  </si>
  <si>
    <t>Tecno Power - Solucoes Eletricas</t>
  </si>
  <si>
    <t>MF ENGENHARIA</t>
  </si>
  <si>
    <t>CENCI e FACCIO ENGENHARIA LTDA</t>
  </si>
  <si>
    <t>FUNDO ESTADUAL DE SEGURANÇA PUBLICA DO ESTADO DE RORAIMA (SESP RR)</t>
  </si>
  <si>
    <t>Piracanjuba Pref Gabinete do Prefeito</t>
  </si>
  <si>
    <t>MUNICIPIO DE NAO-ME-TOQUE</t>
  </si>
  <si>
    <t>Plano Builder 2026 Premium Governo</t>
  </si>
  <si>
    <t>Confianza Engenharia</t>
  </si>
  <si>
    <t>M.S. PARSEVITT CONSTRUTORA</t>
  </si>
  <si>
    <t>Cube Engenharia &amp; Consultoria</t>
  </si>
  <si>
    <t>Azevedo Solucoes em Engenharia</t>
  </si>
  <si>
    <t>ACOVALE MATERIAIS PARA CONSTRUCAO LTDA</t>
  </si>
  <si>
    <t>MODULARYS ENGENHARIA</t>
  </si>
  <si>
    <t>Anwal Engenharia</t>
  </si>
  <si>
    <t>PROJEKTA PROJETOS DE ENGENHARIA</t>
  </si>
  <si>
    <t>MUNICIPIO DE GUAJARA-MIRIM</t>
  </si>
  <si>
    <t>Uniao Centro Oeste Brasileira da IASD ALM</t>
  </si>
  <si>
    <t>Comercial B2E - Parcerias Estratégicas</t>
  </si>
  <si>
    <t>IPSUM ENGENHARIA</t>
  </si>
  <si>
    <t>NEORS</t>
  </si>
  <si>
    <t>Prevensul Comercial Eletrica</t>
  </si>
  <si>
    <t>Alchimim Engenharia</t>
  </si>
  <si>
    <t>INGEGNERIA STRUTTURALE BELLI</t>
  </si>
  <si>
    <t>DANIEL ARRUDA DE OLIVEIRA ENGENHARIA</t>
  </si>
  <si>
    <t>ASSOC DOS MUNICIPIOS DO ALTO VALE DO RIO DO PEIXE</t>
  </si>
  <si>
    <t>MUNICIPIO DE PORTO RICO</t>
  </si>
  <si>
    <t>MUNICIPIO DE CAMPO BELO</t>
  </si>
  <si>
    <t>JCL ARQUITETURA ENGENHARIA LTDA</t>
  </si>
  <si>
    <t>EngFort</t>
  </si>
  <si>
    <t>METTODO PROJETOS E ENGENHARIA</t>
  </si>
  <si>
    <t>Município de Santana de Parnaiba /SP</t>
  </si>
  <si>
    <t>FUNDACAO PARQUE TECNOLOGICO ITAIPU - BRASIL</t>
  </si>
  <si>
    <t>Banrisul</t>
  </si>
  <si>
    <t>CONSEGNA ENGENHARIA LTDA</t>
  </si>
  <si>
    <t>VISUALIZE ENGENHARIA E PROJETOS</t>
  </si>
  <si>
    <t>MODULO ENGENHARIA</t>
  </si>
  <si>
    <t>Projetos Jks</t>
  </si>
  <si>
    <t>MUNICIPIO DE PLATINA SP</t>
  </si>
  <si>
    <t>ABIDA SARMENTO GOMES</t>
  </si>
  <si>
    <t>Projetium Engenharia</t>
  </si>
  <si>
    <t>Daniela Milanez Zarbato</t>
  </si>
  <si>
    <t>FTX ENGENHARIA LTDA</t>
  </si>
  <si>
    <t>M. V. A. - ARQUITETURA E URBANISMO LTDA</t>
  </si>
  <si>
    <t>Porte Empresa Junior</t>
  </si>
  <si>
    <t>FESURV - UNIVERSIDADE DE RIO VERDE - UNIRV</t>
  </si>
  <si>
    <t>SOLARGRID ENERGIA SOLAR COMERCIO E SERVICOS LTDA</t>
  </si>
  <si>
    <t>MUNICIPIO DE XANGRI-LA - RS</t>
  </si>
  <si>
    <t>Cm Engenharia</t>
  </si>
  <si>
    <t>IMPLANTA ALTOQI VISUS COLLAB - ADVANCED</t>
  </si>
  <si>
    <t>YELLOW ENGENHARIA E CONSULTORIA LTDA</t>
  </si>
  <si>
    <t>Terral Incorporadora</t>
  </si>
  <si>
    <t>TICIANI EMPREENDIMENTOS IMOBILIARIOS</t>
  </si>
  <si>
    <t>ENGENHARIA RF</t>
  </si>
  <si>
    <t>NEO CONCEPT ENGENHARIA E ARQUITETURA</t>
  </si>
  <si>
    <t>ENGENHARIA GOULART &amp; MACIEL LTDA</t>
  </si>
  <si>
    <t>BOMBAS DANCOR</t>
  </si>
  <si>
    <t>MULTIWELD PRODUTOS ELETRO-METALURGICOS LTDA</t>
  </si>
  <si>
    <t>VOLGA</t>
  </si>
  <si>
    <t>Secretaria de Estado de Fazenda (SEFAZ) - MT</t>
  </si>
  <si>
    <t>SSA 5 anos para AltoQi Eberick Infinity Governo</t>
  </si>
  <si>
    <t>Plano Eberick 2026 Infinity Governo</t>
  </si>
  <si>
    <t>Plano Builder 2026 Infinity Governo</t>
  </si>
  <si>
    <t>WDP PROJETOS INTELIGENTES LTDA</t>
  </si>
  <si>
    <t>TPF ENGENHARIA</t>
  </si>
  <si>
    <t>BLK SERVICOS DE ENGENHARIA E CONSTRUCOES LTDA</t>
  </si>
  <si>
    <t>Assinatura Mensal</t>
  </si>
  <si>
    <t>MUNICIPIO DE NOVA GUARITA</t>
  </si>
  <si>
    <t>MUNICIPIO DE TABULEIRO DO NORTE</t>
  </si>
  <si>
    <t>Alana Fonseca</t>
  </si>
  <si>
    <t>Gabriel Elias Franciosi Limberger</t>
  </si>
  <si>
    <t>Castro Engenharia e Assessoria e Consultoria</t>
  </si>
  <si>
    <t>H ARQUITETURA</t>
  </si>
  <si>
    <t>ALEIXO E GIMENES ENGENHARIA</t>
  </si>
  <si>
    <t>SOULBIM ENGENHARIA E SOLUCOES BIM LTDA</t>
  </si>
  <si>
    <t>Marcos Sassi</t>
  </si>
  <si>
    <t>UNIAO LESTE BRASILEIRA DA IGREJA ADVENTISTA DO SETIMO DIA</t>
  </si>
  <si>
    <t>GM ENGENHARIA LTDA</t>
  </si>
  <si>
    <t>Lemke Engenharia</t>
  </si>
  <si>
    <t>MDE ENGENHARIA</t>
  </si>
  <si>
    <t>Henrique Yukio Nakamura</t>
  </si>
  <si>
    <t>Marielle Pignata</t>
  </si>
  <si>
    <t>Alberto Alves Pereira Neto</t>
  </si>
  <si>
    <t>Thalita Gomides Da Silva</t>
  </si>
  <si>
    <t>Gilberto Prado Barbosa</t>
  </si>
  <si>
    <t>HASCHE ENGENHARIA E ASSESSORIA LTDA</t>
  </si>
  <si>
    <t>BASE TECNICA</t>
  </si>
  <si>
    <t>TARANIS SOLAR - ENERGIA RENOVAVEL</t>
  </si>
  <si>
    <t>RBS DESENVOLVIMENTO IMOBILIARIO LTDA</t>
  </si>
  <si>
    <t>I L DE CASTRO</t>
  </si>
  <si>
    <t>Fábio Nascimento</t>
  </si>
  <si>
    <t>Marcus Vinicius de Andrade Xavier</t>
  </si>
  <si>
    <t>Diego Da Silveira Pinto</t>
  </si>
  <si>
    <t>Alex Toniollo</t>
  </si>
  <si>
    <t>Georges Hala</t>
  </si>
  <si>
    <t>Douglas Borba Crispim</t>
  </si>
  <si>
    <t>Leonardo Henrique Dias Neves</t>
  </si>
  <si>
    <t>Bruno Andrade Teles De Jesus</t>
  </si>
  <si>
    <t>Geslin Roeder</t>
  </si>
  <si>
    <t>Mateus Xavier Soares Da Silva</t>
  </si>
  <si>
    <t>Lídice Maria Rodrigues Siebra</t>
  </si>
  <si>
    <t>Mateus Pitol</t>
  </si>
  <si>
    <t>Plano AltoQi Essential - Anual</t>
  </si>
  <si>
    <t>ROMULO MENCK ROMANICHEN Menck Romanichen</t>
  </si>
  <si>
    <t>Bruno Aquino Coelho Dos Santos</t>
  </si>
  <si>
    <t>Alex Viana</t>
  </si>
  <si>
    <t>PROJETECNICA ENGENHARIA DE PROJETOS LTDA</t>
  </si>
  <si>
    <t>Alex Galdino Da Silva</t>
  </si>
  <si>
    <t>Andre Barbosa Da Silva</t>
  </si>
  <si>
    <t>Claudio Ferreira</t>
  </si>
  <si>
    <t>Alex Rodrigues Burak</t>
  </si>
  <si>
    <t>Bruno Otavio de Souza</t>
  </si>
  <si>
    <t>Edson Diego Cardoso De Oliveira</t>
  </si>
  <si>
    <t>Dyonatan Macalossi</t>
  </si>
  <si>
    <t>Bheatryz Nandi</t>
  </si>
  <si>
    <t>Claudio Henrique dos Santos Soares</t>
  </si>
  <si>
    <t>Areane Dantas</t>
  </si>
  <si>
    <t>Claudinei Jose Rojer</t>
  </si>
  <si>
    <t>João Lucas Lima Aquino Ganem</t>
  </si>
  <si>
    <t>Cleber Dos Santos Ferreira</t>
  </si>
  <si>
    <t>Nelson Calixto Souza Neto</t>
  </si>
  <si>
    <t>ANDREY MORE More</t>
  </si>
  <si>
    <t>Allan Fervença Santos</t>
  </si>
  <si>
    <t>Christopher Barbosa Firmino Da Silva</t>
  </si>
  <si>
    <t>Flavia Slusarski Sampaio</t>
  </si>
  <si>
    <t>Robson Viana</t>
  </si>
  <si>
    <t>Romualdo Estremera De Carvalho Aparecida Medeiros Antunes</t>
  </si>
  <si>
    <t>Luis Guenther</t>
  </si>
  <si>
    <t>Luiz José Gomes Guimarães</t>
  </si>
  <si>
    <t>Tarcysio Helvys Dias Ferreira</t>
  </si>
  <si>
    <t>Jones Felipe Dall Osbel</t>
  </si>
  <si>
    <t>Jeferson Rosa</t>
  </si>
  <si>
    <t>Igor Machado Kist</t>
  </si>
  <si>
    <t>Itamo Miguel Batista De Araujo</t>
  </si>
  <si>
    <t>Felipe Goulart</t>
  </si>
  <si>
    <t>Hudson Nogueira Rocha</t>
  </si>
  <si>
    <t>CLÉBER LACERDA</t>
  </si>
  <si>
    <t>BARBO ENGENHARIA LTDA EPP Barbosa</t>
  </si>
  <si>
    <t>Elton Tadeu Ribeiro Ribeiro</t>
  </si>
  <si>
    <t>Ariel Piovesana</t>
  </si>
  <si>
    <t>João Geraldo Da Silva Junior</t>
  </si>
  <si>
    <t>Maicon Benker</t>
  </si>
  <si>
    <t>Bruno Jose Barbarotto Gusson</t>
  </si>
  <si>
    <t>Gustavo Rangel</t>
  </si>
  <si>
    <t>Luiz Fernando Coelho</t>
  </si>
  <si>
    <t>Jakeliny Alves Valente</t>
  </si>
  <si>
    <t>Caio Luminatti Andrade</t>
  </si>
  <si>
    <t>Priscila Tanioka</t>
  </si>
  <si>
    <t>Bruno Fontes Parra</t>
  </si>
  <si>
    <t>Gabriel Gaspareto</t>
  </si>
  <si>
    <t>Klaus Trockenbrock</t>
  </si>
  <si>
    <t>Hugo Damiao Cosmo Gomes</t>
  </si>
  <si>
    <t>Juliana Ávila Contreira</t>
  </si>
  <si>
    <t>Emerson da Costa Gomes</t>
  </si>
  <si>
    <t>Igor Trevisan Trevisan</t>
  </si>
  <si>
    <t>Nathalia Camillo Ramos De Santi</t>
  </si>
  <si>
    <t>Marcelo Ramos</t>
  </si>
  <si>
    <t>Luiz Henrique Machuno</t>
  </si>
  <si>
    <t>Leandro Taveira Lima</t>
  </si>
  <si>
    <t>Leonardo Tavares</t>
  </si>
  <si>
    <t>Marina Faccioli</t>
  </si>
  <si>
    <t>Julio Araujo</t>
  </si>
  <si>
    <t>Richard Yuzo Ramidan Kohara</t>
  </si>
  <si>
    <t>ECTUS SOLUCOES LTDA</t>
  </si>
  <si>
    <t>INTELLIENG ENGENHARIA PROJETOS E CONTRUCOES</t>
  </si>
  <si>
    <t>IMPLANTA ALTOQI VISUS WF + CB + CM &amp; PN – STANDARD</t>
  </si>
  <si>
    <t>Jessica Rufino De Assis</t>
  </si>
  <si>
    <t>Vaniere Nazario Barnabé</t>
  </si>
  <si>
    <t>Rafaela Ginez Gama</t>
  </si>
  <si>
    <t>Telio Bonato Junior</t>
  </si>
  <si>
    <t>Thiago Braga</t>
  </si>
  <si>
    <t>FORMATO PROJETOS E DESENHOS TECNICOS</t>
  </si>
  <si>
    <t>Daniel Goncalves Ferreira</t>
  </si>
  <si>
    <t>Gabriela Oliveira Sousa</t>
  </si>
  <si>
    <t>Geackomo Lima</t>
  </si>
  <si>
    <t>Joao Pereira Lemos Junior</t>
  </si>
  <si>
    <t>Marcos Henrique Liatti</t>
  </si>
  <si>
    <t>Ruryk Alves</t>
  </si>
  <si>
    <t>Alexsandro Moser de Oliveira</t>
  </si>
  <si>
    <t>Felipe Paro Lepera</t>
  </si>
  <si>
    <t>Guilherme Vitor Sales Cadilhe Cadilhe</t>
  </si>
  <si>
    <t>Sérgio Meloni</t>
  </si>
  <si>
    <t>Kellyany Nunes de Santana Barbosa</t>
  </si>
  <si>
    <t>Hiavo Moreira</t>
  </si>
  <si>
    <t>Rone Gomes Silva</t>
  </si>
  <si>
    <t>Natalya De Morais Barbosa</t>
  </si>
  <si>
    <t>Rogerio Alberto Philippsen</t>
  </si>
  <si>
    <t>Guilherme Araujo Gomes</t>
  </si>
  <si>
    <t>Edivandro Maciel Santana</t>
  </si>
  <si>
    <t>Marcos Bonatti</t>
  </si>
  <si>
    <t>Erick Lewandowski Santana</t>
  </si>
  <si>
    <t>Mariana Lopes</t>
  </si>
  <si>
    <t>Mauricio Pereira Da Silva</t>
  </si>
  <si>
    <t>Demersio Costa Medeiros</t>
  </si>
  <si>
    <t>Vitor Agnaldo Benedito</t>
  </si>
  <si>
    <t>Jose Francisco Neto</t>
  </si>
  <si>
    <t>Joao Davi Correa Da Costa</t>
  </si>
  <si>
    <t>Clayton Adriani Cirino Grossi</t>
  </si>
  <si>
    <t>Renato Borsatti</t>
  </si>
  <si>
    <t>PAIVA NETO PAIVA</t>
  </si>
  <si>
    <t>Joao Rafael Barbosa Rodrigues Rodrigues</t>
  </si>
  <si>
    <t>Juarez Rodrigues</t>
  </si>
  <si>
    <t>Tarik De Mattos Sakr</t>
  </si>
  <si>
    <t>Diego Rovetta</t>
  </si>
  <si>
    <t>Renata Camila Silveira Dos Santos</t>
  </si>
  <si>
    <t>Nestor Back</t>
  </si>
  <si>
    <t>Valter Marçal da Silva</t>
  </si>
  <si>
    <t>Leonel Parissenti do Nascimento</t>
  </si>
  <si>
    <t>Joao De Souza</t>
  </si>
  <si>
    <t>Gisele Priscila De Oliveira</t>
  </si>
  <si>
    <t>Lucas Souza</t>
  </si>
  <si>
    <t>Fabio Amaro</t>
  </si>
  <si>
    <t>Nicolas Araujo Pinto</t>
  </si>
  <si>
    <t>Gustavo Machado Chiacchio</t>
  </si>
  <si>
    <t>Marcelino Jose dos Santos</t>
  </si>
  <si>
    <t>Lucas Dias</t>
  </si>
  <si>
    <t>Cristian Fernandes Coelho</t>
  </si>
  <si>
    <t>Marcio Alievi</t>
  </si>
  <si>
    <t>Caio Martins Moreira da Silva</t>
  </si>
  <si>
    <t>Marcos Antonio de Jesus Cravalho</t>
  </si>
  <si>
    <t>Gladston Ramaldes Moreira</t>
  </si>
  <si>
    <t>Marcelo Estevão dos Santos</t>
  </si>
  <si>
    <t>Fernando Felix Teles De Oliveira</t>
  </si>
  <si>
    <t>Marta Salvalagio Vidal</t>
  </si>
  <si>
    <t>Gabriel Guedes De Melo</t>
  </si>
  <si>
    <t>maicon.fentzke@altoqi.com.br</t>
  </si>
  <si>
    <t>Patricia Luiza Moscon Freisleben</t>
  </si>
  <si>
    <t>Natalia Da Rocha Pinto Pirolli</t>
  </si>
  <si>
    <t>Robert Sales Andrade</t>
  </si>
  <si>
    <t>Daniel Felipe Galvão Pires</t>
  </si>
  <si>
    <t>Leonardo Campos de Freitas</t>
  </si>
  <si>
    <t>Elisa Clara Silva Barreto</t>
  </si>
  <si>
    <t>Lucas Gabriel Rosa De Miranda</t>
  </si>
  <si>
    <t>Fred Azevedo</t>
  </si>
  <si>
    <t>Roni Pedro Da Silva</t>
  </si>
  <si>
    <t>Iara Cavalcante De Souza Oliveira</t>
  </si>
  <si>
    <t>Samara Nobrega De Miranda</t>
  </si>
  <si>
    <t>Allan Abrantes</t>
  </si>
  <si>
    <t>WR CONSTRUTORA LTDA</t>
  </si>
  <si>
    <t>Lucas Cuellar De Moraes</t>
  </si>
  <si>
    <t>Manuela Tognin Vasquez</t>
  </si>
  <si>
    <t>Vanessa Cristina Mota Chiovato Mota Chiovato</t>
  </si>
  <si>
    <t>Paulo Roberto dos Santos Rozeira</t>
  </si>
  <si>
    <t>Eduardo Lagni</t>
  </si>
  <si>
    <t>Pedro Andrey Cavalcante Sampaio</t>
  </si>
  <si>
    <t>Leandro Antonio Graton</t>
  </si>
  <si>
    <t>Giordano Von Saltiel Lorenci</t>
  </si>
  <si>
    <t>Ronilza Nascimento</t>
  </si>
  <si>
    <t>Robson Morijo De Oliveira</t>
  </si>
  <si>
    <t>Ricardo Andre Da Silva Vogado</t>
  </si>
  <si>
    <t>Mauricio Teodoro Rodrigues Junior</t>
  </si>
  <si>
    <t>Luiz Henrique Rodrigues</t>
  </si>
  <si>
    <t>Fernando Romeiro De Paula</t>
  </si>
  <si>
    <t>Ronaldo Vieira Ramos</t>
  </si>
  <si>
    <t>Felipe Da Rocha Paes</t>
  </si>
  <si>
    <t>Paulo Lucio Ribeiro Junior</t>
  </si>
  <si>
    <t>Lucas Miranda Macedo</t>
  </si>
  <si>
    <t>Cleison Bonamente</t>
  </si>
  <si>
    <t>Jocelino da Silva</t>
  </si>
  <si>
    <t>THOMAS VITOR PEREIRA NETO</t>
  </si>
  <si>
    <t>Douglas Pereira Da Silva</t>
  </si>
  <si>
    <t>Rafael Henrique Lisboa Costa</t>
  </si>
  <si>
    <t>Rayana Alcantara Gonzaga</t>
  </si>
  <si>
    <t>Elias Meira Santos</t>
  </si>
  <si>
    <t>Willian Camilo</t>
  </si>
  <si>
    <t>Jose Luis Mazza Júnior</t>
  </si>
  <si>
    <t>Gabriel Fogaca Cardoso</t>
  </si>
  <si>
    <t>Francisco De Sales Silveira</t>
  </si>
  <si>
    <t>Igor Nantes Magalhaes</t>
  </si>
  <si>
    <t>Denisson Gustavo Da Cruz</t>
  </si>
  <si>
    <t>Luis Ricardo Bongianino</t>
  </si>
  <si>
    <t>Camila Maria de Martins</t>
  </si>
  <si>
    <t>Lucas Branco</t>
  </si>
  <si>
    <t>Tiago Antonio Bádue</t>
  </si>
  <si>
    <t>Sandro Waltrich</t>
  </si>
  <si>
    <t>Marcelo Vieira De Oliveira</t>
  </si>
  <si>
    <t>Rodrigo Mota Dos Santos</t>
  </si>
  <si>
    <t>Cleison Fuck</t>
  </si>
  <si>
    <t>Vinicius Velho De Lima</t>
  </si>
  <si>
    <t>José Ricardo Pereira de Oliveira</t>
  </si>
  <si>
    <t>Filipe Alves Farias</t>
  </si>
  <si>
    <t>Maria Eduarda Lima Severo</t>
  </si>
  <si>
    <t>Gabriela Miranda Miranda</t>
  </si>
  <si>
    <t>Lara Pazeli</t>
  </si>
  <si>
    <t>Naiara Lima Haag</t>
  </si>
  <si>
    <t>Joao Vitor Franca De Oliveira</t>
  </si>
  <si>
    <t>Polyanna Bicalho Da Silva</t>
  </si>
  <si>
    <t>Taina Oliveira De Souza Caetano</t>
  </si>
  <si>
    <t>Maycon Guilherme Riedo</t>
  </si>
  <si>
    <t>Bruno Pinheiro</t>
  </si>
  <si>
    <t>Cleiton Oliveira Dantas</t>
  </si>
  <si>
    <t>Railson Cerqueira Dos Santos</t>
  </si>
  <si>
    <t>CONSTRUSTEEL MATERIAIS E CONSTRUCOES</t>
  </si>
  <si>
    <t>Wagner Vinicius José de Barros Noblat</t>
  </si>
  <si>
    <t>Carla Fernanda Morelli Lopes</t>
  </si>
  <si>
    <t>Luiz Gustavo Sant Anna Da Cruz</t>
  </si>
  <si>
    <t>Leonardo Gomes Pavanello</t>
  </si>
  <si>
    <t>Mauro Rodrigues Da Costa</t>
  </si>
  <si>
    <t>Ramon Barreto Amora</t>
  </si>
  <si>
    <t>Paulo Bernardo Da Silva Monteiro</t>
  </si>
  <si>
    <t>Denis Carlos Costa Marochio Costa Marochio</t>
  </si>
  <si>
    <t>Abel Do Nascimento Sousa</t>
  </si>
  <si>
    <t>Juliana Silva Domingos</t>
  </si>
  <si>
    <t>Newton Mamoru Yoshioka</t>
  </si>
  <si>
    <t>Vinicius Meira dos Santos</t>
  </si>
  <si>
    <t>Antonio Fabricio</t>
  </si>
  <si>
    <t>Ricardo Luberisse Luberisse</t>
  </si>
  <si>
    <t>Jesiel Werneck Pires</t>
  </si>
  <si>
    <t>Willian Mauricio De Oliveira Duarte</t>
  </si>
  <si>
    <t>Guilherme Godoy De Castro</t>
  </si>
  <si>
    <t>Carlos De Oliveira</t>
  </si>
  <si>
    <t>Cleiton Rodrigues</t>
  </si>
  <si>
    <t>Charles Santos</t>
  </si>
  <si>
    <t>Gustavo Cecato Cecato</t>
  </si>
  <si>
    <t>Fellipe Ricardo Costa Oliveira</t>
  </si>
  <si>
    <t>Madjany Modesto</t>
  </si>
  <si>
    <t>Andressa Cristina Alves Teixeira Pereira</t>
  </si>
  <si>
    <t>Susilane Lopes</t>
  </si>
  <si>
    <t>Débora Viegas Machado</t>
  </si>
  <si>
    <t>Alyne Cristina De Oliveira Sousa</t>
  </si>
  <si>
    <t>Rodrigo Jardim Ferreira</t>
  </si>
  <si>
    <t>Karine Silva De Camargo</t>
  </si>
  <si>
    <t>Lucas Pereira Dos Santos</t>
  </si>
  <si>
    <t>Vanessa Vilalba Milton</t>
  </si>
  <si>
    <t>Gabriel Oliveira Korchak</t>
  </si>
  <si>
    <t>EZIO VIEIRA DOS SANTOS</t>
  </si>
  <si>
    <t>Wellington Eloi Dos Santos</t>
  </si>
  <si>
    <t>Tiago De Morais Faria Novais</t>
  </si>
  <si>
    <t>Luis Paulo Lima Cardoso</t>
  </si>
  <si>
    <t>Laercio Guesser</t>
  </si>
  <si>
    <t>Maria Clara Sousa Dos Santos</t>
  </si>
  <si>
    <t>Guilherme Gandolfi Figueiredo</t>
  </si>
  <si>
    <t>Weslley Edson Souza</t>
  </si>
  <si>
    <t>Alexandre Alves Pereira Neto Alves Pereira Neto</t>
  </si>
  <si>
    <t>Yuri Muniz E Silva</t>
  </si>
  <si>
    <t>Vinicius Facudes De Sousa</t>
  </si>
  <si>
    <t>Aluz Construtora</t>
  </si>
  <si>
    <t>Ericsson Dominicini Costa</t>
  </si>
  <si>
    <t>Diego Alves Chalita</t>
  </si>
  <si>
    <t>Henrique Santos Poubel</t>
  </si>
  <si>
    <t>Caio Gomes</t>
  </si>
  <si>
    <t>Douglas Welington De Oliveira Borges</t>
  </si>
  <si>
    <t>Juliana De Lourdes Dias Azevedo Beckman</t>
  </si>
  <si>
    <t>Enan Maximiliano Machado Cortezao</t>
  </si>
  <si>
    <t>Luiz Guilherme Arruda De Loyola</t>
  </si>
  <si>
    <t>Wagner Pasini Ferreira</t>
  </si>
  <si>
    <t>Gabriel Henrique Weber</t>
  </si>
  <si>
    <t>Arlindo Marcio Oliveira</t>
  </si>
  <si>
    <t>Erito Gabriel Paes De Almeida</t>
  </si>
  <si>
    <t>Lucas Figueiredo Correa Freire</t>
  </si>
  <si>
    <t>Leonardo Pereira</t>
  </si>
  <si>
    <t>Bruno Dantas Pereira</t>
  </si>
  <si>
    <t>Ariel Volski</t>
  </si>
  <si>
    <t>Kevin Martins Pires</t>
  </si>
  <si>
    <t>Daliel Soares De Souza</t>
  </si>
  <si>
    <t>Jorge Miguel Francisco Ramos</t>
  </si>
  <si>
    <t>BTB ENGENHARIA</t>
  </si>
  <si>
    <t>Wilky Fernandes Vogado</t>
  </si>
  <si>
    <t>Diego Henrique Alves da Silva</t>
  </si>
  <si>
    <t>Gabriel Skwarek</t>
  </si>
  <si>
    <t>Luis Fernando De Queiroz Valle</t>
  </si>
  <si>
    <t>Luan de Moraes Felicio</t>
  </si>
  <si>
    <t>Luiz Fernando Moraes</t>
  </si>
  <si>
    <t>Douglas Quirino Dos Santos</t>
  </si>
  <si>
    <t>Joilson Da Anunciacao Araujo</t>
  </si>
  <si>
    <t>Giulia Pinhati Carvalho</t>
  </si>
  <si>
    <t>Lais Dias Bispo</t>
  </si>
  <si>
    <t>Gustavo Mondini Oliveira</t>
  </si>
  <si>
    <t>André Nascif</t>
  </si>
  <si>
    <t>Joao Felipe De Aguiar Matos</t>
  </si>
  <si>
    <t>Marcos Camargo Teixeira</t>
  </si>
  <si>
    <t>Matheus de Melo Menezes</t>
  </si>
  <si>
    <t>Martin Codas Machain</t>
  </si>
  <si>
    <t>Moisa Lelis Fernandes</t>
  </si>
  <si>
    <t>Giovanni Bonelli</t>
  </si>
  <si>
    <t>Patric Geraldo Mendonca</t>
  </si>
  <si>
    <t>Álvaro Assuncao Cadide</t>
  </si>
  <si>
    <t>Karoline Teixeira Belle</t>
  </si>
  <si>
    <t>Morgana Luci Grando</t>
  </si>
  <si>
    <t>Filipe Vieira Campos</t>
  </si>
  <si>
    <t>Carlos Augusto Freitas Silva</t>
  </si>
  <si>
    <t>Antonio Rodrigues De Assis De Assis</t>
  </si>
  <si>
    <t>Lucas Pereira Da Silva</t>
  </si>
  <si>
    <t>Marinaldo Conquista</t>
  </si>
  <si>
    <t>Silvio Bezerra De Brito Junior</t>
  </si>
  <si>
    <t>Carlos Eduardo Sousa De Araujo</t>
  </si>
  <si>
    <t>Tatiane Aparecida Queiroz Viana</t>
  </si>
  <si>
    <t>Adão Goncalves Lemes Filho</t>
  </si>
  <si>
    <t>Antonio Rodrigues Da Silva Neto</t>
  </si>
  <si>
    <t>Adolfo Assolari Moreira da Silva</t>
  </si>
  <si>
    <t>Jeferson Restelli</t>
  </si>
  <si>
    <t>Arsenio Macedo Paiva</t>
  </si>
  <si>
    <t>Max Farias de O'Liveira</t>
  </si>
  <si>
    <t>Joao Carlos Andrade De Moura</t>
  </si>
  <si>
    <t>Arnaldo Marques Junior</t>
  </si>
  <si>
    <t>Ana Carolina Gimenes Carvalho Pereira Mota</t>
  </si>
  <si>
    <t>Antonio Dantas</t>
  </si>
  <si>
    <t>Victor Augusto De Souza Crespo</t>
  </si>
  <si>
    <t>Ronaldo Luis Angulski</t>
  </si>
  <si>
    <t>Felippo Pedroza</t>
  </si>
  <si>
    <t>Lucas Moura Da Fonseca Filho</t>
  </si>
  <si>
    <t>Artur Soares Dos Santos Neto</t>
  </si>
  <si>
    <t>Lucas Strelow Ferreira</t>
  </si>
  <si>
    <t>Laysa Samara da Silva</t>
  </si>
  <si>
    <t>Raildo Dias de Souza Junior</t>
  </si>
  <si>
    <t>Bruno Almeida Franco</t>
  </si>
  <si>
    <t>Liz Ferreira</t>
  </si>
  <si>
    <t>João Almeida</t>
  </si>
  <si>
    <t>Jose Luiz da Silva Amaral</t>
  </si>
  <si>
    <t>Marco Tulio Vaz Gontijo</t>
  </si>
  <si>
    <t>Sandra Oliveira</t>
  </si>
  <si>
    <t>Marcelo Neves</t>
  </si>
  <si>
    <t>Jailson Sampaio</t>
  </si>
  <si>
    <t>Euflavio Ducati Pereira</t>
  </si>
  <si>
    <t>Kaique Nogueira Gomes de Miranda</t>
  </si>
  <si>
    <t>Julio Cesar David</t>
  </si>
  <si>
    <t>Nathalia De Cassia Silva Cardoso</t>
  </si>
  <si>
    <t>Marinho Aparecido Carriel Pinto</t>
  </si>
  <si>
    <t>Anne Gessica Saick Silva Gering</t>
  </si>
  <si>
    <t>Antonio Francisco Da Silva</t>
  </si>
  <si>
    <t>Pedro Vendramini</t>
  </si>
  <si>
    <t>Edson Laurindo Filho</t>
  </si>
  <si>
    <t>Igor Bruno Parente Cardoso</t>
  </si>
  <si>
    <t>Ricardo Alves</t>
  </si>
  <si>
    <t>Rhyan Santos Vieira</t>
  </si>
  <si>
    <t>Kamila Barbosa Nascimento</t>
  </si>
  <si>
    <t>CIVTEC ENGENHARIA</t>
  </si>
  <si>
    <t>Felipe Holz Maia</t>
  </si>
  <si>
    <t>Edson Ramos De Souza</t>
  </si>
  <si>
    <t>Luan Dametto</t>
  </si>
  <si>
    <t>Gabriel Francisco Nascimento Monteiro</t>
  </si>
  <si>
    <t>Givaldo Rodrigues Da Silva</t>
  </si>
  <si>
    <t>Tulio Humberto Cazaro De Castro Pereira</t>
  </si>
  <si>
    <t>Bruno De Lima Joca</t>
  </si>
  <si>
    <t>Jose Gustavo Marcolino Mangueira</t>
  </si>
  <si>
    <t>Victor Hugo da Costa Silva</t>
  </si>
  <si>
    <t>Rodrigo Hideki Masuoka De Souza</t>
  </si>
  <si>
    <t>Icaro De Lima Nascimento Patez</t>
  </si>
  <si>
    <t>Guilherme Vander</t>
  </si>
  <si>
    <t>ORIGON PROJETOS</t>
  </si>
  <si>
    <t>Douglas Nespoles</t>
  </si>
  <si>
    <t>Attalea Construcoes</t>
  </si>
  <si>
    <t>H. SANTOS EMPREENDIMENTOS LTDA</t>
  </si>
  <si>
    <t>Barros Cruz Arquitetura Engenharia Construtora</t>
  </si>
  <si>
    <t>Artur Bahi Filho</t>
  </si>
  <si>
    <t>Anderson Panini</t>
  </si>
  <si>
    <t>VALMET</t>
  </si>
  <si>
    <t>Jose Zuim</t>
  </si>
  <si>
    <t>MUNICIPIO DE MUITOS CAPOES</t>
  </si>
  <si>
    <t>Tekenge</t>
  </si>
  <si>
    <t>Fontaneli Engenharia e Construcao</t>
  </si>
  <si>
    <t>MUNICIPIO DE CAMBUI</t>
  </si>
  <si>
    <t>Plano AltoQi Eberick 2026 Infinity Governo - Upgrade</t>
  </si>
  <si>
    <t>Plano AltoQi Builder 2026 Infinity Governo - Upgrade</t>
  </si>
  <si>
    <t>AMNIS ENGENHARIA LTDA</t>
  </si>
  <si>
    <t>ZILLI ENGENHARIA ELETRICA LTDA</t>
  </si>
  <si>
    <t>WS SISTEMAS ESTRUTURAIS LTDA</t>
  </si>
  <si>
    <t>SERVICOS ESPECIALIZADO VIP</t>
  </si>
  <si>
    <t>VALLIM ENGENHARIA</t>
  </si>
  <si>
    <t>BS ENGENHARIA</t>
  </si>
  <si>
    <t>WISEHOME BY STEELPRO</t>
  </si>
  <si>
    <t>Edifilar Construtora Ltda</t>
  </si>
  <si>
    <t>Tec Gp</t>
  </si>
  <si>
    <t>M I ENGENHARIA E CONSTRUCAO LTDA</t>
  </si>
  <si>
    <t>LEONARDO DE OLIVEIRA LIDUINO ENGENHARIA E INSTALACOES ELETRICAS</t>
  </si>
  <si>
    <t>KVA COMERCIO E SERVICOS DE MATERIAIS ELETRICOS RP LTDA</t>
  </si>
  <si>
    <t>RONY MAGNO SOUZA SANTOS</t>
  </si>
  <si>
    <t>ENGEPAR ENGENHARIA E PARTICIPACOES LTDA</t>
  </si>
  <si>
    <t>Xap Empreendimentos</t>
  </si>
  <si>
    <t>Felipe Schmidt</t>
  </si>
  <si>
    <t>Mrj Engenharia e Solucoes</t>
  </si>
  <si>
    <t>STEEL TECH SMART CONSTRUCTION LTDA</t>
  </si>
  <si>
    <t>Gso Engenharia Ltda</t>
  </si>
  <si>
    <t>ALTA ENGENHARIA DE PROJETOS LTDA</t>
  </si>
  <si>
    <t>FREITAS E BOTELHO ENGENHARIA</t>
  </si>
  <si>
    <t>CADROCH ENGENHARIA</t>
  </si>
  <si>
    <t>UNIPAMPA - FUNDACAO UNIVERSIDADE FEDERAL DO PAMPA</t>
  </si>
  <si>
    <t>Lívia Lodi</t>
  </si>
  <si>
    <t>MUNICIPIO DE CAPANEMA</t>
  </si>
  <si>
    <t>INPLENITUS PROJETOS, GERENCIAMENTO E FISCALIZACAO DE OBRAS LTDA</t>
  </si>
  <si>
    <t>IMPLANTA ALTOQI VISUS COST MANAGEMENT - PREMIUM - HORA</t>
  </si>
  <si>
    <t>3s Engenharia Construcoes Ltda</t>
  </si>
  <si>
    <t>Beat Engenharia Integrada</t>
  </si>
  <si>
    <t>Proinova Engenharia</t>
  </si>
  <si>
    <t>ENGE W CALCULOS E PROJETOS LTDA</t>
  </si>
  <si>
    <t>PACOTE DE HORAS DE CONSULTORIA ESPECIALIZADA - PCT 6H</t>
  </si>
  <si>
    <t>Max Magioli</t>
  </si>
  <si>
    <t>ALLVAR ENGENHARIA</t>
  </si>
  <si>
    <t>Plano Visus 2026 Obras Públicas Premium Governo</t>
  </si>
  <si>
    <t>SSA 1 ano para AltoQi Visus Obras públicas Premium Governo</t>
  </si>
  <si>
    <t>PREF MUN DE PATO BRANCO</t>
  </si>
  <si>
    <t>CT JUNIOR</t>
  </si>
  <si>
    <t>anand.figueiredo@altoqi.com.br</t>
  </si>
  <si>
    <t>TF SOLUCOES DE ENGENHARIA</t>
  </si>
  <si>
    <t>BAUTRAUM CONSTRUCOES LTDA</t>
  </si>
  <si>
    <t>STAGER COMERCIO E SERVICOS EM AUTOMACAO LTDA</t>
  </si>
  <si>
    <t>MUNICIPIO DE MANDAGUARI</t>
  </si>
  <si>
    <t>L.F. ENGENHARIA E CONSTRUCAO</t>
  </si>
  <si>
    <t>Custodio</t>
  </si>
  <si>
    <t>INTERTECHNE CONSULTORES S. A.</t>
  </si>
  <si>
    <t>MUNICIPIO DE CURVELANDIA</t>
  </si>
  <si>
    <t>BIE EMPREENDIMENTOS LTDA</t>
  </si>
  <si>
    <t>MZBARROS ENGENHARIA E PROJETOS LTDA</t>
  </si>
  <si>
    <t>MUNICIPIO DE PERDOES</t>
  </si>
  <si>
    <t>Polatti Engenharia</t>
  </si>
  <si>
    <t>MUNICIPIO DE SAO MIGUEL DA BOA VISTA</t>
  </si>
  <si>
    <t>INCOBRAZ PREMOLDADOS LTDA</t>
  </si>
  <si>
    <t>??</t>
  </si>
  <si>
    <t>CS - Saving | Pedidos de Cancelamento</t>
  </si>
  <si>
    <t>Central Construcoes</t>
  </si>
  <si>
    <t>PERFORMANCE CONSTRUCOES E SERVICOS LTDA</t>
  </si>
  <si>
    <t>Senes - Solucoes em Engenharia Estrutural</t>
  </si>
  <si>
    <t>J M DOS SANTOS - CONSTRUTORA</t>
  </si>
  <si>
    <t>IMPLANTA ALTOQI VISUS CB + CM &amp; PN – STANDARD</t>
  </si>
  <si>
    <t>ATJ PROJETOS &amp; SERVICOS DE ENGENHARIA LTDA</t>
  </si>
  <si>
    <t>Fabric Pre Moldados</t>
  </si>
  <si>
    <t>VERTICO ARQUITETURA E CONSTRUCAO LTDA.</t>
  </si>
  <si>
    <t>OSKR PIAIA ENGENHARIA INDUSTRIAL LTDA</t>
  </si>
  <si>
    <t>Rocket Engenharia e Consultoria</t>
  </si>
  <si>
    <t>G8 Solucoes</t>
  </si>
  <si>
    <t>HIDAREN ENGENHARIA E CONSTRUCAO</t>
  </si>
  <si>
    <t>REVERSALOG EMPREENDIMENTOS</t>
  </si>
  <si>
    <t>Avila &amp; Avila</t>
  </si>
  <si>
    <t>34.543.604 BRUNA SUELEN FELIZARI</t>
  </si>
  <si>
    <t>Forte Projetos e Engenharia</t>
  </si>
  <si>
    <t>Forte Artefatos de Concreto</t>
  </si>
  <si>
    <t>Ventisol S.a.</t>
  </si>
  <si>
    <t>Vtn Engenharia e Construcoes</t>
  </si>
  <si>
    <t>BUTANTA ENGENHARIA LTDA</t>
  </si>
  <si>
    <t>SMMP ARQUITETOS LTDA</t>
  </si>
  <si>
    <t>PROSENG PROJETOS E SERVICOS DE ENGENHARIA LTDA</t>
  </si>
  <si>
    <t>REIS ENGENHARIA</t>
  </si>
  <si>
    <t>Ferraso Construtora</t>
  </si>
  <si>
    <t>Escola Adventista de Teixeira de Freitas</t>
  </si>
  <si>
    <t>VISAO CONSTRUCOES</t>
  </si>
  <si>
    <t>Construtora Engemaster</t>
  </si>
  <si>
    <t>Aec Engenharia</t>
  </si>
  <si>
    <t>Fe Servicos de Engenharia e Construtora</t>
  </si>
  <si>
    <t>CONSAG ENGENHARIA S/A</t>
  </si>
  <si>
    <t>Elizandro Luiz Martinelli</t>
  </si>
  <si>
    <t>Kactus Construcoes</t>
  </si>
  <si>
    <t>Ossamu &amp; 2m Projetos Estruturais</t>
  </si>
  <si>
    <t>ELECTO ENGENHARIA</t>
  </si>
  <si>
    <t>LIMA SANTOS SERVICOS DE ENGENHARIA LTDA</t>
  </si>
  <si>
    <t>Leslao Engenharia</t>
  </si>
  <si>
    <t>ME ENGENHARIA &amp; CONSTRUCOES LTDA</t>
  </si>
  <si>
    <t>60.686.986 REGIANE MENDONCA DOMINGUES</t>
  </si>
  <si>
    <t>Franco &amp; Cruz Engenharia</t>
  </si>
  <si>
    <t>Croqui Engenharia</t>
  </si>
  <si>
    <t>INTEGRAR ENGENHARIA</t>
  </si>
  <si>
    <t>RODRIGUES &amp; MADUREIRA LTDA</t>
  </si>
  <si>
    <t>56.342.206 VINICIUS HENRIQUE DA COSTA</t>
  </si>
  <si>
    <t>Nano Engenharia e Solucoes</t>
  </si>
  <si>
    <t>CILLA - CIDADE DOS LAGOS EMPREENDIMENTOS IMOBILIARIOS LTDA</t>
  </si>
  <si>
    <t>COMERCIO E CONSTRUCOES NOGUEIRA</t>
  </si>
  <si>
    <t>DANTAS ENGENHARIA E CONSTRUCAO LTDA</t>
  </si>
  <si>
    <t>66.115.322 RAFAELA APARECIDA GOMES DE ALMEIDA</t>
  </si>
  <si>
    <t>Concepta Engenharia M A LTDA</t>
  </si>
  <si>
    <t>LUMUS RMJ ELETRICA INDUSTRIAL E REPRESENTACOES LTDA</t>
  </si>
  <si>
    <t>LUZZA CONSTRUCOES LTDA</t>
  </si>
  <si>
    <t>H. NATAN</t>
  </si>
  <si>
    <t>Terra Meio Ambiente</t>
  </si>
  <si>
    <t>ERREDOIS ENGENHARIA E REPRESENTACOES LTDA.</t>
  </si>
  <si>
    <t>Basei Engenharia</t>
  </si>
  <si>
    <t>Azambuja</t>
  </si>
  <si>
    <t>Cordeiro Solucoes Construtivas</t>
  </si>
  <si>
    <t>Fabio Barboza Bispo ME</t>
  </si>
  <si>
    <t>DEBOSSAN EMPREENDIMENTOS E PROJETOS DE ENGENHARIA LTDA</t>
  </si>
  <si>
    <t>ANDRE RIBEIRO BARUFI</t>
  </si>
  <si>
    <t>MIM ENGENHARIA LTDA</t>
  </si>
  <si>
    <t>Augusto Teixeira Alexandre</t>
  </si>
  <si>
    <t>Souza Amorim Engenharia</t>
  </si>
  <si>
    <t>Construtora Senger</t>
  </si>
  <si>
    <t>MINISTERIO PUBLICO ESTADUAL - MP/MS</t>
  </si>
  <si>
    <t>Diego Cunha De Araujo</t>
  </si>
  <si>
    <t>Ana Beatriz Dos Santos Correa Rocha</t>
  </si>
  <si>
    <t>Elisangela Nobre Bragio</t>
  </si>
  <si>
    <t>Adriana Capelo Rodrigues</t>
  </si>
  <si>
    <t>Andre Paulino Sanches</t>
  </si>
  <si>
    <t>Leilane Sousa E Lucena Dos Santos</t>
  </si>
  <si>
    <t>Eduardo Fernando Da Rocha Eli</t>
  </si>
  <si>
    <t>Henrique Queiroz Barbosa</t>
  </si>
  <si>
    <t>Matheus Schon</t>
  </si>
  <si>
    <t>Phablo Nascimento de Souza</t>
  </si>
  <si>
    <t>Breno Gutterres Goncalves</t>
  </si>
  <si>
    <t>Matheus Rolim Cruz Rolim Cruz</t>
  </si>
  <si>
    <t>wander luan blank zentil Luan Blank Zentil</t>
  </si>
  <si>
    <t>Venicio Dias</t>
  </si>
  <si>
    <t>Jonatas Tavella</t>
  </si>
  <si>
    <t>Kaique Zuza Do Nascimento</t>
  </si>
  <si>
    <t>Claudir Vanin</t>
  </si>
  <si>
    <t>FABRICIA MOREIRA DE SOUZA</t>
  </si>
  <si>
    <t>Eduardo Vanin</t>
  </si>
  <si>
    <t>Victor De Azevedo</t>
  </si>
  <si>
    <t>Jéssica Alves Alves Cardoso da Costa</t>
  </si>
  <si>
    <t>Vinicius Motta</t>
  </si>
  <si>
    <t>Marcos Antonio Do Nascimento Nunes</t>
  </si>
  <si>
    <t>Renato da Silva da Silva</t>
  </si>
  <si>
    <t>Priscila Camianski Ferreira</t>
  </si>
  <si>
    <t>VALE S.A.</t>
  </si>
  <si>
    <t>18 meses</t>
  </si>
  <si>
    <t>DESENVOLVIMENTO</t>
  </si>
  <si>
    <t>IMPLEMENTAÇÃO</t>
  </si>
  <si>
    <t>AGENCIA ESTADUAL DE GESTAO DE EMPREENDIMENTOS - AGESUL</t>
  </si>
  <si>
    <t>Governo</t>
  </si>
  <si>
    <t>SERVIÇO PRESENCIAL</t>
  </si>
  <si>
    <t>UFV - Universidade Federal de Viçosa</t>
  </si>
  <si>
    <t>TRIBUNAL DE CONTAS DO ESTADO DO PARANA</t>
  </si>
  <si>
    <t>GRUPEL DO BRASIL LTDA</t>
  </si>
  <si>
    <t>Termotécnica Para-raios</t>
  </si>
  <si>
    <t>MINISTERIO PUBLICO DO ESTADO DA BAHIA</t>
  </si>
  <si>
    <t>MUNICIPIO DE MONDAI</t>
  </si>
  <si>
    <t>MUNICIPIO DE ALTAMIRA - PA</t>
  </si>
  <si>
    <t>EMBASA - EMPRESA BAIANA DE AGUAS E SANEAMENTO SA</t>
  </si>
  <si>
    <t>MUNICIPIO DE CASCAVEL</t>
  </si>
  <si>
    <t>UNINGÁ - UNIDADE DE ENSINO SUPERIOR INGA LTDA</t>
  </si>
  <si>
    <t>QUANTA CONSULTORIA LTDA</t>
  </si>
  <si>
    <t>MUNICIPIO DE NOVO HAMBURGO</t>
  </si>
  <si>
    <t>MUNICIPIO DE FORMOSA DO OESTE</t>
  </si>
  <si>
    <t>MUNICIPIO DE ARUJA</t>
  </si>
  <si>
    <t>TOSCANA ENGENHARIA S/S LTDA</t>
  </si>
  <si>
    <t>REALIZE SERVICOS ESPECIALIZADOS PARA CONSTRUCAO</t>
  </si>
  <si>
    <t>MUNICIPIO DE NOVA SANTA ROSA</t>
  </si>
  <si>
    <t>Erico Vicentin Nirino Vicentin Nirino</t>
  </si>
  <si>
    <t>MUNICIPIO DE PRIMAVERA DO LESTE</t>
  </si>
  <si>
    <t>LOPEZ CONSULTORIA E PROJETOS</t>
  </si>
  <si>
    <t>Emerson Da Rocha Oliveira Oliveira</t>
  </si>
  <si>
    <t>Jardel Brizot</t>
  </si>
  <si>
    <t>W F DE OLIVEIRA DESENHOS TECNICOS ME</t>
  </si>
  <si>
    <t>ASSOCIACAO RONDONIENSE DE MUNICIPIOS - RO</t>
  </si>
  <si>
    <t>MUNICIPIO DE FARROUPILHA</t>
  </si>
  <si>
    <t>Plano AltoQi Builder 2026 Premium Governo - Upgrade</t>
  </si>
  <si>
    <t>Plataforma BIM - AltoQi Gestão Pública – Gestão e Controle de Custos</t>
  </si>
  <si>
    <t>Hannum Engenharia de Projetos LTDA</t>
  </si>
  <si>
    <t>SOMAUMA INCORPORACAO E DESENVOLVIMENTO IMOBILIARIO LTDA</t>
  </si>
  <si>
    <t>Plataforma BIM - AltoQi Gestão Pública – Projetos e Gestão</t>
  </si>
  <si>
    <t>Mariana De Jesus Viana Rodrigues</t>
  </si>
  <si>
    <t>Alexsandro Korzekwa</t>
  </si>
  <si>
    <t>RS CONCEPT</t>
  </si>
  <si>
    <t>INSTITUICAO PAULISTA ADVENTISTA DE EDUC E ASS SOCIAL - SP</t>
  </si>
  <si>
    <t>MUNICIPIO DE CONCEICAO DO CASTELO</t>
  </si>
  <si>
    <t>Cristiano Reche</t>
  </si>
  <si>
    <t>Andressa Torres Ferraz</t>
  </si>
  <si>
    <t>Tainara Barbosa</t>
  </si>
  <si>
    <t>MUNICIPIO DE JACAREI</t>
  </si>
  <si>
    <t>Rafael Viedo</t>
  </si>
  <si>
    <t>Gabriel Moreira</t>
  </si>
  <si>
    <t>INFRASOLO ENGENHARIA E CONSTRUCOES LTDA</t>
  </si>
  <si>
    <t>Ergobim Engenharia</t>
  </si>
  <si>
    <t>PRO ENGENHARIA DE ESTRUTURAS LTDA</t>
  </si>
  <si>
    <t>Leandro Bertaco</t>
  </si>
  <si>
    <t>UFC ENGENHARIA SA</t>
  </si>
  <si>
    <t>Alan Aniceto Ferreira de Figueiredo</t>
  </si>
  <si>
    <t>Rede Primavera - Hospital Primavera</t>
  </si>
  <si>
    <t>Lide Engenharia</t>
  </si>
  <si>
    <t>RESILIENCE ENGENHARIA LTDA</t>
  </si>
  <si>
    <t>ERECHIM ENGENHARIA</t>
  </si>
  <si>
    <t>Alex Almeida Fernandes</t>
  </si>
  <si>
    <t>CARNEIRO CONSULTORIA E PROJETOS</t>
  </si>
  <si>
    <t>UNIDAVI - FUNDACAO UNIVERSIDADE PARA O DESENVOLVIMENTO DO ALTO VALE DO ITAJAI</t>
  </si>
  <si>
    <t>FJG REALTY PARTICIPACOES SA</t>
  </si>
  <si>
    <t>Dinamize Engenharia</t>
  </si>
  <si>
    <t>Gs Pre-moldados</t>
  </si>
  <si>
    <t>Moisés Marcelo Junior</t>
  </si>
  <si>
    <t>Vinicios Menegatti</t>
  </si>
  <si>
    <t>André Fellipe de Oliveira Silva</t>
  </si>
  <si>
    <t>Adriano De Souza Bacci</t>
  </si>
  <si>
    <t>Guilherme Manfio</t>
  </si>
  <si>
    <t>MUNICIPIO DE CONFRESA</t>
  </si>
  <si>
    <t>RPZ CONSTRUTORA E INCORPORADORA LTDA</t>
  </si>
  <si>
    <t>IMPLANTA ALTOQI VISUS CB + CM &amp; PN – ADVANCED</t>
  </si>
  <si>
    <t>Elinsa do Brasil</t>
  </si>
  <si>
    <t>Renato Costa da Silva</t>
  </si>
  <si>
    <t>Luiz Antonio Dos Reis</t>
  </si>
  <si>
    <t>Mohana Karinna Cavalcanti Silva</t>
  </si>
  <si>
    <t>Alex Alves Da Cruz</t>
  </si>
  <si>
    <t>Christian Douglas De Souza</t>
  </si>
  <si>
    <t>Dereck Roscamp</t>
  </si>
  <si>
    <t>AFRAM PROJETOS &amp; CONSTRUCOES LTDA</t>
  </si>
  <si>
    <t>ACOVIA INDUSTRIA E COMERCIO DE ESTRUTURAS METALICAS E PREMOLDADOS DE CONCRETO LTDA</t>
  </si>
  <si>
    <t>ELETRICA BIASI</t>
  </si>
  <si>
    <t>Fellipe De Oliveira Garbelini</t>
  </si>
  <si>
    <t>Alison Scolaro Alupp</t>
  </si>
  <si>
    <t>José Carlos Cassettari</t>
  </si>
  <si>
    <t>Gerson Souza de Ávila</t>
  </si>
  <si>
    <t>Vania Reis Barcellos Costa</t>
  </si>
  <si>
    <t>Escritoriodeengenharia</t>
  </si>
  <si>
    <t>RIACHUELO SOLUCOES EM ENGENHARIA LTDA</t>
  </si>
  <si>
    <t>eduarda.cardozo@altoqi.com.br</t>
  </si>
  <si>
    <t>Eder Martins</t>
  </si>
  <si>
    <t>Bruno Aliday Alves de Souza</t>
  </si>
  <si>
    <t>Renann Augusto Wolbert Silvério Floriano</t>
  </si>
  <si>
    <t>Jhulia Medeiros</t>
  </si>
  <si>
    <t>Talyson Faria Carvalho</t>
  </si>
  <si>
    <t>Arthur Moreira</t>
  </si>
  <si>
    <t>LINDOLFO ENGENHARIA LTDA.</t>
  </si>
  <si>
    <t>Gustavo Berto</t>
  </si>
  <si>
    <t>Adelmo Campos</t>
  </si>
  <si>
    <t>SANTOS SISTEMAS CONSTRUTIVOS</t>
  </si>
  <si>
    <t>KNIZ ENGENHARIA E NEGOCIOS IMOBILIARIOS LTDA</t>
  </si>
  <si>
    <t>BKS CONSTRUTORA E INCORPORADORA</t>
  </si>
  <si>
    <t>Jn Engenharia &amp; Arquitetura</t>
  </si>
  <si>
    <t>Virmondes Ferreira da Silva Junior</t>
  </si>
  <si>
    <t>Eduardo Zanoli</t>
  </si>
  <si>
    <t>AUGUSTO ENGENHARIA JUNDIAI LTDA</t>
  </si>
  <si>
    <t>REIZ ENGENHARIA</t>
  </si>
  <si>
    <t>Ronaldo Tanner</t>
  </si>
  <si>
    <t>ALENG ENGENHARIA LTDA</t>
  </si>
  <si>
    <t>Lucas Vilarins Brito</t>
  </si>
  <si>
    <t>Naiany Rezende</t>
  </si>
  <si>
    <t>E. KOPP &amp; CIA. LTDA.</t>
  </si>
  <si>
    <t>Maurício Novak</t>
  </si>
  <si>
    <t>ENGEMOG CONSTRUTORA</t>
  </si>
  <si>
    <t>EIXO ENGENHARIA, ARQUITETURA E DESIGN LTDA</t>
  </si>
  <si>
    <t>B &amp; Santos Engenharia e Construcao</t>
  </si>
  <si>
    <t>Graicy Kardec Eng. e Construcoes</t>
  </si>
  <si>
    <t>Jefferson Augusto De Castro</t>
  </si>
  <si>
    <t>Carlos Alberto Araujo De Lima</t>
  </si>
  <si>
    <t>Vitor Lira</t>
  </si>
  <si>
    <t>BUP ENGENHARIA E ARQUITETURA</t>
  </si>
  <si>
    <t>Fábio Sobral Santana Vieira</t>
  </si>
  <si>
    <t>Alessandro Aparecido De Campos de Campos</t>
  </si>
  <si>
    <t>CENTRO INTERNACIONAL DE ENERGIAS RENOVAVEIS-BIOGAS</t>
  </si>
  <si>
    <t>SESC PB</t>
  </si>
  <si>
    <t>CCL ENGENHARIA LIMITADA</t>
  </si>
  <si>
    <t>DUO ULTIMATE PROJETOS E ORCAMENTOS</t>
  </si>
  <si>
    <t>Alexandre da Silva Cardoso</t>
  </si>
  <si>
    <t>Roncini Engenharia</t>
  </si>
  <si>
    <t>Vinícius Celupp</t>
  </si>
  <si>
    <t>Isaias Carvalho</t>
  </si>
  <si>
    <t>Ederson Castilho</t>
  </si>
  <si>
    <t>BERNARDO TOMAZELLI ENGENHARIA LTDA</t>
  </si>
  <si>
    <t>Bruno Costa</t>
  </si>
  <si>
    <t>Luciano Secundo</t>
  </si>
  <si>
    <t>Erico Ramos Engenharia</t>
  </si>
  <si>
    <t>SIGMA</t>
  </si>
  <si>
    <t>Gustavo Daré Ferreira</t>
  </si>
  <si>
    <t>Fachinetto Esquadrias de Madeira</t>
  </si>
  <si>
    <t>Cartesian</t>
  </si>
  <si>
    <t>Valdinei Francisco Gomes</t>
  </si>
  <si>
    <t>Beatriz dos Anjos Arquitetura</t>
  </si>
  <si>
    <t>HEAT ENGENHARIA</t>
  </si>
  <si>
    <t>Andre Luiz Zarth Bruschi</t>
  </si>
  <si>
    <t>Itainá Paulino Messias</t>
  </si>
  <si>
    <t>KLICK - ENGENHARIA ELETRICA LTDA</t>
  </si>
  <si>
    <t>Andre Goncalves Faria</t>
  </si>
  <si>
    <t>Flávia Andrade Do Nascimento</t>
  </si>
  <si>
    <t>Elmer Borges Vianna Rodrigues</t>
  </si>
  <si>
    <t>Jose Carlos Gonçalves</t>
  </si>
  <si>
    <t>ESTENG</t>
  </si>
  <si>
    <t>Maskan</t>
  </si>
  <si>
    <t>Gustavo Muller</t>
  </si>
  <si>
    <t>TATICO SOLUCOES EM GESTAO DE EMPREENDIMENTOS</t>
  </si>
  <si>
    <t>Elson Eduardo Do Oliveira Paulo</t>
  </si>
  <si>
    <t>M43 Construtora</t>
  </si>
  <si>
    <t>Lucas De Carvalho Silva</t>
  </si>
  <si>
    <t>Onécimo José da Cruz</t>
  </si>
  <si>
    <t>Manoel Fontes Nabuco Neto</t>
  </si>
  <si>
    <t>Victor Humberto Pereira Alves</t>
  </si>
  <si>
    <t>Thiago Klettemberg Rocha</t>
  </si>
  <si>
    <t>Roldão Júnior</t>
  </si>
  <si>
    <t>Luan Caio Medeiros Jaless</t>
  </si>
  <si>
    <t>Viabile Engenharia</t>
  </si>
  <si>
    <t>VECTRA ENGENHARIA LTDA</t>
  </si>
  <si>
    <t>Bethina Aguiar Do Rosario</t>
  </si>
  <si>
    <t>Normatize Engenharia</t>
  </si>
  <si>
    <t>Bf Fire Engenharia</t>
  </si>
  <si>
    <t>Jamerson Cupehinski</t>
  </si>
  <si>
    <t>Gledson Porfirio De Souza</t>
  </si>
  <si>
    <t>Victor Fensterseifer</t>
  </si>
  <si>
    <t>Mgw Engenharias</t>
  </si>
  <si>
    <t>ADAMY PROJETOS ESPECIAIS LTDA</t>
  </si>
  <si>
    <t>SUMMA PROJETOS LTDA</t>
  </si>
  <si>
    <t>Francisco De Assis Souza Sobrinho</t>
  </si>
  <si>
    <t>MAXIMA ENGENHARIA E CONSULTORIA</t>
  </si>
  <si>
    <t>MUNICIPIO DE BOMBINHAS</t>
  </si>
  <si>
    <t>Assoc. Paulista Oeste Igrejas Adventistas Setimo Dia</t>
  </si>
  <si>
    <t>MUNICIPIO DE SIDROLANDIA</t>
  </si>
  <si>
    <t>José Luiz Coelho Correa</t>
  </si>
  <si>
    <t>Angelo Bigarella Scariot</t>
  </si>
  <si>
    <t>Lizandro Martins de Souza</t>
  </si>
  <si>
    <t>Augusto Silva de Lima</t>
  </si>
  <si>
    <t>Alexandre Vieira Souza</t>
  </si>
  <si>
    <t>Paulo Passos</t>
  </si>
  <si>
    <t>Talles Alves</t>
  </si>
  <si>
    <t>GUTH SOLUCOES EM PREFABRICADOS</t>
  </si>
  <si>
    <t>CENAFER CENTRAL DE ARMACAO DE FERRO LTDA</t>
  </si>
  <si>
    <t>helio rodrigues</t>
  </si>
  <si>
    <t>Ana Nivia Pantoja</t>
  </si>
  <si>
    <t>Janary Nunes França</t>
  </si>
  <si>
    <t>Victor Braga</t>
  </si>
  <si>
    <t>Lorena Santana</t>
  </si>
  <si>
    <t>Frederico Bizigatto</t>
  </si>
  <si>
    <t>Adriana Tavares</t>
  </si>
  <si>
    <t>Yan Ramalho Sant Ana Neves</t>
  </si>
  <si>
    <t>Valdemir Soares Gois</t>
  </si>
  <si>
    <t>Luis Felipe Silveira</t>
  </si>
  <si>
    <t>Paulo Eduardo Correa Pimenta</t>
  </si>
  <si>
    <t>Rodrigo Da Silva Rodrigues Silva</t>
  </si>
  <si>
    <t>Joel da Costa</t>
  </si>
  <si>
    <t>Pedro Augusto Negri</t>
  </si>
  <si>
    <t>ABIAI PARQUE DE DIVERSOES LTDA</t>
  </si>
  <si>
    <t>PREMOLDI</t>
  </si>
  <si>
    <t>TIAGO ALBRES ENGENHARIA E PROJETOS LTDA</t>
  </si>
  <si>
    <t>F. V. ENGENHARIA E PROJETOS LTDA.</t>
  </si>
  <si>
    <t>João Matheus Hugen</t>
  </si>
  <si>
    <t>TECNICA ENGENHARIA DE PROJETOS LTDA.</t>
  </si>
  <si>
    <t>Anselmo Souza de Oliveira Junior</t>
  </si>
  <si>
    <t>Amanda Braga</t>
  </si>
  <si>
    <t>ENGEBEST</t>
  </si>
  <si>
    <t>Ivanete Marchioro</t>
  </si>
  <si>
    <t>Jorge Luis Cury</t>
  </si>
  <si>
    <t>Michel Horn</t>
  </si>
  <si>
    <t>Rafael Marussi</t>
  </si>
  <si>
    <t>Caroline Rocha</t>
  </si>
  <si>
    <t>Obirajara Lamonato</t>
  </si>
  <si>
    <t>Marcos de Sousa</t>
  </si>
  <si>
    <t>Origem Projetos e Construcoes</t>
  </si>
  <si>
    <t>MEDEIROS ROCHA PROJETOS</t>
  </si>
  <si>
    <t>64.801.904 ESTANISLAU APARECIDO SCARPELLI</t>
  </si>
  <si>
    <t>Jpb2 Empreendimentos</t>
  </si>
  <si>
    <t>Civolt Engenharia</t>
  </si>
  <si>
    <t>66.751.994 MICAEL FERREIRA MOURA</t>
  </si>
  <si>
    <t>CLEONAN PEREIRA DA ROCHA Pereira Da Rocha</t>
  </si>
  <si>
    <t>antonio Viana</t>
  </si>
  <si>
    <t>Thiago Francisco Silva Trentin</t>
  </si>
  <si>
    <t>Raphael Henrique da Silva Palitot</t>
  </si>
  <si>
    <t>Maxmiliano martins Martins</t>
  </si>
  <si>
    <t>Jefferson Silva</t>
  </si>
  <si>
    <t>CASAK CONSTRUTORA</t>
  </si>
  <si>
    <t>Dirceu Bueno Matias</t>
  </si>
  <si>
    <t>DANIEL WILBERT ENGENHARIA E CONSTRUCAO LTDA</t>
  </si>
  <si>
    <t>Elyson Duarte</t>
  </si>
  <si>
    <t>VETOR ENGENHARIA</t>
  </si>
  <si>
    <t>WCONSULT (WCON - SERVICOS TECNICOS DE ENGENHARIA S/S)</t>
  </si>
  <si>
    <t>LDO ENGENHARIA</t>
  </si>
  <si>
    <t>MUNICIPIO DE SAO DOMINGOS DO ARAGUAIA</t>
  </si>
  <si>
    <t>Alex Amann</t>
  </si>
  <si>
    <t>BRUNA CAYE &amp; CIA LTDA</t>
  </si>
  <si>
    <t>Bruna Gois</t>
  </si>
  <si>
    <t>SERVICO AUTONOMO DE AGUA E ESGOTO LUCAS DO RIO VERDE - MT</t>
  </si>
  <si>
    <t>Arthur Hasse Rodrigues</t>
  </si>
  <si>
    <t>Matheus Wesley Andrade Moreira</t>
  </si>
  <si>
    <t>Juan Ricardo Climaco Dos Santos</t>
  </si>
  <si>
    <t>Andre Lucas Lara De Oliveira</t>
  </si>
  <si>
    <t>V S COMERCIO E INDUSTRIA DE CONSTRUCOES LTDA</t>
  </si>
  <si>
    <t>Ian Pontes</t>
  </si>
  <si>
    <t>Paulo Jose Da Silva Jr</t>
  </si>
  <si>
    <t>DANIEL WOTKOSKI</t>
  </si>
  <si>
    <t>Rafael MilhomensMILHOMENS Y CASTRO</t>
  </si>
  <si>
    <t>Marcelo Bach</t>
  </si>
  <si>
    <t>Matuzalem Gonçalves Dutra</t>
  </si>
  <si>
    <t>Emyr Pimentel D Alcantara Lisboa</t>
  </si>
  <si>
    <t>Antonio Augusto De Rezende Filho</t>
  </si>
  <si>
    <t>Felipe da Silva</t>
  </si>
  <si>
    <t>SANTA CASA DE MONTES CLAROS</t>
  </si>
  <si>
    <t>Deyze Mirelle Da Luz Silva</t>
  </si>
  <si>
    <t>SOTENCO ENGENHARIA E CONSTRUCOES LTDA</t>
  </si>
  <si>
    <t>Flávio Camargo</t>
  </si>
  <si>
    <t>MUNICIPIO DE CARMOPOLIS DE MINAS</t>
  </si>
  <si>
    <t>Ryan Ricardo Lopes de Souza</t>
  </si>
  <si>
    <t>Iago Hideaki Campos Sueyosi</t>
  </si>
  <si>
    <t>Adomiran De Almeida</t>
  </si>
  <si>
    <t>Rafael Mamede</t>
  </si>
  <si>
    <t>Rodrigo Nunes</t>
  </si>
  <si>
    <t>Marcus Vinicius Nogueira De Oliveira</t>
  </si>
  <si>
    <t>Lucas Matheus Do Nascimento</t>
  </si>
  <si>
    <t>Jaison Benetti</t>
  </si>
  <si>
    <t>BRG SERVICE</t>
  </si>
  <si>
    <t>TRIPLAN PROJETOS E CONSTRUÇÃO</t>
  </si>
  <si>
    <t>LEVITA ENGENHARIA</t>
  </si>
  <si>
    <t>CONSTRUTORA NOVA VISTA LTDA</t>
  </si>
  <si>
    <t>Lucas Araujo</t>
  </si>
  <si>
    <t>Denner Morais Rocha Fernandes</t>
  </si>
  <si>
    <t>Juliano Ferreira Maciel Da Silva</t>
  </si>
  <si>
    <t>Jhony Vagner</t>
  </si>
  <si>
    <t>Kesser Bruno Barbosa Loiola de Souza</t>
  </si>
  <si>
    <t>Douglas Mariano</t>
  </si>
  <si>
    <t>Dermeval Ramos Neto</t>
  </si>
  <si>
    <t>Otoniel Macedo</t>
  </si>
  <si>
    <t>Ana Flavia Santos Feuser</t>
  </si>
  <si>
    <t>Jean Carlos Thomé</t>
  </si>
  <si>
    <t>Rodrigo Diógenes</t>
  </si>
  <si>
    <t>Adrielly Ferreira Borges Silva</t>
  </si>
  <si>
    <t>Ivan Lucas Amaro Ankler</t>
  </si>
  <si>
    <t>Rafael Alves Siqueira</t>
  </si>
  <si>
    <t>Emerson Signorini</t>
  </si>
  <si>
    <t>Patrick Faria</t>
  </si>
  <si>
    <t>BRASIL DISTRIBUIDORA COMERCIO DE PRODUTOS ALIMENTICIOS LTDA</t>
  </si>
  <si>
    <t>Valdir Bezerra de Arruda</t>
  </si>
  <si>
    <t>Maíra de Moura Gonçalves</t>
  </si>
  <si>
    <t>Thiago Oliveira</t>
  </si>
  <si>
    <t>ASSOCIACAO BAHIA NORTE DA IGREJA ADVENTISTA DO SETIMO - BA</t>
  </si>
  <si>
    <t>Henrique Halma Filipin</t>
  </si>
  <si>
    <t>ESPACO DA OBRA ARQUITETURA E ENGENHARIA</t>
  </si>
  <si>
    <t>Alexis Hideo De Mendonca</t>
  </si>
  <si>
    <t>Monalisa Engenharia</t>
  </si>
  <si>
    <t>Rafael Guimaraes De Araujo</t>
  </si>
  <si>
    <t>Hermes Bernardo da Silva</t>
  </si>
  <si>
    <t>Reginaldo Alves De Oliveira</t>
  </si>
  <si>
    <t>Claudio Rodrigues dos Santos</t>
  </si>
  <si>
    <t>PREMOLBLOCK</t>
  </si>
  <si>
    <t>Plano Visus Bid</t>
  </si>
  <si>
    <t>Visus Bid</t>
  </si>
  <si>
    <t>Bruno Amorim</t>
  </si>
  <si>
    <t>CONSTRU PIX</t>
  </si>
  <si>
    <t>MUNICIPIO DE JOACABA</t>
  </si>
  <si>
    <t>Mateus Bisatto</t>
  </si>
  <si>
    <t>MARCUS   LUIZ PEREIRA DANTAS</t>
  </si>
  <si>
    <t>Cesar Augusto Laitner De Lima</t>
  </si>
  <si>
    <t>Caetano Siqueira</t>
  </si>
  <si>
    <t>Matheus Cappelletto</t>
  </si>
  <si>
    <t>Rui Carlos Sar</t>
  </si>
  <si>
    <t>Marcio Parizotto</t>
  </si>
  <si>
    <t>AB INCORPORACOES LTDA</t>
  </si>
  <si>
    <t>Thales Perondi</t>
  </si>
  <si>
    <t>Gabriel Soares da Silva</t>
  </si>
  <si>
    <t>Wesley Souza</t>
  </si>
  <si>
    <t>Bruno Pintro Bortoluzzi</t>
  </si>
  <si>
    <t>Paulo Sérgio Salmazo</t>
  </si>
  <si>
    <t>Alexandre Breve Coral</t>
  </si>
  <si>
    <t>Sebastiao Ferreira De Carvalho Junior</t>
  </si>
  <si>
    <t>Paulo Francisco De Oliveira Reis</t>
  </si>
  <si>
    <t>ZAHIR ARQUITETURA E URBANISMO LTDA</t>
  </si>
  <si>
    <t>TISCOSKI ARQUITETURA E ENGENHARIA</t>
  </si>
  <si>
    <t>MANUSERVICE SOLUCOES INDUSTRIAIS LTDA</t>
  </si>
  <si>
    <t>Bruno Luiz De Franca Inacio</t>
  </si>
  <si>
    <t>Lucas Cavallini De Queiroz</t>
  </si>
  <si>
    <t>Rafael Spinelli De Oliveira</t>
  </si>
  <si>
    <t>VETORIUM ENGENHARIA LTDA</t>
  </si>
  <si>
    <t>Breno Souza</t>
  </si>
  <si>
    <t>Ranyere Leite Bezerra</t>
  </si>
  <si>
    <t>L&amp;a Design Arquitetura e Engenharia</t>
  </si>
  <si>
    <t>Daniel Mareze Da Costa</t>
  </si>
  <si>
    <t>Luan da Silva</t>
  </si>
  <si>
    <t>Eduardo Novaes</t>
  </si>
  <si>
    <t>Ubirajara Jacques Dos Reis Junior</t>
  </si>
  <si>
    <t>Art Projetos</t>
  </si>
  <si>
    <t>ACLARA ENGENHARIA LTDA</t>
  </si>
  <si>
    <t>Metrica Engenharia Integrada</t>
  </si>
  <si>
    <t>Andrey Oliveira</t>
  </si>
  <si>
    <t>Ludilene Batista Rodrigues de Souza</t>
  </si>
  <si>
    <t>Jefferson Kessin Geraldi</t>
  </si>
  <si>
    <t>Augusto Tagliate Tedesco</t>
  </si>
  <si>
    <t>Juliana Araujo</t>
  </si>
  <si>
    <t>Construtora Construnova</t>
  </si>
  <si>
    <t>SLN CONSTRUTORA E INCOPORADORA</t>
  </si>
  <si>
    <t>JOAO VITOR CASOLA 10028379950</t>
  </si>
  <si>
    <t>Veltron Engenharia</t>
  </si>
  <si>
    <t>Nathan Miranda</t>
  </si>
  <si>
    <t>Vitória Valente</t>
  </si>
  <si>
    <t>Gabriel Alexandre</t>
  </si>
  <si>
    <t>Nayara Zolet</t>
  </si>
  <si>
    <t>Kassem Vaz Silva Silva</t>
  </si>
  <si>
    <t>E. CORREA ENGENHARIA LTDA</t>
  </si>
  <si>
    <t>Leonardo Felix Da Silva</t>
  </si>
  <si>
    <t>Lucas Pereira</t>
  </si>
  <si>
    <t>DOISPORDOIS ENGENHARIA E CONSTRUCOES LTDA</t>
  </si>
  <si>
    <t>VALA CONSULTORIA E PROJETOS DE ENGENHARIA LTDA</t>
  </si>
  <si>
    <t>Fabricio Limeira</t>
  </si>
  <si>
    <t>Marcos Palacios</t>
  </si>
  <si>
    <t>ATOPUS ENGENHARIA</t>
  </si>
  <si>
    <t>Leandro Costa Brandão</t>
  </si>
  <si>
    <t>Antonio Carlos Miranda Junior</t>
  </si>
  <si>
    <t>Lorena Andrade Nunes Pedrosa</t>
  </si>
  <si>
    <t>Adriano Ribeiro</t>
  </si>
  <si>
    <t>Geisa Marques</t>
  </si>
  <si>
    <t>GEONORTE PROJETOS LTDA</t>
  </si>
  <si>
    <t>Beatriz Dias de Rezende</t>
  </si>
  <si>
    <t>Thomaz Cimini Chagas  Portugal</t>
  </si>
  <si>
    <t>VS ENGENHARIA &amp; ARQUITETURA LTDA</t>
  </si>
  <si>
    <t>GAST ARQUITETURA E ACABAMENTOS</t>
  </si>
  <si>
    <t>Douglas Marques</t>
  </si>
  <si>
    <t>Cintia Nascimento Carvalho</t>
  </si>
  <si>
    <t>Lucas Modtkowski</t>
  </si>
  <si>
    <t>Nivaldo Camargo Mendonça Júnior</t>
  </si>
  <si>
    <t>Alesandra Steffen</t>
  </si>
  <si>
    <t>Lucas Albuquerque Pereira De Andrade</t>
  </si>
  <si>
    <t>CONGREGAÇÃO CRISTÃ NO BRASIL</t>
  </si>
  <si>
    <t>Nilson Souza</t>
  </si>
  <si>
    <t>Billy Grahn Almeida Lima</t>
  </si>
  <si>
    <t>LUNELLI INSTALACOES</t>
  </si>
  <si>
    <t>HILARIO NAZARENO PATELLO COLARES Nazareno Patello Colares</t>
  </si>
  <si>
    <t>Pedro Paulo De Oliveira Ramos</t>
  </si>
  <si>
    <t>MAPRA ENGENHARIA</t>
  </si>
  <si>
    <t>Joydson De Carvalho</t>
  </si>
  <si>
    <t>Manasses Rezende Serafim</t>
  </si>
  <si>
    <t>Vitor Ferreira</t>
  </si>
  <si>
    <t>APLUS ENGENHARIA LTDA</t>
  </si>
  <si>
    <t>Liberato Infraestrutura de Redes</t>
  </si>
  <si>
    <t>54.347.420 ADELSON JOSE DE OLIVEIRA JUNIOR</t>
  </si>
  <si>
    <t>LUVE ENGENHARIA LTDA</t>
  </si>
  <si>
    <t>Jhonny Andrew Costa Mendes</t>
  </si>
  <si>
    <t>STEMMER RODRIGUES ARQUITETURA SS</t>
  </si>
  <si>
    <t>PALMA ENGENHARIA LTDA</t>
  </si>
  <si>
    <t>Antonio Ferreira Gomes</t>
  </si>
  <si>
    <t>Celso Andrade</t>
  </si>
  <si>
    <t>D LUZ ENGENHARIA ELETRICA</t>
  </si>
  <si>
    <t>PETRORECONCAVO S/A</t>
  </si>
  <si>
    <t>Mb Engenharia e Arquitetura</t>
  </si>
  <si>
    <t>Bruna Maldaner Dendena</t>
  </si>
  <si>
    <t>Cetec Engenharia</t>
  </si>
  <si>
    <t>David Jorge Berlim</t>
  </si>
  <si>
    <t>BD EMPREENDIMENTOS IMOBILIARIOS LTDA</t>
  </si>
  <si>
    <t>Ayslan Soares Pessoa</t>
  </si>
  <si>
    <t>VB ENGENHARIA</t>
  </si>
  <si>
    <t>Frank William Lopes</t>
  </si>
  <si>
    <t>Jhonatas Alves Ribeiro Soares</t>
  </si>
  <si>
    <t>Erick Gadelha Chagas</t>
  </si>
  <si>
    <t>Uau engenharia</t>
  </si>
  <si>
    <t>Henrique Jose Alciati</t>
  </si>
  <si>
    <t>Beltex Arquitetura e Engenharia</t>
  </si>
  <si>
    <t>Eduardo Silva de Oliveira</t>
  </si>
  <si>
    <t>Vinicius Pereira Duques</t>
  </si>
  <si>
    <t>Lucas Dos Santos Caixeta</t>
  </si>
  <si>
    <t>Karina Herika Muto</t>
  </si>
  <si>
    <t>Diego Rafael Bähr</t>
  </si>
  <si>
    <t>PORTIKOS ENGENHARIA DE PROJETOS</t>
  </si>
  <si>
    <t>Kva Solucoes em Energia</t>
  </si>
  <si>
    <t>Jennifer Duarte Brambilla</t>
  </si>
  <si>
    <t>Paulo Cesar Barbosa</t>
  </si>
  <si>
    <t>Sandro Ricardo De Souza Rocha</t>
  </si>
  <si>
    <t>FBN COMERCIO E SERVICOS LTDA</t>
  </si>
  <si>
    <t>Connect Automacao</t>
  </si>
  <si>
    <t>Augusto Assis</t>
  </si>
  <si>
    <t>Gabriel dos Santos Oliveira</t>
  </si>
  <si>
    <t>Rowstek Construcoes Eletrica</t>
  </si>
  <si>
    <t>Adriano Santana</t>
  </si>
  <si>
    <t>Miguel Almeida Gomes</t>
  </si>
  <si>
    <t>Carlos Alberto Gandra Zara</t>
  </si>
  <si>
    <t>PETROBAHIA S A</t>
  </si>
  <si>
    <t>Magnun José Ramos</t>
  </si>
  <si>
    <t>Rodrigo Leonardo Costa</t>
  </si>
  <si>
    <t>Josué de Moraes</t>
  </si>
  <si>
    <t>Strazzi Engenharia</t>
  </si>
  <si>
    <t>Carlos Eduardo Terhorst</t>
  </si>
  <si>
    <t>Cayke Luiz Rodrigues Santos</t>
  </si>
  <si>
    <t>Hisashi Inoue</t>
  </si>
  <si>
    <t>Ubirani Junior</t>
  </si>
  <si>
    <t>E2A PROJETOS CONSTRUCAO LTDA</t>
  </si>
  <si>
    <t>Daniel Soares</t>
  </si>
  <si>
    <t>Natalia Queiros</t>
  </si>
  <si>
    <t>William Oliveira</t>
  </si>
  <si>
    <t>Adalberto Duarte De Castro</t>
  </si>
  <si>
    <t>ATP SUPPLY ENGENHARIA</t>
  </si>
  <si>
    <t>Islânio Feitosa</t>
  </si>
  <si>
    <t>Winicius Rodrigues Nogueira</t>
  </si>
  <si>
    <t>Rodrigo Caetano Fernandes</t>
  </si>
  <si>
    <t>Jorge Galliote Neto</t>
  </si>
  <si>
    <t>Marcos Antonio Nunes Junior</t>
  </si>
  <si>
    <t>CONSORCIO ACEPAR-CMR4-COASTAL</t>
  </si>
  <si>
    <t>Aurelio Santos Ferreira</t>
  </si>
  <si>
    <t>Nathalia Pieroni Manacero</t>
  </si>
  <si>
    <t>Maria Fernanda Miyoko Waki</t>
  </si>
  <si>
    <t>Fabiana Pereira</t>
  </si>
  <si>
    <t>Amanda Soares De Souza Freitas</t>
  </si>
  <si>
    <t>Andre Lopes Fernandes</t>
  </si>
  <si>
    <t>Ewerton Silva</t>
  </si>
  <si>
    <t>Severino Neto</t>
  </si>
  <si>
    <t>Idelcides Junior</t>
  </si>
  <si>
    <t>Nathany Souza De Jesus Goncalves</t>
  </si>
  <si>
    <t>Rodolfo Dalariva</t>
  </si>
  <si>
    <t>Letícia Mendonça Dos Santos</t>
  </si>
  <si>
    <t>Sergio Luiz Cabral</t>
  </si>
  <si>
    <t>Pedro Henrique Volpi Souza</t>
  </si>
  <si>
    <t>Cleverton Yuri da Silva Leal</t>
  </si>
  <si>
    <t>Anna Maria Binner Duffeck Heimann</t>
  </si>
  <si>
    <t>Caio Vinicius Soares</t>
  </si>
  <si>
    <t>BERNARDO FARIA RICHTER F. Richter</t>
  </si>
  <si>
    <t>Sabrina Zomerfeld Alquieri</t>
  </si>
  <si>
    <t>Pedro Paulo Oliveira de Melo Rosa</t>
  </si>
  <si>
    <t>Igor Fernandes</t>
  </si>
  <si>
    <t>Rafael Da Silveira</t>
  </si>
  <si>
    <t>Ulisses Paulo Costa</t>
  </si>
  <si>
    <t>Mercia Bezerra De Freitas</t>
  </si>
  <si>
    <t>Daniel Thessing</t>
  </si>
  <si>
    <t>César Leme</t>
  </si>
  <si>
    <t>Felipe Braz</t>
  </si>
  <si>
    <t>Joao Artur Pereira Peleja</t>
  </si>
  <si>
    <t>TRIVIA CONSTRUCOES</t>
  </si>
  <si>
    <t>GALLIA ENGENHARIA</t>
  </si>
  <si>
    <t>PEDRO VOLPI SOUZA</t>
  </si>
  <si>
    <t>Bruno Souza Valt</t>
  </si>
  <si>
    <t>Alexandre Robert de Souza Freitas</t>
  </si>
  <si>
    <t>Caiop Farias</t>
  </si>
  <si>
    <t>Leonardo Vieira Marcondes Machado</t>
  </si>
  <si>
    <t>Mauro Henriques De Arruda</t>
  </si>
  <si>
    <t>Mariana Stocco Arcieri</t>
  </si>
  <si>
    <t>Bruno Nunes De Souza</t>
  </si>
  <si>
    <t>Alexandre TOLEDO</t>
  </si>
  <si>
    <t>Gilvan Hipolito Garcia Garcia</t>
  </si>
  <si>
    <t>Flavia Cristina Barbosa E Silva</t>
  </si>
  <si>
    <t>Silas Geraldo De Souza</t>
  </si>
  <si>
    <t>CREEK ENGENHARIA</t>
  </si>
  <si>
    <t>RAFAELA FRANCISCA BARRA AMARAL</t>
  </si>
  <si>
    <t>João Henrique Siemer Marca</t>
  </si>
  <si>
    <t>Tatiana Silva Braga</t>
  </si>
  <si>
    <t>Arthur Ramos</t>
  </si>
  <si>
    <t>GLAYTON PINHEIRO REGO Rego</t>
  </si>
  <si>
    <t>Lucas Barroso Costa</t>
  </si>
  <si>
    <t>Marcelo Latta</t>
  </si>
  <si>
    <t>Robson Borges de Oliveira</t>
  </si>
  <si>
    <t>Marcondes Gai Fagundes</t>
  </si>
  <si>
    <t>Marcelo Luis Jantsch Junior</t>
  </si>
  <si>
    <t>João Mansini</t>
  </si>
  <si>
    <t>Bianca Lorrainy Barbosa De Sousa</t>
  </si>
  <si>
    <t>Luis Fernando Nascimento Tozi</t>
  </si>
  <si>
    <t>Andril Ferraz Da Silva</t>
  </si>
  <si>
    <t>Jonatas Garcia Hurtado</t>
  </si>
  <si>
    <t>Mateus Beckhauser</t>
  </si>
  <si>
    <t>Polliane Da Conceicao Borges</t>
  </si>
  <si>
    <t>Bruno Pimentel</t>
  </si>
  <si>
    <t>Maria Do Socorro De Nazare Fernandes</t>
  </si>
  <si>
    <t>Marcio Menezes Dos Santos</t>
  </si>
  <si>
    <t>Giuliano Dos Santos</t>
  </si>
  <si>
    <t>Wesley Laezio Silva</t>
  </si>
  <si>
    <t>Camilo Almeida Briglia</t>
  </si>
  <si>
    <t>ADAILTON JUNIOR</t>
  </si>
  <si>
    <t>Jonas Roberto Bezerra</t>
  </si>
  <si>
    <t>Valquiria Sousa Santos</t>
  </si>
  <si>
    <t>Cristiane Ribeiro</t>
  </si>
  <si>
    <t>Marcio Pereira Da Costa Barros</t>
  </si>
  <si>
    <t>Rafael Lotti De Oliveira</t>
  </si>
  <si>
    <t>Yan Muniz De Carvalho</t>
  </si>
  <si>
    <t>Luis Carlos Arruda Bars Carlos Arruda Bars</t>
  </si>
  <si>
    <t>Rubem Da Silva Mendes</t>
  </si>
  <si>
    <t>Marcos Wilson Ogata</t>
  </si>
  <si>
    <t>Valeria Sousa Ferreira</t>
  </si>
  <si>
    <t>Samuel Abner Ayres</t>
  </si>
  <si>
    <t>Antonio Almeida</t>
  </si>
  <si>
    <t>Jorsandro Magalhaes Da Silva</t>
  </si>
  <si>
    <t>Karina Cousseau</t>
  </si>
  <si>
    <t>Nathan Caito Silva De Meireles</t>
  </si>
  <si>
    <t>Sandro De Jesus Pinto</t>
  </si>
  <si>
    <t>Everson Nascimento</t>
  </si>
  <si>
    <t>Guilherme De Oliveira Pelissari</t>
  </si>
  <si>
    <t>CONSTRUTORA LMC</t>
  </si>
  <si>
    <t>Mope Engenharia</t>
  </si>
  <si>
    <t>MS INSTALADORA</t>
  </si>
  <si>
    <t>FSANTOS ARQUITETURA ENGENHARIA DESIGN E PAISAGISMO LTDA</t>
  </si>
  <si>
    <t>N. A. Construcoes</t>
  </si>
  <si>
    <t>53.403.684 MARCELO APARECIDO DE LIMA FILHO</t>
  </si>
  <si>
    <t>Paulo Da Silva Gesualdo</t>
  </si>
  <si>
    <t>Warleison Sampaio Soares</t>
  </si>
  <si>
    <t>Antonio Alves Da Silva Junior</t>
  </si>
  <si>
    <t>Silvano Moreira</t>
  </si>
  <si>
    <t>Bruno Nunes Aguiar</t>
  </si>
  <si>
    <t>Prodesign</t>
  </si>
  <si>
    <t>Vinicius Berenyi</t>
  </si>
  <si>
    <t>Am2 Solucoes Sustentaveis</t>
  </si>
  <si>
    <t>Amanda Medeiros Benigno</t>
  </si>
  <si>
    <t>Engenharia Almeida</t>
  </si>
  <si>
    <t>Marcos Gabriel de Rossi Garcia</t>
  </si>
  <si>
    <t>Juliana Cunha Alves</t>
  </si>
  <si>
    <t>Andre Porto Lima</t>
  </si>
  <si>
    <t>Ricardo Borges Vitor</t>
  </si>
  <si>
    <t>Eder Pessoa</t>
  </si>
  <si>
    <t>F A CONSTRUTORA E ENGENHARIA LTDA</t>
  </si>
  <si>
    <t>Rênio Dourado</t>
  </si>
  <si>
    <t>Matheus Fonseca Campos</t>
  </si>
  <si>
    <t>Paulo Bruno Alves Maciel</t>
  </si>
  <si>
    <t>Simao Cunha Lacerda</t>
  </si>
  <si>
    <t>Narcizio Ferreira De Souza</t>
  </si>
  <si>
    <t>Flavio Carvalho Monteiro</t>
  </si>
  <si>
    <t>Darlene da Silva</t>
  </si>
  <si>
    <t>Ana Karolyne Pereira Xavier</t>
  </si>
  <si>
    <t>Marcio Francisco De Oliveira</t>
  </si>
  <si>
    <t>Vinicius Meyer Schuldz</t>
  </si>
  <si>
    <t>Eduardo Azevedo Lima</t>
  </si>
  <si>
    <t>Fabricio Gomes De Farias</t>
  </si>
  <si>
    <t>Rondinele Caetano da Silva</t>
  </si>
  <si>
    <t>Rafael Moura Engenharia</t>
  </si>
  <si>
    <t>Eduardo de Oliveira</t>
  </si>
  <si>
    <t>Josue Da Silva Junior</t>
  </si>
  <si>
    <t>Alberto Neres Gonçalves</t>
  </si>
  <si>
    <t>Christian Antonio Dos Santos</t>
  </si>
  <si>
    <t>Raquely Kaufmann Rech</t>
  </si>
  <si>
    <t>Saulo Davi</t>
  </si>
  <si>
    <t>Brenda Bárbara Moreira</t>
  </si>
  <si>
    <t>CBM ENGENHARIA LTDA</t>
  </si>
  <si>
    <t>Saulo Nakamura</t>
  </si>
  <si>
    <t>Erenice Dias</t>
  </si>
  <si>
    <t>Alessandro Adriano Olivo</t>
  </si>
  <si>
    <t>Iedson Vieira Marinho</t>
  </si>
  <si>
    <t>Darlan Cesar De Campos Quini</t>
  </si>
  <si>
    <t>Diego Callegaro</t>
  </si>
  <si>
    <t>Construtora Fetz</t>
  </si>
  <si>
    <t>July Onghero Servicos de Engenharia</t>
  </si>
  <si>
    <t>KRUG CONSTRUTORA</t>
  </si>
  <si>
    <t>GALVANOTEK EMBALAGENS LTDA.</t>
  </si>
  <si>
    <t>Dgmat Engenharia</t>
  </si>
  <si>
    <t>Douglas Soares Perico</t>
  </si>
  <si>
    <t>Guilherme Ahid</t>
  </si>
  <si>
    <t>Pamela Medeiros</t>
  </si>
  <si>
    <t>Sertao Ambiental</t>
  </si>
  <si>
    <t>Thiago Shimizu Lopes</t>
  </si>
  <si>
    <t>Jeorge Conceição</t>
  </si>
  <si>
    <t>Rafael Gois da Silva de Jesus</t>
  </si>
  <si>
    <t>M. BURKE</t>
  </si>
  <si>
    <t>Jarbas Junior dos Santos Pereira</t>
  </si>
  <si>
    <t>Alessandra Silva</t>
  </si>
  <si>
    <t>Olavo Barroso Nascimento Júnior</t>
  </si>
  <si>
    <t>Cassio Alves Trombetti</t>
  </si>
  <si>
    <t>Thiago Nogueira Correa</t>
  </si>
  <si>
    <t>Kelly Cristina Marques de Santana</t>
  </si>
  <si>
    <t>Afonso de Souza</t>
  </si>
  <si>
    <t>FABIO ALVES DOS SANTOS &amp; CIA LTDA</t>
  </si>
  <si>
    <t>JSE EMPREENDIMENTOS IMOBILIARIOS</t>
  </si>
  <si>
    <t>Leonardo Rocha Neres</t>
  </si>
  <si>
    <t>Paulo Kranzl de Oliveira</t>
  </si>
  <si>
    <t>Thauany Contardi Demarque</t>
  </si>
  <si>
    <t>Gdmilson De Jesus Lopes</t>
  </si>
  <si>
    <t>Ivane Reis</t>
  </si>
  <si>
    <t>Eron De Souza Custódio</t>
  </si>
  <si>
    <t>Pablo De Oliveira</t>
  </si>
  <si>
    <t>Luis Francisco Alves</t>
  </si>
  <si>
    <t>Otavio Silva De Souza</t>
  </si>
  <si>
    <t>Josy Santos Oliveira Faria</t>
  </si>
  <si>
    <t>Fauze Cesar Machado</t>
  </si>
  <si>
    <t>Elvis Alexandre Peteno</t>
  </si>
  <si>
    <t>André Mossambani</t>
  </si>
  <si>
    <t>Tiago Korink</t>
  </si>
  <si>
    <t>Jéssica Salomão Lourenção</t>
  </si>
  <si>
    <t>Adriano Mendonca Vieira</t>
  </si>
  <si>
    <t>Luciano Barboza Dos Santos Junior</t>
  </si>
  <si>
    <t>Danilo dos Santos Rocha</t>
  </si>
  <si>
    <t>Jhonathan De Souza Moura</t>
  </si>
  <si>
    <t>Rodrigo Pires Abreu Pinto</t>
  </si>
  <si>
    <t>Fellipe Kenedy Santos</t>
  </si>
  <si>
    <t>Maria Gabriela Do Espirito Santo Urbano</t>
  </si>
  <si>
    <t>Willian Santana Martinez</t>
  </si>
  <si>
    <t>Nathan Gilmen</t>
  </si>
  <si>
    <t>Maurílio Moreira dos Santos</t>
  </si>
  <si>
    <t>Eloisa Somavilla</t>
  </si>
  <si>
    <t>RENATO DE JESUS SOUZA</t>
  </si>
  <si>
    <t>WESLEY DOS REIS OLIVEIRA</t>
  </si>
  <si>
    <t>Renato Cristiano Zanin</t>
  </si>
  <si>
    <t>Adriano Alves</t>
  </si>
  <si>
    <t>Osiel Ribeiro</t>
  </si>
  <si>
    <t>Karine Cristina Rosa</t>
  </si>
  <si>
    <t>Giulliano Ribeiro da Silva</t>
  </si>
  <si>
    <t>Samuel Silva Costa</t>
  </si>
  <si>
    <t>Getulio Santiago Dos Santos Junior</t>
  </si>
  <si>
    <t>Peterson Araujo Quadros</t>
  </si>
  <si>
    <t>Gustavo Barbosa Santos</t>
  </si>
  <si>
    <t>Leivison Oliveira</t>
  </si>
  <si>
    <t>Andre Delfoente Leira Parente</t>
  </si>
  <si>
    <t>Marcelo Freires Pinto</t>
  </si>
  <si>
    <t>Thomas Willian De Paula Silva</t>
  </si>
  <si>
    <t>JOEBER MONTUANI DE SOUZA JORGE 33894228890</t>
  </si>
  <si>
    <t>ENGESUL ENGENHARIA E DESENVOLVIMENTO DE PRODUTOS ELETRO ELETRONICOSLTDA</t>
  </si>
  <si>
    <t>Helton Veras De Albuquerque</t>
  </si>
  <si>
    <t>Vinícius Santiago</t>
  </si>
  <si>
    <t>Edson Marteli</t>
  </si>
  <si>
    <t>Elos Arqstudio</t>
  </si>
  <si>
    <t>Construtora Malfitano</t>
  </si>
  <si>
    <t>Gustavo Borges Azocar</t>
  </si>
  <si>
    <t>Igor Souza Ogata</t>
  </si>
  <si>
    <t>Carlos Schmidt</t>
  </si>
  <si>
    <t>Osvaldo Diniz</t>
  </si>
  <si>
    <t>CONECTIVA SOLAR &amp; ENGENHARIA</t>
  </si>
  <si>
    <t>Delberg Arquitetos Associados</t>
  </si>
  <si>
    <t>Diego Gonçalves Boaventura</t>
  </si>
  <si>
    <t>Tobias De Andrade</t>
  </si>
  <si>
    <t>Joao Fernando De Lucas Costa</t>
  </si>
  <si>
    <t>Joabh Luz Da Silva</t>
  </si>
  <si>
    <t>João Fernando Schimitt</t>
  </si>
  <si>
    <t>Adriano Numer Hoffmann</t>
  </si>
  <si>
    <t>Raimundo Barbosa Quadros Neto</t>
  </si>
  <si>
    <t>Vitor Wesley Lima Da Silva</t>
  </si>
  <si>
    <t>Nicolas dos Reis da Silva</t>
  </si>
  <si>
    <t>Renato Marinho Lima</t>
  </si>
  <si>
    <t>Suzana Araujo De Melo Miranda</t>
  </si>
  <si>
    <t>Thiago Barbirato Veiga</t>
  </si>
  <si>
    <t>Carlos Franklin dos Reis</t>
  </si>
  <si>
    <t>Marco Antônio</t>
  </si>
  <si>
    <t>Gabriel Kalebe Gomes Pereira</t>
  </si>
  <si>
    <t>Alexandre Iori</t>
  </si>
  <si>
    <t>Joao Paulo Cardoso Cazarini</t>
  </si>
  <si>
    <t>Iago Moraes Souza</t>
  </si>
  <si>
    <t>Luiz Antonio Pezutto</t>
  </si>
  <si>
    <t>Paulo Fernando Sampaio Galvão Filho</t>
  </si>
  <si>
    <t>Lucas Giacomelli</t>
  </si>
  <si>
    <t>Samara Silva</t>
  </si>
  <si>
    <t>Roberto Batista de Sousa Neto</t>
  </si>
  <si>
    <t>Guilherme Martinez Scheller</t>
  </si>
  <si>
    <t>Lorena De Castro Alves</t>
  </si>
  <si>
    <t>Fabio Everton Bertalini</t>
  </si>
  <si>
    <t>Ana Carolina Reis Barbosa</t>
  </si>
  <si>
    <t>Gabriel De Sousa Moura</t>
  </si>
  <si>
    <t>Michelle Rocha Fernandes</t>
  </si>
  <si>
    <t>Franciely Chagas Da Silva</t>
  </si>
  <si>
    <t>Roniston Dourado Magalhaes</t>
  </si>
  <si>
    <t>Vitor Afonso Pacheco De Lima</t>
  </si>
  <si>
    <t>Natalia Gomes Medeiros</t>
  </si>
  <si>
    <t>Edilson Costa De Souza Filho</t>
  </si>
  <si>
    <t>Jose Roberto Do Nascimento</t>
  </si>
  <si>
    <t>Alysson Barbosa De Barros</t>
  </si>
  <si>
    <t>Douglas Arthur Coutinho Ribeiro</t>
  </si>
  <si>
    <t>Tuane Sipp</t>
  </si>
  <si>
    <t>Mayron Luan Thiesen</t>
  </si>
  <si>
    <t>Bruno De Barros Correia Damasceno</t>
  </si>
  <si>
    <t>Samuel Ferreira Coelho</t>
  </si>
  <si>
    <t>Adinelia Pinheiro Ribeiro</t>
  </si>
  <si>
    <t>Bge Energia</t>
  </si>
  <si>
    <t>RODRIGO CABANILLAS TADIOTO</t>
  </si>
  <si>
    <t>TRECENTO ENGENHARIA E CONSTRUCOES LTDA</t>
  </si>
  <si>
    <t>Euller Engenharia</t>
  </si>
  <si>
    <t>Iacplan Gestao e Planejamento Estrategico</t>
  </si>
  <si>
    <t>Antonio Rafael Melo Buosi</t>
  </si>
  <si>
    <t>Ano</t>
  </si>
  <si>
    <t>Mês</t>
  </si>
  <si>
    <t>Email</t>
  </si>
  <si>
    <t>Realizado</t>
  </si>
  <si>
    <t>ana.camargo@altoqi.com.br</t>
  </si>
  <si>
    <t>arthur.trevisiol@altoqi.com.br</t>
  </si>
  <si>
    <t>elisa.costa@altoqi.com.br</t>
  </si>
  <si>
    <t>luiz.senna@altoqi.com.br</t>
  </si>
  <si>
    <t>maria.eduarda@altoqi.com.br</t>
  </si>
  <si>
    <t>matheus.lima@altoqi.com.br</t>
  </si>
  <si>
    <t>amanda.bernardez@altoqi.com.br</t>
  </si>
  <si>
    <t>priscilla.falcao@altoqi.com.br</t>
  </si>
  <si>
    <t>daniela.cabrera@altoqi.com.br</t>
  </si>
  <si>
    <t>guilherme.marcolino@altoqi.com.br</t>
  </si>
  <si>
    <t>vanessa.sousa@altoqi.com.br</t>
  </si>
  <si>
    <t>Cargo</t>
  </si>
  <si>
    <t>OTE</t>
  </si>
  <si>
    <t>Account Executive Jr</t>
  </si>
  <si>
    <t>Account Executive Pl</t>
  </si>
  <si>
    <t>Account Executive Sr</t>
  </si>
  <si>
    <t>Inside Sales Jr</t>
  </si>
  <si>
    <t>Inside Sales Pl</t>
  </si>
  <si>
    <t>Inside Sales Sr</t>
  </si>
  <si>
    <t>Farmer Jr</t>
  </si>
  <si>
    <t>Farmer Pl</t>
  </si>
  <si>
    <t>Farmer Sr</t>
  </si>
  <si>
    <t>Sales Development Representative (SDR) I</t>
  </si>
  <si>
    <t>Sales Development Representative (SDR) II</t>
  </si>
  <si>
    <t>Inside Sales B2G Jr</t>
  </si>
  <si>
    <t>Inside Sales B2G Pl</t>
  </si>
  <si>
    <t>Inside Sales B2G Sr</t>
  </si>
  <si>
    <t>Key Account B2G I</t>
  </si>
  <si>
    <t>Key Account B2G II</t>
  </si>
  <si>
    <t>Key Account Corporate B2G Sr</t>
  </si>
  <si>
    <t>Account Executive B2G Jr</t>
  </si>
  <si>
    <t>Account Executive B2G Pl</t>
  </si>
  <si>
    <t>Account Executive B2G Sr</t>
  </si>
  <si>
    <t>Technical Pre-Sales Engineer</t>
  </si>
  <si>
    <t>Customer Success Saver Analyst Jr</t>
  </si>
  <si>
    <t>Customer Success Saver Analyst Pl</t>
  </si>
  <si>
    <t>Customer Success Saver Analyst Sr</t>
  </si>
  <si>
    <t>Customer Success Saver Specialist</t>
  </si>
  <si>
    <t>Customer Success Renewals Coordinator</t>
  </si>
  <si>
    <t>Sales Manager B2g</t>
  </si>
  <si>
    <t>Demand Generation Coordinator</t>
  </si>
  <si>
    <t>Sales Coordinator B2B</t>
  </si>
  <si>
    <t>Sales Coordinator Fsb</t>
  </si>
  <si>
    <t>Sales Manager Fsb</t>
  </si>
  <si>
    <t>Sales Coordinator B2B - E</t>
  </si>
  <si>
    <t>Sales Coordinator B2B - C</t>
  </si>
  <si>
    <t>Key Account B2G Sr</t>
  </si>
  <si>
    <t>Key Account II</t>
  </si>
  <si>
    <t>Consultor</t>
  </si>
  <si>
    <t>Equipe</t>
  </si>
  <si>
    <t>Gestor</t>
  </si>
  <si>
    <t>Tipo</t>
  </si>
  <si>
    <t>Meta Cheia</t>
  </si>
  <si>
    <t>Desconto na Meta</t>
  </si>
  <si>
    <t>Meta Proporcional</t>
  </si>
  <si>
    <t>Ponderação</t>
  </si>
  <si>
    <t>% Proteção</t>
  </si>
  <si>
    <t>Adicional na Meta</t>
  </si>
  <si>
    <t>Anderson Ortiz</t>
  </si>
  <si>
    <t>Francisco Guilherme Junior</t>
  </si>
  <si>
    <t>Rodrigo da Rosa Lima</t>
  </si>
  <si>
    <t>Denis Melo Silva</t>
  </si>
  <si>
    <t>Eloyse Silveira</t>
  </si>
  <si>
    <t>Henrique Teixeira Silva</t>
  </si>
  <si>
    <t>Rafael Acencio</t>
  </si>
  <si>
    <t>Fernanda da Silva Fertonani</t>
  </si>
  <si>
    <t>Paola Oliveira</t>
  </si>
  <si>
    <t>Aline Castilho Pureza</t>
  </si>
  <si>
    <t>Clidiani Costa</t>
  </si>
  <si>
    <t>Debora Vieira</t>
  </si>
  <si>
    <t>Mariana Rachadel</t>
  </si>
  <si>
    <t>Renata Parizotto</t>
  </si>
  <si>
    <t>Thales Mariante De Sá</t>
  </si>
  <si>
    <t>Artur Machado</t>
  </si>
  <si>
    <t>Eliane Guinther</t>
  </si>
  <si>
    <t>Renata Scheffer</t>
  </si>
  <si>
    <t>Susana Alves Becker</t>
  </si>
  <si>
    <t>Ana Camargo</t>
  </si>
  <si>
    <t>GD</t>
  </si>
  <si>
    <t>andre.cardoso@altoqi.com.br</t>
  </si>
  <si>
    <t>Opps</t>
  </si>
  <si>
    <t>Anand Freitas Figueiredo</t>
  </si>
  <si>
    <t>André Cardoso</t>
  </si>
  <si>
    <t>Arthur Treivisol</t>
  </si>
  <si>
    <t>Elisa Nickel Costa</t>
  </si>
  <si>
    <t>Luiz Arthur Falcão Senna</t>
  </si>
  <si>
    <t>Maria Eduarda Barbosa</t>
  </si>
  <si>
    <t>Matheus Fiebig</t>
  </si>
  <si>
    <t>Sarai Daniela</t>
  </si>
  <si>
    <t>Angélica da Silva Steinbach</t>
  </si>
  <si>
    <t>marcelo.maestro@altoqi.com.br</t>
  </si>
  <si>
    <t>Booking</t>
  </si>
  <si>
    <t>Carla Araujo</t>
  </si>
  <si>
    <t>Deize Marla Rudek</t>
  </si>
  <si>
    <t>Fernanda Cristina Barbosa</t>
  </si>
  <si>
    <t>Henry Carlos Petersen</t>
  </si>
  <si>
    <t>Jenifer das Dores Soares</t>
  </si>
  <si>
    <t>Jordayn Almeida</t>
  </si>
  <si>
    <t>Leandro Fontana da Silva</t>
  </si>
  <si>
    <t>Marcelo Maestro</t>
  </si>
  <si>
    <t>Meta Atingida</t>
  </si>
  <si>
    <t>Nathan Alves</t>
  </si>
  <si>
    <t>Soraia Fronchetti</t>
  </si>
  <si>
    <t>Tabata Couto</t>
  </si>
  <si>
    <t>Beatriz Nau</t>
  </si>
  <si>
    <t>Cintia Faraco</t>
  </si>
  <si>
    <t>Francyellen Batista</t>
  </si>
  <si>
    <t>Jaqueline Correa</t>
  </si>
  <si>
    <t>Marcela Accacio</t>
  </si>
  <si>
    <t>Rosana Machado</t>
  </si>
  <si>
    <t>Rubia Estipe</t>
  </si>
  <si>
    <t>Silvia Estipe</t>
  </si>
  <si>
    <t>Sonia Maria Zielinski Pockszevnicki</t>
  </si>
  <si>
    <t>Sonia</t>
  </si>
  <si>
    <t>rafael.motta@altoqi.com.br</t>
  </si>
  <si>
    <t>Rafael Marquez Motta</t>
  </si>
  <si>
    <t>Felipe Labes</t>
  </si>
  <si>
    <t>Guilherme Marcolino</t>
  </si>
  <si>
    <t>Vanessa Sousa</t>
  </si>
  <si>
    <t>Maicon Rodrigo Fentzke</t>
  </si>
  <si>
    <t>Eduarda Cardozo</t>
  </si>
  <si>
    <t>Cliff OTE 01</t>
  </si>
  <si>
    <t>OTE 01 Cheio</t>
  </si>
  <si>
    <t>OTE 01 Proporcional</t>
  </si>
  <si>
    <t>Cliff OTE 02</t>
  </si>
  <si>
    <t>OTE 02 Cheio</t>
  </si>
  <si>
    <t>OTE 02 Proporcional</t>
  </si>
  <si>
    <t>Cliff OTE 03</t>
  </si>
  <si>
    <t>OTE 03 Cheio</t>
  </si>
  <si>
    <t>OTE 03 Proporcional</t>
  </si>
  <si>
    <t>Cliff Acelerador 01</t>
  </si>
  <si>
    <t>Acelerador OTE 01</t>
  </si>
  <si>
    <t>Cliff Acelerador 02</t>
  </si>
  <si>
    <t>Val Acelerador OTE 02</t>
  </si>
  <si>
    <t>Cliff Acelerador 03</t>
  </si>
  <si>
    <t>Acelerador OTE 03</t>
  </si>
  <si>
    <t>Cliff Booking Extra</t>
  </si>
  <si>
    <t>% Booking Extra</t>
  </si>
  <si>
    <t>Account Executive SR</t>
  </si>
  <si>
    <t>Farmer JR</t>
  </si>
  <si>
    <t>Eduarda Cardozo da Silva</t>
  </si>
  <si>
    <t>Inside Sales B2g Jr</t>
  </si>
  <si>
    <t>Inside Sales B2g Sr</t>
  </si>
  <si>
    <t>Inside Sales B2g Pl</t>
  </si>
  <si>
    <t>Raquel Zanatta Milet Brandao</t>
  </si>
  <si>
    <t>Farmer SR</t>
  </si>
  <si>
    <t>Luciana dos Santos Vieira</t>
  </si>
  <si>
    <t>luciana.vieira@altoqi.com.br</t>
  </si>
  <si>
    <t>Pipeline</t>
  </si>
  <si>
    <t>À Vista</t>
  </si>
  <si>
    <t>CC Até 3x</t>
  </si>
  <si>
    <t>CC Até 12x</t>
  </si>
  <si>
    <t>Recorrente</t>
  </si>
  <si>
    <t>B2B</t>
  </si>
  <si>
    <t>Patamar</t>
  </si>
  <si>
    <t>%</t>
  </si>
  <si>
    <t>Recuperação de Dívidas</t>
  </si>
  <si>
    <t>Recuperação de Cancelamentos</t>
  </si>
  <si>
    <t>Consultora</t>
  </si>
  <si>
    <t>Valor</t>
  </si>
  <si>
    <t>Link</t>
  </si>
  <si>
    <t>Contrato</t>
  </si>
  <si>
    <t>Fechamento</t>
  </si>
  <si>
    <t>Data de Início</t>
  </si>
  <si>
    <t>Data de Renovação</t>
  </si>
  <si>
    <t>Valor Original</t>
  </si>
  <si>
    <t>Valor Ajustado</t>
  </si>
  <si>
    <t>Comissão</t>
  </si>
  <si>
    <t>https://app.hubspot.com/contacts/44552714/record/0-3/51931137662/</t>
  </si>
  <si>
    <t>https://app.hubspot.com/contacts/44552714/record/0-3/54286871438/</t>
  </si>
  <si>
    <t>https://app.hubspot.com/contacts/44552714/record/0-3/54347298840/</t>
  </si>
  <si>
    <t>https://app.hubspot.com/contacts/44552714/record/0-3/52580585476/</t>
  </si>
  <si>
    <t>https://app.hubspot.com/contacts/44552714/record/0-3/53676149284/</t>
  </si>
  <si>
    <t>barbara.oliveira@altoqi.com.br</t>
  </si>
  <si>
    <t>https://app.hubspot.com/contacts/44552714/record/0-3/53746796930/</t>
  </si>
  <si>
    <t>https://app.hubspot.com/contacts/44552714/record/0-3/52875501423/</t>
  </si>
  <si>
    <t>https://app.hubspot.com/contacts/44552714/record/0-3/53395107509/</t>
  </si>
  <si>
    <t>https://app.hubspot.com/contacts/44552714/record/0-3/52590399574/</t>
  </si>
  <si>
    <t>https://app.hubspot.com/contacts/44552714/record/0-3/53502195048/</t>
  </si>
  <si>
    <t>https://app.hubspot.com/contacts/44552714/record/0-3/51940525129/</t>
  </si>
  <si>
    <t>https://app.hubspot.com/contacts/44552714/record/0-3/52252501884/</t>
  </si>
  <si>
    <t>https://app.hubspot.com/contacts/44552714/record/0-3/54266527393/</t>
  </si>
  <si>
    <t>https://app.hubspot.com/contacts/44552714/record/0-3/54438353496</t>
  </si>
  <si>
    <t>https://app.hubspot.com/contacts/44552714/record/0-3/56200267835</t>
  </si>
  <si>
    <t>https://app.hubspot.com/contacts/44552714/record/0-3/53894895626</t>
  </si>
  <si>
    <t>https://app.hubspot.com/contacts/44552714/record/0-3/52908382276</t>
  </si>
  <si>
    <t>https://app.hubspot.com/contacts/44552714/record/0-3/53464701866</t>
  </si>
  <si>
    <t>https://app.hubspot.com/contacts/44552714/record/0-3/56270212417</t>
  </si>
  <si>
    <t>https://app.hubspot.com/contacts/44552714/record/0-3/56175393342</t>
  </si>
  <si>
    <t>https://app.hubspot.com/contacts/44552714/record/0-3/56896681036/</t>
  </si>
  <si>
    <t>https://app.hubspot.com/contacts/44552714/record/0-3/56545066306</t>
  </si>
  <si>
    <t>https://app.hubspot.com/contacts/44552714/record/0-3/53632891277</t>
  </si>
  <si>
    <t>https://app.hubspot.com/contacts/44552714/record/0-3/56563684167</t>
  </si>
  <si>
    <t>https://app.hubspot.com/contacts/44552714/record/0-3/55045543258</t>
  </si>
  <si>
    <t>https://app.hubspot.com/contacts/44552714/record/0-3/57350687529</t>
  </si>
  <si>
    <t>https://app.hubspot.com/contacts/44552714/record/0-3/56829009254</t>
  </si>
  <si>
    <t>https://app.hubspot.com/contacts/44552714/record/0-3/56935795090</t>
  </si>
  <si>
    <t>https://app.hubspot.com/contacts/44552714/record/0-3/57499511056</t>
  </si>
  <si>
    <t>https://app.hubspot.com/contacts/44552714/record/0-3/54983983992</t>
  </si>
  <si>
    <t>https://app.hubspot.com/contacts/44552714/record/0-3/55511224379</t>
  </si>
  <si>
    <t>https://app.hubspot.com/contacts/44552714/record/0-3/55389494652</t>
  </si>
  <si>
    <t>https://app.hubspot.com/contacts/44552714/record/0-3/52218593300</t>
  </si>
  <si>
    <t>https://app.hubspot.com/contacts/44552714/record/0-3/53700973447</t>
  </si>
  <si>
    <t>https://app.hubspot.com/contacts/44552714/record/0-3/54019420841</t>
  </si>
  <si>
    <t>https://app.hubspot.com/contacts/44552714/record/0-3/58208753066</t>
  </si>
  <si>
    <t>https://app.hubspot.com/contacts/44552714/record/0-3/53269722885</t>
  </si>
  <si>
    <t>https://app.hubspot.com/contacts/44552714/record/0-3/52920040752</t>
  </si>
  <si>
    <t>https://app.hubspot.com/contacts/44552714/record/0-3/55803239863</t>
  </si>
  <si>
    <t>https://app.hubspot.com/contacts/44552714/record/0-3/53874574998</t>
  </si>
  <si>
    <t>https://app.hubspot.com/contacts/44552714/record/0-3/54394608466</t>
  </si>
  <si>
    <t>https://app.hubspot.com/contacts/44552714/record/0-3/56989700430</t>
  </si>
  <si>
    <t>https://app.hubspot.com/contacts/44552714/record/0-3/54616134502/</t>
  </si>
  <si>
    <t>https://app.hubspot.com/contacts/44552714/record/0-3/52071538314/</t>
  </si>
  <si>
    <t>https://app.hubspot.com/contacts/44552714/record/0-3/52332122950/</t>
  </si>
  <si>
    <t>https://app.hubspot.com/contacts/44552714/record/0-3/58204706850/</t>
  </si>
  <si>
    <t>https://app.hubspot.com/contacts/44552714/record/0-3/55030985570/</t>
  </si>
  <si>
    <t>https://app.hubspot.com/contacts/44552714/record/0-3/54597094249/</t>
  </si>
  <si>
    <t>https://app.hubspot.com/contacts/44552714/record/0-3/55517200310/</t>
  </si>
  <si>
    <t>https://app.hubspot.com/contacts/44552714/record/0-3/58066274171</t>
  </si>
  <si>
    <t>https://app.hubspot.com/contacts/44552714/record/0-3/54606399414</t>
  </si>
  <si>
    <t>https://app.hubspot.com/contacts/44552714/record/0-3/58447449245</t>
  </si>
  <si>
    <t>https://app.hubspot.com/contacts/44552714/record/0-3/57102403207</t>
  </si>
  <si>
    <t>https://app.hubspot.com/contacts/44552714/record/0-3/57825381913</t>
  </si>
  <si>
    <t>https://app.hubspot.com/contacts/44552714/record/0-3/59186362453</t>
  </si>
  <si>
    <t>https://app.hubspot.com/contacts/44552714/record/0-3/59273235989</t>
  </si>
  <si>
    <t>https://app.hubspot.com/contacts/44552714/record/0-3/55927465482</t>
  </si>
  <si>
    <t>https://app.hubspot.com/contacts/44552714/record/0-3/58656109831</t>
  </si>
  <si>
    <t>https://app.hubspot.com/contacts/44552714/record/0-3/58134760781</t>
  </si>
  <si>
    <t>https://app.hubspot.com/contacts/44552714/record/0-3/53425715216</t>
  </si>
  <si>
    <t>https://app.hubspot.com/contacts/44552714/record/0-3/58651322541</t>
  </si>
  <si>
    <t>https://app.hubspot.com/contacts/44552714/record/0-3/57487779096</t>
  </si>
  <si>
    <t>https://app.hubspot.com/contacts/44552714/record/0-3/55590193498</t>
  </si>
  <si>
    <t>https://app.hubspot.com/contacts/44552714/record/0-3/59158345585</t>
  </si>
  <si>
    <t>https://app.hubspot.com/contacts/44552714/record/0-3/59369598864</t>
  </si>
  <si>
    <t>https://app.hubspot.com/contacts/44552714/record/0-3/59169328250</t>
  </si>
  <si>
    <t>https://app.hubspot.com/contacts/44552714/record/0-3/57837260658</t>
  </si>
  <si>
    <t>https://app.hubspot.com/contacts/44552714/record/0-3/59094203532</t>
  </si>
  <si>
    <t>Jessica.Souza@altoqi.com.br</t>
  </si>
  <si>
    <t>https://app.hubspot.com/contacts/44552714/record/0-3/60152450650</t>
  </si>
  <si>
    <t>https://app.hubspot.com/contacts/44552714/record/0-3/54215388308</t>
  </si>
  <si>
    <t>https://app.hubspot.com/contacts/44552714/record/0-3/59571141954</t>
  </si>
  <si>
    <t>https://app.hubspot.com/contacts/44552714/record/0-3/58938837935</t>
  </si>
  <si>
    <t>https://app.hubspot.com/contacts/44552714/record/0-3/59148474778</t>
  </si>
  <si>
    <t>https://app.hubspot.com/contacts/44552714/record/0-3/57481967726</t>
  </si>
  <si>
    <t>https://app.hubspot.com/contacts/44552714/record/0-3/57406379309</t>
  </si>
  <si>
    <t>https://app.hubspot.com/contacts/44552714/record/0-3/55932340077</t>
  </si>
  <si>
    <t>https://app.hubspot.com/contacts/44552714/record/0-3/60006796888</t>
  </si>
  <si>
    <t>https://app.hubspot.com/contacts/44552714/record/0-3/59026335258</t>
  </si>
  <si>
    <t>https://app.hubspot.com/contacts/44552714/record/0-3/60141334881</t>
  </si>
  <si>
    <t>https://app.hubspot.com/contacts/44552714/record/0-3/58999706165</t>
  </si>
  <si>
    <t>https://app.hubspot.com/contacts/44552714/record/0-3/60330788224</t>
  </si>
  <si>
    <t>https://app.hubspot.com/contacts/44552714/record/0-3/60074983605</t>
  </si>
  <si>
    <t>https://app.hubspot.com/contacts/44552714/record/0-3/59980855100</t>
  </si>
  <si>
    <t>Meta</t>
  </si>
  <si>
    <t>% Atingido</t>
  </si>
  <si>
    <t>Cliff</t>
  </si>
  <si>
    <t>Parte da verda</t>
  </si>
  <si>
    <t>% À Vista</t>
  </si>
  <si>
    <t>Mult</t>
  </si>
  <si>
    <t>% CC até 3x</t>
  </si>
  <si>
    <t>% CC até 12x</t>
  </si>
  <si>
    <t>% Recorrente</t>
  </si>
  <si>
    <t>OTE Base</t>
  </si>
  <si>
    <t>Acelerador OTE</t>
  </si>
  <si>
    <t>OTE Ajustado</t>
  </si>
  <si>
    <t>OTE Variável</t>
  </si>
  <si>
    <t>Bookings Extras</t>
  </si>
  <si>
    <t>Comissão Bookings Extras</t>
  </si>
  <si>
    <t>Dívidas Pagas</t>
  </si>
  <si>
    <t>Comissão Sobre Dívidas Pagas</t>
  </si>
  <si>
    <t>Realizado Trimestral Individual</t>
  </si>
  <si>
    <t>Meta Trimestral Individual</t>
  </si>
  <si>
    <t>% Trimestral Individual</t>
  </si>
  <si>
    <t>Realizado Trimestral Equipe</t>
  </si>
  <si>
    <t>Meta Trimestral Equipe</t>
  </si>
  <si>
    <t>% Trimestral Equipe</t>
  </si>
  <si>
    <t>Comissão Trimestral Individual</t>
  </si>
  <si>
    <t>Comissão Trimestral Equipe</t>
  </si>
  <si>
    <t>Faixa Atingida</t>
  </si>
  <si>
    <t>Trimestral</t>
  </si>
  <si>
    <t>Ajuste Trimestral</t>
  </si>
  <si>
    <t>Atingido Ponderado</t>
  </si>
  <si>
    <t>Pago no Mensal</t>
  </si>
  <si>
    <t>Ajuste</t>
  </si>
  <si>
    <t>Q1/26 Raquel</t>
  </si>
  <si>
    <t>Q1/26 Masraschin</t>
  </si>
  <si>
    <t>Q1/26 João</t>
  </si>
  <si>
    <t>Peso Renovações</t>
  </si>
  <si>
    <t>Peso Ares</t>
  </si>
  <si>
    <t>Peso NRC</t>
  </si>
  <si>
    <t>Peso Deméter</t>
  </si>
  <si>
    <t>Real</t>
  </si>
  <si>
    <t>Renovações</t>
  </si>
  <si>
    <t>% entrega</t>
  </si>
  <si>
    <t>ARES</t>
  </si>
  <si>
    <t>Constr</t>
  </si>
  <si>
    <t>Janeiro</t>
  </si>
  <si>
    <t>Escrit</t>
  </si>
  <si>
    <t>Fevereiro</t>
  </si>
  <si>
    <t>Março</t>
  </si>
  <si>
    <t>Total</t>
  </si>
  <si>
    <t>Ensino</t>
  </si>
  <si>
    <t>TOTAL</t>
  </si>
  <si>
    <t>NRC</t>
  </si>
  <si>
    <t>Deméter</t>
  </si>
  <si>
    <t>Q1</t>
  </si>
  <si>
    <t>Modelagem</t>
  </si>
  <si>
    <t>mrr</t>
  </si>
  <si>
    <t>Cáculo Variável</t>
  </si>
  <si>
    <t>DEMETER</t>
  </si>
  <si>
    <t>Variável</t>
  </si>
  <si>
    <t>Base de Pagamento Variável</t>
  </si>
  <si>
    <t>NRC do Q</t>
  </si>
  <si>
    <t>Cliff - 70%</t>
  </si>
  <si>
    <t>Referência</t>
  </si>
  <si>
    <t>Base</t>
  </si>
  <si>
    <t>70% a 89,99%</t>
  </si>
  <si>
    <t>60% Var</t>
  </si>
  <si>
    <t>90% a 109,99%</t>
  </si>
  <si>
    <t>80% Var</t>
  </si>
  <si>
    <t>acima de 110%</t>
  </si>
  <si>
    <t>100% Var</t>
  </si>
  <si>
    <t>Consultores</t>
  </si>
  <si>
    <t>Bateram Meta</t>
  </si>
  <si>
    <t>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</si>
</sst>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R$&quot;\ #,##0.00;[Red]\-&quot;R$&quot;\ #,##0.00"/>
    <numFmt numFmtId="43" formatCode="_-* #,##0.00_-;\-* #,##0.00_-;_-* &quot;-&quot;??_-;_-@_-"/>
    <numFmt numFmtId="164" formatCode="&quot;R$&quot;\ #,##0.00"/>
    <numFmt numFmtId="165" formatCode="[$-416]mmm\-yy;@"/>
    <numFmt numFmtId="166" formatCode="_-* #,##0.0000_-;\-* #,##0.0000_-;_-* &quot;-&quot;??_-;_-@_-"/>
    <numFmt numFmtId="167" formatCode="0.000%"/>
  </numFmts>
  <fonts count="10">
    <font>
      <sz val="11"/>
      <color theme="1"/>
      <name val="Calibri"/>
      <family val="2"/>
      <scheme val="minor"/>
    </font>
    <font>
      <sz val="10"/>
      <color theme="1"/>
      <name val="Arial"/>
      <charset val="1"/>
    </font>
    <font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charset val="1"/>
    </font>
    <font>
      <b/>
      <sz val="11"/>
      <color theme="1"/>
      <name val="Aptos Narrow"/>
      <charset val="1"/>
    </font>
    <font>
      <sz val="11"/>
      <color theme="1"/>
      <name val="Arial"/>
      <charset val="1"/>
    </font>
    <font>
      <sz val="11"/>
      <color theme="1"/>
      <name val="Aptos Narrow"/>
      <charset val="1"/>
    </font>
    <font>
      <b/>
      <i/>
      <sz val="11"/>
      <color rgb="FFFF0000"/>
      <name val="Aptos Narrow"/>
      <charset val="1"/>
    </font>
    <font>
      <b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dashed">
        <color rgb="FF000000"/>
      </right>
      <top style="medium">
        <color rgb="FF000000"/>
      </top>
      <bottom/>
      <diagonal/>
    </border>
    <border>
      <left/>
      <right style="dashed">
        <color rgb="FF000000"/>
      </right>
      <top/>
      <bottom/>
      <diagonal/>
    </border>
    <border>
      <left style="medium">
        <color rgb="FF000000"/>
      </left>
      <right style="dashed">
        <color rgb="FF000000"/>
      </right>
      <top style="medium">
        <color rgb="FF000000"/>
      </top>
      <bottom/>
      <diagonal/>
    </border>
    <border>
      <left style="medium">
        <color rgb="FF000000"/>
      </left>
      <right style="dashed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/>
      <right/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CCCCCC"/>
      </top>
      <bottom style="thin">
        <color rgb="FF000000"/>
      </bottom>
      <diagonal/>
    </border>
    <border>
      <left/>
      <right style="dotted">
        <color rgb="FF000000"/>
      </right>
      <top/>
      <bottom/>
      <diagonal/>
    </border>
    <border>
      <left/>
      <right style="dotted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49">
    <xf numFmtId="0" fontId="0" fillId="0" borderId="0" xfId="0"/>
    <xf numFmtId="14" fontId="0" fillId="0" borderId="0" xfId="0" applyNumberFormat="1"/>
    <xf numFmtId="0" fontId="1" fillId="0" borderId="5" xfId="0" applyFont="1" applyBorder="1" applyAlignment="1">
      <alignment readingOrder="1"/>
    </xf>
    <xf numFmtId="0" fontId="1" fillId="0" borderId="6" xfId="0" applyFont="1" applyBorder="1" applyAlignment="1">
      <alignment readingOrder="1"/>
    </xf>
    <xf numFmtId="0" fontId="1" fillId="0" borderId="7" xfId="0" applyFont="1" applyBorder="1" applyAlignment="1">
      <alignment readingOrder="1"/>
    </xf>
    <xf numFmtId="0" fontId="1" fillId="0" borderId="8" xfId="0" applyFont="1" applyBorder="1" applyAlignment="1">
      <alignment readingOrder="1"/>
    </xf>
    <xf numFmtId="0" fontId="1" fillId="0" borderId="9" xfId="0" applyFont="1" applyBorder="1" applyAlignment="1">
      <alignment readingOrder="1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8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164" fontId="2" fillId="0" borderId="15" xfId="0" applyNumberFormat="1" applyFont="1" applyBorder="1" applyAlignment="1">
      <alignment horizontal="center"/>
    </xf>
    <xf numFmtId="9" fontId="2" fillId="0" borderId="17" xfId="0" applyNumberFormat="1" applyFont="1" applyBorder="1" applyAlignment="1">
      <alignment horizontal="center"/>
    </xf>
    <xf numFmtId="9" fontId="2" fillId="0" borderId="18" xfId="0" applyNumberFormat="1" applyFont="1" applyBorder="1" applyAlignment="1">
      <alignment horizontal="center"/>
    </xf>
    <xf numFmtId="164" fontId="2" fillId="0" borderId="13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0" xfId="0" applyFont="1" applyAlignment="1">
      <alignment horizontal="center"/>
    </xf>
    <xf numFmtId="10" fontId="0" fillId="0" borderId="15" xfId="0" applyNumberFormat="1" applyBorder="1" applyAlignment="1">
      <alignment horizontal="center"/>
    </xf>
    <xf numFmtId="43" fontId="0" fillId="0" borderId="0" xfId="0" applyNumberFormat="1"/>
    <xf numFmtId="0" fontId="1" fillId="0" borderId="3" xfId="0" applyFont="1" applyBorder="1" applyAlignment="1">
      <alignment readingOrder="1"/>
    </xf>
    <xf numFmtId="0" fontId="5" fillId="0" borderId="26" xfId="0" applyFont="1" applyBorder="1" applyAlignment="1">
      <alignment readingOrder="1"/>
    </xf>
    <xf numFmtId="0" fontId="5" fillId="0" borderId="9" xfId="0" applyFont="1" applyBorder="1" applyAlignment="1">
      <alignment readingOrder="1"/>
    </xf>
    <xf numFmtId="9" fontId="5" fillId="0" borderId="9" xfId="0" applyNumberFormat="1" applyFont="1" applyBorder="1" applyAlignment="1">
      <alignment readingOrder="1"/>
    </xf>
    <xf numFmtId="0" fontId="5" fillId="0" borderId="6" xfId="0" applyFont="1" applyBorder="1" applyAlignment="1">
      <alignment readingOrder="1"/>
    </xf>
    <xf numFmtId="0" fontId="4" fillId="0" borderId="6" xfId="0" applyFont="1" applyBorder="1" applyAlignment="1">
      <alignment readingOrder="1"/>
    </xf>
    <xf numFmtId="0" fontId="5" fillId="0" borderId="9" xfId="0" applyFont="1" applyBorder="1" applyAlignment="1">
      <alignment horizontal="center" readingOrder="1"/>
    </xf>
    <xf numFmtId="8" fontId="6" fillId="0" borderId="9" xfId="0" applyNumberFormat="1" applyFont="1" applyBorder="1" applyAlignment="1">
      <alignment horizontal="center" readingOrder="1"/>
    </xf>
    <xf numFmtId="10" fontId="7" fillId="0" borderId="9" xfId="0" applyNumberFormat="1" applyFont="1" applyBorder="1" applyAlignment="1">
      <alignment horizontal="center" readingOrder="1"/>
    </xf>
    <xf numFmtId="8" fontId="5" fillId="0" borderId="9" xfId="0" applyNumberFormat="1" applyFont="1" applyBorder="1" applyAlignment="1">
      <alignment horizontal="center" readingOrder="1"/>
    </xf>
    <xf numFmtId="10" fontId="5" fillId="0" borderId="9" xfId="0" applyNumberFormat="1" applyFont="1" applyBorder="1" applyAlignment="1">
      <alignment horizontal="center" readingOrder="1"/>
    </xf>
    <xf numFmtId="0" fontId="1" fillId="0" borderId="8" xfId="0" applyFont="1" applyBorder="1" applyAlignment="1">
      <alignment horizontal="center" readingOrder="1"/>
    </xf>
    <xf numFmtId="0" fontId="1" fillId="0" borderId="9" xfId="0" applyFont="1" applyBorder="1" applyAlignment="1">
      <alignment horizontal="center" readingOrder="1"/>
    </xf>
    <xf numFmtId="0" fontId="4" fillId="0" borderId="9" xfId="0" applyFont="1" applyBorder="1" applyAlignment="1">
      <alignment horizontal="center" readingOrder="1"/>
    </xf>
    <xf numFmtId="0" fontId="5" fillId="2" borderId="9" xfId="0" applyFont="1" applyFill="1" applyBorder="1" applyAlignment="1">
      <alignment horizontal="center" readingOrder="1"/>
    </xf>
    <xf numFmtId="0" fontId="6" fillId="0" borderId="9" xfId="0" applyFont="1" applyBorder="1" applyAlignment="1">
      <alignment horizontal="center" readingOrder="1"/>
    </xf>
    <xf numFmtId="0" fontId="7" fillId="0" borderId="9" xfId="0" applyFont="1" applyBorder="1" applyAlignment="1">
      <alignment horizontal="center" readingOrder="1"/>
    </xf>
    <xf numFmtId="8" fontId="7" fillId="0" borderId="9" xfId="0" applyNumberFormat="1" applyFont="1" applyBorder="1" applyAlignment="1">
      <alignment horizontal="center" readingOrder="1"/>
    </xf>
    <xf numFmtId="0" fontId="1" fillId="0" borderId="5" xfId="0" applyFont="1" applyBorder="1" applyAlignment="1">
      <alignment horizontal="center" readingOrder="1"/>
    </xf>
    <xf numFmtId="0" fontId="1" fillId="0" borderId="6" xfId="0" applyFont="1" applyBorder="1" applyAlignment="1">
      <alignment horizontal="center" readingOrder="1"/>
    </xf>
    <xf numFmtId="3" fontId="7" fillId="0" borderId="9" xfId="0" applyNumberFormat="1" applyFont="1" applyBorder="1" applyAlignment="1">
      <alignment horizontal="center" readingOrder="1"/>
    </xf>
    <xf numFmtId="9" fontId="7" fillId="0" borderId="9" xfId="0" applyNumberFormat="1" applyFont="1" applyBorder="1" applyAlignment="1">
      <alignment horizontal="center" readingOrder="1"/>
    </xf>
    <xf numFmtId="8" fontId="8" fillId="0" borderId="6" xfId="0" applyNumberFormat="1" applyFont="1" applyBorder="1" applyAlignment="1">
      <alignment horizontal="center" readingOrder="1"/>
    </xf>
    <xf numFmtId="0" fontId="5" fillId="2" borderId="26" xfId="0" applyFont="1" applyFill="1" applyBorder="1" applyAlignment="1">
      <alignment horizontal="center" readingOrder="1"/>
    </xf>
    <xf numFmtId="0" fontId="6" fillId="0" borderId="26" xfId="0" applyFont="1" applyBorder="1" applyAlignment="1">
      <alignment horizontal="center" readingOrder="1"/>
    </xf>
    <xf numFmtId="0" fontId="7" fillId="0" borderId="26" xfId="0" applyFont="1" applyBorder="1" applyAlignment="1">
      <alignment horizontal="center" readingOrder="1"/>
    </xf>
    <xf numFmtId="0" fontId="1" fillId="0" borderId="7" xfId="0" applyFont="1" applyBorder="1" applyAlignment="1">
      <alignment horizontal="center" readingOrder="1"/>
    </xf>
    <xf numFmtId="164" fontId="1" fillId="0" borderId="6" xfId="0" applyNumberFormat="1" applyFont="1" applyBorder="1" applyAlignment="1">
      <alignment horizontal="center" readingOrder="1"/>
    </xf>
    <xf numFmtId="164" fontId="8" fillId="0" borderId="6" xfId="0" applyNumberFormat="1" applyFont="1" applyBorder="1" applyAlignment="1">
      <alignment horizontal="center" readingOrder="1"/>
    </xf>
    <xf numFmtId="164" fontId="1" fillId="0" borderId="9" xfId="0" applyNumberFormat="1" applyFont="1" applyBorder="1" applyAlignment="1">
      <alignment horizontal="center" readingOrder="1"/>
    </xf>
    <xf numFmtId="0" fontId="1" fillId="0" borderId="1" xfId="0" applyFont="1" applyBorder="1" applyAlignment="1">
      <alignment horizontal="center" readingOrder="1"/>
    </xf>
    <xf numFmtId="0" fontId="7" fillId="0" borderId="2" xfId="0" applyFont="1" applyBorder="1" applyAlignment="1">
      <alignment horizontal="center" readingOrder="1"/>
    </xf>
    <xf numFmtId="0" fontId="1" fillId="0" borderId="3" xfId="0" applyFont="1" applyBorder="1" applyAlignment="1">
      <alignment horizontal="center" readingOrder="1"/>
    </xf>
    <xf numFmtId="0" fontId="1" fillId="0" borderId="2" xfId="0" applyFont="1" applyBorder="1" applyAlignment="1">
      <alignment horizontal="center" readingOrder="1"/>
    </xf>
    <xf numFmtId="0" fontId="1" fillId="0" borderId="4" xfId="0" applyFont="1" applyBorder="1" applyAlignment="1">
      <alignment horizontal="center" readingOrder="1"/>
    </xf>
    <xf numFmtId="0" fontId="7" fillId="0" borderId="5" xfId="0" applyFont="1" applyBorder="1" applyAlignment="1">
      <alignment horizontal="center" readingOrder="1"/>
    </xf>
    <xf numFmtId="0" fontId="7" fillId="0" borderId="6" xfId="0" applyFont="1" applyBorder="1" applyAlignment="1">
      <alignment horizontal="center" readingOrder="1"/>
    </xf>
    <xf numFmtId="165" fontId="6" fillId="0" borderId="4" xfId="0" applyNumberFormat="1" applyFont="1" applyBorder="1" applyAlignment="1">
      <alignment horizontal="center" readingOrder="1"/>
    </xf>
    <xf numFmtId="4" fontId="6" fillId="0" borderId="5" xfId="0" applyNumberFormat="1" applyFont="1" applyBorder="1" applyAlignment="1">
      <alignment horizontal="center" readingOrder="1"/>
    </xf>
    <xf numFmtId="10" fontId="7" fillId="0" borderId="6" xfId="0" applyNumberFormat="1" applyFont="1" applyBorder="1" applyAlignment="1">
      <alignment horizontal="center" readingOrder="1"/>
    </xf>
    <xf numFmtId="10" fontId="6" fillId="0" borderId="6" xfId="0" applyNumberFormat="1" applyFont="1" applyBorder="1" applyAlignment="1">
      <alignment horizontal="center" readingOrder="1"/>
    </xf>
    <xf numFmtId="0" fontId="7" fillId="0" borderId="7" xfId="0" applyFont="1" applyBorder="1" applyAlignment="1">
      <alignment horizontal="center" readingOrder="1"/>
    </xf>
    <xf numFmtId="10" fontId="7" fillId="0" borderId="8" xfId="0" applyNumberFormat="1" applyFont="1" applyBorder="1" applyAlignment="1">
      <alignment horizontal="center" readingOrder="1"/>
    </xf>
    <xf numFmtId="0" fontId="7" fillId="0" borderId="8" xfId="0" applyFont="1" applyBorder="1" applyAlignment="1">
      <alignment horizontal="center" readingOrder="1"/>
    </xf>
    <xf numFmtId="0" fontId="5" fillId="0" borderId="8" xfId="0" applyFont="1" applyBorder="1" applyAlignment="1">
      <alignment horizontal="center" readingOrder="1"/>
    </xf>
    <xf numFmtId="10" fontId="5" fillId="0" borderId="8" xfId="0" applyNumberFormat="1" applyFont="1" applyBorder="1" applyAlignment="1">
      <alignment horizontal="center" readingOrder="1"/>
    </xf>
    <xf numFmtId="1" fontId="0" fillId="0" borderId="0" xfId="0" applyNumberFormat="1"/>
    <xf numFmtId="0" fontId="0" fillId="2" borderId="0" xfId="0" applyFill="1"/>
    <xf numFmtId="2" fontId="0" fillId="0" borderId="0" xfId="0" applyNumberFormat="1"/>
    <xf numFmtId="164" fontId="0" fillId="0" borderId="15" xfId="0" applyNumberFormat="1" applyBorder="1" applyAlignment="1">
      <alignment horizontal="center" wrapText="1"/>
    </xf>
    <xf numFmtId="164" fontId="2" fillId="0" borderId="0" xfId="0" applyNumberFormat="1" applyFont="1" applyAlignment="1">
      <alignment horizontal="center" wrapText="1"/>
    </xf>
    <xf numFmtId="0" fontId="0" fillId="0" borderId="16" xfId="0" applyBorder="1" applyAlignment="1">
      <alignment horizontal="center"/>
    </xf>
    <xf numFmtId="0" fontId="0" fillId="0" borderId="31" xfId="0" applyBorder="1" applyAlignment="1">
      <alignment horizontal="center"/>
    </xf>
    <xf numFmtId="10" fontId="0" fillId="0" borderId="31" xfId="0" applyNumberFormat="1" applyBorder="1" applyAlignment="1">
      <alignment horizontal="center"/>
    </xf>
    <xf numFmtId="166" fontId="0" fillId="0" borderId="13" xfId="0" applyNumberFormat="1" applyBorder="1" applyAlignment="1">
      <alignment horizontal="center"/>
    </xf>
    <xf numFmtId="166" fontId="0" fillId="0" borderId="14" xfId="0" applyNumberFormat="1" applyBorder="1" applyAlignment="1">
      <alignment horizontal="center"/>
    </xf>
    <xf numFmtId="0" fontId="0" fillId="0" borderId="0" xfId="0" applyAlignment="1">
      <alignment horizontal="center" wrapText="1"/>
    </xf>
    <xf numFmtId="166" fontId="0" fillId="0" borderId="16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14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2" xfId="0" applyNumberFormat="1" applyBorder="1" applyAlignment="1">
      <alignment horizontal="center"/>
    </xf>
    <xf numFmtId="9" fontId="0" fillId="0" borderId="31" xfId="0" applyNumberFormat="1" applyBorder="1" applyAlignment="1">
      <alignment horizontal="center"/>
    </xf>
    <xf numFmtId="0" fontId="0" fillId="0" borderId="31" xfId="0" applyBorder="1"/>
    <xf numFmtId="164" fontId="0" fillId="0" borderId="31" xfId="0" applyNumberFormat="1" applyBorder="1" applyAlignment="1">
      <alignment horizontal="center"/>
    </xf>
    <xf numFmtId="9" fontId="0" fillId="0" borderId="0" xfId="0" applyNumberFormat="1" applyAlignment="1">
      <alignment horizontal="center" wrapText="1"/>
    </xf>
    <xf numFmtId="0" fontId="0" fillId="0" borderId="15" xfId="0" applyBorder="1"/>
    <xf numFmtId="9" fontId="0" fillId="0" borderId="0" xfId="0" applyNumberFormat="1"/>
    <xf numFmtId="0" fontId="0" fillId="0" borderId="16" xfId="0" applyBorder="1"/>
    <xf numFmtId="10" fontId="0" fillId="0" borderId="0" xfId="0" applyNumberFormat="1" applyAlignment="1">
      <alignment horizontal="center" wrapText="1"/>
    </xf>
    <xf numFmtId="164" fontId="0" fillId="0" borderId="0" xfId="0" applyNumberFormat="1"/>
    <xf numFmtId="10" fontId="1" fillId="0" borderId="9" xfId="0" applyNumberFormat="1" applyFont="1" applyBorder="1" applyAlignment="1">
      <alignment horizontal="center" readingOrder="1"/>
    </xf>
    <xf numFmtId="167" fontId="1" fillId="0" borderId="5" xfId="0" applyNumberFormat="1" applyFont="1" applyBorder="1" applyAlignment="1">
      <alignment readingOrder="1"/>
    </xf>
    <xf numFmtId="43" fontId="0" fillId="0" borderId="0" xfId="0" applyNumberFormat="1" applyAlignment="1">
      <alignment horizontal="center"/>
    </xf>
    <xf numFmtId="8" fontId="0" fillId="0" borderId="0" xfId="0" applyNumberFormat="1"/>
    <xf numFmtId="22" fontId="0" fillId="0" borderId="0" xfId="0" applyNumberFormat="1"/>
    <xf numFmtId="0" fontId="0" fillId="0" borderId="0" xfId="0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0" fontId="0" fillId="0" borderId="33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6" xfId="0" applyNumberForma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5" fillId="2" borderId="30" xfId="0" applyFont="1" applyFill="1" applyBorder="1" applyAlignment="1">
      <alignment horizontal="center" readingOrder="1"/>
    </xf>
    <xf numFmtId="0" fontId="5" fillId="2" borderId="28" xfId="0" applyFont="1" applyFill="1" applyBorder="1" applyAlignment="1">
      <alignment horizontal="center" readingOrder="1"/>
    </xf>
    <xf numFmtId="0" fontId="5" fillId="2" borderId="29" xfId="0" applyFont="1" applyFill="1" applyBorder="1" applyAlignment="1">
      <alignment horizontal="center" readingOrder="1"/>
    </xf>
    <xf numFmtId="0" fontId="5" fillId="2" borderId="27" xfId="0" applyFont="1" applyFill="1" applyBorder="1" applyAlignment="1">
      <alignment horizontal="center" readingOrder="1"/>
    </xf>
    <xf numFmtId="0" fontId="4" fillId="0" borderId="21" xfId="0" applyFont="1" applyBorder="1" applyAlignment="1">
      <alignment readingOrder="1"/>
    </xf>
    <xf numFmtId="0" fontId="4" fillId="0" borderId="22" xfId="0" applyFont="1" applyBorder="1" applyAlignment="1">
      <alignment readingOrder="1"/>
    </xf>
    <xf numFmtId="0" fontId="4" fillId="0" borderId="23" xfId="0" applyFont="1" applyBorder="1" applyAlignment="1">
      <alignment readingOrder="1"/>
    </xf>
    <xf numFmtId="0" fontId="4" fillId="0" borderId="24" xfId="0" applyFont="1" applyBorder="1" applyAlignment="1">
      <alignment readingOrder="1"/>
    </xf>
    <xf numFmtId="0" fontId="4" fillId="0" borderId="25" xfId="0" applyFont="1" applyBorder="1" applyAlignment="1">
      <alignment readingOrder="1"/>
    </xf>
    <xf numFmtId="0" fontId="4" fillId="0" borderId="10" xfId="0" applyFont="1" applyBorder="1" applyAlignment="1">
      <alignment readingOrder="1"/>
    </xf>
    <xf numFmtId="0" fontId="4" fillId="0" borderId="11" xfId="0" applyFont="1" applyBorder="1" applyAlignment="1">
      <alignment readingOrder="1"/>
    </xf>
    <xf numFmtId="17" fontId="4" fillId="0" borderId="30" xfId="0" applyNumberFormat="1" applyFont="1" applyBorder="1" applyAlignment="1">
      <alignment horizontal="center" readingOrder="1"/>
    </xf>
    <xf numFmtId="0" fontId="4" fillId="0" borderId="28" xfId="0" applyFont="1" applyBorder="1" applyAlignment="1">
      <alignment horizontal="center" readingOrder="1"/>
    </xf>
    <xf numFmtId="17" fontId="4" fillId="0" borderId="29" xfId="0" applyNumberFormat="1" applyFont="1" applyBorder="1" applyAlignment="1">
      <alignment horizontal="center" readingOrder="1"/>
    </xf>
    <xf numFmtId="17" fontId="4" fillId="0" borderId="27" xfId="0" applyNumberFormat="1" applyFont="1" applyBorder="1" applyAlignment="1">
      <alignment horizontal="center" readingOrder="1"/>
    </xf>
    <xf numFmtId="0" fontId="4" fillId="0" borderId="29" xfId="0" applyFont="1" applyBorder="1" applyAlignment="1">
      <alignment horizontal="center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dressa Benites Willagrand" id="{975A410E-66E2-4CCA-A0AF-4E20F103E1F6}" userId="S::andressa.willagrand@altoqi.com.br::82772a98-0be7-4a55-92c7-bf9795a1124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02" dT="2026-03-05T13:01:18.16" personId="{975A410E-66E2-4CCA-A0AF-4E20F103E1F6}" id="{8D1D27A2-A04A-4904-A577-1E248C58308C}">
    <text xml:space="preserve">Calculo de rescisão </text>
  </threadedComment>
</ThreadedComment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vanessa.sousa@altoqi.com.br" TargetMode="External"/><Relationship Id="rId3" Type="http://schemas.openxmlformats.org/officeDocument/2006/relationships/hyperlink" Target="mailto:rafael.motta@altoqi.com.br" TargetMode="External"/><Relationship Id="rId7" Type="http://schemas.openxmlformats.org/officeDocument/2006/relationships/hyperlink" Target="mailto:felipe.labes@altoqi.com.br" TargetMode="External"/><Relationship Id="rId12" Type="http://schemas.microsoft.com/office/2017/10/relationships/threadedComment" Target="../threadedComments/threadedComment1.xml"/><Relationship Id="rId2" Type="http://schemas.openxmlformats.org/officeDocument/2006/relationships/hyperlink" Target="mailto:vanessa.sousa@altoqi.com.br" TargetMode="External"/><Relationship Id="rId1" Type="http://schemas.openxmlformats.org/officeDocument/2006/relationships/hyperlink" Target="mailto:felipe.labes@altoqi.com.br" TargetMode="External"/><Relationship Id="rId6" Type="http://schemas.openxmlformats.org/officeDocument/2006/relationships/hyperlink" Target="mailto:rafael.motta@altoqi.com.br" TargetMode="External"/><Relationship Id="rId11" Type="http://schemas.openxmlformats.org/officeDocument/2006/relationships/comments" Target="../comments1.xml"/><Relationship Id="rId5" Type="http://schemas.openxmlformats.org/officeDocument/2006/relationships/hyperlink" Target="mailto:vanessa.sousa@altoqi.com.br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mailto:felipe.labes@altoqi.com.br" TargetMode="External"/><Relationship Id="rId9" Type="http://schemas.openxmlformats.org/officeDocument/2006/relationships/hyperlink" Target="mailto:rafael.motta@altoqi.com.br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vanessa.sousa@altoqi.com.br" TargetMode="External"/><Relationship Id="rId13" Type="http://schemas.openxmlformats.org/officeDocument/2006/relationships/hyperlink" Target="mailto:luciana.vieira@altoqi.com.br" TargetMode="External"/><Relationship Id="rId3" Type="http://schemas.openxmlformats.org/officeDocument/2006/relationships/hyperlink" Target="mailto:vanessa.sousa@altoqi.com.br" TargetMode="External"/><Relationship Id="rId7" Type="http://schemas.openxmlformats.org/officeDocument/2006/relationships/hyperlink" Target="mailto:raquel.zanatta@altoqi.com.br" TargetMode="External"/><Relationship Id="rId12" Type="http://schemas.openxmlformats.org/officeDocument/2006/relationships/hyperlink" Target="mailto:raquel.zanatta@altoqi.com.br" TargetMode="External"/><Relationship Id="rId2" Type="http://schemas.openxmlformats.org/officeDocument/2006/relationships/hyperlink" Target="mailto:rafael.motta@altoqi.com.br" TargetMode="External"/><Relationship Id="rId1" Type="http://schemas.openxmlformats.org/officeDocument/2006/relationships/hyperlink" Target="mailto:vanessa.sousa@altoqi.com.br" TargetMode="External"/><Relationship Id="rId6" Type="http://schemas.openxmlformats.org/officeDocument/2006/relationships/hyperlink" Target="mailto:maicon.fentzke@altoqi.com.br" TargetMode="External"/><Relationship Id="rId11" Type="http://schemas.openxmlformats.org/officeDocument/2006/relationships/hyperlink" Target="mailto:maicon.fentzke@altoqi.com.br" TargetMode="External"/><Relationship Id="rId5" Type="http://schemas.openxmlformats.org/officeDocument/2006/relationships/hyperlink" Target="mailto:eduarda.cardozo@altoqi.com.br" TargetMode="External"/><Relationship Id="rId10" Type="http://schemas.openxmlformats.org/officeDocument/2006/relationships/hyperlink" Target="mailto:eduarda.cardozo@altoqi.com.br" TargetMode="External"/><Relationship Id="rId4" Type="http://schemas.openxmlformats.org/officeDocument/2006/relationships/hyperlink" Target="mailto:rafael.motta@altoqi.com.br" TargetMode="External"/><Relationship Id="rId9" Type="http://schemas.openxmlformats.org/officeDocument/2006/relationships/hyperlink" Target="mailto:rafael.motta@altoqi.com.br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hubspot.com/contacts/44552714/record/0-3/52071538314/" TargetMode="External"/><Relationship Id="rId13" Type="http://schemas.openxmlformats.org/officeDocument/2006/relationships/hyperlink" Target="https://app.hubspot.com/contacts/44552714/record/0-3/59169328250" TargetMode="External"/><Relationship Id="rId3" Type="http://schemas.openxmlformats.org/officeDocument/2006/relationships/hyperlink" Target="https://app.hubspot.com/contacts/44552714/record/0-3/56175393342" TargetMode="External"/><Relationship Id="rId7" Type="http://schemas.openxmlformats.org/officeDocument/2006/relationships/hyperlink" Target="https://app.hubspot.com/contacts/44552714/record/0-3/55517200310/" TargetMode="External"/><Relationship Id="rId12" Type="http://schemas.openxmlformats.org/officeDocument/2006/relationships/hyperlink" Target="https://app.hubspot.com/contacts/44552714/record/0-3/59369598864" TargetMode="External"/><Relationship Id="rId2" Type="http://schemas.openxmlformats.org/officeDocument/2006/relationships/hyperlink" Target="https://app.hubspot.com/contacts/44552714/record/0-3/56896681036/" TargetMode="External"/><Relationship Id="rId16" Type="http://schemas.openxmlformats.org/officeDocument/2006/relationships/hyperlink" Target="mailto:Jessica.Souza@altoqi.com.br" TargetMode="External"/><Relationship Id="rId1" Type="http://schemas.openxmlformats.org/officeDocument/2006/relationships/hyperlink" Target="https://app.hubspot.com/contacts/44552714/record/0-3/51931137662/" TargetMode="External"/><Relationship Id="rId6" Type="http://schemas.openxmlformats.org/officeDocument/2006/relationships/hyperlink" Target="https://app.hubspot.com/contacts/44552714/record/0-3/54597094249/" TargetMode="External"/><Relationship Id="rId11" Type="http://schemas.openxmlformats.org/officeDocument/2006/relationships/hyperlink" Target="https://app.hubspot.com/contacts/44552714/record/0-3/59158345585" TargetMode="External"/><Relationship Id="rId5" Type="http://schemas.openxmlformats.org/officeDocument/2006/relationships/hyperlink" Target="https://app.hubspot.com/contacts/44552714/record/0-3/55030985570/" TargetMode="External"/><Relationship Id="rId15" Type="http://schemas.openxmlformats.org/officeDocument/2006/relationships/hyperlink" Target="https://app.hubspot.com/contacts/44552714/record/0-3/59094203532" TargetMode="External"/><Relationship Id="rId10" Type="http://schemas.openxmlformats.org/officeDocument/2006/relationships/hyperlink" Target="https://app.hubspot.com/contacts/44552714/record/0-3/54616134502/" TargetMode="External"/><Relationship Id="rId4" Type="http://schemas.openxmlformats.org/officeDocument/2006/relationships/hyperlink" Target="https://app.hubspot.com/contacts/44552714/record/0-3/58204706850/" TargetMode="External"/><Relationship Id="rId9" Type="http://schemas.openxmlformats.org/officeDocument/2006/relationships/hyperlink" Target="https://app.hubspot.com/contacts/44552714/record/0-3/52332122950/" TargetMode="External"/><Relationship Id="rId14" Type="http://schemas.openxmlformats.org/officeDocument/2006/relationships/hyperlink" Target="https://app.hubspot.com/contacts/44552714/record/0-3/578372606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009"/>
  <sheetViews>
    <sheetView tabSelected="1" workbookViewId="0">
      <pane ySplit="1" topLeftCell="F3422" activePane="bottomLeft" state="frozen"/>
      <selection pane="bottomLeft" activeCell="P3433" sqref="P3433"/>
    </sheetView>
  </sheetViews>
  <sheetFormatPr defaultRowHeight="15"/>
  <cols>
    <col min="1" max="1" width="5.42578125" bestFit="1" customWidth="1"/>
    <col min="2" max="2" width="5" bestFit="1" customWidth="1"/>
    <col min="3" max="3" width="19.28515625" style="83" bestFit="1" customWidth="1"/>
    <col min="4" max="4" width="79.140625" customWidth="1"/>
    <col min="5" max="5" width="13.28515625" bestFit="1" customWidth="1"/>
    <col min="6" max="6" width="11" bestFit="1" customWidth="1"/>
    <col min="7" max="7" width="18.7109375" bestFit="1" customWidth="1"/>
    <col min="8" max="8" width="21" bestFit="1" customWidth="1"/>
    <col min="9" max="9" width="13.7109375" style="36" bestFit="1" customWidth="1"/>
    <col min="10" max="10" width="11.85546875" style="36" bestFit="1" customWidth="1"/>
    <col min="11" max="11" width="14.85546875" style="85" bestFit="1" customWidth="1"/>
    <col min="12" max="13" width="10.85546875" style="36" bestFit="1" customWidth="1"/>
    <col min="14" max="14" width="16" style="36" bestFit="1" customWidth="1"/>
    <col min="15" max="15" width="17.85546875" style="36" bestFit="1" customWidth="1"/>
    <col min="16" max="16" width="32.42578125" bestFit="1" customWidth="1"/>
    <col min="17" max="18" width="21.5703125" bestFit="1" customWidth="1"/>
    <col min="19" max="19" width="23.42578125" bestFit="1" customWidth="1"/>
    <col min="20" max="20" width="24.42578125" bestFit="1" customWidth="1"/>
    <col min="21" max="21" width="16.140625" bestFit="1" customWidth="1"/>
    <col min="22" max="22" width="22.140625" bestFit="1" customWidth="1"/>
    <col min="23" max="23" width="9.5703125" bestFit="1" customWidth="1"/>
    <col min="24" max="24" width="10" bestFit="1" customWidth="1"/>
    <col min="25" max="25" width="20.28515625" bestFit="1" customWidth="1"/>
    <col min="26" max="26" width="24" bestFit="1" customWidth="1"/>
    <col min="27" max="27" width="28.28515625" bestFit="1" customWidth="1"/>
    <col min="28" max="28" width="10" bestFit="1" customWidth="1"/>
    <col min="29" max="29" width="27.28515625" bestFit="1" customWidth="1"/>
    <col min="30" max="30" width="72" bestFit="1" customWidth="1"/>
    <col min="31" max="31" width="28.28515625" bestFit="1" customWidth="1"/>
    <col min="32" max="32" width="31" bestFit="1" customWidth="1"/>
    <col min="33" max="33" width="13.7109375" bestFit="1" customWidth="1"/>
    <col min="34" max="34" width="11.140625" bestFit="1" customWidth="1"/>
  </cols>
  <sheetData>
    <row r="1" spans="1:34">
      <c r="A1" t="s">
        <v>0</v>
      </c>
      <c r="B1" t="s">
        <v>1</v>
      </c>
      <c r="C1" s="8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6" t="s">
        <v>8</v>
      </c>
      <c r="J1" s="36" t="s">
        <v>9</v>
      </c>
      <c r="K1" s="85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2026</v>
      </c>
      <c r="B2">
        <v>1</v>
      </c>
      <c r="C2" s="83">
        <v>19435599785</v>
      </c>
      <c r="D2" t="s">
        <v>34</v>
      </c>
      <c r="E2">
        <v>21648281648</v>
      </c>
      <c r="F2">
        <v>635639</v>
      </c>
      <c r="G2">
        <v>49516753480</v>
      </c>
      <c r="H2" t="s">
        <v>35</v>
      </c>
      <c r="I2" s="36">
        <v>7432</v>
      </c>
      <c r="J2" s="36">
        <v>7432</v>
      </c>
      <c r="K2" s="85">
        <v>0</v>
      </c>
      <c r="L2" s="36">
        <v>619.33333333333337</v>
      </c>
      <c r="M2" s="36">
        <v>0</v>
      </c>
      <c r="N2" s="36">
        <v>0</v>
      </c>
      <c r="O2" s="36">
        <v>0</v>
      </c>
      <c r="P2" t="s">
        <v>36</v>
      </c>
      <c r="Q2" t="s">
        <v>37</v>
      </c>
      <c r="R2" t="s">
        <v>37</v>
      </c>
      <c r="S2" s="1">
        <v>46041</v>
      </c>
      <c r="T2" s="1">
        <v>46041</v>
      </c>
      <c r="U2" s="1">
        <v>45982</v>
      </c>
      <c r="W2" t="s">
        <v>38</v>
      </c>
      <c r="X2">
        <v>12</v>
      </c>
      <c r="Y2" t="s">
        <v>39</v>
      </c>
      <c r="AA2" t="s">
        <v>40</v>
      </c>
      <c r="AB2">
        <v>1</v>
      </c>
      <c r="AC2" t="s">
        <v>41</v>
      </c>
      <c r="AD2" t="s">
        <v>42</v>
      </c>
      <c r="AE2" t="s">
        <v>43</v>
      </c>
      <c r="AF2" t="s">
        <v>44</v>
      </c>
      <c r="AG2" t="str">
        <f>IF(IFERROR(SEARCH("Recorrente",AA2),0)&gt;0,"Recorrente",IF(AB2=1,"À Vista",IF(AB2&lt;=3,"CC 3x",IF(AB2&lt;=12,"CC 12x",IF(AB2&gt;12,"Recorrente","")))))</f>
        <v>À Vista</v>
      </c>
      <c r="AH2" t="str">
        <f>IF(AND(SUMIF(E:E,E2,I:I)&gt;=400000,Q2="B2G"),"n","")</f>
        <v/>
      </c>
    </row>
    <row r="3" spans="1:34">
      <c r="A3">
        <v>2026</v>
      </c>
      <c r="B3">
        <v>1</v>
      </c>
      <c r="C3" s="83">
        <v>19435599785</v>
      </c>
      <c r="D3" t="s">
        <v>34</v>
      </c>
      <c r="E3">
        <v>21648281648</v>
      </c>
      <c r="F3">
        <v>635639</v>
      </c>
      <c r="G3">
        <v>49516753481</v>
      </c>
      <c r="H3" t="s">
        <v>35</v>
      </c>
      <c r="I3" s="36">
        <v>10695</v>
      </c>
      <c r="J3" s="36">
        <v>10695</v>
      </c>
      <c r="K3" s="85">
        <v>0</v>
      </c>
      <c r="L3" s="36">
        <v>891.25</v>
      </c>
      <c r="M3" s="36">
        <v>0</v>
      </c>
      <c r="N3" s="36">
        <v>0</v>
      </c>
      <c r="O3" s="36">
        <v>0</v>
      </c>
      <c r="P3" t="s">
        <v>36</v>
      </c>
      <c r="Q3" t="s">
        <v>37</v>
      </c>
      <c r="R3" t="s">
        <v>37</v>
      </c>
      <c r="S3" s="1">
        <v>46041</v>
      </c>
      <c r="T3" s="1">
        <v>46041</v>
      </c>
      <c r="U3" s="1">
        <v>45982</v>
      </c>
      <c r="W3" t="s">
        <v>38</v>
      </c>
      <c r="X3">
        <v>12</v>
      </c>
      <c r="Y3" t="s">
        <v>39</v>
      </c>
      <c r="AA3" t="s">
        <v>40</v>
      </c>
      <c r="AB3">
        <v>1</v>
      </c>
      <c r="AC3" t="s">
        <v>41</v>
      </c>
      <c r="AD3" t="s">
        <v>45</v>
      </c>
      <c r="AE3" t="s">
        <v>46</v>
      </c>
      <c r="AF3" t="s">
        <v>47</v>
      </c>
      <c r="AG3" t="str">
        <f t="shared" ref="AG3:AG66" si="0">IF(IFERROR(SEARCH("Recorrente",AA3),0)&gt;0,"Recorrente",IF(AB3=1,"À Vista",IF(AB3&lt;=3,"CC 3x",IF(AB3&lt;=12,"CC 12x",IF(AB3&gt;12,"Recorrente","")))))</f>
        <v>À Vista</v>
      </c>
      <c r="AH3" t="str">
        <f>IF(AND(SUMIF(E:E,E3,I:I)&gt;=400000,Q3="B2G"),"n","")</f>
        <v/>
      </c>
    </row>
    <row r="4" spans="1:34">
      <c r="A4">
        <v>2026</v>
      </c>
      <c r="B4">
        <v>1</v>
      </c>
      <c r="C4" s="83">
        <v>19435599785</v>
      </c>
      <c r="D4" t="s">
        <v>34</v>
      </c>
      <c r="E4">
        <v>21648281648</v>
      </c>
      <c r="F4">
        <v>635639</v>
      </c>
      <c r="G4">
        <v>49516753482</v>
      </c>
      <c r="H4" t="s">
        <v>35</v>
      </c>
      <c r="I4" s="36">
        <v>5799</v>
      </c>
      <c r="J4" s="36">
        <v>5799</v>
      </c>
      <c r="K4" s="85">
        <v>0</v>
      </c>
      <c r="L4" s="36">
        <v>483.25</v>
      </c>
      <c r="M4" s="36">
        <v>0</v>
      </c>
      <c r="N4" s="36">
        <v>0</v>
      </c>
      <c r="O4" s="36">
        <v>0</v>
      </c>
      <c r="P4" t="s">
        <v>36</v>
      </c>
      <c r="Q4" t="s">
        <v>37</v>
      </c>
      <c r="R4" t="s">
        <v>37</v>
      </c>
      <c r="S4" s="1">
        <v>46041</v>
      </c>
      <c r="T4" s="1">
        <v>46041</v>
      </c>
      <c r="U4" s="1">
        <v>45982</v>
      </c>
      <c r="W4" t="s">
        <v>38</v>
      </c>
      <c r="X4">
        <v>12</v>
      </c>
      <c r="Y4" t="s">
        <v>39</v>
      </c>
      <c r="AA4" t="s">
        <v>40</v>
      </c>
      <c r="AB4">
        <v>1</v>
      </c>
      <c r="AC4" t="s">
        <v>41</v>
      </c>
      <c r="AD4" t="s">
        <v>48</v>
      </c>
      <c r="AE4" t="s">
        <v>43</v>
      </c>
      <c r="AF4" t="s">
        <v>47</v>
      </c>
      <c r="AG4" t="str">
        <f t="shared" si="0"/>
        <v>À Vista</v>
      </c>
      <c r="AH4" t="str">
        <f>IF(AND(SUMIF(E:E,E4,I:I)&gt;=400000,Q4="B2G"),"n","")</f>
        <v/>
      </c>
    </row>
    <row r="5" spans="1:34">
      <c r="A5">
        <v>2026</v>
      </c>
      <c r="B5">
        <v>1</v>
      </c>
      <c r="C5" s="83">
        <v>19435599785</v>
      </c>
      <c r="D5" t="s">
        <v>34</v>
      </c>
      <c r="E5">
        <v>21817048369</v>
      </c>
      <c r="F5">
        <v>635661</v>
      </c>
      <c r="G5">
        <v>49669089590</v>
      </c>
      <c r="H5" t="s">
        <v>35</v>
      </c>
      <c r="I5" s="36">
        <v>15980.16</v>
      </c>
      <c r="J5" s="36">
        <v>15980.16</v>
      </c>
      <c r="K5" s="85">
        <v>0</v>
      </c>
      <c r="L5" s="36">
        <v>1331.68</v>
      </c>
      <c r="M5" s="36">
        <v>1331.68</v>
      </c>
      <c r="N5" s="36">
        <v>0</v>
      </c>
      <c r="O5" s="36">
        <v>0</v>
      </c>
      <c r="P5" t="s">
        <v>36</v>
      </c>
      <c r="Q5" t="s">
        <v>37</v>
      </c>
      <c r="R5" t="s">
        <v>37</v>
      </c>
      <c r="S5" s="1">
        <v>46043</v>
      </c>
      <c r="T5" s="1">
        <v>46043</v>
      </c>
      <c r="V5" s="1">
        <v>46408</v>
      </c>
      <c r="W5" t="s">
        <v>38</v>
      </c>
      <c r="X5">
        <v>12</v>
      </c>
      <c r="Y5" t="s">
        <v>49</v>
      </c>
      <c r="AA5" t="s">
        <v>40</v>
      </c>
      <c r="AB5">
        <v>1</v>
      </c>
      <c r="AC5" t="s">
        <v>41</v>
      </c>
      <c r="AD5" t="s">
        <v>50</v>
      </c>
      <c r="AE5" t="s">
        <v>51</v>
      </c>
      <c r="AF5" t="s">
        <v>44</v>
      </c>
      <c r="AG5" t="str">
        <f t="shared" si="0"/>
        <v>À Vista</v>
      </c>
      <c r="AH5" t="str">
        <f>IF(AND(SUMIF(E:E,E5,I:I)&gt;=400000,Q5="B2G"),"n","")</f>
        <v/>
      </c>
    </row>
    <row r="6" spans="1:34">
      <c r="A6">
        <v>2026</v>
      </c>
      <c r="B6">
        <v>1</v>
      </c>
      <c r="C6" s="83">
        <v>19435640354</v>
      </c>
      <c r="D6" t="s">
        <v>52</v>
      </c>
      <c r="E6">
        <v>29857451798</v>
      </c>
      <c r="F6">
        <v>635750</v>
      </c>
      <c r="G6">
        <v>49949823822</v>
      </c>
      <c r="H6" t="s">
        <v>35</v>
      </c>
      <c r="I6" s="36">
        <v>13932</v>
      </c>
      <c r="J6" s="36">
        <v>13932</v>
      </c>
      <c r="K6" s="85">
        <v>0</v>
      </c>
      <c r="L6" s="36">
        <v>1161</v>
      </c>
      <c r="M6" s="36">
        <v>1161</v>
      </c>
      <c r="N6" s="36">
        <v>0</v>
      </c>
      <c r="O6" s="36">
        <v>0</v>
      </c>
      <c r="P6" t="s">
        <v>36</v>
      </c>
      <c r="Q6" t="s">
        <v>37</v>
      </c>
      <c r="R6" t="s">
        <v>37</v>
      </c>
      <c r="S6" s="1">
        <v>46049</v>
      </c>
      <c r="T6" s="1">
        <v>46049</v>
      </c>
      <c r="V6" s="1">
        <v>46414</v>
      </c>
      <c r="W6" t="s">
        <v>38</v>
      </c>
      <c r="X6">
        <v>12</v>
      </c>
      <c r="Y6" t="s">
        <v>49</v>
      </c>
      <c r="AA6" t="s">
        <v>40</v>
      </c>
      <c r="AB6">
        <v>1</v>
      </c>
      <c r="AC6" t="s">
        <v>41</v>
      </c>
      <c r="AD6" t="s">
        <v>53</v>
      </c>
      <c r="AE6" t="s">
        <v>43</v>
      </c>
      <c r="AF6" t="s">
        <v>44</v>
      </c>
      <c r="AG6" t="str">
        <f t="shared" si="0"/>
        <v>À Vista</v>
      </c>
      <c r="AH6" t="str">
        <f>IF(AND(SUMIF(E:E,E6,I:I)&gt;=400000,Q6="B2G"),"n","")</f>
        <v/>
      </c>
    </row>
    <row r="7" spans="1:34">
      <c r="A7">
        <v>2026</v>
      </c>
      <c r="B7">
        <v>1</v>
      </c>
      <c r="C7" s="83">
        <v>19435640354</v>
      </c>
      <c r="D7" t="s">
        <v>52</v>
      </c>
      <c r="E7">
        <v>29857451798</v>
      </c>
      <c r="F7">
        <v>635750</v>
      </c>
      <c r="G7">
        <v>49949823823</v>
      </c>
      <c r="H7" t="s">
        <v>35</v>
      </c>
      <c r="I7" s="36">
        <v>5436</v>
      </c>
      <c r="J7" s="36">
        <v>5436</v>
      </c>
      <c r="K7" s="85">
        <v>0</v>
      </c>
      <c r="L7" s="36">
        <v>453</v>
      </c>
      <c r="M7" s="36">
        <v>453</v>
      </c>
      <c r="N7" s="36">
        <v>0</v>
      </c>
      <c r="O7" s="36">
        <v>0</v>
      </c>
      <c r="P7" t="s">
        <v>36</v>
      </c>
      <c r="Q7" t="s">
        <v>37</v>
      </c>
      <c r="R7" t="s">
        <v>37</v>
      </c>
      <c r="S7" s="1">
        <v>46049</v>
      </c>
      <c r="T7" s="1">
        <v>46049</v>
      </c>
      <c r="V7" s="1">
        <v>46414</v>
      </c>
      <c r="W7" t="s">
        <v>38</v>
      </c>
      <c r="X7">
        <v>12</v>
      </c>
      <c r="Y7" t="s">
        <v>49</v>
      </c>
      <c r="AA7" t="s">
        <v>40</v>
      </c>
      <c r="AB7">
        <v>1</v>
      </c>
      <c r="AC7" t="s">
        <v>41</v>
      </c>
      <c r="AD7" t="s">
        <v>54</v>
      </c>
      <c r="AE7" t="s">
        <v>46</v>
      </c>
      <c r="AF7" t="s">
        <v>44</v>
      </c>
      <c r="AG7" t="str">
        <f t="shared" si="0"/>
        <v>À Vista</v>
      </c>
      <c r="AH7" t="str">
        <f>IF(AND(SUMIF(E:E,E7,I:I)&gt;=400000,Q7="B2G"),"n","")</f>
        <v/>
      </c>
    </row>
    <row r="8" spans="1:34">
      <c r="A8">
        <v>2026</v>
      </c>
      <c r="B8">
        <v>1</v>
      </c>
      <c r="C8" s="83">
        <v>19435564728</v>
      </c>
      <c r="D8" t="s">
        <v>55</v>
      </c>
      <c r="E8">
        <v>29861060658</v>
      </c>
      <c r="F8">
        <v>635812</v>
      </c>
      <c r="G8">
        <v>50425912479</v>
      </c>
      <c r="H8" t="s">
        <v>35</v>
      </c>
      <c r="I8" s="36">
        <v>105560.16</v>
      </c>
      <c r="J8" s="36">
        <v>52780.08</v>
      </c>
      <c r="K8" s="85">
        <v>52780.08</v>
      </c>
      <c r="L8" s="36">
        <v>4398.34</v>
      </c>
      <c r="M8" s="36">
        <v>4398.34</v>
      </c>
      <c r="N8" s="36">
        <v>0</v>
      </c>
      <c r="O8" s="36">
        <v>0</v>
      </c>
      <c r="P8" t="s">
        <v>36</v>
      </c>
      <c r="Q8" t="s">
        <v>37</v>
      </c>
      <c r="R8" t="s">
        <v>37</v>
      </c>
      <c r="S8" s="1">
        <v>46052</v>
      </c>
      <c r="T8" s="1">
        <v>46052</v>
      </c>
      <c r="V8" s="1">
        <v>46782</v>
      </c>
      <c r="W8" t="s">
        <v>56</v>
      </c>
      <c r="X8">
        <v>24</v>
      </c>
      <c r="Y8" t="s">
        <v>49</v>
      </c>
      <c r="AA8" t="s">
        <v>40</v>
      </c>
      <c r="AB8">
        <v>1</v>
      </c>
      <c r="AC8" t="s">
        <v>41</v>
      </c>
      <c r="AD8" t="s">
        <v>57</v>
      </c>
      <c r="AE8" t="s">
        <v>58</v>
      </c>
      <c r="AF8" t="s">
        <v>59</v>
      </c>
      <c r="AG8" t="str">
        <f t="shared" si="0"/>
        <v>À Vista</v>
      </c>
      <c r="AH8" t="str">
        <f>IF(AND(SUMIF(E:E,E8,I:I)&gt;=400000,Q8="B2G"),"n","")</f>
        <v/>
      </c>
    </row>
    <row r="9" spans="1:34">
      <c r="A9">
        <v>2026</v>
      </c>
      <c r="B9">
        <v>1</v>
      </c>
      <c r="C9" s="83">
        <v>19540695847</v>
      </c>
      <c r="D9" t="s">
        <v>60</v>
      </c>
      <c r="E9">
        <v>30153859675</v>
      </c>
      <c r="F9">
        <v>635747</v>
      </c>
      <c r="G9">
        <v>49949879727</v>
      </c>
      <c r="H9" t="s">
        <v>35</v>
      </c>
      <c r="I9" s="36">
        <v>7432</v>
      </c>
      <c r="J9" s="36">
        <v>3716</v>
      </c>
      <c r="K9" s="85">
        <v>3716</v>
      </c>
      <c r="L9" s="36">
        <v>309.66666666666669</v>
      </c>
      <c r="M9" s="36">
        <v>0</v>
      </c>
      <c r="N9" s="36">
        <v>0</v>
      </c>
      <c r="O9" s="36">
        <v>0</v>
      </c>
      <c r="P9" t="s">
        <v>36</v>
      </c>
      <c r="Q9" t="s">
        <v>37</v>
      </c>
      <c r="R9" t="s">
        <v>37</v>
      </c>
      <c r="S9" s="1">
        <v>46049</v>
      </c>
      <c r="T9" s="1">
        <v>46049</v>
      </c>
      <c r="W9" t="s">
        <v>56</v>
      </c>
      <c r="X9">
        <v>24</v>
      </c>
      <c r="Y9" t="s">
        <v>39</v>
      </c>
      <c r="AA9" t="s">
        <v>40</v>
      </c>
      <c r="AB9">
        <v>1</v>
      </c>
      <c r="AC9" t="s">
        <v>41</v>
      </c>
      <c r="AD9" t="s">
        <v>61</v>
      </c>
      <c r="AE9" t="s">
        <v>43</v>
      </c>
      <c r="AF9" t="s">
        <v>44</v>
      </c>
      <c r="AG9" t="str">
        <f t="shared" si="0"/>
        <v>À Vista</v>
      </c>
      <c r="AH9" t="str">
        <f>IF(AND(SUMIF(E:E,E9,I:I)&gt;=400000,Q9="B2G"),"n","")</f>
        <v/>
      </c>
    </row>
    <row r="10" spans="1:34">
      <c r="A10">
        <v>2026</v>
      </c>
      <c r="B10">
        <v>1</v>
      </c>
      <c r="C10" s="83">
        <v>19540695847</v>
      </c>
      <c r="D10" t="s">
        <v>60</v>
      </c>
      <c r="E10">
        <v>30153859675</v>
      </c>
      <c r="F10">
        <v>635747</v>
      </c>
      <c r="G10">
        <v>49949879728</v>
      </c>
      <c r="H10" t="s">
        <v>35</v>
      </c>
      <c r="I10" s="36">
        <v>18576</v>
      </c>
      <c r="J10" s="36">
        <v>0</v>
      </c>
      <c r="K10" s="85">
        <v>0</v>
      </c>
      <c r="L10" s="36">
        <v>0</v>
      </c>
      <c r="M10" s="36">
        <v>0</v>
      </c>
      <c r="N10" s="36">
        <v>0</v>
      </c>
      <c r="O10" s="36">
        <v>0</v>
      </c>
      <c r="P10" t="s">
        <v>36</v>
      </c>
      <c r="Q10" t="s">
        <v>37</v>
      </c>
      <c r="R10" t="s">
        <v>37</v>
      </c>
      <c r="S10" s="1">
        <v>46049</v>
      </c>
      <c r="T10" s="1">
        <v>46049</v>
      </c>
      <c r="W10" t="s">
        <v>39</v>
      </c>
      <c r="Y10" t="s">
        <v>39</v>
      </c>
      <c r="AA10" t="s">
        <v>40</v>
      </c>
      <c r="AB10">
        <v>1</v>
      </c>
      <c r="AC10" t="s">
        <v>41</v>
      </c>
      <c r="AD10" t="s">
        <v>62</v>
      </c>
      <c r="AE10" t="s">
        <v>43</v>
      </c>
      <c r="AF10" t="s">
        <v>44</v>
      </c>
      <c r="AG10" t="str">
        <f t="shared" si="0"/>
        <v>À Vista</v>
      </c>
      <c r="AH10" t="str">
        <f>IF(AND(SUMIF(E:E,E10,I:I)&gt;=400000,Q10="B2G"),"n","")</f>
        <v/>
      </c>
    </row>
    <row r="11" spans="1:34">
      <c r="A11">
        <v>2026</v>
      </c>
      <c r="B11">
        <v>1</v>
      </c>
      <c r="C11" s="83">
        <v>19540695847</v>
      </c>
      <c r="D11" t="s">
        <v>60</v>
      </c>
      <c r="E11">
        <v>30153859675</v>
      </c>
      <c r="F11">
        <v>635747</v>
      </c>
      <c r="G11">
        <v>49949879729</v>
      </c>
      <c r="H11" t="s">
        <v>35</v>
      </c>
      <c r="I11" s="36">
        <v>21744</v>
      </c>
      <c r="J11" s="36">
        <v>0</v>
      </c>
      <c r="K11" s="85">
        <v>0</v>
      </c>
      <c r="L11" s="36">
        <v>0</v>
      </c>
      <c r="M11" s="36">
        <v>0</v>
      </c>
      <c r="N11" s="36">
        <v>0</v>
      </c>
      <c r="O11" s="36">
        <v>0</v>
      </c>
      <c r="P11" t="s">
        <v>36</v>
      </c>
      <c r="Q11" t="s">
        <v>37</v>
      </c>
      <c r="R11" t="s">
        <v>37</v>
      </c>
      <c r="S11" s="1">
        <v>46049</v>
      </c>
      <c r="T11" s="1">
        <v>46049</v>
      </c>
      <c r="W11" t="s">
        <v>39</v>
      </c>
      <c r="Y11" t="s">
        <v>39</v>
      </c>
      <c r="AA11" t="s">
        <v>40</v>
      </c>
      <c r="AB11">
        <v>1</v>
      </c>
      <c r="AC11" t="s">
        <v>41</v>
      </c>
      <c r="AD11" t="s">
        <v>63</v>
      </c>
      <c r="AE11" t="s">
        <v>46</v>
      </c>
      <c r="AF11" t="s">
        <v>44</v>
      </c>
      <c r="AG11" t="str">
        <f t="shared" si="0"/>
        <v>À Vista</v>
      </c>
      <c r="AH11" t="str">
        <f>IF(AND(SUMIF(E:E,E11,I:I)&gt;=400000,Q11="B2G"),"n","")</f>
        <v/>
      </c>
    </row>
    <row r="12" spans="1:34">
      <c r="A12">
        <v>2026</v>
      </c>
      <c r="B12">
        <v>1</v>
      </c>
      <c r="C12" s="83">
        <v>19540695847</v>
      </c>
      <c r="D12" t="s">
        <v>60</v>
      </c>
      <c r="E12">
        <v>30153859675</v>
      </c>
      <c r="F12">
        <v>635747</v>
      </c>
      <c r="G12">
        <v>49949879730</v>
      </c>
      <c r="H12" t="s">
        <v>35</v>
      </c>
      <c r="I12" s="36">
        <v>8698</v>
      </c>
      <c r="J12" s="36">
        <v>4349</v>
      </c>
      <c r="K12" s="85">
        <v>4349</v>
      </c>
      <c r="L12" s="36">
        <v>362.41666666666669</v>
      </c>
      <c r="M12" s="36">
        <v>0</v>
      </c>
      <c r="N12" s="36">
        <v>0</v>
      </c>
      <c r="O12" s="36">
        <v>0</v>
      </c>
      <c r="P12" t="s">
        <v>36</v>
      </c>
      <c r="Q12" t="s">
        <v>37</v>
      </c>
      <c r="R12" t="s">
        <v>37</v>
      </c>
      <c r="S12" s="1">
        <v>46049</v>
      </c>
      <c r="T12" s="1">
        <v>46049</v>
      </c>
      <c r="W12" t="s">
        <v>56</v>
      </c>
      <c r="X12">
        <v>24</v>
      </c>
      <c r="Y12" t="s">
        <v>39</v>
      </c>
      <c r="AA12" t="s">
        <v>40</v>
      </c>
      <c r="AB12">
        <v>1</v>
      </c>
      <c r="AC12" t="s">
        <v>41</v>
      </c>
      <c r="AD12" t="s">
        <v>64</v>
      </c>
      <c r="AE12" t="s">
        <v>46</v>
      </c>
      <c r="AF12" t="s">
        <v>44</v>
      </c>
      <c r="AG12" t="str">
        <f t="shared" si="0"/>
        <v>À Vista</v>
      </c>
      <c r="AH12" t="str">
        <f>IF(AND(SUMIF(E:E,E12,I:I)&gt;=400000,Q12="B2G"),"n","")</f>
        <v/>
      </c>
    </row>
    <row r="13" spans="1:34">
      <c r="A13">
        <v>2026</v>
      </c>
      <c r="B13">
        <v>1</v>
      </c>
      <c r="C13" s="83">
        <v>30176499367</v>
      </c>
      <c r="D13" t="s">
        <v>65</v>
      </c>
      <c r="E13">
        <v>33917004397</v>
      </c>
      <c r="F13">
        <v>635688</v>
      </c>
      <c r="G13">
        <v>49708158237</v>
      </c>
      <c r="H13" t="s">
        <v>35</v>
      </c>
      <c r="I13" s="36">
        <v>57984</v>
      </c>
      <c r="J13" s="36">
        <v>0</v>
      </c>
      <c r="K13" s="85">
        <v>0</v>
      </c>
      <c r="L13" s="36">
        <v>0</v>
      </c>
      <c r="M13" s="36">
        <v>0</v>
      </c>
      <c r="N13" s="36">
        <v>0</v>
      </c>
      <c r="O13" s="36">
        <v>0</v>
      </c>
      <c r="P13" t="s">
        <v>66</v>
      </c>
      <c r="Q13" t="s">
        <v>37</v>
      </c>
      <c r="R13" t="s">
        <v>37</v>
      </c>
      <c r="S13" s="1">
        <v>46044</v>
      </c>
      <c r="T13" s="1">
        <v>46044</v>
      </c>
      <c r="W13" t="s">
        <v>39</v>
      </c>
      <c r="Y13" t="s">
        <v>39</v>
      </c>
      <c r="AA13" t="s">
        <v>40</v>
      </c>
      <c r="AB13">
        <v>1</v>
      </c>
      <c r="AC13" t="s">
        <v>41</v>
      </c>
      <c r="AD13" t="s">
        <v>67</v>
      </c>
      <c r="AE13" t="s">
        <v>43</v>
      </c>
      <c r="AF13" t="s">
        <v>47</v>
      </c>
      <c r="AG13" t="str">
        <f t="shared" si="0"/>
        <v>À Vista</v>
      </c>
      <c r="AH13" t="str">
        <f>IF(AND(SUMIF(E:E,E13,I:I)&gt;=400000,Q13="B2G"),"n","")</f>
        <v/>
      </c>
    </row>
    <row r="14" spans="1:34">
      <c r="A14">
        <v>2026</v>
      </c>
      <c r="B14">
        <v>1</v>
      </c>
      <c r="C14" s="83">
        <v>35907319569</v>
      </c>
      <c r="D14" t="s">
        <v>68</v>
      </c>
      <c r="E14">
        <v>38789220430</v>
      </c>
      <c r="F14">
        <v>635786</v>
      </c>
      <c r="G14">
        <v>50274464379</v>
      </c>
      <c r="H14" t="s">
        <v>35</v>
      </c>
      <c r="I14" s="36">
        <v>21744</v>
      </c>
      <c r="J14" s="36">
        <v>21744</v>
      </c>
      <c r="K14" s="85">
        <v>0</v>
      </c>
      <c r="L14" s="36">
        <v>1812</v>
      </c>
      <c r="M14" s="36">
        <v>0</v>
      </c>
      <c r="N14" s="36">
        <v>1812</v>
      </c>
      <c r="O14" s="36">
        <v>0</v>
      </c>
      <c r="P14" t="s">
        <v>69</v>
      </c>
      <c r="Q14" t="s">
        <v>37</v>
      </c>
      <c r="R14" t="s">
        <v>37</v>
      </c>
      <c r="S14" s="1">
        <v>46051</v>
      </c>
      <c r="T14" s="1">
        <v>46051</v>
      </c>
      <c r="U14" s="1">
        <v>46000</v>
      </c>
      <c r="V14" s="1">
        <v>46416</v>
      </c>
      <c r="W14" t="s">
        <v>38</v>
      </c>
      <c r="X14">
        <v>12</v>
      </c>
      <c r="Y14" t="s">
        <v>49</v>
      </c>
      <c r="AA14" t="s">
        <v>40</v>
      </c>
      <c r="AB14">
        <v>1</v>
      </c>
      <c r="AC14" t="s">
        <v>41</v>
      </c>
      <c r="AD14" t="s">
        <v>70</v>
      </c>
      <c r="AE14" t="s">
        <v>43</v>
      </c>
      <c r="AF14" t="s">
        <v>47</v>
      </c>
      <c r="AG14" t="str">
        <f t="shared" si="0"/>
        <v>À Vista</v>
      </c>
      <c r="AH14" t="str">
        <f>IF(AND(SUMIF(E:E,E14,I:I)&gt;=400000,Q14="B2G"),"n","")</f>
        <v/>
      </c>
    </row>
    <row r="15" spans="1:34">
      <c r="A15">
        <v>2026</v>
      </c>
      <c r="B15">
        <v>1</v>
      </c>
      <c r="C15" s="83">
        <v>35907319569</v>
      </c>
      <c r="D15" t="s">
        <v>68</v>
      </c>
      <c r="E15">
        <v>38789220430</v>
      </c>
      <c r="F15">
        <v>635786</v>
      </c>
      <c r="G15">
        <v>50274464379</v>
      </c>
      <c r="H15" t="s">
        <v>35</v>
      </c>
      <c r="I15" s="36">
        <v>21744</v>
      </c>
      <c r="J15" s="36">
        <v>21744</v>
      </c>
      <c r="K15" s="85">
        <v>0</v>
      </c>
      <c r="L15" s="36">
        <v>1812</v>
      </c>
      <c r="M15" s="36">
        <v>0</v>
      </c>
      <c r="N15" s="36">
        <v>1812</v>
      </c>
      <c r="O15" s="36">
        <v>0</v>
      </c>
      <c r="P15" t="s">
        <v>66</v>
      </c>
      <c r="Q15" t="s">
        <v>37</v>
      </c>
      <c r="R15" t="s">
        <v>37</v>
      </c>
      <c r="S15" s="1">
        <v>46051</v>
      </c>
      <c r="T15" s="1">
        <v>46051</v>
      </c>
      <c r="U15" s="1">
        <v>46000</v>
      </c>
      <c r="V15" s="1">
        <v>46416</v>
      </c>
      <c r="W15" t="s">
        <v>38</v>
      </c>
      <c r="X15">
        <v>12</v>
      </c>
      <c r="Y15" t="s">
        <v>49</v>
      </c>
      <c r="AA15" t="s">
        <v>40</v>
      </c>
      <c r="AB15">
        <v>1</v>
      </c>
      <c r="AC15" t="s">
        <v>41</v>
      </c>
      <c r="AD15" t="s">
        <v>70</v>
      </c>
      <c r="AE15" t="s">
        <v>43</v>
      </c>
      <c r="AF15" t="s">
        <v>47</v>
      </c>
      <c r="AG15" t="str">
        <f t="shared" si="0"/>
        <v>À Vista</v>
      </c>
      <c r="AH15" t="str">
        <f>IF(AND(SUMIF(E:E,E15,I:I)&gt;=400000,Q15="B2G"),"n","")</f>
        <v/>
      </c>
    </row>
    <row r="16" spans="1:34">
      <c r="A16">
        <v>2026</v>
      </c>
      <c r="B16">
        <v>1</v>
      </c>
      <c r="C16" s="83">
        <v>19485596080</v>
      </c>
      <c r="D16" t="s">
        <v>71</v>
      </c>
      <c r="E16">
        <v>39962115145</v>
      </c>
      <c r="F16">
        <v>635520</v>
      </c>
      <c r="G16">
        <v>48560859043</v>
      </c>
      <c r="H16" t="s">
        <v>35</v>
      </c>
      <c r="I16" s="36">
        <v>15990</v>
      </c>
      <c r="J16" s="36">
        <v>15990</v>
      </c>
      <c r="K16" s="85">
        <v>0</v>
      </c>
      <c r="L16" s="36">
        <v>1332.5</v>
      </c>
      <c r="M16" s="36">
        <v>1332.5</v>
      </c>
      <c r="N16" s="36">
        <v>0</v>
      </c>
      <c r="O16" s="36">
        <v>0</v>
      </c>
      <c r="P16" t="s">
        <v>72</v>
      </c>
      <c r="Q16" t="s">
        <v>37</v>
      </c>
      <c r="R16" t="s">
        <v>37</v>
      </c>
      <c r="S16" s="1">
        <v>46030</v>
      </c>
      <c r="T16" s="1">
        <v>46030</v>
      </c>
      <c r="V16" s="1">
        <v>46395</v>
      </c>
      <c r="W16" t="s">
        <v>38</v>
      </c>
      <c r="X16">
        <v>12</v>
      </c>
      <c r="Y16" t="s">
        <v>49</v>
      </c>
      <c r="AA16" t="s">
        <v>40</v>
      </c>
      <c r="AB16">
        <v>1</v>
      </c>
      <c r="AC16" t="s">
        <v>41</v>
      </c>
      <c r="AD16" t="s">
        <v>73</v>
      </c>
      <c r="AE16" t="s">
        <v>51</v>
      </c>
      <c r="AF16" t="s">
        <v>47</v>
      </c>
      <c r="AG16" t="str">
        <f t="shared" si="0"/>
        <v>À Vista</v>
      </c>
      <c r="AH16" t="str">
        <f>IF(AND(SUMIF(E:E,E16,I:I)&gt;=400000,Q16="B2G"),"n","")</f>
        <v/>
      </c>
    </row>
    <row r="17" spans="1:34">
      <c r="A17">
        <v>2026</v>
      </c>
      <c r="B17">
        <v>1</v>
      </c>
      <c r="C17" s="83">
        <v>19435497254</v>
      </c>
      <c r="D17" t="s">
        <v>74</v>
      </c>
      <c r="E17">
        <v>40516172212</v>
      </c>
      <c r="F17">
        <v>625579</v>
      </c>
      <c r="G17">
        <v>49068412739</v>
      </c>
      <c r="H17" t="s">
        <v>35</v>
      </c>
      <c r="I17" s="36">
        <v>5436</v>
      </c>
      <c r="J17" s="36">
        <v>5436</v>
      </c>
      <c r="K17" s="85">
        <v>0</v>
      </c>
      <c r="L17" s="36">
        <v>453</v>
      </c>
      <c r="M17" s="36">
        <v>0</v>
      </c>
      <c r="N17" s="36">
        <v>46</v>
      </c>
      <c r="O17" s="36">
        <v>407</v>
      </c>
      <c r="P17" t="s">
        <v>75</v>
      </c>
      <c r="Q17" t="s">
        <v>37</v>
      </c>
      <c r="R17" t="s">
        <v>37</v>
      </c>
      <c r="S17" s="1">
        <v>46036</v>
      </c>
      <c r="T17" s="1">
        <v>46036</v>
      </c>
      <c r="U17" s="1">
        <v>46038</v>
      </c>
      <c r="V17" s="1">
        <v>46403</v>
      </c>
      <c r="W17" t="s">
        <v>38</v>
      </c>
      <c r="X17">
        <v>12</v>
      </c>
      <c r="Y17" t="s">
        <v>49</v>
      </c>
      <c r="Z17" t="s">
        <v>76</v>
      </c>
      <c r="AA17" t="s">
        <v>40</v>
      </c>
      <c r="AB17">
        <v>1</v>
      </c>
      <c r="AC17" t="s">
        <v>41</v>
      </c>
      <c r="AD17" t="s">
        <v>54</v>
      </c>
      <c r="AE17" t="s">
        <v>46</v>
      </c>
      <c r="AF17" t="s">
        <v>44</v>
      </c>
      <c r="AG17" t="str">
        <f t="shared" si="0"/>
        <v>À Vista</v>
      </c>
      <c r="AH17" t="str">
        <f>IF(AND(SUMIF(E:E,E17,I:I)&gt;=400000,Q17="B2G"),"n","")</f>
        <v/>
      </c>
    </row>
    <row r="18" spans="1:34">
      <c r="A18">
        <v>2026</v>
      </c>
      <c r="B18">
        <v>1</v>
      </c>
      <c r="C18" s="83">
        <v>29124531791</v>
      </c>
      <c r="D18" t="s">
        <v>77</v>
      </c>
      <c r="E18">
        <v>41109232824</v>
      </c>
      <c r="F18">
        <v>625944</v>
      </c>
      <c r="G18">
        <v>48886123146</v>
      </c>
      <c r="H18" t="s">
        <v>35</v>
      </c>
      <c r="I18" s="36">
        <v>5394</v>
      </c>
      <c r="J18" s="36">
        <v>5394</v>
      </c>
      <c r="K18" s="85">
        <v>0</v>
      </c>
      <c r="L18" s="36">
        <v>449.5</v>
      </c>
      <c r="M18" s="36">
        <v>0</v>
      </c>
      <c r="N18" s="36">
        <v>55.5</v>
      </c>
      <c r="O18" s="36">
        <v>394</v>
      </c>
      <c r="P18" t="s">
        <v>78</v>
      </c>
      <c r="Q18" t="s">
        <v>79</v>
      </c>
      <c r="R18" t="s">
        <v>80</v>
      </c>
      <c r="S18" s="1">
        <v>46035</v>
      </c>
      <c r="T18" s="1">
        <v>46035</v>
      </c>
      <c r="U18" s="1">
        <v>46050</v>
      </c>
      <c r="V18" s="1">
        <v>46415</v>
      </c>
      <c r="W18" t="s">
        <v>38</v>
      </c>
      <c r="X18">
        <v>12</v>
      </c>
      <c r="Y18" t="s">
        <v>49</v>
      </c>
      <c r="Z18" t="s">
        <v>81</v>
      </c>
      <c r="AA18" t="s">
        <v>82</v>
      </c>
      <c r="AB18">
        <v>1</v>
      </c>
      <c r="AC18" t="s">
        <v>83</v>
      </c>
      <c r="AD18" t="s">
        <v>84</v>
      </c>
      <c r="AE18" t="s">
        <v>43</v>
      </c>
      <c r="AF18" t="s">
        <v>44</v>
      </c>
      <c r="AG18" t="str">
        <f t="shared" si="0"/>
        <v>À Vista</v>
      </c>
      <c r="AH18" t="str">
        <f>IF(AND(SUMIF(E:E,E18,I:I)&gt;=400000,Q18="B2G"),"n","")</f>
        <v/>
      </c>
    </row>
    <row r="19" spans="1:34">
      <c r="A19">
        <v>2026</v>
      </c>
      <c r="B19">
        <v>1</v>
      </c>
      <c r="C19" s="83">
        <v>29124531791</v>
      </c>
      <c r="D19" t="s">
        <v>77</v>
      </c>
      <c r="E19">
        <v>41109232824</v>
      </c>
      <c r="F19">
        <v>625944</v>
      </c>
      <c r="G19">
        <v>48886123147</v>
      </c>
      <c r="H19" t="s">
        <v>35</v>
      </c>
      <c r="I19" s="36">
        <v>5394</v>
      </c>
      <c r="J19" s="36">
        <v>5394</v>
      </c>
      <c r="K19" s="85">
        <v>0</v>
      </c>
      <c r="L19" s="36">
        <v>449.5</v>
      </c>
      <c r="M19" s="36">
        <v>0</v>
      </c>
      <c r="N19" s="36">
        <v>55.5</v>
      </c>
      <c r="O19" s="36">
        <v>394</v>
      </c>
      <c r="P19" t="s">
        <v>78</v>
      </c>
      <c r="Q19" t="s">
        <v>79</v>
      </c>
      <c r="R19" t="s">
        <v>80</v>
      </c>
      <c r="S19" s="1">
        <v>46035</v>
      </c>
      <c r="T19" s="1">
        <v>46035</v>
      </c>
      <c r="U19" s="1">
        <v>46050</v>
      </c>
      <c r="V19" s="1">
        <v>46415</v>
      </c>
      <c r="W19" t="s">
        <v>38</v>
      </c>
      <c r="X19">
        <v>12</v>
      </c>
      <c r="Y19" t="s">
        <v>49</v>
      </c>
      <c r="Z19" t="s">
        <v>81</v>
      </c>
      <c r="AA19" t="s">
        <v>82</v>
      </c>
      <c r="AB19">
        <v>1</v>
      </c>
      <c r="AC19" t="s">
        <v>83</v>
      </c>
      <c r="AD19" t="s">
        <v>85</v>
      </c>
      <c r="AE19" t="s">
        <v>46</v>
      </c>
      <c r="AF19" t="s">
        <v>44</v>
      </c>
      <c r="AG19" t="str">
        <f t="shared" si="0"/>
        <v>À Vista</v>
      </c>
      <c r="AH19" t="str">
        <f>IF(AND(SUMIF(E:E,E19,I:I)&gt;=400000,Q19="B2G"),"n","")</f>
        <v/>
      </c>
    </row>
    <row r="20" spans="1:34">
      <c r="A20">
        <v>2026</v>
      </c>
      <c r="B20">
        <v>1</v>
      </c>
      <c r="C20" s="83">
        <v>20534852467</v>
      </c>
      <c r="D20" t="s">
        <v>86</v>
      </c>
      <c r="E20">
        <v>41206575190</v>
      </c>
      <c r="F20">
        <v>625980</v>
      </c>
      <c r="G20">
        <v>50350997306</v>
      </c>
      <c r="H20" t="s">
        <v>35</v>
      </c>
      <c r="I20" s="36">
        <v>4007.16</v>
      </c>
      <c r="J20" s="36">
        <v>4007.16</v>
      </c>
      <c r="K20" s="85">
        <v>0</v>
      </c>
      <c r="L20" s="36">
        <v>333.93</v>
      </c>
      <c r="M20" s="36">
        <v>0</v>
      </c>
      <c r="N20" s="36">
        <v>14.93</v>
      </c>
      <c r="O20" s="36">
        <v>319</v>
      </c>
      <c r="P20" t="s">
        <v>87</v>
      </c>
      <c r="Q20" t="s">
        <v>37</v>
      </c>
      <c r="R20" t="s">
        <v>37</v>
      </c>
      <c r="S20" s="1">
        <v>46051</v>
      </c>
      <c r="T20" s="1">
        <v>46051</v>
      </c>
      <c r="U20" s="1">
        <v>46051</v>
      </c>
      <c r="V20" s="1">
        <v>46416</v>
      </c>
      <c r="W20" t="s">
        <v>38</v>
      </c>
      <c r="X20">
        <v>12</v>
      </c>
      <c r="Y20" t="s">
        <v>49</v>
      </c>
      <c r="Z20" t="s">
        <v>81</v>
      </c>
      <c r="AA20" t="s">
        <v>40</v>
      </c>
      <c r="AB20">
        <v>1</v>
      </c>
      <c r="AC20" t="s">
        <v>41</v>
      </c>
      <c r="AD20" t="s">
        <v>53</v>
      </c>
      <c r="AE20" t="s">
        <v>43</v>
      </c>
      <c r="AF20" t="s">
        <v>44</v>
      </c>
      <c r="AG20" t="str">
        <f t="shared" si="0"/>
        <v>À Vista</v>
      </c>
      <c r="AH20" t="str">
        <f>IF(AND(SUMIF(E:E,E20,I:I)&gt;=400000,Q20="B2G"),"n","")</f>
        <v/>
      </c>
    </row>
    <row r="21" spans="1:34">
      <c r="A21">
        <v>2026</v>
      </c>
      <c r="B21">
        <v>1</v>
      </c>
      <c r="C21" s="83">
        <v>19435452707</v>
      </c>
      <c r="D21" t="s">
        <v>88</v>
      </c>
      <c r="E21">
        <v>41255385229</v>
      </c>
      <c r="F21">
        <v>635553</v>
      </c>
      <c r="G21">
        <v>48885894405</v>
      </c>
      <c r="H21" t="s">
        <v>35</v>
      </c>
      <c r="I21" s="36">
        <v>4644</v>
      </c>
      <c r="J21" s="36">
        <v>4644</v>
      </c>
      <c r="K21" s="85">
        <v>0</v>
      </c>
      <c r="L21" s="36">
        <v>387</v>
      </c>
      <c r="M21" s="36">
        <v>0</v>
      </c>
      <c r="N21" s="36">
        <v>52.52</v>
      </c>
      <c r="O21" s="36">
        <v>334.47857140000002</v>
      </c>
      <c r="P21" t="s">
        <v>36</v>
      </c>
      <c r="Q21" t="s">
        <v>37</v>
      </c>
      <c r="R21" t="s">
        <v>37</v>
      </c>
      <c r="S21" s="1">
        <v>46035</v>
      </c>
      <c r="T21" s="1">
        <v>46035</v>
      </c>
      <c r="U21" s="1">
        <v>46052</v>
      </c>
      <c r="V21" s="1">
        <v>46400</v>
      </c>
      <c r="W21" t="s">
        <v>38</v>
      </c>
      <c r="X21">
        <v>12</v>
      </c>
      <c r="Y21" t="s">
        <v>49</v>
      </c>
      <c r="AA21" t="s">
        <v>40</v>
      </c>
      <c r="AB21">
        <v>1</v>
      </c>
      <c r="AC21" t="s">
        <v>41</v>
      </c>
      <c r="AD21" t="s">
        <v>53</v>
      </c>
      <c r="AE21" t="s">
        <v>43</v>
      </c>
      <c r="AF21" t="s">
        <v>44</v>
      </c>
      <c r="AG21" t="str">
        <f t="shared" si="0"/>
        <v>À Vista</v>
      </c>
      <c r="AH21" t="str">
        <f>IF(AND(SUMIF(E:E,E21,I:I)&gt;=400000,Q21="B2G"),"n","")</f>
        <v/>
      </c>
    </row>
    <row r="22" spans="1:34">
      <c r="A22">
        <v>2026</v>
      </c>
      <c r="B22">
        <v>1</v>
      </c>
      <c r="C22" s="83">
        <v>19435452707</v>
      </c>
      <c r="D22" t="s">
        <v>88</v>
      </c>
      <c r="E22">
        <v>41255385229</v>
      </c>
      <c r="F22">
        <v>635553</v>
      </c>
      <c r="G22">
        <v>48885894406</v>
      </c>
      <c r="H22" t="s">
        <v>35</v>
      </c>
      <c r="I22" s="36">
        <v>5436</v>
      </c>
      <c r="J22" s="36">
        <v>5436</v>
      </c>
      <c r="K22" s="85">
        <v>0</v>
      </c>
      <c r="L22" s="36">
        <v>453</v>
      </c>
      <c r="M22" s="36">
        <v>0</v>
      </c>
      <c r="N22" s="36">
        <v>61.48</v>
      </c>
      <c r="O22" s="36">
        <v>391.52142859999998</v>
      </c>
      <c r="P22" t="s">
        <v>36</v>
      </c>
      <c r="Q22" t="s">
        <v>37</v>
      </c>
      <c r="R22" t="s">
        <v>37</v>
      </c>
      <c r="S22" s="1">
        <v>46035</v>
      </c>
      <c r="T22" s="1">
        <v>46035</v>
      </c>
      <c r="U22" s="1">
        <v>46052</v>
      </c>
      <c r="V22" s="1">
        <v>46400</v>
      </c>
      <c r="W22" t="s">
        <v>38</v>
      </c>
      <c r="X22">
        <v>12</v>
      </c>
      <c r="Y22" t="s">
        <v>49</v>
      </c>
      <c r="AA22" t="s">
        <v>40</v>
      </c>
      <c r="AB22">
        <v>1</v>
      </c>
      <c r="AC22" t="s">
        <v>41</v>
      </c>
      <c r="AD22" t="s">
        <v>54</v>
      </c>
      <c r="AE22" t="s">
        <v>46</v>
      </c>
      <c r="AF22" t="s">
        <v>44</v>
      </c>
      <c r="AG22" t="str">
        <f t="shared" si="0"/>
        <v>À Vista</v>
      </c>
      <c r="AH22" t="str">
        <f>IF(AND(SUMIF(E:E,E22,I:I)&gt;=400000,Q22="B2G"),"n","")</f>
        <v/>
      </c>
    </row>
    <row r="23" spans="1:34">
      <c r="A23">
        <v>2026</v>
      </c>
      <c r="B23">
        <v>1</v>
      </c>
      <c r="C23" s="83">
        <v>19435709240</v>
      </c>
      <c r="D23" t="s">
        <v>89</v>
      </c>
      <c r="E23">
        <v>41513028145</v>
      </c>
      <c r="F23">
        <v>635488</v>
      </c>
      <c r="G23">
        <v>48457676122</v>
      </c>
      <c r="H23" t="s">
        <v>35</v>
      </c>
      <c r="I23" s="36">
        <v>8394</v>
      </c>
      <c r="J23" s="36">
        <v>8394</v>
      </c>
      <c r="K23" s="85">
        <v>0</v>
      </c>
      <c r="L23" s="36">
        <v>699.5</v>
      </c>
      <c r="M23" s="36">
        <v>699.5</v>
      </c>
      <c r="N23" s="36">
        <v>0</v>
      </c>
      <c r="O23" s="36">
        <v>0</v>
      </c>
      <c r="P23" t="s">
        <v>90</v>
      </c>
      <c r="Q23" t="s">
        <v>91</v>
      </c>
      <c r="R23" t="s">
        <v>91</v>
      </c>
      <c r="S23" s="1">
        <v>46028</v>
      </c>
      <c r="T23" s="1">
        <v>46028</v>
      </c>
      <c r="V23" s="1">
        <v>46393</v>
      </c>
      <c r="W23" t="s">
        <v>38</v>
      </c>
      <c r="X23">
        <v>12</v>
      </c>
      <c r="Y23" t="s">
        <v>49</v>
      </c>
      <c r="AA23" t="s">
        <v>92</v>
      </c>
      <c r="AB23">
        <v>12</v>
      </c>
      <c r="AC23" t="s">
        <v>93</v>
      </c>
      <c r="AD23" t="s">
        <v>94</v>
      </c>
      <c r="AE23" t="s">
        <v>95</v>
      </c>
      <c r="AF23" t="s">
        <v>96</v>
      </c>
      <c r="AG23" t="str">
        <f t="shared" si="0"/>
        <v>Recorrente</v>
      </c>
      <c r="AH23" t="str">
        <f>IF(AND(SUMIF(E:E,E23,I:I)&gt;=400000,Q23="B2G"),"n","")</f>
        <v/>
      </c>
    </row>
    <row r="24" spans="1:34">
      <c r="A24">
        <v>2026</v>
      </c>
      <c r="B24">
        <v>1</v>
      </c>
      <c r="C24" s="83">
        <v>19435393801</v>
      </c>
      <c r="D24" t="s">
        <v>97</v>
      </c>
      <c r="E24">
        <v>43288784965</v>
      </c>
      <c r="F24">
        <v>635824</v>
      </c>
      <c r="G24">
        <v>50425093796</v>
      </c>
      <c r="H24" t="s">
        <v>35</v>
      </c>
      <c r="I24" s="36">
        <v>23220</v>
      </c>
      <c r="J24" s="36">
        <v>23220</v>
      </c>
      <c r="K24" s="85">
        <v>0</v>
      </c>
      <c r="L24" s="36">
        <v>1935</v>
      </c>
      <c r="M24" s="36">
        <v>1935</v>
      </c>
      <c r="N24" s="36">
        <v>0</v>
      </c>
      <c r="O24" s="36">
        <v>0</v>
      </c>
      <c r="P24" t="s">
        <v>98</v>
      </c>
      <c r="Q24" t="s">
        <v>37</v>
      </c>
      <c r="R24" t="s">
        <v>37</v>
      </c>
      <c r="S24" s="1">
        <v>46052</v>
      </c>
      <c r="T24" s="1">
        <v>46052</v>
      </c>
      <c r="V24" s="1">
        <v>46417</v>
      </c>
      <c r="W24" t="s">
        <v>38</v>
      </c>
      <c r="X24">
        <v>12</v>
      </c>
      <c r="Y24" t="s">
        <v>49</v>
      </c>
      <c r="AA24" t="s">
        <v>40</v>
      </c>
      <c r="AB24">
        <v>1</v>
      </c>
      <c r="AC24" t="s">
        <v>41</v>
      </c>
      <c r="AD24" t="s">
        <v>53</v>
      </c>
      <c r="AE24" t="s">
        <v>43</v>
      </c>
      <c r="AF24" t="s">
        <v>44</v>
      </c>
      <c r="AG24" t="str">
        <f t="shared" si="0"/>
        <v>À Vista</v>
      </c>
      <c r="AH24" t="str">
        <f>IF(AND(SUMIF(E:E,E24,I:I)&gt;=400000,Q24="B2G"),"n","")</f>
        <v/>
      </c>
    </row>
    <row r="25" spans="1:34">
      <c r="A25">
        <v>2026</v>
      </c>
      <c r="B25">
        <v>1</v>
      </c>
      <c r="C25" s="83">
        <v>19435393801</v>
      </c>
      <c r="D25" t="s">
        <v>97</v>
      </c>
      <c r="E25">
        <v>43288784965</v>
      </c>
      <c r="F25">
        <v>635824</v>
      </c>
      <c r="G25">
        <v>50425093798</v>
      </c>
      <c r="H25" t="s">
        <v>35</v>
      </c>
      <c r="I25" s="36">
        <v>7990.08</v>
      </c>
      <c r="J25" s="36">
        <v>7990.08</v>
      </c>
      <c r="K25" s="85">
        <v>0</v>
      </c>
      <c r="L25" s="36">
        <v>665.84</v>
      </c>
      <c r="M25" s="36">
        <v>665.84</v>
      </c>
      <c r="N25" s="36">
        <v>0</v>
      </c>
      <c r="O25" s="36">
        <v>0</v>
      </c>
      <c r="P25" t="s">
        <v>98</v>
      </c>
      <c r="Q25" t="s">
        <v>37</v>
      </c>
      <c r="R25" t="s">
        <v>37</v>
      </c>
      <c r="S25" s="1">
        <v>46052</v>
      </c>
      <c r="T25" s="1">
        <v>46052</v>
      </c>
      <c r="V25" s="1">
        <v>46417</v>
      </c>
      <c r="W25" t="s">
        <v>38</v>
      </c>
      <c r="X25">
        <v>12</v>
      </c>
      <c r="Y25" t="s">
        <v>49</v>
      </c>
      <c r="AA25" t="s">
        <v>40</v>
      </c>
      <c r="AB25">
        <v>1</v>
      </c>
      <c r="AC25" t="s">
        <v>41</v>
      </c>
      <c r="AD25" t="s">
        <v>50</v>
      </c>
      <c r="AE25" t="s">
        <v>51</v>
      </c>
      <c r="AF25" t="s">
        <v>44</v>
      </c>
      <c r="AG25" t="str">
        <f t="shared" si="0"/>
        <v>À Vista</v>
      </c>
      <c r="AH25" t="str">
        <f>IF(AND(SUMIF(E:E,E25,I:I)&gt;=400000,Q25="B2G"),"n","")</f>
        <v/>
      </c>
    </row>
    <row r="26" spans="1:34">
      <c r="A26">
        <v>2026</v>
      </c>
      <c r="B26">
        <v>1</v>
      </c>
      <c r="C26" s="83">
        <v>19435393801</v>
      </c>
      <c r="D26" t="s">
        <v>97</v>
      </c>
      <c r="E26">
        <v>43288784965</v>
      </c>
      <c r="F26">
        <v>635824</v>
      </c>
      <c r="G26">
        <v>50425093799</v>
      </c>
      <c r="H26" t="s">
        <v>35</v>
      </c>
      <c r="I26" s="36">
        <v>5436</v>
      </c>
      <c r="J26" s="36">
        <v>5436</v>
      </c>
      <c r="K26" s="85">
        <v>0</v>
      </c>
      <c r="L26" s="36">
        <v>453</v>
      </c>
      <c r="M26" s="36">
        <v>453</v>
      </c>
      <c r="N26" s="36">
        <v>0</v>
      </c>
      <c r="O26" s="36">
        <v>0</v>
      </c>
      <c r="P26" t="s">
        <v>98</v>
      </c>
      <c r="Q26" t="s">
        <v>37</v>
      </c>
      <c r="R26" t="s">
        <v>37</v>
      </c>
      <c r="S26" s="1">
        <v>46052</v>
      </c>
      <c r="T26" s="1">
        <v>46052</v>
      </c>
      <c r="V26" s="1">
        <v>46417</v>
      </c>
      <c r="W26" t="s">
        <v>38</v>
      </c>
      <c r="X26">
        <v>12</v>
      </c>
      <c r="Y26" t="s">
        <v>49</v>
      </c>
      <c r="AA26" t="s">
        <v>40</v>
      </c>
      <c r="AB26">
        <v>1</v>
      </c>
      <c r="AC26" t="s">
        <v>41</v>
      </c>
      <c r="AD26" t="s">
        <v>54</v>
      </c>
      <c r="AE26" t="s">
        <v>46</v>
      </c>
      <c r="AF26" t="s">
        <v>44</v>
      </c>
      <c r="AG26" t="str">
        <f t="shared" si="0"/>
        <v>À Vista</v>
      </c>
      <c r="AH26" t="str">
        <f>IF(AND(SUMIF(E:E,E26,I:I)&gt;=400000,Q26="B2G"),"n","")</f>
        <v/>
      </c>
    </row>
    <row r="27" spans="1:34">
      <c r="A27">
        <v>2026</v>
      </c>
      <c r="B27">
        <v>1</v>
      </c>
      <c r="C27" s="83">
        <v>19435497254</v>
      </c>
      <c r="D27" t="s">
        <v>74</v>
      </c>
      <c r="E27">
        <v>44063859254</v>
      </c>
      <c r="F27">
        <v>627642</v>
      </c>
      <c r="G27">
        <v>49007574180</v>
      </c>
      <c r="H27" t="s">
        <v>35</v>
      </c>
      <c r="I27" s="36">
        <v>14496</v>
      </c>
      <c r="J27" s="36">
        <v>14496</v>
      </c>
      <c r="K27" s="85">
        <v>0</v>
      </c>
      <c r="L27" s="36">
        <v>1208</v>
      </c>
      <c r="M27" s="36">
        <v>1208</v>
      </c>
      <c r="N27" s="36">
        <v>0</v>
      </c>
      <c r="O27" s="36">
        <v>0</v>
      </c>
      <c r="P27" t="s">
        <v>75</v>
      </c>
      <c r="Q27" t="s">
        <v>37</v>
      </c>
      <c r="R27" t="s">
        <v>37</v>
      </c>
      <c r="S27" s="1">
        <v>46037</v>
      </c>
      <c r="T27" s="1">
        <v>46037</v>
      </c>
      <c r="V27" s="1">
        <v>46467</v>
      </c>
      <c r="W27" t="s">
        <v>38</v>
      </c>
      <c r="X27">
        <v>14</v>
      </c>
      <c r="Y27" t="s">
        <v>49</v>
      </c>
      <c r="Z27" t="s">
        <v>81</v>
      </c>
      <c r="AA27" t="s">
        <v>40</v>
      </c>
      <c r="AB27">
        <v>1</v>
      </c>
      <c r="AC27" t="s">
        <v>41</v>
      </c>
      <c r="AD27" t="s">
        <v>70</v>
      </c>
      <c r="AE27" t="s">
        <v>43</v>
      </c>
      <c r="AF27" t="s">
        <v>47</v>
      </c>
      <c r="AG27" t="str">
        <f t="shared" si="0"/>
        <v>À Vista</v>
      </c>
      <c r="AH27" t="str">
        <f>IF(AND(SUMIF(E:E,E27,I:I)&gt;=400000,Q27="B2G"),"n","")</f>
        <v/>
      </c>
    </row>
    <row r="28" spans="1:34">
      <c r="A28">
        <v>2026</v>
      </c>
      <c r="B28">
        <v>1</v>
      </c>
      <c r="C28" s="83">
        <v>29287902612</v>
      </c>
      <c r="D28" t="s">
        <v>99</v>
      </c>
      <c r="E28">
        <v>44506492043</v>
      </c>
      <c r="F28">
        <v>635514</v>
      </c>
      <c r="G28">
        <v>48545432894</v>
      </c>
      <c r="H28" t="s">
        <v>35</v>
      </c>
      <c r="I28" s="36">
        <v>13368</v>
      </c>
      <c r="J28" s="36">
        <v>13368</v>
      </c>
      <c r="K28" s="85">
        <v>0</v>
      </c>
      <c r="L28" s="36">
        <v>1114</v>
      </c>
      <c r="M28" s="36">
        <v>1114</v>
      </c>
      <c r="N28" s="36">
        <v>0</v>
      </c>
      <c r="O28" s="36">
        <v>0</v>
      </c>
      <c r="P28" t="s">
        <v>98</v>
      </c>
      <c r="Q28" t="s">
        <v>37</v>
      </c>
      <c r="R28" t="s">
        <v>37</v>
      </c>
      <c r="S28" s="1">
        <v>46030</v>
      </c>
      <c r="T28" s="1">
        <v>46030</v>
      </c>
      <c r="V28" s="1">
        <v>46395</v>
      </c>
      <c r="W28" t="s">
        <v>38</v>
      </c>
      <c r="X28">
        <v>12</v>
      </c>
      <c r="Y28" t="s">
        <v>49</v>
      </c>
      <c r="AA28" t="s">
        <v>40</v>
      </c>
      <c r="AB28">
        <v>1</v>
      </c>
      <c r="AC28" t="s">
        <v>41</v>
      </c>
      <c r="AD28" t="s">
        <v>100</v>
      </c>
      <c r="AE28" t="s">
        <v>46</v>
      </c>
      <c r="AF28" t="s">
        <v>47</v>
      </c>
      <c r="AG28" t="str">
        <f t="shared" si="0"/>
        <v>À Vista</v>
      </c>
      <c r="AH28" t="str">
        <f>IF(AND(SUMIF(E:E,E28,I:I)&gt;=400000,Q28="B2G"),"n","")</f>
        <v/>
      </c>
    </row>
    <row r="29" spans="1:34">
      <c r="A29">
        <v>2026</v>
      </c>
      <c r="B29">
        <v>1</v>
      </c>
      <c r="C29" s="83">
        <v>19435447599</v>
      </c>
      <c r="D29" t="s">
        <v>101</v>
      </c>
      <c r="E29">
        <v>45877912418</v>
      </c>
      <c r="F29">
        <v>635818</v>
      </c>
      <c r="G29">
        <v>50350906931</v>
      </c>
      <c r="H29" t="s">
        <v>35</v>
      </c>
      <c r="I29" s="36">
        <v>32616</v>
      </c>
      <c r="J29" s="36">
        <v>10872</v>
      </c>
      <c r="K29" s="85">
        <v>21744</v>
      </c>
      <c r="L29" s="36">
        <v>906</v>
      </c>
      <c r="M29" s="36">
        <v>906</v>
      </c>
      <c r="N29" s="36">
        <v>0</v>
      </c>
      <c r="O29" s="36">
        <v>0</v>
      </c>
      <c r="P29" t="s">
        <v>36</v>
      </c>
      <c r="Q29" t="s">
        <v>37</v>
      </c>
      <c r="R29" t="s">
        <v>37</v>
      </c>
      <c r="S29" s="1">
        <v>46052</v>
      </c>
      <c r="T29" s="1">
        <v>46052</v>
      </c>
      <c r="V29" s="1">
        <v>47148</v>
      </c>
      <c r="W29" t="s">
        <v>102</v>
      </c>
      <c r="X29">
        <v>36</v>
      </c>
      <c r="Y29" t="s">
        <v>49</v>
      </c>
      <c r="AA29" t="s">
        <v>40</v>
      </c>
      <c r="AB29">
        <v>1</v>
      </c>
      <c r="AC29" t="s">
        <v>41</v>
      </c>
      <c r="AD29" t="s">
        <v>54</v>
      </c>
      <c r="AE29" t="s">
        <v>46</v>
      </c>
      <c r="AF29" t="s">
        <v>44</v>
      </c>
      <c r="AG29" t="str">
        <f t="shared" si="0"/>
        <v>À Vista</v>
      </c>
      <c r="AH29" t="str">
        <f>IF(AND(SUMIF(E:E,E29,I:I)&gt;=400000,Q29="B2G"),"n","")</f>
        <v/>
      </c>
    </row>
    <row r="30" spans="1:34">
      <c r="A30">
        <v>2026</v>
      </c>
      <c r="B30">
        <v>1</v>
      </c>
      <c r="C30" s="83">
        <v>19435447599</v>
      </c>
      <c r="D30" t="s">
        <v>101</v>
      </c>
      <c r="E30">
        <v>45877912418</v>
      </c>
      <c r="F30">
        <v>635818</v>
      </c>
      <c r="G30">
        <v>50350906932</v>
      </c>
      <c r="H30" t="s">
        <v>35</v>
      </c>
      <c r="I30" s="36">
        <v>27864</v>
      </c>
      <c r="J30" s="36">
        <v>9288</v>
      </c>
      <c r="K30" s="85">
        <v>18576</v>
      </c>
      <c r="L30" s="36">
        <v>774</v>
      </c>
      <c r="M30" s="36">
        <v>774</v>
      </c>
      <c r="N30" s="36">
        <v>0</v>
      </c>
      <c r="O30" s="36">
        <v>0</v>
      </c>
      <c r="P30" t="s">
        <v>36</v>
      </c>
      <c r="Q30" t="s">
        <v>37</v>
      </c>
      <c r="R30" t="s">
        <v>37</v>
      </c>
      <c r="S30" s="1">
        <v>46052</v>
      </c>
      <c r="T30" s="1">
        <v>46052</v>
      </c>
      <c r="V30" s="1">
        <v>47148</v>
      </c>
      <c r="W30" t="s">
        <v>102</v>
      </c>
      <c r="X30">
        <v>36</v>
      </c>
      <c r="Y30" t="s">
        <v>49</v>
      </c>
      <c r="AA30" t="s">
        <v>40</v>
      </c>
      <c r="AB30">
        <v>1</v>
      </c>
      <c r="AC30" t="s">
        <v>41</v>
      </c>
      <c r="AD30" t="s">
        <v>53</v>
      </c>
      <c r="AE30" t="s">
        <v>43</v>
      </c>
      <c r="AF30" t="s">
        <v>44</v>
      </c>
      <c r="AG30" t="str">
        <f t="shared" si="0"/>
        <v>À Vista</v>
      </c>
      <c r="AH30" t="str">
        <f>IF(AND(SUMIF(E:E,E30,I:I)&gt;=400000,Q30="B2G"),"n","")</f>
        <v/>
      </c>
    </row>
    <row r="31" spans="1:34">
      <c r="A31">
        <v>2026</v>
      </c>
      <c r="B31">
        <v>1</v>
      </c>
      <c r="C31" s="83">
        <v>19435567269</v>
      </c>
      <c r="D31" t="s">
        <v>103</v>
      </c>
      <c r="E31">
        <v>46511646114</v>
      </c>
      <c r="F31">
        <v>635662</v>
      </c>
      <c r="G31">
        <v>49670317965</v>
      </c>
      <c r="H31" t="s">
        <v>104</v>
      </c>
      <c r="I31" s="36">
        <v>718.8</v>
      </c>
      <c r="J31" s="36">
        <v>718.8</v>
      </c>
      <c r="K31" s="85">
        <v>0</v>
      </c>
      <c r="L31" s="36">
        <v>59.9</v>
      </c>
      <c r="M31" s="36">
        <v>59.9</v>
      </c>
      <c r="N31" s="36">
        <v>0</v>
      </c>
      <c r="O31" s="36">
        <v>0</v>
      </c>
      <c r="P31" t="s">
        <v>98</v>
      </c>
      <c r="Q31" t="s">
        <v>37</v>
      </c>
      <c r="R31" t="s">
        <v>37</v>
      </c>
      <c r="S31" s="1">
        <v>46043</v>
      </c>
      <c r="T31" s="1">
        <v>46043</v>
      </c>
      <c r="V31" s="1">
        <v>46408</v>
      </c>
      <c r="W31" t="s">
        <v>38</v>
      </c>
      <c r="X31">
        <v>12</v>
      </c>
      <c r="Y31" t="s">
        <v>104</v>
      </c>
      <c r="AA31" t="s">
        <v>40</v>
      </c>
      <c r="AB31">
        <v>1</v>
      </c>
      <c r="AC31" t="s">
        <v>41</v>
      </c>
      <c r="AD31" t="s">
        <v>105</v>
      </c>
      <c r="AE31" t="s">
        <v>106</v>
      </c>
      <c r="AF31" t="s">
        <v>59</v>
      </c>
      <c r="AG31" t="str">
        <f t="shared" si="0"/>
        <v>À Vista</v>
      </c>
      <c r="AH31" t="str">
        <f>IF(AND(SUMIF(E:E,E31,I:I)&gt;=400000,Q31="B2G"),"n","")</f>
        <v/>
      </c>
    </row>
    <row r="32" spans="1:34">
      <c r="A32">
        <v>2026</v>
      </c>
      <c r="B32">
        <v>1</v>
      </c>
      <c r="C32" s="83">
        <v>42179585166</v>
      </c>
      <c r="D32" t="s">
        <v>107</v>
      </c>
      <c r="E32">
        <v>46554281576</v>
      </c>
      <c r="F32">
        <v>635666</v>
      </c>
      <c r="G32">
        <v>49608453559</v>
      </c>
      <c r="H32" t="s">
        <v>35</v>
      </c>
      <c r="I32" s="36">
        <v>10872</v>
      </c>
      <c r="J32" s="36">
        <v>5436</v>
      </c>
      <c r="K32" s="85">
        <v>5436</v>
      </c>
      <c r="L32" s="36">
        <v>453</v>
      </c>
      <c r="M32" s="36">
        <v>453</v>
      </c>
      <c r="N32" s="36">
        <v>0</v>
      </c>
      <c r="O32" s="36">
        <v>0</v>
      </c>
      <c r="P32" t="s">
        <v>87</v>
      </c>
      <c r="Q32" t="s">
        <v>37</v>
      </c>
      <c r="R32" t="s">
        <v>37</v>
      </c>
      <c r="S32" s="1">
        <v>46043</v>
      </c>
      <c r="T32" s="1">
        <v>46043</v>
      </c>
      <c r="V32" s="1">
        <v>46773</v>
      </c>
      <c r="W32" t="s">
        <v>56</v>
      </c>
      <c r="X32">
        <v>24</v>
      </c>
      <c r="Y32" t="s">
        <v>49</v>
      </c>
      <c r="AA32" t="s">
        <v>40</v>
      </c>
      <c r="AB32">
        <v>1</v>
      </c>
      <c r="AC32" t="s">
        <v>41</v>
      </c>
      <c r="AD32" t="s">
        <v>54</v>
      </c>
      <c r="AE32" t="s">
        <v>46</v>
      </c>
      <c r="AF32" t="s">
        <v>44</v>
      </c>
      <c r="AG32" t="str">
        <f t="shared" si="0"/>
        <v>À Vista</v>
      </c>
      <c r="AH32" t="str">
        <f>IF(AND(SUMIF(E:E,E32,I:I)&gt;=400000,Q32="B2G"),"n","")</f>
        <v/>
      </c>
    </row>
    <row r="33" spans="1:34">
      <c r="A33">
        <v>2026</v>
      </c>
      <c r="B33">
        <v>1</v>
      </c>
      <c r="C33" s="83">
        <v>42179585166</v>
      </c>
      <c r="D33" t="s">
        <v>107</v>
      </c>
      <c r="E33">
        <v>46554281576</v>
      </c>
      <c r="F33">
        <v>635666</v>
      </c>
      <c r="G33">
        <v>49608453560</v>
      </c>
      <c r="H33" t="s">
        <v>35</v>
      </c>
      <c r="I33" s="36">
        <v>9288</v>
      </c>
      <c r="J33" s="36">
        <v>4644</v>
      </c>
      <c r="K33" s="85">
        <v>4644</v>
      </c>
      <c r="L33" s="36">
        <v>387</v>
      </c>
      <c r="M33" s="36">
        <v>387</v>
      </c>
      <c r="N33" s="36">
        <v>0</v>
      </c>
      <c r="O33" s="36">
        <v>0</v>
      </c>
      <c r="P33" t="s">
        <v>87</v>
      </c>
      <c r="Q33" t="s">
        <v>37</v>
      </c>
      <c r="R33" t="s">
        <v>37</v>
      </c>
      <c r="S33" s="1">
        <v>46043</v>
      </c>
      <c r="T33" s="1">
        <v>46043</v>
      </c>
      <c r="V33" s="1">
        <v>46773</v>
      </c>
      <c r="W33" t="s">
        <v>56</v>
      </c>
      <c r="X33">
        <v>24</v>
      </c>
      <c r="Y33" t="s">
        <v>49</v>
      </c>
      <c r="AA33" t="s">
        <v>40</v>
      </c>
      <c r="AB33">
        <v>1</v>
      </c>
      <c r="AC33" t="s">
        <v>41</v>
      </c>
      <c r="AD33" t="s">
        <v>53</v>
      </c>
      <c r="AE33" t="s">
        <v>43</v>
      </c>
      <c r="AF33" t="s">
        <v>44</v>
      </c>
      <c r="AG33" t="str">
        <f t="shared" si="0"/>
        <v>À Vista</v>
      </c>
      <c r="AH33" t="str">
        <f>IF(AND(SUMIF(E:E,E33,I:I)&gt;=400000,Q33="B2G"),"n","")</f>
        <v/>
      </c>
    </row>
    <row r="34" spans="1:34">
      <c r="A34">
        <v>2026</v>
      </c>
      <c r="B34">
        <v>1</v>
      </c>
      <c r="C34" s="83">
        <v>20535617041</v>
      </c>
      <c r="D34" t="s">
        <v>108</v>
      </c>
      <c r="E34">
        <v>46559124409</v>
      </c>
      <c r="F34">
        <v>635778</v>
      </c>
      <c r="G34">
        <v>50273452422</v>
      </c>
      <c r="H34" t="s">
        <v>35</v>
      </c>
      <c r="I34" s="36">
        <v>16308</v>
      </c>
      <c r="J34" s="36">
        <v>5436</v>
      </c>
      <c r="K34" s="85">
        <v>10872</v>
      </c>
      <c r="L34" s="36">
        <v>453</v>
      </c>
      <c r="M34" s="36">
        <v>453</v>
      </c>
      <c r="N34" s="36">
        <v>0</v>
      </c>
      <c r="O34" s="36">
        <v>0</v>
      </c>
      <c r="P34" t="s">
        <v>36</v>
      </c>
      <c r="Q34" t="s">
        <v>37</v>
      </c>
      <c r="R34" t="s">
        <v>37</v>
      </c>
      <c r="S34" s="1">
        <v>46050</v>
      </c>
      <c r="T34" s="1">
        <v>46050</v>
      </c>
      <c r="V34" s="1">
        <v>47146</v>
      </c>
      <c r="W34" t="s">
        <v>102</v>
      </c>
      <c r="X34">
        <v>36</v>
      </c>
      <c r="Y34" t="s">
        <v>49</v>
      </c>
      <c r="AA34" t="s">
        <v>40</v>
      </c>
      <c r="AB34">
        <v>1</v>
      </c>
      <c r="AC34" t="s">
        <v>41</v>
      </c>
      <c r="AD34" t="s">
        <v>54</v>
      </c>
      <c r="AE34" t="s">
        <v>46</v>
      </c>
      <c r="AF34" t="s">
        <v>44</v>
      </c>
      <c r="AG34" t="str">
        <f t="shared" si="0"/>
        <v>À Vista</v>
      </c>
      <c r="AH34" t="str">
        <f>IF(AND(SUMIF(E:E,E34,I:I)&gt;=400000,Q34="B2G"),"n","")</f>
        <v/>
      </c>
    </row>
    <row r="35" spans="1:34">
      <c r="A35">
        <v>2026</v>
      </c>
      <c r="B35">
        <v>1</v>
      </c>
      <c r="C35" s="83">
        <v>26512022954</v>
      </c>
      <c r="D35" t="s">
        <v>109</v>
      </c>
      <c r="E35">
        <v>46588609583</v>
      </c>
      <c r="F35">
        <v>624533</v>
      </c>
      <c r="G35">
        <v>44801325474</v>
      </c>
      <c r="H35" t="s">
        <v>35</v>
      </c>
      <c r="I35" s="36">
        <v>3299.88</v>
      </c>
      <c r="J35" s="36">
        <v>3299.88</v>
      </c>
      <c r="K35" s="85">
        <v>0</v>
      </c>
      <c r="L35" s="36">
        <v>274.99</v>
      </c>
      <c r="M35" s="36">
        <v>0</v>
      </c>
      <c r="N35" s="36">
        <v>25.16</v>
      </c>
      <c r="O35" s="36">
        <v>249.84</v>
      </c>
      <c r="P35" t="s">
        <v>110</v>
      </c>
      <c r="Q35" t="s">
        <v>111</v>
      </c>
      <c r="R35" t="s">
        <v>111</v>
      </c>
      <c r="S35" s="1">
        <v>45979</v>
      </c>
      <c r="T35" s="1">
        <v>46023</v>
      </c>
      <c r="U35" s="1">
        <v>45994</v>
      </c>
      <c r="V35" s="1">
        <v>46359</v>
      </c>
      <c r="W35" t="s">
        <v>38</v>
      </c>
      <c r="X35">
        <v>12</v>
      </c>
      <c r="Y35" t="s">
        <v>49</v>
      </c>
      <c r="Z35" t="s">
        <v>81</v>
      </c>
      <c r="AA35" t="s">
        <v>112</v>
      </c>
      <c r="AB35">
        <v>12</v>
      </c>
      <c r="AC35" t="s">
        <v>113</v>
      </c>
      <c r="AD35" t="s">
        <v>114</v>
      </c>
      <c r="AE35" t="s">
        <v>43</v>
      </c>
      <c r="AF35" t="s">
        <v>44</v>
      </c>
      <c r="AG35" t="str">
        <f t="shared" si="0"/>
        <v>CC 12x</v>
      </c>
      <c r="AH35" t="str">
        <f>IF(AND(SUMIF(E:E,E35,I:I)&gt;=400000,Q35="B2G"),"n","")</f>
        <v/>
      </c>
    </row>
    <row r="36" spans="1:34">
      <c r="A36">
        <v>2026</v>
      </c>
      <c r="B36">
        <v>1</v>
      </c>
      <c r="C36" s="83">
        <v>2075043</v>
      </c>
      <c r="D36" t="s">
        <v>115</v>
      </c>
      <c r="E36">
        <v>46725753464</v>
      </c>
      <c r="F36">
        <v>503913</v>
      </c>
      <c r="G36">
        <v>45802403695</v>
      </c>
      <c r="H36" t="s">
        <v>35</v>
      </c>
      <c r="I36" s="36">
        <v>2932.32</v>
      </c>
      <c r="J36" s="36">
        <v>2932.32</v>
      </c>
      <c r="K36" s="85">
        <v>0</v>
      </c>
      <c r="L36" s="36">
        <v>244.36</v>
      </c>
      <c r="M36" s="36">
        <v>0</v>
      </c>
      <c r="N36" s="36">
        <v>0</v>
      </c>
      <c r="O36" s="36">
        <v>244.36005</v>
      </c>
      <c r="P36" t="s">
        <v>116</v>
      </c>
      <c r="Q36" t="s">
        <v>111</v>
      </c>
      <c r="R36" t="s">
        <v>111</v>
      </c>
      <c r="S36" s="1">
        <v>45992</v>
      </c>
      <c r="T36" s="1">
        <v>46023</v>
      </c>
      <c r="U36" s="1">
        <v>45996</v>
      </c>
      <c r="V36" s="1">
        <v>46361</v>
      </c>
      <c r="W36" t="s">
        <v>38</v>
      </c>
      <c r="X36">
        <v>12</v>
      </c>
      <c r="Y36" t="s">
        <v>49</v>
      </c>
      <c r="Z36" t="s">
        <v>76</v>
      </c>
      <c r="AA36" t="s">
        <v>117</v>
      </c>
      <c r="AB36">
        <v>1</v>
      </c>
      <c r="AC36" t="s">
        <v>113</v>
      </c>
      <c r="AD36" t="s">
        <v>84</v>
      </c>
      <c r="AE36" t="s">
        <v>43</v>
      </c>
      <c r="AF36" t="s">
        <v>44</v>
      </c>
      <c r="AG36" t="str">
        <f t="shared" si="0"/>
        <v>À Vista</v>
      </c>
      <c r="AH36" t="str">
        <f>IF(AND(SUMIF(E:E,E36,I:I)&gt;=400000,Q36="B2G"),"n","")</f>
        <v/>
      </c>
    </row>
    <row r="37" spans="1:34">
      <c r="A37">
        <v>2026</v>
      </c>
      <c r="B37">
        <v>1</v>
      </c>
      <c r="C37" s="83">
        <v>2075043</v>
      </c>
      <c r="D37" t="s">
        <v>115</v>
      </c>
      <c r="E37">
        <v>46725753464</v>
      </c>
      <c r="F37">
        <v>503913</v>
      </c>
      <c r="G37">
        <v>45802403697</v>
      </c>
      <c r="H37" t="s">
        <v>35</v>
      </c>
      <c r="I37" s="36">
        <v>2932.32</v>
      </c>
      <c r="J37" s="36">
        <v>2932.32</v>
      </c>
      <c r="K37" s="85">
        <v>0</v>
      </c>
      <c r="L37" s="36">
        <v>244.36</v>
      </c>
      <c r="M37" s="36">
        <v>0</v>
      </c>
      <c r="N37" s="36">
        <v>0</v>
      </c>
      <c r="O37" s="36">
        <v>244.36005</v>
      </c>
      <c r="P37" t="s">
        <v>116</v>
      </c>
      <c r="Q37" t="s">
        <v>111</v>
      </c>
      <c r="R37" t="s">
        <v>111</v>
      </c>
      <c r="S37" s="1">
        <v>45992</v>
      </c>
      <c r="T37" s="1">
        <v>46023</v>
      </c>
      <c r="U37" s="1">
        <v>45996</v>
      </c>
      <c r="V37" s="1">
        <v>46361</v>
      </c>
      <c r="W37" t="s">
        <v>38</v>
      </c>
      <c r="X37">
        <v>12</v>
      </c>
      <c r="Y37" t="s">
        <v>49</v>
      </c>
      <c r="Z37" t="s">
        <v>76</v>
      </c>
      <c r="AA37" t="s">
        <v>117</v>
      </c>
      <c r="AB37">
        <v>1</v>
      </c>
      <c r="AC37" t="s">
        <v>113</v>
      </c>
      <c r="AD37" t="s">
        <v>85</v>
      </c>
      <c r="AE37" t="s">
        <v>46</v>
      </c>
      <c r="AF37" t="s">
        <v>44</v>
      </c>
      <c r="AG37" t="str">
        <f t="shared" si="0"/>
        <v>À Vista</v>
      </c>
      <c r="AH37" t="str">
        <f>IF(AND(SUMIF(E:E,E37,I:I)&gt;=400000,Q37="B2G"),"n","")</f>
        <v/>
      </c>
    </row>
    <row r="38" spans="1:34">
      <c r="A38">
        <v>2026</v>
      </c>
      <c r="B38">
        <v>1</v>
      </c>
      <c r="C38" s="83">
        <v>2075043</v>
      </c>
      <c r="D38" t="s">
        <v>115</v>
      </c>
      <c r="E38">
        <v>46725753464</v>
      </c>
      <c r="F38">
        <v>503913</v>
      </c>
      <c r="G38">
        <v>45802403698</v>
      </c>
      <c r="H38" t="s">
        <v>35</v>
      </c>
      <c r="I38" s="36">
        <v>2932.32</v>
      </c>
      <c r="J38" s="36">
        <v>2932.32</v>
      </c>
      <c r="K38" s="85">
        <v>0</v>
      </c>
      <c r="L38" s="36">
        <v>244.36</v>
      </c>
      <c r="M38" s="36">
        <v>0</v>
      </c>
      <c r="N38" s="36">
        <v>0</v>
      </c>
      <c r="O38" s="36">
        <v>244.36005</v>
      </c>
      <c r="P38" t="s">
        <v>116</v>
      </c>
      <c r="Q38" t="s">
        <v>111</v>
      </c>
      <c r="R38" t="s">
        <v>111</v>
      </c>
      <c r="S38" s="1">
        <v>45992</v>
      </c>
      <c r="T38" s="1">
        <v>46023</v>
      </c>
      <c r="U38" s="1">
        <v>45996</v>
      </c>
      <c r="V38" s="1">
        <v>46361</v>
      </c>
      <c r="W38" t="s">
        <v>38</v>
      </c>
      <c r="X38">
        <v>12</v>
      </c>
      <c r="Y38" t="s">
        <v>49</v>
      </c>
      <c r="Z38" t="s">
        <v>76</v>
      </c>
      <c r="AA38" t="s">
        <v>117</v>
      </c>
      <c r="AB38">
        <v>1</v>
      </c>
      <c r="AC38" t="s">
        <v>113</v>
      </c>
      <c r="AD38" t="s">
        <v>118</v>
      </c>
      <c r="AE38" t="s">
        <v>43</v>
      </c>
      <c r="AF38" t="s">
        <v>119</v>
      </c>
      <c r="AG38" t="str">
        <f t="shared" si="0"/>
        <v>À Vista</v>
      </c>
      <c r="AH38" t="str">
        <f>IF(AND(SUMIF(E:E,E38,I:I)&gt;=400000,Q38="B2G"),"n","")</f>
        <v/>
      </c>
    </row>
    <row r="39" spans="1:34">
      <c r="A39">
        <v>2026</v>
      </c>
      <c r="B39">
        <v>1</v>
      </c>
      <c r="C39" s="83">
        <v>20945228105</v>
      </c>
      <c r="D39" t="s">
        <v>120</v>
      </c>
      <c r="E39">
        <v>46813173130</v>
      </c>
      <c r="F39">
        <v>523210</v>
      </c>
      <c r="G39">
        <v>46407636880</v>
      </c>
      <c r="H39" t="s">
        <v>35</v>
      </c>
      <c r="I39" s="36">
        <v>4278.84</v>
      </c>
      <c r="J39" s="36">
        <v>4278.84</v>
      </c>
      <c r="K39" s="85">
        <v>0</v>
      </c>
      <c r="L39" s="36">
        <v>356.57</v>
      </c>
      <c r="M39" s="36">
        <v>0</v>
      </c>
      <c r="N39" s="36">
        <v>0</v>
      </c>
      <c r="O39" s="36">
        <v>356.57499999999999</v>
      </c>
      <c r="P39" t="s">
        <v>121</v>
      </c>
      <c r="Q39" t="s">
        <v>111</v>
      </c>
      <c r="R39" t="s">
        <v>111</v>
      </c>
      <c r="S39" s="1">
        <v>45995</v>
      </c>
      <c r="T39" s="1">
        <v>46023</v>
      </c>
      <c r="U39" s="1">
        <v>45999</v>
      </c>
      <c r="V39" s="1">
        <v>46364</v>
      </c>
      <c r="W39" t="s">
        <v>38</v>
      </c>
      <c r="X39">
        <v>12</v>
      </c>
      <c r="Y39" t="s">
        <v>49</v>
      </c>
      <c r="Z39" t="s">
        <v>81</v>
      </c>
      <c r="AA39" t="s">
        <v>122</v>
      </c>
      <c r="AB39">
        <v>12</v>
      </c>
      <c r="AC39" t="s">
        <v>113</v>
      </c>
      <c r="AD39" t="s">
        <v>84</v>
      </c>
      <c r="AE39" t="s">
        <v>43</v>
      </c>
      <c r="AF39" t="s">
        <v>44</v>
      </c>
      <c r="AG39" t="str">
        <f t="shared" si="0"/>
        <v>Recorrente</v>
      </c>
      <c r="AH39" t="str">
        <f>IF(AND(SUMIF(E:E,E39,I:I)&gt;=400000,Q39="B2G"),"n","")</f>
        <v/>
      </c>
    </row>
    <row r="40" spans="1:34">
      <c r="A40">
        <v>2026</v>
      </c>
      <c r="B40">
        <v>1</v>
      </c>
      <c r="C40" s="83">
        <v>42326226253</v>
      </c>
      <c r="D40" t="s">
        <v>123</v>
      </c>
      <c r="E40">
        <v>47253502621</v>
      </c>
      <c r="F40">
        <v>624563</v>
      </c>
      <c r="G40">
        <v>45846126405</v>
      </c>
      <c r="H40" t="s">
        <v>35</v>
      </c>
      <c r="I40" s="36">
        <v>5754</v>
      </c>
      <c r="J40" s="36">
        <v>5754</v>
      </c>
      <c r="K40" s="85">
        <v>0</v>
      </c>
      <c r="L40" s="36">
        <v>479.5</v>
      </c>
      <c r="M40" s="36">
        <v>0</v>
      </c>
      <c r="N40" s="36">
        <v>30.5</v>
      </c>
      <c r="O40" s="36">
        <v>449</v>
      </c>
      <c r="P40" t="s">
        <v>110</v>
      </c>
      <c r="Q40" t="s">
        <v>111</v>
      </c>
      <c r="R40" t="s">
        <v>111</v>
      </c>
      <c r="S40" s="1">
        <v>45992</v>
      </c>
      <c r="T40" s="1">
        <v>46023</v>
      </c>
      <c r="U40" s="1">
        <v>45995</v>
      </c>
      <c r="V40" s="1">
        <v>46360</v>
      </c>
      <c r="W40" t="s">
        <v>38</v>
      </c>
      <c r="X40">
        <v>12</v>
      </c>
      <c r="Y40" t="s">
        <v>49</v>
      </c>
      <c r="Z40" t="s">
        <v>81</v>
      </c>
      <c r="AA40" t="s">
        <v>112</v>
      </c>
      <c r="AB40">
        <v>12</v>
      </c>
      <c r="AC40" t="s">
        <v>113</v>
      </c>
      <c r="AD40" t="s">
        <v>85</v>
      </c>
      <c r="AE40" t="s">
        <v>46</v>
      </c>
      <c r="AF40" t="s">
        <v>44</v>
      </c>
      <c r="AG40" t="str">
        <f t="shared" si="0"/>
        <v>CC 12x</v>
      </c>
      <c r="AH40" t="str">
        <f>IF(AND(SUMIF(E:E,E40,I:I)&gt;=400000,Q40="B2G"),"n","")</f>
        <v/>
      </c>
    </row>
    <row r="41" spans="1:34">
      <c r="A41">
        <v>2026</v>
      </c>
      <c r="B41">
        <v>1</v>
      </c>
      <c r="C41" s="83">
        <v>19435398462</v>
      </c>
      <c r="D41" t="s">
        <v>124</v>
      </c>
      <c r="E41">
        <v>47292692739</v>
      </c>
      <c r="F41">
        <v>605501</v>
      </c>
      <c r="G41">
        <v>44212418208</v>
      </c>
      <c r="H41" t="s">
        <v>35</v>
      </c>
      <c r="I41" s="36">
        <v>5923.44</v>
      </c>
      <c r="J41" s="36">
        <v>5923.44</v>
      </c>
      <c r="K41" s="85">
        <v>0</v>
      </c>
      <c r="L41" s="36">
        <v>493.62</v>
      </c>
      <c r="M41" s="36">
        <v>0</v>
      </c>
      <c r="N41" s="36">
        <v>7.17</v>
      </c>
      <c r="O41" s="36">
        <v>486.45</v>
      </c>
      <c r="P41" t="s">
        <v>116</v>
      </c>
      <c r="Q41" t="s">
        <v>111</v>
      </c>
      <c r="R41" t="s">
        <v>111</v>
      </c>
      <c r="S41" s="1">
        <v>45973</v>
      </c>
      <c r="T41" s="1">
        <v>46023</v>
      </c>
      <c r="U41" s="1">
        <v>46003</v>
      </c>
      <c r="V41" s="1">
        <v>46368</v>
      </c>
      <c r="W41" t="s">
        <v>38</v>
      </c>
      <c r="X41">
        <v>12</v>
      </c>
      <c r="Y41" t="s">
        <v>49</v>
      </c>
      <c r="Z41" t="s">
        <v>76</v>
      </c>
      <c r="AA41" t="s">
        <v>122</v>
      </c>
      <c r="AB41">
        <v>12</v>
      </c>
      <c r="AC41" t="s">
        <v>113</v>
      </c>
      <c r="AD41" t="s">
        <v>125</v>
      </c>
      <c r="AE41" t="s">
        <v>43</v>
      </c>
      <c r="AF41" t="s">
        <v>47</v>
      </c>
      <c r="AG41" t="str">
        <f t="shared" si="0"/>
        <v>Recorrente</v>
      </c>
      <c r="AH41" t="str">
        <f>IF(AND(SUMIF(E:E,E41,I:I)&gt;=400000,Q41="B2G"),"n","")</f>
        <v/>
      </c>
    </row>
    <row r="42" spans="1:34">
      <c r="A42">
        <v>2026</v>
      </c>
      <c r="B42">
        <v>1</v>
      </c>
      <c r="C42" s="83">
        <v>2128769</v>
      </c>
      <c r="D42" t="s">
        <v>126</v>
      </c>
      <c r="E42">
        <v>47476939324</v>
      </c>
      <c r="F42">
        <v>504233</v>
      </c>
      <c r="G42">
        <v>44167681699</v>
      </c>
      <c r="H42" t="s">
        <v>35</v>
      </c>
      <c r="I42" s="36">
        <v>3669</v>
      </c>
      <c r="J42" s="36">
        <v>3669</v>
      </c>
      <c r="K42" s="85">
        <v>0</v>
      </c>
      <c r="L42" s="36">
        <v>305.75</v>
      </c>
      <c r="M42" s="36">
        <v>0</v>
      </c>
      <c r="N42" s="36">
        <v>36.36</v>
      </c>
      <c r="O42" s="36">
        <v>269.39</v>
      </c>
      <c r="P42" t="s">
        <v>127</v>
      </c>
      <c r="Q42" t="s">
        <v>111</v>
      </c>
      <c r="R42" t="s">
        <v>111</v>
      </c>
      <c r="S42" s="1">
        <v>45985</v>
      </c>
      <c r="T42" s="1">
        <v>46023</v>
      </c>
      <c r="U42" s="1">
        <v>46004</v>
      </c>
      <c r="V42" s="1">
        <v>46369</v>
      </c>
      <c r="W42" t="s">
        <v>38</v>
      </c>
      <c r="X42">
        <v>12</v>
      </c>
      <c r="Y42" t="s">
        <v>49</v>
      </c>
      <c r="Z42" t="s">
        <v>81</v>
      </c>
      <c r="AA42" t="s">
        <v>117</v>
      </c>
      <c r="AB42">
        <v>1</v>
      </c>
      <c r="AC42" t="s">
        <v>113</v>
      </c>
      <c r="AD42" t="s">
        <v>85</v>
      </c>
      <c r="AE42" t="s">
        <v>46</v>
      </c>
      <c r="AF42" t="s">
        <v>44</v>
      </c>
      <c r="AG42" t="str">
        <f t="shared" si="0"/>
        <v>À Vista</v>
      </c>
      <c r="AH42" t="str">
        <f>IF(AND(SUMIF(E:E,E42,I:I)&gt;=400000,Q42="B2G"),"n","")</f>
        <v/>
      </c>
    </row>
    <row r="43" spans="1:34">
      <c r="A43">
        <v>2026</v>
      </c>
      <c r="B43">
        <v>1</v>
      </c>
      <c r="C43" s="83">
        <v>19435374438</v>
      </c>
      <c r="D43" t="s">
        <v>128</v>
      </c>
      <c r="E43">
        <v>47479106969</v>
      </c>
      <c r="F43">
        <v>635737</v>
      </c>
      <c r="G43">
        <v>49944656906</v>
      </c>
      <c r="H43" t="s">
        <v>35</v>
      </c>
      <c r="I43" s="36">
        <v>2586.6</v>
      </c>
      <c r="J43" s="36">
        <v>2586.6</v>
      </c>
      <c r="K43" s="85">
        <v>0</v>
      </c>
      <c r="L43" s="36">
        <v>215.55</v>
      </c>
      <c r="M43" s="36">
        <v>215.55</v>
      </c>
      <c r="N43" s="36">
        <v>0</v>
      </c>
      <c r="O43" s="36">
        <v>0</v>
      </c>
      <c r="P43" t="s">
        <v>129</v>
      </c>
      <c r="Q43" t="s">
        <v>91</v>
      </c>
      <c r="R43" t="s">
        <v>91</v>
      </c>
      <c r="S43" s="1">
        <v>46048</v>
      </c>
      <c r="T43" s="1">
        <v>46048</v>
      </c>
      <c r="V43" s="1">
        <v>46413</v>
      </c>
      <c r="W43" t="s">
        <v>38</v>
      </c>
      <c r="X43">
        <v>12</v>
      </c>
      <c r="Y43" t="s">
        <v>49</v>
      </c>
      <c r="AA43" t="s">
        <v>117</v>
      </c>
      <c r="AB43">
        <v>1</v>
      </c>
      <c r="AC43" t="s">
        <v>93</v>
      </c>
      <c r="AD43" t="s">
        <v>118</v>
      </c>
      <c r="AE43" t="s">
        <v>43</v>
      </c>
      <c r="AF43" t="s">
        <v>119</v>
      </c>
      <c r="AG43" t="str">
        <f t="shared" si="0"/>
        <v>À Vista</v>
      </c>
      <c r="AH43" t="str">
        <f>IF(AND(SUMIF(E:E,E43,I:I)&gt;=400000,Q43="B2G"),"n","")</f>
        <v/>
      </c>
    </row>
    <row r="44" spans="1:34">
      <c r="A44">
        <v>2026</v>
      </c>
      <c r="B44">
        <v>1</v>
      </c>
      <c r="C44" s="83">
        <v>21692459068</v>
      </c>
      <c r="D44" t="s">
        <v>130</v>
      </c>
      <c r="E44">
        <v>47622206131</v>
      </c>
      <c r="F44">
        <v>504206</v>
      </c>
      <c r="G44">
        <v>46565614233</v>
      </c>
      <c r="H44" t="s">
        <v>35</v>
      </c>
      <c r="I44" s="36">
        <v>7747.2</v>
      </c>
      <c r="J44" s="36">
        <v>7747.2</v>
      </c>
      <c r="K44" s="85">
        <v>0</v>
      </c>
      <c r="L44" s="36">
        <v>645.6</v>
      </c>
      <c r="M44" s="36">
        <v>0</v>
      </c>
      <c r="N44" s="36">
        <v>35.47</v>
      </c>
      <c r="O44" s="36">
        <v>610.13</v>
      </c>
      <c r="P44" t="s">
        <v>127</v>
      </c>
      <c r="Q44" t="s">
        <v>111</v>
      </c>
      <c r="R44" t="s">
        <v>111</v>
      </c>
      <c r="S44" s="1">
        <v>45996</v>
      </c>
      <c r="T44" s="1">
        <v>46023</v>
      </c>
      <c r="U44" s="1">
        <v>46002</v>
      </c>
      <c r="V44" s="1">
        <v>46367</v>
      </c>
      <c r="W44" t="s">
        <v>38</v>
      </c>
      <c r="X44">
        <v>12</v>
      </c>
      <c r="Y44" t="s">
        <v>49</v>
      </c>
      <c r="Z44" t="s">
        <v>81</v>
      </c>
      <c r="AA44" t="s">
        <v>112</v>
      </c>
      <c r="AB44">
        <v>12</v>
      </c>
      <c r="AC44" t="s">
        <v>113</v>
      </c>
      <c r="AD44" t="s">
        <v>131</v>
      </c>
      <c r="AE44" t="s">
        <v>46</v>
      </c>
      <c r="AF44" t="s">
        <v>96</v>
      </c>
      <c r="AG44" t="str">
        <f t="shared" si="0"/>
        <v>CC 12x</v>
      </c>
      <c r="AH44" t="str">
        <f>IF(AND(SUMIF(E:E,E44,I:I)&gt;=400000,Q44="B2G"),"n","")</f>
        <v/>
      </c>
    </row>
    <row r="45" spans="1:34">
      <c r="A45">
        <v>2026</v>
      </c>
      <c r="B45">
        <v>1</v>
      </c>
      <c r="C45" s="83">
        <v>19435586210</v>
      </c>
      <c r="D45" t="s">
        <v>132</v>
      </c>
      <c r="E45">
        <v>47648038175</v>
      </c>
      <c r="F45">
        <v>504309</v>
      </c>
      <c r="G45">
        <v>46927421719</v>
      </c>
      <c r="H45" t="s">
        <v>35</v>
      </c>
      <c r="I45" s="36">
        <v>5752.68</v>
      </c>
      <c r="J45" s="36">
        <v>5752.68</v>
      </c>
      <c r="K45" s="85">
        <v>0</v>
      </c>
      <c r="L45" s="36">
        <v>479.39</v>
      </c>
      <c r="M45" s="36">
        <v>0</v>
      </c>
      <c r="N45" s="36">
        <v>12.05</v>
      </c>
      <c r="O45" s="36">
        <v>467.34</v>
      </c>
      <c r="P45" t="s">
        <v>133</v>
      </c>
      <c r="Q45" t="s">
        <v>111</v>
      </c>
      <c r="R45" t="s">
        <v>111</v>
      </c>
      <c r="S45" s="1">
        <v>46004</v>
      </c>
      <c r="T45" s="1">
        <v>46023</v>
      </c>
      <c r="U45" s="1">
        <v>46004</v>
      </c>
      <c r="V45" s="1">
        <v>46369</v>
      </c>
      <c r="W45" t="s">
        <v>38</v>
      </c>
      <c r="X45">
        <v>12</v>
      </c>
      <c r="Y45" t="s">
        <v>49</v>
      </c>
      <c r="Z45" t="s">
        <v>81</v>
      </c>
      <c r="AA45" t="s">
        <v>117</v>
      </c>
      <c r="AB45">
        <v>1</v>
      </c>
      <c r="AC45" t="s">
        <v>113</v>
      </c>
      <c r="AD45" t="s">
        <v>134</v>
      </c>
      <c r="AE45" t="s">
        <v>135</v>
      </c>
      <c r="AF45" t="s">
        <v>44</v>
      </c>
      <c r="AG45" t="str">
        <f t="shared" si="0"/>
        <v>À Vista</v>
      </c>
      <c r="AH45" t="str">
        <f>IF(AND(SUMIF(E:E,E45,I:I)&gt;=400000,Q45="B2G"),"n","")</f>
        <v/>
      </c>
    </row>
    <row r="46" spans="1:34">
      <c r="A46">
        <v>2026</v>
      </c>
      <c r="B46">
        <v>1</v>
      </c>
      <c r="C46" s="83">
        <v>2087895</v>
      </c>
      <c r="D46" t="s">
        <v>136</v>
      </c>
      <c r="E46">
        <v>47666004314</v>
      </c>
      <c r="F46">
        <v>624886</v>
      </c>
      <c r="G46">
        <v>46761103535</v>
      </c>
      <c r="H46" t="s">
        <v>35</v>
      </c>
      <c r="I46" s="36">
        <v>4452.6000000000004</v>
      </c>
      <c r="J46" s="36">
        <v>4452.6000000000004</v>
      </c>
      <c r="K46" s="85">
        <v>0</v>
      </c>
      <c r="L46" s="36">
        <v>371.05</v>
      </c>
      <c r="M46" s="36">
        <v>0</v>
      </c>
      <c r="N46" s="36">
        <v>31.9</v>
      </c>
      <c r="O46" s="36">
        <v>339.15</v>
      </c>
      <c r="P46" t="s">
        <v>137</v>
      </c>
      <c r="Q46" t="s">
        <v>111</v>
      </c>
      <c r="R46" t="s">
        <v>111</v>
      </c>
      <c r="S46" s="1">
        <v>46001</v>
      </c>
      <c r="T46" s="1">
        <v>46023</v>
      </c>
      <c r="U46" s="1">
        <v>46004</v>
      </c>
      <c r="V46" s="1">
        <v>46369</v>
      </c>
      <c r="W46" t="s">
        <v>38</v>
      </c>
      <c r="X46">
        <v>12</v>
      </c>
      <c r="Y46" t="s">
        <v>49</v>
      </c>
      <c r="Z46" t="s">
        <v>76</v>
      </c>
      <c r="AA46" t="s">
        <v>122</v>
      </c>
      <c r="AB46">
        <v>12</v>
      </c>
      <c r="AC46" t="s">
        <v>113</v>
      </c>
      <c r="AD46" t="s">
        <v>138</v>
      </c>
      <c r="AE46" t="s">
        <v>135</v>
      </c>
      <c r="AF46" t="s">
        <v>119</v>
      </c>
      <c r="AG46" t="str">
        <f t="shared" si="0"/>
        <v>Recorrente</v>
      </c>
      <c r="AH46" t="str">
        <f>IF(AND(SUMIF(E:E,E46,I:I)&gt;=400000,Q46="B2G"),"n","")</f>
        <v/>
      </c>
    </row>
    <row r="47" spans="1:34">
      <c r="A47">
        <v>2026</v>
      </c>
      <c r="B47">
        <v>1</v>
      </c>
      <c r="C47" s="83">
        <v>19485924166</v>
      </c>
      <c r="D47" t="s">
        <v>139</v>
      </c>
      <c r="E47">
        <v>47668184094</v>
      </c>
      <c r="F47">
        <v>624870</v>
      </c>
      <c r="G47">
        <v>47127695970</v>
      </c>
      <c r="H47" t="s">
        <v>35</v>
      </c>
      <c r="I47" s="36">
        <v>2586.6</v>
      </c>
      <c r="J47" s="36">
        <v>2586.6</v>
      </c>
      <c r="K47" s="85">
        <v>0</v>
      </c>
      <c r="L47" s="36">
        <v>215.55</v>
      </c>
      <c r="M47" s="36">
        <v>0</v>
      </c>
      <c r="N47" s="36">
        <v>0.45</v>
      </c>
      <c r="O47" s="36">
        <v>215.1</v>
      </c>
      <c r="P47" t="s">
        <v>127</v>
      </c>
      <c r="Q47" t="s">
        <v>111</v>
      </c>
      <c r="R47" t="s">
        <v>111</v>
      </c>
      <c r="S47" s="1">
        <v>46007</v>
      </c>
      <c r="T47" s="1">
        <v>46023</v>
      </c>
      <c r="U47" s="1">
        <v>46003</v>
      </c>
      <c r="V47" s="1">
        <v>46368</v>
      </c>
      <c r="W47" t="s">
        <v>38</v>
      </c>
      <c r="X47">
        <v>12</v>
      </c>
      <c r="Y47" t="s">
        <v>49</v>
      </c>
      <c r="Z47" t="s">
        <v>81</v>
      </c>
      <c r="AA47" t="s">
        <v>112</v>
      </c>
      <c r="AB47">
        <v>12</v>
      </c>
      <c r="AC47" t="s">
        <v>113</v>
      </c>
      <c r="AD47" t="s">
        <v>140</v>
      </c>
      <c r="AE47" t="s">
        <v>46</v>
      </c>
      <c r="AF47" t="s">
        <v>119</v>
      </c>
      <c r="AG47" t="str">
        <f t="shared" si="0"/>
        <v>CC 12x</v>
      </c>
      <c r="AH47" t="str">
        <f>IF(AND(SUMIF(E:E,E47,I:I)&gt;=400000,Q47="B2G"),"n","")</f>
        <v/>
      </c>
    </row>
    <row r="48" spans="1:34">
      <c r="A48">
        <v>2026</v>
      </c>
      <c r="B48">
        <v>1</v>
      </c>
      <c r="C48" s="83">
        <v>2247230</v>
      </c>
      <c r="D48" t="s">
        <v>141</v>
      </c>
      <c r="E48">
        <v>47669558104</v>
      </c>
      <c r="F48">
        <v>504380</v>
      </c>
      <c r="G48">
        <v>45824610850</v>
      </c>
      <c r="H48" t="s">
        <v>35</v>
      </c>
      <c r="I48" s="36">
        <v>5275.2</v>
      </c>
      <c r="J48" s="36">
        <v>5275.2</v>
      </c>
      <c r="K48" s="85">
        <v>0</v>
      </c>
      <c r="L48" s="36">
        <v>439.6</v>
      </c>
      <c r="M48" s="36">
        <v>0</v>
      </c>
      <c r="N48" s="36">
        <v>109.85</v>
      </c>
      <c r="O48" s="36">
        <v>329.755</v>
      </c>
      <c r="P48" t="s">
        <v>121</v>
      </c>
      <c r="Q48" t="s">
        <v>111</v>
      </c>
      <c r="R48" t="s">
        <v>111</v>
      </c>
      <c r="S48" s="1">
        <v>45989</v>
      </c>
      <c r="T48" s="1">
        <v>46023</v>
      </c>
      <c r="U48" s="1">
        <v>46005</v>
      </c>
      <c r="V48" s="1">
        <v>46370</v>
      </c>
      <c r="W48" t="s">
        <v>38</v>
      </c>
      <c r="X48">
        <v>12</v>
      </c>
      <c r="Y48" t="s">
        <v>49</v>
      </c>
      <c r="Z48" t="s">
        <v>81</v>
      </c>
      <c r="AA48" t="s">
        <v>122</v>
      </c>
      <c r="AB48">
        <v>12</v>
      </c>
      <c r="AC48" t="s">
        <v>113</v>
      </c>
      <c r="AD48" t="s">
        <v>134</v>
      </c>
      <c r="AE48" t="s">
        <v>135</v>
      </c>
      <c r="AF48" t="s">
        <v>44</v>
      </c>
      <c r="AG48" t="str">
        <f t="shared" si="0"/>
        <v>Recorrente</v>
      </c>
      <c r="AH48" t="str">
        <f>IF(AND(SUMIF(E:E,E48,I:I)&gt;=400000,Q48="B2G"),"n","")</f>
        <v/>
      </c>
    </row>
    <row r="49" spans="1:34">
      <c r="A49">
        <v>2026</v>
      </c>
      <c r="B49">
        <v>1</v>
      </c>
      <c r="C49" s="83">
        <v>2247230</v>
      </c>
      <c r="D49" t="s">
        <v>141</v>
      </c>
      <c r="E49">
        <v>47669558104</v>
      </c>
      <c r="F49">
        <v>504380</v>
      </c>
      <c r="G49">
        <v>45824610851</v>
      </c>
      <c r="H49" t="s">
        <v>35</v>
      </c>
      <c r="I49" s="36">
        <v>5275.2</v>
      </c>
      <c r="J49" s="36">
        <v>5275.2</v>
      </c>
      <c r="K49" s="85">
        <v>0</v>
      </c>
      <c r="L49" s="36">
        <v>439.6</v>
      </c>
      <c r="M49" s="36">
        <v>0</v>
      </c>
      <c r="N49" s="36">
        <v>109.85</v>
      </c>
      <c r="O49" s="36">
        <v>329.755</v>
      </c>
      <c r="P49" t="s">
        <v>121</v>
      </c>
      <c r="Q49" t="s">
        <v>111</v>
      </c>
      <c r="R49" t="s">
        <v>111</v>
      </c>
      <c r="S49" s="1">
        <v>45989</v>
      </c>
      <c r="T49" s="1">
        <v>46023</v>
      </c>
      <c r="U49" s="1">
        <v>46005</v>
      </c>
      <c r="V49" s="1">
        <v>46370</v>
      </c>
      <c r="W49" t="s">
        <v>38</v>
      </c>
      <c r="X49">
        <v>12</v>
      </c>
      <c r="Y49" t="s">
        <v>49</v>
      </c>
      <c r="Z49" t="s">
        <v>81</v>
      </c>
      <c r="AA49" t="s">
        <v>122</v>
      </c>
      <c r="AB49">
        <v>12</v>
      </c>
      <c r="AC49" t="s">
        <v>113</v>
      </c>
      <c r="AD49" t="s">
        <v>142</v>
      </c>
      <c r="AE49" t="s">
        <v>95</v>
      </c>
      <c r="AF49" t="s">
        <v>44</v>
      </c>
      <c r="AG49" t="str">
        <f t="shared" si="0"/>
        <v>Recorrente</v>
      </c>
      <c r="AH49" t="str">
        <f>IF(AND(SUMIF(E:E,E49,I:I)&gt;=400000,Q49="B2G"),"n","")</f>
        <v/>
      </c>
    </row>
    <row r="50" spans="1:34">
      <c r="A50">
        <v>2026</v>
      </c>
      <c r="B50">
        <v>1</v>
      </c>
      <c r="C50" s="83">
        <v>2076224</v>
      </c>
      <c r="D50" t="s">
        <v>143</v>
      </c>
      <c r="E50">
        <v>47675789409</v>
      </c>
      <c r="F50">
        <v>523118</v>
      </c>
      <c r="G50">
        <v>45831558460</v>
      </c>
      <c r="H50" t="s">
        <v>35</v>
      </c>
      <c r="I50" s="36">
        <v>3914.88</v>
      </c>
      <c r="J50" s="36">
        <v>3914.88</v>
      </c>
      <c r="K50" s="85">
        <v>0</v>
      </c>
      <c r="L50" s="36">
        <v>326.24</v>
      </c>
      <c r="M50" s="36">
        <v>0</v>
      </c>
      <c r="N50" s="36">
        <v>10.16</v>
      </c>
      <c r="O50" s="36">
        <v>316.08999999999997</v>
      </c>
      <c r="P50" t="s">
        <v>127</v>
      </c>
      <c r="Q50" t="s">
        <v>111</v>
      </c>
      <c r="R50" t="s">
        <v>111</v>
      </c>
      <c r="S50" s="1">
        <v>45989</v>
      </c>
      <c r="T50" s="1">
        <v>46023</v>
      </c>
      <c r="U50" s="1">
        <v>46000</v>
      </c>
      <c r="V50" s="1">
        <v>46365</v>
      </c>
      <c r="W50" t="s">
        <v>38</v>
      </c>
      <c r="X50">
        <v>12</v>
      </c>
      <c r="Y50" t="s">
        <v>49</v>
      </c>
      <c r="Z50" t="s">
        <v>76</v>
      </c>
      <c r="AA50" t="s">
        <v>117</v>
      </c>
      <c r="AB50">
        <v>1</v>
      </c>
      <c r="AC50" t="s">
        <v>113</v>
      </c>
      <c r="AD50" t="s">
        <v>138</v>
      </c>
      <c r="AE50" t="s">
        <v>135</v>
      </c>
      <c r="AF50" t="s">
        <v>119</v>
      </c>
      <c r="AG50" t="str">
        <f t="shared" si="0"/>
        <v>À Vista</v>
      </c>
      <c r="AH50" t="str">
        <f>IF(AND(SUMIF(E:E,E50,I:I)&gt;=400000,Q50="B2G"),"n","")</f>
        <v/>
      </c>
    </row>
    <row r="51" spans="1:34">
      <c r="A51">
        <v>2026</v>
      </c>
      <c r="B51">
        <v>1</v>
      </c>
      <c r="C51" s="83">
        <v>117958536056</v>
      </c>
      <c r="D51" t="s">
        <v>144</v>
      </c>
      <c r="E51">
        <v>47678171505</v>
      </c>
      <c r="F51">
        <v>605634</v>
      </c>
      <c r="G51">
        <v>46884876908</v>
      </c>
      <c r="H51" t="s">
        <v>35</v>
      </c>
      <c r="I51" s="36">
        <v>4660.68</v>
      </c>
      <c r="J51" s="36">
        <v>4660.68</v>
      </c>
      <c r="K51" s="85">
        <v>0</v>
      </c>
      <c r="L51" s="36">
        <v>388.39</v>
      </c>
      <c r="M51" s="36">
        <v>0</v>
      </c>
      <c r="N51" s="36">
        <v>1.6</v>
      </c>
      <c r="O51" s="36">
        <v>386.8</v>
      </c>
      <c r="P51" t="s">
        <v>137</v>
      </c>
      <c r="Q51" t="s">
        <v>111</v>
      </c>
      <c r="R51" t="s">
        <v>111</v>
      </c>
      <c r="S51" s="1">
        <v>46003</v>
      </c>
      <c r="T51" s="1">
        <v>46023</v>
      </c>
      <c r="U51" s="1">
        <v>46004</v>
      </c>
      <c r="V51" s="1">
        <v>46369</v>
      </c>
      <c r="W51" t="s">
        <v>38</v>
      </c>
      <c r="X51">
        <v>12</v>
      </c>
      <c r="Y51" t="s">
        <v>49</v>
      </c>
      <c r="Z51" t="s">
        <v>81</v>
      </c>
      <c r="AA51" t="s">
        <v>117</v>
      </c>
      <c r="AB51">
        <v>1</v>
      </c>
      <c r="AC51" t="s">
        <v>113</v>
      </c>
      <c r="AD51" t="s">
        <v>85</v>
      </c>
      <c r="AE51" t="s">
        <v>46</v>
      </c>
      <c r="AF51" t="s">
        <v>44</v>
      </c>
      <c r="AG51" t="str">
        <f t="shared" si="0"/>
        <v>À Vista</v>
      </c>
      <c r="AH51" t="str">
        <f>IF(AND(SUMIF(E:E,E51,I:I)&gt;=400000,Q51="B2G"),"n","")</f>
        <v/>
      </c>
    </row>
    <row r="52" spans="1:34">
      <c r="A52">
        <v>2026</v>
      </c>
      <c r="B52">
        <v>1</v>
      </c>
      <c r="C52" s="83">
        <v>129005008134</v>
      </c>
      <c r="D52" t="s">
        <v>145</v>
      </c>
      <c r="E52">
        <v>47680922476</v>
      </c>
      <c r="F52">
        <v>326920</v>
      </c>
      <c r="G52">
        <v>44721743490</v>
      </c>
      <c r="H52" t="s">
        <v>35</v>
      </c>
      <c r="I52" s="36">
        <v>16750.080000000002</v>
      </c>
      <c r="J52" s="36">
        <v>8375.0400000000009</v>
      </c>
      <c r="K52" s="85">
        <v>8375.0400000000009</v>
      </c>
      <c r="L52" s="36">
        <v>697.92</v>
      </c>
      <c r="M52" s="36">
        <v>0</v>
      </c>
      <c r="N52" s="36">
        <v>326.82</v>
      </c>
      <c r="O52" s="36">
        <v>371.1</v>
      </c>
      <c r="P52" t="s">
        <v>110</v>
      </c>
      <c r="Q52" t="s">
        <v>111</v>
      </c>
      <c r="R52" t="s">
        <v>111</v>
      </c>
      <c r="S52" s="1">
        <v>46003</v>
      </c>
      <c r="T52" s="1">
        <v>46023</v>
      </c>
      <c r="U52" s="1">
        <v>46006</v>
      </c>
      <c r="V52" s="1">
        <v>46736</v>
      </c>
      <c r="W52" t="s">
        <v>56</v>
      </c>
      <c r="X52">
        <v>24</v>
      </c>
      <c r="Y52" t="s">
        <v>49</v>
      </c>
      <c r="Z52" t="s">
        <v>76</v>
      </c>
      <c r="AA52" t="s">
        <v>122</v>
      </c>
      <c r="AB52">
        <v>24</v>
      </c>
      <c r="AC52" t="s">
        <v>113</v>
      </c>
      <c r="AD52" t="s">
        <v>146</v>
      </c>
      <c r="AE52" t="s">
        <v>135</v>
      </c>
      <c r="AF52" t="s">
        <v>96</v>
      </c>
      <c r="AG52" t="str">
        <f t="shared" si="0"/>
        <v>Recorrente</v>
      </c>
      <c r="AH52" t="str">
        <f>IF(AND(SUMIF(E:E,E52,I:I)&gt;=400000,Q52="B2G"),"n","")</f>
        <v/>
      </c>
    </row>
    <row r="53" spans="1:34">
      <c r="A53">
        <v>2026</v>
      </c>
      <c r="B53">
        <v>1</v>
      </c>
      <c r="C53" s="83">
        <v>195024457615</v>
      </c>
      <c r="D53" t="s">
        <v>147</v>
      </c>
      <c r="E53">
        <v>47682679108</v>
      </c>
      <c r="F53">
        <v>327644</v>
      </c>
      <c r="G53">
        <v>46529985849</v>
      </c>
      <c r="H53" t="s">
        <v>35</v>
      </c>
      <c r="I53" s="36">
        <v>4315.4399999999996</v>
      </c>
      <c r="J53" s="36">
        <v>4315.4399999999996</v>
      </c>
      <c r="K53" s="85">
        <v>0</v>
      </c>
      <c r="L53" s="36">
        <v>359.62</v>
      </c>
      <c r="M53" s="36">
        <v>0</v>
      </c>
      <c r="N53" s="36">
        <v>67.78</v>
      </c>
      <c r="O53" s="36">
        <v>291.85000000000002</v>
      </c>
      <c r="P53" t="s">
        <v>121</v>
      </c>
      <c r="Q53" t="s">
        <v>111</v>
      </c>
      <c r="R53" t="s">
        <v>111</v>
      </c>
      <c r="S53" s="1">
        <v>45995</v>
      </c>
      <c r="T53" s="1">
        <v>46023</v>
      </c>
      <c r="U53" s="1">
        <v>46002</v>
      </c>
      <c r="V53" s="1">
        <v>46367</v>
      </c>
      <c r="W53" t="s">
        <v>38</v>
      </c>
      <c r="X53">
        <v>12</v>
      </c>
      <c r="Y53" t="s">
        <v>49</v>
      </c>
      <c r="Z53" t="s">
        <v>81</v>
      </c>
      <c r="AA53" t="s">
        <v>122</v>
      </c>
      <c r="AB53">
        <v>12</v>
      </c>
      <c r="AC53" t="s">
        <v>113</v>
      </c>
      <c r="AD53" t="s">
        <v>85</v>
      </c>
      <c r="AE53" t="s">
        <v>46</v>
      </c>
      <c r="AF53" t="s">
        <v>44</v>
      </c>
      <c r="AG53" t="str">
        <f t="shared" si="0"/>
        <v>Recorrente</v>
      </c>
      <c r="AH53" t="str">
        <f>IF(AND(SUMIF(E:E,E53,I:I)&gt;=400000,Q53="B2G"),"n","")</f>
        <v/>
      </c>
    </row>
    <row r="54" spans="1:34">
      <c r="A54">
        <v>2026</v>
      </c>
      <c r="B54">
        <v>1</v>
      </c>
      <c r="C54" s="83">
        <v>2095325</v>
      </c>
      <c r="D54" t="s">
        <v>148</v>
      </c>
      <c r="E54">
        <v>47744281985</v>
      </c>
      <c r="F54">
        <v>605553</v>
      </c>
      <c r="G54">
        <v>44337662602</v>
      </c>
      <c r="H54" t="s">
        <v>35</v>
      </c>
      <c r="I54" s="36">
        <v>9953.76</v>
      </c>
      <c r="J54" s="36">
        <v>4976.88</v>
      </c>
      <c r="K54" s="85">
        <v>4976.88</v>
      </c>
      <c r="L54" s="36">
        <v>414.74</v>
      </c>
      <c r="M54" s="36">
        <v>0</v>
      </c>
      <c r="N54" s="36">
        <v>18.489999999999998</v>
      </c>
      <c r="O54" s="36">
        <v>396.25</v>
      </c>
      <c r="P54" t="s">
        <v>116</v>
      </c>
      <c r="Q54" t="s">
        <v>111</v>
      </c>
      <c r="R54" t="s">
        <v>111</v>
      </c>
      <c r="S54" s="1">
        <v>45999</v>
      </c>
      <c r="T54" s="1">
        <v>46023</v>
      </c>
      <c r="U54" s="1">
        <v>46004</v>
      </c>
      <c r="V54" s="1">
        <v>46734</v>
      </c>
      <c r="W54" t="s">
        <v>56</v>
      </c>
      <c r="X54">
        <v>24</v>
      </c>
      <c r="Y54" t="s">
        <v>49</v>
      </c>
      <c r="Z54" t="s">
        <v>76</v>
      </c>
      <c r="AA54" t="s">
        <v>122</v>
      </c>
      <c r="AB54">
        <v>24</v>
      </c>
      <c r="AC54" t="s">
        <v>113</v>
      </c>
      <c r="AD54" t="s">
        <v>149</v>
      </c>
      <c r="AE54" t="s">
        <v>43</v>
      </c>
      <c r="AF54" t="s">
        <v>96</v>
      </c>
      <c r="AG54" t="str">
        <f t="shared" si="0"/>
        <v>Recorrente</v>
      </c>
      <c r="AH54" t="str">
        <f>IF(AND(SUMIF(E:E,E54,I:I)&gt;=400000,Q54="B2G"),"n","")</f>
        <v/>
      </c>
    </row>
    <row r="55" spans="1:34">
      <c r="A55">
        <v>2026</v>
      </c>
      <c r="B55">
        <v>1</v>
      </c>
      <c r="C55" s="83">
        <v>19435653671</v>
      </c>
      <c r="D55" t="s">
        <v>150</v>
      </c>
      <c r="E55">
        <v>47757949775</v>
      </c>
      <c r="F55">
        <v>624746</v>
      </c>
      <c r="G55">
        <v>46700562560</v>
      </c>
      <c r="H55" t="s">
        <v>35</v>
      </c>
      <c r="I55" s="36">
        <v>2529.12</v>
      </c>
      <c r="J55" s="36">
        <v>2529.12</v>
      </c>
      <c r="K55" s="85">
        <v>0</v>
      </c>
      <c r="L55" s="36">
        <v>210.76</v>
      </c>
      <c r="M55" s="36">
        <v>0</v>
      </c>
      <c r="N55" s="36">
        <v>0.44</v>
      </c>
      <c r="O55" s="36">
        <v>210.32</v>
      </c>
      <c r="P55" t="s">
        <v>127</v>
      </c>
      <c r="Q55" t="s">
        <v>111</v>
      </c>
      <c r="R55" t="s">
        <v>111</v>
      </c>
      <c r="S55" s="1">
        <v>46000</v>
      </c>
      <c r="T55" s="1">
        <v>46023</v>
      </c>
      <c r="U55" s="1">
        <v>46001</v>
      </c>
      <c r="V55" s="1">
        <v>46366</v>
      </c>
      <c r="W55" t="s">
        <v>38</v>
      </c>
      <c r="X55">
        <v>12</v>
      </c>
      <c r="Y55" t="s">
        <v>49</v>
      </c>
      <c r="Z55" t="s">
        <v>81</v>
      </c>
      <c r="AA55" t="s">
        <v>112</v>
      </c>
      <c r="AB55">
        <v>12</v>
      </c>
      <c r="AC55" t="s">
        <v>113</v>
      </c>
      <c r="AD55" t="s">
        <v>140</v>
      </c>
      <c r="AE55" t="s">
        <v>46</v>
      </c>
      <c r="AF55" t="s">
        <v>119</v>
      </c>
      <c r="AG55" t="str">
        <f t="shared" si="0"/>
        <v>CC 12x</v>
      </c>
      <c r="AH55" t="str">
        <f>IF(AND(SUMIF(E:E,E55,I:I)&gt;=400000,Q55="B2G"),"n","")</f>
        <v/>
      </c>
    </row>
    <row r="56" spans="1:34">
      <c r="A56">
        <v>2026</v>
      </c>
      <c r="B56">
        <v>1</v>
      </c>
      <c r="C56" s="83">
        <v>2141851</v>
      </c>
      <c r="D56" t="s">
        <v>151</v>
      </c>
      <c r="E56">
        <v>47773726480</v>
      </c>
      <c r="F56">
        <v>605704</v>
      </c>
      <c r="G56">
        <v>46522147645</v>
      </c>
      <c r="H56" t="s">
        <v>35</v>
      </c>
      <c r="I56" s="36">
        <v>8055.6</v>
      </c>
      <c r="J56" s="36">
        <v>4027.8</v>
      </c>
      <c r="K56" s="85">
        <v>4027.8</v>
      </c>
      <c r="L56" s="36">
        <v>335.65</v>
      </c>
      <c r="M56" s="36">
        <v>0</v>
      </c>
      <c r="N56" s="36">
        <v>75.510000000000005</v>
      </c>
      <c r="O56" s="36">
        <v>260.14208330000002</v>
      </c>
      <c r="P56" t="s">
        <v>137</v>
      </c>
      <c r="Q56" t="s">
        <v>111</v>
      </c>
      <c r="R56" t="s">
        <v>111</v>
      </c>
      <c r="S56" s="1">
        <v>45996</v>
      </c>
      <c r="T56" s="1">
        <v>46023</v>
      </c>
      <c r="U56" s="1">
        <v>46005</v>
      </c>
      <c r="V56" s="1">
        <v>46735</v>
      </c>
      <c r="W56" t="s">
        <v>56</v>
      </c>
      <c r="X56">
        <v>24</v>
      </c>
      <c r="Y56" t="s">
        <v>49</v>
      </c>
      <c r="Z56" t="s">
        <v>81</v>
      </c>
      <c r="AA56" t="s">
        <v>122</v>
      </c>
      <c r="AB56">
        <v>24</v>
      </c>
      <c r="AC56" t="s">
        <v>113</v>
      </c>
      <c r="AD56" t="s">
        <v>85</v>
      </c>
      <c r="AE56" t="s">
        <v>46</v>
      </c>
      <c r="AF56" t="s">
        <v>44</v>
      </c>
      <c r="AG56" t="str">
        <f t="shared" si="0"/>
        <v>Recorrente</v>
      </c>
      <c r="AH56" t="str">
        <f>IF(AND(SUMIF(E:E,E56,I:I)&gt;=400000,Q56="B2G"),"n","")</f>
        <v/>
      </c>
    </row>
    <row r="57" spans="1:34">
      <c r="A57">
        <v>2026</v>
      </c>
      <c r="B57">
        <v>1</v>
      </c>
      <c r="C57" s="83">
        <v>2090044</v>
      </c>
      <c r="D57" t="s">
        <v>152</v>
      </c>
      <c r="E57">
        <v>47784058728</v>
      </c>
      <c r="F57">
        <v>624535</v>
      </c>
      <c r="G57">
        <v>45831514113</v>
      </c>
      <c r="H57" t="s">
        <v>35</v>
      </c>
      <c r="I57" s="36">
        <v>4135.4399999999996</v>
      </c>
      <c r="J57" s="36">
        <v>4135.4399999999996</v>
      </c>
      <c r="K57" s="85">
        <v>0</v>
      </c>
      <c r="L57" s="36">
        <v>344.62</v>
      </c>
      <c r="M57" s="36">
        <v>0</v>
      </c>
      <c r="N57" s="36">
        <v>124.28</v>
      </c>
      <c r="O57" s="36">
        <v>220.35</v>
      </c>
      <c r="P57" t="s">
        <v>127</v>
      </c>
      <c r="Q57" t="s">
        <v>111</v>
      </c>
      <c r="R57" t="s">
        <v>111</v>
      </c>
      <c r="S57" s="1">
        <v>45989</v>
      </c>
      <c r="T57" s="1">
        <v>46023</v>
      </c>
      <c r="U57" s="1">
        <v>45994</v>
      </c>
      <c r="V57" s="1">
        <v>46359</v>
      </c>
      <c r="W57" t="s">
        <v>38</v>
      </c>
      <c r="X57">
        <v>12</v>
      </c>
      <c r="Y57" t="s">
        <v>49</v>
      </c>
      <c r="Z57" t="s">
        <v>76</v>
      </c>
      <c r="AA57" t="s">
        <v>122</v>
      </c>
      <c r="AB57">
        <v>12</v>
      </c>
      <c r="AC57" t="s">
        <v>113</v>
      </c>
      <c r="AD57" t="s">
        <v>138</v>
      </c>
      <c r="AE57" t="s">
        <v>135</v>
      </c>
      <c r="AF57" t="s">
        <v>119</v>
      </c>
      <c r="AG57" t="str">
        <f t="shared" si="0"/>
        <v>Recorrente</v>
      </c>
      <c r="AH57" t="str">
        <f>IF(AND(SUMIF(E:E,E57,I:I)&gt;=400000,Q57="B2G"),"n","")</f>
        <v/>
      </c>
    </row>
    <row r="58" spans="1:34">
      <c r="A58">
        <v>2026</v>
      </c>
      <c r="B58">
        <v>1</v>
      </c>
      <c r="C58" s="83">
        <v>2138833</v>
      </c>
      <c r="D58" t="s">
        <v>153</v>
      </c>
      <c r="E58">
        <v>47795549077</v>
      </c>
      <c r="F58">
        <v>624899</v>
      </c>
      <c r="G58">
        <v>46761100466</v>
      </c>
      <c r="H58" t="s">
        <v>35</v>
      </c>
      <c r="I58" s="36">
        <v>9176.2800000000007</v>
      </c>
      <c r="J58" s="36">
        <v>9176.2800000000007</v>
      </c>
      <c r="K58" s="85">
        <v>0</v>
      </c>
      <c r="L58" s="36">
        <v>764.69</v>
      </c>
      <c r="M58" s="36">
        <v>0</v>
      </c>
      <c r="N58" s="36">
        <v>115.34</v>
      </c>
      <c r="O58" s="36">
        <v>649.35</v>
      </c>
      <c r="P58" t="s">
        <v>116</v>
      </c>
      <c r="Q58" t="s">
        <v>111</v>
      </c>
      <c r="R58" t="s">
        <v>111</v>
      </c>
      <c r="S58" s="1">
        <v>46001</v>
      </c>
      <c r="T58" s="1">
        <v>46023</v>
      </c>
      <c r="U58" s="1">
        <v>46004</v>
      </c>
      <c r="V58" s="1">
        <v>46369</v>
      </c>
      <c r="W58" t="s">
        <v>38</v>
      </c>
      <c r="X58">
        <v>12</v>
      </c>
      <c r="Y58" t="s">
        <v>49</v>
      </c>
      <c r="Z58" t="s">
        <v>81</v>
      </c>
      <c r="AA58" t="s">
        <v>112</v>
      </c>
      <c r="AB58">
        <v>12</v>
      </c>
      <c r="AC58" t="s">
        <v>113</v>
      </c>
      <c r="AD58" t="s">
        <v>154</v>
      </c>
      <c r="AE58" t="s">
        <v>46</v>
      </c>
      <c r="AF58" t="s">
        <v>47</v>
      </c>
      <c r="AG58" t="str">
        <f t="shared" si="0"/>
        <v>CC 12x</v>
      </c>
      <c r="AH58" t="str">
        <f>IF(AND(SUMIF(E:E,E58,I:I)&gt;=400000,Q58="B2G"),"n","")</f>
        <v/>
      </c>
    </row>
    <row r="59" spans="1:34">
      <c r="A59">
        <v>2026</v>
      </c>
      <c r="B59">
        <v>1</v>
      </c>
      <c r="C59" s="83">
        <v>19653776227</v>
      </c>
      <c r="D59" t="s">
        <v>155</v>
      </c>
      <c r="E59">
        <v>47824779435</v>
      </c>
      <c r="F59">
        <v>523201</v>
      </c>
      <c r="G59">
        <v>44412115241</v>
      </c>
      <c r="H59" t="s">
        <v>35</v>
      </c>
      <c r="I59" s="36">
        <v>4077.48</v>
      </c>
      <c r="J59" s="36">
        <v>4077.48</v>
      </c>
      <c r="K59" s="85">
        <v>0</v>
      </c>
      <c r="L59" s="36">
        <v>339.79</v>
      </c>
      <c r="M59" s="36">
        <v>0</v>
      </c>
      <c r="N59" s="36">
        <v>19.260000000000002</v>
      </c>
      <c r="O59" s="36">
        <v>320.54000000000002</v>
      </c>
      <c r="P59" t="s">
        <v>110</v>
      </c>
      <c r="Q59" t="s">
        <v>111</v>
      </c>
      <c r="R59" t="s">
        <v>111</v>
      </c>
      <c r="S59" s="1">
        <v>45979</v>
      </c>
      <c r="T59" s="1">
        <v>46023</v>
      </c>
      <c r="U59" s="1">
        <v>45998</v>
      </c>
      <c r="V59" s="1">
        <v>46363</v>
      </c>
      <c r="W59" t="s">
        <v>38</v>
      </c>
      <c r="X59">
        <v>12</v>
      </c>
      <c r="Y59" t="s">
        <v>49</v>
      </c>
      <c r="Z59" t="s">
        <v>81</v>
      </c>
      <c r="AA59" t="s">
        <v>122</v>
      </c>
      <c r="AB59">
        <v>12</v>
      </c>
      <c r="AC59" t="s">
        <v>113</v>
      </c>
      <c r="AD59" t="s">
        <v>84</v>
      </c>
      <c r="AE59" t="s">
        <v>43</v>
      </c>
      <c r="AF59" t="s">
        <v>44</v>
      </c>
      <c r="AG59" t="str">
        <f t="shared" si="0"/>
        <v>Recorrente</v>
      </c>
      <c r="AH59" t="str">
        <f>IF(AND(SUMIF(E:E,E59,I:I)&gt;=400000,Q59="B2G"),"n","")</f>
        <v/>
      </c>
    </row>
    <row r="60" spans="1:34">
      <c r="A60">
        <v>2026</v>
      </c>
      <c r="B60">
        <v>1</v>
      </c>
      <c r="C60" s="83">
        <v>19653776227</v>
      </c>
      <c r="D60" t="s">
        <v>155</v>
      </c>
      <c r="E60">
        <v>47824779435</v>
      </c>
      <c r="F60">
        <v>523201</v>
      </c>
      <c r="G60">
        <v>44412115242</v>
      </c>
      <c r="H60" t="s">
        <v>35</v>
      </c>
      <c r="I60" s="36">
        <v>4077.48</v>
      </c>
      <c r="J60" s="36">
        <v>4077.48</v>
      </c>
      <c r="K60" s="85">
        <v>0</v>
      </c>
      <c r="L60" s="36">
        <v>339.79</v>
      </c>
      <c r="M60" s="36">
        <v>0</v>
      </c>
      <c r="N60" s="36">
        <v>19.260000000000002</v>
      </c>
      <c r="O60" s="36">
        <v>320.54000000000002</v>
      </c>
      <c r="P60" t="s">
        <v>110</v>
      </c>
      <c r="Q60" t="s">
        <v>111</v>
      </c>
      <c r="R60" t="s">
        <v>111</v>
      </c>
      <c r="S60" s="1">
        <v>45979</v>
      </c>
      <c r="T60" s="1">
        <v>46023</v>
      </c>
      <c r="U60" s="1">
        <v>45998</v>
      </c>
      <c r="V60" s="1">
        <v>46363</v>
      </c>
      <c r="W60" t="s">
        <v>38</v>
      </c>
      <c r="X60">
        <v>12</v>
      </c>
      <c r="Y60" t="s">
        <v>49</v>
      </c>
      <c r="Z60" t="s">
        <v>81</v>
      </c>
      <c r="AA60" t="s">
        <v>122</v>
      </c>
      <c r="AB60">
        <v>12</v>
      </c>
      <c r="AC60" t="s">
        <v>113</v>
      </c>
      <c r="AD60" t="s">
        <v>84</v>
      </c>
      <c r="AE60" t="s">
        <v>43</v>
      </c>
      <c r="AF60" t="s">
        <v>44</v>
      </c>
      <c r="AG60" t="str">
        <f t="shared" si="0"/>
        <v>Recorrente</v>
      </c>
      <c r="AH60" t="str">
        <f>IF(AND(SUMIF(E:E,E60,I:I)&gt;=400000,Q60="B2G"),"n","")</f>
        <v/>
      </c>
    </row>
    <row r="61" spans="1:34">
      <c r="A61">
        <v>2026</v>
      </c>
      <c r="B61">
        <v>1</v>
      </c>
      <c r="C61" s="83">
        <v>2071183</v>
      </c>
      <c r="D61" t="s">
        <v>156</v>
      </c>
      <c r="E61">
        <v>47915599380</v>
      </c>
      <c r="F61">
        <v>326290</v>
      </c>
      <c r="G61">
        <v>47981530481</v>
      </c>
      <c r="H61" t="s">
        <v>35</v>
      </c>
      <c r="I61" s="36">
        <v>8634</v>
      </c>
      <c r="J61" s="36">
        <v>8634</v>
      </c>
      <c r="K61" s="85">
        <v>0</v>
      </c>
      <c r="L61" s="36">
        <v>719.5</v>
      </c>
      <c r="M61" s="36">
        <v>719.5</v>
      </c>
      <c r="N61" s="36">
        <v>0</v>
      </c>
      <c r="O61" s="36">
        <v>0</v>
      </c>
      <c r="P61" t="s">
        <v>133</v>
      </c>
      <c r="Q61" t="s">
        <v>111</v>
      </c>
      <c r="R61" t="s">
        <v>111</v>
      </c>
      <c r="S61" s="1">
        <v>46021</v>
      </c>
      <c r="T61" s="1">
        <v>46023</v>
      </c>
      <c r="U61" s="1">
        <v>45992</v>
      </c>
      <c r="V61" s="1">
        <v>46386</v>
      </c>
      <c r="W61" t="s">
        <v>38</v>
      </c>
      <c r="X61">
        <v>12</v>
      </c>
      <c r="Y61" t="s">
        <v>49</v>
      </c>
      <c r="Z61" t="s">
        <v>81</v>
      </c>
      <c r="AA61" t="s">
        <v>112</v>
      </c>
      <c r="AB61">
        <v>12</v>
      </c>
      <c r="AC61" t="s">
        <v>113</v>
      </c>
      <c r="AD61" t="s">
        <v>154</v>
      </c>
      <c r="AE61" t="s">
        <v>46</v>
      </c>
      <c r="AF61" t="s">
        <v>47</v>
      </c>
      <c r="AG61" t="str">
        <f t="shared" si="0"/>
        <v>CC 12x</v>
      </c>
      <c r="AH61" t="str">
        <f>IF(AND(SUMIF(E:E,E61,I:I)&gt;=400000,Q61="B2G"),"n","")</f>
        <v/>
      </c>
    </row>
    <row r="62" spans="1:34">
      <c r="A62">
        <v>2026</v>
      </c>
      <c r="B62">
        <v>1</v>
      </c>
      <c r="C62" s="83">
        <v>2108659</v>
      </c>
      <c r="D62" t="s">
        <v>157</v>
      </c>
      <c r="E62">
        <v>48153443232</v>
      </c>
      <c r="F62">
        <v>604859</v>
      </c>
      <c r="G62">
        <v>43622324326</v>
      </c>
      <c r="H62" t="s">
        <v>35</v>
      </c>
      <c r="I62" s="36">
        <v>5718.6</v>
      </c>
      <c r="J62" s="36">
        <v>5718.6</v>
      </c>
      <c r="K62" s="85">
        <v>0</v>
      </c>
      <c r="L62" s="36">
        <v>476.55</v>
      </c>
      <c r="M62" s="36">
        <v>0</v>
      </c>
      <c r="N62" s="36">
        <v>201.15</v>
      </c>
      <c r="O62" s="36">
        <v>275.39999999999998</v>
      </c>
      <c r="P62" t="s">
        <v>127</v>
      </c>
      <c r="Q62" t="s">
        <v>111</v>
      </c>
      <c r="R62" t="s">
        <v>111</v>
      </c>
      <c r="S62" s="1">
        <v>45967</v>
      </c>
      <c r="T62" s="1">
        <v>46023</v>
      </c>
      <c r="U62" s="1">
        <v>45995</v>
      </c>
      <c r="V62" s="1">
        <v>46360</v>
      </c>
      <c r="W62" t="s">
        <v>38</v>
      </c>
      <c r="X62">
        <v>12</v>
      </c>
      <c r="Y62" t="s">
        <v>49</v>
      </c>
      <c r="Z62" t="s">
        <v>76</v>
      </c>
      <c r="AA62" t="s">
        <v>122</v>
      </c>
      <c r="AB62">
        <v>12</v>
      </c>
      <c r="AC62" t="s">
        <v>113</v>
      </c>
      <c r="AD62" t="s">
        <v>158</v>
      </c>
      <c r="AE62" t="s">
        <v>43</v>
      </c>
      <c r="AF62" t="s">
        <v>47</v>
      </c>
      <c r="AG62" t="str">
        <f t="shared" si="0"/>
        <v>Recorrente</v>
      </c>
      <c r="AH62" t="str">
        <f>IF(AND(SUMIF(E:E,E62,I:I)&gt;=400000,Q62="B2G"),"n","")</f>
        <v/>
      </c>
    </row>
    <row r="63" spans="1:34">
      <c r="A63">
        <v>2026</v>
      </c>
      <c r="B63">
        <v>1</v>
      </c>
      <c r="C63" s="83">
        <v>2271260</v>
      </c>
      <c r="D63" t="s">
        <v>159</v>
      </c>
      <c r="E63">
        <v>48162647832</v>
      </c>
      <c r="F63">
        <v>625007</v>
      </c>
      <c r="G63">
        <v>45829109065</v>
      </c>
      <c r="H63" t="s">
        <v>35</v>
      </c>
      <c r="I63" s="36">
        <v>2933.28</v>
      </c>
      <c r="J63" s="36">
        <v>2933.28</v>
      </c>
      <c r="K63" s="85">
        <v>0</v>
      </c>
      <c r="L63" s="36">
        <v>244.44</v>
      </c>
      <c r="M63" s="36">
        <v>0</v>
      </c>
      <c r="N63" s="36">
        <v>77.040000000000006</v>
      </c>
      <c r="O63" s="36">
        <v>167.4</v>
      </c>
      <c r="P63" t="s">
        <v>116</v>
      </c>
      <c r="Q63" t="s">
        <v>111</v>
      </c>
      <c r="R63" t="s">
        <v>111</v>
      </c>
      <c r="S63" s="1">
        <v>46000</v>
      </c>
      <c r="T63" s="1">
        <v>46023</v>
      </c>
      <c r="U63" s="1">
        <v>46009</v>
      </c>
      <c r="V63" s="1">
        <v>46374</v>
      </c>
      <c r="W63" t="s">
        <v>38</v>
      </c>
      <c r="X63">
        <v>12</v>
      </c>
      <c r="Y63" t="s">
        <v>49</v>
      </c>
      <c r="Z63" t="s">
        <v>76</v>
      </c>
      <c r="AA63" t="s">
        <v>122</v>
      </c>
      <c r="AB63">
        <v>12</v>
      </c>
      <c r="AC63" t="s">
        <v>113</v>
      </c>
      <c r="AD63" t="s">
        <v>160</v>
      </c>
      <c r="AE63" t="s">
        <v>43</v>
      </c>
      <c r="AF63" t="s">
        <v>44</v>
      </c>
      <c r="AG63" t="str">
        <f t="shared" si="0"/>
        <v>Recorrente</v>
      </c>
      <c r="AH63" t="str">
        <f>IF(AND(SUMIF(E:E,E63,I:I)&gt;=400000,Q63="B2G"),"n","")</f>
        <v/>
      </c>
    </row>
    <row r="64" spans="1:34">
      <c r="A64">
        <v>2026</v>
      </c>
      <c r="B64">
        <v>1</v>
      </c>
      <c r="C64" s="83">
        <v>19435672454</v>
      </c>
      <c r="D64" t="s">
        <v>161</v>
      </c>
      <c r="E64">
        <v>48268773282</v>
      </c>
      <c r="F64">
        <v>523631</v>
      </c>
      <c r="G64">
        <v>45056375920</v>
      </c>
      <c r="H64" t="s">
        <v>35</v>
      </c>
      <c r="I64" s="36">
        <v>3979.32</v>
      </c>
      <c r="J64" s="36">
        <v>3979.32</v>
      </c>
      <c r="K64" s="85">
        <v>0</v>
      </c>
      <c r="L64" s="36">
        <v>331.61</v>
      </c>
      <c r="M64" s="36">
        <v>0</v>
      </c>
      <c r="N64" s="36">
        <v>28.32</v>
      </c>
      <c r="O64" s="36">
        <v>303.29500000000002</v>
      </c>
      <c r="P64" t="s">
        <v>162</v>
      </c>
      <c r="Q64" t="s">
        <v>111</v>
      </c>
      <c r="R64" t="s">
        <v>111</v>
      </c>
      <c r="S64" s="1">
        <v>45988</v>
      </c>
      <c r="T64" s="1">
        <v>46023</v>
      </c>
      <c r="U64" s="1">
        <v>46007</v>
      </c>
      <c r="V64" s="1">
        <v>46372</v>
      </c>
      <c r="W64" t="s">
        <v>38</v>
      </c>
      <c r="X64">
        <v>12</v>
      </c>
      <c r="Y64" t="s">
        <v>49</v>
      </c>
      <c r="Z64" t="s">
        <v>76</v>
      </c>
      <c r="AA64" t="s">
        <v>112</v>
      </c>
      <c r="AB64">
        <v>12</v>
      </c>
      <c r="AC64" t="s">
        <v>113</v>
      </c>
      <c r="AD64" t="s">
        <v>163</v>
      </c>
      <c r="AE64" t="s">
        <v>43</v>
      </c>
      <c r="AF64" t="s">
        <v>96</v>
      </c>
      <c r="AG64" t="str">
        <f t="shared" si="0"/>
        <v>CC 12x</v>
      </c>
      <c r="AH64" t="str">
        <f>IF(AND(SUMIF(E:E,E64,I:I)&gt;=400000,Q64="B2G"),"n","")</f>
        <v/>
      </c>
    </row>
    <row r="65" spans="1:34">
      <c r="A65">
        <v>2026</v>
      </c>
      <c r="B65">
        <v>1</v>
      </c>
      <c r="C65" s="83">
        <v>19435672454</v>
      </c>
      <c r="D65" t="s">
        <v>161</v>
      </c>
      <c r="E65">
        <v>48268773282</v>
      </c>
      <c r="F65">
        <v>523631</v>
      </c>
      <c r="G65">
        <v>45056375921</v>
      </c>
      <c r="H65" t="s">
        <v>35</v>
      </c>
      <c r="I65" s="36">
        <v>3979.32</v>
      </c>
      <c r="J65" s="36">
        <v>3979.32</v>
      </c>
      <c r="K65" s="85">
        <v>0</v>
      </c>
      <c r="L65" s="36">
        <v>331.61</v>
      </c>
      <c r="M65" s="36">
        <v>0</v>
      </c>
      <c r="N65" s="36">
        <v>28.32</v>
      </c>
      <c r="O65" s="36">
        <v>303.29500000000002</v>
      </c>
      <c r="P65" t="s">
        <v>162</v>
      </c>
      <c r="Q65" t="s">
        <v>111</v>
      </c>
      <c r="R65" t="s">
        <v>111</v>
      </c>
      <c r="S65" s="1">
        <v>45988</v>
      </c>
      <c r="T65" s="1">
        <v>46023</v>
      </c>
      <c r="U65" s="1">
        <v>46007</v>
      </c>
      <c r="V65" s="1">
        <v>46372</v>
      </c>
      <c r="W65" t="s">
        <v>38</v>
      </c>
      <c r="X65">
        <v>12</v>
      </c>
      <c r="Y65" t="s">
        <v>49</v>
      </c>
      <c r="Z65" t="s">
        <v>76</v>
      </c>
      <c r="AA65" t="s">
        <v>112</v>
      </c>
      <c r="AB65">
        <v>12</v>
      </c>
      <c r="AC65" t="s">
        <v>113</v>
      </c>
      <c r="AD65" t="s">
        <v>160</v>
      </c>
      <c r="AE65" t="s">
        <v>43</v>
      </c>
      <c r="AF65" t="s">
        <v>44</v>
      </c>
      <c r="AG65" t="str">
        <f t="shared" si="0"/>
        <v>CC 12x</v>
      </c>
      <c r="AH65" t="str">
        <f>IF(AND(SUMIF(E:E,E65,I:I)&gt;=400000,Q65="B2G"),"n","")</f>
        <v/>
      </c>
    </row>
    <row r="66" spans="1:34">
      <c r="A66">
        <v>2026</v>
      </c>
      <c r="B66">
        <v>1</v>
      </c>
      <c r="C66" s="83">
        <v>2077389</v>
      </c>
      <c r="D66" t="s">
        <v>164</v>
      </c>
      <c r="E66">
        <v>48293943607</v>
      </c>
      <c r="F66">
        <v>625062</v>
      </c>
      <c r="G66">
        <v>48500234351</v>
      </c>
      <c r="H66" t="s">
        <v>35</v>
      </c>
      <c r="I66" s="36">
        <v>1437</v>
      </c>
      <c r="J66" s="36">
        <v>1437</v>
      </c>
      <c r="K66" s="85">
        <v>0</v>
      </c>
      <c r="L66" s="36">
        <v>119.75</v>
      </c>
      <c r="M66" s="36">
        <v>0</v>
      </c>
      <c r="N66" s="36">
        <v>10.25</v>
      </c>
      <c r="O66" s="36">
        <v>109.5</v>
      </c>
      <c r="P66" t="s">
        <v>165</v>
      </c>
      <c r="Q66" t="s">
        <v>166</v>
      </c>
      <c r="R66" t="s">
        <v>166</v>
      </c>
      <c r="S66" s="1">
        <v>46030</v>
      </c>
      <c r="T66" s="1">
        <v>46030</v>
      </c>
      <c r="U66" s="1">
        <v>46011</v>
      </c>
      <c r="V66" s="1">
        <v>46395</v>
      </c>
      <c r="W66" t="s">
        <v>38</v>
      </c>
      <c r="X66">
        <v>13</v>
      </c>
      <c r="Y66" t="s">
        <v>49</v>
      </c>
      <c r="Z66" t="s">
        <v>81</v>
      </c>
      <c r="AA66" t="s">
        <v>122</v>
      </c>
      <c r="AB66">
        <v>12</v>
      </c>
      <c r="AC66" t="s">
        <v>166</v>
      </c>
      <c r="AD66" t="s">
        <v>118</v>
      </c>
      <c r="AE66" t="s">
        <v>43</v>
      </c>
      <c r="AF66" t="s">
        <v>119</v>
      </c>
      <c r="AG66" t="str">
        <f t="shared" si="0"/>
        <v>Recorrente</v>
      </c>
      <c r="AH66" t="str">
        <f>IF(AND(SUMIF(E:E,E66,I:I)&gt;=400000,Q66="B2G"),"n","")</f>
        <v/>
      </c>
    </row>
    <row r="67" spans="1:34">
      <c r="A67">
        <v>2026</v>
      </c>
      <c r="B67">
        <v>1</v>
      </c>
      <c r="C67" s="83">
        <v>46011699221</v>
      </c>
      <c r="D67" t="s">
        <v>167</v>
      </c>
      <c r="E67">
        <v>48297222707</v>
      </c>
      <c r="F67">
        <v>624689</v>
      </c>
      <c r="G67">
        <v>45848011943</v>
      </c>
      <c r="H67" t="s">
        <v>35</v>
      </c>
      <c r="I67" s="36">
        <v>4800</v>
      </c>
      <c r="J67" s="36">
        <v>4800</v>
      </c>
      <c r="K67" s="85">
        <v>0</v>
      </c>
      <c r="L67" s="36">
        <v>400</v>
      </c>
      <c r="M67" s="36">
        <v>0</v>
      </c>
      <c r="N67" s="36">
        <v>1</v>
      </c>
      <c r="O67" s="36">
        <v>399</v>
      </c>
      <c r="P67" t="s">
        <v>110</v>
      </c>
      <c r="Q67" t="s">
        <v>111</v>
      </c>
      <c r="R67" t="s">
        <v>111</v>
      </c>
      <c r="S67" s="1">
        <v>45994</v>
      </c>
      <c r="T67" s="1">
        <v>46023</v>
      </c>
      <c r="U67" s="1">
        <v>46000</v>
      </c>
      <c r="V67" s="1">
        <v>46365</v>
      </c>
      <c r="W67" t="s">
        <v>38</v>
      </c>
      <c r="X67">
        <v>12</v>
      </c>
      <c r="Y67" t="s">
        <v>49</v>
      </c>
      <c r="Z67" t="s">
        <v>76</v>
      </c>
      <c r="AA67" t="s">
        <v>122</v>
      </c>
      <c r="AB67">
        <v>12</v>
      </c>
      <c r="AC67" t="s">
        <v>113</v>
      </c>
      <c r="AD67" t="s">
        <v>138</v>
      </c>
      <c r="AE67" t="s">
        <v>135</v>
      </c>
      <c r="AF67" t="s">
        <v>119</v>
      </c>
      <c r="AG67" t="str">
        <f t="shared" ref="AG67:AG130" si="1">IF(IFERROR(SEARCH("Recorrente",AA67),0)&gt;0,"Recorrente",IF(AB67=1,"À Vista",IF(AB67&lt;=3,"CC 3x",IF(AB67&lt;=12,"CC 12x",IF(AB67&gt;12,"Recorrente","")))))</f>
        <v>Recorrente</v>
      </c>
      <c r="AH67" t="str">
        <f>IF(AND(SUMIF(E:E,E67,I:I)&gt;=400000,Q67="B2G"),"n","")</f>
        <v/>
      </c>
    </row>
    <row r="68" spans="1:34">
      <c r="A68">
        <v>2026</v>
      </c>
      <c r="B68">
        <v>1</v>
      </c>
      <c r="C68" s="83">
        <v>2101339</v>
      </c>
      <c r="D68" t="s">
        <v>168</v>
      </c>
      <c r="E68">
        <v>48302626872</v>
      </c>
      <c r="F68">
        <v>327340</v>
      </c>
      <c r="G68">
        <v>44921510544</v>
      </c>
      <c r="H68" t="s">
        <v>35</v>
      </c>
      <c r="I68" s="36">
        <v>4452.6000000000004</v>
      </c>
      <c r="J68" s="36">
        <v>4452.6000000000004</v>
      </c>
      <c r="K68" s="85">
        <v>0</v>
      </c>
      <c r="L68" s="36">
        <v>371.05</v>
      </c>
      <c r="M68" s="36">
        <v>0</v>
      </c>
      <c r="N68" s="36">
        <v>40.14</v>
      </c>
      <c r="O68" s="36">
        <v>330.91</v>
      </c>
      <c r="P68" t="s">
        <v>110</v>
      </c>
      <c r="Q68" t="s">
        <v>111</v>
      </c>
      <c r="R68" t="s">
        <v>111</v>
      </c>
      <c r="S68" s="1">
        <v>46006</v>
      </c>
      <c r="T68" s="1">
        <v>46023</v>
      </c>
      <c r="U68" s="1">
        <v>46011</v>
      </c>
      <c r="V68" s="1">
        <v>46376</v>
      </c>
      <c r="W68" t="s">
        <v>38</v>
      </c>
      <c r="X68">
        <v>12</v>
      </c>
      <c r="Y68" t="s">
        <v>49</v>
      </c>
      <c r="Z68" t="s">
        <v>76</v>
      </c>
      <c r="AA68" t="s">
        <v>112</v>
      </c>
      <c r="AB68">
        <v>12</v>
      </c>
      <c r="AC68" t="s">
        <v>113</v>
      </c>
      <c r="AD68" t="s">
        <v>138</v>
      </c>
      <c r="AE68" t="s">
        <v>135</v>
      </c>
      <c r="AF68" t="s">
        <v>119</v>
      </c>
      <c r="AG68" t="str">
        <f t="shared" si="1"/>
        <v>CC 12x</v>
      </c>
      <c r="AH68" t="str">
        <f>IF(AND(SUMIF(E:E,E68,I:I)&gt;=400000,Q68="B2G"),"n","")</f>
        <v/>
      </c>
    </row>
    <row r="69" spans="1:34">
      <c r="A69">
        <v>2026</v>
      </c>
      <c r="B69">
        <v>1</v>
      </c>
      <c r="C69" s="83">
        <v>2135444</v>
      </c>
      <c r="D69" t="s">
        <v>169</v>
      </c>
      <c r="E69">
        <v>48355331095</v>
      </c>
      <c r="F69">
        <v>327815</v>
      </c>
      <c r="G69">
        <v>44260221827</v>
      </c>
      <c r="H69" t="s">
        <v>35</v>
      </c>
      <c r="I69" s="36">
        <v>4278.84</v>
      </c>
      <c r="J69" s="36">
        <v>4278.84</v>
      </c>
      <c r="K69" s="85">
        <v>0</v>
      </c>
      <c r="L69" s="36">
        <v>356.57</v>
      </c>
      <c r="M69" s="36">
        <v>0</v>
      </c>
      <c r="N69" s="36">
        <v>123.24</v>
      </c>
      <c r="O69" s="36">
        <v>233.34</v>
      </c>
      <c r="P69" t="s">
        <v>162</v>
      </c>
      <c r="Q69" t="s">
        <v>111</v>
      </c>
      <c r="R69" t="s">
        <v>111</v>
      </c>
      <c r="S69" s="1">
        <v>45975</v>
      </c>
      <c r="T69" s="1">
        <v>46023</v>
      </c>
      <c r="U69" s="1">
        <v>46011</v>
      </c>
      <c r="V69" s="1">
        <v>46376</v>
      </c>
      <c r="W69" t="s">
        <v>38</v>
      </c>
      <c r="X69">
        <v>12</v>
      </c>
      <c r="Y69" t="s">
        <v>49</v>
      </c>
      <c r="Z69" t="s">
        <v>76</v>
      </c>
      <c r="AA69" t="s">
        <v>122</v>
      </c>
      <c r="AB69">
        <v>12</v>
      </c>
      <c r="AC69" t="s">
        <v>113</v>
      </c>
      <c r="AD69" t="s">
        <v>84</v>
      </c>
      <c r="AE69" t="s">
        <v>43</v>
      </c>
      <c r="AF69" t="s">
        <v>44</v>
      </c>
      <c r="AG69" t="str">
        <f t="shared" si="1"/>
        <v>Recorrente</v>
      </c>
      <c r="AH69" t="str">
        <f>IF(AND(SUMIF(E:E,E69,I:I)&gt;=400000,Q69="B2G"),"n","")</f>
        <v/>
      </c>
    </row>
    <row r="70" spans="1:34">
      <c r="A70">
        <v>2026</v>
      </c>
      <c r="B70">
        <v>1</v>
      </c>
      <c r="C70" s="83">
        <v>185388129849</v>
      </c>
      <c r="D70" t="s">
        <v>170</v>
      </c>
      <c r="E70">
        <v>48496891937</v>
      </c>
      <c r="F70">
        <v>327527</v>
      </c>
      <c r="G70">
        <v>47231191963</v>
      </c>
      <c r="H70" t="s">
        <v>35</v>
      </c>
      <c r="I70" s="36">
        <v>7233.24</v>
      </c>
      <c r="J70" s="36">
        <v>7233.24</v>
      </c>
      <c r="K70" s="85">
        <v>0</v>
      </c>
      <c r="L70" s="36">
        <v>602.77</v>
      </c>
      <c r="M70" s="36">
        <v>0</v>
      </c>
      <c r="N70" s="36">
        <v>67.67</v>
      </c>
      <c r="O70" s="36">
        <v>535.1</v>
      </c>
      <c r="P70" t="s">
        <v>133</v>
      </c>
      <c r="Q70" t="s">
        <v>111</v>
      </c>
      <c r="R70" t="s">
        <v>111</v>
      </c>
      <c r="S70" s="1">
        <v>46007</v>
      </c>
      <c r="T70" s="1">
        <v>46023</v>
      </c>
      <c r="U70" s="1">
        <v>46013</v>
      </c>
      <c r="V70" s="1">
        <v>46378</v>
      </c>
      <c r="W70" t="s">
        <v>38</v>
      </c>
      <c r="X70">
        <v>12</v>
      </c>
      <c r="Y70" t="s">
        <v>49</v>
      </c>
      <c r="Z70" t="s">
        <v>81</v>
      </c>
      <c r="AA70" t="s">
        <v>122</v>
      </c>
      <c r="AB70">
        <v>12</v>
      </c>
      <c r="AC70" t="s">
        <v>113</v>
      </c>
      <c r="AD70" t="s">
        <v>134</v>
      </c>
      <c r="AE70" t="s">
        <v>135</v>
      </c>
      <c r="AF70" t="s">
        <v>44</v>
      </c>
      <c r="AG70" t="str">
        <f t="shared" si="1"/>
        <v>Recorrente</v>
      </c>
      <c r="AH70" t="str">
        <f>IF(AND(SUMIF(E:E,E70,I:I)&gt;=400000,Q70="B2G"),"n","")</f>
        <v/>
      </c>
    </row>
    <row r="71" spans="1:34">
      <c r="A71">
        <v>2026</v>
      </c>
      <c r="B71">
        <v>1</v>
      </c>
      <c r="C71" s="83">
        <v>2089828</v>
      </c>
      <c r="D71" t="s">
        <v>171</v>
      </c>
      <c r="E71">
        <v>48542252135</v>
      </c>
      <c r="F71">
        <v>328056</v>
      </c>
      <c r="G71">
        <v>46529921817</v>
      </c>
      <c r="H71" t="s">
        <v>35</v>
      </c>
      <c r="I71" s="36">
        <v>6664.68</v>
      </c>
      <c r="J71" s="36">
        <v>6664.68</v>
      </c>
      <c r="K71" s="85">
        <v>0</v>
      </c>
      <c r="L71" s="36">
        <v>555.39</v>
      </c>
      <c r="M71" s="36">
        <v>0</v>
      </c>
      <c r="N71" s="36">
        <v>166.06</v>
      </c>
      <c r="O71" s="36">
        <v>389.33</v>
      </c>
      <c r="P71" t="s">
        <v>137</v>
      </c>
      <c r="Q71" t="s">
        <v>111</v>
      </c>
      <c r="R71" t="s">
        <v>111</v>
      </c>
      <c r="S71" s="1">
        <v>45995</v>
      </c>
      <c r="T71" s="1">
        <v>46023</v>
      </c>
      <c r="U71" s="1">
        <v>46014</v>
      </c>
      <c r="V71" s="1">
        <v>46379</v>
      </c>
      <c r="W71" t="s">
        <v>38</v>
      </c>
      <c r="X71">
        <v>12</v>
      </c>
      <c r="Y71" t="s">
        <v>49</v>
      </c>
      <c r="Z71" t="s">
        <v>76</v>
      </c>
      <c r="AA71" t="s">
        <v>122</v>
      </c>
      <c r="AB71">
        <v>12</v>
      </c>
      <c r="AC71" t="s">
        <v>113</v>
      </c>
      <c r="AD71" t="s">
        <v>134</v>
      </c>
      <c r="AE71" t="s">
        <v>135</v>
      </c>
      <c r="AF71" t="s">
        <v>44</v>
      </c>
      <c r="AG71" t="str">
        <f t="shared" si="1"/>
        <v>Recorrente</v>
      </c>
      <c r="AH71" t="str">
        <f>IF(AND(SUMIF(E:E,E71,I:I)&gt;=400000,Q71="B2G"),"n","")</f>
        <v/>
      </c>
    </row>
    <row r="72" spans="1:34">
      <c r="A72">
        <v>2026</v>
      </c>
      <c r="B72">
        <v>1</v>
      </c>
      <c r="C72" s="83">
        <v>184069362847</v>
      </c>
      <c r="D72" t="s">
        <v>172</v>
      </c>
      <c r="E72">
        <v>48542809680</v>
      </c>
      <c r="F72">
        <v>504021</v>
      </c>
      <c r="G72">
        <v>46919327400</v>
      </c>
      <c r="H72" t="s">
        <v>35</v>
      </c>
      <c r="I72" s="36">
        <v>4638.6000000000004</v>
      </c>
      <c r="J72" s="36">
        <v>4638.6000000000004</v>
      </c>
      <c r="K72" s="85">
        <v>0</v>
      </c>
      <c r="L72" s="36">
        <v>386.55</v>
      </c>
      <c r="M72" s="36">
        <v>386.55</v>
      </c>
      <c r="N72" s="36">
        <v>0</v>
      </c>
      <c r="O72" s="36">
        <v>0</v>
      </c>
      <c r="P72" t="s">
        <v>121</v>
      </c>
      <c r="Q72" t="s">
        <v>111</v>
      </c>
      <c r="R72" t="s">
        <v>111</v>
      </c>
      <c r="S72" s="1">
        <v>46002</v>
      </c>
      <c r="T72" s="1">
        <v>46023</v>
      </c>
      <c r="U72" s="1">
        <v>45999</v>
      </c>
      <c r="V72" s="1">
        <v>46367</v>
      </c>
      <c r="W72" t="s">
        <v>38</v>
      </c>
      <c r="X72">
        <v>12</v>
      </c>
      <c r="Y72" t="s">
        <v>49</v>
      </c>
      <c r="Z72" t="s">
        <v>81</v>
      </c>
      <c r="AA72" t="s">
        <v>122</v>
      </c>
      <c r="AB72">
        <v>12</v>
      </c>
      <c r="AC72" t="s">
        <v>113</v>
      </c>
      <c r="AD72" t="s">
        <v>163</v>
      </c>
      <c r="AE72" t="s">
        <v>43</v>
      </c>
      <c r="AF72" t="s">
        <v>96</v>
      </c>
      <c r="AG72" t="str">
        <f t="shared" si="1"/>
        <v>Recorrente</v>
      </c>
      <c r="AH72" t="str">
        <f>IF(AND(SUMIF(E:E,E72,I:I)&gt;=400000,Q72="B2G"),"n","")</f>
        <v/>
      </c>
    </row>
    <row r="73" spans="1:34">
      <c r="A73">
        <v>2026</v>
      </c>
      <c r="B73">
        <v>1</v>
      </c>
      <c r="C73" s="83">
        <v>19653579686</v>
      </c>
      <c r="D73" t="s">
        <v>173</v>
      </c>
      <c r="E73">
        <v>48789577770</v>
      </c>
      <c r="F73">
        <v>523401</v>
      </c>
      <c r="G73">
        <v>47157099661</v>
      </c>
      <c r="H73" t="s">
        <v>35</v>
      </c>
      <c r="I73" s="36">
        <v>5083.2</v>
      </c>
      <c r="J73" s="36">
        <v>5083.2</v>
      </c>
      <c r="K73" s="85">
        <v>0</v>
      </c>
      <c r="L73" s="36">
        <v>423.6</v>
      </c>
      <c r="M73" s="36">
        <v>0</v>
      </c>
      <c r="N73" s="36">
        <v>80.599999999999994</v>
      </c>
      <c r="O73" s="36">
        <v>343</v>
      </c>
      <c r="P73" t="s">
        <v>121</v>
      </c>
      <c r="Q73" t="s">
        <v>111</v>
      </c>
      <c r="R73" t="s">
        <v>111</v>
      </c>
      <c r="S73" s="1">
        <v>46006</v>
      </c>
      <c r="T73" s="1">
        <v>46023</v>
      </c>
      <c r="U73" s="1">
        <v>46003</v>
      </c>
      <c r="V73" s="1">
        <v>46371</v>
      </c>
      <c r="W73" t="s">
        <v>38</v>
      </c>
      <c r="X73">
        <v>12</v>
      </c>
      <c r="Y73" t="s">
        <v>49</v>
      </c>
      <c r="Z73" t="s">
        <v>81</v>
      </c>
      <c r="AA73" t="s">
        <v>112</v>
      </c>
      <c r="AB73">
        <v>6</v>
      </c>
      <c r="AC73" t="s">
        <v>113</v>
      </c>
      <c r="AD73" t="s">
        <v>174</v>
      </c>
      <c r="AE73" t="s">
        <v>43</v>
      </c>
      <c r="AF73" t="s">
        <v>47</v>
      </c>
      <c r="AG73" t="str">
        <f t="shared" si="1"/>
        <v>CC 12x</v>
      </c>
      <c r="AH73" t="str">
        <f>IF(AND(SUMIF(E:E,E73,I:I)&gt;=400000,Q73="B2G"),"n","")</f>
        <v/>
      </c>
    </row>
    <row r="74" spans="1:34">
      <c r="A74">
        <v>2026</v>
      </c>
      <c r="B74">
        <v>1</v>
      </c>
      <c r="C74" s="83">
        <v>2079479</v>
      </c>
      <c r="D74" t="s">
        <v>175</v>
      </c>
      <c r="E74">
        <v>48831598627</v>
      </c>
      <c r="F74">
        <v>523853</v>
      </c>
      <c r="G74">
        <v>47269374108</v>
      </c>
      <c r="H74" t="s">
        <v>35</v>
      </c>
      <c r="I74" s="36">
        <v>3289.8</v>
      </c>
      <c r="J74" s="36">
        <v>3289.8</v>
      </c>
      <c r="K74" s="85">
        <v>0</v>
      </c>
      <c r="L74" s="36">
        <v>274.14999999999998</v>
      </c>
      <c r="M74" s="36">
        <v>0</v>
      </c>
      <c r="N74" s="36">
        <v>50.98</v>
      </c>
      <c r="O74" s="36">
        <v>223.17</v>
      </c>
      <c r="P74" t="s">
        <v>110</v>
      </c>
      <c r="Q74" t="s">
        <v>111</v>
      </c>
      <c r="R74" t="s">
        <v>111</v>
      </c>
      <c r="S74" s="1">
        <v>46009</v>
      </c>
      <c r="T74" s="1">
        <v>46023</v>
      </c>
      <c r="U74" s="1">
        <v>46012</v>
      </c>
      <c r="V74" s="1">
        <v>46377</v>
      </c>
      <c r="W74" t="s">
        <v>38</v>
      </c>
      <c r="X74">
        <v>12</v>
      </c>
      <c r="Y74" t="s">
        <v>49</v>
      </c>
      <c r="Z74" t="s">
        <v>81</v>
      </c>
      <c r="AA74" t="s">
        <v>112</v>
      </c>
      <c r="AB74">
        <v>12</v>
      </c>
      <c r="AC74" t="s">
        <v>113</v>
      </c>
      <c r="AD74" t="s">
        <v>160</v>
      </c>
      <c r="AE74" t="s">
        <v>43</v>
      </c>
      <c r="AF74" t="s">
        <v>44</v>
      </c>
      <c r="AG74" t="str">
        <f t="shared" si="1"/>
        <v>CC 12x</v>
      </c>
      <c r="AH74" t="str">
        <f>IF(AND(SUMIF(E:E,E74,I:I)&gt;=400000,Q74="B2G"),"n","")</f>
        <v/>
      </c>
    </row>
    <row r="75" spans="1:34">
      <c r="A75">
        <v>2026</v>
      </c>
      <c r="B75">
        <v>1</v>
      </c>
      <c r="C75" s="83">
        <v>38844208949</v>
      </c>
      <c r="D75" t="s">
        <v>176</v>
      </c>
      <c r="E75">
        <v>48831911004</v>
      </c>
      <c r="F75">
        <v>327961</v>
      </c>
      <c r="G75">
        <v>45802400381</v>
      </c>
      <c r="H75" t="s">
        <v>35</v>
      </c>
      <c r="I75" s="36">
        <v>4765.5600000000004</v>
      </c>
      <c r="J75" s="36">
        <v>4765.5600000000004</v>
      </c>
      <c r="K75" s="85">
        <v>0</v>
      </c>
      <c r="L75" s="36">
        <v>397.13</v>
      </c>
      <c r="M75" s="36">
        <v>0</v>
      </c>
      <c r="N75" s="36">
        <v>134.19</v>
      </c>
      <c r="O75" s="36">
        <v>262.94</v>
      </c>
      <c r="P75" t="s">
        <v>162</v>
      </c>
      <c r="Q75" t="s">
        <v>111</v>
      </c>
      <c r="R75" t="s">
        <v>111</v>
      </c>
      <c r="S75" s="1">
        <v>45988</v>
      </c>
      <c r="T75" s="1">
        <v>46023</v>
      </c>
      <c r="U75" s="1">
        <v>46013</v>
      </c>
      <c r="V75" s="1">
        <v>46378</v>
      </c>
      <c r="W75" t="s">
        <v>38</v>
      </c>
      <c r="X75">
        <v>12</v>
      </c>
      <c r="Y75" t="s">
        <v>49</v>
      </c>
      <c r="Z75" t="s">
        <v>76</v>
      </c>
      <c r="AA75" t="s">
        <v>112</v>
      </c>
      <c r="AB75">
        <v>12</v>
      </c>
      <c r="AC75" t="s">
        <v>113</v>
      </c>
      <c r="AD75" t="s">
        <v>149</v>
      </c>
      <c r="AE75" t="s">
        <v>43</v>
      </c>
      <c r="AF75" t="s">
        <v>96</v>
      </c>
      <c r="AG75" t="str">
        <f t="shared" si="1"/>
        <v>CC 12x</v>
      </c>
      <c r="AH75" t="str">
        <f>IF(AND(SUMIF(E:E,E75,I:I)&gt;=400000,Q75="B2G"),"n","")</f>
        <v/>
      </c>
    </row>
    <row r="76" spans="1:34">
      <c r="A76">
        <v>2026</v>
      </c>
      <c r="B76">
        <v>1</v>
      </c>
      <c r="C76" s="83">
        <v>56850964574</v>
      </c>
      <c r="D76" t="s">
        <v>177</v>
      </c>
      <c r="E76">
        <v>48833874460</v>
      </c>
      <c r="F76">
        <v>625188</v>
      </c>
      <c r="G76">
        <v>46522180909</v>
      </c>
      <c r="H76" t="s">
        <v>35</v>
      </c>
      <c r="I76" s="36">
        <v>8154.84</v>
      </c>
      <c r="J76" s="36">
        <v>8154.84</v>
      </c>
      <c r="K76" s="85">
        <v>0</v>
      </c>
      <c r="L76" s="36">
        <v>679.57</v>
      </c>
      <c r="M76" s="36">
        <v>0</v>
      </c>
      <c r="N76" s="36">
        <v>82.03</v>
      </c>
      <c r="O76" s="36">
        <v>597.54999999999995</v>
      </c>
      <c r="P76" t="s">
        <v>110</v>
      </c>
      <c r="Q76" t="s">
        <v>111</v>
      </c>
      <c r="R76" t="s">
        <v>111</v>
      </c>
      <c r="S76" s="1">
        <v>45995</v>
      </c>
      <c r="T76" s="1">
        <v>46023</v>
      </c>
      <c r="U76" s="1">
        <v>46018</v>
      </c>
      <c r="V76" s="1">
        <v>46383</v>
      </c>
      <c r="W76" t="s">
        <v>38</v>
      </c>
      <c r="X76">
        <v>12</v>
      </c>
      <c r="Y76" t="s">
        <v>49</v>
      </c>
      <c r="Z76" t="s">
        <v>81</v>
      </c>
      <c r="AA76" t="s">
        <v>122</v>
      </c>
      <c r="AB76">
        <v>12</v>
      </c>
      <c r="AC76" t="s">
        <v>113</v>
      </c>
      <c r="AD76" t="s">
        <v>131</v>
      </c>
      <c r="AE76" t="s">
        <v>46</v>
      </c>
      <c r="AF76" t="s">
        <v>96</v>
      </c>
      <c r="AG76" t="str">
        <f t="shared" si="1"/>
        <v>Recorrente</v>
      </c>
      <c r="AH76" t="str">
        <f>IF(AND(SUMIF(E:E,E76,I:I)&gt;=400000,Q76="B2G"),"n","")</f>
        <v/>
      </c>
    </row>
    <row r="77" spans="1:34">
      <c r="A77">
        <v>2026</v>
      </c>
      <c r="B77">
        <v>1</v>
      </c>
      <c r="C77" s="83">
        <v>119295005269</v>
      </c>
      <c r="D77" t="s">
        <v>178</v>
      </c>
      <c r="E77">
        <v>48848678066</v>
      </c>
      <c r="F77">
        <v>624828</v>
      </c>
      <c r="G77">
        <v>47029948294</v>
      </c>
      <c r="H77" t="s">
        <v>35</v>
      </c>
      <c r="I77" s="36">
        <v>5612.4</v>
      </c>
      <c r="J77" s="36">
        <v>5612.4</v>
      </c>
      <c r="K77" s="85">
        <v>0</v>
      </c>
      <c r="L77" s="36">
        <v>467.7</v>
      </c>
      <c r="M77" s="36">
        <v>467.7</v>
      </c>
      <c r="N77" s="36">
        <v>0</v>
      </c>
      <c r="O77" s="36">
        <v>0</v>
      </c>
      <c r="P77" t="s">
        <v>162</v>
      </c>
      <c r="Q77" t="s">
        <v>111</v>
      </c>
      <c r="R77" t="s">
        <v>111</v>
      </c>
      <c r="S77" s="1">
        <v>46003</v>
      </c>
      <c r="T77" s="1">
        <v>46023</v>
      </c>
      <c r="U77" s="1">
        <v>46002</v>
      </c>
      <c r="V77" s="1">
        <v>46368</v>
      </c>
      <c r="W77" t="s">
        <v>38</v>
      </c>
      <c r="X77">
        <v>12</v>
      </c>
      <c r="Y77" t="s">
        <v>49</v>
      </c>
      <c r="Z77" t="s">
        <v>81</v>
      </c>
      <c r="AA77" t="s">
        <v>112</v>
      </c>
      <c r="AB77">
        <v>12</v>
      </c>
      <c r="AC77" t="s">
        <v>113</v>
      </c>
      <c r="AD77" t="s">
        <v>134</v>
      </c>
      <c r="AE77" t="s">
        <v>135</v>
      </c>
      <c r="AF77" t="s">
        <v>44</v>
      </c>
      <c r="AG77" t="str">
        <f t="shared" si="1"/>
        <v>CC 12x</v>
      </c>
      <c r="AH77" t="str">
        <f>IF(AND(SUMIF(E:E,E77,I:I)&gt;=400000,Q77="B2G"),"n","")</f>
        <v/>
      </c>
    </row>
    <row r="78" spans="1:34">
      <c r="A78">
        <v>2026</v>
      </c>
      <c r="B78">
        <v>1</v>
      </c>
      <c r="C78" s="83">
        <v>30934616757</v>
      </c>
      <c r="D78" t="s">
        <v>179</v>
      </c>
      <c r="E78">
        <v>48886938383</v>
      </c>
      <c r="F78">
        <v>635690</v>
      </c>
      <c r="G78">
        <v>49714856457</v>
      </c>
      <c r="H78" t="s">
        <v>35</v>
      </c>
      <c r="I78" s="36">
        <v>4644</v>
      </c>
      <c r="J78" s="36">
        <v>4644</v>
      </c>
      <c r="K78" s="85">
        <v>0</v>
      </c>
      <c r="L78" s="36">
        <v>387</v>
      </c>
      <c r="M78" s="36">
        <v>387</v>
      </c>
      <c r="N78" s="36">
        <v>0</v>
      </c>
      <c r="O78" s="36">
        <v>0</v>
      </c>
      <c r="P78" t="s">
        <v>98</v>
      </c>
      <c r="Q78" t="s">
        <v>37</v>
      </c>
      <c r="R78" t="s">
        <v>37</v>
      </c>
      <c r="S78" s="1">
        <v>46044</v>
      </c>
      <c r="T78" s="1">
        <v>46044</v>
      </c>
      <c r="V78" s="1">
        <v>46409</v>
      </c>
      <c r="W78" t="s">
        <v>38</v>
      </c>
      <c r="X78">
        <v>12</v>
      </c>
      <c r="Y78" t="s">
        <v>49</v>
      </c>
      <c r="AA78" t="s">
        <v>40</v>
      </c>
      <c r="AB78">
        <v>1</v>
      </c>
      <c r="AC78" t="s">
        <v>41</v>
      </c>
      <c r="AD78" t="s">
        <v>53</v>
      </c>
      <c r="AE78" t="s">
        <v>43</v>
      </c>
      <c r="AF78" t="s">
        <v>44</v>
      </c>
      <c r="AG78" t="str">
        <f t="shared" si="1"/>
        <v>À Vista</v>
      </c>
      <c r="AH78" t="str">
        <f>IF(AND(SUMIF(E:E,E78,I:I)&gt;=400000,Q78="B2G"),"n","")</f>
        <v/>
      </c>
    </row>
    <row r="79" spans="1:34">
      <c r="A79">
        <v>2026</v>
      </c>
      <c r="B79">
        <v>1</v>
      </c>
      <c r="C79" s="83">
        <v>133327953510</v>
      </c>
      <c r="D79" t="s">
        <v>180</v>
      </c>
      <c r="E79">
        <v>48941137811</v>
      </c>
      <c r="F79">
        <v>602833</v>
      </c>
      <c r="G79">
        <v>48825764902</v>
      </c>
      <c r="H79" t="s">
        <v>35</v>
      </c>
      <c r="I79" s="36">
        <v>7553.4</v>
      </c>
      <c r="J79" s="36">
        <v>7553.4</v>
      </c>
      <c r="K79" s="85">
        <v>0</v>
      </c>
      <c r="L79" s="36">
        <v>629.45000000000005</v>
      </c>
      <c r="M79" s="36">
        <v>0</v>
      </c>
      <c r="N79" s="36">
        <v>12.9</v>
      </c>
      <c r="O79" s="36">
        <v>616.54999999999995</v>
      </c>
      <c r="P79" t="s">
        <v>162</v>
      </c>
      <c r="Q79" t="s">
        <v>111</v>
      </c>
      <c r="R79" t="s">
        <v>111</v>
      </c>
      <c r="S79" s="1">
        <v>46034</v>
      </c>
      <c r="T79" s="1">
        <v>46034</v>
      </c>
      <c r="U79" s="1">
        <v>46004</v>
      </c>
      <c r="V79" s="1">
        <v>46399</v>
      </c>
      <c r="W79" t="s">
        <v>38</v>
      </c>
      <c r="X79">
        <v>13</v>
      </c>
      <c r="Y79" t="s">
        <v>49</v>
      </c>
      <c r="Z79" t="s">
        <v>81</v>
      </c>
      <c r="AA79" t="s">
        <v>122</v>
      </c>
      <c r="AB79">
        <v>12</v>
      </c>
      <c r="AC79" t="s">
        <v>113</v>
      </c>
      <c r="AD79" t="s">
        <v>134</v>
      </c>
      <c r="AE79" t="s">
        <v>135</v>
      </c>
      <c r="AF79" t="s">
        <v>44</v>
      </c>
      <c r="AG79" t="str">
        <f t="shared" si="1"/>
        <v>Recorrente</v>
      </c>
      <c r="AH79" t="str">
        <f>IF(AND(SUMIF(E:E,E79,I:I)&gt;=400000,Q79="B2G"),"n","")</f>
        <v/>
      </c>
    </row>
    <row r="80" spans="1:34">
      <c r="A80">
        <v>2026</v>
      </c>
      <c r="B80">
        <v>1</v>
      </c>
      <c r="C80" s="83">
        <v>121449636265</v>
      </c>
      <c r="D80" t="s">
        <v>181</v>
      </c>
      <c r="E80">
        <v>48977924635</v>
      </c>
      <c r="F80">
        <v>522751</v>
      </c>
      <c r="G80">
        <v>46760338222</v>
      </c>
      <c r="H80" t="s">
        <v>35</v>
      </c>
      <c r="I80" s="36">
        <v>2457.2399999999998</v>
      </c>
      <c r="J80" s="36">
        <v>2457.2399999999998</v>
      </c>
      <c r="K80" s="85">
        <v>0</v>
      </c>
      <c r="L80" s="36">
        <v>204.77</v>
      </c>
      <c r="M80" s="36">
        <v>0</v>
      </c>
      <c r="N80" s="36">
        <v>0</v>
      </c>
      <c r="O80" s="36">
        <v>204.77250000000001</v>
      </c>
      <c r="P80" t="s">
        <v>137</v>
      </c>
      <c r="Q80" t="s">
        <v>111</v>
      </c>
      <c r="R80" t="s">
        <v>111</v>
      </c>
      <c r="S80" s="1">
        <v>46001</v>
      </c>
      <c r="T80" s="1">
        <v>46023</v>
      </c>
      <c r="U80" s="1">
        <v>46019</v>
      </c>
      <c r="V80" s="1">
        <v>46384</v>
      </c>
      <c r="W80" t="s">
        <v>38</v>
      </c>
      <c r="X80">
        <v>12</v>
      </c>
      <c r="Y80" t="s">
        <v>49</v>
      </c>
      <c r="Z80" t="s">
        <v>81</v>
      </c>
      <c r="AA80" t="s">
        <v>122</v>
      </c>
      <c r="AB80">
        <v>12</v>
      </c>
      <c r="AC80" t="s">
        <v>113</v>
      </c>
      <c r="AD80" t="s">
        <v>118</v>
      </c>
      <c r="AE80" t="s">
        <v>43</v>
      </c>
      <c r="AF80" t="s">
        <v>119</v>
      </c>
      <c r="AG80" t="str">
        <f t="shared" si="1"/>
        <v>Recorrente</v>
      </c>
      <c r="AH80" t="str">
        <f>IF(AND(SUMIF(E:E,E80,I:I)&gt;=400000,Q80="B2G"),"n","")</f>
        <v/>
      </c>
    </row>
    <row r="81" spans="1:34">
      <c r="A81">
        <v>2026</v>
      </c>
      <c r="B81">
        <v>1</v>
      </c>
      <c r="C81" s="83">
        <v>121449636265</v>
      </c>
      <c r="D81" t="s">
        <v>181</v>
      </c>
      <c r="E81">
        <v>48977924635</v>
      </c>
      <c r="F81">
        <v>522751</v>
      </c>
      <c r="G81">
        <v>46760338223</v>
      </c>
      <c r="H81" t="s">
        <v>35</v>
      </c>
      <c r="I81" s="36">
        <v>2457.2399999999998</v>
      </c>
      <c r="J81" s="36">
        <v>2457.2399999999998</v>
      </c>
      <c r="K81" s="85">
        <v>0</v>
      </c>
      <c r="L81" s="36">
        <v>204.77</v>
      </c>
      <c r="M81" s="36">
        <v>0</v>
      </c>
      <c r="N81" s="36">
        <v>0</v>
      </c>
      <c r="O81" s="36">
        <v>204.77250000000001</v>
      </c>
      <c r="P81" t="s">
        <v>137</v>
      </c>
      <c r="Q81" t="s">
        <v>111</v>
      </c>
      <c r="R81" t="s">
        <v>111</v>
      </c>
      <c r="S81" s="1">
        <v>46001</v>
      </c>
      <c r="T81" s="1">
        <v>46023</v>
      </c>
      <c r="U81" s="1">
        <v>46019</v>
      </c>
      <c r="V81" s="1">
        <v>46384</v>
      </c>
      <c r="W81" t="s">
        <v>38</v>
      </c>
      <c r="X81">
        <v>12</v>
      </c>
      <c r="Y81" t="s">
        <v>49</v>
      </c>
      <c r="Z81" t="s">
        <v>81</v>
      </c>
      <c r="AA81" t="s">
        <v>122</v>
      </c>
      <c r="AB81">
        <v>12</v>
      </c>
      <c r="AC81" t="s">
        <v>113</v>
      </c>
      <c r="AD81" t="s">
        <v>140</v>
      </c>
      <c r="AE81" t="s">
        <v>46</v>
      </c>
      <c r="AF81" t="s">
        <v>119</v>
      </c>
      <c r="AG81" t="str">
        <f t="shared" si="1"/>
        <v>Recorrente</v>
      </c>
      <c r="AH81" t="str">
        <f>IF(AND(SUMIF(E:E,E81,I:I)&gt;=400000,Q81="B2G"),"n","")</f>
        <v/>
      </c>
    </row>
    <row r="82" spans="1:34">
      <c r="A82">
        <v>2026</v>
      </c>
      <c r="B82">
        <v>1</v>
      </c>
      <c r="C82" s="83">
        <v>136154984229</v>
      </c>
      <c r="D82" t="s">
        <v>182</v>
      </c>
      <c r="E82">
        <v>49040847389</v>
      </c>
      <c r="F82">
        <v>605671</v>
      </c>
      <c r="G82">
        <v>46345970180</v>
      </c>
      <c r="H82" t="s">
        <v>35</v>
      </c>
      <c r="I82" s="36">
        <v>3948</v>
      </c>
      <c r="J82" s="36">
        <v>3948</v>
      </c>
      <c r="K82" s="85">
        <v>0</v>
      </c>
      <c r="L82" s="36">
        <v>329</v>
      </c>
      <c r="M82" s="36">
        <v>0</v>
      </c>
      <c r="N82" s="36">
        <v>20.260000000000002</v>
      </c>
      <c r="O82" s="36">
        <v>308.74</v>
      </c>
      <c r="P82" t="s">
        <v>127</v>
      </c>
      <c r="Q82" t="s">
        <v>111</v>
      </c>
      <c r="R82" t="s">
        <v>111</v>
      </c>
      <c r="S82" s="1">
        <v>45994</v>
      </c>
      <c r="T82" s="1">
        <v>46023</v>
      </c>
      <c r="U82" s="1">
        <v>46010</v>
      </c>
      <c r="V82" s="1">
        <v>46375</v>
      </c>
      <c r="W82" t="s">
        <v>38</v>
      </c>
      <c r="X82">
        <v>12</v>
      </c>
      <c r="Y82" t="s">
        <v>49</v>
      </c>
      <c r="Z82" t="s">
        <v>81</v>
      </c>
      <c r="AA82" t="s">
        <v>112</v>
      </c>
      <c r="AB82">
        <v>12</v>
      </c>
      <c r="AC82" t="s">
        <v>113</v>
      </c>
      <c r="AD82" t="s">
        <v>163</v>
      </c>
      <c r="AE82" t="s">
        <v>43</v>
      </c>
      <c r="AF82" t="s">
        <v>96</v>
      </c>
      <c r="AG82" t="str">
        <f t="shared" si="1"/>
        <v>CC 12x</v>
      </c>
      <c r="AH82" t="str">
        <f>IF(AND(SUMIF(E:E,E82,I:I)&gt;=400000,Q82="B2G"),"n","")</f>
        <v/>
      </c>
    </row>
    <row r="83" spans="1:34">
      <c r="A83">
        <v>2026</v>
      </c>
      <c r="B83">
        <v>1</v>
      </c>
      <c r="C83" s="83">
        <v>19435566940</v>
      </c>
      <c r="D83" t="s">
        <v>183</v>
      </c>
      <c r="E83">
        <v>49040907923</v>
      </c>
      <c r="F83">
        <v>523604</v>
      </c>
      <c r="G83">
        <v>47279014577</v>
      </c>
      <c r="H83" t="s">
        <v>35</v>
      </c>
      <c r="I83" s="36">
        <v>3707.28</v>
      </c>
      <c r="J83" s="36">
        <v>3707.28</v>
      </c>
      <c r="K83" s="85">
        <v>0</v>
      </c>
      <c r="L83" s="36">
        <v>308.94</v>
      </c>
      <c r="M83" s="36">
        <v>0</v>
      </c>
      <c r="N83" s="36">
        <v>0</v>
      </c>
      <c r="O83" s="36">
        <v>308.94184999999999</v>
      </c>
      <c r="P83" t="s">
        <v>137</v>
      </c>
      <c r="Q83" t="s">
        <v>111</v>
      </c>
      <c r="R83" t="s">
        <v>111</v>
      </c>
      <c r="S83" s="1">
        <v>46010</v>
      </c>
      <c r="T83" s="1">
        <v>46023</v>
      </c>
      <c r="U83" s="1">
        <v>46007</v>
      </c>
      <c r="V83" s="1">
        <v>46375</v>
      </c>
      <c r="W83" t="s">
        <v>38</v>
      </c>
      <c r="X83">
        <v>12</v>
      </c>
      <c r="Y83" t="s">
        <v>49</v>
      </c>
      <c r="Z83" t="s">
        <v>81</v>
      </c>
      <c r="AA83" t="s">
        <v>117</v>
      </c>
      <c r="AB83">
        <v>1</v>
      </c>
      <c r="AC83" t="s">
        <v>113</v>
      </c>
      <c r="AD83" t="s">
        <v>85</v>
      </c>
      <c r="AE83" t="s">
        <v>46</v>
      </c>
      <c r="AF83" t="s">
        <v>44</v>
      </c>
      <c r="AG83" t="str">
        <f t="shared" si="1"/>
        <v>À Vista</v>
      </c>
      <c r="AH83" t="str">
        <f>IF(AND(SUMIF(E:E,E83,I:I)&gt;=400000,Q83="B2G"),"n","")</f>
        <v/>
      </c>
    </row>
    <row r="84" spans="1:34">
      <c r="A84">
        <v>2026</v>
      </c>
      <c r="B84">
        <v>1</v>
      </c>
      <c r="C84" s="83">
        <v>19435617053</v>
      </c>
      <c r="D84" t="s">
        <v>184</v>
      </c>
      <c r="E84">
        <v>49090943072</v>
      </c>
      <c r="F84">
        <v>326742</v>
      </c>
      <c r="G84">
        <v>44720891285</v>
      </c>
      <c r="H84" t="s">
        <v>35</v>
      </c>
      <c r="I84" s="36">
        <v>4527.24</v>
      </c>
      <c r="J84" s="36">
        <v>4527.24</v>
      </c>
      <c r="K84" s="85">
        <v>0</v>
      </c>
      <c r="L84" s="36">
        <v>377.27</v>
      </c>
      <c r="M84" s="36">
        <v>0</v>
      </c>
      <c r="N84" s="36">
        <v>0</v>
      </c>
      <c r="O84" s="36">
        <v>377.26875000000001</v>
      </c>
      <c r="P84" t="s">
        <v>110</v>
      </c>
      <c r="Q84" t="s">
        <v>111</v>
      </c>
      <c r="R84" t="s">
        <v>111</v>
      </c>
      <c r="S84" s="1">
        <v>45978</v>
      </c>
      <c r="T84" s="1">
        <v>46023</v>
      </c>
      <c r="U84" s="1">
        <v>46006</v>
      </c>
      <c r="V84" s="1">
        <v>46371</v>
      </c>
      <c r="W84" t="s">
        <v>38</v>
      </c>
      <c r="X84">
        <v>12</v>
      </c>
      <c r="Y84" t="s">
        <v>49</v>
      </c>
      <c r="Z84" t="s">
        <v>81</v>
      </c>
      <c r="AA84" t="s">
        <v>122</v>
      </c>
      <c r="AB84">
        <v>12</v>
      </c>
      <c r="AC84" t="s">
        <v>113</v>
      </c>
      <c r="AD84" t="s">
        <v>149</v>
      </c>
      <c r="AE84" t="s">
        <v>43</v>
      </c>
      <c r="AF84" t="s">
        <v>96</v>
      </c>
      <c r="AG84" t="str">
        <f t="shared" si="1"/>
        <v>Recorrente</v>
      </c>
      <c r="AH84" t="str">
        <f>IF(AND(SUMIF(E:E,E84,I:I)&gt;=400000,Q84="B2G"),"n","")</f>
        <v/>
      </c>
    </row>
    <row r="85" spans="1:34">
      <c r="A85">
        <v>2026</v>
      </c>
      <c r="B85">
        <v>1</v>
      </c>
      <c r="C85" s="83">
        <v>123423171206</v>
      </c>
      <c r="D85" t="s">
        <v>185</v>
      </c>
      <c r="E85">
        <v>49135849291</v>
      </c>
      <c r="F85">
        <v>301960</v>
      </c>
      <c r="G85">
        <v>46529928882</v>
      </c>
      <c r="H85" t="s">
        <v>35</v>
      </c>
      <c r="I85" s="36">
        <v>2356.6799999999998</v>
      </c>
      <c r="J85" s="36">
        <v>2356.6799999999998</v>
      </c>
      <c r="K85" s="85">
        <v>0</v>
      </c>
      <c r="L85" s="36">
        <v>196.39</v>
      </c>
      <c r="M85" s="36">
        <v>0</v>
      </c>
      <c r="N85" s="36">
        <v>11.39</v>
      </c>
      <c r="O85" s="36">
        <v>185</v>
      </c>
      <c r="P85" t="s">
        <v>110</v>
      </c>
      <c r="Q85" t="s">
        <v>111</v>
      </c>
      <c r="R85" t="s">
        <v>111</v>
      </c>
      <c r="S85" s="1">
        <v>45995</v>
      </c>
      <c r="T85" s="1">
        <v>46023</v>
      </c>
      <c r="U85" s="1">
        <v>46017</v>
      </c>
      <c r="V85" s="1">
        <v>46382</v>
      </c>
      <c r="W85" t="s">
        <v>38</v>
      </c>
      <c r="X85">
        <v>12</v>
      </c>
      <c r="Y85" t="s">
        <v>49</v>
      </c>
      <c r="Z85" t="s">
        <v>76</v>
      </c>
      <c r="AA85" t="s">
        <v>112</v>
      </c>
      <c r="AB85">
        <v>12</v>
      </c>
      <c r="AC85" t="s">
        <v>113</v>
      </c>
      <c r="AD85" t="s">
        <v>118</v>
      </c>
      <c r="AE85" t="s">
        <v>43</v>
      </c>
      <c r="AF85" t="s">
        <v>119</v>
      </c>
      <c r="AG85" t="str">
        <f t="shared" si="1"/>
        <v>CC 12x</v>
      </c>
      <c r="AH85" t="str">
        <f>IF(AND(SUMIF(E:E,E85,I:I)&gt;=400000,Q85="B2G"),"n","")</f>
        <v/>
      </c>
    </row>
    <row r="86" spans="1:34">
      <c r="A86">
        <v>2026</v>
      </c>
      <c r="B86">
        <v>1</v>
      </c>
      <c r="C86" s="83">
        <v>32670691707</v>
      </c>
      <c r="D86" t="s">
        <v>186</v>
      </c>
      <c r="E86">
        <v>49141755828</v>
      </c>
      <c r="F86">
        <v>635749</v>
      </c>
      <c r="G86">
        <v>49949978893</v>
      </c>
      <c r="H86" t="s">
        <v>35</v>
      </c>
      <c r="I86" s="36">
        <v>4644</v>
      </c>
      <c r="J86" s="36">
        <v>4644</v>
      </c>
      <c r="K86" s="85">
        <v>0</v>
      </c>
      <c r="L86" s="36">
        <v>387</v>
      </c>
      <c r="M86" s="36">
        <v>387</v>
      </c>
      <c r="N86" s="36">
        <v>0</v>
      </c>
      <c r="O86" s="36">
        <v>0</v>
      </c>
      <c r="P86" t="s">
        <v>75</v>
      </c>
      <c r="Q86" t="s">
        <v>37</v>
      </c>
      <c r="R86" t="s">
        <v>37</v>
      </c>
      <c r="S86" s="1">
        <v>46049</v>
      </c>
      <c r="T86" s="1">
        <v>46049</v>
      </c>
      <c r="V86" s="1">
        <v>46414</v>
      </c>
      <c r="W86" t="s">
        <v>38</v>
      </c>
      <c r="X86">
        <v>12</v>
      </c>
      <c r="Y86" t="s">
        <v>49</v>
      </c>
      <c r="AA86" t="s">
        <v>40</v>
      </c>
      <c r="AB86">
        <v>1</v>
      </c>
      <c r="AC86" t="s">
        <v>41</v>
      </c>
      <c r="AD86" t="s">
        <v>53</v>
      </c>
      <c r="AE86" t="s">
        <v>43</v>
      </c>
      <c r="AF86" t="s">
        <v>44</v>
      </c>
      <c r="AG86" t="str">
        <f t="shared" si="1"/>
        <v>À Vista</v>
      </c>
      <c r="AH86" t="str">
        <f>IF(AND(SUMIF(E:E,E86,I:I)&gt;=400000,Q86="B2G"),"n","")</f>
        <v/>
      </c>
    </row>
    <row r="87" spans="1:34">
      <c r="A87">
        <v>2026</v>
      </c>
      <c r="B87">
        <v>1</v>
      </c>
      <c r="C87" s="83">
        <v>91623146910</v>
      </c>
      <c r="D87" t="s">
        <v>187</v>
      </c>
      <c r="E87">
        <v>49206469521</v>
      </c>
      <c r="F87">
        <v>503490</v>
      </c>
      <c r="G87">
        <v>44435182774</v>
      </c>
      <c r="H87" t="s">
        <v>35</v>
      </c>
      <c r="I87" s="36">
        <v>4315.4399999999996</v>
      </c>
      <c r="J87" s="36">
        <v>4315.4399999999996</v>
      </c>
      <c r="K87" s="85">
        <v>0</v>
      </c>
      <c r="L87" s="36">
        <v>359.62</v>
      </c>
      <c r="M87" s="36">
        <v>0</v>
      </c>
      <c r="N87" s="36">
        <v>56.55</v>
      </c>
      <c r="O87" s="36">
        <v>303.08</v>
      </c>
      <c r="P87" t="s">
        <v>165</v>
      </c>
      <c r="Q87" t="s">
        <v>166</v>
      </c>
      <c r="R87" t="s">
        <v>166</v>
      </c>
      <c r="S87" s="1">
        <v>46034</v>
      </c>
      <c r="T87" s="1">
        <v>46034</v>
      </c>
      <c r="U87" s="1">
        <v>46023</v>
      </c>
      <c r="V87" s="1">
        <v>46388</v>
      </c>
      <c r="W87" t="s">
        <v>38</v>
      </c>
      <c r="X87">
        <v>12</v>
      </c>
      <c r="Y87" t="s">
        <v>49</v>
      </c>
      <c r="Z87" t="s">
        <v>81</v>
      </c>
      <c r="AA87" t="s">
        <v>112</v>
      </c>
      <c r="AB87">
        <v>5</v>
      </c>
      <c r="AC87" t="s">
        <v>166</v>
      </c>
      <c r="AD87" t="s">
        <v>85</v>
      </c>
      <c r="AE87" t="s">
        <v>46</v>
      </c>
      <c r="AF87" t="s">
        <v>44</v>
      </c>
      <c r="AG87" t="str">
        <f t="shared" si="1"/>
        <v>CC 12x</v>
      </c>
      <c r="AH87" t="str">
        <f>IF(AND(SUMIF(E:E,E87,I:I)&gt;=400000,Q87="B2G"),"n","")</f>
        <v/>
      </c>
    </row>
    <row r="88" spans="1:34">
      <c r="A88">
        <v>2026</v>
      </c>
      <c r="B88">
        <v>1</v>
      </c>
      <c r="C88" s="83">
        <v>2131194</v>
      </c>
      <c r="D88" t="s">
        <v>188</v>
      </c>
      <c r="E88">
        <v>49210120197</v>
      </c>
      <c r="F88">
        <v>504696</v>
      </c>
      <c r="G88">
        <v>44419552438</v>
      </c>
      <c r="H88" t="s">
        <v>35</v>
      </c>
      <c r="I88" s="36">
        <v>5178.6000000000004</v>
      </c>
      <c r="J88" s="36">
        <v>5178.6000000000004</v>
      </c>
      <c r="K88" s="85">
        <v>0</v>
      </c>
      <c r="L88" s="36">
        <v>431.55</v>
      </c>
      <c r="M88" s="36">
        <v>0</v>
      </c>
      <c r="N88" s="36">
        <v>117.29</v>
      </c>
      <c r="O88" s="36">
        <v>314.26</v>
      </c>
      <c r="P88" t="s">
        <v>165</v>
      </c>
      <c r="Q88" t="s">
        <v>166</v>
      </c>
      <c r="R88" t="s">
        <v>166</v>
      </c>
      <c r="S88" s="1">
        <v>46023</v>
      </c>
      <c r="T88" s="1">
        <v>46023</v>
      </c>
      <c r="U88" s="1">
        <v>46023</v>
      </c>
      <c r="V88" s="1">
        <v>46388</v>
      </c>
      <c r="W88" t="s">
        <v>38</v>
      </c>
      <c r="X88">
        <v>12</v>
      </c>
      <c r="Y88" t="s">
        <v>49</v>
      </c>
      <c r="Z88" t="s">
        <v>81</v>
      </c>
      <c r="AA88" t="s">
        <v>122</v>
      </c>
      <c r="AB88">
        <v>12</v>
      </c>
      <c r="AC88" t="s">
        <v>166</v>
      </c>
      <c r="AD88" t="s">
        <v>85</v>
      </c>
      <c r="AE88" t="s">
        <v>46</v>
      </c>
      <c r="AF88" t="s">
        <v>44</v>
      </c>
      <c r="AG88" t="str">
        <f t="shared" si="1"/>
        <v>Recorrente</v>
      </c>
      <c r="AH88" t="str">
        <f>IF(AND(SUMIF(E:E,E88,I:I)&gt;=400000,Q88="B2G"),"n","")</f>
        <v/>
      </c>
    </row>
    <row r="89" spans="1:34">
      <c r="A89">
        <v>2026</v>
      </c>
      <c r="B89">
        <v>1</v>
      </c>
      <c r="C89" s="83">
        <v>19485990822</v>
      </c>
      <c r="D89" t="s">
        <v>189</v>
      </c>
      <c r="E89">
        <v>49218873256</v>
      </c>
      <c r="F89">
        <v>635798</v>
      </c>
      <c r="G89">
        <v>50350991438</v>
      </c>
      <c r="H89" t="s">
        <v>35</v>
      </c>
      <c r="I89" s="36">
        <v>3120.12</v>
      </c>
      <c r="J89" s="36">
        <v>3120.11</v>
      </c>
      <c r="K89" s="85">
        <v>0.01</v>
      </c>
      <c r="L89" s="36">
        <v>260.01</v>
      </c>
      <c r="M89" s="36">
        <v>0</v>
      </c>
      <c r="N89" s="36">
        <v>260.01</v>
      </c>
      <c r="O89" s="36">
        <v>0</v>
      </c>
      <c r="P89" t="s">
        <v>190</v>
      </c>
      <c r="Q89" t="s">
        <v>191</v>
      </c>
      <c r="R89" t="s">
        <v>191</v>
      </c>
      <c r="S89" s="1">
        <v>46051</v>
      </c>
      <c r="T89" s="1">
        <v>46051</v>
      </c>
      <c r="V89" s="1">
        <v>46416</v>
      </c>
      <c r="W89" t="s">
        <v>38</v>
      </c>
      <c r="X89">
        <v>12</v>
      </c>
      <c r="Y89" t="s">
        <v>49</v>
      </c>
      <c r="AA89" t="s">
        <v>112</v>
      </c>
      <c r="AB89">
        <v>12</v>
      </c>
      <c r="AC89" t="s">
        <v>192</v>
      </c>
      <c r="AD89" t="s">
        <v>142</v>
      </c>
      <c r="AE89" t="s">
        <v>95</v>
      </c>
      <c r="AF89" t="s">
        <v>44</v>
      </c>
      <c r="AG89" t="str">
        <f t="shared" si="1"/>
        <v>CC 12x</v>
      </c>
      <c r="AH89" t="str">
        <f>IF(AND(SUMIF(E:E,E89,I:I)&gt;=400000,Q89="B2G"),"n","")</f>
        <v/>
      </c>
    </row>
    <row r="90" spans="1:34">
      <c r="A90">
        <v>2026</v>
      </c>
      <c r="B90">
        <v>1</v>
      </c>
      <c r="C90" s="83">
        <v>2096449</v>
      </c>
      <c r="D90" t="s">
        <v>193</v>
      </c>
      <c r="E90">
        <v>49242220118</v>
      </c>
      <c r="F90">
        <v>605457</v>
      </c>
      <c r="G90">
        <v>47224568410</v>
      </c>
      <c r="H90" t="s">
        <v>35</v>
      </c>
      <c r="I90" s="36">
        <v>8937.24</v>
      </c>
      <c r="J90" s="36">
        <v>8937.24</v>
      </c>
      <c r="K90" s="85">
        <v>0</v>
      </c>
      <c r="L90" s="36">
        <v>744.77</v>
      </c>
      <c r="M90" s="36">
        <v>0</v>
      </c>
      <c r="N90" s="36">
        <v>53.95</v>
      </c>
      <c r="O90" s="36">
        <v>690.82</v>
      </c>
      <c r="P90" t="s">
        <v>127</v>
      </c>
      <c r="Q90" t="s">
        <v>111</v>
      </c>
      <c r="R90" t="s">
        <v>111</v>
      </c>
      <c r="S90" s="1">
        <v>46010</v>
      </c>
      <c r="T90" s="1">
        <v>46023</v>
      </c>
      <c r="U90" s="1">
        <v>46011</v>
      </c>
      <c r="V90" s="1">
        <v>46376</v>
      </c>
      <c r="W90" t="s">
        <v>38</v>
      </c>
      <c r="X90">
        <v>12</v>
      </c>
      <c r="Y90" t="s">
        <v>49</v>
      </c>
      <c r="Z90" t="s">
        <v>81</v>
      </c>
      <c r="AA90" t="s">
        <v>122</v>
      </c>
      <c r="AB90">
        <v>12</v>
      </c>
      <c r="AC90" t="s">
        <v>113</v>
      </c>
      <c r="AD90" t="s">
        <v>146</v>
      </c>
      <c r="AE90" t="s">
        <v>135</v>
      </c>
      <c r="AF90" t="s">
        <v>96</v>
      </c>
      <c r="AG90" t="str">
        <f t="shared" si="1"/>
        <v>Recorrente</v>
      </c>
      <c r="AH90" t="str">
        <f>IF(AND(SUMIF(E:E,E90,I:I)&gt;=400000,Q90="B2G"),"n","")</f>
        <v/>
      </c>
    </row>
    <row r="91" spans="1:34">
      <c r="A91">
        <v>2026</v>
      </c>
      <c r="B91">
        <v>1</v>
      </c>
      <c r="C91" s="83">
        <v>124900305416</v>
      </c>
      <c r="D91" t="s">
        <v>194</v>
      </c>
      <c r="E91">
        <v>49245441880</v>
      </c>
      <c r="F91">
        <v>327927</v>
      </c>
      <c r="G91">
        <v>47441443891</v>
      </c>
      <c r="H91" t="s">
        <v>35</v>
      </c>
      <c r="I91" s="36">
        <v>4130.16</v>
      </c>
      <c r="J91" s="36">
        <v>4130.16</v>
      </c>
      <c r="K91" s="85">
        <v>0</v>
      </c>
      <c r="L91" s="36">
        <v>344.18</v>
      </c>
      <c r="M91" s="36">
        <v>0</v>
      </c>
      <c r="N91" s="36">
        <v>50.88</v>
      </c>
      <c r="O91" s="36">
        <v>293.3</v>
      </c>
      <c r="P91" t="s">
        <v>133</v>
      </c>
      <c r="Q91" t="s">
        <v>111</v>
      </c>
      <c r="R91" t="s">
        <v>111</v>
      </c>
      <c r="S91" s="1">
        <v>46014</v>
      </c>
      <c r="T91" s="1">
        <v>46023</v>
      </c>
      <c r="U91" s="1">
        <v>46016</v>
      </c>
      <c r="V91" s="1">
        <v>46381</v>
      </c>
      <c r="W91" t="s">
        <v>38</v>
      </c>
      <c r="X91">
        <v>12</v>
      </c>
      <c r="Y91" t="s">
        <v>49</v>
      </c>
      <c r="Z91" t="s">
        <v>81</v>
      </c>
      <c r="AA91" t="s">
        <v>112</v>
      </c>
      <c r="AB91">
        <v>12</v>
      </c>
      <c r="AC91" t="s">
        <v>113</v>
      </c>
      <c r="AD91" t="s">
        <v>174</v>
      </c>
      <c r="AE91" t="s">
        <v>43</v>
      </c>
      <c r="AF91" t="s">
        <v>47</v>
      </c>
      <c r="AG91" t="str">
        <f t="shared" si="1"/>
        <v>CC 12x</v>
      </c>
      <c r="AH91" t="str">
        <f>IF(AND(SUMIF(E:E,E91,I:I)&gt;=400000,Q91="B2G"),"n","")</f>
        <v/>
      </c>
    </row>
    <row r="92" spans="1:34">
      <c r="A92">
        <v>2026</v>
      </c>
      <c r="B92">
        <v>1</v>
      </c>
      <c r="C92" s="83">
        <v>19435513456</v>
      </c>
      <c r="D92" t="s">
        <v>195</v>
      </c>
      <c r="E92">
        <v>49300130605</v>
      </c>
      <c r="F92">
        <v>302281</v>
      </c>
      <c r="G92">
        <v>46066383414</v>
      </c>
      <c r="H92" t="s">
        <v>35</v>
      </c>
      <c r="I92" s="36">
        <v>7488.36</v>
      </c>
      <c r="J92" s="36">
        <v>7488.36</v>
      </c>
      <c r="K92" s="85">
        <v>0</v>
      </c>
      <c r="L92" s="36">
        <v>624.03</v>
      </c>
      <c r="M92" s="36">
        <v>0</v>
      </c>
      <c r="N92" s="36">
        <v>124.2</v>
      </c>
      <c r="O92" s="36">
        <v>499.83499999999998</v>
      </c>
      <c r="P92" t="s">
        <v>127</v>
      </c>
      <c r="Q92" t="s">
        <v>111</v>
      </c>
      <c r="R92" t="s">
        <v>111</v>
      </c>
      <c r="S92" s="1">
        <v>45992</v>
      </c>
      <c r="T92" s="1">
        <v>46023</v>
      </c>
      <c r="U92" s="1">
        <v>46007</v>
      </c>
      <c r="V92" s="1">
        <v>46372</v>
      </c>
      <c r="W92" t="s">
        <v>38</v>
      </c>
      <c r="X92">
        <v>12</v>
      </c>
      <c r="Y92" t="s">
        <v>49</v>
      </c>
      <c r="Z92" t="s">
        <v>81</v>
      </c>
      <c r="AA92" t="s">
        <v>112</v>
      </c>
      <c r="AB92">
        <v>12</v>
      </c>
      <c r="AC92" t="s">
        <v>113</v>
      </c>
      <c r="AD92" t="s">
        <v>125</v>
      </c>
      <c r="AE92" t="s">
        <v>43</v>
      </c>
      <c r="AF92" t="s">
        <v>47</v>
      </c>
      <c r="AG92" t="str">
        <f t="shared" si="1"/>
        <v>CC 12x</v>
      </c>
      <c r="AH92" t="str">
        <f>IF(AND(SUMIF(E:E,E92,I:I)&gt;=400000,Q92="B2G"),"n","")</f>
        <v/>
      </c>
    </row>
    <row r="93" spans="1:34">
      <c r="A93">
        <v>2026</v>
      </c>
      <c r="B93">
        <v>1</v>
      </c>
      <c r="C93" s="83">
        <v>19435513456</v>
      </c>
      <c r="D93" t="s">
        <v>195</v>
      </c>
      <c r="E93">
        <v>49300130605</v>
      </c>
      <c r="F93">
        <v>302281</v>
      </c>
      <c r="G93">
        <v>46066383415</v>
      </c>
      <c r="H93" t="s">
        <v>35</v>
      </c>
      <c r="I93" s="36">
        <v>7488.36</v>
      </c>
      <c r="J93" s="36">
        <v>7488.36</v>
      </c>
      <c r="K93" s="85">
        <v>0</v>
      </c>
      <c r="L93" s="36">
        <v>624.03</v>
      </c>
      <c r="M93" s="36">
        <v>0</v>
      </c>
      <c r="N93" s="36">
        <v>124.2</v>
      </c>
      <c r="O93" s="36">
        <v>499.83499999999998</v>
      </c>
      <c r="P93" t="s">
        <v>127</v>
      </c>
      <c r="Q93" t="s">
        <v>111</v>
      </c>
      <c r="R93" t="s">
        <v>111</v>
      </c>
      <c r="S93" s="1">
        <v>45992</v>
      </c>
      <c r="T93" s="1">
        <v>46023</v>
      </c>
      <c r="U93" s="1">
        <v>46007</v>
      </c>
      <c r="V93" s="1">
        <v>46372</v>
      </c>
      <c r="W93" t="s">
        <v>38</v>
      </c>
      <c r="X93">
        <v>12</v>
      </c>
      <c r="Y93" t="s">
        <v>49</v>
      </c>
      <c r="Z93" t="s">
        <v>81</v>
      </c>
      <c r="AA93" t="s">
        <v>112</v>
      </c>
      <c r="AB93">
        <v>12</v>
      </c>
      <c r="AC93" t="s">
        <v>113</v>
      </c>
      <c r="AD93" t="s">
        <v>154</v>
      </c>
      <c r="AE93" t="s">
        <v>46</v>
      </c>
      <c r="AF93" t="s">
        <v>47</v>
      </c>
      <c r="AG93" t="str">
        <f t="shared" si="1"/>
        <v>CC 12x</v>
      </c>
      <c r="AH93" t="str">
        <f>IF(AND(SUMIF(E:E,E93,I:I)&gt;=400000,Q93="B2G"),"n","")</f>
        <v/>
      </c>
    </row>
    <row r="94" spans="1:34">
      <c r="A94">
        <v>2026</v>
      </c>
      <c r="B94">
        <v>1</v>
      </c>
      <c r="C94" s="83">
        <v>179742877269</v>
      </c>
      <c r="D94" t="s">
        <v>196</v>
      </c>
      <c r="E94">
        <v>49420767314</v>
      </c>
      <c r="F94">
        <v>503652</v>
      </c>
      <c r="G94">
        <v>45835228596</v>
      </c>
      <c r="H94" t="s">
        <v>35</v>
      </c>
      <c r="I94" s="36">
        <v>3883.92</v>
      </c>
      <c r="J94" s="36">
        <v>3883.92</v>
      </c>
      <c r="K94" s="85">
        <v>0</v>
      </c>
      <c r="L94" s="36">
        <v>323.66000000000003</v>
      </c>
      <c r="M94" s="36">
        <v>0</v>
      </c>
      <c r="N94" s="36">
        <v>54.25</v>
      </c>
      <c r="O94" s="36">
        <v>269.41000000000003</v>
      </c>
      <c r="P94" t="s">
        <v>137</v>
      </c>
      <c r="Q94" t="s">
        <v>111</v>
      </c>
      <c r="R94" t="s">
        <v>111</v>
      </c>
      <c r="S94" s="1">
        <v>45988</v>
      </c>
      <c r="T94" s="1">
        <v>46023</v>
      </c>
      <c r="U94" s="1">
        <v>45992</v>
      </c>
      <c r="V94" s="1">
        <v>46357</v>
      </c>
      <c r="W94" t="s">
        <v>38</v>
      </c>
      <c r="X94">
        <v>12</v>
      </c>
      <c r="Y94" t="s">
        <v>49</v>
      </c>
      <c r="Z94" t="s">
        <v>81</v>
      </c>
      <c r="AA94" t="s">
        <v>117</v>
      </c>
      <c r="AB94">
        <v>1</v>
      </c>
      <c r="AC94" t="s">
        <v>113</v>
      </c>
      <c r="AD94" t="s">
        <v>85</v>
      </c>
      <c r="AE94" t="s">
        <v>46</v>
      </c>
      <c r="AF94" t="s">
        <v>44</v>
      </c>
      <c r="AG94" t="str">
        <f t="shared" si="1"/>
        <v>À Vista</v>
      </c>
      <c r="AH94" t="str">
        <f>IF(AND(SUMIF(E:E,E94,I:I)&gt;=400000,Q94="B2G"),"n","")</f>
        <v/>
      </c>
    </row>
    <row r="95" spans="1:34">
      <c r="A95">
        <v>2026</v>
      </c>
      <c r="B95">
        <v>1</v>
      </c>
      <c r="C95" s="83">
        <v>19435672491</v>
      </c>
      <c r="D95" t="s">
        <v>197</v>
      </c>
      <c r="E95">
        <v>49470339849</v>
      </c>
      <c r="F95">
        <v>606799</v>
      </c>
      <c r="G95">
        <v>44748072560</v>
      </c>
      <c r="H95" t="s">
        <v>35</v>
      </c>
      <c r="I95" s="36">
        <v>4962.6000000000004</v>
      </c>
      <c r="J95" s="36">
        <v>0</v>
      </c>
      <c r="K95" s="85">
        <v>4962.6000000000004</v>
      </c>
      <c r="L95" s="36">
        <v>0</v>
      </c>
      <c r="M95" s="36">
        <v>0</v>
      </c>
      <c r="N95" s="36">
        <v>0</v>
      </c>
      <c r="O95" s="36">
        <v>0</v>
      </c>
      <c r="P95" t="s">
        <v>198</v>
      </c>
      <c r="Q95" t="s">
        <v>166</v>
      </c>
      <c r="R95" t="s">
        <v>166</v>
      </c>
      <c r="S95" s="1">
        <v>46024</v>
      </c>
      <c r="T95" s="1">
        <v>46024</v>
      </c>
      <c r="U95" s="1">
        <v>46024</v>
      </c>
      <c r="V95" s="1">
        <v>46389</v>
      </c>
      <c r="W95" t="s">
        <v>38</v>
      </c>
      <c r="X95">
        <v>12</v>
      </c>
      <c r="Y95" t="s">
        <v>49</v>
      </c>
      <c r="Z95" t="s">
        <v>81</v>
      </c>
      <c r="AA95" t="s">
        <v>122</v>
      </c>
      <c r="AB95">
        <v>12</v>
      </c>
      <c r="AC95" t="s">
        <v>166</v>
      </c>
      <c r="AD95" t="s">
        <v>138</v>
      </c>
      <c r="AE95" t="s">
        <v>135</v>
      </c>
      <c r="AF95" t="s">
        <v>119</v>
      </c>
      <c r="AG95" t="str">
        <f t="shared" si="1"/>
        <v>Recorrente</v>
      </c>
      <c r="AH95" t="str">
        <f>IF(AND(SUMIF(E:E,E95,I:I)&gt;=400000,Q95="B2G"),"n","")</f>
        <v/>
      </c>
    </row>
    <row r="96" spans="1:34">
      <c r="A96">
        <v>2026</v>
      </c>
      <c r="B96">
        <v>1</v>
      </c>
      <c r="C96" s="83">
        <v>2085460</v>
      </c>
      <c r="D96" t="s">
        <v>199</v>
      </c>
      <c r="E96">
        <v>49471270441</v>
      </c>
      <c r="F96">
        <v>328111</v>
      </c>
      <c r="G96">
        <v>44804494186</v>
      </c>
      <c r="H96" t="s">
        <v>35</v>
      </c>
      <c r="I96" s="36">
        <v>7015.44</v>
      </c>
      <c r="J96" s="36">
        <v>7015.44</v>
      </c>
      <c r="K96" s="85">
        <v>0</v>
      </c>
      <c r="L96" s="36">
        <v>584.62</v>
      </c>
      <c r="M96" s="36">
        <v>0</v>
      </c>
      <c r="N96" s="36">
        <v>143.38</v>
      </c>
      <c r="O96" s="36">
        <v>441.25</v>
      </c>
      <c r="P96" t="s">
        <v>165</v>
      </c>
      <c r="Q96" t="s">
        <v>166</v>
      </c>
      <c r="R96" t="s">
        <v>166</v>
      </c>
      <c r="S96" s="1">
        <v>46024</v>
      </c>
      <c r="T96" s="1">
        <v>46024</v>
      </c>
      <c r="U96" s="1">
        <v>46024</v>
      </c>
      <c r="V96" s="1">
        <v>46389</v>
      </c>
      <c r="W96" t="s">
        <v>38</v>
      </c>
      <c r="X96">
        <v>12</v>
      </c>
      <c r="Y96" t="s">
        <v>49</v>
      </c>
      <c r="Z96" t="s">
        <v>81</v>
      </c>
      <c r="AA96" t="s">
        <v>112</v>
      </c>
      <c r="AB96">
        <v>12</v>
      </c>
      <c r="AC96" t="s">
        <v>166</v>
      </c>
      <c r="AD96" t="s">
        <v>134</v>
      </c>
      <c r="AE96" t="s">
        <v>135</v>
      </c>
      <c r="AF96" t="s">
        <v>44</v>
      </c>
      <c r="AG96" t="str">
        <f t="shared" si="1"/>
        <v>CC 12x</v>
      </c>
      <c r="AH96" t="str">
        <f>IF(AND(SUMIF(E:E,E96,I:I)&gt;=400000,Q96="B2G"),"n","")</f>
        <v/>
      </c>
    </row>
    <row r="97" spans="1:34">
      <c r="A97">
        <v>2026</v>
      </c>
      <c r="B97">
        <v>1</v>
      </c>
      <c r="C97" s="83">
        <v>139487682306</v>
      </c>
      <c r="D97" t="s">
        <v>200</v>
      </c>
      <c r="E97">
        <v>49473514881</v>
      </c>
      <c r="F97">
        <v>625250</v>
      </c>
      <c r="G97">
        <v>44739285516</v>
      </c>
      <c r="H97" t="s">
        <v>35</v>
      </c>
      <c r="I97" s="36">
        <v>4962.6000000000004</v>
      </c>
      <c r="J97" s="36">
        <v>4962.6000000000004</v>
      </c>
      <c r="K97" s="85">
        <v>0</v>
      </c>
      <c r="L97" s="36">
        <v>413.55</v>
      </c>
      <c r="M97" s="36">
        <v>0</v>
      </c>
      <c r="N97" s="36">
        <v>48.47</v>
      </c>
      <c r="O97" s="36">
        <v>365.08</v>
      </c>
      <c r="P97" t="s">
        <v>165</v>
      </c>
      <c r="Q97" t="s">
        <v>166</v>
      </c>
      <c r="R97" t="s">
        <v>166</v>
      </c>
      <c r="S97" s="1">
        <v>46025</v>
      </c>
      <c r="T97" s="1">
        <v>46025</v>
      </c>
      <c r="U97" s="1">
        <v>46025</v>
      </c>
      <c r="V97" s="1">
        <v>46390</v>
      </c>
      <c r="W97" t="s">
        <v>38</v>
      </c>
      <c r="X97">
        <v>12</v>
      </c>
      <c r="Y97" t="s">
        <v>49</v>
      </c>
      <c r="Z97" t="s">
        <v>81</v>
      </c>
      <c r="AA97" t="s">
        <v>122</v>
      </c>
      <c r="AB97">
        <v>12</v>
      </c>
      <c r="AC97" t="s">
        <v>166</v>
      </c>
      <c r="AD97" t="s">
        <v>138</v>
      </c>
      <c r="AE97" t="s">
        <v>135</v>
      </c>
      <c r="AF97" t="s">
        <v>119</v>
      </c>
      <c r="AG97" t="str">
        <f t="shared" si="1"/>
        <v>Recorrente</v>
      </c>
      <c r="AH97" t="str">
        <f>IF(AND(SUMIF(E:E,E97,I:I)&gt;=400000,Q97="B2G"),"n","")</f>
        <v/>
      </c>
    </row>
    <row r="98" spans="1:34">
      <c r="A98">
        <v>2026</v>
      </c>
      <c r="B98">
        <v>1</v>
      </c>
      <c r="C98" s="83">
        <v>2139371</v>
      </c>
      <c r="D98" t="s">
        <v>201</v>
      </c>
      <c r="E98">
        <v>49474676482</v>
      </c>
      <c r="F98">
        <v>625232</v>
      </c>
      <c r="G98">
        <v>44811378517</v>
      </c>
      <c r="H98" t="s">
        <v>35</v>
      </c>
      <c r="I98" s="36">
        <v>2874</v>
      </c>
      <c r="J98" s="36">
        <v>2874</v>
      </c>
      <c r="K98" s="85">
        <v>0</v>
      </c>
      <c r="L98" s="36">
        <v>239.5</v>
      </c>
      <c r="M98" s="36">
        <v>0</v>
      </c>
      <c r="N98" s="36">
        <v>36.35</v>
      </c>
      <c r="O98" s="36">
        <v>203.15</v>
      </c>
      <c r="P98" t="s">
        <v>165</v>
      </c>
      <c r="Q98" t="s">
        <v>166</v>
      </c>
      <c r="R98" t="s">
        <v>166</v>
      </c>
      <c r="S98" s="1">
        <v>46024</v>
      </c>
      <c r="T98" s="1">
        <v>46024</v>
      </c>
      <c r="U98" s="1">
        <v>46024</v>
      </c>
      <c r="V98" s="1">
        <v>46389</v>
      </c>
      <c r="W98" t="s">
        <v>38</v>
      </c>
      <c r="X98">
        <v>12</v>
      </c>
      <c r="Y98" t="s">
        <v>49</v>
      </c>
      <c r="Z98" t="s">
        <v>81</v>
      </c>
      <c r="AA98" t="s">
        <v>122</v>
      </c>
      <c r="AB98">
        <v>12</v>
      </c>
      <c r="AC98" t="s">
        <v>166</v>
      </c>
      <c r="AD98" t="s">
        <v>140</v>
      </c>
      <c r="AE98" t="s">
        <v>46</v>
      </c>
      <c r="AF98" t="s">
        <v>119</v>
      </c>
      <c r="AG98" t="str">
        <f t="shared" si="1"/>
        <v>Recorrente</v>
      </c>
      <c r="AH98" t="str">
        <f>IF(AND(SUMIF(E:E,E98,I:I)&gt;=400000,Q98="B2G"),"n","")</f>
        <v/>
      </c>
    </row>
    <row r="99" spans="1:34">
      <c r="A99">
        <v>2026</v>
      </c>
      <c r="B99">
        <v>1</v>
      </c>
      <c r="C99" s="83">
        <v>2078240</v>
      </c>
      <c r="D99" t="s">
        <v>202</v>
      </c>
      <c r="E99">
        <v>49481946676</v>
      </c>
      <c r="F99">
        <v>625231</v>
      </c>
      <c r="G99">
        <v>44753333607</v>
      </c>
      <c r="H99" t="s">
        <v>35</v>
      </c>
      <c r="I99" s="36">
        <v>5754</v>
      </c>
      <c r="J99" s="36">
        <v>5754</v>
      </c>
      <c r="K99" s="85">
        <v>0</v>
      </c>
      <c r="L99" s="36">
        <v>479.5</v>
      </c>
      <c r="M99" s="36">
        <v>0</v>
      </c>
      <c r="N99" s="36">
        <v>30.5</v>
      </c>
      <c r="O99" s="36">
        <v>449</v>
      </c>
      <c r="P99" t="s">
        <v>165</v>
      </c>
      <c r="Q99" t="s">
        <v>166</v>
      </c>
      <c r="R99" t="s">
        <v>166</v>
      </c>
      <c r="S99" s="1">
        <v>46024</v>
      </c>
      <c r="T99" s="1">
        <v>46024</v>
      </c>
      <c r="U99" s="1">
        <v>46024</v>
      </c>
      <c r="V99" s="1">
        <v>46389</v>
      </c>
      <c r="W99" t="s">
        <v>38</v>
      </c>
      <c r="X99">
        <v>12</v>
      </c>
      <c r="Y99" t="s">
        <v>49</v>
      </c>
      <c r="Z99" t="s">
        <v>81</v>
      </c>
      <c r="AA99" t="s">
        <v>122</v>
      </c>
      <c r="AB99">
        <v>12</v>
      </c>
      <c r="AC99" t="s">
        <v>166</v>
      </c>
      <c r="AD99" t="s">
        <v>85</v>
      </c>
      <c r="AE99" t="s">
        <v>46</v>
      </c>
      <c r="AF99" t="s">
        <v>44</v>
      </c>
      <c r="AG99" t="str">
        <f t="shared" si="1"/>
        <v>Recorrente</v>
      </c>
      <c r="AH99" t="str">
        <f>IF(AND(SUMIF(E:E,E99,I:I)&gt;=400000,Q99="B2G"),"n","")</f>
        <v/>
      </c>
    </row>
    <row r="100" spans="1:34">
      <c r="A100">
        <v>2026</v>
      </c>
      <c r="B100">
        <v>1</v>
      </c>
      <c r="C100" s="83">
        <v>179716889471</v>
      </c>
      <c r="D100" t="s">
        <v>203</v>
      </c>
      <c r="E100">
        <v>49541964809</v>
      </c>
      <c r="F100">
        <v>274113</v>
      </c>
      <c r="G100">
        <v>45846618224</v>
      </c>
      <c r="H100" t="s">
        <v>35</v>
      </c>
      <c r="I100" s="36">
        <v>4190.6400000000003</v>
      </c>
      <c r="J100" s="36">
        <v>4190.6400000000003</v>
      </c>
      <c r="K100" s="85">
        <v>0</v>
      </c>
      <c r="L100" s="36">
        <v>349.22</v>
      </c>
      <c r="M100" s="36">
        <v>0</v>
      </c>
      <c r="N100" s="36">
        <v>94.22</v>
      </c>
      <c r="O100" s="36">
        <v>255</v>
      </c>
      <c r="P100" t="s">
        <v>133</v>
      </c>
      <c r="Q100" t="s">
        <v>111</v>
      </c>
      <c r="R100" t="s">
        <v>111</v>
      </c>
      <c r="S100" s="1">
        <v>45990</v>
      </c>
      <c r="T100" s="1">
        <v>46023</v>
      </c>
      <c r="U100" s="1">
        <v>46021</v>
      </c>
      <c r="V100" s="1">
        <v>46386</v>
      </c>
      <c r="W100" t="s">
        <v>38</v>
      </c>
      <c r="X100">
        <v>12</v>
      </c>
      <c r="Y100" t="s">
        <v>49</v>
      </c>
      <c r="Z100" t="s">
        <v>76</v>
      </c>
      <c r="AA100" t="s">
        <v>122</v>
      </c>
      <c r="AB100">
        <v>12</v>
      </c>
      <c r="AC100" t="s">
        <v>113</v>
      </c>
      <c r="AD100" t="s">
        <v>138</v>
      </c>
      <c r="AE100" t="s">
        <v>135</v>
      </c>
      <c r="AF100" t="s">
        <v>119</v>
      </c>
      <c r="AG100" t="str">
        <f t="shared" si="1"/>
        <v>Recorrente</v>
      </c>
      <c r="AH100" t="str">
        <f>IF(AND(SUMIF(E:E,E100,I:I)&gt;=400000,Q100="B2G"),"n","")</f>
        <v/>
      </c>
    </row>
    <row r="101" spans="1:34">
      <c r="A101">
        <v>2026</v>
      </c>
      <c r="B101">
        <v>1</v>
      </c>
      <c r="C101" s="83">
        <v>19485978015</v>
      </c>
      <c r="D101" t="s">
        <v>204</v>
      </c>
      <c r="E101">
        <v>49595233908</v>
      </c>
      <c r="F101">
        <v>624976</v>
      </c>
      <c r="G101">
        <v>44916512907</v>
      </c>
      <c r="H101" t="s">
        <v>35</v>
      </c>
      <c r="I101" s="36">
        <v>14043.24</v>
      </c>
      <c r="J101" s="36">
        <v>4681.08</v>
      </c>
      <c r="K101" s="85">
        <v>9362.16</v>
      </c>
      <c r="L101" s="36">
        <v>390.09</v>
      </c>
      <c r="M101" s="36">
        <v>0</v>
      </c>
      <c r="N101" s="36">
        <v>227.52</v>
      </c>
      <c r="O101" s="36">
        <v>162.57</v>
      </c>
      <c r="P101" t="s">
        <v>116</v>
      </c>
      <c r="Q101" t="s">
        <v>111</v>
      </c>
      <c r="R101" t="s">
        <v>111</v>
      </c>
      <c r="S101" s="1">
        <v>45980</v>
      </c>
      <c r="T101" s="1">
        <v>46023</v>
      </c>
      <c r="U101" s="1">
        <v>46008</v>
      </c>
      <c r="V101" s="1">
        <v>47104</v>
      </c>
      <c r="W101" t="s">
        <v>102</v>
      </c>
      <c r="X101">
        <v>36</v>
      </c>
      <c r="Y101" t="s">
        <v>49</v>
      </c>
      <c r="Z101" t="s">
        <v>81</v>
      </c>
      <c r="AA101" t="s">
        <v>122</v>
      </c>
      <c r="AB101">
        <v>36</v>
      </c>
      <c r="AC101" t="s">
        <v>113</v>
      </c>
      <c r="AD101" t="s">
        <v>174</v>
      </c>
      <c r="AE101" t="s">
        <v>43</v>
      </c>
      <c r="AF101" t="s">
        <v>47</v>
      </c>
      <c r="AG101" t="str">
        <f t="shared" si="1"/>
        <v>Recorrente</v>
      </c>
      <c r="AH101" t="str">
        <f>IF(AND(SUMIF(E:E,E101,I:I)&gt;=400000,Q101="B2G"),"n","")</f>
        <v/>
      </c>
    </row>
    <row r="102" spans="1:34">
      <c r="A102">
        <v>2026</v>
      </c>
      <c r="B102">
        <v>1</v>
      </c>
      <c r="C102" s="83">
        <v>19485978015</v>
      </c>
      <c r="D102" t="s">
        <v>204</v>
      </c>
      <c r="E102">
        <v>49595233908</v>
      </c>
      <c r="F102">
        <v>624976</v>
      </c>
      <c r="G102">
        <v>44916512909</v>
      </c>
      <c r="H102" t="s">
        <v>35</v>
      </c>
      <c r="I102" s="36">
        <v>14043.24</v>
      </c>
      <c r="J102" s="36">
        <v>4681.08</v>
      </c>
      <c r="K102" s="85">
        <v>9362.16</v>
      </c>
      <c r="L102" s="36">
        <v>390.09</v>
      </c>
      <c r="M102" s="36">
        <v>0</v>
      </c>
      <c r="N102" s="36">
        <v>227.52</v>
      </c>
      <c r="O102" s="36">
        <v>162.57</v>
      </c>
      <c r="P102" t="s">
        <v>116</v>
      </c>
      <c r="Q102" t="s">
        <v>111</v>
      </c>
      <c r="R102" t="s">
        <v>111</v>
      </c>
      <c r="S102" s="1">
        <v>45980</v>
      </c>
      <c r="T102" s="1">
        <v>46023</v>
      </c>
      <c r="U102" s="1">
        <v>46008</v>
      </c>
      <c r="V102" s="1">
        <v>47104</v>
      </c>
      <c r="W102" t="s">
        <v>102</v>
      </c>
      <c r="X102">
        <v>36</v>
      </c>
      <c r="Y102" t="s">
        <v>49</v>
      </c>
      <c r="Z102" t="s">
        <v>81</v>
      </c>
      <c r="AA102" t="s">
        <v>122</v>
      </c>
      <c r="AB102">
        <v>36</v>
      </c>
      <c r="AC102" t="s">
        <v>113</v>
      </c>
      <c r="AD102" t="s">
        <v>158</v>
      </c>
      <c r="AE102" t="s">
        <v>43</v>
      </c>
      <c r="AF102" t="s">
        <v>47</v>
      </c>
      <c r="AG102" t="str">
        <f t="shared" si="1"/>
        <v>Recorrente</v>
      </c>
      <c r="AH102" t="str">
        <f>IF(AND(SUMIF(E:E,E102,I:I)&gt;=400000,Q102="B2G"),"n","")</f>
        <v/>
      </c>
    </row>
    <row r="103" spans="1:34">
      <c r="A103">
        <v>2026</v>
      </c>
      <c r="B103">
        <v>1</v>
      </c>
      <c r="C103" s="83">
        <v>2112260</v>
      </c>
      <c r="D103" t="s">
        <v>205</v>
      </c>
      <c r="E103">
        <v>49620757566</v>
      </c>
      <c r="F103">
        <v>606877</v>
      </c>
      <c r="G103">
        <v>44739643679</v>
      </c>
      <c r="H103" t="s">
        <v>35</v>
      </c>
      <c r="I103" s="36">
        <v>2586.6</v>
      </c>
      <c r="J103" s="36">
        <v>2586.6</v>
      </c>
      <c r="K103" s="85">
        <v>0</v>
      </c>
      <c r="L103" s="36">
        <v>215.55</v>
      </c>
      <c r="M103" s="36">
        <v>0</v>
      </c>
      <c r="N103" s="36">
        <v>16.09</v>
      </c>
      <c r="O103" s="36">
        <v>199.46</v>
      </c>
      <c r="P103" t="s">
        <v>165</v>
      </c>
      <c r="Q103" t="s">
        <v>166</v>
      </c>
      <c r="R103" t="s">
        <v>166</v>
      </c>
      <c r="S103" s="1">
        <v>46026</v>
      </c>
      <c r="T103" s="1">
        <v>46026</v>
      </c>
      <c r="U103" s="1">
        <v>46026</v>
      </c>
      <c r="V103" s="1">
        <v>46391</v>
      </c>
      <c r="W103" t="s">
        <v>38</v>
      </c>
      <c r="X103">
        <v>12</v>
      </c>
      <c r="Y103" t="s">
        <v>49</v>
      </c>
      <c r="Z103" t="s">
        <v>81</v>
      </c>
      <c r="AA103" t="s">
        <v>112</v>
      </c>
      <c r="AB103">
        <v>12</v>
      </c>
      <c r="AC103" t="s">
        <v>166</v>
      </c>
      <c r="AD103" t="s">
        <v>140</v>
      </c>
      <c r="AE103" t="s">
        <v>46</v>
      </c>
      <c r="AF103" t="s">
        <v>119</v>
      </c>
      <c r="AG103" t="str">
        <f t="shared" si="1"/>
        <v>CC 12x</v>
      </c>
      <c r="AH103" t="str">
        <f>IF(AND(SUMIF(E:E,E103,I:I)&gt;=400000,Q103="B2G"),"n","")</f>
        <v/>
      </c>
    </row>
    <row r="104" spans="1:34">
      <c r="A104">
        <v>2026</v>
      </c>
      <c r="B104">
        <v>1</v>
      </c>
      <c r="C104" s="83">
        <v>2100505</v>
      </c>
      <c r="D104" t="s">
        <v>206</v>
      </c>
      <c r="E104">
        <v>49638908289</v>
      </c>
      <c r="F104">
        <v>606881</v>
      </c>
      <c r="G104">
        <v>44745853586</v>
      </c>
      <c r="H104" t="s">
        <v>35</v>
      </c>
      <c r="I104" s="36">
        <v>2874</v>
      </c>
      <c r="J104" s="36">
        <v>2874</v>
      </c>
      <c r="K104" s="85">
        <v>0</v>
      </c>
      <c r="L104" s="36">
        <v>239.5</v>
      </c>
      <c r="M104" s="36">
        <v>0</v>
      </c>
      <c r="N104" s="36">
        <v>24.4</v>
      </c>
      <c r="O104" s="36">
        <v>215.1</v>
      </c>
      <c r="P104" t="s">
        <v>165</v>
      </c>
      <c r="Q104" t="s">
        <v>166</v>
      </c>
      <c r="R104" t="s">
        <v>166</v>
      </c>
      <c r="S104" s="1">
        <v>46026</v>
      </c>
      <c r="T104" s="1">
        <v>46026</v>
      </c>
      <c r="U104" s="1">
        <v>46026</v>
      </c>
      <c r="V104" s="1">
        <v>46391</v>
      </c>
      <c r="W104" t="s">
        <v>38</v>
      </c>
      <c r="X104">
        <v>12</v>
      </c>
      <c r="Y104" t="s">
        <v>49</v>
      </c>
      <c r="Z104" t="s">
        <v>81</v>
      </c>
      <c r="AA104" t="s">
        <v>112</v>
      </c>
      <c r="AB104">
        <v>12</v>
      </c>
      <c r="AC104" t="s">
        <v>166</v>
      </c>
      <c r="AD104" t="s">
        <v>140</v>
      </c>
      <c r="AE104" t="s">
        <v>46</v>
      </c>
      <c r="AF104" t="s">
        <v>119</v>
      </c>
      <c r="AG104" t="str">
        <f t="shared" si="1"/>
        <v>CC 12x</v>
      </c>
      <c r="AH104" t="str">
        <f>IF(AND(SUMIF(E:E,E104,I:I)&gt;=400000,Q104="B2G"),"n","")</f>
        <v/>
      </c>
    </row>
    <row r="105" spans="1:34">
      <c r="A105">
        <v>2026</v>
      </c>
      <c r="B105">
        <v>1</v>
      </c>
      <c r="C105" s="83">
        <v>2069511</v>
      </c>
      <c r="D105" t="s">
        <v>207</v>
      </c>
      <c r="E105">
        <v>49646633517</v>
      </c>
      <c r="F105">
        <v>602392</v>
      </c>
      <c r="G105">
        <v>47981240424</v>
      </c>
      <c r="H105" t="s">
        <v>35</v>
      </c>
      <c r="I105" s="36">
        <v>5436</v>
      </c>
      <c r="J105" s="36">
        <v>5436</v>
      </c>
      <c r="K105" s="85">
        <v>0</v>
      </c>
      <c r="L105" s="36">
        <v>453</v>
      </c>
      <c r="M105" s="36">
        <v>0</v>
      </c>
      <c r="N105" s="36">
        <v>71.34</v>
      </c>
      <c r="O105" s="36">
        <v>381.66</v>
      </c>
      <c r="P105" t="s">
        <v>110</v>
      </c>
      <c r="Q105" t="s">
        <v>111</v>
      </c>
      <c r="R105" t="s">
        <v>111</v>
      </c>
      <c r="S105" s="1">
        <v>46020</v>
      </c>
      <c r="T105" s="1">
        <v>46023</v>
      </c>
      <c r="U105" s="1">
        <v>45997</v>
      </c>
      <c r="V105" s="1">
        <v>46385</v>
      </c>
      <c r="W105" t="s">
        <v>38</v>
      </c>
      <c r="X105">
        <v>12</v>
      </c>
      <c r="Y105" t="s">
        <v>49</v>
      </c>
      <c r="Z105" t="s">
        <v>81</v>
      </c>
      <c r="AA105" t="s">
        <v>122</v>
      </c>
      <c r="AB105">
        <v>12</v>
      </c>
      <c r="AC105" t="s">
        <v>113</v>
      </c>
      <c r="AD105" t="s">
        <v>85</v>
      </c>
      <c r="AE105" t="s">
        <v>46</v>
      </c>
      <c r="AF105" t="s">
        <v>44</v>
      </c>
      <c r="AG105" t="str">
        <f t="shared" si="1"/>
        <v>Recorrente</v>
      </c>
      <c r="AH105" t="str">
        <f>IF(AND(SUMIF(E:E,E105,I:I)&gt;=400000,Q105="B2G"),"n","")</f>
        <v/>
      </c>
    </row>
    <row r="106" spans="1:34">
      <c r="A106">
        <v>2026</v>
      </c>
      <c r="B106">
        <v>1</v>
      </c>
      <c r="C106" s="83">
        <v>19485536785</v>
      </c>
      <c r="D106" t="s">
        <v>208</v>
      </c>
      <c r="E106">
        <v>49646687504</v>
      </c>
      <c r="F106">
        <v>604317</v>
      </c>
      <c r="G106">
        <v>46665305704</v>
      </c>
      <c r="H106" t="s">
        <v>35</v>
      </c>
      <c r="I106" s="36">
        <v>5718.6</v>
      </c>
      <c r="J106" s="36">
        <v>5718.6</v>
      </c>
      <c r="K106" s="85">
        <v>0</v>
      </c>
      <c r="L106" s="36">
        <v>476.55</v>
      </c>
      <c r="M106" s="36">
        <v>0</v>
      </c>
      <c r="N106" s="36">
        <v>141.35</v>
      </c>
      <c r="O106" s="36">
        <v>335.2</v>
      </c>
      <c r="P106" t="s">
        <v>110</v>
      </c>
      <c r="Q106" t="s">
        <v>111</v>
      </c>
      <c r="R106" t="s">
        <v>111</v>
      </c>
      <c r="S106" s="1">
        <v>46000</v>
      </c>
      <c r="T106" s="1">
        <v>46023</v>
      </c>
      <c r="U106" s="1">
        <v>45997</v>
      </c>
      <c r="V106" s="1">
        <v>46365</v>
      </c>
      <c r="W106" t="s">
        <v>38</v>
      </c>
      <c r="X106">
        <v>12</v>
      </c>
      <c r="Y106" t="s">
        <v>49</v>
      </c>
      <c r="Z106" t="s">
        <v>81</v>
      </c>
      <c r="AA106" t="s">
        <v>40</v>
      </c>
      <c r="AB106">
        <v>1</v>
      </c>
      <c r="AC106" t="s">
        <v>113</v>
      </c>
      <c r="AD106" t="s">
        <v>174</v>
      </c>
      <c r="AE106" t="s">
        <v>43</v>
      </c>
      <c r="AF106" t="s">
        <v>47</v>
      </c>
      <c r="AG106" t="str">
        <f t="shared" si="1"/>
        <v>À Vista</v>
      </c>
      <c r="AH106" t="str">
        <f>IF(AND(SUMIF(E:E,E106,I:I)&gt;=400000,Q106="B2G"),"n","")</f>
        <v/>
      </c>
    </row>
    <row r="107" spans="1:34">
      <c r="A107">
        <v>2026</v>
      </c>
      <c r="B107">
        <v>1</v>
      </c>
      <c r="C107" s="83">
        <v>194424819282</v>
      </c>
      <c r="D107" t="s">
        <v>209</v>
      </c>
      <c r="E107">
        <v>49647705377</v>
      </c>
      <c r="F107">
        <v>504785</v>
      </c>
      <c r="G107">
        <v>44803192921</v>
      </c>
      <c r="H107" t="s">
        <v>35</v>
      </c>
      <c r="I107" s="36">
        <v>4530.6000000000004</v>
      </c>
      <c r="J107" s="36">
        <v>4530.6000000000004</v>
      </c>
      <c r="K107" s="85">
        <v>0</v>
      </c>
      <c r="L107" s="36">
        <v>377.55</v>
      </c>
      <c r="M107" s="36">
        <v>0</v>
      </c>
      <c r="N107" s="36">
        <v>123.3</v>
      </c>
      <c r="O107" s="36">
        <v>254.25</v>
      </c>
      <c r="P107" t="s">
        <v>165</v>
      </c>
      <c r="Q107" t="s">
        <v>166</v>
      </c>
      <c r="R107" t="s">
        <v>166</v>
      </c>
      <c r="S107" s="1">
        <v>46026</v>
      </c>
      <c r="T107" s="1">
        <v>46026</v>
      </c>
      <c r="U107" s="1">
        <v>46026</v>
      </c>
      <c r="V107" s="1">
        <v>46391</v>
      </c>
      <c r="W107" t="s">
        <v>38</v>
      </c>
      <c r="X107">
        <v>12</v>
      </c>
      <c r="Y107" t="s">
        <v>49</v>
      </c>
      <c r="Z107" t="s">
        <v>81</v>
      </c>
      <c r="AA107" t="s">
        <v>122</v>
      </c>
      <c r="AB107">
        <v>12</v>
      </c>
      <c r="AC107" t="s">
        <v>166</v>
      </c>
      <c r="AD107" t="s">
        <v>84</v>
      </c>
      <c r="AE107" t="s">
        <v>43</v>
      </c>
      <c r="AF107" t="s">
        <v>44</v>
      </c>
      <c r="AG107" t="str">
        <f t="shared" si="1"/>
        <v>Recorrente</v>
      </c>
      <c r="AH107" t="str">
        <f>IF(AND(SUMIF(E:E,E107,I:I)&gt;=400000,Q107="B2G"),"n","")</f>
        <v/>
      </c>
    </row>
    <row r="108" spans="1:34">
      <c r="A108">
        <v>2026</v>
      </c>
      <c r="B108">
        <v>1</v>
      </c>
      <c r="C108" s="83">
        <v>37563932281</v>
      </c>
      <c r="D108" t="s">
        <v>210</v>
      </c>
      <c r="E108">
        <v>49661480736</v>
      </c>
      <c r="F108">
        <v>606891</v>
      </c>
      <c r="G108">
        <v>44748020785</v>
      </c>
      <c r="H108" t="s">
        <v>35</v>
      </c>
      <c r="I108" s="36">
        <v>5754</v>
      </c>
      <c r="J108" s="36">
        <v>5754</v>
      </c>
      <c r="K108" s="85">
        <v>0</v>
      </c>
      <c r="L108" s="36">
        <v>479.5</v>
      </c>
      <c r="M108" s="36">
        <v>0</v>
      </c>
      <c r="N108" s="36">
        <v>120.25</v>
      </c>
      <c r="O108" s="36">
        <v>359.25</v>
      </c>
      <c r="P108" t="s">
        <v>165</v>
      </c>
      <c r="Q108" t="s">
        <v>166</v>
      </c>
      <c r="R108" t="s">
        <v>166</v>
      </c>
      <c r="S108" s="1">
        <v>45989</v>
      </c>
      <c r="T108" s="1">
        <v>46023</v>
      </c>
      <c r="U108" s="1">
        <v>46026</v>
      </c>
      <c r="V108" s="1">
        <v>46391</v>
      </c>
      <c r="W108" t="s">
        <v>38</v>
      </c>
      <c r="X108">
        <v>12</v>
      </c>
      <c r="Y108" t="s">
        <v>49</v>
      </c>
      <c r="Z108" t="s">
        <v>81</v>
      </c>
      <c r="AA108" t="s">
        <v>117</v>
      </c>
      <c r="AB108">
        <v>1</v>
      </c>
      <c r="AC108" t="s">
        <v>166</v>
      </c>
      <c r="AD108" t="s">
        <v>85</v>
      </c>
      <c r="AE108" t="s">
        <v>46</v>
      </c>
      <c r="AF108" t="s">
        <v>44</v>
      </c>
      <c r="AG108" t="str">
        <f t="shared" si="1"/>
        <v>À Vista</v>
      </c>
      <c r="AH108" t="str">
        <f>IF(AND(SUMIF(E:E,E108,I:I)&gt;=400000,Q108="B2G"),"n","")</f>
        <v/>
      </c>
    </row>
    <row r="109" spans="1:34">
      <c r="A109">
        <v>2026</v>
      </c>
      <c r="B109">
        <v>1</v>
      </c>
      <c r="C109" s="83">
        <v>152255882048</v>
      </c>
      <c r="D109" t="s">
        <v>211</v>
      </c>
      <c r="E109">
        <v>49661555753</v>
      </c>
      <c r="F109">
        <v>524230</v>
      </c>
      <c r="G109">
        <v>44934315378</v>
      </c>
      <c r="H109" t="s">
        <v>35</v>
      </c>
      <c r="I109" s="36">
        <v>5178.6000000000004</v>
      </c>
      <c r="J109" s="36">
        <v>5178.6000000000004</v>
      </c>
      <c r="K109" s="85">
        <v>0</v>
      </c>
      <c r="L109" s="36">
        <v>431.55</v>
      </c>
      <c r="M109" s="36">
        <v>0</v>
      </c>
      <c r="N109" s="36">
        <v>72.349999999999994</v>
      </c>
      <c r="O109" s="36">
        <v>359.2</v>
      </c>
      <c r="P109" t="s">
        <v>165</v>
      </c>
      <c r="Q109" t="s">
        <v>166</v>
      </c>
      <c r="R109" t="s">
        <v>166</v>
      </c>
      <c r="S109" s="1">
        <v>46026</v>
      </c>
      <c r="T109" s="1">
        <v>46026</v>
      </c>
      <c r="U109" s="1">
        <v>46026</v>
      </c>
      <c r="V109" s="1">
        <v>46391</v>
      </c>
      <c r="W109" t="s">
        <v>38</v>
      </c>
      <c r="X109">
        <v>12</v>
      </c>
      <c r="Y109" t="s">
        <v>49</v>
      </c>
      <c r="Z109" t="s">
        <v>81</v>
      </c>
      <c r="AA109" t="s">
        <v>122</v>
      </c>
      <c r="AB109">
        <v>12</v>
      </c>
      <c r="AC109" t="s">
        <v>166</v>
      </c>
      <c r="AD109" t="s">
        <v>85</v>
      </c>
      <c r="AE109" t="s">
        <v>46</v>
      </c>
      <c r="AF109" t="s">
        <v>44</v>
      </c>
      <c r="AG109" t="str">
        <f t="shared" si="1"/>
        <v>Recorrente</v>
      </c>
      <c r="AH109" t="str">
        <f>IF(AND(SUMIF(E:E,E109,I:I)&gt;=400000,Q109="B2G"),"n","")</f>
        <v/>
      </c>
    </row>
    <row r="110" spans="1:34">
      <c r="A110">
        <v>2026</v>
      </c>
      <c r="B110">
        <v>1</v>
      </c>
      <c r="C110" s="83">
        <v>66219595690</v>
      </c>
      <c r="D110" t="s">
        <v>212</v>
      </c>
      <c r="E110">
        <v>49706859660</v>
      </c>
      <c r="F110">
        <v>624575</v>
      </c>
      <c r="G110">
        <v>45719793538</v>
      </c>
      <c r="H110" t="s">
        <v>35</v>
      </c>
      <c r="I110" s="36">
        <v>3859.8</v>
      </c>
      <c r="J110" s="36">
        <v>3859.8</v>
      </c>
      <c r="K110" s="85">
        <v>0</v>
      </c>
      <c r="L110" s="36">
        <v>321.64999999999998</v>
      </c>
      <c r="M110" s="36">
        <v>0</v>
      </c>
      <c r="N110" s="36">
        <v>122.15</v>
      </c>
      <c r="O110" s="36">
        <v>199.5</v>
      </c>
      <c r="P110" t="s">
        <v>162</v>
      </c>
      <c r="Q110" t="s">
        <v>111</v>
      </c>
      <c r="R110" t="s">
        <v>111</v>
      </c>
      <c r="S110" s="1">
        <v>45987</v>
      </c>
      <c r="T110" s="1">
        <v>46023</v>
      </c>
      <c r="U110" s="1">
        <v>45995</v>
      </c>
      <c r="V110" s="1">
        <v>46360</v>
      </c>
      <c r="W110" t="s">
        <v>38</v>
      </c>
      <c r="X110">
        <v>12</v>
      </c>
      <c r="Y110" t="s">
        <v>49</v>
      </c>
      <c r="Z110" t="s">
        <v>76</v>
      </c>
      <c r="AA110" t="s">
        <v>122</v>
      </c>
      <c r="AB110">
        <v>12</v>
      </c>
      <c r="AC110" t="s">
        <v>113</v>
      </c>
      <c r="AD110" t="s">
        <v>138</v>
      </c>
      <c r="AE110" t="s">
        <v>135</v>
      </c>
      <c r="AF110" t="s">
        <v>119</v>
      </c>
      <c r="AG110" t="str">
        <f t="shared" si="1"/>
        <v>Recorrente</v>
      </c>
      <c r="AH110" t="str">
        <f>IF(AND(SUMIF(E:E,E110,I:I)&gt;=400000,Q110="B2G"),"n","")</f>
        <v/>
      </c>
    </row>
    <row r="111" spans="1:34">
      <c r="A111">
        <v>2026</v>
      </c>
      <c r="B111">
        <v>1</v>
      </c>
      <c r="C111" s="83">
        <v>2119472</v>
      </c>
      <c r="D111" t="s">
        <v>213</v>
      </c>
      <c r="E111">
        <v>49707130196</v>
      </c>
      <c r="F111">
        <v>524380</v>
      </c>
      <c r="G111">
        <v>44982305540</v>
      </c>
      <c r="H111" t="s">
        <v>35</v>
      </c>
      <c r="I111" s="36">
        <v>2874</v>
      </c>
      <c r="J111" s="36">
        <v>2874</v>
      </c>
      <c r="K111" s="85">
        <v>0</v>
      </c>
      <c r="L111" s="36">
        <v>239.5</v>
      </c>
      <c r="M111" s="36">
        <v>0</v>
      </c>
      <c r="N111" s="36">
        <v>24.4</v>
      </c>
      <c r="O111" s="36">
        <v>215.1</v>
      </c>
      <c r="P111" t="s">
        <v>165</v>
      </c>
      <c r="Q111" t="s">
        <v>166</v>
      </c>
      <c r="R111" t="s">
        <v>166</v>
      </c>
      <c r="S111" s="1">
        <v>46027</v>
      </c>
      <c r="T111" s="1">
        <v>46027</v>
      </c>
      <c r="U111" s="1">
        <v>46027</v>
      </c>
      <c r="V111" s="1">
        <v>46392</v>
      </c>
      <c r="W111" t="s">
        <v>38</v>
      </c>
      <c r="X111">
        <v>12</v>
      </c>
      <c r="Y111" t="s">
        <v>49</v>
      </c>
      <c r="Z111" t="s">
        <v>81</v>
      </c>
      <c r="AA111" t="s">
        <v>122</v>
      </c>
      <c r="AB111">
        <v>12</v>
      </c>
      <c r="AC111" t="s">
        <v>166</v>
      </c>
      <c r="AD111" t="s">
        <v>140</v>
      </c>
      <c r="AE111" t="s">
        <v>46</v>
      </c>
      <c r="AF111" t="s">
        <v>119</v>
      </c>
      <c r="AG111" t="str">
        <f t="shared" si="1"/>
        <v>Recorrente</v>
      </c>
      <c r="AH111" t="str">
        <f>IF(AND(SUMIF(E:E,E111,I:I)&gt;=400000,Q111="B2G"),"n","")</f>
        <v/>
      </c>
    </row>
    <row r="112" spans="1:34">
      <c r="A112">
        <v>2026</v>
      </c>
      <c r="B112">
        <v>1</v>
      </c>
      <c r="C112" s="83">
        <v>93655090802</v>
      </c>
      <c r="D112" t="s">
        <v>214</v>
      </c>
      <c r="E112">
        <v>49910336539</v>
      </c>
      <c r="F112">
        <v>524507</v>
      </c>
      <c r="G112">
        <v>45210005301</v>
      </c>
      <c r="H112" t="s">
        <v>35</v>
      </c>
      <c r="I112" s="36">
        <v>2874</v>
      </c>
      <c r="J112" s="36">
        <v>2874</v>
      </c>
      <c r="K112" s="85">
        <v>0</v>
      </c>
      <c r="L112" s="36">
        <v>239.5</v>
      </c>
      <c r="M112" s="36">
        <v>0</v>
      </c>
      <c r="N112" s="36">
        <v>0.5</v>
      </c>
      <c r="O112" s="36">
        <v>239</v>
      </c>
      <c r="P112" t="s">
        <v>165</v>
      </c>
      <c r="Q112" t="s">
        <v>166</v>
      </c>
      <c r="R112" t="s">
        <v>166</v>
      </c>
      <c r="S112" s="1">
        <v>46028</v>
      </c>
      <c r="T112" s="1">
        <v>46028</v>
      </c>
      <c r="U112" s="1">
        <v>46028</v>
      </c>
      <c r="V112" s="1">
        <v>46393</v>
      </c>
      <c r="W112" t="s">
        <v>38</v>
      </c>
      <c r="X112">
        <v>12</v>
      </c>
      <c r="Y112" t="s">
        <v>49</v>
      </c>
      <c r="Z112" t="s">
        <v>81</v>
      </c>
      <c r="AA112" t="s">
        <v>122</v>
      </c>
      <c r="AB112">
        <v>12</v>
      </c>
      <c r="AC112" t="s">
        <v>166</v>
      </c>
      <c r="AD112" t="s">
        <v>140</v>
      </c>
      <c r="AE112" t="s">
        <v>46</v>
      </c>
      <c r="AF112" t="s">
        <v>119</v>
      </c>
      <c r="AG112" t="str">
        <f t="shared" si="1"/>
        <v>Recorrente</v>
      </c>
      <c r="AH112" t="str">
        <f>IF(AND(SUMIF(E:E,E112,I:I)&gt;=400000,Q112="B2G"),"n","")</f>
        <v/>
      </c>
    </row>
    <row r="113" spans="1:34">
      <c r="A113">
        <v>2026</v>
      </c>
      <c r="B113">
        <v>1</v>
      </c>
      <c r="C113" s="83">
        <v>2139430</v>
      </c>
      <c r="D113" t="s">
        <v>215</v>
      </c>
      <c r="E113">
        <v>49930506263</v>
      </c>
      <c r="F113">
        <v>274882</v>
      </c>
      <c r="G113">
        <v>45191082020</v>
      </c>
      <c r="H113" t="s">
        <v>35</v>
      </c>
      <c r="I113" s="36">
        <v>6354</v>
      </c>
      <c r="J113" s="36">
        <v>6354</v>
      </c>
      <c r="K113" s="85">
        <v>0</v>
      </c>
      <c r="L113" s="36">
        <v>529.5</v>
      </c>
      <c r="M113" s="36">
        <v>0</v>
      </c>
      <c r="N113" s="36">
        <v>152.4</v>
      </c>
      <c r="O113" s="36">
        <v>377.1</v>
      </c>
      <c r="P113" t="s">
        <v>165</v>
      </c>
      <c r="Q113" t="s">
        <v>166</v>
      </c>
      <c r="R113" t="s">
        <v>166</v>
      </c>
      <c r="S113" s="1">
        <v>46028</v>
      </c>
      <c r="T113" s="1">
        <v>46028</v>
      </c>
      <c r="U113" s="1">
        <v>46028</v>
      </c>
      <c r="V113" s="1">
        <v>46393</v>
      </c>
      <c r="W113" t="s">
        <v>38</v>
      </c>
      <c r="X113">
        <v>12</v>
      </c>
      <c r="Y113" t="s">
        <v>49</v>
      </c>
      <c r="Z113" t="s">
        <v>81</v>
      </c>
      <c r="AA113" t="s">
        <v>122</v>
      </c>
      <c r="AB113">
        <v>12</v>
      </c>
      <c r="AC113" t="s">
        <v>166</v>
      </c>
      <c r="AD113" t="s">
        <v>158</v>
      </c>
      <c r="AE113" t="s">
        <v>43</v>
      </c>
      <c r="AF113" t="s">
        <v>47</v>
      </c>
      <c r="AG113" t="str">
        <f t="shared" si="1"/>
        <v>Recorrente</v>
      </c>
      <c r="AH113" t="str">
        <f>IF(AND(SUMIF(E:E,E113,I:I)&gt;=400000,Q113="B2G"),"n","")</f>
        <v/>
      </c>
    </row>
    <row r="114" spans="1:34">
      <c r="A114">
        <v>2026</v>
      </c>
      <c r="B114">
        <v>1</v>
      </c>
      <c r="C114" s="83">
        <v>70282337539</v>
      </c>
      <c r="D114" t="s">
        <v>216</v>
      </c>
      <c r="E114">
        <v>49936079429</v>
      </c>
      <c r="F114">
        <v>625268</v>
      </c>
      <c r="G114">
        <v>45189048958</v>
      </c>
      <c r="H114" t="s">
        <v>35</v>
      </c>
      <c r="I114" s="36">
        <v>2874</v>
      </c>
      <c r="J114" s="36">
        <v>2874</v>
      </c>
      <c r="K114" s="85">
        <v>0</v>
      </c>
      <c r="L114" s="36">
        <v>239.5</v>
      </c>
      <c r="M114" s="36">
        <v>0</v>
      </c>
      <c r="N114" s="36">
        <v>0.5</v>
      </c>
      <c r="O114" s="36">
        <v>239</v>
      </c>
      <c r="P114" t="s">
        <v>165</v>
      </c>
      <c r="Q114" t="s">
        <v>166</v>
      </c>
      <c r="R114" t="s">
        <v>166</v>
      </c>
      <c r="S114" s="1">
        <v>45983</v>
      </c>
      <c r="T114" s="1">
        <v>46023</v>
      </c>
      <c r="U114" s="1">
        <v>46028</v>
      </c>
      <c r="V114" s="1">
        <v>46393</v>
      </c>
      <c r="W114" t="s">
        <v>38</v>
      </c>
      <c r="X114">
        <v>12</v>
      </c>
      <c r="Y114" t="s">
        <v>49</v>
      </c>
      <c r="Z114" t="s">
        <v>81</v>
      </c>
      <c r="AA114" t="s">
        <v>112</v>
      </c>
      <c r="AB114">
        <v>12</v>
      </c>
      <c r="AC114" t="s">
        <v>166</v>
      </c>
      <c r="AD114" t="s">
        <v>140</v>
      </c>
      <c r="AE114" t="s">
        <v>46</v>
      </c>
      <c r="AF114" t="s">
        <v>119</v>
      </c>
      <c r="AG114" t="str">
        <f t="shared" si="1"/>
        <v>CC 12x</v>
      </c>
      <c r="AH114" t="str">
        <f>IF(AND(SUMIF(E:E,E114,I:I)&gt;=400000,Q114="B2G"),"n","")</f>
        <v/>
      </c>
    </row>
    <row r="115" spans="1:34">
      <c r="A115">
        <v>2026</v>
      </c>
      <c r="B115">
        <v>1</v>
      </c>
      <c r="C115" s="83">
        <v>19435468606</v>
      </c>
      <c r="D115" t="s">
        <v>217</v>
      </c>
      <c r="E115">
        <v>49936079469</v>
      </c>
      <c r="F115">
        <v>524409</v>
      </c>
      <c r="G115">
        <v>45189225478</v>
      </c>
      <c r="H115" t="s">
        <v>35</v>
      </c>
      <c r="I115" s="36">
        <v>6354</v>
      </c>
      <c r="J115" s="36">
        <v>6354</v>
      </c>
      <c r="K115" s="85">
        <v>0</v>
      </c>
      <c r="L115" s="36">
        <v>529.5</v>
      </c>
      <c r="M115" s="36">
        <v>0</v>
      </c>
      <c r="N115" s="36">
        <v>145.41999999999999</v>
      </c>
      <c r="O115" s="36">
        <v>384.08</v>
      </c>
      <c r="P115" t="s">
        <v>165</v>
      </c>
      <c r="Q115" t="s">
        <v>166</v>
      </c>
      <c r="R115" t="s">
        <v>166</v>
      </c>
      <c r="S115" s="1">
        <v>46028</v>
      </c>
      <c r="T115" s="1">
        <v>46028</v>
      </c>
      <c r="U115" s="1">
        <v>46028</v>
      </c>
      <c r="V115" s="1">
        <v>46393</v>
      </c>
      <c r="W115" t="s">
        <v>38</v>
      </c>
      <c r="X115">
        <v>12</v>
      </c>
      <c r="Y115" t="s">
        <v>49</v>
      </c>
      <c r="Z115" t="s">
        <v>81</v>
      </c>
      <c r="AA115" t="s">
        <v>122</v>
      </c>
      <c r="AB115">
        <v>12</v>
      </c>
      <c r="AC115" t="s">
        <v>166</v>
      </c>
      <c r="AD115" t="s">
        <v>158</v>
      </c>
      <c r="AE115" t="s">
        <v>43</v>
      </c>
      <c r="AF115" t="s">
        <v>47</v>
      </c>
      <c r="AG115" t="str">
        <f t="shared" si="1"/>
        <v>Recorrente</v>
      </c>
      <c r="AH115" t="str">
        <f>IF(AND(SUMIF(E:E,E115,I:I)&gt;=400000,Q115="B2G"),"n","")</f>
        <v/>
      </c>
    </row>
    <row r="116" spans="1:34">
      <c r="A116">
        <v>2026</v>
      </c>
      <c r="B116">
        <v>1</v>
      </c>
      <c r="C116" s="83">
        <v>19435468606</v>
      </c>
      <c r="D116" t="s">
        <v>217</v>
      </c>
      <c r="E116">
        <v>49936079469</v>
      </c>
      <c r="F116">
        <v>524409</v>
      </c>
      <c r="G116">
        <v>45289177495</v>
      </c>
      <c r="H116" t="s">
        <v>35</v>
      </c>
      <c r="I116" s="36">
        <v>6354</v>
      </c>
      <c r="J116" s="36">
        <v>6354</v>
      </c>
      <c r="K116" s="85">
        <v>0</v>
      </c>
      <c r="L116" s="36">
        <v>529.5</v>
      </c>
      <c r="M116" s="36">
        <v>0</v>
      </c>
      <c r="N116" s="36">
        <v>145.41999999999999</v>
      </c>
      <c r="O116" s="36">
        <v>384.08</v>
      </c>
      <c r="P116" t="s">
        <v>165</v>
      </c>
      <c r="Q116" t="s">
        <v>166</v>
      </c>
      <c r="R116" t="s">
        <v>166</v>
      </c>
      <c r="S116" s="1">
        <v>46028</v>
      </c>
      <c r="T116" s="1">
        <v>46028</v>
      </c>
      <c r="U116" s="1">
        <v>46028</v>
      </c>
      <c r="V116" s="1">
        <v>46393</v>
      </c>
      <c r="W116" t="s">
        <v>38</v>
      </c>
      <c r="X116">
        <v>12</v>
      </c>
      <c r="Y116" t="s">
        <v>49</v>
      </c>
      <c r="Z116" t="s">
        <v>81</v>
      </c>
      <c r="AA116" t="s">
        <v>122</v>
      </c>
      <c r="AB116">
        <v>12</v>
      </c>
      <c r="AC116" t="s">
        <v>166</v>
      </c>
      <c r="AD116" t="s">
        <v>174</v>
      </c>
      <c r="AE116" t="s">
        <v>43</v>
      </c>
      <c r="AF116" t="s">
        <v>47</v>
      </c>
      <c r="AG116" t="str">
        <f t="shared" si="1"/>
        <v>Recorrente</v>
      </c>
      <c r="AH116" t="str">
        <f>IF(AND(SUMIF(E:E,E116,I:I)&gt;=400000,Q116="B2G"),"n","")</f>
        <v/>
      </c>
    </row>
    <row r="117" spans="1:34">
      <c r="A117">
        <v>2026</v>
      </c>
      <c r="B117">
        <v>1</v>
      </c>
      <c r="C117" s="83">
        <v>96862011049</v>
      </c>
      <c r="D117" t="s">
        <v>218</v>
      </c>
      <c r="E117">
        <v>49937002898</v>
      </c>
      <c r="F117">
        <v>524431</v>
      </c>
      <c r="G117">
        <v>45284422527</v>
      </c>
      <c r="H117" t="s">
        <v>35</v>
      </c>
      <c r="I117" s="36">
        <v>9594</v>
      </c>
      <c r="J117" s="36">
        <v>9594</v>
      </c>
      <c r="K117" s="85">
        <v>0</v>
      </c>
      <c r="L117" s="36">
        <v>799.5</v>
      </c>
      <c r="M117" s="36">
        <v>0</v>
      </c>
      <c r="N117" s="36">
        <v>201.95</v>
      </c>
      <c r="O117" s="36">
        <v>597.54999999999995</v>
      </c>
      <c r="P117" t="s">
        <v>165</v>
      </c>
      <c r="Q117" t="s">
        <v>166</v>
      </c>
      <c r="R117" t="s">
        <v>166</v>
      </c>
      <c r="S117" s="1">
        <v>46028</v>
      </c>
      <c r="T117" s="1">
        <v>46028</v>
      </c>
      <c r="U117" s="1">
        <v>46028</v>
      </c>
      <c r="V117" s="1">
        <v>46393</v>
      </c>
      <c r="W117" t="s">
        <v>38</v>
      </c>
      <c r="X117">
        <v>12</v>
      </c>
      <c r="Y117" t="s">
        <v>49</v>
      </c>
      <c r="Z117" t="s">
        <v>81</v>
      </c>
      <c r="AA117" t="s">
        <v>122</v>
      </c>
      <c r="AB117">
        <v>12</v>
      </c>
      <c r="AC117" t="s">
        <v>166</v>
      </c>
      <c r="AD117" t="s">
        <v>131</v>
      </c>
      <c r="AE117" t="s">
        <v>46</v>
      </c>
      <c r="AF117" t="s">
        <v>96</v>
      </c>
      <c r="AG117" t="str">
        <f t="shared" si="1"/>
        <v>Recorrente</v>
      </c>
      <c r="AH117" t="str">
        <f>IF(AND(SUMIF(E:E,E117,I:I)&gt;=400000,Q117="B2G"),"n","")</f>
        <v/>
      </c>
    </row>
    <row r="118" spans="1:34">
      <c r="A118">
        <v>2026</v>
      </c>
      <c r="B118">
        <v>1</v>
      </c>
      <c r="C118" s="83">
        <v>2235691</v>
      </c>
      <c r="D118" t="s">
        <v>219</v>
      </c>
      <c r="E118">
        <v>50087552902</v>
      </c>
      <c r="F118">
        <v>625278</v>
      </c>
      <c r="G118">
        <v>45379382062</v>
      </c>
      <c r="H118" t="s">
        <v>35</v>
      </c>
      <c r="I118" s="36">
        <v>8634.6</v>
      </c>
      <c r="J118" s="36">
        <v>8634.6</v>
      </c>
      <c r="K118" s="85">
        <v>0</v>
      </c>
      <c r="L118" s="36">
        <v>719.55</v>
      </c>
      <c r="M118" s="36">
        <v>0</v>
      </c>
      <c r="N118" s="36">
        <v>90.55</v>
      </c>
      <c r="O118" s="36">
        <v>629</v>
      </c>
      <c r="P118" t="s">
        <v>165</v>
      </c>
      <c r="Q118" t="s">
        <v>166</v>
      </c>
      <c r="R118" t="s">
        <v>166</v>
      </c>
      <c r="S118" s="1">
        <v>46029</v>
      </c>
      <c r="T118" s="1">
        <v>46029</v>
      </c>
      <c r="U118" s="1">
        <v>46029</v>
      </c>
      <c r="V118" s="1">
        <v>46394</v>
      </c>
      <c r="W118" t="s">
        <v>38</v>
      </c>
      <c r="X118">
        <v>12</v>
      </c>
      <c r="Y118" t="s">
        <v>49</v>
      </c>
      <c r="Z118" t="s">
        <v>81</v>
      </c>
      <c r="AA118" t="s">
        <v>112</v>
      </c>
      <c r="AB118">
        <v>12</v>
      </c>
      <c r="AC118" t="s">
        <v>166</v>
      </c>
      <c r="AD118" t="s">
        <v>131</v>
      </c>
      <c r="AE118" t="s">
        <v>46</v>
      </c>
      <c r="AF118" t="s">
        <v>96</v>
      </c>
      <c r="AG118" t="str">
        <f t="shared" si="1"/>
        <v>CC 12x</v>
      </c>
      <c r="AH118" t="str">
        <f>IF(AND(SUMIF(E:E,E118,I:I)&gt;=400000,Q118="B2G"),"n","")</f>
        <v/>
      </c>
    </row>
    <row r="119" spans="1:34">
      <c r="A119">
        <v>2026</v>
      </c>
      <c r="B119">
        <v>1</v>
      </c>
      <c r="C119" s="83">
        <v>159739930776</v>
      </c>
      <c r="D119" t="s">
        <v>220</v>
      </c>
      <c r="E119">
        <v>50091904556</v>
      </c>
      <c r="F119">
        <v>625158</v>
      </c>
      <c r="G119">
        <v>47720092449</v>
      </c>
      <c r="H119" t="s">
        <v>35</v>
      </c>
      <c r="I119" s="36">
        <v>4890.84</v>
      </c>
      <c r="J119" s="36">
        <v>4890.84</v>
      </c>
      <c r="K119" s="85">
        <v>0</v>
      </c>
      <c r="L119" s="36">
        <v>407.57</v>
      </c>
      <c r="M119" s="36">
        <v>407.57</v>
      </c>
      <c r="N119" s="36">
        <v>0</v>
      </c>
      <c r="O119" s="36">
        <v>0</v>
      </c>
      <c r="P119" t="s">
        <v>121</v>
      </c>
      <c r="Q119" t="s">
        <v>111</v>
      </c>
      <c r="R119" t="s">
        <v>111</v>
      </c>
      <c r="S119" s="1">
        <v>46017</v>
      </c>
      <c r="T119" s="1">
        <v>46023</v>
      </c>
      <c r="U119" s="1">
        <v>46014</v>
      </c>
      <c r="V119" s="1">
        <v>46382</v>
      </c>
      <c r="W119" t="s">
        <v>38</v>
      </c>
      <c r="X119">
        <v>12</v>
      </c>
      <c r="Y119" t="s">
        <v>49</v>
      </c>
      <c r="Z119" t="s">
        <v>81</v>
      </c>
      <c r="AA119" t="s">
        <v>122</v>
      </c>
      <c r="AB119">
        <v>12</v>
      </c>
      <c r="AC119" t="s">
        <v>113</v>
      </c>
      <c r="AD119" t="s">
        <v>85</v>
      </c>
      <c r="AE119" t="s">
        <v>46</v>
      </c>
      <c r="AF119" t="s">
        <v>44</v>
      </c>
      <c r="AG119" t="str">
        <f t="shared" si="1"/>
        <v>Recorrente</v>
      </c>
      <c r="AH119" t="str">
        <f>IF(AND(SUMIF(E:E,E119,I:I)&gt;=400000,Q119="B2G"),"n","")</f>
        <v/>
      </c>
    </row>
    <row r="120" spans="1:34">
      <c r="A120">
        <v>2026</v>
      </c>
      <c r="B120">
        <v>1</v>
      </c>
      <c r="C120" s="83">
        <v>2263224</v>
      </c>
      <c r="D120" t="s">
        <v>221</v>
      </c>
      <c r="E120">
        <v>50095484692</v>
      </c>
      <c r="F120">
        <v>625283</v>
      </c>
      <c r="G120">
        <v>45367409036</v>
      </c>
      <c r="H120" t="s">
        <v>35</v>
      </c>
      <c r="I120" s="36">
        <v>2874</v>
      </c>
      <c r="J120" s="36">
        <v>2874</v>
      </c>
      <c r="K120" s="85">
        <v>0</v>
      </c>
      <c r="L120" s="36">
        <v>239.5</v>
      </c>
      <c r="M120" s="36">
        <v>0</v>
      </c>
      <c r="N120" s="36">
        <v>26.99</v>
      </c>
      <c r="O120" s="36">
        <v>212.51</v>
      </c>
      <c r="P120" t="s">
        <v>165</v>
      </c>
      <c r="Q120" t="s">
        <v>166</v>
      </c>
      <c r="R120" t="s">
        <v>166</v>
      </c>
      <c r="S120" s="1">
        <v>46029</v>
      </c>
      <c r="T120" s="1">
        <v>46029</v>
      </c>
      <c r="U120" s="1">
        <v>46029</v>
      </c>
      <c r="V120" s="1">
        <v>46394</v>
      </c>
      <c r="W120" t="s">
        <v>38</v>
      </c>
      <c r="X120">
        <v>12</v>
      </c>
      <c r="Y120" t="s">
        <v>49</v>
      </c>
      <c r="Z120" t="s">
        <v>81</v>
      </c>
      <c r="AA120" t="s">
        <v>112</v>
      </c>
      <c r="AB120">
        <v>12</v>
      </c>
      <c r="AC120" t="s">
        <v>166</v>
      </c>
      <c r="AD120" t="s">
        <v>140</v>
      </c>
      <c r="AE120" t="s">
        <v>46</v>
      </c>
      <c r="AF120" t="s">
        <v>119</v>
      </c>
      <c r="AG120" t="str">
        <f t="shared" si="1"/>
        <v>CC 12x</v>
      </c>
      <c r="AH120" t="str">
        <f>IF(AND(SUMIF(E:E,E120,I:I)&gt;=400000,Q120="B2G"),"n","")</f>
        <v/>
      </c>
    </row>
    <row r="121" spans="1:34">
      <c r="A121">
        <v>2026</v>
      </c>
      <c r="B121">
        <v>1</v>
      </c>
      <c r="C121" s="83">
        <v>2107686</v>
      </c>
      <c r="D121" t="s">
        <v>222</v>
      </c>
      <c r="E121">
        <v>50095794963</v>
      </c>
      <c r="F121">
        <v>303317</v>
      </c>
      <c r="G121">
        <v>45382288705</v>
      </c>
      <c r="H121" t="s">
        <v>35</v>
      </c>
      <c r="I121" s="36">
        <v>8418.6</v>
      </c>
      <c r="J121" s="36">
        <v>8418.6</v>
      </c>
      <c r="K121" s="85">
        <v>0</v>
      </c>
      <c r="L121" s="36">
        <v>701.55</v>
      </c>
      <c r="M121" s="36">
        <v>0</v>
      </c>
      <c r="N121" s="36">
        <v>247.25</v>
      </c>
      <c r="O121" s="36">
        <v>454.3</v>
      </c>
      <c r="P121" t="s">
        <v>165</v>
      </c>
      <c r="Q121" t="s">
        <v>166</v>
      </c>
      <c r="R121" t="s">
        <v>166</v>
      </c>
      <c r="S121" s="1">
        <v>46029</v>
      </c>
      <c r="T121" s="1">
        <v>46029</v>
      </c>
      <c r="U121" s="1">
        <v>46029</v>
      </c>
      <c r="V121" s="1">
        <v>46394</v>
      </c>
      <c r="W121" t="s">
        <v>38</v>
      </c>
      <c r="X121">
        <v>12</v>
      </c>
      <c r="Y121" t="s">
        <v>49</v>
      </c>
      <c r="Z121" t="s">
        <v>81</v>
      </c>
      <c r="AA121" t="s">
        <v>122</v>
      </c>
      <c r="AB121">
        <v>12</v>
      </c>
      <c r="AC121" t="s">
        <v>166</v>
      </c>
      <c r="AD121" t="s">
        <v>134</v>
      </c>
      <c r="AE121" t="s">
        <v>135</v>
      </c>
      <c r="AF121" t="s">
        <v>44</v>
      </c>
      <c r="AG121" t="str">
        <f t="shared" si="1"/>
        <v>Recorrente</v>
      </c>
      <c r="AH121" t="str">
        <f>IF(AND(SUMIF(E:E,E121,I:I)&gt;=400000,Q121="B2G"),"n","")</f>
        <v/>
      </c>
    </row>
    <row r="122" spans="1:34">
      <c r="A122">
        <v>2026</v>
      </c>
      <c r="B122">
        <v>1</v>
      </c>
      <c r="C122" s="83">
        <v>45761739299</v>
      </c>
      <c r="D122" t="s">
        <v>223</v>
      </c>
      <c r="E122">
        <v>50097766779</v>
      </c>
      <c r="F122">
        <v>635497</v>
      </c>
      <c r="G122">
        <v>48464651276</v>
      </c>
      <c r="H122" t="s">
        <v>35</v>
      </c>
      <c r="I122" s="36">
        <v>5034</v>
      </c>
      <c r="J122" s="36">
        <v>5034</v>
      </c>
      <c r="K122" s="85">
        <v>0</v>
      </c>
      <c r="L122" s="36">
        <v>419.5</v>
      </c>
      <c r="M122" s="36">
        <v>419.5</v>
      </c>
      <c r="N122" s="36">
        <v>0</v>
      </c>
      <c r="O122" s="36">
        <v>0</v>
      </c>
      <c r="P122" t="s">
        <v>90</v>
      </c>
      <c r="Q122" t="s">
        <v>91</v>
      </c>
      <c r="R122" t="s">
        <v>91</v>
      </c>
      <c r="S122" s="1">
        <v>46028</v>
      </c>
      <c r="T122" s="1">
        <v>46028</v>
      </c>
      <c r="V122" s="1">
        <v>46393</v>
      </c>
      <c r="W122" t="s">
        <v>38</v>
      </c>
      <c r="X122">
        <v>12</v>
      </c>
      <c r="Y122" t="s">
        <v>49</v>
      </c>
      <c r="AA122" t="s">
        <v>82</v>
      </c>
      <c r="AB122">
        <v>1</v>
      </c>
      <c r="AC122" t="s">
        <v>93</v>
      </c>
      <c r="AD122" t="s">
        <v>84</v>
      </c>
      <c r="AE122" t="s">
        <v>43</v>
      </c>
      <c r="AF122" t="s">
        <v>44</v>
      </c>
      <c r="AG122" t="str">
        <f t="shared" si="1"/>
        <v>À Vista</v>
      </c>
      <c r="AH122" t="str">
        <f>IF(AND(SUMIF(E:E,E122,I:I)&gt;=400000,Q122="B2G"),"n","")</f>
        <v/>
      </c>
    </row>
    <row r="123" spans="1:34">
      <c r="A123">
        <v>2026</v>
      </c>
      <c r="B123">
        <v>1</v>
      </c>
      <c r="C123" s="83">
        <v>2088656</v>
      </c>
      <c r="D123" t="s">
        <v>224</v>
      </c>
      <c r="E123">
        <v>50100814472</v>
      </c>
      <c r="F123">
        <v>328201</v>
      </c>
      <c r="G123">
        <v>45371310607</v>
      </c>
      <c r="H123" t="s">
        <v>35</v>
      </c>
      <c r="I123" s="36">
        <v>2874</v>
      </c>
      <c r="J123" s="36">
        <v>2874</v>
      </c>
      <c r="K123" s="85">
        <v>0</v>
      </c>
      <c r="L123" s="36">
        <v>239.5</v>
      </c>
      <c r="M123" s="36">
        <v>0</v>
      </c>
      <c r="N123" s="36">
        <v>24.4</v>
      </c>
      <c r="O123" s="36">
        <v>215.1</v>
      </c>
      <c r="P123" t="s">
        <v>165</v>
      </c>
      <c r="Q123" t="s">
        <v>166</v>
      </c>
      <c r="R123" t="s">
        <v>166</v>
      </c>
      <c r="S123" s="1">
        <v>45985</v>
      </c>
      <c r="T123" s="1">
        <v>46023</v>
      </c>
      <c r="U123" s="1">
        <v>46030</v>
      </c>
      <c r="V123" s="1">
        <v>46395</v>
      </c>
      <c r="W123" t="s">
        <v>38</v>
      </c>
      <c r="X123">
        <v>12</v>
      </c>
      <c r="Y123" t="s">
        <v>49</v>
      </c>
      <c r="Z123" t="s">
        <v>81</v>
      </c>
      <c r="AA123" t="s">
        <v>112</v>
      </c>
      <c r="AB123">
        <v>12</v>
      </c>
      <c r="AC123" t="s">
        <v>166</v>
      </c>
      <c r="AD123" t="s">
        <v>140</v>
      </c>
      <c r="AE123" t="s">
        <v>46</v>
      </c>
      <c r="AF123" t="s">
        <v>119</v>
      </c>
      <c r="AG123" t="str">
        <f t="shared" si="1"/>
        <v>CC 12x</v>
      </c>
      <c r="AH123" t="str">
        <f>IF(AND(SUMIF(E:E,E123,I:I)&gt;=400000,Q123="B2G"),"n","")</f>
        <v/>
      </c>
    </row>
    <row r="124" spans="1:34">
      <c r="A124">
        <v>2026</v>
      </c>
      <c r="B124">
        <v>1</v>
      </c>
      <c r="C124" s="83">
        <v>129169628527</v>
      </c>
      <c r="D124" t="s">
        <v>225</v>
      </c>
      <c r="E124">
        <v>50109456966</v>
      </c>
      <c r="F124">
        <v>625279</v>
      </c>
      <c r="G124">
        <v>45377063248</v>
      </c>
      <c r="H124" t="s">
        <v>35</v>
      </c>
      <c r="I124" s="36">
        <v>2874</v>
      </c>
      <c r="J124" s="36">
        <v>2874</v>
      </c>
      <c r="K124" s="85">
        <v>0</v>
      </c>
      <c r="L124" s="36">
        <v>239.5</v>
      </c>
      <c r="M124" s="36">
        <v>0</v>
      </c>
      <c r="N124" s="36">
        <v>0.5</v>
      </c>
      <c r="O124" s="36">
        <v>239</v>
      </c>
      <c r="P124" t="s">
        <v>165</v>
      </c>
      <c r="Q124" t="s">
        <v>166</v>
      </c>
      <c r="R124" t="s">
        <v>166</v>
      </c>
      <c r="S124" s="1">
        <v>46029</v>
      </c>
      <c r="T124" s="1">
        <v>46029</v>
      </c>
      <c r="U124" s="1">
        <v>46029</v>
      </c>
      <c r="V124" s="1">
        <v>46394</v>
      </c>
      <c r="W124" t="s">
        <v>38</v>
      </c>
      <c r="X124">
        <v>12</v>
      </c>
      <c r="Y124" t="s">
        <v>49</v>
      </c>
      <c r="Z124" t="s">
        <v>81</v>
      </c>
      <c r="AA124" t="s">
        <v>122</v>
      </c>
      <c r="AB124">
        <v>12</v>
      </c>
      <c r="AC124" t="s">
        <v>166</v>
      </c>
      <c r="AD124" t="s">
        <v>140</v>
      </c>
      <c r="AE124" t="s">
        <v>46</v>
      </c>
      <c r="AF124" t="s">
        <v>119</v>
      </c>
      <c r="AG124" t="str">
        <f t="shared" si="1"/>
        <v>Recorrente</v>
      </c>
      <c r="AH124" t="str">
        <f>IF(AND(SUMIF(E:E,E124,I:I)&gt;=400000,Q124="B2G"),"n","")</f>
        <v/>
      </c>
    </row>
    <row r="125" spans="1:34">
      <c r="A125">
        <v>2026</v>
      </c>
      <c r="B125">
        <v>1</v>
      </c>
      <c r="C125" s="83">
        <v>22171278257</v>
      </c>
      <c r="D125" t="s">
        <v>226</v>
      </c>
      <c r="E125">
        <v>50109921636</v>
      </c>
      <c r="F125">
        <v>625287</v>
      </c>
      <c r="G125">
        <v>45370196918</v>
      </c>
      <c r="H125" t="s">
        <v>35</v>
      </c>
      <c r="I125" s="36">
        <v>2874</v>
      </c>
      <c r="J125" s="36">
        <v>2874</v>
      </c>
      <c r="K125" s="85">
        <v>0</v>
      </c>
      <c r="L125" s="36">
        <v>239.5</v>
      </c>
      <c r="M125" s="36">
        <v>0</v>
      </c>
      <c r="N125" s="36">
        <v>20.41</v>
      </c>
      <c r="O125" s="36">
        <v>219.09</v>
      </c>
      <c r="P125" t="s">
        <v>165</v>
      </c>
      <c r="Q125" t="s">
        <v>166</v>
      </c>
      <c r="R125" t="s">
        <v>166</v>
      </c>
      <c r="S125" s="1">
        <v>46032</v>
      </c>
      <c r="T125" s="1">
        <v>46032</v>
      </c>
      <c r="U125" s="1">
        <v>46029</v>
      </c>
      <c r="V125" s="1">
        <v>46394</v>
      </c>
      <c r="W125" t="s">
        <v>38</v>
      </c>
      <c r="X125">
        <v>12</v>
      </c>
      <c r="Y125" t="s">
        <v>49</v>
      </c>
      <c r="Z125" t="s">
        <v>81</v>
      </c>
      <c r="AA125" t="s">
        <v>122</v>
      </c>
      <c r="AB125">
        <v>12</v>
      </c>
      <c r="AC125" t="s">
        <v>166</v>
      </c>
      <c r="AD125" t="s">
        <v>140</v>
      </c>
      <c r="AE125" t="s">
        <v>46</v>
      </c>
      <c r="AF125" t="s">
        <v>119</v>
      </c>
      <c r="AG125" t="str">
        <f t="shared" si="1"/>
        <v>Recorrente</v>
      </c>
      <c r="AH125" t="str">
        <f>IF(AND(SUMIF(E:E,E125,I:I)&gt;=400000,Q125="B2G"),"n","")</f>
        <v/>
      </c>
    </row>
    <row r="126" spans="1:34">
      <c r="A126">
        <v>2026</v>
      </c>
      <c r="B126">
        <v>1</v>
      </c>
      <c r="C126" s="83">
        <v>19435529526</v>
      </c>
      <c r="D126" t="s">
        <v>227</v>
      </c>
      <c r="E126">
        <v>50116911240</v>
      </c>
      <c r="F126">
        <v>606978</v>
      </c>
      <c r="G126">
        <v>45530074513</v>
      </c>
      <c r="H126" t="s">
        <v>35</v>
      </c>
      <c r="I126" s="36">
        <v>5034</v>
      </c>
      <c r="J126" s="36">
        <v>5034</v>
      </c>
      <c r="K126" s="85">
        <v>0</v>
      </c>
      <c r="L126" s="36">
        <v>419.5</v>
      </c>
      <c r="M126" s="36">
        <v>0</v>
      </c>
      <c r="N126" s="36">
        <v>139.82</v>
      </c>
      <c r="O126" s="36">
        <v>279.68</v>
      </c>
      <c r="P126" t="s">
        <v>165</v>
      </c>
      <c r="Q126" t="s">
        <v>166</v>
      </c>
      <c r="R126" t="s">
        <v>166</v>
      </c>
      <c r="S126" s="1">
        <v>46030</v>
      </c>
      <c r="T126" s="1">
        <v>46030</v>
      </c>
      <c r="U126" s="1">
        <v>46030</v>
      </c>
      <c r="V126" s="1">
        <v>46395</v>
      </c>
      <c r="W126" t="s">
        <v>38</v>
      </c>
      <c r="X126">
        <v>12</v>
      </c>
      <c r="Y126" t="s">
        <v>49</v>
      </c>
      <c r="Z126" t="s">
        <v>81</v>
      </c>
      <c r="AA126" t="s">
        <v>112</v>
      </c>
      <c r="AB126">
        <v>12</v>
      </c>
      <c r="AC126" t="s">
        <v>166</v>
      </c>
      <c r="AD126" t="s">
        <v>84</v>
      </c>
      <c r="AE126" t="s">
        <v>43</v>
      </c>
      <c r="AF126" t="s">
        <v>44</v>
      </c>
      <c r="AG126" t="str">
        <f t="shared" si="1"/>
        <v>CC 12x</v>
      </c>
      <c r="AH126" t="str">
        <f>IF(AND(SUMIF(E:E,E126,I:I)&gt;=400000,Q126="B2G"),"n","")</f>
        <v/>
      </c>
    </row>
    <row r="127" spans="1:34">
      <c r="A127">
        <v>2026</v>
      </c>
      <c r="B127">
        <v>1</v>
      </c>
      <c r="C127" s="83">
        <v>2100387</v>
      </c>
      <c r="D127" t="s">
        <v>228</v>
      </c>
      <c r="E127">
        <v>50164726384</v>
      </c>
      <c r="F127">
        <v>503814</v>
      </c>
      <c r="G127">
        <v>45368833054</v>
      </c>
      <c r="H127" t="s">
        <v>35</v>
      </c>
      <c r="I127" s="36">
        <v>4638.6000000000004</v>
      </c>
      <c r="J127" s="36">
        <v>4638.6000000000004</v>
      </c>
      <c r="K127" s="85">
        <v>0</v>
      </c>
      <c r="L127" s="36">
        <v>386.55</v>
      </c>
      <c r="M127" s="36">
        <v>0</v>
      </c>
      <c r="N127" s="36">
        <v>113.7</v>
      </c>
      <c r="O127" s="36">
        <v>272.85000000000002</v>
      </c>
      <c r="P127" t="s">
        <v>165</v>
      </c>
      <c r="Q127" t="s">
        <v>166</v>
      </c>
      <c r="R127" t="s">
        <v>166</v>
      </c>
      <c r="S127" s="1">
        <v>46030</v>
      </c>
      <c r="T127" s="1">
        <v>46030</v>
      </c>
      <c r="U127" s="1">
        <v>46030</v>
      </c>
      <c r="V127" s="1">
        <v>46395</v>
      </c>
      <c r="W127" t="s">
        <v>38</v>
      </c>
      <c r="X127">
        <v>12</v>
      </c>
      <c r="Y127" t="s">
        <v>49</v>
      </c>
      <c r="Z127" t="s">
        <v>81</v>
      </c>
      <c r="AA127" t="s">
        <v>122</v>
      </c>
      <c r="AB127">
        <v>12</v>
      </c>
      <c r="AC127" t="s">
        <v>166</v>
      </c>
      <c r="AD127" t="s">
        <v>229</v>
      </c>
      <c r="AE127" t="s">
        <v>43</v>
      </c>
      <c r="AF127" t="s">
        <v>96</v>
      </c>
      <c r="AG127" t="str">
        <f t="shared" si="1"/>
        <v>Recorrente</v>
      </c>
      <c r="AH127" t="str">
        <f>IF(AND(SUMIF(E:E,E127,I:I)&gt;=400000,Q127="B2G"),"n","")</f>
        <v/>
      </c>
    </row>
    <row r="128" spans="1:34">
      <c r="A128">
        <v>2026</v>
      </c>
      <c r="B128">
        <v>1</v>
      </c>
      <c r="C128" s="83">
        <v>19435564614</v>
      </c>
      <c r="D128" t="s">
        <v>230</v>
      </c>
      <c r="E128">
        <v>50229057058</v>
      </c>
      <c r="F128">
        <v>606164</v>
      </c>
      <c r="G128">
        <v>45397296173</v>
      </c>
      <c r="H128" t="s">
        <v>35</v>
      </c>
      <c r="I128" s="36">
        <v>5334</v>
      </c>
      <c r="J128" s="36">
        <v>5334</v>
      </c>
      <c r="K128" s="85">
        <v>0</v>
      </c>
      <c r="L128" s="36">
        <v>444.5</v>
      </c>
      <c r="M128" s="36">
        <v>0</v>
      </c>
      <c r="N128" s="36">
        <v>74.95</v>
      </c>
      <c r="O128" s="36">
        <v>369.55</v>
      </c>
      <c r="P128" t="s">
        <v>165</v>
      </c>
      <c r="Q128" t="s">
        <v>166</v>
      </c>
      <c r="R128" t="s">
        <v>166</v>
      </c>
      <c r="S128" s="1">
        <v>46030</v>
      </c>
      <c r="T128" s="1">
        <v>46030</v>
      </c>
      <c r="U128" s="1">
        <v>46030</v>
      </c>
      <c r="V128" s="1">
        <v>46395</v>
      </c>
      <c r="W128" t="s">
        <v>38</v>
      </c>
      <c r="X128">
        <v>12</v>
      </c>
      <c r="Y128" t="s">
        <v>49</v>
      </c>
      <c r="Z128" t="s">
        <v>81</v>
      </c>
      <c r="AA128" t="s">
        <v>122</v>
      </c>
      <c r="AB128">
        <v>12</v>
      </c>
      <c r="AC128" t="s">
        <v>166</v>
      </c>
      <c r="AD128" t="s">
        <v>125</v>
      </c>
      <c r="AE128" t="s">
        <v>43</v>
      </c>
      <c r="AF128" t="s">
        <v>47</v>
      </c>
      <c r="AG128" t="str">
        <f t="shared" si="1"/>
        <v>Recorrente</v>
      </c>
      <c r="AH128" t="str">
        <f>IF(AND(SUMIF(E:E,E128,I:I)&gt;=400000,Q128="B2G"),"n","")</f>
        <v/>
      </c>
    </row>
    <row r="129" spans="1:34">
      <c r="A129">
        <v>2026</v>
      </c>
      <c r="B129">
        <v>1</v>
      </c>
      <c r="C129" s="83">
        <v>19435564614</v>
      </c>
      <c r="D129" t="s">
        <v>230</v>
      </c>
      <c r="E129">
        <v>50229057058</v>
      </c>
      <c r="F129">
        <v>606164</v>
      </c>
      <c r="G129">
        <v>45449219750</v>
      </c>
      <c r="H129" t="s">
        <v>35</v>
      </c>
      <c r="I129" s="36">
        <v>5334</v>
      </c>
      <c r="J129" s="36">
        <v>5334</v>
      </c>
      <c r="K129" s="85">
        <v>0</v>
      </c>
      <c r="L129" s="36">
        <v>444.5</v>
      </c>
      <c r="M129" s="36">
        <v>0</v>
      </c>
      <c r="N129" s="36">
        <v>74.95</v>
      </c>
      <c r="O129" s="36">
        <v>369.55</v>
      </c>
      <c r="P129" t="s">
        <v>165</v>
      </c>
      <c r="Q129" t="s">
        <v>166</v>
      </c>
      <c r="R129" t="s">
        <v>166</v>
      </c>
      <c r="S129" s="1">
        <v>46030</v>
      </c>
      <c r="T129" s="1">
        <v>46030</v>
      </c>
      <c r="U129" s="1">
        <v>46030</v>
      </c>
      <c r="V129" s="1">
        <v>46395</v>
      </c>
      <c r="W129" t="s">
        <v>38</v>
      </c>
      <c r="X129">
        <v>12</v>
      </c>
      <c r="Y129" t="s">
        <v>49</v>
      </c>
      <c r="Z129" t="s">
        <v>81</v>
      </c>
      <c r="AA129" t="s">
        <v>122</v>
      </c>
      <c r="AB129">
        <v>12</v>
      </c>
      <c r="AC129" t="s">
        <v>166</v>
      </c>
      <c r="AD129" t="s">
        <v>140</v>
      </c>
      <c r="AE129" t="s">
        <v>46</v>
      </c>
      <c r="AF129" t="s">
        <v>119</v>
      </c>
      <c r="AG129" t="str">
        <f t="shared" si="1"/>
        <v>Recorrente</v>
      </c>
      <c r="AH129" t="str">
        <f>IF(AND(SUMIF(E:E,E129,I:I)&gt;=400000,Q129="B2G"),"n","")</f>
        <v/>
      </c>
    </row>
    <row r="130" spans="1:34">
      <c r="A130">
        <v>2026</v>
      </c>
      <c r="B130">
        <v>1</v>
      </c>
      <c r="C130" s="83">
        <v>93004671635</v>
      </c>
      <c r="D130" t="s">
        <v>231</v>
      </c>
      <c r="E130">
        <v>50243571854</v>
      </c>
      <c r="F130">
        <v>625327</v>
      </c>
      <c r="G130">
        <v>45385103874</v>
      </c>
      <c r="H130" t="s">
        <v>35</v>
      </c>
      <c r="I130" s="36">
        <v>5514</v>
      </c>
      <c r="J130" s="36">
        <v>5514</v>
      </c>
      <c r="K130" s="85">
        <v>0</v>
      </c>
      <c r="L130" s="36">
        <v>459.5</v>
      </c>
      <c r="M130" s="36">
        <v>0</v>
      </c>
      <c r="N130" s="36">
        <v>93.74</v>
      </c>
      <c r="O130" s="36">
        <v>365.76</v>
      </c>
      <c r="P130" t="s">
        <v>165</v>
      </c>
      <c r="Q130" t="s">
        <v>166</v>
      </c>
      <c r="R130" t="s">
        <v>166</v>
      </c>
      <c r="S130" s="1">
        <v>46030</v>
      </c>
      <c r="T130" s="1">
        <v>46030</v>
      </c>
      <c r="U130" s="1">
        <v>46030</v>
      </c>
      <c r="V130" s="1">
        <v>46395</v>
      </c>
      <c r="W130" t="s">
        <v>38</v>
      </c>
      <c r="X130">
        <v>12</v>
      </c>
      <c r="Y130" t="s">
        <v>49</v>
      </c>
      <c r="Z130" t="s">
        <v>81</v>
      </c>
      <c r="AA130" t="s">
        <v>122</v>
      </c>
      <c r="AB130">
        <v>12</v>
      </c>
      <c r="AC130" t="s">
        <v>166</v>
      </c>
      <c r="AD130" t="s">
        <v>138</v>
      </c>
      <c r="AE130" t="s">
        <v>135</v>
      </c>
      <c r="AF130" t="s">
        <v>119</v>
      </c>
      <c r="AG130" t="str">
        <f t="shared" si="1"/>
        <v>Recorrente</v>
      </c>
      <c r="AH130" t="str">
        <f>IF(AND(SUMIF(E:E,E130,I:I)&gt;=400000,Q130="B2G"),"n","")</f>
        <v/>
      </c>
    </row>
    <row r="131" spans="1:34">
      <c r="A131">
        <v>2026</v>
      </c>
      <c r="B131">
        <v>1</v>
      </c>
      <c r="C131" s="83">
        <v>2094938</v>
      </c>
      <c r="D131" t="s">
        <v>232</v>
      </c>
      <c r="E131">
        <v>50275057922</v>
      </c>
      <c r="F131">
        <v>624209</v>
      </c>
      <c r="G131">
        <v>46353584302</v>
      </c>
      <c r="H131" t="s">
        <v>35</v>
      </c>
      <c r="I131" s="36">
        <v>4413</v>
      </c>
      <c r="J131" s="36">
        <v>4413</v>
      </c>
      <c r="K131" s="85">
        <v>0</v>
      </c>
      <c r="L131" s="36">
        <v>367.75</v>
      </c>
      <c r="M131" s="36">
        <v>0</v>
      </c>
      <c r="N131" s="36">
        <v>0</v>
      </c>
      <c r="O131" s="36">
        <v>367.75</v>
      </c>
      <c r="P131" t="s">
        <v>110</v>
      </c>
      <c r="Q131" t="s">
        <v>111</v>
      </c>
      <c r="R131" t="s">
        <v>111</v>
      </c>
      <c r="S131" s="1">
        <v>45995</v>
      </c>
      <c r="T131" s="1">
        <v>46023</v>
      </c>
      <c r="U131" s="1">
        <v>45995</v>
      </c>
      <c r="V131" s="1">
        <v>46360</v>
      </c>
      <c r="W131" t="s">
        <v>38</v>
      </c>
      <c r="X131">
        <v>12</v>
      </c>
      <c r="Y131" t="s">
        <v>49</v>
      </c>
      <c r="Z131" t="s">
        <v>81</v>
      </c>
      <c r="AA131" t="s">
        <v>112</v>
      </c>
      <c r="AB131">
        <v>12</v>
      </c>
      <c r="AC131" t="s">
        <v>113</v>
      </c>
      <c r="AD131" t="s">
        <v>138</v>
      </c>
      <c r="AE131" t="s">
        <v>135</v>
      </c>
      <c r="AF131" t="s">
        <v>119</v>
      </c>
      <c r="AG131" t="str">
        <f t="shared" ref="AG131:AG194" si="2">IF(IFERROR(SEARCH("Recorrente",AA131),0)&gt;0,"Recorrente",IF(AB131=1,"À Vista",IF(AB131&lt;=3,"CC 3x",IF(AB131&lt;=12,"CC 12x",IF(AB131&gt;12,"Recorrente","")))))</f>
        <v>CC 12x</v>
      </c>
      <c r="AH131" t="str">
        <f>IF(AND(SUMIF(E:E,E131,I:I)&gt;=400000,Q131="B2G"),"n","")</f>
        <v/>
      </c>
    </row>
    <row r="132" spans="1:34">
      <c r="A132">
        <v>2026</v>
      </c>
      <c r="B132">
        <v>1</v>
      </c>
      <c r="C132" s="83">
        <v>2081652</v>
      </c>
      <c r="D132" t="s">
        <v>233</v>
      </c>
      <c r="E132">
        <v>50353531321</v>
      </c>
      <c r="F132">
        <v>606694</v>
      </c>
      <c r="G132">
        <v>47234980901</v>
      </c>
      <c r="H132" t="s">
        <v>35</v>
      </c>
      <c r="I132" s="36">
        <v>2047.68</v>
      </c>
      <c r="J132" s="36">
        <v>2047.68</v>
      </c>
      <c r="K132" s="85">
        <v>0</v>
      </c>
      <c r="L132" s="36">
        <v>170.64</v>
      </c>
      <c r="M132" s="36">
        <v>0</v>
      </c>
      <c r="N132" s="36">
        <v>104.2</v>
      </c>
      <c r="O132" s="36">
        <v>66.4375</v>
      </c>
      <c r="P132" t="s">
        <v>116</v>
      </c>
      <c r="Q132" t="s">
        <v>111</v>
      </c>
      <c r="R132" t="s">
        <v>111</v>
      </c>
      <c r="S132" s="1">
        <v>46007</v>
      </c>
      <c r="T132" s="1">
        <v>46023</v>
      </c>
      <c r="U132" s="1">
        <v>46020</v>
      </c>
      <c r="V132" s="1">
        <v>46385</v>
      </c>
      <c r="W132" t="s">
        <v>38</v>
      </c>
      <c r="X132">
        <v>12</v>
      </c>
      <c r="Y132" t="s">
        <v>49</v>
      </c>
      <c r="Z132" t="s">
        <v>81</v>
      </c>
      <c r="AA132" t="s">
        <v>122</v>
      </c>
      <c r="AB132">
        <v>12</v>
      </c>
      <c r="AC132" t="s">
        <v>113</v>
      </c>
      <c r="AD132" t="s">
        <v>140</v>
      </c>
      <c r="AE132" t="s">
        <v>46</v>
      </c>
      <c r="AF132" t="s">
        <v>119</v>
      </c>
      <c r="AG132" t="str">
        <f t="shared" si="2"/>
        <v>Recorrente</v>
      </c>
      <c r="AH132" t="str">
        <f>IF(AND(SUMIF(E:E,E132,I:I)&gt;=400000,Q132="B2G"),"n","")</f>
        <v/>
      </c>
    </row>
    <row r="133" spans="1:34">
      <c r="A133">
        <v>2026</v>
      </c>
      <c r="B133">
        <v>1</v>
      </c>
      <c r="C133" s="83">
        <v>2096843</v>
      </c>
      <c r="D133" t="s">
        <v>234</v>
      </c>
      <c r="E133">
        <v>50367232565</v>
      </c>
      <c r="F133">
        <v>504825</v>
      </c>
      <c r="G133">
        <v>45657962833</v>
      </c>
      <c r="H133" t="s">
        <v>35</v>
      </c>
      <c r="I133" s="36">
        <v>2874</v>
      </c>
      <c r="J133" s="36">
        <v>2874</v>
      </c>
      <c r="K133" s="85">
        <v>0</v>
      </c>
      <c r="L133" s="36">
        <v>239.5</v>
      </c>
      <c r="M133" s="36">
        <v>0</v>
      </c>
      <c r="N133" s="36">
        <v>59.5</v>
      </c>
      <c r="O133" s="36">
        <v>180</v>
      </c>
      <c r="P133" t="s">
        <v>165</v>
      </c>
      <c r="Q133" t="s">
        <v>166</v>
      </c>
      <c r="R133" t="s">
        <v>166</v>
      </c>
      <c r="S133" s="1">
        <v>46031</v>
      </c>
      <c r="T133" s="1">
        <v>46031</v>
      </c>
      <c r="U133" s="1">
        <v>46031</v>
      </c>
      <c r="V133" s="1">
        <v>46396</v>
      </c>
      <c r="W133" t="s">
        <v>38</v>
      </c>
      <c r="X133">
        <v>12</v>
      </c>
      <c r="Y133" t="s">
        <v>49</v>
      </c>
      <c r="Z133" t="s">
        <v>81</v>
      </c>
      <c r="AA133" t="s">
        <v>112</v>
      </c>
      <c r="AB133">
        <v>12</v>
      </c>
      <c r="AC133" t="s">
        <v>166</v>
      </c>
      <c r="AD133" t="s">
        <v>118</v>
      </c>
      <c r="AE133" t="s">
        <v>43</v>
      </c>
      <c r="AF133" t="s">
        <v>119</v>
      </c>
      <c r="AG133" t="str">
        <f t="shared" si="2"/>
        <v>CC 12x</v>
      </c>
      <c r="AH133" t="str">
        <f>IF(AND(SUMIF(E:E,E133,I:I)&gt;=400000,Q133="B2G"),"n","")</f>
        <v/>
      </c>
    </row>
    <row r="134" spans="1:34">
      <c r="A134">
        <v>2026</v>
      </c>
      <c r="B134">
        <v>1</v>
      </c>
      <c r="C134" s="83">
        <v>59669144212</v>
      </c>
      <c r="D134" t="s">
        <v>235</v>
      </c>
      <c r="E134">
        <v>50370522024</v>
      </c>
      <c r="F134">
        <v>625344</v>
      </c>
      <c r="G134">
        <v>45643665817</v>
      </c>
      <c r="H134" t="s">
        <v>35</v>
      </c>
      <c r="I134" s="36">
        <v>2874</v>
      </c>
      <c r="J134" s="36">
        <v>2874</v>
      </c>
      <c r="K134" s="85">
        <v>0</v>
      </c>
      <c r="L134" s="36">
        <v>239.5</v>
      </c>
      <c r="M134" s="36">
        <v>0</v>
      </c>
      <c r="N134" s="36">
        <v>38.74</v>
      </c>
      <c r="O134" s="36">
        <v>200.76</v>
      </c>
      <c r="P134" t="s">
        <v>165</v>
      </c>
      <c r="Q134" t="s">
        <v>166</v>
      </c>
      <c r="R134" t="s">
        <v>166</v>
      </c>
      <c r="S134" s="1">
        <v>46031</v>
      </c>
      <c r="T134" s="1">
        <v>46031</v>
      </c>
      <c r="U134" s="1">
        <v>46031</v>
      </c>
      <c r="V134" s="1">
        <v>46396</v>
      </c>
      <c r="W134" t="s">
        <v>38</v>
      </c>
      <c r="X134">
        <v>12</v>
      </c>
      <c r="Y134" t="s">
        <v>49</v>
      </c>
      <c r="Z134" t="s">
        <v>81</v>
      </c>
      <c r="AA134" t="s">
        <v>112</v>
      </c>
      <c r="AB134">
        <v>12</v>
      </c>
      <c r="AC134" t="s">
        <v>166</v>
      </c>
      <c r="AD134" t="s">
        <v>118</v>
      </c>
      <c r="AE134" t="s">
        <v>43</v>
      </c>
      <c r="AF134" t="s">
        <v>119</v>
      </c>
      <c r="AG134" t="str">
        <f t="shared" si="2"/>
        <v>CC 12x</v>
      </c>
      <c r="AH134" t="str">
        <f>IF(AND(SUMIF(E:E,E134,I:I)&gt;=400000,Q134="B2G"),"n","")</f>
        <v/>
      </c>
    </row>
    <row r="135" spans="1:34">
      <c r="A135">
        <v>2026</v>
      </c>
      <c r="B135">
        <v>1</v>
      </c>
      <c r="C135" s="83">
        <v>2089442</v>
      </c>
      <c r="D135" t="s">
        <v>236</v>
      </c>
      <c r="E135">
        <v>50378651052</v>
      </c>
      <c r="F135">
        <v>607065</v>
      </c>
      <c r="G135">
        <v>45660132431</v>
      </c>
      <c r="H135" t="s">
        <v>35</v>
      </c>
      <c r="I135" s="36">
        <v>2874</v>
      </c>
      <c r="J135" s="36">
        <v>2874</v>
      </c>
      <c r="K135" s="85">
        <v>0</v>
      </c>
      <c r="L135" s="36">
        <v>239.5</v>
      </c>
      <c r="M135" s="36">
        <v>0</v>
      </c>
      <c r="N135" s="36">
        <v>42.33</v>
      </c>
      <c r="O135" s="36">
        <v>197.17</v>
      </c>
      <c r="P135" t="s">
        <v>165</v>
      </c>
      <c r="Q135" t="s">
        <v>166</v>
      </c>
      <c r="R135" t="s">
        <v>166</v>
      </c>
      <c r="S135" s="1">
        <v>46031</v>
      </c>
      <c r="T135" s="1">
        <v>46031</v>
      </c>
      <c r="U135" s="1">
        <v>46031</v>
      </c>
      <c r="V135" s="1">
        <v>46396</v>
      </c>
      <c r="W135" t="s">
        <v>38</v>
      </c>
      <c r="X135">
        <v>12</v>
      </c>
      <c r="Y135" t="s">
        <v>49</v>
      </c>
      <c r="Z135" t="s">
        <v>81</v>
      </c>
      <c r="AA135" t="s">
        <v>122</v>
      </c>
      <c r="AB135">
        <v>12</v>
      </c>
      <c r="AC135" t="s">
        <v>166</v>
      </c>
      <c r="AD135" t="s">
        <v>140</v>
      </c>
      <c r="AE135" t="s">
        <v>46</v>
      </c>
      <c r="AF135" t="s">
        <v>119</v>
      </c>
      <c r="AG135" t="str">
        <f t="shared" si="2"/>
        <v>Recorrente</v>
      </c>
      <c r="AH135" t="str">
        <f>IF(AND(SUMIF(E:E,E135,I:I)&gt;=400000,Q135="B2G"),"n","")</f>
        <v/>
      </c>
    </row>
    <row r="136" spans="1:34">
      <c r="A136">
        <v>2026</v>
      </c>
      <c r="B136">
        <v>1</v>
      </c>
      <c r="C136" s="83">
        <v>2069544</v>
      </c>
      <c r="D136" t="s">
        <v>237</v>
      </c>
      <c r="E136">
        <v>50379734080</v>
      </c>
      <c r="F136">
        <v>625366</v>
      </c>
      <c r="G136">
        <v>45637701218</v>
      </c>
      <c r="H136" t="s">
        <v>35</v>
      </c>
      <c r="I136" s="36">
        <v>2874</v>
      </c>
      <c r="J136" s="36">
        <v>2874</v>
      </c>
      <c r="K136" s="85">
        <v>0</v>
      </c>
      <c r="L136" s="36">
        <v>239.5</v>
      </c>
      <c r="M136" s="36">
        <v>0</v>
      </c>
      <c r="N136" s="36">
        <v>20.41</v>
      </c>
      <c r="O136" s="36">
        <v>219.09</v>
      </c>
      <c r="P136" t="s">
        <v>165</v>
      </c>
      <c r="Q136" t="s">
        <v>166</v>
      </c>
      <c r="R136" t="s">
        <v>166</v>
      </c>
      <c r="S136" s="1">
        <v>46031</v>
      </c>
      <c r="T136" s="1">
        <v>46031</v>
      </c>
      <c r="U136" s="1">
        <v>46031</v>
      </c>
      <c r="V136" s="1">
        <v>46396</v>
      </c>
      <c r="W136" t="s">
        <v>38</v>
      </c>
      <c r="X136">
        <v>12</v>
      </c>
      <c r="Y136" t="s">
        <v>49</v>
      </c>
      <c r="Z136" t="s">
        <v>81</v>
      </c>
      <c r="AA136" t="s">
        <v>112</v>
      </c>
      <c r="AB136">
        <v>12</v>
      </c>
      <c r="AC136" t="s">
        <v>166</v>
      </c>
      <c r="AD136" t="s">
        <v>140</v>
      </c>
      <c r="AE136" t="s">
        <v>46</v>
      </c>
      <c r="AF136" t="s">
        <v>119</v>
      </c>
      <c r="AG136" t="str">
        <f t="shared" si="2"/>
        <v>CC 12x</v>
      </c>
      <c r="AH136" t="str">
        <f>IF(AND(SUMIF(E:E,E136,I:I)&gt;=400000,Q136="B2G"),"n","")</f>
        <v/>
      </c>
    </row>
    <row r="137" spans="1:34">
      <c r="A137">
        <v>2026</v>
      </c>
      <c r="B137">
        <v>1</v>
      </c>
      <c r="C137" s="83">
        <v>145701478409</v>
      </c>
      <c r="D137" t="s">
        <v>238</v>
      </c>
      <c r="E137">
        <v>50382829906</v>
      </c>
      <c r="F137">
        <v>504838</v>
      </c>
      <c r="G137">
        <v>45643044185</v>
      </c>
      <c r="H137" t="s">
        <v>35</v>
      </c>
      <c r="I137" s="36">
        <v>7015.44</v>
      </c>
      <c r="J137" s="36">
        <v>7015.44</v>
      </c>
      <c r="K137" s="85">
        <v>0</v>
      </c>
      <c r="L137" s="36">
        <v>584.62</v>
      </c>
      <c r="M137" s="36">
        <v>0</v>
      </c>
      <c r="N137" s="36">
        <v>143.38</v>
      </c>
      <c r="O137" s="36">
        <v>441.25</v>
      </c>
      <c r="P137" t="s">
        <v>165</v>
      </c>
      <c r="Q137" t="s">
        <v>166</v>
      </c>
      <c r="R137" t="s">
        <v>166</v>
      </c>
      <c r="S137" s="1">
        <v>46031</v>
      </c>
      <c r="T137" s="1">
        <v>46031</v>
      </c>
      <c r="U137" s="1">
        <v>46031</v>
      </c>
      <c r="V137" s="1">
        <v>46396</v>
      </c>
      <c r="W137" t="s">
        <v>38</v>
      </c>
      <c r="X137">
        <v>12</v>
      </c>
      <c r="Y137" t="s">
        <v>49</v>
      </c>
      <c r="Z137" t="s">
        <v>81</v>
      </c>
      <c r="AA137" t="s">
        <v>122</v>
      </c>
      <c r="AB137">
        <v>12</v>
      </c>
      <c r="AC137" t="s">
        <v>166</v>
      </c>
      <c r="AD137" t="s">
        <v>134</v>
      </c>
      <c r="AE137" t="s">
        <v>135</v>
      </c>
      <c r="AF137" t="s">
        <v>44</v>
      </c>
      <c r="AG137" t="str">
        <f t="shared" si="2"/>
        <v>Recorrente</v>
      </c>
      <c r="AH137" t="str">
        <f>IF(AND(SUMIF(E:E,E137,I:I)&gt;=400000,Q137="B2G"),"n","")</f>
        <v/>
      </c>
    </row>
    <row r="138" spans="1:34">
      <c r="A138">
        <v>2026</v>
      </c>
      <c r="B138">
        <v>1</v>
      </c>
      <c r="C138" s="83">
        <v>2084131</v>
      </c>
      <c r="D138" t="s">
        <v>239</v>
      </c>
      <c r="E138">
        <v>50446136240</v>
      </c>
      <c r="F138">
        <v>522195</v>
      </c>
      <c r="G138">
        <v>47157300486</v>
      </c>
      <c r="H138" t="s">
        <v>35</v>
      </c>
      <c r="I138" s="36">
        <v>6000</v>
      </c>
      <c r="J138" s="36">
        <v>6000</v>
      </c>
      <c r="K138" s="85">
        <v>0</v>
      </c>
      <c r="L138" s="36">
        <v>500</v>
      </c>
      <c r="M138" s="36">
        <v>0</v>
      </c>
      <c r="N138" s="36">
        <v>105.99</v>
      </c>
      <c r="O138" s="36">
        <v>394.01</v>
      </c>
      <c r="P138" t="s">
        <v>121</v>
      </c>
      <c r="Q138" t="s">
        <v>111</v>
      </c>
      <c r="R138" t="s">
        <v>111</v>
      </c>
      <c r="S138" s="1">
        <v>46007</v>
      </c>
      <c r="T138" s="1">
        <v>46023</v>
      </c>
      <c r="U138" s="1">
        <v>46013</v>
      </c>
      <c r="V138" s="1">
        <v>46378</v>
      </c>
      <c r="W138" t="s">
        <v>38</v>
      </c>
      <c r="X138">
        <v>12</v>
      </c>
      <c r="Y138" t="s">
        <v>49</v>
      </c>
      <c r="Z138" t="s">
        <v>81</v>
      </c>
      <c r="AA138" t="s">
        <v>112</v>
      </c>
      <c r="AB138">
        <v>12</v>
      </c>
      <c r="AC138" t="s">
        <v>113</v>
      </c>
      <c r="AD138" t="s">
        <v>125</v>
      </c>
      <c r="AE138" t="s">
        <v>43</v>
      </c>
      <c r="AF138" t="s">
        <v>47</v>
      </c>
      <c r="AG138" t="str">
        <f t="shared" si="2"/>
        <v>CC 12x</v>
      </c>
      <c r="AH138" t="str">
        <f>IF(AND(SUMIF(E:E,E138,I:I)&gt;=400000,Q138="B2G"),"n","")</f>
        <v/>
      </c>
    </row>
    <row r="139" spans="1:34">
      <c r="A139">
        <v>2026</v>
      </c>
      <c r="B139">
        <v>1</v>
      </c>
      <c r="C139" s="83">
        <v>2063017</v>
      </c>
      <c r="D139" t="s">
        <v>240</v>
      </c>
      <c r="E139">
        <v>50449069884</v>
      </c>
      <c r="F139">
        <v>327923</v>
      </c>
      <c r="G139">
        <v>45851280514</v>
      </c>
      <c r="H139" t="s">
        <v>35</v>
      </c>
      <c r="I139" s="36">
        <v>4315.4399999999996</v>
      </c>
      <c r="J139" s="36">
        <v>4315.4399999999996</v>
      </c>
      <c r="K139" s="85">
        <v>0</v>
      </c>
      <c r="L139" s="36">
        <v>359.62</v>
      </c>
      <c r="M139" s="36">
        <v>0</v>
      </c>
      <c r="N139" s="36">
        <v>22.53</v>
      </c>
      <c r="O139" s="36">
        <v>337.1</v>
      </c>
      <c r="P139" t="s">
        <v>133</v>
      </c>
      <c r="Q139" t="s">
        <v>111</v>
      </c>
      <c r="R139" t="s">
        <v>111</v>
      </c>
      <c r="S139" s="1">
        <v>45989</v>
      </c>
      <c r="T139" s="1">
        <v>46023</v>
      </c>
      <c r="U139" s="1">
        <v>46016</v>
      </c>
      <c r="V139" s="1">
        <v>46381</v>
      </c>
      <c r="W139" t="s">
        <v>38</v>
      </c>
      <c r="X139">
        <v>12</v>
      </c>
      <c r="Y139" t="s">
        <v>49</v>
      </c>
      <c r="Z139" t="s">
        <v>81</v>
      </c>
      <c r="AA139" t="s">
        <v>112</v>
      </c>
      <c r="AB139">
        <v>12</v>
      </c>
      <c r="AC139" t="s">
        <v>113</v>
      </c>
      <c r="AD139" t="s">
        <v>85</v>
      </c>
      <c r="AE139" t="s">
        <v>46</v>
      </c>
      <c r="AF139" t="s">
        <v>44</v>
      </c>
      <c r="AG139" t="str">
        <f t="shared" si="2"/>
        <v>CC 12x</v>
      </c>
      <c r="AH139" t="str">
        <f>IF(AND(SUMIF(E:E,E139,I:I)&gt;=400000,Q139="B2G"),"n","")</f>
        <v/>
      </c>
    </row>
    <row r="140" spans="1:34">
      <c r="A140">
        <v>2026</v>
      </c>
      <c r="B140">
        <v>1</v>
      </c>
      <c r="C140" s="83">
        <v>116042374793</v>
      </c>
      <c r="D140" t="s">
        <v>241</v>
      </c>
      <c r="E140">
        <v>50451406123</v>
      </c>
      <c r="F140">
        <v>607141</v>
      </c>
      <c r="G140">
        <v>45766352245</v>
      </c>
      <c r="H140" t="s">
        <v>35</v>
      </c>
      <c r="I140" s="36">
        <v>4962.6000000000004</v>
      </c>
      <c r="J140" s="36">
        <v>4962.6000000000004</v>
      </c>
      <c r="K140" s="85">
        <v>0</v>
      </c>
      <c r="L140" s="36">
        <v>413.55</v>
      </c>
      <c r="M140" s="36">
        <v>0</v>
      </c>
      <c r="N140" s="36">
        <v>114.55</v>
      </c>
      <c r="O140" s="36">
        <v>299</v>
      </c>
      <c r="P140" t="s">
        <v>165</v>
      </c>
      <c r="Q140" t="s">
        <v>166</v>
      </c>
      <c r="R140" t="s">
        <v>166</v>
      </c>
      <c r="S140" s="1">
        <v>46032</v>
      </c>
      <c r="T140" s="1">
        <v>46032</v>
      </c>
      <c r="U140" s="1">
        <v>46032</v>
      </c>
      <c r="V140" s="1">
        <v>46397</v>
      </c>
      <c r="W140" t="s">
        <v>38</v>
      </c>
      <c r="X140">
        <v>12</v>
      </c>
      <c r="Y140" t="s">
        <v>49</v>
      </c>
      <c r="Z140" t="s">
        <v>81</v>
      </c>
      <c r="AA140" t="s">
        <v>122</v>
      </c>
      <c r="AB140">
        <v>12</v>
      </c>
      <c r="AC140" t="s">
        <v>166</v>
      </c>
      <c r="AD140" t="s">
        <v>138</v>
      </c>
      <c r="AE140" t="s">
        <v>135</v>
      </c>
      <c r="AF140" t="s">
        <v>119</v>
      </c>
      <c r="AG140" t="str">
        <f t="shared" si="2"/>
        <v>Recorrente</v>
      </c>
      <c r="AH140" t="str">
        <f>IF(AND(SUMIF(E:E,E140,I:I)&gt;=400000,Q140="B2G"),"n","")</f>
        <v/>
      </c>
    </row>
    <row r="141" spans="1:34">
      <c r="A141">
        <v>2026</v>
      </c>
      <c r="B141">
        <v>1</v>
      </c>
      <c r="C141" s="83">
        <v>2091759</v>
      </c>
      <c r="D141" t="s">
        <v>242</v>
      </c>
      <c r="E141">
        <v>50456341869</v>
      </c>
      <c r="F141">
        <v>328132</v>
      </c>
      <c r="G141">
        <v>45743531580</v>
      </c>
      <c r="H141" t="s">
        <v>35</v>
      </c>
      <c r="I141" s="36">
        <v>5127</v>
      </c>
      <c r="J141" s="36">
        <v>5127</v>
      </c>
      <c r="K141" s="85">
        <v>0</v>
      </c>
      <c r="L141" s="36">
        <v>427.25</v>
      </c>
      <c r="M141" s="36">
        <v>0</v>
      </c>
      <c r="N141" s="36">
        <v>169.13</v>
      </c>
      <c r="O141" s="36">
        <v>258.125</v>
      </c>
      <c r="P141" t="s">
        <v>165</v>
      </c>
      <c r="Q141" t="s">
        <v>166</v>
      </c>
      <c r="R141" t="s">
        <v>166</v>
      </c>
      <c r="S141" s="1">
        <v>46033</v>
      </c>
      <c r="T141" s="1">
        <v>46033</v>
      </c>
      <c r="U141" s="1">
        <v>46033</v>
      </c>
      <c r="V141" s="1">
        <v>46398</v>
      </c>
      <c r="W141" t="s">
        <v>38</v>
      </c>
      <c r="X141">
        <v>12</v>
      </c>
      <c r="Y141" t="s">
        <v>49</v>
      </c>
      <c r="Z141" t="s">
        <v>81</v>
      </c>
      <c r="AA141" t="s">
        <v>122</v>
      </c>
      <c r="AB141">
        <v>12</v>
      </c>
      <c r="AC141" t="s">
        <v>166</v>
      </c>
      <c r="AD141" t="s">
        <v>134</v>
      </c>
      <c r="AE141" t="s">
        <v>135</v>
      </c>
      <c r="AF141" t="s">
        <v>44</v>
      </c>
      <c r="AG141" t="str">
        <f t="shared" si="2"/>
        <v>Recorrente</v>
      </c>
      <c r="AH141" t="str">
        <f>IF(AND(SUMIF(E:E,E141,I:I)&gt;=400000,Q141="B2G"),"n","")</f>
        <v/>
      </c>
    </row>
    <row r="142" spans="1:34">
      <c r="A142">
        <v>2026</v>
      </c>
      <c r="B142">
        <v>1</v>
      </c>
      <c r="C142" s="83">
        <v>2091759</v>
      </c>
      <c r="D142" t="s">
        <v>242</v>
      </c>
      <c r="E142">
        <v>50456341869</v>
      </c>
      <c r="F142">
        <v>328132</v>
      </c>
      <c r="G142">
        <v>45803119658</v>
      </c>
      <c r="H142" t="s">
        <v>35</v>
      </c>
      <c r="I142" s="36">
        <v>5127</v>
      </c>
      <c r="J142" s="36">
        <v>5127</v>
      </c>
      <c r="K142" s="85">
        <v>0</v>
      </c>
      <c r="L142" s="36">
        <v>427.25</v>
      </c>
      <c r="M142" s="36">
        <v>0</v>
      </c>
      <c r="N142" s="36">
        <v>169.13</v>
      </c>
      <c r="O142" s="36">
        <v>258.125</v>
      </c>
      <c r="P142" t="s">
        <v>165</v>
      </c>
      <c r="Q142" t="s">
        <v>166</v>
      </c>
      <c r="R142" t="s">
        <v>166</v>
      </c>
      <c r="S142" s="1">
        <v>46033</v>
      </c>
      <c r="T142" s="1">
        <v>46033</v>
      </c>
      <c r="U142" s="1">
        <v>46033</v>
      </c>
      <c r="V142" s="1">
        <v>46398</v>
      </c>
      <c r="W142" t="s">
        <v>38</v>
      </c>
      <c r="X142">
        <v>12</v>
      </c>
      <c r="Y142" t="s">
        <v>49</v>
      </c>
      <c r="Z142" t="s">
        <v>81</v>
      </c>
      <c r="AA142" t="s">
        <v>122</v>
      </c>
      <c r="AB142">
        <v>12</v>
      </c>
      <c r="AC142" t="s">
        <v>166</v>
      </c>
      <c r="AD142" t="s">
        <v>243</v>
      </c>
      <c r="AE142" t="s">
        <v>95</v>
      </c>
      <c r="AF142" t="s">
        <v>244</v>
      </c>
      <c r="AG142" t="str">
        <f t="shared" si="2"/>
        <v>Recorrente</v>
      </c>
      <c r="AH142" t="str">
        <f>IF(AND(SUMIF(E:E,E142,I:I)&gt;=400000,Q142="B2G"),"n","")</f>
        <v/>
      </c>
    </row>
    <row r="143" spans="1:34">
      <c r="A143">
        <v>2026</v>
      </c>
      <c r="B143">
        <v>1</v>
      </c>
      <c r="C143" s="83">
        <v>44331693112</v>
      </c>
      <c r="D143" t="s">
        <v>245</v>
      </c>
      <c r="E143">
        <v>50457686673</v>
      </c>
      <c r="F143">
        <v>635808</v>
      </c>
      <c r="G143">
        <v>50350678669</v>
      </c>
      <c r="H143" t="s">
        <v>35</v>
      </c>
      <c r="I143" s="36">
        <v>5718.6</v>
      </c>
      <c r="J143" s="36">
        <v>5718.6</v>
      </c>
      <c r="K143" s="85">
        <v>0</v>
      </c>
      <c r="L143" s="36">
        <v>476.55</v>
      </c>
      <c r="M143" s="36">
        <v>476.55</v>
      </c>
      <c r="N143" s="36">
        <v>0</v>
      </c>
      <c r="O143" s="36">
        <v>0</v>
      </c>
      <c r="P143" t="s">
        <v>129</v>
      </c>
      <c r="Q143" t="s">
        <v>91</v>
      </c>
      <c r="R143" t="s">
        <v>91</v>
      </c>
      <c r="S143" s="1">
        <v>46051</v>
      </c>
      <c r="T143" s="1">
        <v>46051</v>
      </c>
      <c r="V143" s="1">
        <v>46416</v>
      </c>
      <c r="W143" t="s">
        <v>38</v>
      </c>
      <c r="X143">
        <v>12</v>
      </c>
      <c r="Y143" t="s">
        <v>49</v>
      </c>
      <c r="AA143" t="s">
        <v>117</v>
      </c>
      <c r="AB143">
        <v>1</v>
      </c>
      <c r="AC143" t="s">
        <v>93</v>
      </c>
      <c r="AD143" t="s">
        <v>149</v>
      </c>
      <c r="AE143" t="s">
        <v>43</v>
      </c>
      <c r="AF143" t="s">
        <v>96</v>
      </c>
      <c r="AG143" t="str">
        <f t="shared" si="2"/>
        <v>À Vista</v>
      </c>
      <c r="AH143" t="str">
        <f>IF(AND(SUMIF(E:E,E143,I:I)&gt;=400000,Q143="B2G"),"n","")</f>
        <v/>
      </c>
    </row>
    <row r="144" spans="1:34">
      <c r="A144">
        <v>2026</v>
      </c>
      <c r="B144">
        <v>1</v>
      </c>
      <c r="C144" s="83">
        <v>19435418455</v>
      </c>
      <c r="D144" t="s">
        <v>246</v>
      </c>
      <c r="E144">
        <v>50459489295</v>
      </c>
      <c r="F144">
        <v>607190</v>
      </c>
      <c r="G144">
        <v>45736117510</v>
      </c>
      <c r="H144" t="s">
        <v>35</v>
      </c>
      <c r="I144" s="36">
        <v>2874</v>
      </c>
      <c r="J144" s="36">
        <v>2874</v>
      </c>
      <c r="K144" s="85">
        <v>0</v>
      </c>
      <c r="L144" s="36">
        <v>239.5</v>
      </c>
      <c r="M144" s="36">
        <v>0</v>
      </c>
      <c r="N144" s="36">
        <v>69.989999999999995</v>
      </c>
      <c r="O144" s="36">
        <v>169.51</v>
      </c>
      <c r="P144" t="s">
        <v>165</v>
      </c>
      <c r="Q144" t="s">
        <v>166</v>
      </c>
      <c r="R144" t="s">
        <v>166</v>
      </c>
      <c r="S144" s="1">
        <v>46032</v>
      </c>
      <c r="T144" s="1">
        <v>46032</v>
      </c>
      <c r="U144" s="1">
        <v>46032</v>
      </c>
      <c r="V144" s="1">
        <v>46397</v>
      </c>
      <c r="W144" t="s">
        <v>38</v>
      </c>
      <c r="X144">
        <v>12</v>
      </c>
      <c r="Y144" t="s">
        <v>49</v>
      </c>
      <c r="Z144" t="s">
        <v>81</v>
      </c>
      <c r="AA144" t="s">
        <v>112</v>
      </c>
      <c r="AB144">
        <v>12</v>
      </c>
      <c r="AC144" t="s">
        <v>166</v>
      </c>
      <c r="AD144" t="s">
        <v>140</v>
      </c>
      <c r="AE144" t="s">
        <v>46</v>
      </c>
      <c r="AF144" t="s">
        <v>119</v>
      </c>
      <c r="AG144" t="str">
        <f t="shared" si="2"/>
        <v>CC 12x</v>
      </c>
      <c r="AH144" t="str">
        <f>IF(AND(SUMIF(E:E,E144,I:I)&gt;=400000,Q144="B2G"),"n","")</f>
        <v/>
      </c>
    </row>
    <row r="145" spans="1:34">
      <c r="A145">
        <v>2026</v>
      </c>
      <c r="B145">
        <v>1</v>
      </c>
      <c r="C145" s="83">
        <v>45934453807</v>
      </c>
      <c r="D145" t="s">
        <v>247</v>
      </c>
      <c r="E145">
        <v>50462023435</v>
      </c>
      <c r="F145">
        <v>635627</v>
      </c>
      <c r="G145">
        <v>49362998813</v>
      </c>
      <c r="H145" t="s">
        <v>35</v>
      </c>
      <c r="I145" s="36">
        <v>6900</v>
      </c>
      <c r="J145" s="36">
        <v>6900.03</v>
      </c>
      <c r="K145" s="85">
        <v>0</v>
      </c>
      <c r="L145" s="36">
        <v>575</v>
      </c>
      <c r="M145" s="36">
        <v>575</v>
      </c>
      <c r="N145" s="36">
        <v>0</v>
      </c>
      <c r="O145" s="36">
        <v>0</v>
      </c>
      <c r="P145" t="s">
        <v>90</v>
      </c>
      <c r="Q145" t="s">
        <v>91</v>
      </c>
      <c r="R145" t="s">
        <v>91</v>
      </c>
      <c r="S145" s="1">
        <v>46038</v>
      </c>
      <c r="T145" s="1">
        <v>46038</v>
      </c>
      <c r="V145" s="1">
        <v>46403</v>
      </c>
      <c r="W145" t="s">
        <v>38</v>
      </c>
      <c r="X145">
        <v>12</v>
      </c>
      <c r="Y145" t="s">
        <v>49</v>
      </c>
      <c r="AA145" t="s">
        <v>112</v>
      </c>
      <c r="AB145">
        <v>12</v>
      </c>
      <c r="AC145" t="s">
        <v>93</v>
      </c>
      <c r="AD145" t="s">
        <v>125</v>
      </c>
      <c r="AE145" t="s">
        <v>43</v>
      </c>
      <c r="AF145" t="s">
        <v>47</v>
      </c>
      <c r="AG145" t="str">
        <f t="shared" si="2"/>
        <v>CC 12x</v>
      </c>
      <c r="AH145" t="str">
        <f>IF(AND(SUMIF(E:E,E145,I:I)&gt;=400000,Q145="B2G"),"n","")</f>
        <v/>
      </c>
    </row>
    <row r="146" spans="1:34">
      <c r="A146">
        <v>2026</v>
      </c>
      <c r="B146">
        <v>1</v>
      </c>
      <c r="C146" s="83">
        <v>91588270673</v>
      </c>
      <c r="D146" t="s">
        <v>248</v>
      </c>
      <c r="E146">
        <v>50464082971</v>
      </c>
      <c r="F146">
        <v>605893</v>
      </c>
      <c r="G146">
        <v>45711598227</v>
      </c>
      <c r="H146" t="s">
        <v>35</v>
      </c>
      <c r="I146" s="36">
        <v>4027.8</v>
      </c>
      <c r="J146" s="36">
        <v>4027.8</v>
      </c>
      <c r="K146" s="85">
        <v>0</v>
      </c>
      <c r="L146" s="36">
        <v>335.65</v>
      </c>
      <c r="M146" s="36">
        <v>0</v>
      </c>
      <c r="N146" s="36">
        <v>166.18</v>
      </c>
      <c r="O146" s="36">
        <v>169.47</v>
      </c>
      <c r="P146" t="s">
        <v>110</v>
      </c>
      <c r="Q146" t="s">
        <v>111</v>
      </c>
      <c r="R146" t="s">
        <v>111</v>
      </c>
      <c r="S146" s="1">
        <v>45987</v>
      </c>
      <c r="T146" s="1">
        <v>46023</v>
      </c>
      <c r="U146" s="1">
        <v>46011</v>
      </c>
      <c r="V146" s="1">
        <v>46376</v>
      </c>
      <c r="W146" t="s">
        <v>38</v>
      </c>
      <c r="X146">
        <v>12</v>
      </c>
      <c r="Y146" t="s">
        <v>49</v>
      </c>
      <c r="Z146" t="s">
        <v>76</v>
      </c>
      <c r="AA146" t="s">
        <v>112</v>
      </c>
      <c r="AB146">
        <v>1</v>
      </c>
      <c r="AC146" t="s">
        <v>113</v>
      </c>
      <c r="AD146" t="s">
        <v>85</v>
      </c>
      <c r="AE146" t="s">
        <v>46</v>
      </c>
      <c r="AF146" t="s">
        <v>44</v>
      </c>
      <c r="AG146" t="str">
        <f t="shared" si="2"/>
        <v>À Vista</v>
      </c>
      <c r="AH146" t="str">
        <f>IF(AND(SUMIF(E:E,E146,I:I)&gt;=400000,Q146="B2G"),"n","")</f>
        <v/>
      </c>
    </row>
    <row r="147" spans="1:34">
      <c r="A147">
        <v>2026</v>
      </c>
      <c r="B147">
        <v>1</v>
      </c>
      <c r="C147" s="83">
        <v>30774127123</v>
      </c>
      <c r="D147" t="s">
        <v>249</v>
      </c>
      <c r="E147">
        <v>50464329226</v>
      </c>
      <c r="F147">
        <v>521342</v>
      </c>
      <c r="G147">
        <v>45842356834</v>
      </c>
      <c r="H147" t="s">
        <v>35</v>
      </c>
      <c r="I147" s="36">
        <v>10197.36</v>
      </c>
      <c r="J147" s="36">
        <v>10197.36</v>
      </c>
      <c r="K147" s="85">
        <v>0</v>
      </c>
      <c r="L147" s="36">
        <v>849.78</v>
      </c>
      <c r="M147" s="36">
        <v>0</v>
      </c>
      <c r="N147" s="36">
        <v>33.69</v>
      </c>
      <c r="O147" s="36">
        <v>816.09</v>
      </c>
      <c r="P147" t="s">
        <v>133</v>
      </c>
      <c r="Q147" t="s">
        <v>111</v>
      </c>
      <c r="R147" t="s">
        <v>111</v>
      </c>
      <c r="S147" s="1">
        <v>45992</v>
      </c>
      <c r="T147" s="1">
        <v>46023</v>
      </c>
      <c r="U147" s="1">
        <v>46006</v>
      </c>
      <c r="V147" s="1">
        <v>46371</v>
      </c>
      <c r="W147" t="s">
        <v>38</v>
      </c>
      <c r="X147">
        <v>12</v>
      </c>
      <c r="Y147" t="s">
        <v>49</v>
      </c>
      <c r="Z147" t="s">
        <v>81</v>
      </c>
      <c r="AA147" t="s">
        <v>122</v>
      </c>
      <c r="AB147">
        <v>12</v>
      </c>
      <c r="AC147" t="s">
        <v>113</v>
      </c>
      <c r="AD147" t="s">
        <v>146</v>
      </c>
      <c r="AE147" t="s">
        <v>135</v>
      </c>
      <c r="AF147" t="s">
        <v>96</v>
      </c>
      <c r="AG147" t="str">
        <f t="shared" si="2"/>
        <v>Recorrente</v>
      </c>
      <c r="AH147" t="str">
        <f>IF(AND(SUMIF(E:E,E147,I:I)&gt;=400000,Q147="B2G"),"n","")</f>
        <v/>
      </c>
    </row>
    <row r="148" spans="1:34">
      <c r="A148">
        <v>2026</v>
      </c>
      <c r="B148">
        <v>1</v>
      </c>
      <c r="C148" s="83">
        <v>198517576737</v>
      </c>
      <c r="D148" t="s">
        <v>250</v>
      </c>
      <c r="E148">
        <v>50469473311</v>
      </c>
      <c r="F148">
        <v>302475</v>
      </c>
      <c r="G148">
        <v>47127713141</v>
      </c>
      <c r="H148" t="s">
        <v>35</v>
      </c>
      <c r="I148" s="36">
        <v>2868</v>
      </c>
      <c r="J148" s="36">
        <v>2868</v>
      </c>
      <c r="K148" s="85">
        <v>0</v>
      </c>
      <c r="L148" s="36">
        <v>239</v>
      </c>
      <c r="M148" s="36">
        <v>0</v>
      </c>
      <c r="N148" s="36">
        <v>40.83</v>
      </c>
      <c r="O148" s="36">
        <v>198.1704167</v>
      </c>
      <c r="P148" t="s">
        <v>137</v>
      </c>
      <c r="Q148" t="s">
        <v>111</v>
      </c>
      <c r="R148" t="s">
        <v>111</v>
      </c>
      <c r="S148" s="1">
        <v>46006</v>
      </c>
      <c r="T148" s="1">
        <v>46023</v>
      </c>
      <c r="U148" s="1">
        <v>46021</v>
      </c>
      <c r="V148" s="1">
        <v>46386</v>
      </c>
      <c r="W148" t="s">
        <v>38</v>
      </c>
      <c r="X148">
        <v>12</v>
      </c>
      <c r="Y148" t="s">
        <v>49</v>
      </c>
      <c r="Z148" t="s">
        <v>76</v>
      </c>
      <c r="AA148" t="s">
        <v>122</v>
      </c>
      <c r="AB148">
        <v>12</v>
      </c>
      <c r="AC148" t="s">
        <v>113</v>
      </c>
      <c r="AD148" t="s">
        <v>140</v>
      </c>
      <c r="AE148" t="s">
        <v>46</v>
      </c>
      <c r="AF148" t="s">
        <v>119</v>
      </c>
      <c r="AG148" t="str">
        <f t="shared" si="2"/>
        <v>Recorrente</v>
      </c>
      <c r="AH148" t="str">
        <f>IF(AND(SUMIF(E:E,E148,I:I)&gt;=400000,Q148="B2G"),"n","")</f>
        <v/>
      </c>
    </row>
    <row r="149" spans="1:34">
      <c r="A149">
        <v>2026</v>
      </c>
      <c r="B149">
        <v>1</v>
      </c>
      <c r="C149" s="83">
        <v>19435600015</v>
      </c>
      <c r="D149" t="s">
        <v>251</v>
      </c>
      <c r="E149">
        <v>50471060090</v>
      </c>
      <c r="F149">
        <v>607057</v>
      </c>
      <c r="G149">
        <v>45746154558</v>
      </c>
      <c r="H149" t="s">
        <v>35</v>
      </c>
      <c r="I149" s="36">
        <v>2874</v>
      </c>
      <c r="J149" s="36">
        <v>2874</v>
      </c>
      <c r="K149" s="85">
        <v>0</v>
      </c>
      <c r="L149" s="36">
        <v>239.5</v>
      </c>
      <c r="M149" s="36">
        <v>0</v>
      </c>
      <c r="N149" s="36">
        <v>58.83</v>
      </c>
      <c r="O149" s="36">
        <v>180.67</v>
      </c>
      <c r="P149" t="s">
        <v>165</v>
      </c>
      <c r="Q149" t="s">
        <v>166</v>
      </c>
      <c r="R149" t="s">
        <v>166</v>
      </c>
      <c r="S149" s="1">
        <v>46033</v>
      </c>
      <c r="T149" s="1">
        <v>46033</v>
      </c>
      <c r="U149" s="1">
        <v>46033</v>
      </c>
      <c r="V149" s="1">
        <v>46398</v>
      </c>
      <c r="W149" t="s">
        <v>38</v>
      </c>
      <c r="X149">
        <v>12</v>
      </c>
      <c r="Y149" t="s">
        <v>49</v>
      </c>
      <c r="Z149" t="s">
        <v>81</v>
      </c>
      <c r="AA149" t="s">
        <v>112</v>
      </c>
      <c r="AB149">
        <v>12</v>
      </c>
      <c r="AC149" t="s">
        <v>166</v>
      </c>
      <c r="AD149" t="s">
        <v>118</v>
      </c>
      <c r="AE149" t="s">
        <v>43</v>
      </c>
      <c r="AF149" t="s">
        <v>119</v>
      </c>
      <c r="AG149" t="str">
        <f t="shared" si="2"/>
        <v>CC 12x</v>
      </c>
      <c r="AH149" t="str">
        <f>IF(AND(SUMIF(E:E,E149,I:I)&gt;=400000,Q149="B2G"),"n","")</f>
        <v/>
      </c>
    </row>
    <row r="150" spans="1:34">
      <c r="A150">
        <v>2026</v>
      </c>
      <c r="B150">
        <v>1</v>
      </c>
      <c r="C150" s="83">
        <v>195572367194</v>
      </c>
      <c r="D150" t="s">
        <v>252</v>
      </c>
      <c r="E150">
        <v>50472217682</v>
      </c>
      <c r="F150">
        <v>524377</v>
      </c>
      <c r="G150">
        <v>45732267568</v>
      </c>
      <c r="H150" t="s">
        <v>35</v>
      </c>
      <c r="I150" s="36">
        <v>3607.8</v>
      </c>
      <c r="J150" s="36">
        <v>3607.8</v>
      </c>
      <c r="K150" s="85">
        <v>0</v>
      </c>
      <c r="L150" s="36">
        <v>300.64999999999998</v>
      </c>
      <c r="M150" s="36">
        <v>0</v>
      </c>
      <c r="N150" s="36">
        <v>170.96</v>
      </c>
      <c r="O150" s="36">
        <v>129.69</v>
      </c>
      <c r="P150" t="s">
        <v>165</v>
      </c>
      <c r="Q150" t="s">
        <v>166</v>
      </c>
      <c r="R150" t="s">
        <v>166</v>
      </c>
      <c r="S150" s="1">
        <v>46032</v>
      </c>
      <c r="T150" s="1">
        <v>46032</v>
      </c>
      <c r="U150" s="1">
        <v>46032</v>
      </c>
      <c r="V150" s="1">
        <v>46397</v>
      </c>
      <c r="W150" t="s">
        <v>38</v>
      </c>
      <c r="X150">
        <v>12</v>
      </c>
      <c r="Y150" t="s">
        <v>49</v>
      </c>
      <c r="Z150" t="s">
        <v>81</v>
      </c>
      <c r="AA150" t="s">
        <v>112</v>
      </c>
      <c r="AB150">
        <v>3</v>
      </c>
      <c r="AC150" t="s">
        <v>166</v>
      </c>
      <c r="AD150" t="s">
        <v>229</v>
      </c>
      <c r="AE150" t="s">
        <v>43</v>
      </c>
      <c r="AF150" t="s">
        <v>96</v>
      </c>
      <c r="AG150" t="str">
        <f t="shared" si="2"/>
        <v>CC 3x</v>
      </c>
      <c r="AH150" t="str">
        <f>IF(AND(SUMIF(E:E,E150,I:I)&gt;=400000,Q150="B2G"),"n","")</f>
        <v/>
      </c>
    </row>
    <row r="151" spans="1:34">
      <c r="A151">
        <v>2026</v>
      </c>
      <c r="B151">
        <v>1</v>
      </c>
      <c r="C151" s="83">
        <v>195572367194</v>
      </c>
      <c r="D151" t="s">
        <v>252</v>
      </c>
      <c r="E151">
        <v>50472217682</v>
      </c>
      <c r="F151">
        <v>524377</v>
      </c>
      <c r="G151">
        <v>45736889156</v>
      </c>
      <c r="H151" t="s">
        <v>35</v>
      </c>
      <c r="I151" s="36">
        <v>3607.8</v>
      </c>
      <c r="J151" s="36">
        <v>3607.8</v>
      </c>
      <c r="K151" s="85">
        <v>0</v>
      </c>
      <c r="L151" s="36">
        <v>300.64999999999998</v>
      </c>
      <c r="M151" s="36">
        <v>0</v>
      </c>
      <c r="N151" s="36">
        <v>170.96</v>
      </c>
      <c r="O151" s="36">
        <v>129.69</v>
      </c>
      <c r="P151" t="s">
        <v>165</v>
      </c>
      <c r="Q151" t="s">
        <v>166</v>
      </c>
      <c r="R151" t="s">
        <v>166</v>
      </c>
      <c r="S151" s="1">
        <v>46032</v>
      </c>
      <c r="T151" s="1">
        <v>46032</v>
      </c>
      <c r="U151" s="1">
        <v>46032</v>
      </c>
      <c r="V151" s="1">
        <v>46397</v>
      </c>
      <c r="W151" t="s">
        <v>38</v>
      </c>
      <c r="X151">
        <v>12</v>
      </c>
      <c r="Y151" t="s">
        <v>49</v>
      </c>
      <c r="Z151" t="s">
        <v>81</v>
      </c>
      <c r="AA151" t="s">
        <v>112</v>
      </c>
      <c r="AB151">
        <v>3</v>
      </c>
      <c r="AC151" t="s">
        <v>166</v>
      </c>
      <c r="AD151" t="s">
        <v>229</v>
      </c>
      <c r="AE151" t="s">
        <v>43</v>
      </c>
      <c r="AF151" t="s">
        <v>96</v>
      </c>
      <c r="AG151" t="str">
        <f t="shared" si="2"/>
        <v>CC 3x</v>
      </c>
      <c r="AH151" t="str">
        <f>IF(AND(SUMIF(E:E,E151,I:I)&gt;=400000,Q151="B2G"),"n","")</f>
        <v/>
      </c>
    </row>
    <row r="152" spans="1:34">
      <c r="A152">
        <v>2026</v>
      </c>
      <c r="B152">
        <v>1</v>
      </c>
      <c r="C152" s="83">
        <v>2112476</v>
      </c>
      <c r="D152" t="s">
        <v>253</v>
      </c>
      <c r="E152">
        <v>50472481406</v>
      </c>
      <c r="F152">
        <v>605009</v>
      </c>
      <c r="G152">
        <v>45846549679</v>
      </c>
      <c r="H152" t="s">
        <v>35</v>
      </c>
      <c r="I152" s="36">
        <v>6758.28</v>
      </c>
      <c r="J152" s="36">
        <v>6758.28</v>
      </c>
      <c r="K152" s="85">
        <v>0</v>
      </c>
      <c r="L152" s="36">
        <v>563.19000000000005</v>
      </c>
      <c r="M152" s="36">
        <v>0</v>
      </c>
      <c r="N152" s="36">
        <v>69.94</v>
      </c>
      <c r="O152" s="36">
        <v>493.25</v>
      </c>
      <c r="P152" t="s">
        <v>162</v>
      </c>
      <c r="Q152" t="s">
        <v>111</v>
      </c>
      <c r="R152" t="s">
        <v>111</v>
      </c>
      <c r="S152" s="1">
        <v>45989</v>
      </c>
      <c r="T152" s="1">
        <v>46023</v>
      </c>
      <c r="U152" s="1">
        <v>45997</v>
      </c>
      <c r="V152" s="1">
        <v>46362</v>
      </c>
      <c r="W152" t="s">
        <v>38</v>
      </c>
      <c r="X152">
        <v>12</v>
      </c>
      <c r="Y152" t="s">
        <v>49</v>
      </c>
      <c r="Z152" t="s">
        <v>76</v>
      </c>
      <c r="AA152" t="s">
        <v>117</v>
      </c>
      <c r="AB152">
        <v>1</v>
      </c>
      <c r="AC152" t="s">
        <v>113</v>
      </c>
      <c r="AD152" t="s">
        <v>134</v>
      </c>
      <c r="AE152" t="s">
        <v>135</v>
      </c>
      <c r="AF152" t="s">
        <v>44</v>
      </c>
      <c r="AG152" t="str">
        <f t="shared" si="2"/>
        <v>À Vista</v>
      </c>
      <c r="AH152" t="str">
        <f>IF(AND(SUMIF(E:E,E152,I:I)&gt;=400000,Q152="B2G"),"n","")</f>
        <v/>
      </c>
    </row>
    <row r="153" spans="1:34">
      <c r="A153">
        <v>2026</v>
      </c>
      <c r="B153">
        <v>1</v>
      </c>
      <c r="C153" s="83">
        <v>183410614372</v>
      </c>
      <c r="D153" t="s">
        <v>254</v>
      </c>
      <c r="E153">
        <v>50472615246</v>
      </c>
      <c r="F153">
        <v>607207</v>
      </c>
      <c r="G153">
        <v>45807868325</v>
      </c>
      <c r="H153" t="s">
        <v>35</v>
      </c>
      <c r="I153" s="36">
        <v>8418.6</v>
      </c>
      <c r="J153" s="36">
        <v>8418.6</v>
      </c>
      <c r="K153" s="85">
        <v>0</v>
      </c>
      <c r="L153" s="36">
        <v>701.55</v>
      </c>
      <c r="M153" s="36">
        <v>0</v>
      </c>
      <c r="N153" s="36">
        <v>247.25</v>
      </c>
      <c r="O153" s="36">
        <v>454.3</v>
      </c>
      <c r="P153" t="s">
        <v>165</v>
      </c>
      <c r="Q153" t="s">
        <v>166</v>
      </c>
      <c r="R153" t="s">
        <v>166</v>
      </c>
      <c r="S153" s="1">
        <v>46042</v>
      </c>
      <c r="T153" s="1">
        <v>46042</v>
      </c>
      <c r="U153" s="1">
        <v>46033</v>
      </c>
      <c r="V153" s="1">
        <v>46398</v>
      </c>
      <c r="W153" t="s">
        <v>38</v>
      </c>
      <c r="X153">
        <v>12</v>
      </c>
      <c r="Y153" t="s">
        <v>49</v>
      </c>
      <c r="Z153" t="s">
        <v>81</v>
      </c>
      <c r="AA153" t="s">
        <v>112</v>
      </c>
      <c r="AB153">
        <v>12</v>
      </c>
      <c r="AC153" t="s">
        <v>166</v>
      </c>
      <c r="AD153" t="s">
        <v>134</v>
      </c>
      <c r="AE153" t="s">
        <v>135</v>
      </c>
      <c r="AF153" t="s">
        <v>44</v>
      </c>
      <c r="AG153" t="str">
        <f t="shared" si="2"/>
        <v>CC 12x</v>
      </c>
      <c r="AH153" t="str">
        <f>IF(AND(SUMIF(E:E,E153,I:I)&gt;=400000,Q153="B2G"),"n","")</f>
        <v/>
      </c>
    </row>
    <row r="154" spans="1:34">
      <c r="A154">
        <v>2026</v>
      </c>
      <c r="B154">
        <v>1</v>
      </c>
      <c r="C154" s="83">
        <v>19435447731</v>
      </c>
      <c r="D154" t="s">
        <v>255</v>
      </c>
      <c r="E154">
        <v>50474052525</v>
      </c>
      <c r="F154">
        <v>605630</v>
      </c>
      <c r="G154">
        <v>47268147097</v>
      </c>
      <c r="H154" t="s">
        <v>35</v>
      </c>
      <c r="I154" s="36">
        <v>4833</v>
      </c>
      <c r="J154" s="36">
        <v>4833</v>
      </c>
      <c r="K154" s="85">
        <v>0</v>
      </c>
      <c r="L154" s="36">
        <v>402.75</v>
      </c>
      <c r="M154" s="36">
        <v>0</v>
      </c>
      <c r="N154" s="36">
        <v>0</v>
      </c>
      <c r="O154" s="36">
        <v>402.75</v>
      </c>
      <c r="P154" t="s">
        <v>127</v>
      </c>
      <c r="Q154" t="s">
        <v>111</v>
      </c>
      <c r="R154" t="s">
        <v>111</v>
      </c>
      <c r="S154" s="1">
        <v>46010</v>
      </c>
      <c r="T154" s="1">
        <v>46023</v>
      </c>
      <c r="U154" s="1">
        <v>46013</v>
      </c>
      <c r="V154" s="1">
        <v>46378</v>
      </c>
      <c r="W154" t="s">
        <v>38</v>
      </c>
      <c r="X154">
        <v>12</v>
      </c>
      <c r="Y154" t="s">
        <v>49</v>
      </c>
      <c r="Z154" t="s">
        <v>81</v>
      </c>
      <c r="AA154" t="s">
        <v>117</v>
      </c>
      <c r="AB154">
        <v>1</v>
      </c>
      <c r="AC154" t="s">
        <v>113</v>
      </c>
      <c r="AD154" t="s">
        <v>256</v>
      </c>
      <c r="AE154" t="s">
        <v>257</v>
      </c>
      <c r="AF154" t="s">
        <v>59</v>
      </c>
      <c r="AG154" t="str">
        <f t="shared" si="2"/>
        <v>À Vista</v>
      </c>
      <c r="AH154" t="str">
        <f>IF(AND(SUMIF(E:E,E154,I:I)&gt;=400000,Q154="B2G"),"n","")</f>
        <v/>
      </c>
    </row>
    <row r="155" spans="1:34">
      <c r="A155">
        <v>2026</v>
      </c>
      <c r="B155">
        <v>1</v>
      </c>
      <c r="C155" s="83">
        <v>19485501554</v>
      </c>
      <c r="D155" t="s">
        <v>258</v>
      </c>
      <c r="E155">
        <v>50474996380</v>
      </c>
      <c r="F155">
        <v>327828</v>
      </c>
      <c r="G155">
        <v>45759745912</v>
      </c>
      <c r="H155" t="s">
        <v>35</v>
      </c>
      <c r="I155" s="36">
        <v>8634.6</v>
      </c>
      <c r="J155" s="36">
        <v>8634.6</v>
      </c>
      <c r="K155" s="85">
        <v>0</v>
      </c>
      <c r="L155" s="36">
        <v>719.55</v>
      </c>
      <c r="M155" s="36">
        <v>0</v>
      </c>
      <c r="N155" s="36">
        <v>178.61</v>
      </c>
      <c r="O155" s="36">
        <v>540.94000000000005</v>
      </c>
      <c r="P155" t="s">
        <v>165</v>
      </c>
      <c r="Q155" t="s">
        <v>166</v>
      </c>
      <c r="R155" t="s">
        <v>166</v>
      </c>
      <c r="S155" s="1">
        <v>46032</v>
      </c>
      <c r="T155" s="1">
        <v>46032</v>
      </c>
      <c r="U155" s="1">
        <v>46032</v>
      </c>
      <c r="V155" s="1">
        <v>46397</v>
      </c>
      <c r="W155" t="s">
        <v>38</v>
      </c>
      <c r="X155">
        <v>12</v>
      </c>
      <c r="Y155" t="s">
        <v>49</v>
      </c>
      <c r="Z155" t="s">
        <v>81</v>
      </c>
      <c r="AA155" t="s">
        <v>112</v>
      </c>
      <c r="AB155">
        <v>12</v>
      </c>
      <c r="AC155" t="s">
        <v>166</v>
      </c>
      <c r="AD155" t="s">
        <v>131</v>
      </c>
      <c r="AE155" t="s">
        <v>46</v>
      </c>
      <c r="AF155" t="s">
        <v>96</v>
      </c>
      <c r="AG155" t="str">
        <f t="shared" si="2"/>
        <v>CC 12x</v>
      </c>
      <c r="AH155" t="str">
        <f>IF(AND(SUMIF(E:E,E155,I:I)&gt;=400000,Q155="B2G"),"n","")</f>
        <v/>
      </c>
    </row>
    <row r="156" spans="1:34">
      <c r="A156">
        <v>2026</v>
      </c>
      <c r="B156">
        <v>1</v>
      </c>
      <c r="C156" s="83">
        <v>81318833277</v>
      </c>
      <c r="D156" t="s">
        <v>259</v>
      </c>
      <c r="E156">
        <v>50487247762</v>
      </c>
      <c r="F156">
        <v>625389</v>
      </c>
      <c r="G156">
        <v>45746767950</v>
      </c>
      <c r="H156" t="s">
        <v>35</v>
      </c>
      <c r="I156" s="36">
        <v>2874</v>
      </c>
      <c r="J156" s="36">
        <v>2874</v>
      </c>
      <c r="K156" s="85">
        <v>0</v>
      </c>
      <c r="L156" s="36">
        <v>239.5</v>
      </c>
      <c r="M156" s="36">
        <v>0</v>
      </c>
      <c r="N156" s="36">
        <v>38.75</v>
      </c>
      <c r="O156" s="36">
        <v>200.75</v>
      </c>
      <c r="P156" t="s">
        <v>165</v>
      </c>
      <c r="Q156" t="s">
        <v>166</v>
      </c>
      <c r="R156" t="s">
        <v>166</v>
      </c>
      <c r="S156" s="1">
        <v>46032</v>
      </c>
      <c r="T156" s="1">
        <v>46032</v>
      </c>
      <c r="U156" s="1">
        <v>46032</v>
      </c>
      <c r="V156" s="1">
        <v>46397</v>
      </c>
      <c r="W156" t="s">
        <v>38</v>
      </c>
      <c r="X156">
        <v>12</v>
      </c>
      <c r="Y156" t="s">
        <v>49</v>
      </c>
      <c r="Z156" t="s">
        <v>81</v>
      </c>
      <c r="AA156" t="s">
        <v>122</v>
      </c>
      <c r="AB156">
        <v>12</v>
      </c>
      <c r="AC156" t="s">
        <v>166</v>
      </c>
      <c r="AD156" t="s">
        <v>118</v>
      </c>
      <c r="AE156" t="s">
        <v>43</v>
      </c>
      <c r="AF156" t="s">
        <v>119</v>
      </c>
      <c r="AG156" t="str">
        <f t="shared" si="2"/>
        <v>Recorrente</v>
      </c>
      <c r="AH156" t="str">
        <f>IF(AND(SUMIF(E:E,E156,I:I)&gt;=400000,Q156="B2G"),"n","")</f>
        <v/>
      </c>
    </row>
    <row r="157" spans="1:34">
      <c r="A157">
        <v>2026</v>
      </c>
      <c r="B157">
        <v>1</v>
      </c>
      <c r="C157" s="83">
        <v>48464076967</v>
      </c>
      <c r="D157" t="s">
        <v>260</v>
      </c>
      <c r="E157">
        <v>50521673016</v>
      </c>
      <c r="F157">
        <v>624595</v>
      </c>
      <c r="G157">
        <v>47234979917</v>
      </c>
      <c r="H157" t="s">
        <v>35</v>
      </c>
      <c r="I157" s="36">
        <v>2424</v>
      </c>
      <c r="J157" s="36">
        <v>2424</v>
      </c>
      <c r="K157" s="85">
        <v>0</v>
      </c>
      <c r="L157" s="36">
        <v>202</v>
      </c>
      <c r="M157" s="36">
        <v>202</v>
      </c>
      <c r="N157" s="36">
        <v>0</v>
      </c>
      <c r="O157" s="36">
        <v>0</v>
      </c>
      <c r="P157" t="s">
        <v>121</v>
      </c>
      <c r="Q157" t="s">
        <v>111</v>
      </c>
      <c r="R157" t="s">
        <v>111</v>
      </c>
      <c r="S157" s="1">
        <v>46007</v>
      </c>
      <c r="T157" s="1">
        <v>46023</v>
      </c>
      <c r="U157" s="1">
        <v>45995</v>
      </c>
      <c r="V157" s="1">
        <v>46372</v>
      </c>
      <c r="W157" t="s">
        <v>38</v>
      </c>
      <c r="X157">
        <v>12</v>
      </c>
      <c r="Y157" t="s">
        <v>49</v>
      </c>
      <c r="Z157" t="s">
        <v>81</v>
      </c>
      <c r="AA157" t="s">
        <v>122</v>
      </c>
      <c r="AB157">
        <v>12</v>
      </c>
      <c r="AC157" t="s">
        <v>113</v>
      </c>
      <c r="AD157" t="s">
        <v>140</v>
      </c>
      <c r="AE157" t="s">
        <v>46</v>
      </c>
      <c r="AF157" t="s">
        <v>119</v>
      </c>
      <c r="AG157" t="str">
        <f t="shared" si="2"/>
        <v>Recorrente</v>
      </c>
      <c r="AH157" t="str">
        <f>IF(AND(SUMIF(E:E,E157,I:I)&gt;=400000,Q157="B2G"),"n","")</f>
        <v/>
      </c>
    </row>
    <row r="158" spans="1:34">
      <c r="A158">
        <v>2026</v>
      </c>
      <c r="B158">
        <v>1</v>
      </c>
      <c r="C158" s="83">
        <v>2126747</v>
      </c>
      <c r="D158" t="s">
        <v>261</v>
      </c>
      <c r="E158">
        <v>50526322604</v>
      </c>
      <c r="F158">
        <v>607253</v>
      </c>
      <c r="G158">
        <v>45726617421</v>
      </c>
      <c r="H158" t="s">
        <v>35</v>
      </c>
      <c r="I158" s="36">
        <v>5514</v>
      </c>
      <c r="J158" s="36">
        <v>5514</v>
      </c>
      <c r="K158" s="85">
        <v>0</v>
      </c>
      <c r="L158" s="36">
        <v>459.5</v>
      </c>
      <c r="M158" s="36">
        <v>0</v>
      </c>
      <c r="N158" s="36">
        <v>100.4</v>
      </c>
      <c r="O158" s="36">
        <v>359.1</v>
      </c>
      <c r="P158" t="s">
        <v>165</v>
      </c>
      <c r="Q158" t="s">
        <v>166</v>
      </c>
      <c r="R158" t="s">
        <v>166</v>
      </c>
      <c r="S158" s="1">
        <v>46033</v>
      </c>
      <c r="T158" s="1">
        <v>46033</v>
      </c>
      <c r="U158" s="1">
        <v>46033</v>
      </c>
      <c r="V158" s="1">
        <v>46398</v>
      </c>
      <c r="W158" t="s">
        <v>38</v>
      </c>
      <c r="X158">
        <v>12</v>
      </c>
      <c r="Y158" t="s">
        <v>49</v>
      </c>
      <c r="Z158" t="s">
        <v>81</v>
      </c>
      <c r="AA158" t="s">
        <v>122</v>
      </c>
      <c r="AB158">
        <v>12</v>
      </c>
      <c r="AC158" t="s">
        <v>166</v>
      </c>
      <c r="AD158" t="s">
        <v>138</v>
      </c>
      <c r="AE158" t="s">
        <v>135</v>
      </c>
      <c r="AF158" t="s">
        <v>119</v>
      </c>
      <c r="AG158" t="str">
        <f t="shared" si="2"/>
        <v>Recorrente</v>
      </c>
      <c r="AH158" t="str">
        <f>IF(AND(SUMIF(E:E,E158,I:I)&gt;=400000,Q158="B2G"),"n","")</f>
        <v/>
      </c>
    </row>
    <row r="159" spans="1:34">
      <c r="A159">
        <v>2026</v>
      </c>
      <c r="B159">
        <v>1</v>
      </c>
      <c r="C159" s="83">
        <v>2097051</v>
      </c>
      <c r="D159" t="s">
        <v>262</v>
      </c>
      <c r="E159">
        <v>50552729692</v>
      </c>
      <c r="F159">
        <v>327417</v>
      </c>
      <c r="G159">
        <v>46515896133</v>
      </c>
      <c r="H159" t="s">
        <v>35</v>
      </c>
      <c r="I159" s="36">
        <v>8636.4</v>
      </c>
      <c r="J159" s="36">
        <v>8636.4</v>
      </c>
      <c r="K159" s="85">
        <v>0</v>
      </c>
      <c r="L159" s="36">
        <v>719.7</v>
      </c>
      <c r="M159" s="36">
        <v>0</v>
      </c>
      <c r="N159" s="36">
        <v>40.450000000000003</v>
      </c>
      <c r="O159" s="36">
        <v>679.25</v>
      </c>
      <c r="P159" t="s">
        <v>116</v>
      </c>
      <c r="Q159" t="s">
        <v>111</v>
      </c>
      <c r="R159" t="s">
        <v>111</v>
      </c>
      <c r="S159" s="1">
        <v>45995</v>
      </c>
      <c r="T159" s="1">
        <v>46023</v>
      </c>
      <c r="U159" s="1">
        <v>46004</v>
      </c>
      <c r="V159" s="1">
        <v>46369</v>
      </c>
      <c r="W159" t="s">
        <v>38</v>
      </c>
      <c r="X159">
        <v>12</v>
      </c>
      <c r="Y159" t="s">
        <v>49</v>
      </c>
      <c r="Z159" t="s">
        <v>81</v>
      </c>
      <c r="AA159" t="s">
        <v>112</v>
      </c>
      <c r="AB159">
        <v>12</v>
      </c>
      <c r="AC159" t="s">
        <v>113</v>
      </c>
      <c r="AD159" t="s">
        <v>154</v>
      </c>
      <c r="AE159" t="s">
        <v>46</v>
      </c>
      <c r="AF159" t="s">
        <v>47</v>
      </c>
      <c r="AG159" t="str">
        <f t="shared" si="2"/>
        <v>CC 12x</v>
      </c>
      <c r="AH159" t="str">
        <f>IF(AND(SUMIF(E:E,E159,I:I)&gt;=400000,Q159="B2G"),"n","")</f>
        <v/>
      </c>
    </row>
    <row r="160" spans="1:34">
      <c r="A160">
        <v>2026</v>
      </c>
      <c r="B160">
        <v>1</v>
      </c>
      <c r="C160" s="83">
        <v>2104121</v>
      </c>
      <c r="D160" t="s">
        <v>263</v>
      </c>
      <c r="E160">
        <v>50559669091</v>
      </c>
      <c r="F160">
        <v>327761</v>
      </c>
      <c r="G160">
        <v>45724950123</v>
      </c>
      <c r="H160" t="s">
        <v>35</v>
      </c>
      <c r="I160" s="36">
        <v>5178.6000000000004</v>
      </c>
      <c r="J160" s="36">
        <v>5178.6000000000004</v>
      </c>
      <c r="K160" s="85">
        <v>0</v>
      </c>
      <c r="L160" s="36">
        <v>431.55</v>
      </c>
      <c r="M160" s="36">
        <v>0</v>
      </c>
      <c r="N160" s="36">
        <v>90.3</v>
      </c>
      <c r="O160" s="36">
        <v>341.25</v>
      </c>
      <c r="P160" t="s">
        <v>165</v>
      </c>
      <c r="Q160" t="s">
        <v>166</v>
      </c>
      <c r="R160" t="s">
        <v>166</v>
      </c>
      <c r="S160" s="1">
        <v>46032</v>
      </c>
      <c r="T160" s="1">
        <v>46032</v>
      </c>
      <c r="U160" s="1">
        <v>46032</v>
      </c>
      <c r="V160" s="1">
        <v>46397</v>
      </c>
      <c r="W160" t="s">
        <v>38</v>
      </c>
      <c r="X160">
        <v>12</v>
      </c>
      <c r="Y160" t="s">
        <v>49</v>
      </c>
      <c r="Z160" t="s">
        <v>81</v>
      </c>
      <c r="AA160" t="s">
        <v>112</v>
      </c>
      <c r="AB160">
        <v>12</v>
      </c>
      <c r="AC160" t="s">
        <v>166</v>
      </c>
      <c r="AD160" t="s">
        <v>85</v>
      </c>
      <c r="AE160" t="s">
        <v>46</v>
      </c>
      <c r="AF160" t="s">
        <v>44</v>
      </c>
      <c r="AG160" t="str">
        <f t="shared" si="2"/>
        <v>CC 12x</v>
      </c>
      <c r="AH160" t="str">
        <f>IF(AND(SUMIF(E:E,E160,I:I)&gt;=400000,Q160="B2G"),"n","")</f>
        <v/>
      </c>
    </row>
    <row r="161" spans="1:34">
      <c r="A161">
        <v>2026</v>
      </c>
      <c r="B161">
        <v>1</v>
      </c>
      <c r="C161" s="83">
        <v>19485566623</v>
      </c>
      <c r="D161" t="s">
        <v>264</v>
      </c>
      <c r="E161">
        <v>50570088302</v>
      </c>
      <c r="F161">
        <v>607203</v>
      </c>
      <c r="G161">
        <v>45731061160</v>
      </c>
      <c r="H161" t="s">
        <v>35</v>
      </c>
      <c r="I161" s="36">
        <v>5034</v>
      </c>
      <c r="J161" s="36">
        <v>5034</v>
      </c>
      <c r="K161" s="85">
        <v>0</v>
      </c>
      <c r="L161" s="36">
        <v>419.5</v>
      </c>
      <c r="M161" s="36">
        <v>0</v>
      </c>
      <c r="N161" s="36">
        <v>114.4</v>
      </c>
      <c r="O161" s="36">
        <v>305.10000000000002</v>
      </c>
      <c r="P161" t="s">
        <v>165</v>
      </c>
      <c r="Q161" t="s">
        <v>166</v>
      </c>
      <c r="R161" t="s">
        <v>166</v>
      </c>
      <c r="S161" s="1">
        <v>46034</v>
      </c>
      <c r="T161" s="1">
        <v>46034</v>
      </c>
      <c r="U161" s="1">
        <v>46034</v>
      </c>
      <c r="V161" s="1">
        <v>46399</v>
      </c>
      <c r="W161" t="s">
        <v>38</v>
      </c>
      <c r="X161">
        <v>12</v>
      </c>
      <c r="Y161" t="s">
        <v>49</v>
      </c>
      <c r="Z161" t="s">
        <v>81</v>
      </c>
      <c r="AA161" t="s">
        <v>122</v>
      </c>
      <c r="AB161">
        <v>12</v>
      </c>
      <c r="AC161" t="s">
        <v>166</v>
      </c>
      <c r="AD161" t="s">
        <v>84</v>
      </c>
      <c r="AE161" t="s">
        <v>43</v>
      </c>
      <c r="AF161" t="s">
        <v>44</v>
      </c>
      <c r="AG161" t="str">
        <f t="shared" si="2"/>
        <v>Recorrente</v>
      </c>
      <c r="AH161" t="str">
        <f>IF(AND(SUMIF(E:E,E161,I:I)&gt;=400000,Q161="B2G"),"n","")</f>
        <v/>
      </c>
    </row>
    <row r="162" spans="1:34">
      <c r="A162">
        <v>2026</v>
      </c>
      <c r="B162">
        <v>1</v>
      </c>
      <c r="C162" s="83">
        <v>44107575690</v>
      </c>
      <c r="D162" t="s">
        <v>265</v>
      </c>
      <c r="E162">
        <v>50570583687</v>
      </c>
      <c r="F162">
        <v>622030</v>
      </c>
      <c r="G162">
        <v>48879409737</v>
      </c>
      <c r="H162" t="s">
        <v>35</v>
      </c>
      <c r="I162" s="36">
        <v>5060.28</v>
      </c>
      <c r="J162" s="36">
        <v>5060.28</v>
      </c>
      <c r="K162" s="85">
        <v>0</v>
      </c>
      <c r="L162" s="36">
        <v>421.69</v>
      </c>
      <c r="M162" s="36">
        <v>421.69</v>
      </c>
      <c r="N162" s="36">
        <v>0</v>
      </c>
      <c r="O162" s="36">
        <v>0</v>
      </c>
      <c r="P162" t="s">
        <v>127</v>
      </c>
      <c r="Q162" t="s">
        <v>111</v>
      </c>
      <c r="R162" t="s">
        <v>111</v>
      </c>
      <c r="S162" s="1">
        <v>46035</v>
      </c>
      <c r="T162" s="1">
        <v>46035</v>
      </c>
      <c r="U162" s="1">
        <v>45944</v>
      </c>
      <c r="V162" s="1">
        <v>46400</v>
      </c>
      <c r="W162" t="s">
        <v>38</v>
      </c>
      <c r="X162">
        <v>15</v>
      </c>
      <c r="Y162" t="s">
        <v>49</v>
      </c>
      <c r="Z162" t="s">
        <v>81</v>
      </c>
      <c r="AA162" t="s">
        <v>92</v>
      </c>
      <c r="AB162">
        <v>12</v>
      </c>
      <c r="AC162" t="s">
        <v>113</v>
      </c>
      <c r="AD162" t="s">
        <v>149</v>
      </c>
      <c r="AE162" t="s">
        <v>43</v>
      </c>
      <c r="AF162" t="s">
        <v>96</v>
      </c>
      <c r="AG162" t="str">
        <f t="shared" si="2"/>
        <v>Recorrente</v>
      </c>
      <c r="AH162" t="str">
        <f>IF(AND(SUMIF(E:E,E162,I:I)&gt;=400000,Q162="B2G"),"n","")</f>
        <v/>
      </c>
    </row>
    <row r="163" spans="1:34">
      <c r="A163">
        <v>2026</v>
      </c>
      <c r="B163">
        <v>1</v>
      </c>
      <c r="C163" s="83">
        <v>2073810</v>
      </c>
      <c r="D163" t="s">
        <v>266</v>
      </c>
      <c r="E163">
        <v>50590611583</v>
      </c>
      <c r="F163">
        <v>521806</v>
      </c>
      <c r="G163">
        <v>46346100047</v>
      </c>
      <c r="H163" t="s">
        <v>35</v>
      </c>
      <c r="I163" s="36">
        <v>4452.6000000000004</v>
      </c>
      <c r="J163" s="36">
        <v>4452.6000000000004</v>
      </c>
      <c r="K163" s="85">
        <v>0</v>
      </c>
      <c r="L163" s="36">
        <v>371.05</v>
      </c>
      <c r="M163" s="36">
        <v>0</v>
      </c>
      <c r="N163" s="36">
        <v>11.95</v>
      </c>
      <c r="O163" s="36">
        <v>359.1</v>
      </c>
      <c r="P163" t="s">
        <v>116</v>
      </c>
      <c r="Q163" t="s">
        <v>111</v>
      </c>
      <c r="R163" t="s">
        <v>111</v>
      </c>
      <c r="S163" s="1">
        <v>45994</v>
      </c>
      <c r="T163" s="1">
        <v>46023</v>
      </c>
      <c r="U163" s="1">
        <v>46002</v>
      </c>
      <c r="V163" s="1">
        <v>46367</v>
      </c>
      <c r="W163" t="s">
        <v>38</v>
      </c>
      <c r="X163">
        <v>12</v>
      </c>
      <c r="Y163" t="s">
        <v>49</v>
      </c>
      <c r="Z163" t="s">
        <v>81</v>
      </c>
      <c r="AA163" t="s">
        <v>122</v>
      </c>
      <c r="AB163">
        <v>12</v>
      </c>
      <c r="AC163" t="s">
        <v>113</v>
      </c>
      <c r="AD163" t="s">
        <v>138</v>
      </c>
      <c r="AE163" t="s">
        <v>135</v>
      </c>
      <c r="AF163" t="s">
        <v>119</v>
      </c>
      <c r="AG163" t="str">
        <f t="shared" si="2"/>
        <v>Recorrente</v>
      </c>
      <c r="AH163" t="str">
        <f>IF(AND(SUMIF(E:E,E163,I:I)&gt;=400000,Q163="B2G"),"n","")</f>
        <v/>
      </c>
    </row>
    <row r="164" spans="1:34">
      <c r="A164">
        <v>2026</v>
      </c>
      <c r="B164">
        <v>1</v>
      </c>
      <c r="C164" s="83">
        <v>2125349</v>
      </c>
      <c r="D164" t="s">
        <v>267</v>
      </c>
      <c r="E164">
        <v>50608403119</v>
      </c>
      <c r="F164">
        <v>327882</v>
      </c>
      <c r="G164">
        <v>45801676047</v>
      </c>
      <c r="H164" t="s">
        <v>35</v>
      </c>
      <c r="I164" s="36">
        <v>5718.6</v>
      </c>
      <c r="J164" s="36">
        <v>5718.6</v>
      </c>
      <c r="K164" s="85">
        <v>0</v>
      </c>
      <c r="L164" s="36">
        <v>476.55</v>
      </c>
      <c r="M164" s="36">
        <v>0</v>
      </c>
      <c r="N164" s="36">
        <v>158.11000000000001</v>
      </c>
      <c r="O164" s="36">
        <v>318.44</v>
      </c>
      <c r="P164" t="s">
        <v>165</v>
      </c>
      <c r="Q164" t="s">
        <v>166</v>
      </c>
      <c r="R164" t="s">
        <v>166</v>
      </c>
      <c r="S164" s="1">
        <v>46035</v>
      </c>
      <c r="T164" s="1">
        <v>46035</v>
      </c>
      <c r="U164" s="1">
        <v>46035</v>
      </c>
      <c r="V164" s="1">
        <v>46400</v>
      </c>
      <c r="W164" t="s">
        <v>38</v>
      </c>
      <c r="X164">
        <v>12</v>
      </c>
      <c r="Y164" t="s">
        <v>49</v>
      </c>
      <c r="Z164" t="s">
        <v>81</v>
      </c>
      <c r="AA164" t="s">
        <v>112</v>
      </c>
      <c r="AB164">
        <v>12</v>
      </c>
      <c r="AC164" t="s">
        <v>166</v>
      </c>
      <c r="AD164" t="s">
        <v>174</v>
      </c>
      <c r="AE164" t="s">
        <v>43</v>
      </c>
      <c r="AF164" t="s">
        <v>47</v>
      </c>
      <c r="AG164" t="str">
        <f t="shared" si="2"/>
        <v>CC 12x</v>
      </c>
      <c r="AH164" t="str">
        <f>IF(AND(SUMIF(E:E,E164,I:I)&gt;=400000,Q164="B2G"),"n","")</f>
        <v/>
      </c>
    </row>
    <row r="165" spans="1:34">
      <c r="A165">
        <v>2026</v>
      </c>
      <c r="B165">
        <v>1</v>
      </c>
      <c r="C165" s="83">
        <v>89776167996</v>
      </c>
      <c r="D165" t="s">
        <v>268</v>
      </c>
      <c r="E165">
        <v>50608407333</v>
      </c>
      <c r="F165">
        <v>625422</v>
      </c>
      <c r="G165">
        <v>45883137652</v>
      </c>
      <c r="H165" t="s">
        <v>35</v>
      </c>
      <c r="I165" s="36">
        <v>3859.8</v>
      </c>
      <c r="J165" s="36">
        <v>3859.8</v>
      </c>
      <c r="K165" s="85">
        <v>0</v>
      </c>
      <c r="L165" s="36">
        <v>321.64999999999998</v>
      </c>
      <c r="M165" s="36">
        <v>0</v>
      </c>
      <c r="N165" s="36">
        <v>122.15</v>
      </c>
      <c r="O165" s="36">
        <v>199.5</v>
      </c>
      <c r="P165" t="s">
        <v>165</v>
      </c>
      <c r="Q165" t="s">
        <v>166</v>
      </c>
      <c r="R165" t="s">
        <v>166</v>
      </c>
      <c r="S165" s="1">
        <v>46035</v>
      </c>
      <c r="T165" s="1">
        <v>46035</v>
      </c>
      <c r="U165" s="1">
        <v>46035</v>
      </c>
      <c r="V165" s="1">
        <v>46400</v>
      </c>
      <c r="W165" t="s">
        <v>38</v>
      </c>
      <c r="X165">
        <v>12</v>
      </c>
      <c r="Y165" t="s">
        <v>49</v>
      </c>
      <c r="Z165" t="s">
        <v>81</v>
      </c>
      <c r="AA165" t="s">
        <v>122</v>
      </c>
      <c r="AB165">
        <v>12</v>
      </c>
      <c r="AC165" t="s">
        <v>166</v>
      </c>
      <c r="AD165" t="s">
        <v>138</v>
      </c>
      <c r="AE165" t="s">
        <v>135</v>
      </c>
      <c r="AF165" t="s">
        <v>119</v>
      </c>
      <c r="AG165" t="str">
        <f t="shared" si="2"/>
        <v>Recorrente</v>
      </c>
      <c r="AH165" t="str">
        <f>IF(AND(SUMIF(E:E,E165,I:I)&gt;=400000,Q165="B2G"),"n","")</f>
        <v/>
      </c>
    </row>
    <row r="166" spans="1:34">
      <c r="A166">
        <v>2026</v>
      </c>
      <c r="B166">
        <v>1</v>
      </c>
      <c r="C166" s="83">
        <v>28274343597</v>
      </c>
      <c r="D166" t="s">
        <v>269</v>
      </c>
      <c r="E166">
        <v>50608414310</v>
      </c>
      <c r="F166">
        <v>625399</v>
      </c>
      <c r="G166">
        <v>45879338287</v>
      </c>
      <c r="H166" t="s">
        <v>35</v>
      </c>
      <c r="I166" s="36">
        <v>5514</v>
      </c>
      <c r="J166" s="36">
        <v>5514</v>
      </c>
      <c r="K166" s="85">
        <v>0</v>
      </c>
      <c r="L166" s="36">
        <v>459.5</v>
      </c>
      <c r="M166" s="36">
        <v>0</v>
      </c>
      <c r="N166" s="36">
        <v>60.5</v>
      </c>
      <c r="O166" s="36">
        <v>399</v>
      </c>
      <c r="P166" t="s">
        <v>165</v>
      </c>
      <c r="Q166" t="s">
        <v>166</v>
      </c>
      <c r="R166" t="s">
        <v>166</v>
      </c>
      <c r="S166" s="1">
        <v>46035</v>
      </c>
      <c r="T166" s="1">
        <v>46035</v>
      </c>
      <c r="U166" s="1">
        <v>46035</v>
      </c>
      <c r="V166" s="1">
        <v>46400</v>
      </c>
      <c r="W166" t="s">
        <v>38</v>
      </c>
      <c r="X166">
        <v>12</v>
      </c>
      <c r="Y166" t="s">
        <v>49</v>
      </c>
      <c r="Z166" t="s">
        <v>81</v>
      </c>
      <c r="AA166" t="s">
        <v>112</v>
      </c>
      <c r="AB166">
        <v>12</v>
      </c>
      <c r="AC166" t="s">
        <v>166</v>
      </c>
      <c r="AD166" t="s">
        <v>138</v>
      </c>
      <c r="AE166" t="s">
        <v>135</v>
      </c>
      <c r="AF166" t="s">
        <v>119</v>
      </c>
      <c r="AG166" t="str">
        <f t="shared" si="2"/>
        <v>CC 12x</v>
      </c>
      <c r="AH166" t="str">
        <f>IF(AND(SUMIF(E:E,E166,I:I)&gt;=400000,Q166="B2G"),"n","")</f>
        <v/>
      </c>
    </row>
    <row r="167" spans="1:34">
      <c r="A167">
        <v>2026</v>
      </c>
      <c r="B167">
        <v>1</v>
      </c>
      <c r="C167" s="83">
        <v>35496279475</v>
      </c>
      <c r="D167" t="s">
        <v>270</v>
      </c>
      <c r="E167">
        <v>50608429921</v>
      </c>
      <c r="F167">
        <v>625415</v>
      </c>
      <c r="G167">
        <v>45883326111</v>
      </c>
      <c r="H167" t="s">
        <v>35</v>
      </c>
      <c r="I167" s="36">
        <v>4530.6000000000004</v>
      </c>
      <c r="J167" s="36">
        <v>4530.6000000000004</v>
      </c>
      <c r="K167" s="85">
        <v>0</v>
      </c>
      <c r="L167" s="36">
        <v>377.55</v>
      </c>
      <c r="M167" s="36">
        <v>0</v>
      </c>
      <c r="N167" s="36">
        <v>82.34</v>
      </c>
      <c r="O167" s="36">
        <v>295.20999999999998</v>
      </c>
      <c r="P167" t="s">
        <v>165</v>
      </c>
      <c r="Q167" t="s">
        <v>166</v>
      </c>
      <c r="R167" t="s">
        <v>166</v>
      </c>
      <c r="S167" s="1">
        <v>46035</v>
      </c>
      <c r="T167" s="1">
        <v>46035</v>
      </c>
      <c r="U167" s="1">
        <v>46035</v>
      </c>
      <c r="V167" s="1">
        <v>46400</v>
      </c>
      <c r="W167" t="s">
        <v>38</v>
      </c>
      <c r="X167">
        <v>12</v>
      </c>
      <c r="Y167" t="s">
        <v>49</v>
      </c>
      <c r="Z167" t="s">
        <v>81</v>
      </c>
      <c r="AA167" t="s">
        <v>112</v>
      </c>
      <c r="AB167">
        <v>12</v>
      </c>
      <c r="AC167" t="s">
        <v>166</v>
      </c>
      <c r="AD167" t="s">
        <v>84</v>
      </c>
      <c r="AE167" t="s">
        <v>43</v>
      </c>
      <c r="AF167" t="s">
        <v>44</v>
      </c>
      <c r="AG167" t="str">
        <f t="shared" si="2"/>
        <v>CC 12x</v>
      </c>
      <c r="AH167" t="str">
        <f>IF(AND(SUMIF(E:E,E167,I:I)&gt;=400000,Q167="B2G"),"n","")</f>
        <v/>
      </c>
    </row>
    <row r="168" spans="1:34">
      <c r="A168">
        <v>2026</v>
      </c>
      <c r="B168">
        <v>1</v>
      </c>
      <c r="C168" s="83">
        <v>2099059</v>
      </c>
      <c r="D168" t="s">
        <v>271</v>
      </c>
      <c r="E168">
        <v>50611707973</v>
      </c>
      <c r="F168">
        <v>303568</v>
      </c>
      <c r="G168">
        <v>45874350130</v>
      </c>
      <c r="H168" t="s">
        <v>35</v>
      </c>
      <c r="I168" s="36">
        <v>3775.44</v>
      </c>
      <c r="J168" s="36">
        <v>3775.44</v>
      </c>
      <c r="K168" s="85">
        <v>0</v>
      </c>
      <c r="L168" s="36">
        <v>314.62</v>
      </c>
      <c r="M168" s="36">
        <v>0</v>
      </c>
      <c r="N168" s="36">
        <v>87.3</v>
      </c>
      <c r="O168" s="36">
        <v>227.33</v>
      </c>
      <c r="P168" t="s">
        <v>165</v>
      </c>
      <c r="Q168" t="s">
        <v>166</v>
      </c>
      <c r="R168" t="s">
        <v>166</v>
      </c>
      <c r="S168" s="1">
        <v>46035</v>
      </c>
      <c r="T168" s="1">
        <v>46035</v>
      </c>
      <c r="U168" s="1">
        <v>46035</v>
      </c>
      <c r="V168" s="1">
        <v>46400</v>
      </c>
      <c r="W168" t="s">
        <v>38</v>
      </c>
      <c r="X168">
        <v>12</v>
      </c>
      <c r="Y168" t="s">
        <v>49</v>
      </c>
      <c r="Z168" t="s">
        <v>81</v>
      </c>
      <c r="AA168" t="s">
        <v>122</v>
      </c>
      <c r="AB168">
        <v>12</v>
      </c>
      <c r="AC168" t="s">
        <v>166</v>
      </c>
      <c r="AD168" t="s">
        <v>84</v>
      </c>
      <c r="AE168" t="s">
        <v>43</v>
      </c>
      <c r="AF168" t="s">
        <v>44</v>
      </c>
      <c r="AG168" t="str">
        <f t="shared" si="2"/>
        <v>Recorrente</v>
      </c>
      <c r="AH168" t="str">
        <f>IF(AND(SUMIF(E:E,E168,I:I)&gt;=400000,Q168="B2G"),"n","")</f>
        <v/>
      </c>
    </row>
    <row r="169" spans="1:34">
      <c r="A169">
        <v>2026</v>
      </c>
      <c r="B169">
        <v>1</v>
      </c>
      <c r="C169" s="83">
        <v>2251233</v>
      </c>
      <c r="D169" t="s">
        <v>272</v>
      </c>
      <c r="E169">
        <v>50611863404</v>
      </c>
      <c r="F169">
        <v>625408</v>
      </c>
      <c r="G169">
        <v>45883111351</v>
      </c>
      <c r="H169" t="s">
        <v>35</v>
      </c>
      <c r="I169" s="36">
        <v>5034</v>
      </c>
      <c r="J169" s="36">
        <v>5034</v>
      </c>
      <c r="K169" s="85">
        <v>0</v>
      </c>
      <c r="L169" s="36">
        <v>419.5</v>
      </c>
      <c r="M169" s="36">
        <v>0</v>
      </c>
      <c r="N169" s="36">
        <v>250</v>
      </c>
      <c r="O169" s="36">
        <v>169.5</v>
      </c>
      <c r="P169" t="s">
        <v>165</v>
      </c>
      <c r="Q169" t="s">
        <v>166</v>
      </c>
      <c r="R169" t="s">
        <v>166</v>
      </c>
      <c r="S169" s="1">
        <v>46035</v>
      </c>
      <c r="T169" s="1">
        <v>46035</v>
      </c>
      <c r="U169" s="1">
        <v>46035</v>
      </c>
      <c r="V169" s="1">
        <v>46400</v>
      </c>
      <c r="W169" t="s">
        <v>38</v>
      </c>
      <c r="X169">
        <v>12</v>
      </c>
      <c r="Y169" t="s">
        <v>49</v>
      </c>
      <c r="Z169" t="s">
        <v>81</v>
      </c>
      <c r="AA169" t="s">
        <v>122</v>
      </c>
      <c r="AB169">
        <v>12</v>
      </c>
      <c r="AC169" t="s">
        <v>166</v>
      </c>
      <c r="AD169" t="s">
        <v>84</v>
      </c>
      <c r="AE169" t="s">
        <v>43</v>
      </c>
      <c r="AF169" t="s">
        <v>44</v>
      </c>
      <c r="AG169" t="str">
        <f t="shared" si="2"/>
        <v>Recorrente</v>
      </c>
      <c r="AH169" t="str">
        <f>IF(AND(SUMIF(E:E,E169,I:I)&gt;=400000,Q169="B2G"),"n","")</f>
        <v/>
      </c>
    </row>
    <row r="170" spans="1:34">
      <c r="A170">
        <v>2026</v>
      </c>
      <c r="B170">
        <v>1</v>
      </c>
      <c r="C170" s="83">
        <v>116351170701</v>
      </c>
      <c r="D170" t="s">
        <v>273</v>
      </c>
      <c r="E170">
        <v>50611883341</v>
      </c>
      <c r="F170">
        <v>524921</v>
      </c>
      <c r="G170">
        <v>45845512755</v>
      </c>
      <c r="H170" t="s">
        <v>35</v>
      </c>
      <c r="I170" s="36">
        <v>1369.48</v>
      </c>
      <c r="J170" s="36">
        <v>1369.48</v>
      </c>
      <c r="K170" s="85">
        <v>0</v>
      </c>
      <c r="L170" s="36">
        <v>114.12</v>
      </c>
      <c r="M170" s="36">
        <v>0</v>
      </c>
      <c r="N170" s="36">
        <v>67.459999999999994</v>
      </c>
      <c r="O170" s="36">
        <v>46.666933329999999</v>
      </c>
      <c r="P170" t="s">
        <v>165</v>
      </c>
      <c r="Q170" t="s">
        <v>166</v>
      </c>
      <c r="R170" t="s">
        <v>166</v>
      </c>
      <c r="S170" s="1">
        <v>45990</v>
      </c>
      <c r="T170" s="1">
        <v>46023</v>
      </c>
      <c r="U170" s="1">
        <v>46035</v>
      </c>
      <c r="V170" s="1">
        <v>46400</v>
      </c>
      <c r="W170" t="s">
        <v>38</v>
      </c>
      <c r="X170">
        <v>12</v>
      </c>
      <c r="Y170" t="s">
        <v>49</v>
      </c>
      <c r="Z170" t="s">
        <v>81</v>
      </c>
      <c r="AA170" t="s">
        <v>112</v>
      </c>
      <c r="AB170">
        <v>12</v>
      </c>
      <c r="AC170" t="s">
        <v>166</v>
      </c>
      <c r="AD170" t="s">
        <v>243</v>
      </c>
      <c r="AE170" t="s">
        <v>95</v>
      </c>
      <c r="AF170" t="s">
        <v>244</v>
      </c>
      <c r="AG170" t="str">
        <f t="shared" si="2"/>
        <v>CC 12x</v>
      </c>
      <c r="AH170" t="str">
        <f>IF(AND(SUMIF(E:E,E170,I:I)&gt;=400000,Q170="B2G"),"n","")</f>
        <v/>
      </c>
    </row>
    <row r="171" spans="1:34">
      <c r="A171">
        <v>2026</v>
      </c>
      <c r="B171">
        <v>1</v>
      </c>
      <c r="C171" s="83">
        <v>116351170701</v>
      </c>
      <c r="D171" t="s">
        <v>273</v>
      </c>
      <c r="E171">
        <v>50611883341</v>
      </c>
      <c r="F171">
        <v>524921</v>
      </c>
      <c r="G171">
        <v>45873332547</v>
      </c>
      <c r="H171" t="s">
        <v>35</v>
      </c>
      <c r="I171" s="36">
        <v>1369.48</v>
      </c>
      <c r="J171" s="36">
        <v>1369.48</v>
      </c>
      <c r="K171" s="85">
        <v>0</v>
      </c>
      <c r="L171" s="36">
        <v>114.12</v>
      </c>
      <c r="M171" s="36">
        <v>0</v>
      </c>
      <c r="N171" s="36">
        <v>67.459999999999994</v>
      </c>
      <c r="O171" s="36">
        <v>46.666933329999999</v>
      </c>
      <c r="P171" t="s">
        <v>165</v>
      </c>
      <c r="Q171" t="s">
        <v>166</v>
      </c>
      <c r="R171" t="s">
        <v>166</v>
      </c>
      <c r="S171" s="1">
        <v>45990</v>
      </c>
      <c r="T171" s="1">
        <v>46023</v>
      </c>
      <c r="U171" s="1">
        <v>46035</v>
      </c>
      <c r="V171" s="1">
        <v>46400</v>
      </c>
      <c r="W171" t="s">
        <v>38</v>
      </c>
      <c r="X171">
        <v>12</v>
      </c>
      <c r="Y171" t="s">
        <v>49</v>
      </c>
      <c r="Z171" t="s">
        <v>81</v>
      </c>
      <c r="AA171" t="s">
        <v>112</v>
      </c>
      <c r="AB171">
        <v>12</v>
      </c>
      <c r="AC171" t="s">
        <v>166</v>
      </c>
      <c r="AD171" t="s">
        <v>160</v>
      </c>
      <c r="AE171" t="s">
        <v>43</v>
      </c>
      <c r="AF171" t="s">
        <v>44</v>
      </c>
      <c r="AG171" t="str">
        <f t="shared" si="2"/>
        <v>CC 12x</v>
      </c>
      <c r="AH171" t="str">
        <f>IF(AND(SUMIF(E:E,E171,I:I)&gt;=400000,Q171="B2G"),"n","")</f>
        <v/>
      </c>
    </row>
    <row r="172" spans="1:34">
      <c r="A172">
        <v>2026</v>
      </c>
      <c r="B172">
        <v>1</v>
      </c>
      <c r="C172" s="83">
        <v>116351170701</v>
      </c>
      <c r="D172" t="s">
        <v>273</v>
      </c>
      <c r="E172">
        <v>50611883341</v>
      </c>
      <c r="F172">
        <v>524921</v>
      </c>
      <c r="G172">
        <v>45879682232</v>
      </c>
      <c r="H172" t="s">
        <v>35</v>
      </c>
      <c r="I172" s="36">
        <v>1369.48</v>
      </c>
      <c r="J172" s="36">
        <v>1369.48</v>
      </c>
      <c r="K172" s="85">
        <v>0</v>
      </c>
      <c r="L172" s="36">
        <v>114.12</v>
      </c>
      <c r="M172" s="36">
        <v>0</v>
      </c>
      <c r="N172" s="36">
        <v>67.459999999999994</v>
      </c>
      <c r="O172" s="36">
        <v>46.666933329999999</v>
      </c>
      <c r="P172" t="s">
        <v>165</v>
      </c>
      <c r="Q172" t="s">
        <v>166</v>
      </c>
      <c r="R172" t="s">
        <v>166</v>
      </c>
      <c r="S172" s="1">
        <v>45990</v>
      </c>
      <c r="T172" s="1">
        <v>46023</v>
      </c>
      <c r="U172" s="1">
        <v>46035</v>
      </c>
      <c r="V172" s="1">
        <v>46400</v>
      </c>
      <c r="W172" t="s">
        <v>38</v>
      </c>
      <c r="X172">
        <v>12</v>
      </c>
      <c r="Y172" t="s">
        <v>49</v>
      </c>
      <c r="Z172" t="s">
        <v>81</v>
      </c>
      <c r="AA172" t="s">
        <v>112</v>
      </c>
      <c r="AB172">
        <v>12</v>
      </c>
      <c r="AC172" t="s">
        <v>166</v>
      </c>
      <c r="AD172" t="s">
        <v>256</v>
      </c>
      <c r="AE172" t="s">
        <v>257</v>
      </c>
      <c r="AF172" t="s">
        <v>59</v>
      </c>
      <c r="AG172" t="str">
        <f t="shared" si="2"/>
        <v>CC 12x</v>
      </c>
      <c r="AH172" t="str">
        <f>IF(AND(SUMIF(E:E,E172,I:I)&gt;=400000,Q172="B2G"),"n","")</f>
        <v/>
      </c>
    </row>
    <row r="173" spans="1:34">
      <c r="A173">
        <v>2026</v>
      </c>
      <c r="B173">
        <v>1</v>
      </c>
      <c r="C173" s="83">
        <v>101803227704</v>
      </c>
      <c r="D173" t="s">
        <v>274</v>
      </c>
      <c r="E173">
        <v>50648079217</v>
      </c>
      <c r="F173">
        <v>625479</v>
      </c>
      <c r="G173">
        <v>45854930324</v>
      </c>
      <c r="H173" t="s">
        <v>35</v>
      </c>
      <c r="I173" s="36">
        <v>5178.6000000000004</v>
      </c>
      <c r="J173" s="36">
        <v>5178.6000000000004</v>
      </c>
      <c r="K173" s="85">
        <v>0</v>
      </c>
      <c r="L173" s="36">
        <v>431.55</v>
      </c>
      <c r="M173" s="36">
        <v>0</v>
      </c>
      <c r="N173" s="36">
        <v>49.9</v>
      </c>
      <c r="O173" s="36">
        <v>381.65</v>
      </c>
      <c r="P173" t="s">
        <v>165</v>
      </c>
      <c r="Q173" t="s">
        <v>166</v>
      </c>
      <c r="R173" t="s">
        <v>166</v>
      </c>
      <c r="S173" s="1">
        <v>46036</v>
      </c>
      <c r="T173" s="1">
        <v>46036</v>
      </c>
      <c r="U173" s="1">
        <v>46036</v>
      </c>
      <c r="V173" s="1">
        <v>46401</v>
      </c>
      <c r="W173" t="s">
        <v>38</v>
      </c>
      <c r="X173">
        <v>12</v>
      </c>
      <c r="Y173" t="s">
        <v>49</v>
      </c>
      <c r="Z173" t="s">
        <v>81</v>
      </c>
      <c r="AA173" t="s">
        <v>122</v>
      </c>
      <c r="AB173">
        <v>12</v>
      </c>
      <c r="AC173" t="s">
        <v>166</v>
      </c>
      <c r="AD173" t="s">
        <v>85</v>
      </c>
      <c r="AE173" t="s">
        <v>46</v>
      </c>
      <c r="AF173" t="s">
        <v>44</v>
      </c>
      <c r="AG173" t="str">
        <f t="shared" si="2"/>
        <v>Recorrente</v>
      </c>
      <c r="AH173" t="str">
        <f>IF(AND(SUMIF(E:E,E173,I:I)&gt;=400000,Q173="B2G"),"n","")</f>
        <v/>
      </c>
    </row>
    <row r="174" spans="1:34">
      <c r="A174">
        <v>2026</v>
      </c>
      <c r="B174">
        <v>1</v>
      </c>
      <c r="C174" s="83">
        <v>109498381359</v>
      </c>
      <c r="D174" t="s">
        <v>275</v>
      </c>
      <c r="E174">
        <v>50648088404</v>
      </c>
      <c r="F174">
        <v>625480</v>
      </c>
      <c r="G174">
        <v>45914254939</v>
      </c>
      <c r="H174" t="s">
        <v>35</v>
      </c>
      <c r="I174" s="36">
        <v>3666.6</v>
      </c>
      <c r="J174" s="36">
        <v>3666.6</v>
      </c>
      <c r="K174" s="85">
        <v>0</v>
      </c>
      <c r="L174" s="36">
        <v>305.55</v>
      </c>
      <c r="M174" s="36">
        <v>0</v>
      </c>
      <c r="N174" s="36">
        <v>60.55</v>
      </c>
      <c r="O174" s="36">
        <v>245</v>
      </c>
      <c r="P174" t="s">
        <v>165</v>
      </c>
      <c r="Q174" t="s">
        <v>166</v>
      </c>
      <c r="R174" t="s">
        <v>166</v>
      </c>
      <c r="S174" s="1">
        <v>46036</v>
      </c>
      <c r="T174" s="1">
        <v>46036</v>
      </c>
      <c r="U174" s="1">
        <v>46036</v>
      </c>
      <c r="V174" s="1">
        <v>46401</v>
      </c>
      <c r="W174" t="s">
        <v>38</v>
      </c>
      <c r="X174">
        <v>12</v>
      </c>
      <c r="Y174" t="s">
        <v>49</v>
      </c>
      <c r="Z174" t="s">
        <v>81</v>
      </c>
      <c r="AA174" t="s">
        <v>112</v>
      </c>
      <c r="AB174">
        <v>12</v>
      </c>
      <c r="AC174" t="s">
        <v>166</v>
      </c>
      <c r="AD174" t="s">
        <v>160</v>
      </c>
      <c r="AE174" t="s">
        <v>43</v>
      </c>
      <c r="AF174" t="s">
        <v>44</v>
      </c>
      <c r="AG174" t="str">
        <f t="shared" si="2"/>
        <v>CC 12x</v>
      </c>
      <c r="AH174" t="str">
        <f>IF(AND(SUMIF(E:E,E174,I:I)&gt;=400000,Q174="B2G"),"n","")</f>
        <v/>
      </c>
    </row>
    <row r="175" spans="1:34">
      <c r="A175">
        <v>2026</v>
      </c>
      <c r="B175">
        <v>1</v>
      </c>
      <c r="C175" s="83">
        <v>94893433943</v>
      </c>
      <c r="D175" t="s">
        <v>276</v>
      </c>
      <c r="E175">
        <v>50649481523</v>
      </c>
      <c r="F175">
        <v>625441</v>
      </c>
      <c r="G175">
        <v>45914271838</v>
      </c>
      <c r="H175" t="s">
        <v>104</v>
      </c>
      <c r="I175" s="36">
        <v>2472.2399999999998</v>
      </c>
      <c r="J175" s="36">
        <v>2472.2399999999998</v>
      </c>
      <c r="K175" s="85">
        <v>0</v>
      </c>
      <c r="L175" s="36">
        <v>206.02</v>
      </c>
      <c r="M175" s="36">
        <v>0</v>
      </c>
      <c r="N175" s="36">
        <v>76.33</v>
      </c>
      <c r="O175" s="36">
        <v>129.69999999999999</v>
      </c>
      <c r="P175" t="s">
        <v>165</v>
      </c>
      <c r="Q175" t="s">
        <v>166</v>
      </c>
      <c r="R175" t="s">
        <v>166</v>
      </c>
      <c r="S175" s="1">
        <v>46036</v>
      </c>
      <c r="T175" s="1">
        <v>46036</v>
      </c>
      <c r="U175" s="1">
        <v>46036</v>
      </c>
      <c r="V175" s="1">
        <v>46401</v>
      </c>
      <c r="W175" t="s">
        <v>38</v>
      </c>
      <c r="X175">
        <v>12</v>
      </c>
      <c r="Y175" t="s">
        <v>49</v>
      </c>
      <c r="Z175" t="s">
        <v>81</v>
      </c>
      <c r="AA175" t="s">
        <v>112</v>
      </c>
      <c r="AB175">
        <v>12</v>
      </c>
      <c r="AC175" t="s">
        <v>166</v>
      </c>
      <c r="AD175" t="s">
        <v>277</v>
      </c>
      <c r="AE175" t="s">
        <v>106</v>
      </c>
      <c r="AF175" t="s">
        <v>59</v>
      </c>
      <c r="AG175" t="str">
        <f t="shared" si="2"/>
        <v>CC 12x</v>
      </c>
      <c r="AH175" t="str">
        <f>IF(AND(SUMIF(E:E,E175,I:I)&gt;=400000,Q175="B2G"),"n","")</f>
        <v/>
      </c>
    </row>
    <row r="176" spans="1:34">
      <c r="A176">
        <v>2026</v>
      </c>
      <c r="B176">
        <v>1</v>
      </c>
      <c r="C176" s="83">
        <v>94893433943</v>
      </c>
      <c r="D176" t="s">
        <v>276</v>
      </c>
      <c r="E176">
        <v>50649481523</v>
      </c>
      <c r="F176">
        <v>625441</v>
      </c>
      <c r="G176">
        <v>45916587313</v>
      </c>
      <c r="H176" t="s">
        <v>35</v>
      </c>
      <c r="I176" s="36">
        <v>2472.2399999999998</v>
      </c>
      <c r="J176" s="36">
        <v>2472.2399999999998</v>
      </c>
      <c r="K176" s="85">
        <v>0</v>
      </c>
      <c r="L176" s="36">
        <v>206.02</v>
      </c>
      <c r="M176" s="36">
        <v>0</v>
      </c>
      <c r="N176" s="36">
        <v>76.33</v>
      </c>
      <c r="O176" s="36">
        <v>129.69999999999999</v>
      </c>
      <c r="P176" t="s">
        <v>165</v>
      </c>
      <c r="Q176" t="s">
        <v>166</v>
      </c>
      <c r="R176" t="s">
        <v>166</v>
      </c>
      <c r="S176" s="1">
        <v>46036</v>
      </c>
      <c r="T176" s="1">
        <v>46036</v>
      </c>
      <c r="U176" s="1">
        <v>46036</v>
      </c>
      <c r="V176" s="1">
        <v>46401</v>
      </c>
      <c r="W176" t="s">
        <v>38</v>
      </c>
      <c r="X176">
        <v>12</v>
      </c>
      <c r="Y176" t="s">
        <v>49</v>
      </c>
      <c r="Z176" t="s">
        <v>81</v>
      </c>
      <c r="AA176" t="s">
        <v>112</v>
      </c>
      <c r="AB176">
        <v>12</v>
      </c>
      <c r="AC176" t="s">
        <v>166</v>
      </c>
      <c r="AD176" t="s">
        <v>138</v>
      </c>
      <c r="AE176" t="s">
        <v>135</v>
      </c>
      <c r="AF176" t="s">
        <v>119</v>
      </c>
      <c r="AG176" t="str">
        <f t="shared" si="2"/>
        <v>CC 12x</v>
      </c>
      <c r="AH176" t="str">
        <f>IF(AND(SUMIF(E:E,E176,I:I)&gt;=400000,Q176="B2G"),"n","")</f>
        <v/>
      </c>
    </row>
    <row r="177" spans="1:34">
      <c r="A177">
        <v>2026</v>
      </c>
      <c r="B177">
        <v>1</v>
      </c>
      <c r="C177" s="83">
        <v>187651177754</v>
      </c>
      <c r="D177" t="s">
        <v>278</v>
      </c>
      <c r="E177">
        <v>50649665303</v>
      </c>
      <c r="F177">
        <v>625445</v>
      </c>
      <c r="G177">
        <v>45914249657</v>
      </c>
      <c r="H177" t="s">
        <v>35</v>
      </c>
      <c r="I177" s="36">
        <v>4530.6000000000004</v>
      </c>
      <c r="J177" s="36">
        <v>4530.6000000000004</v>
      </c>
      <c r="K177" s="85">
        <v>0</v>
      </c>
      <c r="L177" s="36">
        <v>377.55</v>
      </c>
      <c r="M177" s="36">
        <v>0</v>
      </c>
      <c r="N177" s="36">
        <v>89.4</v>
      </c>
      <c r="O177" s="36">
        <v>288.14999999999998</v>
      </c>
      <c r="P177" t="s">
        <v>165</v>
      </c>
      <c r="Q177" t="s">
        <v>166</v>
      </c>
      <c r="R177" t="s">
        <v>166</v>
      </c>
      <c r="S177" s="1">
        <v>46036</v>
      </c>
      <c r="T177" s="1">
        <v>46036</v>
      </c>
      <c r="U177" s="1">
        <v>46036</v>
      </c>
      <c r="V177" s="1">
        <v>46401</v>
      </c>
      <c r="W177" t="s">
        <v>38</v>
      </c>
      <c r="X177">
        <v>12</v>
      </c>
      <c r="Y177" t="s">
        <v>49</v>
      </c>
      <c r="Z177" t="s">
        <v>81</v>
      </c>
      <c r="AA177" t="s">
        <v>122</v>
      </c>
      <c r="AB177">
        <v>12</v>
      </c>
      <c r="AC177" t="s">
        <v>166</v>
      </c>
      <c r="AD177" t="s">
        <v>84</v>
      </c>
      <c r="AE177" t="s">
        <v>43</v>
      </c>
      <c r="AF177" t="s">
        <v>44</v>
      </c>
      <c r="AG177" t="str">
        <f t="shared" si="2"/>
        <v>Recorrente</v>
      </c>
      <c r="AH177" t="str">
        <f>IF(AND(SUMIF(E:E,E177,I:I)&gt;=400000,Q177="B2G"),"n","")</f>
        <v/>
      </c>
    </row>
    <row r="178" spans="1:34">
      <c r="A178">
        <v>2026</v>
      </c>
      <c r="B178">
        <v>1</v>
      </c>
      <c r="C178" s="83">
        <v>2264639</v>
      </c>
      <c r="D178" t="s">
        <v>279</v>
      </c>
      <c r="E178">
        <v>50685542405</v>
      </c>
      <c r="F178">
        <v>625486</v>
      </c>
      <c r="G178">
        <v>45970990368</v>
      </c>
      <c r="H178" t="s">
        <v>35</v>
      </c>
      <c r="I178" s="36">
        <v>4530.6000000000004</v>
      </c>
      <c r="J178" s="36">
        <v>4530.6000000000004</v>
      </c>
      <c r="K178" s="85">
        <v>0</v>
      </c>
      <c r="L178" s="36">
        <v>377.55</v>
      </c>
      <c r="M178" s="36">
        <v>0</v>
      </c>
      <c r="N178" s="36">
        <v>82.34</v>
      </c>
      <c r="O178" s="36">
        <v>295.20999999999998</v>
      </c>
      <c r="P178" t="s">
        <v>165</v>
      </c>
      <c r="Q178" t="s">
        <v>166</v>
      </c>
      <c r="R178" t="s">
        <v>166</v>
      </c>
      <c r="S178" s="1">
        <v>46037</v>
      </c>
      <c r="T178" s="1">
        <v>46037</v>
      </c>
      <c r="U178" s="1">
        <v>46037</v>
      </c>
      <c r="V178" s="1">
        <v>46402</v>
      </c>
      <c r="W178" t="s">
        <v>38</v>
      </c>
      <c r="X178">
        <v>12</v>
      </c>
      <c r="Y178" t="s">
        <v>49</v>
      </c>
      <c r="Z178" t="s">
        <v>81</v>
      </c>
      <c r="AA178" t="s">
        <v>112</v>
      </c>
      <c r="AB178">
        <v>12</v>
      </c>
      <c r="AC178" t="s">
        <v>166</v>
      </c>
      <c r="AD178" t="s">
        <v>84</v>
      </c>
      <c r="AE178" t="s">
        <v>43</v>
      </c>
      <c r="AF178" t="s">
        <v>44</v>
      </c>
      <c r="AG178" t="str">
        <f t="shared" si="2"/>
        <v>CC 12x</v>
      </c>
      <c r="AH178" t="str">
        <f>IF(AND(SUMIF(E:E,E178,I:I)&gt;=400000,Q178="B2G"),"n","")</f>
        <v/>
      </c>
    </row>
    <row r="179" spans="1:34">
      <c r="A179">
        <v>2026</v>
      </c>
      <c r="B179">
        <v>1</v>
      </c>
      <c r="C179" s="83">
        <v>87056002461</v>
      </c>
      <c r="D179" t="s">
        <v>280</v>
      </c>
      <c r="E179">
        <v>50699696259</v>
      </c>
      <c r="F179">
        <v>625577</v>
      </c>
      <c r="G179">
        <v>45971176055</v>
      </c>
      <c r="H179" t="s">
        <v>35</v>
      </c>
      <c r="I179" s="36">
        <v>9354</v>
      </c>
      <c r="J179" s="36">
        <v>9354</v>
      </c>
      <c r="K179" s="85">
        <v>0</v>
      </c>
      <c r="L179" s="36">
        <v>779.5</v>
      </c>
      <c r="M179" s="36">
        <v>0</v>
      </c>
      <c r="N179" s="36">
        <v>103.53</v>
      </c>
      <c r="O179" s="36">
        <v>675.97</v>
      </c>
      <c r="P179" t="s">
        <v>165</v>
      </c>
      <c r="Q179" t="s">
        <v>166</v>
      </c>
      <c r="R179" t="s">
        <v>166</v>
      </c>
      <c r="S179" s="1">
        <v>46037</v>
      </c>
      <c r="T179" s="1">
        <v>46037</v>
      </c>
      <c r="U179" s="1">
        <v>46037</v>
      </c>
      <c r="V179" s="1">
        <v>46402</v>
      </c>
      <c r="W179" t="s">
        <v>38</v>
      </c>
      <c r="X179">
        <v>12</v>
      </c>
      <c r="Y179" t="s">
        <v>49</v>
      </c>
      <c r="Z179" t="s">
        <v>81</v>
      </c>
      <c r="AA179" t="s">
        <v>122</v>
      </c>
      <c r="AB179">
        <v>12</v>
      </c>
      <c r="AC179" t="s">
        <v>166</v>
      </c>
      <c r="AD179" t="s">
        <v>134</v>
      </c>
      <c r="AE179" t="s">
        <v>135</v>
      </c>
      <c r="AF179" t="s">
        <v>44</v>
      </c>
      <c r="AG179" t="str">
        <f t="shared" si="2"/>
        <v>Recorrente</v>
      </c>
      <c r="AH179" t="str">
        <f>IF(AND(SUMIF(E:E,E179,I:I)&gt;=400000,Q179="B2G"),"n","")</f>
        <v/>
      </c>
    </row>
    <row r="180" spans="1:34">
      <c r="A180">
        <v>2026</v>
      </c>
      <c r="B180">
        <v>1</v>
      </c>
      <c r="C180" s="83">
        <v>2133786</v>
      </c>
      <c r="D180" t="s">
        <v>281</v>
      </c>
      <c r="E180">
        <v>50748187798</v>
      </c>
      <c r="F180">
        <v>604818</v>
      </c>
      <c r="G180">
        <v>46353453373</v>
      </c>
      <c r="H180" t="s">
        <v>35</v>
      </c>
      <c r="I180" s="36">
        <v>7155.84</v>
      </c>
      <c r="J180" s="36">
        <v>7155.84</v>
      </c>
      <c r="K180" s="85">
        <v>0</v>
      </c>
      <c r="L180" s="36">
        <v>596.32000000000005</v>
      </c>
      <c r="M180" s="36">
        <v>0</v>
      </c>
      <c r="N180" s="36">
        <v>48.3</v>
      </c>
      <c r="O180" s="36">
        <v>548.02</v>
      </c>
      <c r="P180" t="s">
        <v>162</v>
      </c>
      <c r="Q180" t="s">
        <v>111</v>
      </c>
      <c r="R180" t="s">
        <v>111</v>
      </c>
      <c r="S180" s="1">
        <v>45994</v>
      </c>
      <c r="T180" s="1">
        <v>46023</v>
      </c>
      <c r="U180" s="1">
        <v>45992</v>
      </c>
      <c r="V180" s="1">
        <v>46359</v>
      </c>
      <c r="W180" t="s">
        <v>38</v>
      </c>
      <c r="X180">
        <v>12</v>
      </c>
      <c r="Y180" t="s">
        <v>49</v>
      </c>
      <c r="Z180" t="s">
        <v>81</v>
      </c>
      <c r="AA180" t="s">
        <v>112</v>
      </c>
      <c r="AB180">
        <v>12</v>
      </c>
      <c r="AC180" t="s">
        <v>113</v>
      </c>
      <c r="AD180" t="s">
        <v>134</v>
      </c>
      <c r="AE180" t="s">
        <v>135</v>
      </c>
      <c r="AF180" t="s">
        <v>44</v>
      </c>
      <c r="AG180" t="str">
        <f t="shared" si="2"/>
        <v>CC 12x</v>
      </c>
      <c r="AH180" t="str">
        <f>IF(AND(SUMIF(E:E,E180,I:I)&gt;=400000,Q180="B2G"),"n","")</f>
        <v/>
      </c>
    </row>
    <row r="181" spans="1:34">
      <c r="A181">
        <v>2026</v>
      </c>
      <c r="B181">
        <v>1</v>
      </c>
      <c r="C181" s="83">
        <v>26326862171</v>
      </c>
      <c r="D181" t="s">
        <v>282</v>
      </c>
      <c r="E181">
        <v>50805444354</v>
      </c>
      <c r="F181">
        <v>624609</v>
      </c>
      <c r="G181">
        <v>46142392504</v>
      </c>
      <c r="H181" t="s">
        <v>35</v>
      </c>
      <c r="I181" s="36">
        <v>2423.04</v>
      </c>
      <c r="J181" s="36">
        <v>2423.04</v>
      </c>
      <c r="K181" s="85">
        <v>0</v>
      </c>
      <c r="L181" s="36">
        <v>201.92</v>
      </c>
      <c r="M181" s="36">
        <v>0</v>
      </c>
      <c r="N181" s="36">
        <v>0.42</v>
      </c>
      <c r="O181" s="36">
        <v>201.5</v>
      </c>
      <c r="P181" t="s">
        <v>110</v>
      </c>
      <c r="Q181" t="s">
        <v>111</v>
      </c>
      <c r="R181" t="s">
        <v>111</v>
      </c>
      <c r="S181" s="1">
        <v>45993</v>
      </c>
      <c r="T181" s="1">
        <v>46023</v>
      </c>
      <c r="U181" s="1">
        <v>45996</v>
      </c>
      <c r="V181" s="1">
        <v>46361</v>
      </c>
      <c r="W181" t="s">
        <v>38</v>
      </c>
      <c r="X181">
        <v>12</v>
      </c>
      <c r="Y181" t="s">
        <v>49</v>
      </c>
      <c r="Z181" t="s">
        <v>81</v>
      </c>
      <c r="AA181" t="s">
        <v>112</v>
      </c>
      <c r="AB181">
        <v>12</v>
      </c>
      <c r="AC181" t="s">
        <v>113</v>
      </c>
      <c r="AD181" t="s">
        <v>140</v>
      </c>
      <c r="AE181" t="s">
        <v>46</v>
      </c>
      <c r="AF181" t="s">
        <v>119</v>
      </c>
      <c r="AG181" t="str">
        <f t="shared" si="2"/>
        <v>CC 12x</v>
      </c>
      <c r="AH181" t="str">
        <f>IF(AND(SUMIF(E:E,E181,I:I)&gt;=400000,Q181="B2G"),"n","")</f>
        <v/>
      </c>
    </row>
    <row r="182" spans="1:34">
      <c r="A182">
        <v>2026</v>
      </c>
      <c r="B182">
        <v>1</v>
      </c>
      <c r="C182" s="83">
        <v>92063071630</v>
      </c>
      <c r="D182" t="s">
        <v>283</v>
      </c>
      <c r="E182">
        <v>50871840137</v>
      </c>
      <c r="F182">
        <v>625638</v>
      </c>
      <c r="G182">
        <v>46151107420</v>
      </c>
      <c r="H182" t="s">
        <v>35</v>
      </c>
      <c r="I182" s="36">
        <v>2874</v>
      </c>
      <c r="J182" s="36">
        <v>2874</v>
      </c>
      <c r="K182" s="85">
        <v>0</v>
      </c>
      <c r="L182" s="36">
        <v>239.5</v>
      </c>
      <c r="M182" s="36">
        <v>0</v>
      </c>
      <c r="N182" s="36">
        <v>44.59</v>
      </c>
      <c r="O182" s="36">
        <v>194.91</v>
      </c>
      <c r="P182" t="s">
        <v>165</v>
      </c>
      <c r="Q182" t="s">
        <v>166</v>
      </c>
      <c r="R182" t="s">
        <v>166</v>
      </c>
      <c r="S182" s="1">
        <v>46038</v>
      </c>
      <c r="T182" s="1">
        <v>46038</v>
      </c>
      <c r="U182" s="1">
        <v>46038</v>
      </c>
      <c r="V182" s="1">
        <v>46403</v>
      </c>
      <c r="W182" t="s">
        <v>38</v>
      </c>
      <c r="X182">
        <v>12</v>
      </c>
      <c r="Y182" t="s">
        <v>49</v>
      </c>
      <c r="Z182" t="s">
        <v>81</v>
      </c>
      <c r="AA182" t="s">
        <v>122</v>
      </c>
      <c r="AB182">
        <v>12</v>
      </c>
      <c r="AC182" t="s">
        <v>166</v>
      </c>
      <c r="AD182" t="s">
        <v>118</v>
      </c>
      <c r="AE182" t="s">
        <v>43</v>
      </c>
      <c r="AF182" t="s">
        <v>119</v>
      </c>
      <c r="AG182" t="str">
        <f t="shared" si="2"/>
        <v>Recorrente</v>
      </c>
      <c r="AH182" t="str">
        <f>IF(AND(SUMIF(E:E,E182,I:I)&gt;=400000,Q182="B2G"),"n","")</f>
        <v/>
      </c>
    </row>
    <row r="183" spans="1:34">
      <c r="A183">
        <v>2026</v>
      </c>
      <c r="B183">
        <v>1</v>
      </c>
      <c r="C183" s="83">
        <v>28259241088</v>
      </c>
      <c r="D183" t="s">
        <v>284</v>
      </c>
      <c r="E183">
        <v>50877258084</v>
      </c>
      <c r="F183">
        <v>625599</v>
      </c>
      <c r="G183">
        <v>46166978734</v>
      </c>
      <c r="H183" t="s">
        <v>35</v>
      </c>
      <c r="I183" s="36">
        <v>12594</v>
      </c>
      <c r="J183" s="36">
        <v>12594</v>
      </c>
      <c r="K183" s="85">
        <v>0</v>
      </c>
      <c r="L183" s="36">
        <v>1049.5</v>
      </c>
      <c r="M183" s="36">
        <v>0</v>
      </c>
      <c r="N183" s="36">
        <v>190.5</v>
      </c>
      <c r="O183" s="36">
        <v>859</v>
      </c>
      <c r="P183" t="s">
        <v>165</v>
      </c>
      <c r="Q183" t="s">
        <v>166</v>
      </c>
      <c r="R183" t="s">
        <v>166</v>
      </c>
      <c r="S183" s="1">
        <v>46038</v>
      </c>
      <c r="T183" s="1">
        <v>46038</v>
      </c>
      <c r="U183" s="1">
        <v>46038</v>
      </c>
      <c r="V183" s="1">
        <v>46403</v>
      </c>
      <c r="W183" t="s">
        <v>38</v>
      </c>
      <c r="X183">
        <v>12</v>
      </c>
      <c r="Y183" t="s">
        <v>49</v>
      </c>
      <c r="Z183" t="s">
        <v>81</v>
      </c>
      <c r="AA183" t="s">
        <v>122</v>
      </c>
      <c r="AB183">
        <v>12</v>
      </c>
      <c r="AC183" t="s">
        <v>166</v>
      </c>
      <c r="AD183" t="s">
        <v>146</v>
      </c>
      <c r="AE183" t="s">
        <v>135</v>
      </c>
      <c r="AF183" t="s">
        <v>96</v>
      </c>
      <c r="AG183" t="str">
        <f t="shared" si="2"/>
        <v>Recorrente</v>
      </c>
      <c r="AH183" t="str">
        <f>IF(AND(SUMIF(E:E,E183,I:I)&gt;=400000,Q183="B2G"),"n","")</f>
        <v/>
      </c>
    </row>
    <row r="184" spans="1:34">
      <c r="A184">
        <v>2026</v>
      </c>
      <c r="B184">
        <v>1</v>
      </c>
      <c r="C184" s="83">
        <v>19485589865</v>
      </c>
      <c r="D184" t="s">
        <v>285</v>
      </c>
      <c r="E184">
        <v>50878957670</v>
      </c>
      <c r="F184">
        <v>625580</v>
      </c>
      <c r="G184">
        <v>46143385718</v>
      </c>
      <c r="H184" t="s">
        <v>35</v>
      </c>
      <c r="I184" s="36">
        <v>6354</v>
      </c>
      <c r="J184" s="36">
        <v>6354</v>
      </c>
      <c r="K184" s="85">
        <v>0</v>
      </c>
      <c r="L184" s="36">
        <v>529.5</v>
      </c>
      <c r="M184" s="36">
        <v>0</v>
      </c>
      <c r="N184" s="36">
        <v>52.21</v>
      </c>
      <c r="O184" s="36">
        <v>477.29</v>
      </c>
      <c r="P184" t="s">
        <v>165</v>
      </c>
      <c r="Q184" t="s">
        <v>166</v>
      </c>
      <c r="R184" t="s">
        <v>166</v>
      </c>
      <c r="S184" s="1">
        <v>46038</v>
      </c>
      <c r="T184" s="1">
        <v>46038</v>
      </c>
      <c r="U184" s="1">
        <v>46038</v>
      </c>
      <c r="V184" s="1">
        <v>46403</v>
      </c>
      <c r="W184" t="s">
        <v>38</v>
      </c>
      <c r="X184">
        <v>12</v>
      </c>
      <c r="Y184" t="s">
        <v>49</v>
      </c>
      <c r="Z184" t="s">
        <v>81</v>
      </c>
      <c r="AA184" t="s">
        <v>112</v>
      </c>
      <c r="AB184">
        <v>6</v>
      </c>
      <c r="AC184" t="s">
        <v>166</v>
      </c>
      <c r="AD184" t="s">
        <v>149</v>
      </c>
      <c r="AE184" t="s">
        <v>43</v>
      </c>
      <c r="AF184" t="s">
        <v>96</v>
      </c>
      <c r="AG184" t="str">
        <f t="shared" si="2"/>
        <v>CC 12x</v>
      </c>
      <c r="AH184" t="str">
        <f>IF(AND(SUMIF(E:E,E184,I:I)&gt;=400000,Q184="B2G"),"n","")</f>
        <v/>
      </c>
    </row>
    <row r="185" spans="1:34">
      <c r="A185">
        <v>2026</v>
      </c>
      <c r="B185">
        <v>1</v>
      </c>
      <c r="C185" s="83">
        <v>92145778541</v>
      </c>
      <c r="D185" t="s">
        <v>286</v>
      </c>
      <c r="E185">
        <v>50883799895</v>
      </c>
      <c r="F185">
        <v>625633</v>
      </c>
      <c r="G185">
        <v>46152500785</v>
      </c>
      <c r="H185" t="s">
        <v>35</v>
      </c>
      <c r="I185" s="36">
        <v>2874</v>
      </c>
      <c r="J185" s="36">
        <v>2874</v>
      </c>
      <c r="K185" s="85">
        <v>0</v>
      </c>
      <c r="L185" s="36">
        <v>239.5</v>
      </c>
      <c r="M185" s="36">
        <v>0</v>
      </c>
      <c r="N185" s="36">
        <v>20.420000000000002</v>
      </c>
      <c r="O185" s="36">
        <v>219.08</v>
      </c>
      <c r="P185" t="s">
        <v>165</v>
      </c>
      <c r="Q185" t="s">
        <v>166</v>
      </c>
      <c r="R185" t="s">
        <v>166</v>
      </c>
      <c r="S185" s="1">
        <v>46038</v>
      </c>
      <c r="T185" s="1">
        <v>46038</v>
      </c>
      <c r="U185" s="1">
        <v>46038</v>
      </c>
      <c r="V185" s="1">
        <v>46403</v>
      </c>
      <c r="W185" t="s">
        <v>38</v>
      </c>
      <c r="X185">
        <v>12</v>
      </c>
      <c r="Y185" t="s">
        <v>49</v>
      </c>
      <c r="Z185" t="s">
        <v>81</v>
      </c>
      <c r="AA185" t="s">
        <v>122</v>
      </c>
      <c r="AB185">
        <v>12</v>
      </c>
      <c r="AC185" t="s">
        <v>166</v>
      </c>
      <c r="AD185" t="s">
        <v>140</v>
      </c>
      <c r="AE185" t="s">
        <v>46</v>
      </c>
      <c r="AF185" t="s">
        <v>119</v>
      </c>
      <c r="AG185" t="str">
        <f t="shared" si="2"/>
        <v>Recorrente</v>
      </c>
      <c r="AH185" t="str">
        <f>IF(AND(SUMIF(E:E,E185,I:I)&gt;=400000,Q185="B2G"),"n","")</f>
        <v/>
      </c>
    </row>
    <row r="186" spans="1:34">
      <c r="A186">
        <v>2026</v>
      </c>
      <c r="B186">
        <v>1</v>
      </c>
      <c r="C186" s="83">
        <v>19435576079</v>
      </c>
      <c r="D186" t="s">
        <v>287</v>
      </c>
      <c r="E186">
        <v>50888755616</v>
      </c>
      <c r="F186">
        <v>606938</v>
      </c>
      <c r="G186">
        <v>46143230124</v>
      </c>
      <c r="H186" t="s">
        <v>35</v>
      </c>
      <c r="I186" s="36">
        <v>4275</v>
      </c>
      <c r="J186" s="36">
        <v>4275</v>
      </c>
      <c r="K186" s="85">
        <v>0</v>
      </c>
      <c r="L186" s="36">
        <v>356.25</v>
      </c>
      <c r="M186" s="36">
        <v>0</v>
      </c>
      <c r="N186" s="36">
        <v>49.4</v>
      </c>
      <c r="O186" s="36">
        <v>306.85000000000002</v>
      </c>
      <c r="P186" t="s">
        <v>165</v>
      </c>
      <c r="Q186" t="s">
        <v>166</v>
      </c>
      <c r="R186" t="s">
        <v>166</v>
      </c>
      <c r="S186" s="1">
        <v>46038</v>
      </c>
      <c r="T186" s="1">
        <v>46038</v>
      </c>
      <c r="U186" s="1">
        <v>46038</v>
      </c>
      <c r="V186" s="1">
        <v>46403</v>
      </c>
      <c r="W186" t="s">
        <v>38</v>
      </c>
      <c r="X186">
        <v>12</v>
      </c>
      <c r="Y186" t="s">
        <v>49</v>
      </c>
      <c r="Z186" t="s">
        <v>81</v>
      </c>
      <c r="AA186" t="s">
        <v>112</v>
      </c>
      <c r="AB186">
        <v>12</v>
      </c>
      <c r="AC186" t="s">
        <v>166</v>
      </c>
      <c r="AD186" t="s">
        <v>288</v>
      </c>
      <c r="AE186" t="s">
        <v>289</v>
      </c>
      <c r="AF186" t="s">
        <v>59</v>
      </c>
      <c r="AG186" t="str">
        <f t="shared" si="2"/>
        <v>CC 12x</v>
      </c>
      <c r="AH186" t="str">
        <f>IF(AND(SUMIF(E:E,E186,I:I)&gt;=400000,Q186="B2G"),"n","")</f>
        <v/>
      </c>
    </row>
    <row r="187" spans="1:34">
      <c r="A187">
        <v>2026</v>
      </c>
      <c r="B187">
        <v>1</v>
      </c>
      <c r="C187" s="83">
        <v>19435576079</v>
      </c>
      <c r="D187" t="s">
        <v>287</v>
      </c>
      <c r="E187">
        <v>50888755616</v>
      </c>
      <c r="F187">
        <v>606938</v>
      </c>
      <c r="G187">
        <v>46155424624</v>
      </c>
      <c r="H187" t="s">
        <v>35</v>
      </c>
      <c r="I187" s="36">
        <v>4275</v>
      </c>
      <c r="J187" s="36">
        <v>4275</v>
      </c>
      <c r="K187" s="85">
        <v>0</v>
      </c>
      <c r="L187" s="36">
        <v>356.25</v>
      </c>
      <c r="M187" s="36">
        <v>0</v>
      </c>
      <c r="N187" s="36">
        <v>49.4</v>
      </c>
      <c r="O187" s="36">
        <v>306.85000000000002</v>
      </c>
      <c r="P187" t="s">
        <v>165</v>
      </c>
      <c r="Q187" t="s">
        <v>166</v>
      </c>
      <c r="R187" t="s">
        <v>166</v>
      </c>
      <c r="S187" s="1">
        <v>46038</v>
      </c>
      <c r="T187" s="1">
        <v>46038</v>
      </c>
      <c r="U187" s="1">
        <v>46038</v>
      </c>
      <c r="V187" s="1">
        <v>46403</v>
      </c>
      <c r="W187" t="s">
        <v>38</v>
      </c>
      <c r="X187">
        <v>12</v>
      </c>
      <c r="Y187" t="s">
        <v>49</v>
      </c>
      <c r="Z187" t="s">
        <v>81</v>
      </c>
      <c r="AA187" t="s">
        <v>112</v>
      </c>
      <c r="AB187">
        <v>12</v>
      </c>
      <c r="AC187" t="s">
        <v>166</v>
      </c>
      <c r="AD187" t="s">
        <v>94</v>
      </c>
      <c r="AE187" t="s">
        <v>95</v>
      </c>
      <c r="AF187" t="s">
        <v>96</v>
      </c>
      <c r="AG187" t="str">
        <f t="shared" si="2"/>
        <v>CC 12x</v>
      </c>
      <c r="AH187" t="str">
        <f>IF(AND(SUMIF(E:E,E187,I:I)&gt;=400000,Q187="B2G"),"n","")</f>
        <v/>
      </c>
    </row>
    <row r="188" spans="1:34">
      <c r="A188">
        <v>2026</v>
      </c>
      <c r="B188">
        <v>1</v>
      </c>
      <c r="C188" s="83">
        <v>19435576079</v>
      </c>
      <c r="D188" t="s">
        <v>287</v>
      </c>
      <c r="E188">
        <v>50888755616</v>
      </c>
      <c r="F188">
        <v>606938</v>
      </c>
      <c r="G188">
        <v>46166049350</v>
      </c>
      <c r="H188" t="s">
        <v>35</v>
      </c>
      <c r="I188" s="36">
        <v>4275</v>
      </c>
      <c r="J188" s="36">
        <v>4275</v>
      </c>
      <c r="K188" s="85">
        <v>0</v>
      </c>
      <c r="L188" s="36">
        <v>356.25</v>
      </c>
      <c r="M188" s="36">
        <v>0</v>
      </c>
      <c r="N188" s="36">
        <v>49.4</v>
      </c>
      <c r="O188" s="36">
        <v>306.85000000000002</v>
      </c>
      <c r="P188" t="s">
        <v>165</v>
      </c>
      <c r="Q188" t="s">
        <v>166</v>
      </c>
      <c r="R188" t="s">
        <v>166</v>
      </c>
      <c r="S188" s="1">
        <v>46038</v>
      </c>
      <c r="T188" s="1">
        <v>46038</v>
      </c>
      <c r="U188" s="1">
        <v>46038</v>
      </c>
      <c r="V188" s="1">
        <v>46403</v>
      </c>
      <c r="W188" t="s">
        <v>38</v>
      </c>
      <c r="X188">
        <v>12</v>
      </c>
      <c r="Y188" t="s">
        <v>49</v>
      </c>
      <c r="Z188" t="s">
        <v>81</v>
      </c>
      <c r="AA188" t="s">
        <v>112</v>
      </c>
      <c r="AB188">
        <v>12</v>
      </c>
      <c r="AC188" t="s">
        <v>166</v>
      </c>
      <c r="AD188" t="s">
        <v>288</v>
      </c>
      <c r="AE188" t="s">
        <v>289</v>
      </c>
      <c r="AF188" t="s">
        <v>59</v>
      </c>
      <c r="AG188" t="str">
        <f t="shared" si="2"/>
        <v>CC 12x</v>
      </c>
      <c r="AH188" t="str">
        <f>IF(AND(SUMIF(E:E,E188,I:I)&gt;=400000,Q188="B2G"),"n","")</f>
        <v/>
      </c>
    </row>
    <row r="189" spans="1:34">
      <c r="A189">
        <v>2026</v>
      </c>
      <c r="B189">
        <v>1</v>
      </c>
      <c r="C189" s="83">
        <v>19435576079</v>
      </c>
      <c r="D189" t="s">
        <v>287</v>
      </c>
      <c r="E189">
        <v>50888755616</v>
      </c>
      <c r="F189">
        <v>606938</v>
      </c>
      <c r="G189">
        <v>46166358920</v>
      </c>
      <c r="H189" t="s">
        <v>35</v>
      </c>
      <c r="I189" s="36">
        <v>4275</v>
      </c>
      <c r="J189" s="36">
        <v>4275</v>
      </c>
      <c r="K189" s="85">
        <v>0</v>
      </c>
      <c r="L189" s="36">
        <v>356.25</v>
      </c>
      <c r="M189" s="36">
        <v>0</v>
      </c>
      <c r="N189" s="36">
        <v>49.4</v>
      </c>
      <c r="O189" s="36">
        <v>306.85000000000002</v>
      </c>
      <c r="P189" t="s">
        <v>165</v>
      </c>
      <c r="Q189" t="s">
        <v>166</v>
      </c>
      <c r="R189" t="s">
        <v>166</v>
      </c>
      <c r="S189" s="1">
        <v>46038</v>
      </c>
      <c r="T189" s="1">
        <v>46038</v>
      </c>
      <c r="U189" s="1">
        <v>46038</v>
      </c>
      <c r="V189" s="1">
        <v>46403</v>
      </c>
      <c r="W189" t="s">
        <v>38</v>
      </c>
      <c r="X189">
        <v>12</v>
      </c>
      <c r="Y189" t="s">
        <v>49</v>
      </c>
      <c r="Z189" t="s">
        <v>81</v>
      </c>
      <c r="AA189" t="s">
        <v>112</v>
      </c>
      <c r="AB189">
        <v>12</v>
      </c>
      <c r="AC189" t="s">
        <v>166</v>
      </c>
      <c r="AD189" t="s">
        <v>94</v>
      </c>
      <c r="AE189" t="s">
        <v>95</v>
      </c>
      <c r="AF189" t="s">
        <v>96</v>
      </c>
      <c r="AG189" t="str">
        <f t="shared" si="2"/>
        <v>CC 12x</v>
      </c>
      <c r="AH189" t="str">
        <f>IF(AND(SUMIF(E:E,E189,I:I)&gt;=400000,Q189="B2G"),"n","")</f>
        <v/>
      </c>
    </row>
    <row r="190" spans="1:34">
      <c r="A190">
        <v>2026</v>
      </c>
      <c r="B190">
        <v>1</v>
      </c>
      <c r="C190" s="83">
        <v>19435398320</v>
      </c>
      <c r="D190" t="s">
        <v>290</v>
      </c>
      <c r="E190">
        <v>50895397158</v>
      </c>
      <c r="F190">
        <v>607475</v>
      </c>
      <c r="G190">
        <v>46150951325</v>
      </c>
      <c r="H190" t="s">
        <v>35</v>
      </c>
      <c r="I190" s="36">
        <v>6354</v>
      </c>
      <c r="J190" s="36">
        <v>6354</v>
      </c>
      <c r="K190" s="85">
        <v>0</v>
      </c>
      <c r="L190" s="36">
        <v>529.5</v>
      </c>
      <c r="M190" s="36">
        <v>0</v>
      </c>
      <c r="N190" s="36">
        <v>86.38</v>
      </c>
      <c r="O190" s="36">
        <v>443.12</v>
      </c>
      <c r="P190" t="s">
        <v>165</v>
      </c>
      <c r="Q190" t="s">
        <v>166</v>
      </c>
      <c r="R190" t="s">
        <v>166</v>
      </c>
      <c r="S190" s="1">
        <v>46038</v>
      </c>
      <c r="T190" s="1">
        <v>46038</v>
      </c>
      <c r="U190" s="1">
        <v>46038</v>
      </c>
      <c r="V190" s="1">
        <v>46403</v>
      </c>
      <c r="W190" t="s">
        <v>38</v>
      </c>
      <c r="X190">
        <v>12</v>
      </c>
      <c r="Y190" t="s">
        <v>49</v>
      </c>
      <c r="Z190" t="s">
        <v>81</v>
      </c>
      <c r="AA190" t="s">
        <v>112</v>
      </c>
      <c r="AB190">
        <v>5</v>
      </c>
      <c r="AC190" t="s">
        <v>166</v>
      </c>
      <c r="AD190" t="s">
        <v>149</v>
      </c>
      <c r="AE190" t="s">
        <v>43</v>
      </c>
      <c r="AF190" t="s">
        <v>96</v>
      </c>
      <c r="AG190" t="str">
        <f t="shared" si="2"/>
        <v>CC 12x</v>
      </c>
      <c r="AH190" t="str">
        <f>IF(AND(SUMIF(E:E,E190,I:I)&gt;=400000,Q190="B2G"),"n","")</f>
        <v/>
      </c>
    </row>
    <row r="191" spans="1:34">
      <c r="A191">
        <v>2026</v>
      </c>
      <c r="B191">
        <v>1</v>
      </c>
      <c r="C191" s="83">
        <v>191149915457</v>
      </c>
      <c r="D191" t="s">
        <v>291</v>
      </c>
      <c r="E191">
        <v>50907565184</v>
      </c>
      <c r="F191">
        <v>607429</v>
      </c>
      <c r="G191">
        <v>46158521888</v>
      </c>
      <c r="H191" t="s">
        <v>35</v>
      </c>
      <c r="I191" s="36">
        <v>4638.6000000000004</v>
      </c>
      <c r="J191" s="36">
        <v>4638.6000000000004</v>
      </c>
      <c r="K191" s="85">
        <v>0</v>
      </c>
      <c r="L191" s="36">
        <v>386.55</v>
      </c>
      <c r="M191" s="36">
        <v>0</v>
      </c>
      <c r="N191" s="36">
        <v>113.71</v>
      </c>
      <c r="O191" s="36">
        <v>272.83999999999997</v>
      </c>
      <c r="P191" t="s">
        <v>165</v>
      </c>
      <c r="Q191" t="s">
        <v>166</v>
      </c>
      <c r="R191" t="s">
        <v>166</v>
      </c>
      <c r="S191" s="1">
        <v>46038</v>
      </c>
      <c r="T191" s="1">
        <v>46038</v>
      </c>
      <c r="U191" s="1">
        <v>46038</v>
      </c>
      <c r="V191" s="1">
        <v>46403</v>
      </c>
      <c r="W191" t="s">
        <v>38</v>
      </c>
      <c r="X191">
        <v>12</v>
      </c>
      <c r="Y191" t="s">
        <v>49</v>
      </c>
      <c r="Z191" t="s">
        <v>81</v>
      </c>
      <c r="AA191" t="s">
        <v>112</v>
      </c>
      <c r="AB191">
        <v>12</v>
      </c>
      <c r="AC191" t="s">
        <v>166</v>
      </c>
      <c r="AD191" t="s">
        <v>163</v>
      </c>
      <c r="AE191" t="s">
        <v>43</v>
      </c>
      <c r="AF191" t="s">
        <v>96</v>
      </c>
      <c r="AG191" t="str">
        <f t="shared" si="2"/>
        <v>CC 12x</v>
      </c>
      <c r="AH191" t="str">
        <f>IF(AND(SUMIF(E:E,E191,I:I)&gt;=400000,Q191="B2G"),"n","")</f>
        <v/>
      </c>
    </row>
    <row r="192" spans="1:34">
      <c r="A192">
        <v>2026</v>
      </c>
      <c r="B192">
        <v>1</v>
      </c>
      <c r="C192" s="83">
        <v>2096127</v>
      </c>
      <c r="D192" t="s">
        <v>292</v>
      </c>
      <c r="E192">
        <v>51016769442</v>
      </c>
      <c r="F192">
        <v>624514</v>
      </c>
      <c r="G192">
        <v>47221675635</v>
      </c>
      <c r="H192" t="s">
        <v>35</v>
      </c>
      <c r="I192" s="36">
        <v>4603.2</v>
      </c>
      <c r="J192" s="36">
        <v>4603.2</v>
      </c>
      <c r="K192" s="85">
        <v>0</v>
      </c>
      <c r="L192" s="36">
        <v>383.6</v>
      </c>
      <c r="M192" s="36">
        <v>0</v>
      </c>
      <c r="N192" s="36">
        <v>1.95</v>
      </c>
      <c r="O192" s="36">
        <v>381.65</v>
      </c>
      <c r="P192" t="s">
        <v>162</v>
      </c>
      <c r="Q192" t="s">
        <v>111</v>
      </c>
      <c r="R192" t="s">
        <v>111</v>
      </c>
      <c r="S192" s="1">
        <v>46007</v>
      </c>
      <c r="T192" s="1">
        <v>46023</v>
      </c>
      <c r="U192" s="1">
        <v>45993</v>
      </c>
      <c r="V192" s="1">
        <v>46372</v>
      </c>
      <c r="W192" t="s">
        <v>38</v>
      </c>
      <c r="X192">
        <v>12</v>
      </c>
      <c r="Y192" t="s">
        <v>49</v>
      </c>
      <c r="Z192" t="s">
        <v>81</v>
      </c>
      <c r="AA192" t="s">
        <v>112</v>
      </c>
      <c r="AB192">
        <v>12</v>
      </c>
      <c r="AC192" t="s">
        <v>113</v>
      </c>
      <c r="AD192" t="s">
        <v>85</v>
      </c>
      <c r="AE192" t="s">
        <v>46</v>
      </c>
      <c r="AF192" t="s">
        <v>44</v>
      </c>
      <c r="AG192" t="str">
        <f t="shared" si="2"/>
        <v>CC 12x</v>
      </c>
      <c r="AH192" t="str">
        <f>IF(AND(SUMIF(E:E,E192,I:I)&gt;=400000,Q192="B2G"),"n","")</f>
        <v/>
      </c>
    </row>
    <row r="193" spans="1:34">
      <c r="A193">
        <v>2026</v>
      </c>
      <c r="B193">
        <v>1</v>
      </c>
      <c r="C193" s="83">
        <v>1619671</v>
      </c>
      <c r="D193" t="s">
        <v>293</v>
      </c>
      <c r="E193">
        <v>51023794432</v>
      </c>
      <c r="F193">
        <v>607586</v>
      </c>
      <c r="G193">
        <v>46299593730</v>
      </c>
      <c r="H193" t="s">
        <v>35</v>
      </c>
      <c r="I193" s="36">
        <v>5754</v>
      </c>
      <c r="J193" s="36">
        <v>5754</v>
      </c>
      <c r="K193" s="85">
        <v>0</v>
      </c>
      <c r="L193" s="36">
        <v>479.5</v>
      </c>
      <c r="M193" s="36">
        <v>0</v>
      </c>
      <c r="N193" s="36">
        <v>71.8</v>
      </c>
      <c r="O193" s="36">
        <v>407.7</v>
      </c>
      <c r="P193" t="s">
        <v>165</v>
      </c>
      <c r="Q193" t="s">
        <v>166</v>
      </c>
      <c r="R193" t="s">
        <v>166</v>
      </c>
      <c r="S193" s="1">
        <v>46039</v>
      </c>
      <c r="T193" s="1">
        <v>46039</v>
      </c>
      <c r="U193" s="1">
        <v>46039</v>
      </c>
      <c r="V193" s="1">
        <v>46404</v>
      </c>
      <c r="W193" t="s">
        <v>38</v>
      </c>
      <c r="X193">
        <v>12</v>
      </c>
      <c r="Y193" t="s">
        <v>49</v>
      </c>
      <c r="Z193" t="s">
        <v>81</v>
      </c>
      <c r="AA193" t="s">
        <v>122</v>
      </c>
      <c r="AB193">
        <v>12</v>
      </c>
      <c r="AC193" t="s">
        <v>166</v>
      </c>
      <c r="AD193" t="s">
        <v>85</v>
      </c>
      <c r="AE193" t="s">
        <v>46</v>
      </c>
      <c r="AF193" t="s">
        <v>44</v>
      </c>
      <c r="AG193" t="str">
        <f t="shared" si="2"/>
        <v>Recorrente</v>
      </c>
      <c r="AH193" t="str">
        <f>IF(AND(SUMIF(E:E,E193,I:I)&gt;=400000,Q193="B2G"),"n","")</f>
        <v/>
      </c>
    </row>
    <row r="194" spans="1:34">
      <c r="A194">
        <v>2026</v>
      </c>
      <c r="B194">
        <v>1</v>
      </c>
      <c r="C194" s="83">
        <v>19435650074</v>
      </c>
      <c r="D194" t="s">
        <v>294</v>
      </c>
      <c r="E194">
        <v>51024378937</v>
      </c>
      <c r="F194">
        <v>522871</v>
      </c>
      <c r="G194">
        <v>46515394827</v>
      </c>
      <c r="H194" t="s">
        <v>35</v>
      </c>
      <c r="I194" s="36">
        <v>12590.88</v>
      </c>
      <c r="J194" s="36">
        <v>6295.44</v>
      </c>
      <c r="K194" s="85">
        <v>6295.44</v>
      </c>
      <c r="L194" s="36">
        <v>524.62</v>
      </c>
      <c r="M194" s="36">
        <v>0</v>
      </c>
      <c r="N194" s="36">
        <v>0</v>
      </c>
      <c r="O194" s="36">
        <v>524.625</v>
      </c>
      <c r="P194" t="s">
        <v>127</v>
      </c>
      <c r="Q194" t="s">
        <v>111</v>
      </c>
      <c r="R194" t="s">
        <v>111</v>
      </c>
      <c r="S194" s="1">
        <v>45995</v>
      </c>
      <c r="T194" s="1">
        <v>46023</v>
      </c>
      <c r="U194" s="1">
        <v>46009</v>
      </c>
      <c r="V194" s="1">
        <v>46739</v>
      </c>
      <c r="W194" t="s">
        <v>56</v>
      </c>
      <c r="X194">
        <v>24</v>
      </c>
      <c r="Y194" t="s">
        <v>49</v>
      </c>
      <c r="Z194" t="s">
        <v>81</v>
      </c>
      <c r="AA194" t="s">
        <v>122</v>
      </c>
      <c r="AB194">
        <v>24</v>
      </c>
      <c r="AC194" t="s">
        <v>113</v>
      </c>
      <c r="AD194" t="s">
        <v>94</v>
      </c>
      <c r="AE194" t="s">
        <v>95</v>
      </c>
      <c r="AF194" t="s">
        <v>96</v>
      </c>
      <c r="AG194" t="str">
        <f t="shared" si="2"/>
        <v>Recorrente</v>
      </c>
      <c r="AH194" t="str">
        <f>IF(AND(SUMIF(E:E,E194,I:I)&gt;=400000,Q194="B2G"),"n","")</f>
        <v/>
      </c>
    </row>
    <row r="195" spans="1:34">
      <c r="A195">
        <v>2026</v>
      </c>
      <c r="B195">
        <v>1</v>
      </c>
      <c r="C195" s="83">
        <v>19435650074</v>
      </c>
      <c r="D195" t="s">
        <v>294</v>
      </c>
      <c r="E195">
        <v>51024378937</v>
      </c>
      <c r="F195">
        <v>522871</v>
      </c>
      <c r="G195">
        <v>46515394828</v>
      </c>
      <c r="H195" t="s">
        <v>35</v>
      </c>
      <c r="I195" s="36">
        <v>12590.88</v>
      </c>
      <c r="J195" s="36">
        <v>6295.44</v>
      </c>
      <c r="K195" s="85">
        <v>6295.44</v>
      </c>
      <c r="L195" s="36">
        <v>524.62</v>
      </c>
      <c r="M195" s="36">
        <v>0</v>
      </c>
      <c r="N195" s="36">
        <v>0</v>
      </c>
      <c r="O195" s="36">
        <v>524.625</v>
      </c>
      <c r="P195" t="s">
        <v>127</v>
      </c>
      <c r="Q195" t="s">
        <v>111</v>
      </c>
      <c r="R195" t="s">
        <v>111</v>
      </c>
      <c r="S195" s="1">
        <v>45995</v>
      </c>
      <c r="T195" s="1">
        <v>46023</v>
      </c>
      <c r="U195" s="1">
        <v>46009</v>
      </c>
      <c r="V195" s="1">
        <v>46739</v>
      </c>
      <c r="W195" t="s">
        <v>56</v>
      </c>
      <c r="X195">
        <v>24</v>
      </c>
      <c r="Y195" t="s">
        <v>49</v>
      </c>
      <c r="Z195" t="s">
        <v>81</v>
      </c>
      <c r="AA195" t="s">
        <v>122</v>
      </c>
      <c r="AB195">
        <v>24</v>
      </c>
      <c r="AC195" t="s">
        <v>113</v>
      </c>
      <c r="AD195" t="s">
        <v>94</v>
      </c>
      <c r="AE195" t="s">
        <v>95</v>
      </c>
      <c r="AF195" t="s">
        <v>96</v>
      </c>
      <c r="AG195" t="str">
        <f t="shared" ref="AG195:AG258" si="3">IF(IFERROR(SEARCH("Recorrente",AA195),0)&gt;0,"Recorrente",IF(AB195=1,"À Vista",IF(AB195&lt;=3,"CC 3x",IF(AB195&lt;=12,"CC 12x",IF(AB195&gt;12,"Recorrente","")))))</f>
        <v>Recorrente</v>
      </c>
      <c r="AH195" t="str">
        <f>IF(AND(SUMIF(E:E,E195,I:I)&gt;=400000,Q195="B2G"),"n","")</f>
        <v/>
      </c>
    </row>
    <row r="196" spans="1:34">
      <c r="A196">
        <v>2026</v>
      </c>
      <c r="B196">
        <v>1</v>
      </c>
      <c r="C196" s="83">
        <v>2136428</v>
      </c>
      <c r="D196" t="s">
        <v>295</v>
      </c>
      <c r="E196">
        <v>51024417110</v>
      </c>
      <c r="F196">
        <v>625649</v>
      </c>
      <c r="G196">
        <v>46333110317</v>
      </c>
      <c r="H196" t="s">
        <v>35</v>
      </c>
      <c r="I196" s="36">
        <v>2586.6</v>
      </c>
      <c r="J196" s="36">
        <v>2586.6</v>
      </c>
      <c r="K196" s="85">
        <v>0</v>
      </c>
      <c r="L196" s="36">
        <v>215.55</v>
      </c>
      <c r="M196" s="36">
        <v>0</v>
      </c>
      <c r="N196" s="36">
        <v>29.4</v>
      </c>
      <c r="O196" s="36">
        <v>186.15</v>
      </c>
      <c r="P196" t="s">
        <v>165</v>
      </c>
      <c r="Q196" t="s">
        <v>166</v>
      </c>
      <c r="R196" t="s">
        <v>166</v>
      </c>
      <c r="S196" s="1">
        <v>46039</v>
      </c>
      <c r="T196" s="1">
        <v>46039</v>
      </c>
      <c r="U196" s="1">
        <v>46039</v>
      </c>
      <c r="V196" s="1">
        <v>46404</v>
      </c>
      <c r="W196" t="s">
        <v>38</v>
      </c>
      <c r="X196">
        <v>12</v>
      </c>
      <c r="Y196" t="s">
        <v>49</v>
      </c>
      <c r="Z196" t="s">
        <v>81</v>
      </c>
      <c r="AA196" t="s">
        <v>122</v>
      </c>
      <c r="AB196">
        <v>12</v>
      </c>
      <c r="AC196" t="s">
        <v>166</v>
      </c>
      <c r="AD196" t="s">
        <v>118</v>
      </c>
      <c r="AE196" t="s">
        <v>43</v>
      </c>
      <c r="AF196" t="s">
        <v>119</v>
      </c>
      <c r="AG196" t="str">
        <f t="shared" si="3"/>
        <v>Recorrente</v>
      </c>
      <c r="AH196" t="str">
        <f>IF(AND(SUMIF(E:E,E196,I:I)&gt;=400000,Q196="B2G"),"n","")</f>
        <v/>
      </c>
    </row>
    <row r="197" spans="1:34">
      <c r="A197">
        <v>2026</v>
      </c>
      <c r="B197">
        <v>1</v>
      </c>
      <c r="C197" s="83">
        <v>2108806</v>
      </c>
      <c r="D197" t="s">
        <v>296</v>
      </c>
      <c r="E197">
        <v>51050045333</v>
      </c>
      <c r="F197">
        <v>607569</v>
      </c>
      <c r="G197">
        <v>46299125884</v>
      </c>
      <c r="H197" t="s">
        <v>35</v>
      </c>
      <c r="I197" s="36">
        <v>4962.6000000000004</v>
      </c>
      <c r="J197" s="36">
        <v>4962.6000000000004</v>
      </c>
      <c r="K197" s="85">
        <v>0</v>
      </c>
      <c r="L197" s="36">
        <v>413.55</v>
      </c>
      <c r="M197" s="36">
        <v>0</v>
      </c>
      <c r="N197" s="36">
        <v>70.41</v>
      </c>
      <c r="O197" s="36">
        <v>343.14</v>
      </c>
      <c r="P197" t="s">
        <v>165</v>
      </c>
      <c r="Q197" t="s">
        <v>166</v>
      </c>
      <c r="R197" t="s">
        <v>166</v>
      </c>
      <c r="S197" s="1">
        <v>46039</v>
      </c>
      <c r="T197" s="1">
        <v>46039</v>
      </c>
      <c r="U197" s="1">
        <v>46039</v>
      </c>
      <c r="V197" s="1">
        <v>46404</v>
      </c>
      <c r="W197" t="s">
        <v>38</v>
      </c>
      <c r="X197">
        <v>12</v>
      </c>
      <c r="Y197" t="s">
        <v>49</v>
      </c>
      <c r="Z197" t="s">
        <v>81</v>
      </c>
      <c r="AA197" t="s">
        <v>112</v>
      </c>
      <c r="AB197">
        <v>12</v>
      </c>
      <c r="AC197" t="s">
        <v>166</v>
      </c>
      <c r="AD197" t="s">
        <v>138</v>
      </c>
      <c r="AE197" t="s">
        <v>135</v>
      </c>
      <c r="AF197" t="s">
        <v>119</v>
      </c>
      <c r="AG197" t="str">
        <f t="shared" si="3"/>
        <v>CC 12x</v>
      </c>
      <c r="AH197" t="str">
        <f>IF(AND(SUMIF(E:E,E197,I:I)&gt;=400000,Q197="B2G"),"n","")</f>
        <v/>
      </c>
    </row>
    <row r="198" spans="1:34">
      <c r="A198">
        <v>2026</v>
      </c>
      <c r="B198">
        <v>1</v>
      </c>
      <c r="C198" s="83">
        <v>123706225302</v>
      </c>
      <c r="D198" t="s">
        <v>297</v>
      </c>
      <c r="E198">
        <v>51052803252</v>
      </c>
      <c r="F198">
        <v>607504</v>
      </c>
      <c r="G198">
        <v>46300212031</v>
      </c>
      <c r="H198" t="s">
        <v>35</v>
      </c>
      <c r="I198" s="36">
        <v>4135.4399999999996</v>
      </c>
      <c r="J198" s="36">
        <v>4135.4399999999996</v>
      </c>
      <c r="K198" s="85">
        <v>0</v>
      </c>
      <c r="L198" s="36">
        <v>344.62</v>
      </c>
      <c r="M198" s="36">
        <v>0</v>
      </c>
      <c r="N198" s="36">
        <v>65.33</v>
      </c>
      <c r="O198" s="36">
        <v>279.3</v>
      </c>
      <c r="P198" t="s">
        <v>165</v>
      </c>
      <c r="Q198" t="s">
        <v>166</v>
      </c>
      <c r="R198" t="s">
        <v>166</v>
      </c>
      <c r="S198" s="1">
        <v>46039</v>
      </c>
      <c r="T198" s="1">
        <v>46039</v>
      </c>
      <c r="U198" s="1">
        <v>46039</v>
      </c>
      <c r="V198" s="1">
        <v>46404</v>
      </c>
      <c r="W198" t="s">
        <v>38</v>
      </c>
      <c r="X198">
        <v>12</v>
      </c>
      <c r="Y198" t="s">
        <v>49</v>
      </c>
      <c r="Z198" t="s">
        <v>81</v>
      </c>
      <c r="AA198" t="s">
        <v>122</v>
      </c>
      <c r="AB198">
        <v>12</v>
      </c>
      <c r="AC198" t="s">
        <v>166</v>
      </c>
      <c r="AD198" t="s">
        <v>138</v>
      </c>
      <c r="AE198" t="s">
        <v>135</v>
      </c>
      <c r="AF198" t="s">
        <v>119</v>
      </c>
      <c r="AG198" t="str">
        <f t="shared" si="3"/>
        <v>Recorrente</v>
      </c>
      <c r="AH198" t="str">
        <f>IF(AND(SUMIF(E:E,E198,I:I)&gt;=400000,Q198="B2G"),"n","")</f>
        <v/>
      </c>
    </row>
    <row r="199" spans="1:34">
      <c r="A199">
        <v>2026</v>
      </c>
      <c r="B199">
        <v>1</v>
      </c>
      <c r="C199" s="83">
        <v>194939943441</v>
      </c>
      <c r="D199" t="s">
        <v>298</v>
      </c>
      <c r="E199">
        <v>51082601512</v>
      </c>
      <c r="F199">
        <v>635159</v>
      </c>
      <c r="G199">
        <v>46570811243</v>
      </c>
      <c r="H199" t="s">
        <v>35</v>
      </c>
      <c r="I199" s="36">
        <v>2155.44</v>
      </c>
      <c r="J199" s="36">
        <v>2155.5</v>
      </c>
      <c r="K199" s="85">
        <v>0</v>
      </c>
      <c r="L199" s="36">
        <v>179.63</v>
      </c>
      <c r="M199" s="36">
        <v>179.63</v>
      </c>
      <c r="N199" s="36">
        <v>0</v>
      </c>
      <c r="O199" s="36">
        <v>0</v>
      </c>
      <c r="P199" t="s">
        <v>299</v>
      </c>
      <c r="Q199" t="s">
        <v>300</v>
      </c>
      <c r="R199" t="s">
        <v>300</v>
      </c>
      <c r="S199" s="1">
        <v>46045</v>
      </c>
      <c r="T199" s="1">
        <v>46045</v>
      </c>
      <c r="V199" s="1">
        <v>46361</v>
      </c>
      <c r="W199" t="s">
        <v>38</v>
      </c>
      <c r="X199">
        <v>11</v>
      </c>
      <c r="Y199" t="s">
        <v>49</v>
      </c>
      <c r="AA199" t="s">
        <v>117</v>
      </c>
      <c r="AB199">
        <v>1</v>
      </c>
      <c r="AC199" t="s">
        <v>301</v>
      </c>
      <c r="AD199" t="s">
        <v>140</v>
      </c>
      <c r="AE199" t="s">
        <v>46</v>
      </c>
      <c r="AF199" t="s">
        <v>119</v>
      </c>
      <c r="AG199" t="str">
        <f t="shared" si="3"/>
        <v>À Vista</v>
      </c>
      <c r="AH199" t="str">
        <f>IF(AND(SUMIF(E:E,E199,I:I)&gt;=400000,Q199="B2G"),"n","")</f>
        <v/>
      </c>
    </row>
    <row r="200" spans="1:34">
      <c r="A200">
        <v>2026</v>
      </c>
      <c r="B200">
        <v>1</v>
      </c>
      <c r="C200" s="83">
        <v>95297872687</v>
      </c>
      <c r="D200" t="s">
        <v>302</v>
      </c>
      <c r="E200">
        <v>51083375457</v>
      </c>
      <c r="F200">
        <v>327617</v>
      </c>
      <c r="G200">
        <v>46541781505</v>
      </c>
      <c r="H200" t="s">
        <v>35</v>
      </c>
      <c r="I200" s="36">
        <v>8028.84</v>
      </c>
      <c r="J200" s="36">
        <v>8028.84</v>
      </c>
      <c r="K200" s="85">
        <v>0</v>
      </c>
      <c r="L200" s="36">
        <v>669.07</v>
      </c>
      <c r="M200" s="36">
        <v>0</v>
      </c>
      <c r="N200" s="36">
        <v>78.930000000000007</v>
      </c>
      <c r="O200" s="36">
        <v>590.14</v>
      </c>
      <c r="P200" t="s">
        <v>116</v>
      </c>
      <c r="Q200" t="s">
        <v>111</v>
      </c>
      <c r="R200" t="s">
        <v>111</v>
      </c>
      <c r="S200" s="1">
        <v>45999</v>
      </c>
      <c r="T200" s="1">
        <v>46023</v>
      </c>
      <c r="U200" s="1">
        <v>45997</v>
      </c>
      <c r="V200" s="1">
        <v>46364</v>
      </c>
      <c r="W200" t="s">
        <v>38</v>
      </c>
      <c r="X200">
        <v>12</v>
      </c>
      <c r="Y200" t="s">
        <v>49</v>
      </c>
      <c r="Z200" t="s">
        <v>81</v>
      </c>
      <c r="AA200" t="s">
        <v>112</v>
      </c>
      <c r="AB200">
        <v>12</v>
      </c>
      <c r="AC200" t="s">
        <v>113</v>
      </c>
      <c r="AD200" t="s">
        <v>146</v>
      </c>
      <c r="AE200" t="s">
        <v>135</v>
      </c>
      <c r="AF200" t="s">
        <v>96</v>
      </c>
      <c r="AG200" t="str">
        <f t="shared" si="3"/>
        <v>CC 12x</v>
      </c>
      <c r="AH200" t="str">
        <f>IF(AND(SUMIF(E:E,E200,I:I)&gt;=400000,Q200="B2G"),"n","")</f>
        <v/>
      </c>
    </row>
    <row r="201" spans="1:34">
      <c r="A201">
        <v>2026</v>
      </c>
      <c r="B201">
        <v>1</v>
      </c>
      <c r="C201" s="83">
        <v>2131126</v>
      </c>
      <c r="D201" t="s">
        <v>303</v>
      </c>
      <c r="E201">
        <v>51113267308</v>
      </c>
      <c r="F201">
        <v>607668</v>
      </c>
      <c r="G201">
        <v>46449753420</v>
      </c>
      <c r="H201" t="s">
        <v>35</v>
      </c>
      <c r="I201" s="36">
        <v>5034</v>
      </c>
      <c r="J201" s="36">
        <v>5034</v>
      </c>
      <c r="K201" s="85">
        <v>0</v>
      </c>
      <c r="L201" s="36">
        <v>419.5</v>
      </c>
      <c r="M201" s="36">
        <v>0</v>
      </c>
      <c r="N201" s="36">
        <v>64.75</v>
      </c>
      <c r="O201" s="36">
        <v>354.75</v>
      </c>
      <c r="P201" t="s">
        <v>165</v>
      </c>
      <c r="Q201" t="s">
        <v>166</v>
      </c>
      <c r="R201" t="s">
        <v>166</v>
      </c>
      <c r="S201" s="1">
        <v>46040</v>
      </c>
      <c r="T201" s="1">
        <v>46040</v>
      </c>
      <c r="U201" s="1">
        <v>46040</v>
      </c>
      <c r="V201" s="1">
        <v>46405</v>
      </c>
      <c r="W201" t="s">
        <v>38</v>
      </c>
      <c r="X201">
        <v>12</v>
      </c>
      <c r="Y201" t="s">
        <v>49</v>
      </c>
      <c r="Z201" t="s">
        <v>81</v>
      </c>
      <c r="AA201" t="s">
        <v>122</v>
      </c>
      <c r="AB201">
        <v>12</v>
      </c>
      <c r="AC201" t="s">
        <v>166</v>
      </c>
      <c r="AD201" t="s">
        <v>84</v>
      </c>
      <c r="AE201" t="s">
        <v>43</v>
      </c>
      <c r="AF201" t="s">
        <v>44</v>
      </c>
      <c r="AG201" t="str">
        <f t="shared" si="3"/>
        <v>Recorrente</v>
      </c>
      <c r="AH201" t="str">
        <f>IF(AND(SUMIF(E:E,E201,I:I)&gt;=400000,Q201="B2G"),"n","")</f>
        <v/>
      </c>
    </row>
    <row r="202" spans="1:34">
      <c r="A202">
        <v>2026</v>
      </c>
      <c r="B202">
        <v>1</v>
      </c>
      <c r="C202" s="83">
        <v>2132955</v>
      </c>
      <c r="D202" t="s">
        <v>304</v>
      </c>
      <c r="E202">
        <v>51142651562</v>
      </c>
      <c r="F202">
        <v>606905</v>
      </c>
      <c r="G202">
        <v>46412979726</v>
      </c>
      <c r="H202" t="s">
        <v>35</v>
      </c>
      <c r="I202" s="36">
        <v>5173.2</v>
      </c>
      <c r="J202" s="36">
        <v>2586.6</v>
      </c>
      <c r="K202" s="85">
        <v>2586.6</v>
      </c>
      <c r="L202" s="36">
        <v>215.55</v>
      </c>
      <c r="M202" s="36">
        <v>0</v>
      </c>
      <c r="N202" s="36">
        <v>42.3</v>
      </c>
      <c r="O202" s="36">
        <v>173.25</v>
      </c>
      <c r="P202" t="s">
        <v>165</v>
      </c>
      <c r="Q202" t="s">
        <v>166</v>
      </c>
      <c r="R202" t="s">
        <v>166</v>
      </c>
      <c r="S202" s="1">
        <v>45995</v>
      </c>
      <c r="T202" s="1">
        <v>46023</v>
      </c>
      <c r="U202" s="1">
        <v>46040</v>
      </c>
      <c r="V202" s="1">
        <v>46770</v>
      </c>
      <c r="W202" t="s">
        <v>56</v>
      </c>
      <c r="X202">
        <v>24</v>
      </c>
      <c r="Y202" t="s">
        <v>49</v>
      </c>
      <c r="Z202" t="s">
        <v>81</v>
      </c>
      <c r="AA202" t="s">
        <v>112</v>
      </c>
      <c r="AB202">
        <v>12</v>
      </c>
      <c r="AC202" t="s">
        <v>166</v>
      </c>
      <c r="AD202" t="s">
        <v>140</v>
      </c>
      <c r="AE202" t="s">
        <v>46</v>
      </c>
      <c r="AF202" t="s">
        <v>119</v>
      </c>
      <c r="AG202" t="str">
        <f t="shared" si="3"/>
        <v>CC 12x</v>
      </c>
      <c r="AH202" t="str">
        <f>IF(AND(SUMIF(E:E,E202,I:I)&gt;=400000,Q202="B2G"),"n","")</f>
        <v/>
      </c>
    </row>
    <row r="203" spans="1:34">
      <c r="A203">
        <v>2026</v>
      </c>
      <c r="B203">
        <v>1</v>
      </c>
      <c r="C203" s="83">
        <v>2119735</v>
      </c>
      <c r="D203" t="s">
        <v>305</v>
      </c>
      <c r="E203">
        <v>51150415913</v>
      </c>
      <c r="F203">
        <v>523294</v>
      </c>
      <c r="G203">
        <v>46515894372</v>
      </c>
      <c r="H203" t="s">
        <v>35</v>
      </c>
      <c r="I203" s="36">
        <v>6664.68</v>
      </c>
      <c r="J203" s="36">
        <v>6664.68</v>
      </c>
      <c r="K203" s="85">
        <v>0</v>
      </c>
      <c r="L203" s="36">
        <v>555.39</v>
      </c>
      <c r="M203" s="36">
        <v>0</v>
      </c>
      <c r="N203" s="36">
        <v>141.87</v>
      </c>
      <c r="O203" s="36">
        <v>413.52</v>
      </c>
      <c r="P203" t="s">
        <v>137</v>
      </c>
      <c r="Q203" t="s">
        <v>111</v>
      </c>
      <c r="R203" t="s">
        <v>111</v>
      </c>
      <c r="S203" s="1">
        <v>45995</v>
      </c>
      <c r="T203" s="1">
        <v>46023</v>
      </c>
      <c r="U203" s="1">
        <v>46000</v>
      </c>
      <c r="V203" s="1">
        <v>46365</v>
      </c>
      <c r="W203" t="s">
        <v>38</v>
      </c>
      <c r="X203">
        <v>12</v>
      </c>
      <c r="Y203" t="s">
        <v>49</v>
      </c>
      <c r="Z203" t="s">
        <v>81</v>
      </c>
      <c r="AA203" t="s">
        <v>122</v>
      </c>
      <c r="AB203">
        <v>12</v>
      </c>
      <c r="AC203" t="s">
        <v>113</v>
      </c>
      <c r="AD203" t="s">
        <v>134</v>
      </c>
      <c r="AE203" t="s">
        <v>135</v>
      </c>
      <c r="AF203" t="s">
        <v>44</v>
      </c>
      <c r="AG203" t="str">
        <f t="shared" si="3"/>
        <v>Recorrente</v>
      </c>
      <c r="AH203" t="str">
        <f>IF(AND(SUMIF(E:E,E203,I:I)&gt;=400000,Q203="B2G"),"n","")</f>
        <v/>
      </c>
    </row>
    <row r="204" spans="1:34">
      <c r="A204">
        <v>2026</v>
      </c>
      <c r="B204">
        <v>1</v>
      </c>
      <c r="C204" s="83">
        <v>2086297</v>
      </c>
      <c r="D204" t="s">
        <v>306</v>
      </c>
      <c r="E204">
        <v>51150916950</v>
      </c>
      <c r="F204">
        <v>525027</v>
      </c>
      <c r="G204">
        <v>46427156299</v>
      </c>
      <c r="H204" t="s">
        <v>35</v>
      </c>
      <c r="I204" s="36">
        <v>5754</v>
      </c>
      <c r="J204" s="36">
        <v>5754</v>
      </c>
      <c r="K204" s="85">
        <v>0</v>
      </c>
      <c r="L204" s="36">
        <v>479.5</v>
      </c>
      <c r="M204" s="36">
        <v>0</v>
      </c>
      <c r="N204" s="36">
        <v>30.5</v>
      </c>
      <c r="O204" s="36">
        <v>449</v>
      </c>
      <c r="P204" t="s">
        <v>165</v>
      </c>
      <c r="Q204" t="s">
        <v>166</v>
      </c>
      <c r="R204" t="s">
        <v>166</v>
      </c>
      <c r="S204" s="1">
        <v>46040</v>
      </c>
      <c r="T204" s="1">
        <v>46040</v>
      </c>
      <c r="U204" s="1">
        <v>46040</v>
      </c>
      <c r="V204" s="1">
        <v>46405</v>
      </c>
      <c r="W204" t="s">
        <v>38</v>
      </c>
      <c r="X204">
        <v>12</v>
      </c>
      <c r="Y204" t="s">
        <v>49</v>
      </c>
      <c r="Z204" t="s">
        <v>81</v>
      </c>
      <c r="AA204" t="s">
        <v>112</v>
      </c>
      <c r="AB204">
        <v>12</v>
      </c>
      <c r="AC204" t="s">
        <v>166</v>
      </c>
      <c r="AD204" t="s">
        <v>85</v>
      </c>
      <c r="AE204" t="s">
        <v>46</v>
      </c>
      <c r="AF204" t="s">
        <v>44</v>
      </c>
      <c r="AG204" t="str">
        <f t="shared" si="3"/>
        <v>CC 12x</v>
      </c>
      <c r="AH204" t="str">
        <f>IF(AND(SUMIF(E:E,E204,I:I)&gt;=400000,Q204="B2G"),"n","")</f>
        <v/>
      </c>
    </row>
    <row r="205" spans="1:34">
      <c r="A205">
        <v>2026</v>
      </c>
      <c r="B205">
        <v>1</v>
      </c>
      <c r="C205" s="83">
        <v>2081840</v>
      </c>
      <c r="D205" t="s">
        <v>307</v>
      </c>
      <c r="E205">
        <v>51152463744</v>
      </c>
      <c r="F205">
        <v>607706</v>
      </c>
      <c r="G205">
        <v>46443108508</v>
      </c>
      <c r="H205" t="s">
        <v>35</v>
      </c>
      <c r="I205" s="36">
        <v>4962.6000000000004</v>
      </c>
      <c r="J205" s="36">
        <v>4962.6000000000004</v>
      </c>
      <c r="K205" s="85">
        <v>0</v>
      </c>
      <c r="L205" s="36">
        <v>413.55</v>
      </c>
      <c r="M205" s="36">
        <v>0</v>
      </c>
      <c r="N205" s="36">
        <v>87.51</v>
      </c>
      <c r="O205" s="36">
        <v>326.04000000000002</v>
      </c>
      <c r="P205" t="s">
        <v>165</v>
      </c>
      <c r="Q205" t="s">
        <v>166</v>
      </c>
      <c r="R205" t="s">
        <v>166</v>
      </c>
      <c r="S205" s="1">
        <v>46032</v>
      </c>
      <c r="T205" s="1">
        <v>46032</v>
      </c>
      <c r="U205" s="1">
        <v>46040</v>
      </c>
      <c r="V205" s="1">
        <v>46405</v>
      </c>
      <c r="W205" t="s">
        <v>38</v>
      </c>
      <c r="X205">
        <v>12</v>
      </c>
      <c r="Y205" t="s">
        <v>49</v>
      </c>
      <c r="Z205" t="s">
        <v>81</v>
      </c>
      <c r="AA205" t="s">
        <v>117</v>
      </c>
      <c r="AB205">
        <v>1</v>
      </c>
      <c r="AC205" t="s">
        <v>166</v>
      </c>
      <c r="AD205" t="s">
        <v>138</v>
      </c>
      <c r="AE205" t="s">
        <v>135</v>
      </c>
      <c r="AF205" t="s">
        <v>119</v>
      </c>
      <c r="AG205" t="str">
        <f t="shared" si="3"/>
        <v>À Vista</v>
      </c>
      <c r="AH205" t="str">
        <f>IF(AND(SUMIF(E:E,E205,I:I)&gt;=400000,Q205="B2G"),"n","")</f>
        <v/>
      </c>
    </row>
    <row r="206" spans="1:34">
      <c r="A206">
        <v>2026</v>
      </c>
      <c r="B206">
        <v>1</v>
      </c>
      <c r="C206" s="83">
        <v>19435413527</v>
      </c>
      <c r="D206" t="s">
        <v>308</v>
      </c>
      <c r="E206">
        <v>51153335441</v>
      </c>
      <c r="F206">
        <v>607652</v>
      </c>
      <c r="G206">
        <v>46410404396</v>
      </c>
      <c r="H206" t="s">
        <v>35</v>
      </c>
      <c r="I206" s="36">
        <v>5034</v>
      </c>
      <c r="J206" s="36">
        <v>5034</v>
      </c>
      <c r="K206" s="85">
        <v>0</v>
      </c>
      <c r="L206" s="36">
        <v>419.5</v>
      </c>
      <c r="M206" s="36">
        <v>0</v>
      </c>
      <c r="N206" s="36">
        <v>55.33</v>
      </c>
      <c r="O206" s="36">
        <v>364.17</v>
      </c>
      <c r="P206" t="s">
        <v>165</v>
      </c>
      <c r="Q206" t="s">
        <v>166</v>
      </c>
      <c r="R206" t="s">
        <v>166</v>
      </c>
      <c r="S206" s="1">
        <v>46041</v>
      </c>
      <c r="T206" s="1">
        <v>46041</v>
      </c>
      <c r="U206" s="1">
        <v>46041</v>
      </c>
      <c r="V206" s="1">
        <v>46406</v>
      </c>
      <c r="W206" t="s">
        <v>38</v>
      </c>
      <c r="X206">
        <v>12</v>
      </c>
      <c r="Y206" t="s">
        <v>49</v>
      </c>
      <c r="Z206" t="s">
        <v>81</v>
      </c>
      <c r="AA206" t="s">
        <v>112</v>
      </c>
      <c r="AB206">
        <v>12</v>
      </c>
      <c r="AC206" t="s">
        <v>166</v>
      </c>
      <c r="AD206" t="s">
        <v>84</v>
      </c>
      <c r="AE206" t="s">
        <v>43</v>
      </c>
      <c r="AF206" t="s">
        <v>44</v>
      </c>
      <c r="AG206" t="str">
        <f t="shared" si="3"/>
        <v>CC 12x</v>
      </c>
      <c r="AH206" t="str">
        <f>IF(AND(SUMIF(E:E,E206,I:I)&gt;=400000,Q206="B2G"),"n","")</f>
        <v/>
      </c>
    </row>
    <row r="207" spans="1:34">
      <c r="A207">
        <v>2026</v>
      </c>
      <c r="B207">
        <v>1</v>
      </c>
      <c r="C207" s="83">
        <v>2080007</v>
      </c>
      <c r="D207" t="s">
        <v>309</v>
      </c>
      <c r="E207">
        <v>51157851815</v>
      </c>
      <c r="F207">
        <v>327890</v>
      </c>
      <c r="G207">
        <v>46423574797</v>
      </c>
      <c r="H207" t="s">
        <v>35</v>
      </c>
      <c r="I207" s="36">
        <v>5718.6</v>
      </c>
      <c r="J207" s="36">
        <v>5718.6</v>
      </c>
      <c r="K207" s="85">
        <v>0</v>
      </c>
      <c r="L207" s="36">
        <v>476.55</v>
      </c>
      <c r="M207" s="36">
        <v>0</v>
      </c>
      <c r="N207" s="36">
        <v>195.78</v>
      </c>
      <c r="O207" s="36">
        <v>280.77</v>
      </c>
      <c r="P207" t="s">
        <v>165</v>
      </c>
      <c r="Q207" t="s">
        <v>166</v>
      </c>
      <c r="R207" t="s">
        <v>166</v>
      </c>
      <c r="S207" s="1">
        <v>46032</v>
      </c>
      <c r="T207" s="1">
        <v>46032</v>
      </c>
      <c r="U207" s="1">
        <v>46032</v>
      </c>
      <c r="V207" s="1">
        <v>46397</v>
      </c>
      <c r="W207" t="s">
        <v>38</v>
      </c>
      <c r="X207">
        <v>12</v>
      </c>
      <c r="Y207" t="s">
        <v>49</v>
      </c>
      <c r="Z207" t="s">
        <v>81</v>
      </c>
      <c r="AA207" t="s">
        <v>112</v>
      </c>
      <c r="AB207">
        <v>12</v>
      </c>
      <c r="AC207" t="s">
        <v>166</v>
      </c>
      <c r="AD207" t="s">
        <v>174</v>
      </c>
      <c r="AE207" t="s">
        <v>43</v>
      </c>
      <c r="AF207" t="s">
        <v>47</v>
      </c>
      <c r="AG207" t="str">
        <f t="shared" si="3"/>
        <v>CC 12x</v>
      </c>
      <c r="AH207" t="str">
        <f>IF(AND(SUMIF(E:E,E207,I:I)&gt;=400000,Q207="B2G"),"n","")</f>
        <v/>
      </c>
    </row>
    <row r="208" spans="1:34">
      <c r="A208">
        <v>2026</v>
      </c>
      <c r="B208">
        <v>1</v>
      </c>
      <c r="C208" s="83">
        <v>2100299</v>
      </c>
      <c r="D208" t="s">
        <v>310</v>
      </c>
      <c r="E208">
        <v>51159182906</v>
      </c>
      <c r="F208">
        <v>327620</v>
      </c>
      <c r="G208">
        <v>47273195412</v>
      </c>
      <c r="H208" t="s">
        <v>35</v>
      </c>
      <c r="I208" s="36">
        <v>4411.2</v>
      </c>
      <c r="J208" s="36">
        <v>4411.2</v>
      </c>
      <c r="K208" s="85">
        <v>0</v>
      </c>
      <c r="L208" s="36">
        <v>367.6</v>
      </c>
      <c r="M208" s="36">
        <v>0</v>
      </c>
      <c r="N208" s="36">
        <v>84.87</v>
      </c>
      <c r="O208" s="36">
        <v>282.73</v>
      </c>
      <c r="P208" t="s">
        <v>137</v>
      </c>
      <c r="Q208" t="s">
        <v>111</v>
      </c>
      <c r="R208" t="s">
        <v>111</v>
      </c>
      <c r="S208" s="1">
        <v>46009</v>
      </c>
      <c r="T208" s="1">
        <v>46023</v>
      </c>
      <c r="U208" s="1">
        <v>45995</v>
      </c>
      <c r="V208" s="1">
        <v>46374</v>
      </c>
      <c r="W208" t="s">
        <v>38</v>
      </c>
      <c r="X208">
        <v>12</v>
      </c>
      <c r="Y208" t="s">
        <v>49</v>
      </c>
      <c r="Z208" t="s">
        <v>76</v>
      </c>
      <c r="AA208" t="s">
        <v>117</v>
      </c>
      <c r="AB208">
        <v>1</v>
      </c>
      <c r="AC208" t="s">
        <v>113</v>
      </c>
      <c r="AD208" t="s">
        <v>138</v>
      </c>
      <c r="AE208" t="s">
        <v>135</v>
      </c>
      <c r="AF208" t="s">
        <v>119</v>
      </c>
      <c r="AG208" t="str">
        <f t="shared" si="3"/>
        <v>À Vista</v>
      </c>
      <c r="AH208" t="str">
        <f>IF(AND(SUMIF(E:E,E208,I:I)&gt;=400000,Q208="B2G"),"n","")</f>
        <v/>
      </c>
    </row>
    <row r="209" spans="1:34">
      <c r="A209">
        <v>2026</v>
      </c>
      <c r="B209">
        <v>1</v>
      </c>
      <c r="C209" s="83">
        <v>2135069</v>
      </c>
      <c r="D209" t="s">
        <v>311</v>
      </c>
      <c r="E209">
        <v>51159588261</v>
      </c>
      <c r="F209">
        <v>503684</v>
      </c>
      <c r="G209">
        <v>46515645550</v>
      </c>
      <c r="H209" t="s">
        <v>35</v>
      </c>
      <c r="I209" s="36">
        <v>6360.72</v>
      </c>
      <c r="J209" s="36">
        <v>6360.72</v>
      </c>
      <c r="K209" s="85">
        <v>0</v>
      </c>
      <c r="L209" s="36">
        <v>530.05999999999995</v>
      </c>
      <c r="M209" s="36">
        <v>0</v>
      </c>
      <c r="N209" s="36">
        <v>10.86</v>
      </c>
      <c r="O209" s="36">
        <v>519.20000000000005</v>
      </c>
      <c r="P209" t="s">
        <v>133</v>
      </c>
      <c r="Q209" t="s">
        <v>111</v>
      </c>
      <c r="R209" t="s">
        <v>111</v>
      </c>
      <c r="S209" s="1">
        <v>45995</v>
      </c>
      <c r="T209" s="1">
        <v>46023</v>
      </c>
      <c r="U209" s="1">
        <v>45995</v>
      </c>
      <c r="V209" s="1">
        <v>46360</v>
      </c>
      <c r="W209" t="s">
        <v>38</v>
      </c>
      <c r="X209">
        <v>12</v>
      </c>
      <c r="Y209" t="s">
        <v>49</v>
      </c>
      <c r="Z209" t="s">
        <v>81</v>
      </c>
      <c r="AA209" t="s">
        <v>112</v>
      </c>
      <c r="AB209">
        <v>1</v>
      </c>
      <c r="AC209" t="s">
        <v>113</v>
      </c>
      <c r="AD209" t="s">
        <v>134</v>
      </c>
      <c r="AE209" t="s">
        <v>135</v>
      </c>
      <c r="AF209" t="s">
        <v>44</v>
      </c>
      <c r="AG209" t="str">
        <f t="shared" si="3"/>
        <v>À Vista</v>
      </c>
      <c r="AH209" t="str">
        <f>IF(AND(SUMIF(E:E,E209,I:I)&gt;=400000,Q209="B2G"),"n","")</f>
        <v/>
      </c>
    </row>
    <row r="210" spans="1:34">
      <c r="A210">
        <v>2026</v>
      </c>
      <c r="B210">
        <v>1</v>
      </c>
      <c r="C210" s="83">
        <v>32861311613</v>
      </c>
      <c r="D210" t="s">
        <v>312</v>
      </c>
      <c r="E210">
        <v>51159600948</v>
      </c>
      <c r="F210">
        <v>635561</v>
      </c>
      <c r="G210">
        <v>48890458698</v>
      </c>
      <c r="H210" t="s">
        <v>35</v>
      </c>
      <c r="I210" s="36">
        <v>4380</v>
      </c>
      <c r="J210" s="36">
        <v>4380</v>
      </c>
      <c r="K210" s="85">
        <v>0</v>
      </c>
      <c r="L210" s="36">
        <v>365</v>
      </c>
      <c r="M210" s="36">
        <v>365</v>
      </c>
      <c r="N210" s="36">
        <v>0</v>
      </c>
      <c r="O210" s="36">
        <v>0</v>
      </c>
      <c r="P210" t="s">
        <v>313</v>
      </c>
      <c r="Q210" t="s">
        <v>314</v>
      </c>
      <c r="R210" t="s">
        <v>314</v>
      </c>
      <c r="S210" s="1">
        <v>46035</v>
      </c>
      <c r="T210" s="1">
        <v>46035</v>
      </c>
      <c r="V210" s="1">
        <v>46400</v>
      </c>
      <c r="W210" t="s">
        <v>38</v>
      </c>
      <c r="X210">
        <v>12</v>
      </c>
      <c r="Y210" t="s">
        <v>49</v>
      </c>
      <c r="AA210" t="s">
        <v>122</v>
      </c>
      <c r="AB210">
        <v>12</v>
      </c>
      <c r="AC210" t="s">
        <v>315</v>
      </c>
      <c r="AD210" t="s">
        <v>163</v>
      </c>
      <c r="AE210" t="s">
        <v>43</v>
      </c>
      <c r="AF210" t="s">
        <v>96</v>
      </c>
      <c r="AG210" t="str">
        <f t="shared" si="3"/>
        <v>Recorrente</v>
      </c>
      <c r="AH210" t="str">
        <f>IF(AND(SUMIF(E:E,E210,I:I)&gt;=400000,Q210="B2G"),"n","")</f>
        <v/>
      </c>
    </row>
    <row r="211" spans="1:34">
      <c r="A211">
        <v>2026</v>
      </c>
      <c r="B211">
        <v>1</v>
      </c>
      <c r="C211" s="83">
        <v>118254239417</v>
      </c>
      <c r="D211" t="s">
        <v>316</v>
      </c>
      <c r="E211">
        <v>51163884335</v>
      </c>
      <c r="F211">
        <v>327512</v>
      </c>
      <c r="G211">
        <v>46760304273</v>
      </c>
      <c r="H211" t="s">
        <v>35</v>
      </c>
      <c r="I211" s="36">
        <v>7953.36</v>
      </c>
      <c r="J211" s="36">
        <v>3976.68</v>
      </c>
      <c r="K211" s="85">
        <v>3976.68</v>
      </c>
      <c r="L211" s="36">
        <v>331.39</v>
      </c>
      <c r="M211" s="36">
        <v>0</v>
      </c>
      <c r="N211" s="36">
        <v>185.27</v>
      </c>
      <c r="O211" s="36">
        <v>146.125</v>
      </c>
      <c r="P211" t="s">
        <v>162</v>
      </c>
      <c r="Q211" t="s">
        <v>111</v>
      </c>
      <c r="R211" t="s">
        <v>111</v>
      </c>
      <c r="S211" s="1">
        <v>46003</v>
      </c>
      <c r="T211" s="1">
        <v>46023</v>
      </c>
      <c r="U211" s="1">
        <v>45994</v>
      </c>
      <c r="V211" s="1">
        <v>46733</v>
      </c>
      <c r="W211" t="s">
        <v>56</v>
      </c>
      <c r="X211">
        <v>24</v>
      </c>
      <c r="Y211" t="s">
        <v>49</v>
      </c>
      <c r="Z211" t="s">
        <v>81</v>
      </c>
      <c r="AA211" t="s">
        <v>122</v>
      </c>
      <c r="AB211">
        <v>24</v>
      </c>
      <c r="AC211" t="s">
        <v>113</v>
      </c>
      <c r="AD211" t="s">
        <v>85</v>
      </c>
      <c r="AE211" t="s">
        <v>46</v>
      </c>
      <c r="AF211" t="s">
        <v>44</v>
      </c>
      <c r="AG211" t="str">
        <f t="shared" si="3"/>
        <v>Recorrente</v>
      </c>
      <c r="AH211" t="str">
        <f>IF(AND(SUMIF(E:E,E211,I:I)&gt;=400000,Q211="B2G"),"n","")</f>
        <v/>
      </c>
    </row>
    <row r="212" spans="1:34">
      <c r="A212">
        <v>2026</v>
      </c>
      <c r="B212">
        <v>1</v>
      </c>
      <c r="C212" s="83">
        <v>20945235086</v>
      </c>
      <c r="D212" t="s">
        <v>317</v>
      </c>
      <c r="E212">
        <v>51176080539</v>
      </c>
      <c r="F212">
        <v>607606</v>
      </c>
      <c r="G212">
        <v>46436636015</v>
      </c>
      <c r="H212" t="s">
        <v>35</v>
      </c>
      <c r="I212" s="36">
        <v>5718.6</v>
      </c>
      <c r="J212" s="36">
        <v>5718.6</v>
      </c>
      <c r="K212" s="85">
        <v>0</v>
      </c>
      <c r="L212" s="36">
        <v>476.55</v>
      </c>
      <c r="M212" s="36">
        <v>0</v>
      </c>
      <c r="N212" s="36">
        <v>72.36</v>
      </c>
      <c r="O212" s="36">
        <v>404.19</v>
      </c>
      <c r="P212" t="s">
        <v>165</v>
      </c>
      <c r="Q212" t="s">
        <v>166</v>
      </c>
      <c r="R212" t="s">
        <v>166</v>
      </c>
      <c r="S212" s="1">
        <v>46040</v>
      </c>
      <c r="T212" s="1">
        <v>46040</v>
      </c>
      <c r="U212" s="1">
        <v>46040</v>
      </c>
      <c r="V212" s="1">
        <v>46405</v>
      </c>
      <c r="W212" t="s">
        <v>38</v>
      </c>
      <c r="X212">
        <v>12</v>
      </c>
      <c r="Y212" t="s">
        <v>49</v>
      </c>
      <c r="Z212" t="s">
        <v>81</v>
      </c>
      <c r="AA212" t="s">
        <v>122</v>
      </c>
      <c r="AB212">
        <v>12</v>
      </c>
      <c r="AC212" t="s">
        <v>166</v>
      </c>
      <c r="AD212" t="s">
        <v>158</v>
      </c>
      <c r="AE212" t="s">
        <v>43</v>
      </c>
      <c r="AF212" t="s">
        <v>47</v>
      </c>
      <c r="AG212" t="str">
        <f t="shared" si="3"/>
        <v>Recorrente</v>
      </c>
      <c r="AH212" t="str">
        <f>IF(AND(SUMIF(E:E,E212,I:I)&gt;=400000,Q212="B2G"),"n","")</f>
        <v/>
      </c>
    </row>
    <row r="213" spans="1:34">
      <c r="A213">
        <v>2026</v>
      </c>
      <c r="B213">
        <v>1</v>
      </c>
      <c r="C213" s="83">
        <v>19485980993</v>
      </c>
      <c r="D213" t="s">
        <v>318</v>
      </c>
      <c r="E213">
        <v>51181420553</v>
      </c>
      <c r="F213">
        <v>522744</v>
      </c>
      <c r="G213">
        <v>46760335531</v>
      </c>
      <c r="H213" t="s">
        <v>35</v>
      </c>
      <c r="I213" s="36">
        <v>7950.84</v>
      </c>
      <c r="J213" s="36">
        <v>7950.84</v>
      </c>
      <c r="K213" s="85">
        <v>0</v>
      </c>
      <c r="L213" s="36">
        <v>662.57</v>
      </c>
      <c r="M213" s="36">
        <v>0</v>
      </c>
      <c r="N213" s="36">
        <v>101.85</v>
      </c>
      <c r="O213" s="36">
        <v>560.73</v>
      </c>
      <c r="P213" t="s">
        <v>121</v>
      </c>
      <c r="Q213" t="s">
        <v>111</v>
      </c>
      <c r="R213" t="s">
        <v>111</v>
      </c>
      <c r="S213" s="1">
        <v>46002</v>
      </c>
      <c r="T213" s="1">
        <v>46023</v>
      </c>
      <c r="U213" s="1">
        <v>45995</v>
      </c>
      <c r="V213" s="1">
        <v>46367</v>
      </c>
      <c r="W213" t="s">
        <v>38</v>
      </c>
      <c r="X213">
        <v>12</v>
      </c>
      <c r="Y213" t="s">
        <v>49</v>
      </c>
      <c r="Z213" t="s">
        <v>81</v>
      </c>
      <c r="AA213" t="s">
        <v>112</v>
      </c>
      <c r="AB213">
        <v>1</v>
      </c>
      <c r="AC213" t="s">
        <v>113</v>
      </c>
      <c r="AD213" t="s">
        <v>134</v>
      </c>
      <c r="AE213" t="s">
        <v>135</v>
      </c>
      <c r="AF213" t="s">
        <v>44</v>
      </c>
      <c r="AG213" t="str">
        <f t="shared" si="3"/>
        <v>À Vista</v>
      </c>
      <c r="AH213" t="str">
        <f>IF(AND(SUMIF(E:E,E213,I:I)&gt;=400000,Q213="B2G"),"n","")</f>
        <v/>
      </c>
    </row>
    <row r="214" spans="1:34">
      <c r="A214">
        <v>2026</v>
      </c>
      <c r="B214">
        <v>1</v>
      </c>
      <c r="C214" s="83">
        <v>199119892883</v>
      </c>
      <c r="D214" t="s">
        <v>319</v>
      </c>
      <c r="E214">
        <v>51246484270</v>
      </c>
      <c r="F214">
        <v>525269</v>
      </c>
      <c r="G214">
        <v>46430658431</v>
      </c>
      <c r="H214" t="s">
        <v>35</v>
      </c>
      <c r="I214" s="36">
        <v>5178.6000000000004</v>
      </c>
      <c r="J214" s="36">
        <v>5178.6000000000004</v>
      </c>
      <c r="K214" s="85">
        <v>0</v>
      </c>
      <c r="L214" s="36">
        <v>431.55</v>
      </c>
      <c r="M214" s="36">
        <v>0</v>
      </c>
      <c r="N214" s="36">
        <v>80.92</v>
      </c>
      <c r="O214" s="36">
        <v>350.63</v>
      </c>
      <c r="P214" t="s">
        <v>165</v>
      </c>
      <c r="Q214" t="s">
        <v>166</v>
      </c>
      <c r="R214" t="s">
        <v>166</v>
      </c>
      <c r="S214" s="1">
        <v>46041</v>
      </c>
      <c r="T214" s="1">
        <v>46041</v>
      </c>
      <c r="U214" s="1">
        <v>46041</v>
      </c>
      <c r="V214" s="1">
        <v>46406</v>
      </c>
      <c r="W214" t="s">
        <v>38</v>
      </c>
      <c r="X214">
        <v>12</v>
      </c>
      <c r="Y214" t="s">
        <v>49</v>
      </c>
      <c r="Z214" t="s">
        <v>81</v>
      </c>
      <c r="AA214" t="s">
        <v>112</v>
      </c>
      <c r="AB214">
        <v>12</v>
      </c>
      <c r="AC214" t="s">
        <v>166</v>
      </c>
      <c r="AD214" t="s">
        <v>85</v>
      </c>
      <c r="AE214" t="s">
        <v>46</v>
      </c>
      <c r="AF214" t="s">
        <v>44</v>
      </c>
      <c r="AG214" t="str">
        <f t="shared" si="3"/>
        <v>CC 12x</v>
      </c>
      <c r="AH214" t="str">
        <f>IF(AND(SUMIF(E:E,E214,I:I)&gt;=400000,Q214="B2G"),"n","")</f>
        <v/>
      </c>
    </row>
    <row r="215" spans="1:34">
      <c r="A215">
        <v>2026</v>
      </c>
      <c r="B215">
        <v>1</v>
      </c>
      <c r="C215" s="83">
        <v>195228490265</v>
      </c>
      <c r="D215" t="s">
        <v>320</v>
      </c>
      <c r="E215">
        <v>51265774723</v>
      </c>
      <c r="F215">
        <v>607658</v>
      </c>
      <c r="G215">
        <v>46387895617</v>
      </c>
      <c r="H215" t="s">
        <v>35</v>
      </c>
      <c r="I215" s="36">
        <v>4962.6000000000004</v>
      </c>
      <c r="J215" s="36">
        <v>4962.6000000000004</v>
      </c>
      <c r="K215" s="85">
        <v>0</v>
      </c>
      <c r="L215" s="36">
        <v>413.55</v>
      </c>
      <c r="M215" s="36">
        <v>0</v>
      </c>
      <c r="N215" s="36">
        <v>113.25</v>
      </c>
      <c r="O215" s="36">
        <v>300.3</v>
      </c>
      <c r="P215" t="s">
        <v>165</v>
      </c>
      <c r="Q215" t="s">
        <v>166</v>
      </c>
      <c r="R215" t="s">
        <v>166</v>
      </c>
      <c r="S215" s="1">
        <v>46041</v>
      </c>
      <c r="T215" s="1">
        <v>46041</v>
      </c>
      <c r="U215" s="1">
        <v>46041</v>
      </c>
      <c r="V215" s="1">
        <v>46406</v>
      </c>
      <c r="W215" t="s">
        <v>38</v>
      </c>
      <c r="X215">
        <v>12</v>
      </c>
      <c r="Y215" t="s">
        <v>49</v>
      </c>
      <c r="Z215" t="s">
        <v>81</v>
      </c>
      <c r="AA215" t="s">
        <v>112</v>
      </c>
      <c r="AB215">
        <v>12</v>
      </c>
      <c r="AC215" t="s">
        <v>166</v>
      </c>
      <c r="AD215" t="s">
        <v>138</v>
      </c>
      <c r="AE215" t="s">
        <v>135</v>
      </c>
      <c r="AF215" t="s">
        <v>119</v>
      </c>
      <c r="AG215" t="str">
        <f t="shared" si="3"/>
        <v>CC 12x</v>
      </c>
      <c r="AH215" t="str">
        <f>IF(AND(SUMIF(E:E,E215,I:I)&gt;=400000,Q215="B2G"),"n","")</f>
        <v/>
      </c>
    </row>
    <row r="216" spans="1:34">
      <c r="A216">
        <v>2026</v>
      </c>
      <c r="B216">
        <v>1</v>
      </c>
      <c r="C216" s="83">
        <v>106112608540</v>
      </c>
      <c r="D216" t="s">
        <v>321</v>
      </c>
      <c r="E216">
        <v>51269258403</v>
      </c>
      <c r="F216">
        <v>525222</v>
      </c>
      <c r="G216">
        <v>46444095157</v>
      </c>
      <c r="H216" t="s">
        <v>35</v>
      </c>
      <c r="I216" s="36">
        <v>8418.6</v>
      </c>
      <c r="J216" s="36">
        <v>8418.6</v>
      </c>
      <c r="K216" s="85">
        <v>0</v>
      </c>
      <c r="L216" s="36">
        <v>701.55</v>
      </c>
      <c r="M216" s="36">
        <v>0</v>
      </c>
      <c r="N216" s="36">
        <v>184.31</v>
      </c>
      <c r="O216" s="36">
        <v>517.24</v>
      </c>
      <c r="P216" t="s">
        <v>165</v>
      </c>
      <c r="Q216" t="s">
        <v>166</v>
      </c>
      <c r="R216" t="s">
        <v>166</v>
      </c>
      <c r="S216" s="1">
        <v>46041</v>
      </c>
      <c r="T216" s="1">
        <v>46041</v>
      </c>
      <c r="U216" s="1">
        <v>46041</v>
      </c>
      <c r="V216" s="1">
        <v>46406</v>
      </c>
      <c r="W216" t="s">
        <v>38</v>
      </c>
      <c r="X216">
        <v>12</v>
      </c>
      <c r="Y216" t="s">
        <v>49</v>
      </c>
      <c r="Z216" t="s">
        <v>81</v>
      </c>
      <c r="AA216" t="s">
        <v>122</v>
      </c>
      <c r="AB216">
        <v>12</v>
      </c>
      <c r="AC216" t="s">
        <v>166</v>
      </c>
      <c r="AD216" t="s">
        <v>134</v>
      </c>
      <c r="AE216" t="s">
        <v>135</v>
      </c>
      <c r="AF216" t="s">
        <v>44</v>
      </c>
      <c r="AG216" t="str">
        <f t="shared" si="3"/>
        <v>Recorrente</v>
      </c>
      <c r="AH216" t="str">
        <f>IF(AND(SUMIF(E:E,E216,I:I)&gt;=400000,Q216="B2G"),"n","")</f>
        <v/>
      </c>
    </row>
    <row r="217" spans="1:34">
      <c r="A217">
        <v>2026</v>
      </c>
      <c r="B217">
        <v>1</v>
      </c>
      <c r="C217" s="83">
        <v>182357652394</v>
      </c>
      <c r="D217" t="s">
        <v>322</v>
      </c>
      <c r="E217">
        <v>51291071290</v>
      </c>
      <c r="F217">
        <v>621415</v>
      </c>
      <c r="G217">
        <v>48380714336</v>
      </c>
      <c r="H217" t="s">
        <v>35</v>
      </c>
      <c r="I217" s="36">
        <v>2668.56</v>
      </c>
      <c r="J217" s="36">
        <v>3650.76</v>
      </c>
      <c r="K217" s="85">
        <v>0</v>
      </c>
      <c r="L217" s="36">
        <v>304.23</v>
      </c>
      <c r="M217" s="36">
        <v>0</v>
      </c>
      <c r="N217" s="36">
        <v>304.23</v>
      </c>
      <c r="O217" s="36">
        <v>0</v>
      </c>
      <c r="P217" t="s">
        <v>323</v>
      </c>
      <c r="Q217" t="s">
        <v>191</v>
      </c>
      <c r="R217" t="s">
        <v>191</v>
      </c>
      <c r="S217" s="1">
        <v>46028</v>
      </c>
      <c r="T217" s="1">
        <v>46028</v>
      </c>
      <c r="V217" s="1">
        <v>46295</v>
      </c>
      <c r="W217" t="s">
        <v>38</v>
      </c>
      <c r="X217">
        <v>8</v>
      </c>
      <c r="Y217" t="s">
        <v>49</v>
      </c>
      <c r="Z217" t="s">
        <v>324</v>
      </c>
      <c r="AA217" t="s">
        <v>122</v>
      </c>
      <c r="AB217">
        <v>8</v>
      </c>
      <c r="AC217" t="s">
        <v>192</v>
      </c>
      <c r="AD217" t="s">
        <v>131</v>
      </c>
      <c r="AE217" t="s">
        <v>46</v>
      </c>
      <c r="AF217" t="s">
        <v>96</v>
      </c>
      <c r="AG217" t="str">
        <f t="shared" si="3"/>
        <v>Recorrente</v>
      </c>
      <c r="AH217" t="str">
        <f>IF(AND(SUMIF(E:E,E217,I:I)&gt;=400000,Q217="B2G"),"n","")</f>
        <v/>
      </c>
    </row>
    <row r="218" spans="1:34">
      <c r="A218">
        <v>2026</v>
      </c>
      <c r="B218">
        <v>1</v>
      </c>
      <c r="C218" s="83">
        <v>19682502036</v>
      </c>
      <c r="D218" t="s">
        <v>325</v>
      </c>
      <c r="E218">
        <v>51297595984</v>
      </c>
      <c r="F218">
        <v>623212</v>
      </c>
      <c r="G218">
        <v>48374861961</v>
      </c>
      <c r="H218" t="s">
        <v>35</v>
      </c>
      <c r="I218" s="36">
        <v>4833</v>
      </c>
      <c r="J218" s="36">
        <v>4833</v>
      </c>
      <c r="K218" s="85">
        <v>0</v>
      </c>
      <c r="L218" s="36">
        <v>402.75</v>
      </c>
      <c r="M218" s="36">
        <v>402.75</v>
      </c>
      <c r="N218" s="36">
        <v>0</v>
      </c>
      <c r="O218" s="36">
        <v>0</v>
      </c>
      <c r="P218" t="s">
        <v>137</v>
      </c>
      <c r="Q218" t="s">
        <v>111</v>
      </c>
      <c r="R218" t="s">
        <v>111</v>
      </c>
      <c r="S218" s="1">
        <v>46032</v>
      </c>
      <c r="T218" s="1">
        <v>46032</v>
      </c>
      <c r="U218" s="1">
        <v>45965</v>
      </c>
      <c r="V218" s="1">
        <v>46361</v>
      </c>
      <c r="W218" t="s">
        <v>38</v>
      </c>
      <c r="X218">
        <v>13</v>
      </c>
      <c r="Y218" t="s">
        <v>49</v>
      </c>
      <c r="Z218" t="s">
        <v>81</v>
      </c>
      <c r="AA218" t="s">
        <v>92</v>
      </c>
      <c r="AB218">
        <v>12</v>
      </c>
      <c r="AC218" t="s">
        <v>113</v>
      </c>
      <c r="AD218" t="s">
        <v>256</v>
      </c>
      <c r="AE218" t="s">
        <v>257</v>
      </c>
      <c r="AF218" t="s">
        <v>59</v>
      </c>
      <c r="AG218" t="str">
        <f t="shared" si="3"/>
        <v>Recorrente</v>
      </c>
      <c r="AH218" t="str">
        <f>IF(AND(SUMIF(E:E,E218,I:I)&gt;=400000,Q218="B2G"),"n","")</f>
        <v/>
      </c>
    </row>
    <row r="219" spans="1:34">
      <c r="A219">
        <v>2026</v>
      </c>
      <c r="B219">
        <v>1</v>
      </c>
      <c r="C219" s="83">
        <v>31114783308</v>
      </c>
      <c r="D219" t="s">
        <v>326</v>
      </c>
      <c r="E219">
        <v>51326947124</v>
      </c>
      <c r="F219">
        <v>635158</v>
      </c>
      <c r="G219">
        <v>46592672111</v>
      </c>
      <c r="H219" t="s">
        <v>35</v>
      </c>
      <c r="I219" s="36">
        <v>2874</v>
      </c>
      <c r="J219" s="36">
        <v>2874</v>
      </c>
      <c r="K219" s="85">
        <v>0</v>
      </c>
      <c r="L219" s="36">
        <v>239.5</v>
      </c>
      <c r="M219" s="36">
        <v>239.5</v>
      </c>
      <c r="N219" s="36">
        <v>0</v>
      </c>
      <c r="O219" s="36">
        <v>0</v>
      </c>
      <c r="P219" t="s">
        <v>129</v>
      </c>
      <c r="Q219" t="s">
        <v>91</v>
      </c>
      <c r="R219" t="s">
        <v>91</v>
      </c>
      <c r="S219" s="1">
        <v>46028</v>
      </c>
      <c r="T219" s="1">
        <v>46028</v>
      </c>
      <c r="V219" s="1">
        <v>46364</v>
      </c>
      <c r="W219" t="s">
        <v>38</v>
      </c>
      <c r="X219">
        <v>11</v>
      </c>
      <c r="Y219" t="s">
        <v>49</v>
      </c>
      <c r="AA219" t="s">
        <v>122</v>
      </c>
      <c r="AB219">
        <v>12</v>
      </c>
      <c r="AC219" t="s">
        <v>93</v>
      </c>
      <c r="AD219" t="s">
        <v>118</v>
      </c>
      <c r="AE219" t="s">
        <v>43</v>
      </c>
      <c r="AF219" t="s">
        <v>119</v>
      </c>
      <c r="AG219" t="str">
        <f t="shared" si="3"/>
        <v>Recorrente</v>
      </c>
      <c r="AH219" t="str">
        <f>IF(AND(SUMIF(E:E,E219,I:I)&gt;=400000,Q219="B2G"),"n","")</f>
        <v/>
      </c>
    </row>
    <row r="220" spans="1:34">
      <c r="A220">
        <v>2026</v>
      </c>
      <c r="B220">
        <v>1</v>
      </c>
      <c r="C220" s="83">
        <v>114430599337</v>
      </c>
      <c r="D220" t="s">
        <v>327</v>
      </c>
      <c r="E220">
        <v>51337682570</v>
      </c>
      <c r="F220">
        <v>624623</v>
      </c>
      <c r="G220">
        <v>47269317449</v>
      </c>
      <c r="H220" t="s">
        <v>35</v>
      </c>
      <c r="I220" s="36">
        <v>4677</v>
      </c>
      <c r="J220" s="36">
        <v>4677</v>
      </c>
      <c r="K220" s="85">
        <v>0</v>
      </c>
      <c r="L220" s="36">
        <v>389.75</v>
      </c>
      <c r="M220" s="36">
        <v>0</v>
      </c>
      <c r="N220" s="36">
        <v>65.25</v>
      </c>
      <c r="O220" s="36">
        <v>324.5</v>
      </c>
      <c r="P220" t="s">
        <v>162</v>
      </c>
      <c r="Q220" t="s">
        <v>111</v>
      </c>
      <c r="R220" t="s">
        <v>111</v>
      </c>
      <c r="S220" s="1">
        <v>46009</v>
      </c>
      <c r="T220" s="1">
        <v>46023</v>
      </c>
      <c r="U220" s="1">
        <v>45996</v>
      </c>
      <c r="V220" s="1">
        <v>46374</v>
      </c>
      <c r="W220" t="s">
        <v>38</v>
      </c>
      <c r="X220">
        <v>12</v>
      </c>
      <c r="Y220" t="s">
        <v>49</v>
      </c>
      <c r="Z220" t="s">
        <v>81</v>
      </c>
      <c r="AA220" t="s">
        <v>122</v>
      </c>
      <c r="AB220">
        <v>12</v>
      </c>
      <c r="AC220" t="s">
        <v>113</v>
      </c>
      <c r="AD220" t="s">
        <v>134</v>
      </c>
      <c r="AE220" t="s">
        <v>135</v>
      </c>
      <c r="AF220" t="s">
        <v>44</v>
      </c>
      <c r="AG220" t="str">
        <f t="shared" si="3"/>
        <v>Recorrente</v>
      </c>
      <c r="AH220" t="str">
        <f>IF(AND(SUMIF(E:E,E220,I:I)&gt;=400000,Q220="B2G"),"n","")</f>
        <v/>
      </c>
    </row>
    <row r="221" spans="1:34">
      <c r="A221">
        <v>2026</v>
      </c>
      <c r="B221">
        <v>1</v>
      </c>
      <c r="C221" s="83">
        <v>35045325840</v>
      </c>
      <c r="D221" t="s">
        <v>328</v>
      </c>
      <c r="E221">
        <v>51339768972</v>
      </c>
      <c r="F221">
        <v>625726</v>
      </c>
      <c r="G221">
        <v>46779496752</v>
      </c>
      <c r="H221" t="s">
        <v>35</v>
      </c>
      <c r="I221" s="36">
        <v>6354</v>
      </c>
      <c r="J221" s="36">
        <v>6354</v>
      </c>
      <c r="K221" s="85">
        <v>0</v>
      </c>
      <c r="L221" s="36">
        <v>529.5</v>
      </c>
      <c r="M221" s="36">
        <v>0</v>
      </c>
      <c r="N221" s="36">
        <v>90.5</v>
      </c>
      <c r="O221" s="36">
        <v>439</v>
      </c>
      <c r="P221" t="s">
        <v>165</v>
      </c>
      <c r="Q221" t="s">
        <v>166</v>
      </c>
      <c r="R221" t="s">
        <v>166</v>
      </c>
      <c r="S221" s="1">
        <v>46043</v>
      </c>
      <c r="T221" s="1">
        <v>46043</v>
      </c>
      <c r="U221" s="1">
        <v>46043</v>
      </c>
      <c r="V221" s="1">
        <v>46408</v>
      </c>
      <c r="W221" t="s">
        <v>38</v>
      </c>
      <c r="X221">
        <v>12</v>
      </c>
      <c r="Y221" t="s">
        <v>49</v>
      </c>
      <c r="Z221" t="s">
        <v>81</v>
      </c>
      <c r="AA221" t="s">
        <v>122</v>
      </c>
      <c r="AB221">
        <v>12</v>
      </c>
      <c r="AC221" t="s">
        <v>166</v>
      </c>
      <c r="AD221" t="s">
        <v>149</v>
      </c>
      <c r="AE221" t="s">
        <v>43</v>
      </c>
      <c r="AF221" t="s">
        <v>96</v>
      </c>
      <c r="AG221" t="str">
        <f t="shared" si="3"/>
        <v>Recorrente</v>
      </c>
      <c r="AH221" t="str">
        <f>IF(AND(SUMIF(E:E,E221,I:I)&gt;=400000,Q221="B2G"),"n","")</f>
        <v/>
      </c>
    </row>
    <row r="222" spans="1:34">
      <c r="A222">
        <v>2026</v>
      </c>
      <c r="B222">
        <v>1</v>
      </c>
      <c r="C222" s="83">
        <v>2064696</v>
      </c>
      <c r="D222" t="s">
        <v>329</v>
      </c>
      <c r="E222">
        <v>51346137098</v>
      </c>
      <c r="F222">
        <v>503902</v>
      </c>
      <c r="G222">
        <v>47435431802</v>
      </c>
      <c r="H222" t="s">
        <v>35</v>
      </c>
      <c r="I222" s="36">
        <v>2077.8000000000002</v>
      </c>
      <c r="J222" s="36">
        <v>2077.8000000000002</v>
      </c>
      <c r="K222" s="85">
        <v>0</v>
      </c>
      <c r="L222" s="36">
        <v>173.15</v>
      </c>
      <c r="M222" s="36">
        <v>0</v>
      </c>
      <c r="N222" s="36">
        <v>0</v>
      </c>
      <c r="O222" s="36">
        <v>173.15</v>
      </c>
      <c r="P222" t="s">
        <v>133</v>
      </c>
      <c r="Q222" t="s">
        <v>111</v>
      </c>
      <c r="R222" t="s">
        <v>111</v>
      </c>
      <c r="S222" s="1">
        <v>46010</v>
      </c>
      <c r="T222" s="1">
        <v>46023</v>
      </c>
      <c r="U222" s="1">
        <v>45996</v>
      </c>
      <c r="V222" s="1">
        <v>46375</v>
      </c>
      <c r="W222" t="s">
        <v>38</v>
      </c>
      <c r="X222">
        <v>12</v>
      </c>
      <c r="Y222" t="s">
        <v>49</v>
      </c>
      <c r="Z222" t="s">
        <v>81</v>
      </c>
      <c r="AA222" t="s">
        <v>112</v>
      </c>
      <c r="AB222">
        <v>12</v>
      </c>
      <c r="AC222" t="s">
        <v>113</v>
      </c>
      <c r="AD222" t="s">
        <v>140</v>
      </c>
      <c r="AE222" t="s">
        <v>46</v>
      </c>
      <c r="AF222" t="s">
        <v>119</v>
      </c>
      <c r="AG222" t="str">
        <f t="shared" si="3"/>
        <v>CC 12x</v>
      </c>
      <c r="AH222" t="str">
        <f>IF(AND(SUMIF(E:E,E222,I:I)&gt;=400000,Q222="B2G"),"n","")</f>
        <v/>
      </c>
    </row>
    <row r="223" spans="1:34">
      <c r="A223">
        <v>2026</v>
      </c>
      <c r="B223">
        <v>1</v>
      </c>
      <c r="C223" s="83">
        <v>26660139634</v>
      </c>
      <c r="D223" t="s">
        <v>330</v>
      </c>
      <c r="E223">
        <v>51349708079</v>
      </c>
      <c r="F223">
        <v>624647</v>
      </c>
      <c r="G223">
        <v>47150947588</v>
      </c>
      <c r="H223" t="s">
        <v>35</v>
      </c>
      <c r="I223" s="36">
        <v>7584</v>
      </c>
      <c r="J223" s="36">
        <v>7584</v>
      </c>
      <c r="K223" s="85">
        <v>0</v>
      </c>
      <c r="L223" s="36">
        <v>632</v>
      </c>
      <c r="M223" s="36">
        <v>0</v>
      </c>
      <c r="N223" s="36">
        <v>3</v>
      </c>
      <c r="O223" s="36">
        <v>629</v>
      </c>
      <c r="P223" t="s">
        <v>133</v>
      </c>
      <c r="Q223" t="s">
        <v>111</v>
      </c>
      <c r="R223" t="s">
        <v>111</v>
      </c>
      <c r="S223" s="1">
        <v>46006</v>
      </c>
      <c r="T223" s="1">
        <v>46023</v>
      </c>
      <c r="U223" s="1">
        <v>45997</v>
      </c>
      <c r="V223" s="1">
        <v>46371</v>
      </c>
      <c r="W223" t="s">
        <v>38</v>
      </c>
      <c r="X223">
        <v>12</v>
      </c>
      <c r="Y223" t="s">
        <v>49</v>
      </c>
      <c r="Z223" t="s">
        <v>81</v>
      </c>
      <c r="AA223" t="s">
        <v>112</v>
      </c>
      <c r="AB223">
        <v>12</v>
      </c>
      <c r="AC223" t="s">
        <v>113</v>
      </c>
      <c r="AD223" t="s">
        <v>131</v>
      </c>
      <c r="AE223" t="s">
        <v>46</v>
      </c>
      <c r="AF223" t="s">
        <v>96</v>
      </c>
      <c r="AG223" t="str">
        <f t="shared" si="3"/>
        <v>CC 12x</v>
      </c>
      <c r="AH223" t="str">
        <f>IF(AND(SUMIF(E:E,E223,I:I)&gt;=400000,Q223="B2G"),"n","")</f>
        <v/>
      </c>
    </row>
    <row r="224" spans="1:34">
      <c r="A224">
        <v>2026</v>
      </c>
      <c r="B224">
        <v>1</v>
      </c>
      <c r="C224" s="83">
        <v>19486023794</v>
      </c>
      <c r="D224" t="s">
        <v>331</v>
      </c>
      <c r="E224">
        <v>51351434912</v>
      </c>
      <c r="F224">
        <v>624619</v>
      </c>
      <c r="G224">
        <v>47442102336</v>
      </c>
      <c r="H224" t="s">
        <v>35</v>
      </c>
      <c r="I224" s="36">
        <v>3483.24</v>
      </c>
      <c r="J224" s="36">
        <v>3483.24</v>
      </c>
      <c r="K224" s="85">
        <v>0</v>
      </c>
      <c r="L224" s="36">
        <v>290.27</v>
      </c>
      <c r="M224" s="36">
        <v>0</v>
      </c>
      <c r="N224" s="36">
        <v>11.27</v>
      </c>
      <c r="O224" s="36">
        <v>279</v>
      </c>
      <c r="P224" t="s">
        <v>110</v>
      </c>
      <c r="Q224" t="s">
        <v>111</v>
      </c>
      <c r="R224" t="s">
        <v>111</v>
      </c>
      <c r="S224" s="1">
        <v>46015</v>
      </c>
      <c r="T224" s="1">
        <v>46023</v>
      </c>
      <c r="U224" s="1">
        <v>45996</v>
      </c>
      <c r="V224" s="1">
        <v>46380</v>
      </c>
      <c r="W224" t="s">
        <v>38</v>
      </c>
      <c r="X224">
        <v>12</v>
      </c>
      <c r="Y224" t="s">
        <v>49</v>
      </c>
      <c r="Z224" t="s">
        <v>81</v>
      </c>
      <c r="AA224" t="s">
        <v>112</v>
      </c>
      <c r="AB224">
        <v>12</v>
      </c>
      <c r="AC224" t="s">
        <v>113</v>
      </c>
      <c r="AD224" t="s">
        <v>160</v>
      </c>
      <c r="AE224" t="s">
        <v>43</v>
      </c>
      <c r="AF224" t="s">
        <v>44</v>
      </c>
      <c r="AG224" t="str">
        <f t="shared" si="3"/>
        <v>CC 12x</v>
      </c>
      <c r="AH224" t="str">
        <f>IF(AND(SUMIF(E:E,E224,I:I)&gt;=400000,Q224="B2G"),"n","")</f>
        <v/>
      </c>
    </row>
    <row r="225" spans="1:34">
      <c r="A225">
        <v>2026</v>
      </c>
      <c r="B225">
        <v>1</v>
      </c>
      <c r="C225" s="83">
        <v>92946694231</v>
      </c>
      <c r="D225" t="s">
        <v>332</v>
      </c>
      <c r="E225">
        <v>51353055597</v>
      </c>
      <c r="F225">
        <v>625735</v>
      </c>
      <c r="G225">
        <v>46775005610</v>
      </c>
      <c r="H225" t="s">
        <v>35</v>
      </c>
      <c r="I225" s="36">
        <v>5514</v>
      </c>
      <c r="J225" s="36">
        <v>5514</v>
      </c>
      <c r="K225" s="85">
        <v>0</v>
      </c>
      <c r="L225" s="36">
        <v>459.5</v>
      </c>
      <c r="M225" s="36">
        <v>0</v>
      </c>
      <c r="N225" s="36">
        <v>100</v>
      </c>
      <c r="O225" s="36">
        <v>359.5</v>
      </c>
      <c r="P225" t="s">
        <v>165</v>
      </c>
      <c r="Q225" t="s">
        <v>166</v>
      </c>
      <c r="R225" t="s">
        <v>166</v>
      </c>
      <c r="S225" s="1">
        <v>46043</v>
      </c>
      <c r="T225" s="1">
        <v>46043</v>
      </c>
      <c r="U225" s="1">
        <v>46043</v>
      </c>
      <c r="V225" s="1">
        <v>46408</v>
      </c>
      <c r="W225" t="s">
        <v>38</v>
      </c>
      <c r="X225">
        <v>12</v>
      </c>
      <c r="Y225" t="s">
        <v>49</v>
      </c>
      <c r="Z225" t="s">
        <v>81</v>
      </c>
      <c r="AA225" t="s">
        <v>122</v>
      </c>
      <c r="AB225">
        <v>12</v>
      </c>
      <c r="AC225" t="s">
        <v>166</v>
      </c>
      <c r="AD225" t="s">
        <v>138</v>
      </c>
      <c r="AE225" t="s">
        <v>135</v>
      </c>
      <c r="AF225" t="s">
        <v>119</v>
      </c>
      <c r="AG225" t="str">
        <f t="shared" si="3"/>
        <v>Recorrente</v>
      </c>
      <c r="AH225" t="str">
        <f>IF(AND(SUMIF(E:E,E225,I:I)&gt;=400000,Q225="B2G"),"n","")</f>
        <v/>
      </c>
    </row>
    <row r="226" spans="1:34">
      <c r="A226">
        <v>2026</v>
      </c>
      <c r="B226">
        <v>1</v>
      </c>
      <c r="C226" s="83">
        <v>79754238107</v>
      </c>
      <c r="D226" t="s">
        <v>333</v>
      </c>
      <c r="E226">
        <v>51361908250</v>
      </c>
      <c r="F226">
        <v>625756</v>
      </c>
      <c r="G226">
        <v>46778878786</v>
      </c>
      <c r="H226" t="s">
        <v>35</v>
      </c>
      <c r="I226" s="36">
        <v>2874</v>
      </c>
      <c r="J226" s="36">
        <v>2874</v>
      </c>
      <c r="K226" s="85">
        <v>0</v>
      </c>
      <c r="L226" s="36">
        <v>239.5</v>
      </c>
      <c r="M226" s="36">
        <v>0</v>
      </c>
      <c r="N226" s="36">
        <v>20.420000000000002</v>
      </c>
      <c r="O226" s="36">
        <v>219.08</v>
      </c>
      <c r="P226" t="s">
        <v>165</v>
      </c>
      <c r="Q226" t="s">
        <v>166</v>
      </c>
      <c r="R226" t="s">
        <v>166</v>
      </c>
      <c r="S226" s="1">
        <v>46043</v>
      </c>
      <c r="T226" s="1">
        <v>46043</v>
      </c>
      <c r="U226" s="1">
        <v>46043</v>
      </c>
      <c r="V226" s="1">
        <v>46408</v>
      </c>
      <c r="W226" t="s">
        <v>38</v>
      </c>
      <c r="X226">
        <v>12</v>
      </c>
      <c r="Y226" t="s">
        <v>49</v>
      </c>
      <c r="Z226" t="s">
        <v>81</v>
      </c>
      <c r="AA226" t="s">
        <v>122</v>
      </c>
      <c r="AB226">
        <v>12</v>
      </c>
      <c r="AC226" t="s">
        <v>166</v>
      </c>
      <c r="AD226" t="s">
        <v>140</v>
      </c>
      <c r="AE226" t="s">
        <v>46</v>
      </c>
      <c r="AF226" t="s">
        <v>119</v>
      </c>
      <c r="AG226" t="str">
        <f t="shared" si="3"/>
        <v>Recorrente</v>
      </c>
      <c r="AH226" t="str">
        <f>IF(AND(SUMIF(E:E,E226,I:I)&gt;=400000,Q226="B2G"),"n","")</f>
        <v/>
      </c>
    </row>
    <row r="227" spans="1:34">
      <c r="A227">
        <v>2026</v>
      </c>
      <c r="B227">
        <v>1</v>
      </c>
      <c r="C227" s="83">
        <v>28832690488</v>
      </c>
      <c r="D227" t="s">
        <v>334</v>
      </c>
      <c r="E227">
        <v>51362374793</v>
      </c>
      <c r="F227">
        <v>625750</v>
      </c>
      <c r="G227">
        <v>46771209071</v>
      </c>
      <c r="H227" t="s">
        <v>35</v>
      </c>
      <c r="I227" s="36">
        <v>4074</v>
      </c>
      <c r="J227" s="36">
        <v>4074</v>
      </c>
      <c r="K227" s="85">
        <v>0</v>
      </c>
      <c r="L227" s="36">
        <v>339.5</v>
      </c>
      <c r="M227" s="36">
        <v>0</v>
      </c>
      <c r="N227" s="36">
        <v>96.49</v>
      </c>
      <c r="O227" s="36">
        <v>243.01</v>
      </c>
      <c r="P227" t="s">
        <v>165</v>
      </c>
      <c r="Q227" t="s">
        <v>166</v>
      </c>
      <c r="R227" t="s">
        <v>166</v>
      </c>
      <c r="S227" s="1">
        <v>46043</v>
      </c>
      <c r="T227" s="1">
        <v>46043</v>
      </c>
      <c r="U227" s="1">
        <v>46043</v>
      </c>
      <c r="V227" s="1">
        <v>46408</v>
      </c>
      <c r="W227" t="s">
        <v>38</v>
      </c>
      <c r="X227">
        <v>12</v>
      </c>
      <c r="Y227" t="s">
        <v>49</v>
      </c>
      <c r="Z227" t="s">
        <v>81</v>
      </c>
      <c r="AA227" t="s">
        <v>112</v>
      </c>
      <c r="AB227">
        <v>12</v>
      </c>
      <c r="AC227" t="s">
        <v>166</v>
      </c>
      <c r="AD227" t="s">
        <v>160</v>
      </c>
      <c r="AE227" t="s">
        <v>43</v>
      </c>
      <c r="AF227" t="s">
        <v>44</v>
      </c>
      <c r="AG227" t="str">
        <f t="shared" si="3"/>
        <v>CC 12x</v>
      </c>
      <c r="AH227" t="str">
        <f>IF(AND(SUMIF(E:E,E227,I:I)&gt;=400000,Q227="B2G"),"n","")</f>
        <v/>
      </c>
    </row>
    <row r="228" spans="1:34">
      <c r="A228">
        <v>2026</v>
      </c>
      <c r="B228">
        <v>1</v>
      </c>
      <c r="C228" s="83">
        <v>2087085</v>
      </c>
      <c r="D228" t="s">
        <v>335</v>
      </c>
      <c r="E228">
        <v>51363230119</v>
      </c>
      <c r="F228">
        <v>503765</v>
      </c>
      <c r="G228">
        <v>47250740387</v>
      </c>
      <c r="H228" t="s">
        <v>35</v>
      </c>
      <c r="I228" s="36">
        <v>11902.92</v>
      </c>
      <c r="J228" s="36">
        <v>11902.92</v>
      </c>
      <c r="K228" s="85">
        <v>0</v>
      </c>
      <c r="L228" s="36">
        <v>991.91</v>
      </c>
      <c r="M228" s="36">
        <v>0</v>
      </c>
      <c r="N228" s="36">
        <v>130.16</v>
      </c>
      <c r="O228" s="36">
        <v>862</v>
      </c>
      <c r="P228" t="s">
        <v>110</v>
      </c>
      <c r="Q228" t="s">
        <v>111</v>
      </c>
      <c r="R228" t="s">
        <v>111</v>
      </c>
      <c r="S228" s="1">
        <v>46010</v>
      </c>
      <c r="T228" s="1">
        <v>46023</v>
      </c>
      <c r="U228" s="1">
        <v>45996</v>
      </c>
      <c r="V228" s="1">
        <v>46375</v>
      </c>
      <c r="W228" t="s">
        <v>38</v>
      </c>
      <c r="X228">
        <v>12</v>
      </c>
      <c r="Y228" t="s">
        <v>49</v>
      </c>
      <c r="Z228" t="s">
        <v>81</v>
      </c>
      <c r="AA228" t="s">
        <v>122</v>
      </c>
      <c r="AB228">
        <v>12</v>
      </c>
      <c r="AC228" t="s">
        <v>113</v>
      </c>
      <c r="AD228" t="s">
        <v>336</v>
      </c>
      <c r="AE228" t="s">
        <v>135</v>
      </c>
      <c r="AF228" t="s">
        <v>47</v>
      </c>
      <c r="AG228" t="str">
        <f t="shared" si="3"/>
        <v>Recorrente</v>
      </c>
      <c r="AH228" t="str">
        <f>IF(AND(SUMIF(E:E,E228,I:I)&gt;=400000,Q228="B2G"),"n","")</f>
        <v/>
      </c>
    </row>
    <row r="229" spans="1:34">
      <c r="A229">
        <v>2026</v>
      </c>
      <c r="B229">
        <v>1</v>
      </c>
      <c r="C229" s="83">
        <v>129230947380</v>
      </c>
      <c r="D229" t="s">
        <v>337</v>
      </c>
      <c r="E229">
        <v>51365369347</v>
      </c>
      <c r="F229">
        <v>625773</v>
      </c>
      <c r="G229">
        <v>46774698773</v>
      </c>
      <c r="H229" t="s">
        <v>35</v>
      </c>
      <c r="I229" s="36">
        <v>5514</v>
      </c>
      <c r="J229" s="36">
        <v>5514</v>
      </c>
      <c r="K229" s="85">
        <v>0</v>
      </c>
      <c r="L229" s="36">
        <v>459.5</v>
      </c>
      <c r="M229" s="36">
        <v>0</v>
      </c>
      <c r="N229" s="36">
        <v>93.75</v>
      </c>
      <c r="O229" s="36">
        <v>365.75</v>
      </c>
      <c r="P229" t="s">
        <v>165</v>
      </c>
      <c r="Q229" t="s">
        <v>166</v>
      </c>
      <c r="R229" t="s">
        <v>166</v>
      </c>
      <c r="S229" s="1">
        <v>46043</v>
      </c>
      <c r="T229" s="1">
        <v>46043</v>
      </c>
      <c r="U229" s="1">
        <v>46043</v>
      </c>
      <c r="V229" s="1">
        <v>46408</v>
      </c>
      <c r="W229" t="s">
        <v>38</v>
      </c>
      <c r="X229">
        <v>12</v>
      </c>
      <c r="Y229" t="s">
        <v>49</v>
      </c>
      <c r="Z229" t="s">
        <v>81</v>
      </c>
      <c r="AA229" t="s">
        <v>122</v>
      </c>
      <c r="AB229">
        <v>12</v>
      </c>
      <c r="AC229" t="s">
        <v>166</v>
      </c>
      <c r="AD229" t="s">
        <v>138</v>
      </c>
      <c r="AE229" t="s">
        <v>135</v>
      </c>
      <c r="AF229" t="s">
        <v>119</v>
      </c>
      <c r="AG229" t="str">
        <f t="shared" si="3"/>
        <v>Recorrente</v>
      </c>
      <c r="AH229" t="str">
        <f>IF(AND(SUMIF(E:E,E229,I:I)&gt;=400000,Q229="B2G"),"n","")</f>
        <v/>
      </c>
    </row>
    <row r="230" spans="1:34">
      <c r="A230">
        <v>2026</v>
      </c>
      <c r="B230">
        <v>1</v>
      </c>
      <c r="C230" s="83">
        <v>1596838</v>
      </c>
      <c r="D230" t="s">
        <v>338</v>
      </c>
      <c r="E230">
        <v>51373400934</v>
      </c>
      <c r="F230">
        <v>604937</v>
      </c>
      <c r="G230">
        <v>48378295345</v>
      </c>
      <c r="H230" t="s">
        <v>35</v>
      </c>
      <c r="I230" s="36">
        <v>6734.88</v>
      </c>
      <c r="J230" s="36">
        <v>6734.88</v>
      </c>
      <c r="K230" s="85">
        <v>0</v>
      </c>
      <c r="L230" s="36">
        <v>561.24</v>
      </c>
      <c r="M230" s="36">
        <v>0</v>
      </c>
      <c r="N230" s="36">
        <v>31.01</v>
      </c>
      <c r="O230" s="36">
        <v>530.23</v>
      </c>
      <c r="P230" t="s">
        <v>116</v>
      </c>
      <c r="Q230" t="s">
        <v>111</v>
      </c>
      <c r="R230" t="s">
        <v>111</v>
      </c>
      <c r="S230" s="1">
        <v>46027</v>
      </c>
      <c r="T230" s="1">
        <v>46027</v>
      </c>
      <c r="U230" s="1">
        <v>45996</v>
      </c>
      <c r="V230" s="1">
        <v>46392</v>
      </c>
      <c r="W230" t="s">
        <v>38</v>
      </c>
      <c r="X230">
        <v>13</v>
      </c>
      <c r="Y230" t="s">
        <v>49</v>
      </c>
      <c r="Z230" t="s">
        <v>81</v>
      </c>
      <c r="AA230" t="s">
        <v>112</v>
      </c>
      <c r="AB230">
        <v>12</v>
      </c>
      <c r="AC230" t="s">
        <v>113</v>
      </c>
      <c r="AD230" t="s">
        <v>134</v>
      </c>
      <c r="AE230" t="s">
        <v>135</v>
      </c>
      <c r="AF230" t="s">
        <v>44</v>
      </c>
      <c r="AG230" t="str">
        <f t="shared" si="3"/>
        <v>CC 12x</v>
      </c>
      <c r="AH230" t="str">
        <f>IF(AND(SUMIF(E:E,E230,I:I)&gt;=400000,Q230="B2G"),"n","")</f>
        <v/>
      </c>
    </row>
    <row r="231" spans="1:34">
      <c r="A231">
        <v>2026</v>
      </c>
      <c r="B231">
        <v>1</v>
      </c>
      <c r="C231" s="83">
        <v>152685457561</v>
      </c>
      <c r="D231" t="s">
        <v>339</v>
      </c>
      <c r="E231">
        <v>51388152384</v>
      </c>
      <c r="F231">
        <v>606977</v>
      </c>
      <c r="G231">
        <v>48500066894</v>
      </c>
      <c r="H231" t="s">
        <v>35</v>
      </c>
      <c r="I231" s="36">
        <v>4278.84</v>
      </c>
      <c r="J231" s="36">
        <v>4278.84</v>
      </c>
      <c r="K231" s="85">
        <v>0</v>
      </c>
      <c r="L231" s="36">
        <v>356.57</v>
      </c>
      <c r="M231" s="36">
        <v>0</v>
      </c>
      <c r="N231" s="36">
        <v>34.49</v>
      </c>
      <c r="O231" s="36">
        <v>322.08999999999997</v>
      </c>
      <c r="P231" t="s">
        <v>110</v>
      </c>
      <c r="Q231" t="s">
        <v>111</v>
      </c>
      <c r="R231" t="s">
        <v>111</v>
      </c>
      <c r="S231" s="1">
        <v>46029</v>
      </c>
      <c r="T231" s="1">
        <v>46029</v>
      </c>
      <c r="U231" s="1">
        <v>46029</v>
      </c>
      <c r="V231" s="1">
        <v>46394</v>
      </c>
      <c r="W231" t="s">
        <v>38</v>
      </c>
      <c r="X231">
        <v>12</v>
      </c>
      <c r="Y231" t="s">
        <v>49</v>
      </c>
      <c r="Z231" t="s">
        <v>81</v>
      </c>
      <c r="AA231" t="s">
        <v>122</v>
      </c>
      <c r="AB231">
        <v>12</v>
      </c>
      <c r="AC231" t="s">
        <v>113</v>
      </c>
      <c r="AD231" t="s">
        <v>84</v>
      </c>
      <c r="AE231" t="s">
        <v>43</v>
      </c>
      <c r="AF231" t="s">
        <v>44</v>
      </c>
      <c r="AG231" t="str">
        <f t="shared" si="3"/>
        <v>Recorrente</v>
      </c>
      <c r="AH231" t="str">
        <f>IF(AND(SUMIF(E:E,E231,I:I)&gt;=400000,Q231="B2G"),"n","")</f>
        <v/>
      </c>
    </row>
    <row r="232" spans="1:34">
      <c r="A232">
        <v>2026</v>
      </c>
      <c r="B232">
        <v>1</v>
      </c>
      <c r="C232" s="83">
        <v>2112927</v>
      </c>
      <c r="D232" t="s">
        <v>340</v>
      </c>
      <c r="E232">
        <v>51399106952</v>
      </c>
      <c r="F232">
        <v>503487</v>
      </c>
      <c r="G232">
        <v>48378662163</v>
      </c>
      <c r="H232" t="s">
        <v>35</v>
      </c>
      <c r="I232" s="36">
        <v>13939.2</v>
      </c>
      <c r="J232" s="36">
        <v>4646.3999999999996</v>
      </c>
      <c r="K232" s="85">
        <v>9292.7999999999993</v>
      </c>
      <c r="L232" s="36">
        <v>387.2</v>
      </c>
      <c r="M232" s="36">
        <v>0</v>
      </c>
      <c r="N232" s="36">
        <v>63.91</v>
      </c>
      <c r="O232" s="36">
        <v>323.29000000000002</v>
      </c>
      <c r="P232" t="s">
        <v>110</v>
      </c>
      <c r="Q232" t="s">
        <v>111</v>
      </c>
      <c r="R232" t="s">
        <v>111</v>
      </c>
      <c r="S232" s="1">
        <v>46027</v>
      </c>
      <c r="T232" s="1">
        <v>46023</v>
      </c>
      <c r="U232" s="1">
        <v>45998</v>
      </c>
      <c r="V232" s="1">
        <v>47123</v>
      </c>
      <c r="W232" t="s">
        <v>102</v>
      </c>
      <c r="X232">
        <v>37</v>
      </c>
      <c r="Y232" t="s">
        <v>49</v>
      </c>
      <c r="Z232" t="s">
        <v>81</v>
      </c>
      <c r="AA232" t="s">
        <v>122</v>
      </c>
      <c r="AB232">
        <v>36</v>
      </c>
      <c r="AC232" t="s">
        <v>113</v>
      </c>
      <c r="AD232" t="s">
        <v>85</v>
      </c>
      <c r="AE232" t="s">
        <v>46</v>
      </c>
      <c r="AF232" t="s">
        <v>44</v>
      </c>
      <c r="AG232" t="str">
        <f t="shared" si="3"/>
        <v>Recorrente</v>
      </c>
      <c r="AH232" t="str">
        <f>IF(AND(SUMIF(E:E,E232,I:I)&gt;=400000,Q232="B2G"),"n","")</f>
        <v/>
      </c>
    </row>
    <row r="233" spans="1:34">
      <c r="A233">
        <v>2026</v>
      </c>
      <c r="B233">
        <v>1</v>
      </c>
      <c r="C233" s="83">
        <v>2124326</v>
      </c>
      <c r="D233" t="s">
        <v>341</v>
      </c>
      <c r="E233">
        <v>51399147788</v>
      </c>
      <c r="F233">
        <v>327631</v>
      </c>
      <c r="G233">
        <v>46700618029</v>
      </c>
      <c r="H233" t="s">
        <v>35</v>
      </c>
      <c r="I233" s="36">
        <v>10795.44</v>
      </c>
      <c r="J233" s="36">
        <v>10795.44</v>
      </c>
      <c r="K233" s="85">
        <v>0</v>
      </c>
      <c r="L233" s="36">
        <v>899.62</v>
      </c>
      <c r="M233" s="36">
        <v>0</v>
      </c>
      <c r="N233" s="36">
        <v>260.27</v>
      </c>
      <c r="O233" s="36">
        <v>639.36</v>
      </c>
      <c r="P233" t="s">
        <v>137</v>
      </c>
      <c r="Q233" t="s">
        <v>111</v>
      </c>
      <c r="R233" t="s">
        <v>111</v>
      </c>
      <c r="S233" s="1">
        <v>46000</v>
      </c>
      <c r="T233" s="1">
        <v>46023</v>
      </c>
      <c r="U233" s="1">
        <v>45998</v>
      </c>
      <c r="V233" s="1">
        <v>46365</v>
      </c>
      <c r="W233" t="s">
        <v>38</v>
      </c>
      <c r="X233">
        <v>12</v>
      </c>
      <c r="Y233" t="s">
        <v>49</v>
      </c>
      <c r="Z233" t="s">
        <v>81</v>
      </c>
      <c r="AA233" t="s">
        <v>122</v>
      </c>
      <c r="AB233">
        <v>12</v>
      </c>
      <c r="AC233" t="s">
        <v>113</v>
      </c>
      <c r="AD233" t="s">
        <v>154</v>
      </c>
      <c r="AE233" t="s">
        <v>46</v>
      </c>
      <c r="AF233" t="s">
        <v>47</v>
      </c>
      <c r="AG233" t="str">
        <f t="shared" si="3"/>
        <v>Recorrente</v>
      </c>
      <c r="AH233" t="str">
        <f>IF(AND(SUMIF(E:E,E233,I:I)&gt;=400000,Q233="B2G"),"n","")</f>
        <v/>
      </c>
    </row>
    <row r="234" spans="1:34">
      <c r="A234">
        <v>2026</v>
      </c>
      <c r="B234">
        <v>1</v>
      </c>
      <c r="C234" s="83">
        <v>93184071218</v>
      </c>
      <c r="D234" t="s">
        <v>342</v>
      </c>
      <c r="E234">
        <v>51399577652</v>
      </c>
      <c r="F234">
        <v>625787</v>
      </c>
      <c r="G234">
        <v>46766359863</v>
      </c>
      <c r="H234" t="s">
        <v>35</v>
      </c>
      <c r="I234" s="36">
        <v>1887</v>
      </c>
      <c r="J234" s="36">
        <v>1887</v>
      </c>
      <c r="K234" s="85">
        <v>0</v>
      </c>
      <c r="L234" s="36">
        <v>157.25</v>
      </c>
      <c r="M234" s="36">
        <v>0</v>
      </c>
      <c r="N234" s="36">
        <v>10.25</v>
      </c>
      <c r="O234" s="36">
        <v>147</v>
      </c>
      <c r="P234" t="s">
        <v>165</v>
      </c>
      <c r="Q234" t="s">
        <v>166</v>
      </c>
      <c r="R234" t="s">
        <v>166</v>
      </c>
      <c r="S234" s="1">
        <v>46044</v>
      </c>
      <c r="T234" s="1">
        <v>46044</v>
      </c>
      <c r="U234" s="1">
        <v>46044</v>
      </c>
      <c r="V234" s="1">
        <v>46409</v>
      </c>
      <c r="W234" t="s">
        <v>38</v>
      </c>
      <c r="X234">
        <v>12</v>
      </c>
      <c r="Y234" t="s">
        <v>49</v>
      </c>
      <c r="Z234" t="s">
        <v>81</v>
      </c>
      <c r="AA234" t="s">
        <v>122</v>
      </c>
      <c r="AB234">
        <v>12</v>
      </c>
      <c r="AC234" t="s">
        <v>166</v>
      </c>
      <c r="AD234" t="s">
        <v>118</v>
      </c>
      <c r="AE234" t="s">
        <v>43</v>
      </c>
      <c r="AF234" t="s">
        <v>119</v>
      </c>
      <c r="AG234" t="str">
        <f t="shared" si="3"/>
        <v>Recorrente</v>
      </c>
      <c r="AH234" t="str">
        <f>IF(AND(SUMIF(E:E,E234,I:I)&gt;=400000,Q234="B2G"),"n","")</f>
        <v/>
      </c>
    </row>
    <row r="235" spans="1:34">
      <c r="A235">
        <v>2026</v>
      </c>
      <c r="B235">
        <v>1</v>
      </c>
      <c r="C235" s="83">
        <v>93184071218</v>
      </c>
      <c r="D235" t="s">
        <v>342</v>
      </c>
      <c r="E235">
        <v>51399577652</v>
      </c>
      <c r="F235">
        <v>625787</v>
      </c>
      <c r="G235">
        <v>46770898764</v>
      </c>
      <c r="H235" t="s">
        <v>35</v>
      </c>
      <c r="I235" s="36">
        <v>1887</v>
      </c>
      <c r="J235" s="36">
        <v>1887</v>
      </c>
      <c r="K235" s="85">
        <v>0</v>
      </c>
      <c r="L235" s="36">
        <v>157.25</v>
      </c>
      <c r="M235" s="36">
        <v>0</v>
      </c>
      <c r="N235" s="36">
        <v>10.25</v>
      </c>
      <c r="O235" s="36">
        <v>147</v>
      </c>
      <c r="P235" t="s">
        <v>165</v>
      </c>
      <c r="Q235" t="s">
        <v>166</v>
      </c>
      <c r="R235" t="s">
        <v>166</v>
      </c>
      <c r="S235" s="1">
        <v>46044</v>
      </c>
      <c r="T235" s="1">
        <v>46044</v>
      </c>
      <c r="U235" s="1">
        <v>46044</v>
      </c>
      <c r="V235" s="1">
        <v>46409</v>
      </c>
      <c r="W235" t="s">
        <v>38</v>
      </c>
      <c r="X235">
        <v>12</v>
      </c>
      <c r="Y235" t="s">
        <v>49</v>
      </c>
      <c r="Z235" t="s">
        <v>81</v>
      </c>
      <c r="AA235" t="s">
        <v>122</v>
      </c>
      <c r="AB235">
        <v>12</v>
      </c>
      <c r="AC235" t="s">
        <v>166</v>
      </c>
      <c r="AD235" t="s">
        <v>243</v>
      </c>
      <c r="AE235" t="s">
        <v>95</v>
      </c>
      <c r="AF235" t="s">
        <v>244</v>
      </c>
      <c r="AG235" t="str">
        <f t="shared" si="3"/>
        <v>Recorrente</v>
      </c>
      <c r="AH235" t="str">
        <f>IF(AND(SUMIF(E:E,E235,I:I)&gt;=400000,Q235="B2G"),"n","")</f>
        <v/>
      </c>
    </row>
    <row r="236" spans="1:34">
      <c r="A236">
        <v>2026</v>
      </c>
      <c r="B236">
        <v>1</v>
      </c>
      <c r="C236" s="83">
        <v>104414786332</v>
      </c>
      <c r="D236" t="s">
        <v>343</v>
      </c>
      <c r="E236">
        <v>51401978471</v>
      </c>
      <c r="F236">
        <v>504058</v>
      </c>
      <c r="G236">
        <v>46760944984</v>
      </c>
      <c r="H236" t="s">
        <v>35</v>
      </c>
      <c r="I236" s="36">
        <v>4646.3999999999996</v>
      </c>
      <c r="J236" s="36">
        <v>4646.3999999999996</v>
      </c>
      <c r="K236" s="85">
        <v>0</v>
      </c>
      <c r="L236" s="36">
        <v>387.2</v>
      </c>
      <c r="M236" s="36">
        <v>0</v>
      </c>
      <c r="N236" s="36">
        <v>27.99</v>
      </c>
      <c r="O236" s="36">
        <v>359.21</v>
      </c>
      <c r="P236" t="s">
        <v>133</v>
      </c>
      <c r="Q236" t="s">
        <v>111</v>
      </c>
      <c r="R236" t="s">
        <v>111</v>
      </c>
      <c r="S236" s="1">
        <v>46000</v>
      </c>
      <c r="T236" s="1">
        <v>46023</v>
      </c>
      <c r="U236" s="1">
        <v>45998</v>
      </c>
      <c r="V236" s="1">
        <v>46363</v>
      </c>
      <c r="W236" t="s">
        <v>38</v>
      </c>
      <c r="X236">
        <v>12</v>
      </c>
      <c r="Y236" t="s">
        <v>49</v>
      </c>
      <c r="Z236" t="s">
        <v>81</v>
      </c>
      <c r="AA236" t="s">
        <v>122</v>
      </c>
      <c r="AB236">
        <v>12</v>
      </c>
      <c r="AC236" t="s">
        <v>113</v>
      </c>
      <c r="AD236" t="s">
        <v>85</v>
      </c>
      <c r="AE236" t="s">
        <v>46</v>
      </c>
      <c r="AF236" t="s">
        <v>44</v>
      </c>
      <c r="AG236" t="str">
        <f t="shared" si="3"/>
        <v>Recorrente</v>
      </c>
      <c r="AH236" t="str">
        <f>IF(AND(SUMIF(E:E,E236,I:I)&gt;=400000,Q236="B2G"),"n","")</f>
        <v/>
      </c>
    </row>
    <row r="237" spans="1:34">
      <c r="A237">
        <v>2026</v>
      </c>
      <c r="B237">
        <v>1</v>
      </c>
      <c r="C237" s="83">
        <v>92739564593</v>
      </c>
      <c r="D237" t="s">
        <v>344</v>
      </c>
      <c r="E237">
        <v>51402064484</v>
      </c>
      <c r="F237">
        <v>625806</v>
      </c>
      <c r="G237">
        <v>46768064290</v>
      </c>
      <c r="H237" t="s">
        <v>35</v>
      </c>
      <c r="I237" s="36">
        <v>5514</v>
      </c>
      <c r="J237" s="36">
        <v>5514</v>
      </c>
      <c r="K237" s="85">
        <v>0</v>
      </c>
      <c r="L237" s="36">
        <v>459.5</v>
      </c>
      <c r="M237" s="36">
        <v>0</v>
      </c>
      <c r="N237" s="36">
        <v>122.35</v>
      </c>
      <c r="O237" s="36">
        <v>337.15</v>
      </c>
      <c r="P237" t="s">
        <v>165</v>
      </c>
      <c r="Q237" t="s">
        <v>166</v>
      </c>
      <c r="R237" t="s">
        <v>166</v>
      </c>
      <c r="S237" s="1">
        <v>46044</v>
      </c>
      <c r="T237" s="1">
        <v>46044</v>
      </c>
      <c r="U237" s="1">
        <v>46044</v>
      </c>
      <c r="V237" s="1">
        <v>46409</v>
      </c>
      <c r="W237" t="s">
        <v>38</v>
      </c>
      <c r="X237">
        <v>12</v>
      </c>
      <c r="Y237" t="s">
        <v>49</v>
      </c>
      <c r="Z237" t="s">
        <v>81</v>
      </c>
      <c r="AA237" t="s">
        <v>112</v>
      </c>
      <c r="AB237">
        <v>12</v>
      </c>
      <c r="AC237" t="s">
        <v>166</v>
      </c>
      <c r="AD237" t="s">
        <v>138</v>
      </c>
      <c r="AE237" t="s">
        <v>135</v>
      </c>
      <c r="AF237" t="s">
        <v>119</v>
      </c>
      <c r="AG237" t="str">
        <f t="shared" si="3"/>
        <v>CC 12x</v>
      </c>
      <c r="AH237" t="str">
        <f>IF(AND(SUMIF(E:E,E237,I:I)&gt;=400000,Q237="B2G"),"n","")</f>
        <v/>
      </c>
    </row>
    <row r="238" spans="1:34">
      <c r="A238">
        <v>2026</v>
      </c>
      <c r="B238">
        <v>1</v>
      </c>
      <c r="C238" s="83">
        <v>183016423070</v>
      </c>
      <c r="D238" t="s">
        <v>345</v>
      </c>
      <c r="E238">
        <v>51412863010</v>
      </c>
      <c r="F238">
        <v>327713</v>
      </c>
      <c r="G238">
        <v>47247484968</v>
      </c>
      <c r="H238" t="s">
        <v>35</v>
      </c>
      <c r="I238" s="36">
        <v>7015.44</v>
      </c>
      <c r="J238" s="36">
        <v>7015.44</v>
      </c>
      <c r="K238" s="85">
        <v>0</v>
      </c>
      <c r="L238" s="36">
        <v>584.62</v>
      </c>
      <c r="M238" s="36">
        <v>0</v>
      </c>
      <c r="N238" s="36">
        <v>57.5</v>
      </c>
      <c r="O238" s="36">
        <v>527.13</v>
      </c>
      <c r="P238" t="s">
        <v>133</v>
      </c>
      <c r="Q238" t="s">
        <v>111</v>
      </c>
      <c r="R238" t="s">
        <v>111</v>
      </c>
      <c r="S238" s="1">
        <v>46009</v>
      </c>
      <c r="T238" s="1">
        <v>46023</v>
      </c>
      <c r="U238" s="1">
        <v>46006</v>
      </c>
      <c r="V238" s="1">
        <v>46371</v>
      </c>
      <c r="W238" t="s">
        <v>38</v>
      </c>
      <c r="X238">
        <v>12</v>
      </c>
      <c r="Y238" t="s">
        <v>49</v>
      </c>
      <c r="Z238" t="s">
        <v>81</v>
      </c>
      <c r="AA238" t="s">
        <v>112</v>
      </c>
      <c r="AB238">
        <v>12</v>
      </c>
      <c r="AC238" t="s">
        <v>113</v>
      </c>
      <c r="AD238" t="s">
        <v>134</v>
      </c>
      <c r="AE238" t="s">
        <v>135</v>
      </c>
      <c r="AF238" t="s">
        <v>44</v>
      </c>
      <c r="AG238" t="str">
        <f t="shared" si="3"/>
        <v>CC 12x</v>
      </c>
      <c r="AH238" t="str">
        <f>IF(AND(SUMIF(E:E,E238,I:I)&gt;=400000,Q238="B2G"),"n","")</f>
        <v/>
      </c>
    </row>
    <row r="239" spans="1:34">
      <c r="A239">
        <v>2026</v>
      </c>
      <c r="B239">
        <v>1</v>
      </c>
      <c r="C239" s="83">
        <v>2063643</v>
      </c>
      <c r="D239" t="s">
        <v>346</v>
      </c>
      <c r="E239">
        <v>51430870560</v>
      </c>
      <c r="F239">
        <v>327814</v>
      </c>
      <c r="G239">
        <v>47030604361</v>
      </c>
      <c r="H239" t="s">
        <v>35</v>
      </c>
      <c r="I239" s="36">
        <v>4919.28</v>
      </c>
      <c r="J239" s="36">
        <v>4919.28</v>
      </c>
      <c r="K239" s="85">
        <v>0</v>
      </c>
      <c r="L239" s="36">
        <v>409.94</v>
      </c>
      <c r="M239" s="36">
        <v>0</v>
      </c>
      <c r="N239" s="36">
        <v>70.099999999999994</v>
      </c>
      <c r="O239" s="36">
        <v>339.84</v>
      </c>
      <c r="P239" t="s">
        <v>127</v>
      </c>
      <c r="Q239" t="s">
        <v>111</v>
      </c>
      <c r="R239" t="s">
        <v>111</v>
      </c>
      <c r="S239" s="1">
        <v>46006</v>
      </c>
      <c r="T239" s="1">
        <v>46023</v>
      </c>
      <c r="U239" s="1">
        <v>46007</v>
      </c>
      <c r="V239" s="1">
        <v>46372</v>
      </c>
      <c r="W239" t="s">
        <v>38</v>
      </c>
      <c r="X239">
        <v>12</v>
      </c>
      <c r="Y239" t="s">
        <v>49</v>
      </c>
      <c r="Z239" t="s">
        <v>81</v>
      </c>
      <c r="AA239" t="s">
        <v>112</v>
      </c>
      <c r="AB239">
        <v>12</v>
      </c>
      <c r="AC239" t="s">
        <v>113</v>
      </c>
      <c r="AD239" t="s">
        <v>149</v>
      </c>
      <c r="AE239" t="s">
        <v>43</v>
      </c>
      <c r="AF239" t="s">
        <v>96</v>
      </c>
      <c r="AG239" t="str">
        <f t="shared" si="3"/>
        <v>CC 12x</v>
      </c>
      <c r="AH239" t="str">
        <f>IF(AND(SUMIF(E:E,E239,I:I)&gt;=400000,Q239="B2G"),"n","")</f>
        <v/>
      </c>
    </row>
    <row r="240" spans="1:34">
      <c r="A240">
        <v>2026</v>
      </c>
      <c r="B240">
        <v>1</v>
      </c>
      <c r="C240" s="83">
        <v>32670691334</v>
      </c>
      <c r="D240" t="s">
        <v>347</v>
      </c>
      <c r="E240">
        <v>51432113325</v>
      </c>
      <c r="F240">
        <v>635701</v>
      </c>
      <c r="G240">
        <v>49710234423</v>
      </c>
      <c r="H240" t="s">
        <v>35</v>
      </c>
      <c r="I240" s="36">
        <v>6444</v>
      </c>
      <c r="J240" s="36">
        <v>6444</v>
      </c>
      <c r="K240" s="85">
        <v>0</v>
      </c>
      <c r="L240" s="36">
        <v>537</v>
      </c>
      <c r="M240" s="36">
        <v>537</v>
      </c>
      <c r="N240" s="36">
        <v>0</v>
      </c>
      <c r="O240" s="36">
        <v>0</v>
      </c>
      <c r="P240" t="s">
        <v>348</v>
      </c>
      <c r="Q240" t="s">
        <v>349</v>
      </c>
      <c r="R240" t="s">
        <v>349</v>
      </c>
      <c r="S240" s="1">
        <v>46045</v>
      </c>
      <c r="T240" s="1">
        <v>46045</v>
      </c>
      <c r="V240" s="1">
        <v>46410</v>
      </c>
      <c r="W240" t="s">
        <v>38</v>
      </c>
      <c r="X240">
        <v>12</v>
      </c>
      <c r="Y240" t="s">
        <v>49</v>
      </c>
      <c r="AA240" t="s">
        <v>112</v>
      </c>
      <c r="AB240">
        <v>12</v>
      </c>
      <c r="AC240" t="s">
        <v>350</v>
      </c>
      <c r="AD240" t="s">
        <v>256</v>
      </c>
      <c r="AE240" t="s">
        <v>257</v>
      </c>
      <c r="AF240" t="s">
        <v>59</v>
      </c>
      <c r="AG240" t="str">
        <f t="shared" si="3"/>
        <v>CC 12x</v>
      </c>
      <c r="AH240" t="str">
        <f>IF(AND(SUMIF(E:E,E240,I:I)&gt;=400000,Q240="B2G"),"n","")</f>
        <v/>
      </c>
    </row>
    <row r="241" spans="1:34">
      <c r="A241">
        <v>2026</v>
      </c>
      <c r="B241">
        <v>1</v>
      </c>
      <c r="C241" s="83">
        <v>32670691334</v>
      </c>
      <c r="D241" t="s">
        <v>347</v>
      </c>
      <c r="E241">
        <v>51432113325</v>
      </c>
      <c r="F241">
        <v>635701</v>
      </c>
      <c r="G241">
        <v>49710234424</v>
      </c>
      <c r="H241" t="s">
        <v>35</v>
      </c>
      <c r="I241" s="36">
        <v>50832</v>
      </c>
      <c r="J241" s="36">
        <v>50832</v>
      </c>
      <c r="K241" s="85">
        <v>0</v>
      </c>
      <c r="L241" s="36">
        <v>4236</v>
      </c>
      <c r="M241" s="36">
        <v>4236</v>
      </c>
      <c r="N241" s="36">
        <v>0</v>
      </c>
      <c r="O241" s="36">
        <v>0</v>
      </c>
      <c r="P241" t="s">
        <v>348</v>
      </c>
      <c r="Q241" t="s">
        <v>349</v>
      </c>
      <c r="R241" t="s">
        <v>349</v>
      </c>
      <c r="S241" s="1">
        <v>46045</v>
      </c>
      <c r="T241" s="1">
        <v>46045</v>
      </c>
      <c r="V241" s="1">
        <v>46410</v>
      </c>
      <c r="W241" t="s">
        <v>38</v>
      </c>
      <c r="X241">
        <v>12</v>
      </c>
      <c r="Y241" t="s">
        <v>49</v>
      </c>
      <c r="AA241" t="s">
        <v>112</v>
      </c>
      <c r="AB241">
        <v>12</v>
      </c>
      <c r="AC241" t="s">
        <v>350</v>
      </c>
      <c r="AD241" t="s">
        <v>351</v>
      </c>
      <c r="AE241" t="s">
        <v>95</v>
      </c>
      <c r="AF241" t="s">
        <v>96</v>
      </c>
      <c r="AG241" t="str">
        <f t="shared" si="3"/>
        <v>CC 12x</v>
      </c>
      <c r="AH241" t="str">
        <f>IF(AND(SUMIF(E:E,E241,I:I)&gt;=400000,Q241="B2G"),"n","")</f>
        <v/>
      </c>
    </row>
    <row r="242" spans="1:34">
      <c r="A242">
        <v>2026</v>
      </c>
      <c r="B242">
        <v>1</v>
      </c>
      <c r="C242" s="83">
        <v>34704951601</v>
      </c>
      <c r="D242" t="s">
        <v>352</v>
      </c>
      <c r="E242">
        <v>51433484140</v>
      </c>
      <c r="F242">
        <v>328363</v>
      </c>
      <c r="G242">
        <v>46766670715</v>
      </c>
      <c r="H242" t="s">
        <v>35</v>
      </c>
      <c r="I242" s="36">
        <v>11094</v>
      </c>
      <c r="J242" s="36">
        <v>11094</v>
      </c>
      <c r="K242" s="85">
        <v>0</v>
      </c>
      <c r="L242" s="36">
        <v>924.5</v>
      </c>
      <c r="M242" s="36">
        <v>0</v>
      </c>
      <c r="N242" s="36">
        <v>194.35</v>
      </c>
      <c r="O242" s="36">
        <v>730.15</v>
      </c>
      <c r="P242" t="s">
        <v>165</v>
      </c>
      <c r="Q242" t="s">
        <v>166</v>
      </c>
      <c r="R242" t="s">
        <v>166</v>
      </c>
      <c r="S242" s="1">
        <v>46045</v>
      </c>
      <c r="T242" s="1">
        <v>46045</v>
      </c>
      <c r="U242" s="1">
        <v>46045</v>
      </c>
      <c r="V242" s="1">
        <v>46410</v>
      </c>
      <c r="W242" t="s">
        <v>38</v>
      </c>
      <c r="X242">
        <v>12</v>
      </c>
      <c r="Y242" t="s">
        <v>49</v>
      </c>
      <c r="Z242" t="s">
        <v>81</v>
      </c>
      <c r="AA242" t="s">
        <v>122</v>
      </c>
      <c r="AB242">
        <v>12</v>
      </c>
      <c r="AC242" t="s">
        <v>166</v>
      </c>
      <c r="AD242" t="s">
        <v>154</v>
      </c>
      <c r="AE242" t="s">
        <v>46</v>
      </c>
      <c r="AF242" t="s">
        <v>47</v>
      </c>
      <c r="AG242" t="str">
        <f t="shared" si="3"/>
        <v>Recorrente</v>
      </c>
      <c r="AH242" t="str">
        <f>IF(AND(SUMIF(E:E,E242,I:I)&gt;=400000,Q242="B2G"),"n","")</f>
        <v/>
      </c>
    </row>
    <row r="243" spans="1:34">
      <c r="A243">
        <v>2026</v>
      </c>
      <c r="B243">
        <v>1</v>
      </c>
      <c r="C243" s="83">
        <v>34704951601</v>
      </c>
      <c r="D243" t="s">
        <v>352</v>
      </c>
      <c r="E243">
        <v>51433484140</v>
      </c>
      <c r="F243">
        <v>328363</v>
      </c>
      <c r="G243">
        <v>46770899321</v>
      </c>
      <c r="H243" t="s">
        <v>35</v>
      </c>
      <c r="I243" s="36">
        <v>11094</v>
      </c>
      <c r="J243" s="36">
        <v>11094</v>
      </c>
      <c r="K243" s="85">
        <v>0</v>
      </c>
      <c r="L243" s="36">
        <v>924.5</v>
      </c>
      <c r="M243" s="36">
        <v>0</v>
      </c>
      <c r="N243" s="36">
        <v>194.35</v>
      </c>
      <c r="O243" s="36">
        <v>730.15</v>
      </c>
      <c r="P243" t="s">
        <v>165</v>
      </c>
      <c r="Q243" t="s">
        <v>166</v>
      </c>
      <c r="R243" t="s">
        <v>166</v>
      </c>
      <c r="S243" s="1">
        <v>46045</v>
      </c>
      <c r="T243" s="1">
        <v>46045</v>
      </c>
      <c r="U243" s="1">
        <v>46045</v>
      </c>
      <c r="V243" s="1">
        <v>46410</v>
      </c>
      <c r="W243" t="s">
        <v>38</v>
      </c>
      <c r="X243">
        <v>12</v>
      </c>
      <c r="Y243" t="s">
        <v>49</v>
      </c>
      <c r="Z243" t="s">
        <v>81</v>
      </c>
      <c r="AA243" t="s">
        <v>122</v>
      </c>
      <c r="AB243">
        <v>12</v>
      </c>
      <c r="AC243" t="s">
        <v>166</v>
      </c>
      <c r="AD243" t="s">
        <v>125</v>
      </c>
      <c r="AE243" t="s">
        <v>43</v>
      </c>
      <c r="AF243" t="s">
        <v>47</v>
      </c>
      <c r="AG243" t="str">
        <f t="shared" si="3"/>
        <v>Recorrente</v>
      </c>
      <c r="AH243" t="str">
        <f>IF(AND(SUMIF(E:E,E243,I:I)&gt;=400000,Q243="B2G"),"n","")</f>
        <v/>
      </c>
    </row>
    <row r="244" spans="1:34">
      <c r="A244">
        <v>2026</v>
      </c>
      <c r="B244">
        <v>1</v>
      </c>
      <c r="C244" s="83">
        <v>27432837789</v>
      </c>
      <c r="D244" t="s">
        <v>353</v>
      </c>
      <c r="E244">
        <v>51437106034</v>
      </c>
      <c r="F244">
        <v>625013</v>
      </c>
      <c r="G244">
        <v>46857515687</v>
      </c>
      <c r="H244" t="s">
        <v>35</v>
      </c>
      <c r="I244" s="36">
        <v>3812.4</v>
      </c>
      <c r="J244" s="36">
        <v>3812.4</v>
      </c>
      <c r="K244" s="85">
        <v>0</v>
      </c>
      <c r="L244" s="36">
        <v>317.7</v>
      </c>
      <c r="M244" s="36">
        <v>0</v>
      </c>
      <c r="N244" s="36">
        <v>24.45</v>
      </c>
      <c r="O244" s="36">
        <v>293.25</v>
      </c>
      <c r="P244" t="s">
        <v>162</v>
      </c>
      <c r="Q244" t="s">
        <v>111</v>
      </c>
      <c r="R244" t="s">
        <v>111</v>
      </c>
      <c r="S244" s="1">
        <v>46002</v>
      </c>
      <c r="T244" s="1">
        <v>46023</v>
      </c>
      <c r="U244" s="1">
        <v>46009</v>
      </c>
      <c r="V244" s="1">
        <v>46374</v>
      </c>
      <c r="W244" t="s">
        <v>38</v>
      </c>
      <c r="X244">
        <v>12</v>
      </c>
      <c r="Y244" t="s">
        <v>49</v>
      </c>
      <c r="Z244" t="s">
        <v>81</v>
      </c>
      <c r="AA244" t="s">
        <v>117</v>
      </c>
      <c r="AB244">
        <v>1</v>
      </c>
      <c r="AC244" t="s">
        <v>113</v>
      </c>
      <c r="AD244" t="s">
        <v>174</v>
      </c>
      <c r="AE244" t="s">
        <v>43</v>
      </c>
      <c r="AF244" t="s">
        <v>47</v>
      </c>
      <c r="AG244" t="str">
        <f t="shared" si="3"/>
        <v>À Vista</v>
      </c>
      <c r="AH244" t="str">
        <f>IF(AND(SUMIF(E:E,E244,I:I)&gt;=400000,Q244="B2G"),"n","")</f>
        <v/>
      </c>
    </row>
    <row r="245" spans="1:34">
      <c r="A245">
        <v>2026</v>
      </c>
      <c r="B245">
        <v>1</v>
      </c>
      <c r="C245" s="83">
        <v>19485952407</v>
      </c>
      <c r="D245" t="s">
        <v>354</v>
      </c>
      <c r="E245">
        <v>51441348182</v>
      </c>
      <c r="F245">
        <v>525214</v>
      </c>
      <c r="G245">
        <v>46772138036</v>
      </c>
      <c r="H245" t="s">
        <v>35</v>
      </c>
      <c r="I245" s="36">
        <v>5034</v>
      </c>
      <c r="J245" s="36">
        <v>5034</v>
      </c>
      <c r="K245" s="85">
        <v>0</v>
      </c>
      <c r="L245" s="36">
        <v>419.5</v>
      </c>
      <c r="M245" s="36">
        <v>0</v>
      </c>
      <c r="N245" s="36">
        <v>82.48</v>
      </c>
      <c r="O245" s="36">
        <v>337.02</v>
      </c>
      <c r="P245" t="s">
        <v>165</v>
      </c>
      <c r="Q245" t="s">
        <v>166</v>
      </c>
      <c r="R245" t="s">
        <v>166</v>
      </c>
      <c r="S245" s="1">
        <v>46045</v>
      </c>
      <c r="T245" s="1">
        <v>46045</v>
      </c>
      <c r="U245" s="1">
        <v>46045</v>
      </c>
      <c r="V245" s="1">
        <v>46410</v>
      </c>
      <c r="W245" t="s">
        <v>38</v>
      </c>
      <c r="X245">
        <v>12</v>
      </c>
      <c r="Y245" t="s">
        <v>49</v>
      </c>
      <c r="Z245" t="s">
        <v>81</v>
      </c>
      <c r="AA245" t="s">
        <v>122</v>
      </c>
      <c r="AB245">
        <v>12</v>
      </c>
      <c r="AC245" t="s">
        <v>166</v>
      </c>
      <c r="AD245" t="s">
        <v>84</v>
      </c>
      <c r="AE245" t="s">
        <v>43</v>
      </c>
      <c r="AF245" t="s">
        <v>44</v>
      </c>
      <c r="AG245" t="str">
        <f t="shared" si="3"/>
        <v>Recorrente</v>
      </c>
      <c r="AH245" t="str">
        <f>IF(AND(SUMIF(E:E,E245,I:I)&gt;=400000,Q245="B2G"),"n","")</f>
        <v/>
      </c>
    </row>
    <row r="246" spans="1:34">
      <c r="A246">
        <v>2026</v>
      </c>
      <c r="B246">
        <v>1</v>
      </c>
      <c r="C246" s="83">
        <v>187669183853</v>
      </c>
      <c r="D246" t="s">
        <v>355</v>
      </c>
      <c r="E246">
        <v>51442306606</v>
      </c>
      <c r="F246">
        <v>327518</v>
      </c>
      <c r="G246">
        <v>47157095702</v>
      </c>
      <c r="H246" t="s">
        <v>35</v>
      </c>
      <c r="I246" s="36">
        <v>9354</v>
      </c>
      <c r="J246" s="36">
        <v>9354</v>
      </c>
      <c r="K246" s="85">
        <v>0</v>
      </c>
      <c r="L246" s="36">
        <v>779.5</v>
      </c>
      <c r="M246" s="36">
        <v>0</v>
      </c>
      <c r="N246" s="36">
        <v>135.25</v>
      </c>
      <c r="O246" s="36">
        <v>644.25</v>
      </c>
      <c r="P246" t="s">
        <v>137</v>
      </c>
      <c r="Q246" t="s">
        <v>111</v>
      </c>
      <c r="R246" t="s">
        <v>111</v>
      </c>
      <c r="S246" s="1">
        <v>46006</v>
      </c>
      <c r="T246" s="1">
        <v>46023</v>
      </c>
      <c r="U246" s="1">
        <v>46022</v>
      </c>
      <c r="V246" s="1">
        <v>46387</v>
      </c>
      <c r="W246" t="s">
        <v>38</v>
      </c>
      <c r="X246">
        <v>12</v>
      </c>
      <c r="Y246" t="s">
        <v>49</v>
      </c>
      <c r="Z246" t="s">
        <v>81</v>
      </c>
      <c r="AA246" t="s">
        <v>122</v>
      </c>
      <c r="AB246">
        <v>12</v>
      </c>
      <c r="AC246" t="s">
        <v>113</v>
      </c>
      <c r="AD246" t="s">
        <v>146</v>
      </c>
      <c r="AE246" t="s">
        <v>135</v>
      </c>
      <c r="AF246" t="s">
        <v>96</v>
      </c>
      <c r="AG246" t="str">
        <f t="shared" si="3"/>
        <v>Recorrente</v>
      </c>
      <c r="AH246" t="str">
        <f>IF(AND(SUMIF(E:E,E246,I:I)&gt;=400000,Q246="B2G"),"n","")</f>
        <v/>
      </c>
    </row>
    <row r="247" spans="1:34">
      <c r="A247">
        <v>2026</v>
      </c>
      <c r="B247">
        <v>1</v>
      </c>
      <c r="C247" s="83">
        <v>46734831374</v>
      </c>
      <c r="D247" t="s">
        <v>356</v>
      </c>
      <c r="E247">
        <v>51443585355</v>
      </c>
      <c r="F247">
        <v>624723</v>
      </c>
      <c r="G247">
        <v>46760365211</v>
      </c>
      <c r="H247" t="s">
        <v>35</v>
      </c>
      <c r="I247" s="36">
        <v>4380.84</v>
      </c>
      <c r="J247" s="36">
        <v>4380.84</v>
      </c>
      <c r="K247" s="85">
        <v>0</v>
      </c>
      <c r="L247" s="36">
        <v>365.07</v>
      </c>
      <c r="M247" s="36">
        <v>0</v>
      </c>
      <c r="N247" s="36">
        <v>113.7</v>
      </c>
      <c r="O247" s="36">
        <v>251.38</v>
      </c>
      <c r="P247" t="s">
        <v>110</v>
      </c>
      <c r="Q247" t="s">
        <v>111</v>
      </c>
      <c r="R247" t="s">
        <v>111</v>
      </c>
      <c r="S247" s="1">
        <v>46000</v>
      </c>
      <c r="T247" s="1">
        <v>46023</v>
      </c>
      <c r="U247" s="1">
        <v>46000</v>
      </c>
      <c r="V247" s="1">
        <v>46365</v>
      </c>
      <c r="W247" t="s">
        <v>38</v>
      </c>
      <c r="X247">
        <v>12</v>
      </c>
      <c r="Y247" t="s">
        <v>49</v>
      </c>
      <c r="Z247" t="s">
        <v>81</v>
      </c>
      <c r="AA247" t="s">
        <v>112</v>
      </c>
      <c r="AB247">
        <v>12</v>
      </c>
      <c r="AC247" t="s">
        <v>113</v>
      </c>
      <c r="AD247" t="s">
        <v>229</v>
      </c>
      <c r="AE247" t="s">
        <v>43</v>
      </c>
      <c r="AF247" t="s">
        <v>96</v>
      </c>
      <c r="AG247" t="str">
        <f t="shared" si="3"/>
        <v>CC 12x</v>
      </c>
      <c r="AH247" t="str">
        <f>IF(AND(SUMIF(E:E,E247,I:I)&gt;=400000,Q247="B2G"),"n","")</f>
        <v/>
      </c>
    </row>
    <row r="248" spans="1:34">
      <c r="A248">
        <v>2026</v>
      </c>
      <c r="B248">
        <v>1</v>
      </c>
      <c r="C248" s="83">
        <v>174437807794</v>
      </c>
      <c r="D248" t="s">
        <v>357</v>
      </c>
      <c r="E248">
        <v>51466810424</v>
      </c>
      <c r="F248">
        <v>504103</v>
      </c>
      <c r="G248">
        <v>47029935486</v>
      </c>
      <c r="H248" t="s">
        <v>35</v>
      </c>
      <c r="I248" s="36">
        <v>6734.88</v>
      </c>
      <c r="J248" s="36">
        <v>6734.88</v>
      </c>
      <c r="K248" s="85">
        <v>0</v>
      </c>
      <c r="L248" s="36">
        <v>561.24</v>
      </c>
      <c r="M248" s="36">
        <v>0</v>
      </c>
      <c r="N248" s="36">
        <v>58.91</v>
      </c>
      <c r="O248" s="36">
        <v>502.33</v>
      </c>
      <c r="P248" t="s">
        <v>116</v>
      </c>
      <c r="Q248" t="s">
        <v>111</v>
      </c>
      <c r="R248" t="s">
        <v>111</v>
      </c>
      <c r="S248" s="1">
        <v>46006</v>
      </c>
      <c r="T248" s="1">
        <v>46023</v>
      </c>
      <c r="U248" s="1">
        <v>45999</v>
      </c>
      <c r="V248" s="1">
        <v>46729</v>
      </c>
      <c r="W248" t="s">
        <v>38</v>
      </c>
      <c r="X248">
        <v>24</v>
      </c>
      <c r="Y248" t="s">
        <v>49</v>
      </c>
      <c r="Z248" t="s">
        <v>76</v>
      </c>
      <c r="AA248" t="s">
        <v>112</v>
      </c>
      <c r="AB248">
        <v>12</v>
      </c>
      <c r="AC248" t="s">
        <v>113</v>
      </c>
      <c r="AD248" t="s">
        <v>134</v>
      </c>
      <c r="AE248" t="s">
        <v>135</v>
      </c>
      <c r="AF248" t="s">
        <v>44</v>
      </c>
      <c r="AG248" t="str">
        <f t="shared" si="3"/>
        <v>CC 12x</v>
      </c>
      <c r="AH248" t="str">
        <f>IF(AND(SUMIF(E:E,E248,I:I)&gt;=400000,Q248="B2G"),"n","")</f>
        <v/>
      </c>
    </row>
    <row r="249" spans="1:34">
      <c r="A249">
        <v>2026</v>
      </c>
      <c r="B249">
        <v>1</v>
      </c>
      <c r="C249" s="83">
        <v>2078705</v>
      </c>
      <c r="D249" t="s">
        <v>358</v>
      </c>
      <c r="E249">
        <v>51467154766</v>
      </c>
      <c r="F249">
        <v>625839</v>
      </c>
      <c r="G249">
        <v>46779037033</v>
      </c>
      <c r="H249" t="s">
        <v>35</v>
      </c>
      <c r="I249" s="36">
        <v>6354</v>
      </c>
      <c r="J249" s="36">
        <v>6354</v>
      </c>
      <c r="K249" s="85">
        <v>0</v>
      </c>
      <c r="L249" s="36">
        <v>529.5</v>
      </c>
      <c r="M249" s="36">
        <v>0</v>
      </c>
      <c r="N249" s="36">
        <v>127.08</v>
      </c>
      <c r="O249" s="36">
        <v>402.42</v>
      </c>
      <c r="P249" t="s">
        <v>165</v>
      </c>
      <c r="Q249" t="s">
        <v>166</v>
      </c>
      <c r="R249" t="s">
        <v>166</v>
      </c>
      <c r="S249" s="1">
        <v>46045</v>
      </c>
      <c r="T249" s="1">
        <v>46045</v>
      </c>
      <c r="U249" s="1">
        <v>46045</v>
      </c>
      <c r="V249" s="1">
        <v>46410</v>
      </c>
      <c r="W249" t="s">
        <v>38</v>
      </c>
      <c r="X249">
        <v>12</v>
      </c>
      <c r="Y249" t="s">
        <v>49</v>
      </c>
      <c r="Z249" t="s">
        <v>81</v>
      </c>
      <c r="AA249" t="s">
        <v>122</v>
      </c>
      <c r="AB249">
        <v>12</v>
      </c>
      <c r="AC249" t="s">
        <v>166</v>
      </c>
      <c r="AD249" t="s">
        <v>149</v>
      </c>
      <c r="AE249" t="s">
        <v>43</v>
      </c>
      <c r="AF249" t="s">
        <v>96</v>
      </c>
      <c r="AG249" t="str">
        <f t="shared" si="3"/>
        <v>Recorrente</v>
      </c>
      <c r="AH249" t="str">
        <f>IF(AND(SUMIF(E:E,E249,I:I)&gt;=400000,Q249="B2G"),"n","")</f>
        <v/>
      </c>
    </row>
    <row r="250" spans="1:34">
      <c r="A250">
        <v>2026</v>
      </c>
      <c r="B250">
        <v>1</v>
      </c>
      <c r="C250" s="83">
        <v>128474977562</v>
      </c>
      <c r="D250" t="s">
        <v>359</v>
      </c>
      <c r="E250">
        <v>51470795852</v>
      </c>
      <c r="F250">
        <v>605328</v>
      </c>
      <c r="G250">
        <v>48058602841</v>
      </c>
      <c r="H250" t="s">
        <v>35</v>
      </c>
      <c r="I250" s="36">
        <v>3762.36</v>
      </c>
      <c r="J250" s="36">
        <v>3762.36</v>
      </c>
      <c r="K250" s="85">
        <v>0</v>
      </c>
      <c r="L250" s="36">
        <v>313.52999999999997</v>
      </c>
      <c r="M250" s="36">
        <v>0</v>
      </c>
      <c r="N250" s="36">
        <v>0</v>
      </c>
      <c r="O250" s="36">
        <v>313.53500000000003</v>
      </c>
      <c r="P250" t="s">
        <v>121</v>
      </c>
      <c r="Q250" t="s">
        <v>111</v>
      </c>
      <c r="R250" t="s">
        <v>111</v>
      </c>
      <c r="S250" s="1">
        <v>46021</v>
      </c>
      <c r="T250" s="1">
        <v>46023</v>
      </c>
      <c r="U250" s="1">
        <v>45999</v>
      </c>
      <c r="V250" s="1">
        <v>46386</v>
      </c>
      <c r="W250" t="s">
        <v>38</v>
      </c>
      <c r="X250">
        <v>12</v>
      </c>
      <c r="Y250" t="s">
        <v>49</v>
      </c>
      <c r="Z250" t="s">
        <v>81</v>
      </c>
      <c r="AA250" t="s">
        <v>112</v>
      </c>
      <c r="AB250">
        <v>12</v>
      </c>
      <c r="AC250" t="s">
        <v>113</v>
      </c>
      <c r="AD250" t="s">
        <v>163</v>
      </c>
      <c r="AE250" t="s">
        <v>43</v>
      </c>
      <c r="AF250" t="s">
        <v>96</v>
      </c>
      <c r="AG250" t="str">
        <f t="shared" si="3"/>
        <v>CC 12x</v>
      </c>
      <c r="AH250" t="str">
        <f>IF(AND(SUMIF(E:E,E250,I:I)&gt;=400000,Q250="B2G"),"n","")</f>
        <v/>
      </c>
    </row>
    <row r="251" spans="1:34">
      <c r="A251">
        <v>2026</v>
      </c>
      <c r="B251">
        <v>1</v>
      </c>
      <c r="C251" s="83">
        <v>33255705909</v>
      </c>
      <c r="D251" t="s">
        <v>360</v>
      </c>
      <c r="E251">
        <v>51479499408</v>
      </c>
      <c r="F251">
        <v>635559</v>
      </c>
      <c r="G251">
        <v>48885853189</v>
      </c>
      <c r="H251" t="s">
        <v>35</v>
      </c>
      <c r="I251" s="36">
        <v>4863.96</v>
      </c>
      <c r="J251" s="36">
        <v>4863.96</v>
      </c>
      <c r="K251" s="85">
        <v>0</v>
      </c>
      <c r="L251" s="36">
        <v>405.33</v>
      </c>
      <c r="M251" s="36">
        <v>405.33</v>
      </c>
      <c r="N251" s="36">
        <v>0</v>
      </c>
      <c r="O251" s="36">
        <v>0</v>
      </c>
      <c r="P251" t="s">
        <v>361</v>
      </c>
      <c r="Q251" t="s">
        <v>349</v>
      </c>
      <c r="R251" t="s">
        <v>349</v>
      </c>
      <c r="S251" s="1">
        <v>46035</v>
      </c>
      <c r="T251" s="1">
        <v>46035</v>
      </c>
      <c r="V251" s="1">
        <v>46400</v>
      </c>
      <c r="W251" t="s">
        <v>38</v>
      </c>
      <c r="X251">
        <v>12</v>
      </c>
      <c r="Y251" t="s">
        <v>49</v>
      </c>
      <c r="AA251" t="s">
        <v>112</v>
      </c>
      <c r="AB251">
        <v>12</v>
      </c>
      <c r="AC251" t="s">
        <v>350</v>
      </c>
      <c r="AD251" t="s">
        <v>362</v>
      </c>
      <c r="AE251" t="s">
        <v>363</v>
      </c>
      <c r="AF251" t="s">
        <v>59</v>
      </c>
      <c r="AG251" t="str">
        <f t="shared" si="3"/>
        <v>CC 12x</v>
      </c>
      <c r="AH251" t="str">
        <f>IF(AND(SUMIF(E:E,E251,I:I)&gt;=400000,Q251="B2G"),"n","")</f>
        <v/>
      </c>
    </row>
    <row r="252" spans="1:34">
      <c r="A252">
        <v>2026</v>
      </c>
      <c r="B252">
        <v>1</v>
      </c>
      <c r="C252" s="83">
        <v>19433951899</v>
      </c>
      <c r="D252" t="s">
        <v>364</v>
      </c>
      <c r="E252">
        <v>51501294643</v>
      </c>
      <c r="F252">
        <v>635803</v>
      </c>
      <c r="G252">
        <v>50274597191</v>
      </c>
      <c r="H252" t="s">
        <v>35</v>
      </c>
      <c r="I252" s="36">
        <v>5034</v>
      </c>
      <c r="J252" s="36">
        <v>5034</v>
      </c>
      <c r="K252" s="85">
        <v>0</v>
      </c>
      <c r="L252" s="36">
        <v>419.5</v>
      </c>
      <c r="M252" s="36">
        <v>419.5</v>
      </c>
      <c r="N252" s="36">
        <v>0</v>
      </c>
      <c r="O252" s="36">
        <v>0</v>
      </c>
      <c r="P252" t="s">
        <v>361</v>
      </c>
      <c r="Q252" t="s">
        <v>349</v>
      </c>
      <c r="R252" t="s">
        <v>349</v>
      </c>
      <c r="S252" s="1">
        <v>46051</v>
      </c>
      <c r="T252" s="1">
        <v>46051</v>
      </c>
      <c r="V252" s="1">
        <v>46416</v>
      </c>
      <c r="W252" t="s">
        <v>38</v>
      </c>
      <c r="X252">
        <v>12</v>
      </c>
      <c r="Y252" t="s">
        <v>49</v>
      </c>
      <c r="AA252" t="s">
        <v>92</v>
      </c>
      <c r="AB252">
        <v>12</v>
      </c>
      <c r="AC252" t="s">
        <v>350</v>
      </c>
      <c r="AD252" t="s">
        <v>84</v>
      </c>
      <c r="AE252" t="s">
        <v>43</v>
      </c>
      <c r="AF252" t="s">
        <v>44</v>
      </c>
      <c r="AG252" t="str">
        <f t="shared" si="3"/>
        <v>Recorrente</v>
      </c>
      <c r="AH252" t="str">
        <f>IF(AND(SUMIF(E:E,E252,I:I)&gt;=400000,Q252="B2G"),"n","")</f>
        <v/>
      </c>
    </row>
    <row r="253" spans="1:34">
      <c r="A253">
        <v>2026</v>
      </c>
      <c r="B253">
        <v>1</v>
      </c>
      <c r="C253" s="83">
        <v>124878001507</v>
      </c>
      <c r="D253" t="s">
        <v>365</v>
      </c>
      <c r="E253">
        <v>51518100031</v>
      </c>
      <c r="F253">
        <v>607992</v>
      </c>
      <c r="G253">
        <v>46804185174</v>
      </c>
      <c r="H253" t="s">
        <v>35</v>
      </c>
      <c r="I253" s="36">
        <v>8418.6</v>
      </c>
      <c r="J253" s="36">
        <v>8418.6</v>
      </c>
      <c r="K253" s="85">
        <v>0</v>
      </c>
      <c r="L253" s="36">
        <v>701.55</v>
      </c>
      <c r="M253" s="36">
        <v>0</v>
      </c>
      <c r="N253" s="36">
        <v>184.25</v>
      </c>
      <c r="O253" s="36">
        <v>517.29999999999995</v>
      </c>
      <c r="P253" t="s">
        <v>165</v>
      </c>
      <c r="Q253" t="s">
        <v>166</v>
      </c>
      <c r="R253" t="s">
        <v>166</v>
      </c>
      <c r="S253" s="1">
        <v>46046</v>
      </c>
      <c r="T253" s="1">
        <v>46046</v>
      </c>
      <c r="U253" s="1">
        <v>46046</v>
      </c>
      <c r="V253" s="1">
        <v>46411</v>
      </c>
      <c r="W253" t="s">
        <v>38</v>
      </c>
      <c r="X253">
        <v>12</v>
      </c>
      <c r="Y253" t="s">
        <v>49</v>
      </c>
      <c r="Z253" t="s">
        <v>81</v>
      </c>
      <c r="AA253" t="s">
        <v>122</v>
      </c>
      <c r="AB253">
        <v>12</v>
      </c>
      <c r="AC253" t="s">
        <v>166</v>
      </c>
      <c r="AD253" t="s">
        <v>134</v>
      </c>
      <c r="AE253" t="s">
        <v>135</v>
      </c>
      <c r="AF253" t="s">
        <v>44</v>
      </c>
      <c r="AG253" t="str">
        <f t="shared" si="3"/>
        <v>Recorrente</v>
      </c>
      <c r="AH253" t="str">
        <f>IF(AND(SUMIF(E:E,E253,I:I)&gt;=400000,Q253="B2G"),"n","")</f>
        <v/>
      </c>
    </row>
    <row r="254" spans="1:34">
      <c r="A254">
        <v>2026</v>
      </c>
      <c r="B254">
        <v>1</v>
      </c>
      <c r="C254" s="83">
        <v>50095540325</v>
      </c>
      <c r="D254" t="s">
        <v>366</v>
      </c>
      <c r="E254">
        <v>51521387105</v>
      </c>
      <c r="F254">
        <v>635795</v>
      </c>
      <c r="G254">
        <v>50274595853</v>
      </c>
      <c r="H254" t="s">
        <v>35</v>
      </c>
      <c r="I254" s="36">
        <v>3490.44</v>
      </c>
      <c r="J254" s="36">
        <v>3490.5</v>
      </c>
      <c r="K254" s="85">
        <v>0</v>
      </c>
      <c r="L254" s="36">
        <v>290.88</v>
      </c>
      <c r="M254" s="36">
        <v>0</v>
      </c>
      <c r="N254" s="36">
        <v>290.88</v>
      </c>
      <c r="O254" s="36">
        <v>0</v>
      </c>
      <c r="P254" t="s">
        <v>367</v>
      </c>
      <c r="Q254" t="s">
        <v>191</v>
      </c>
      <c r="R254" t="s">
        <v>191</v>
      </c>
      <c r="S254" s="1">
        <v>46051</v>
      </c>
      <c r="T254" s="1">
        <v>46051</v>
      </c>
      <c r="V254" s="1">
        <v>46416</v>
      </c>
      <c r="W254" t="s">
        <v>38</v>
      </c>
      <c r="X254">
        <v>12</v>
      </c>
      <c r="Y254" t="s">
        <v>49</v>
      </c>
      <c r="AA254" t="s">
        <v>92</v>
      </c>
      <c r="AB254">
        <v>12</v>
      </c>
      <c r="AC254" t="s">
        <v>192</v>
      </c>
      <c r="AD254" t="s">
        <v>256</v>
      </c>
      <c r="AE254" t="s">
        <v>257</v>
      </c>
      <c r="AF254" t="s">
        <v>59</v>
      </c>
      <c r="AG254" t="str">
        <f t="shared" si="3"/>
        <v>Recorrente</v>
      </c>
      <c r="AH254" t="str">
        <f>IF(AND(SUMIF(E:E,E254,I:I)&gt;=400000,Q254="B2G"),"n","")</f>
        <v/>
      </c>
    </row>
    <row r="255" spans="1:34">
      <c r="A255">
        <v>2026</v>
      </c>
      <c r="B255">
        <v>1</v>
      </c>
      <c r="C255" s="83">
        <v>50095540325</v>
      </c>
      <c r="D255" t="s">
        <v>366</v>
      </c>
      <c r="E255">
        <v>51521387105</v>
      </c>
      <c r="F255">
        <v>635795</v>
      </c>
      <c r="G255">
        <v>50274595854</v>
      </c>
      <c r="H255" t="s">
        <v>35</v>
      </c>
      <c r="I255" s="36">
        <v>3490.44</v>
      </c>
      <c r="J255" s="36">
        <v>3490.5</v>
      </c>
      <c r="K255" s="85">
        <v>0</v>
      </c>
      <c r="L255" s="36">
        <v>290.88</v>
      </c>
      <c r="M255" s="36">
        <v>0</v>
      </c>
      <c r="N255" s="36">
        <v>290.88</v>
      </c>
      <c r="O255" s="36">
        <v>0</v>
      </c>
      <c r="P255" t="s">
        <v>367</v>
      </c>
      <c r="Q255" t="s">
        <v>191</v>
      </c>
      <c r="R255" t="s">
        <v>191</v>
      </c>
      <c r="S255" s="1">
        <v>46051</v>
      </c>
      <c r="T255" s="1">
        <v>46051</v>
      </c>
      <c r="V255" s="1">
        <v>46416</v>
      </c>
      <c r="W255" t="s">
        <v>38</v>
      </c>
      <c r="X255">
        <v>12</v>
      </c>
      <c r="Y255" t="s">
        <v>49</v>
      </c>
      <c r="AA255" t="s">
        <v>92</v>
      </c>
      <c r="AB255">
        <v>12</v>
      </c>
      <c r="AC255" t="s">
        <v>192</v>
      </c>
      <c r="AD255" t="s">
        <v>362</v>
      </c>
      <c r="AE255" t="s">
        <v>363</v>
      </c>
      <c r="AF255" t="s">
        <v>59</v>
      </c>
      <c r="AG255" t="str">
        <f t="shared" si="3"/>
        <v>Recorrente</v>
      </c>
      <c r="AH255" t="str">
        <f>IF(AND(SUMIF(E:E,E255,I:I)&gt;=400000,Q255="B2G"),"n","")</f>
        <v/>
      </c>
    </row>
    <row r="256" spans="1:34">
      <c r="A256">
        <v>2026</v>
      </c>
      <c r="B256">
        <v>1</v>
      </c>
      <c r="C256" s="83">
        <v>50095540325</v>
      </c>
      <c r="D256" t="s">
        <v>366</v>
      </c>
      <c r="E256">
        <v>51521387105</v>
      </c>
      <c r="F256">
        <v>635795</v>
      </c>
      <c r="G256">
        <v>50274595855</v>
      </c>
      <c r="H256" t="s">
        <v>35</v>
      </c>
      <c r="I256" s="36">
        <v>701.16</v>
      </c>
      <c r="J256" s="36">
        <v>701.22</v>
      </c>
      <c r="K256" s="85">
        <v>0</v>
      </c>
      <c r="L256" s="36">
        <v>58.44</v>
      </c>
      <c r="M256" s="36">
        <v>0</v>
      </c>
      <c r="N256" s="36">
        <v>58.44</v>
      </c>
      <c r="O256" s="36">
        <v>0</v>
      </c>
      <c r="P256" t="s">
        <v>367</v>
      </c>
      <c r="Q256" t="s">
        <v>191</v>
      </c>
      <c r="R256" t="s">
        <v>191</v>
      </c>
      <c r="S256" s="1">
        <v>46051</v>
      </c>
      <c r="T256" s="1">
        <v>46051</v>
      </c>
      <c r="V256" s="1">
        <v>46416</v>
      </c>
      <c r="W256" t="s">
        <v>38</v>
      </c>
      <c r="X256">
        <v>12</v>
      </c>
      <c r="Y256" t="s">
        <v>49</v>
      </c>
      <c r="AA256" t="s">
        <v>92</v>
      </c>
      <c r="AB256">
        <v>12</v>
      </c>
      <c r="AC256" t="s">
        <v>192</v>
      </c>
      <c r="AD256" t="s">
        <v>368</v>
      </c>
      <c r="AE256" t="s">
        <v>95</v>
      </c>
      <c r="AF256" t="s">
        <v>59</v>
      </c>
      <c r="AG256" t="str">
        <f t="shared" si="3"/>
        <v>Recorrente</v>
      </c>
      <c r="AH256" t="str">
        <f>IF(AND(SUMIF(E:E,E256,I:I)&gt;=400000,Q256="B2G"),"n","")</f>
        <v/>
      </c>
    </row>
    <row r="257" spans="1:34">
      <c r="A257">
        <v>2026</v>
      </c>
      <c r="B257">
        <v>1</v>
      </c>
      <c r="C257" s="83">
        <v>50095540325</v>
      </c>
      <c r="D257" t="s">
        <v>366</v>
      </c>
      <c r="E257">
        <v>51521387105</v>
      </c>
      <c r="F257">
        <v>635795</v>
      </c>
      <c r="G257">
        <v>50274595856</v>
      </c>
      <c r="H257" t="s">
        <v>35</v>
      </c>
      <c r="I257" s="36">
        <v>8260.2000000000007</v>
      </c>
      <c r="J257" s="36">
        <v>8260.2000000000007</v>
      </c>
      <c r="K257" s="85">
        <v>0</v>
      </c>
      <c r="L257" s="36">
        <v>688.35</v>
      </c>
      <c r="M257" s="36">
        <v>0</v>
      </c>
      <c r="N257" s="36">
        <v>688.35</v>
      </c>
      <c r="O257" s="36">
        <v>0</v>
      </c>
      <c r="P257" t="s">
        <v>367</v>
      </c>
      <c r="Q257" t="s">
        <v>191</v>
      </c>
      <c r="R257" t="s">
        <v>191</v>
      </c>
      <c r="S257" s="1">
        <v>46051</v>
      </c>
      <c r="T257" s="1">
        <v>46051</v>
      </c>
      <c r="V257" s="1">
        <v>46416</v>
      </c>
      <c r="W257" t="s">
        <v>38</v>
      </c>
      <c r="X257">
        <v>12</v>
      </c>
      <c r="Y257" t="s">
        <v>49</v>
      </c>
      <c r="AA257" t="s">
        <v>92</v>
      </c>
      <c r="AB257">
        <v>12</v>
      </c>
      <c r="AC257" t="s">
        <v>192</v>
      </c>
      <c r="AD257" t="s">
        <v>351</v>
      </c>
      <c r="AE257" t="s">
        <v>95</v>
      </c>
      <c r="AF257" t="s">
        <v>96</v>
      </c>
      <c r="AG257" t="str">
        <f t="shared" si="3"/>
        <v>Recorrente</v>
      </c>
      <c r="AH257" t="str">
        <f>IF(AND(SUMIF(E:E,E257,I:I)&gt;=400000,Q257="B2G"),"n","")</f>
        <v/>
      </c>
    </row>
    <row r="258" spans="1:34">
      <c r="A258">
        <v>2026</v>
      </c>
      <c r="B258">
        <v>1</v>
      </c>
      <c r="C258" s="83">
        <v>180257448354</v>
      </c>
      <c r="D258" t="s">
        <v>369</v>
      </c>
      <c r="E258">
        <v>51521816947</v>
      </c>
      <c r="F258">
        <v>624685</v>
      </c>
      <c r="G258">
        <v>47613042005</v>
      </c>
      <c r="H258" t="s">
        <v>35</v>
      </c>
      <c r="I258" s="36">
        <v>3804.6</v>
      </c>
      <c r="J258" s="36">
        <v>3804.6</v>
      </c>
      <c r="K258" s="85">
        <v>0</v>
      </c>
      <c r="L258" s="36">
        <v>317.05</v>
      </c>
      <c r="M258" s="36">
        <v>0</v>
      </c>
      <c r="N258" s="36">
        <v>154.52000000000001</v>
      </c>
      <c r="O258" s="36">
        <v>162.54</v>
      </c>
      <c r="P258" t="s">
        <v>127</v>
      </c>
      <c r="Q258" t="s">
        <v>111</v>
      </c>
      <c r="R258" t="s">
        <v>111</v>
      </c>
      <c r="S258" s="1">
        <v>46014</v>
      </c>
      <c r="T258" s="1">
        <v>46023</v>
      </c>
      <c r="U258" s="1">
        <v>46000</v>
      </c>
      <c r="V258" s="1">
        <v>46379</v>
      </c>
      <c r="W258" t="s">
        <v>38</v>
      </c>
      <c r="X258">
        <v>12</v>
      </c>
      <c r="Y258" t="s">
        <v>49</v>
      </c>
      <c r="Z258" t="s">
        <v>76</v>
      </c>
      <c r="AA258" t="s">
        <v>112</v>
      </c>
      <c r="AB258">
        <v>12</v>
      </c>
      <c r="AC258" t="s">
        <v>113</v>
      </c>
      <c r="AD258" t="s">
        <v>138</v>
      </c>
      <c r="AE258" t="s">
        <v>135</v>
      </c>
      <c r="AF258" t="s">
        <v>119</v>
      </c>
      <c r="AG258" t="str">
        <f t="shared" si="3"/>
        <v>CC 12x</v>
      </c>
      <c r="AH258" t="str">
        <f>IF(AND(SUMIF(E:E,E258,I:I)&gt;=400000,Q258="B2G"),"n","")</f>
        <v/>
      </c>
    </row>
    <row r="259" spans="1:34">
      <c r="A259">
        <v>2026</v>
      </c>
      <c r="B259">
        <v>1</v>
      </c>
      <c r="C259" s="83">
        <v>174666973484</v>
      </c>
      <c r="D259" t="s">
        <v>370</v>
      </c>
      <c r="E259">
        <v>51523057502</v>
      </c>
      <c r="F259">
        <v>625030</v>
      </c>
      <c r="G259">
        <v>47281521699</v>
      </c>
      <c r="H259" t="s">
        <v>35</v>
      </c>
      <c r="I259" s="36">
        <v>4411.2</v>
      </c>
      <c r="J259" s="36">
        <v>4411.2</v>
      </c>
      <c r="K259" s="85">
        <v>0</v>
      </c>
      <c r="L259" s="36">
        <v>367.6</v>
      </c>
      <c r="M259" s="36">
        <v>0</v>
      </c>
      <c r="N259" s="36">
        <v>8.5</v>
      </c>
      <c r="O259" s="36">
        <v>359.1</v>
      </c>
      <c r="P259" t="s">
        <v>162</v>
      </c>
      <c r="Q259" t="s">
        <v>111</v>
      </c>
      <c r="R259" t="s">
        <v>111</v>
      </c>
      <c r="S259" s="1">
        <v>46009</v>
      </c>
      <c r="T259" s="1">
        <v>46023</v>
      </c>
      <c r="U259" s="1">
        <v>46009</v>
      </c>
      <c r="V259" s="1">
        <v>46374</v>
      </c>
      <c r="W259" t="s">
        <v>38</v>
      </c>
      <c r="X259">
        <v>12</v>
      </c>
      <c r="Y259" t="s">
        <v>49</v>
      </c>
      <c r="Z259" t="s">
        <v>81</v>
      </c>
      <c r="AA259" t="s">
        <v>112</v>
      </c>
      <c r="AB259">
        <v>12</v>
      </c>
      <c r="AC259" t="s">
        <v>113</v>
      </c>
      <c r="AD259" t="s">
        <v>138</v>
      </c>
      <c r="AE259" t="s">
        <v>135</v>
      </c>
      <c r="AF259" t="s">
        <v>119</v>
      </c>
      <c r="AG259" t="str">
        <f t="shared" ref="AG259:AG322" si="4">IF(IFERROR(SEARCH("Recorrente",AA259),0)&gt;0,"Recorrente",IF(AB259=1,"À Vista",IF(AB259&lt;=3,"CC 3x",IF(AB259&lt;=12,"CC 12x",IF(AB259&gt;12,"Recorrente","")))))</f>
        <v>CC 12x</v>
      </c>
      <c r="AH259" t="str">
        <f>IF(AND(SUMIF(E:E,E259,I:I)&gt;=400000,Q259="B2G"),"n","")</f>
        <v/>
      </c>
    </row>
    <row r="260" spans="1:34">
      <c r="A260">
        <v>2026</v>
      </c>
      <c r="B260">
        <v>1</v>
      </c>
      <c r="C260" s="83">
        <v>2105109</v>
      </c>
      <c r="D260" t="s">
        <v>371</v>
      </c>
      <c r="E260">
        <v>51524257296</v>
      </c>
      <c r="F260">
        <v>624712</v>
      </c>
      <c r="G260">
        <v>48453884817</v>
      </c>
      <c r="H260" t="s">
        <v>35</v>
      </c>
      <c r="I260" s="36">
        <v>4027.2</v>
      </c>
      <c r="J260" s="36">
        <v>4027.2</v>
      </c>
      <c r="K260" s="85">
        <v>0</v>
      </c>
      <c r="L260" s="36">
        <v>335.6</v>
      </c>
      <c r="M260" s="36">
        <v>0</v>
      </c>
      <c r="N260" s="36">
        <v>34.1</v>
      </c>
      <c r="O260" s="36">
        <v>301.5</v>
      </c>
      <c r="P260" t="s">
        <v>133</v>
      </c>
      <c r="Q260" t="s">
        <v>111</v>
      </c>
      <c r="R260" t="s">
        <v>111</v>
      </c>
      <c r="S260" s="1">
        <v>46036</v>
      </c>
      <c r="T260" s="1">
        <v>46031</v>
      </c>
      <c r="U260" s="1">
        <v>46000</v>
      </c>
      <c r="V260" s="1">
        <v>46396</v>
      </c>
      <c r="W260" t="s">
        <v>38</v>
      </c>
      <c r="X260">
        <v>13</v>
      </c>
      <c r="Y260" t="s">
        <v>49</v>
      </c>
      <c r="Z260" t="s">
        <v>81</v>
      </c>
      <c r="AA260" t="s">
        <v>122</v>
      </c>
      <c r="AB260">
        <v>12</v>
      </c>
      <c r="AC260" t="s">
        <v>113</v>
      </c>
      <c r="AD260" t="s">
        <v>84</v>
      </c>
      <c r="AE260" t="s">
        <v>43</v>
      </c>
      <c r="AF260" t="s">
        <v>44</v>
      </c>
      <c r="AG260" t="str">
        <f t="shared" si="4"/>
        <v>Recorrente</v>
      </c>
      <c r="AH260" t="str">
        <f>IF(AND(SUMIF(E:E,E260,I:I)&gt;=400000,Q260="B2G"),"n","")</f>
        <v/>
      </c>
    </row>
    <row r="261" spans="1:34">
      <c r="A261">
        <v>2026</v>
      </c>
      <c r="B261">
        <v>1</v>
      </c>
      <c r="C261" s="83">
        <v>2072423</v>
      </c>
      <c r="D261" t="s">
        <v>372</v>
      </c>
      <c r="E261">
        <v>51525582123</v>
      </c>
      <c r="F261">
        <v>524559</v>
      </c>
      <c r="G261">
        <v>50351118412</v>
      </c>
      <c r="H261" t="s">
        <v>35</v>
      </c>
      <c r="I261" s="36">
        <v>2701.56</v>
      </c>
      <c r="J261" s="36">
        <v>2701.56</v>
      </c>
      <c r="K261" s="85">
        <v>0</v>
      </c>
      <c r="L261" s="36">
        <v>225.13</v>
      </c>
      <c r="M261" s="36">
        <v>225.13</v>
      </c>
      <c r="N261" s="36">
        <v>0</v>
      </c>
      <c r="O261" s="36">
        <v>0</v>
      </c>
      <c r="P261" t="s">
        <v>121</v>
      </c>
      <c r="Q261" t="s">
        <v>111</v>
      </c>
      <c r="R261" t="s">
        <v>111</v>
      </c>
      <c r="S261" s="1">
        <v>46052</v>
      </c>
      <c r="T261" s="1">
        <v>46052</v>
      </c>
      <c r="U261" s="1">
        <v>46032</v>
      </c>
      <c r="V261" s="1">
        <v>46417</v>
      </c>
      <c r="W261" t="s">
        <v>38</v>
      </c>
      <c r="X261">
        <v>12</v>
      </c>
      <c r="Y261" t="s">
        <v>49</v>
      </c>
      <c r="Z261" t="s">
        <v>81</v>
      </c>
      <c r="AA261" t="s">
        <v>122</v>
      </c>
      <c r="AB261">
        <v>12</v>
      </c>
      <c r="AC261" t="s">
        <v>113</v>
      </c>
      <c r="AD261" t="s">
        <v>140</v>
      </c>
      <c r="AE261" t="s">
        <v>46</v>
      </c>
      <c r="AF261" t="s">
        <v>119</v>
      </c>
      <c r="AG261" t="str">
        <f t="shared" si="4"/>
        <v>Recorrente</v>
      </c>
      <c r="AH261" t="str">
        <f>IF(AND(SUMIF(E:E,E261,I:I)&gt;=400000,Q261="B2G"),"n","")</f>
        <v/>
      </c>
    </row>
    <row r="262" spans="1:34">
      <c r="A262">
        <v>2026</v>
      </c>
      <c r="B262">
        <v>1</v>
      </c>
      <c r="C262" s="83">
        <v>142090551317</v>
      </c>
      <c r="D262" t="s">
        <v>373</v>
      </c>
      <c r="E262">
        <v>51529716018</v>
      </c>
      <c r="F262">
        <v>504348</v>
      </c>
      <c r="G262">
        <v>47029895751</v>
      </c>
      <c r="H262" t="s">
        <v>35</v>
      </c>
      <c r="I262" s="36">
        <v>4646.3999999999996</v>
      </c>
      <c r="J262" s="36">
        <v>4646.3999999999996</v>
      </c>
      <c r="K262" s="85">
        <v>0</v>
      </c>
      <c r="L262" s="36">
        <v>387.2</v>
      </c>
      <c r="M262" s="36">
        <v>0</v>
      </c>
      <c r="N262" s="36">
        <v>70.53</v>
      </c>
      <c r="O262" s="36">
        <v>316.67</v>
      </c>
      <c r="P262" t="s">
        <v>110</v>
      </c>
      <c r="Q262" t="s">
        <v>111</v>
      </c>
      <c r="R262" t="s">
        <v>111</v>
      </c>
      <c r="S262" s="1">
        <v>46006</v>
      </c>
      <c r="T262" s="1">
        <v>46023</v>
      </c>
      <c r="U262" s="1">
        <v>46004</v>
      </c>
      <c r="V262" s="1">
        <v>46371</v>
      </c>
      <c r="W262" t="s">
        <v>38</v>
      </c>
      <c r="X262">
        <v>12</v>
      </c>
      <c r="Y262" t="s">
        <v>49</v>
      </c>
      <c r="Z262" t="s">
        <v>81</v>
      </c>
      <c r="AA262" t="s">
        <v>112</v>
      </c>
      <c r="AB262">
        <v>12</v>
      </c>
      <c r="AC262" t="s">
        <v>113</v>
      </c>
      <c r="AD262" t="s">
        <v>85</v>
      </c>
      <c r="AE262" t="s">
        <v>46</v>
      </c>
      <c r="AF262" t="s">
        <v>44</v>
      </c>
      <c r="AG262" t="str">
        <f t="shared" si="4"/>
        <v>CC 12x</v>
      </c>
      <c r="AH262" t="str">
        <f>IF(AND(SUMIF(E:E,E262,I:I)&gt;=400000,Q262="B2G"),"n","")</f>
        <v/>
      </c>
    </row>
    <row r="263" spans="1:34">
      <c r="A263">
        <v>2026</v>
      </c>
      <c r="B263">
        <v>1</v>
      </c>
      <c r="C263" s="83">
        <v>92340648092</v>
      </c>
      <c r="D263" t="s">
        <v>374</v>
      </c>
      <c r="E263">
        <v>51531054896</v>
      </c>
      <c r="F263">
        <v>625876</v>
      </c>
      <c r="G263">
        <v>46775963477</v>
      </c>
      <c r="H263" t="s">
        <v>35</v>
      </c>
      <c r="I263" s="36">
        <v>4962.6000000000004</v>
      </c>
      <c r="J263" s="36">
        <v>4962.6000000000004</v>
      </c>
      <c r="K263" s="85">
        <v>0</v>
      </c>
      <c r="L263" s="36">
        <v>413.55</v>
      </c>
      <c r="M263" s="36">
        <v>0</v>
      </c>
      <c r="N263" s="36">
        <v>76.400000000000006</v>
      </c>
      <c r="O263" s="36">
        <v>337.15</v>
      </c>
      <c r="P263" t="s">
        <v>165</v>
      </c>
      <c r="Q263" t="s">
        <v>166</v>
      </c>
      <c r="R263" t="s">
        <v>166</v>
      </c>
      <c r="S263" s="1">
        <v>46046</v>
      </c>
      <c r="T263" s="1">
        <v>46046</v>
      </c>
      <c r="U263" s="1">
        <v>46046</v>
      </c>
      <c r="V263" s="1">
        <v>46411</v>
      </c>
      <c r="W263" t="s">
        <v>38</v>
      </c>
      <c r="X263">
        <v>12</v>
      </c>
      <c r="Y263" t="s">
        <v>49</v>
      </c>
      <c r="Z263" t="s">
        <v>81</v>
      </c>
      <c r="AA263" t="s">
        <v>112</v>
      </c>
      <c r="AB263">
        <v>12</v>
      </c>
      <c r="AC263" t="s">
        <v>166</v>
      </c>
      <c r="AD263" t="s">
        <v>138</v>
      </c>
      <c r="AE263" t="s">
        <v>135</v>
      </c>
      <c r="AF263" t="s">
        <v>119</v>
      </c>
      <c r="AG263" t="str">
        <f t="shared" si="4"/>
        <v>CC 12x</v>
      </c>
      <c r="AH263" t="str">
        <f>IF(AND(SUMIF(E:E,E263,I:I)&gt;=400000,Q263="B2G"),"n","")</f>
        <v/>
      </c>
    </row>
    <row r="264" spans="1:34">
      <c r="A264">
        <v>2026</v>
      </c>
      <c r="B264">
        <v>1</v>
      </c>
      <c r="C264" s="83">
        <v>19435356028</v>
      </c>
      <c r="D264" t="s">
        <v>375</v>
      </c>
      <c r="E264">
        <v>51533528591</v>
      </c>
      <c r="F264">
        <v>524852</v>
      </c>
      <c r="G264">
        <v>46766079348</v>
      </c>
      <c r="H264" t="s">
        <v>35</v>
      </c>
      <c r="I264" s="36">
        <v>5718.6</v>
      </c>
      <c r="J264" s="36">
        <v>5718.6</v>
      </c>
      <c r="K264" s="85">
        <v>0</v>
      </c>
      <c r="L264" s="36">
        <v>476.55</v>
      </c>
      <c r="M264" s="36">
        <v>0</v>
      </c>
      <c r="N264" s="36">
        <v>99.45</v>
      </c>
      <c r="O264" s="36">
        <v>377.1</v>
      </c>
      <c r="P264" t="s">
        <v>165</v>
      </c>
      <c r="Q264" t="s">
        <v>166</v>
      </c>
      <c r="R264" t="s">
        <v>166</v>
      </c>
      <c r="S264" s="1">
        <v>46046</v>
      </c>
      <c r="T264" s="1">
        <v>46046</v>
      </c>
      <c r="U264" s="1">
        <v>46046</v>
      </c>
      <c r="V264" s="1">
        <v>46411</v>
      </c>
      <c r="W264" t="s">
        <v>38</v>
      </c>
      <c r="X264">
        <v>12</v>
      </c>
      <c r="Y264" t="s">
        <v>49</v>
      </c>
      <c r="Z264" t="s">
        <v>81</v>
      </c>
      <c r="AA264" t="s">
        <v>112</v>
      </c>
      <c r="AB264">
        <v>12</v>
      </c>
      <c r="AC264" t="s">
        <v>166</v>
      </c>
      <c r="AD264" t="s">
        <v>158</v>
      </c>
      <c r="AE264" t="s">
        <v>43</v>
      </c>
      <c r="AF264" t="s">
        <v>47</v>
      </c>
      <c r="AG264" t="str">
        <f t="shared" si="4"/>
        <v>CC 12x</v>
      </c>
      <c r="AH264" t="str">
        <f>IF(AND(SUMIF(E:E,E264,I:I)&gt;=400000,Q264="B2G"),"n","")</f>
        <v/>
      </c>
    </row>
    <row r="265" spans="1:34">
      <c r="A265">
        <v>2026</v>
      </c>
      <c r="B265">
        <v>1</v>
      </c>
      <c r="C265" s="83">
        <v>93748594988</v>
      </c>
      <c r="D265" t="s">
        <v>376</v>
      </c>
      <c r="E265">
        <v>51534149448</v>
      </c>
      <c r="F265">
        <v>625870</v>
      </c>
      <c r="G265">
        <v>46759539259</v>
      </c>
      <c r="H265" t="s">
        <v>35</v>
      </c>
      <c r="I265" s="36">
        <v>2874</v>
      </c>
      <c r="J265" s="36">
        <v>2874</v>
      </c>
      <c r="K265" s="85">
        <v>0</v>
      </c>
      <c r="L265" s="36">
        <v>239.5</v>
      </c>
      <c r="M265" s="36">
        <v>0</v>
      </c>
      <c r="N265" s="36">
        <v>20.41</v>
      </c>
      <c r="O265" s="36">
        <v>219.09</v>
      </c>
      <c r="P265" t="s">
        <v>165</v>
      </c>
      <c r="Q265" t="s">
        <v>166</v>
      </c>
      <c r="R265" t="s">
        <v>166</v>
      </c>
      <c r="S265" s="1">
        <v>46046</v>
      </c>
      <c r="T265" s="1">
        <v>46046</v>
      </c>
      <c r="U265" s="1">
        <v>46046</v>
      </c>
      <c r="V265" s="1">
        <v>46411</v>
      </c>
      <c r="W265" t="s">
        <v>38</v>
      </c>
      <c r="X265">
        <v>12</v>
      </c>
      <c r="Y265" t="s">
        <v>49</v>
      </c>
      <c r="Z265" t="s">
        <v>81</v>
      </c>
      <c r="AA265" t="s">
        <v>112</v>
      </c>
      <c r="AB265">
        <v>12</v>
      </c>
      <c r="AC265" t="s">
        <v>166</v>
      </c>
      <c r="AD265" t="s">
        <v>140</v>
      </c>
      <c r="AE265" t="s">
        <v>46</v>
      </c>
      <c r="AF265" t="s">
        <v>119</v>
      </c>
      <c r="AG265" t="str">
        <f t="shared" si="4"/>
        <v>CC 12x</v>
      </c>
      <c r="AH265" t="str">
        <f>IF(AND(SUMIF(E:E,E265,I:I)&gt;=400000,Q265="B2G"),"n","")</f>
        <v/>
      </c>
    </row>
    <row r="266" spans="1:34">
      <c r="A266">
        <v>2026</v>
      </c>
      <c r="B266">
        <v>1</v>
      </c>
      <c r="C266" s="83">
        <v>2104273</v>
      </c>
      <c r="D266" t="s">
        <v>377</v>
      </c>
      <c r="E266">
        <v>51535704613</v>
      </c>
      <c r="F266">
        <v>635848</v>
      </c>
      <c r="G266">
        <v>50351168950</v>
      </c>
      <c r="H266" t="s">
        <v>35</v>
      </c>
      <c r="I266" s="36">
        <v>2586.6</v>
      </c>
      <c r="J266" s="36">
        <v>2586.6</v>
      </c>
      <c r="K266" s="85">
        <v>0</v>
      </c>
      <c r="L266" s="36">
        <v>215.55</v>
      </c>
      <c r="M266" s="36">
        <v>215.55</v>
      </c>
      <c r="N266" s="36">
        <v>0</v>
      </c>
      <c r="O266" s="36">
        <v>0</v>
      </c>
      <c r="P266" t="s">
        <v>313</v>
      </c>
      <c r="Q266" t="s">
        <v>314</v>
      </c>
      <c r="R266" t="s">
        <v>314</v>
      </c>
      <c r="S266" s="1">
        <v>46052</v>
      </c>
      <c r="T266" s="1">
        <v>46052</v>
      </c>
      <c r="V266" s="1">
        <v>46417</v>
      </c>
      <c r="W266" t="s">
        <v>38</v>
      </c>
      <c r="X266">
        <v>12</v>
      </c>
      <c r="Y266" t="s">
        <v>49</v>
      </c>
      <c r="AA266" t="s">
        <v>112</v>
      </c>
      <c r="AB266">
        <v>12</v>
      </c>
      <c r="AC266" t="s">
        <v>315</v>
      </c>
      <c r="AD266" t="s">
        <v>118</v>
      </c>
      <c r="AE266" t="s">
        <v>43</v>
      </c>
      <c r="AF266" t="s">
        <v>119</v>
      </c>
      <c r="AG266" t="str">
        <f t="shared" si="4"/>
        <v>CC 12x</v>
      </c>
      <c r="AH266" t="str">
        <f>IF(AND(SUMIF(E:E,E266,I:I)&gt;=400000,Q266="B2G"),"n","")</f>
        <v/>
      </c>
    </row>
    <row r="267" spans="1:34">
      <c r="A267">
        <v>2026</v>
      </c>
      <c r="B267">
        <v>1</v>
      </c>
      <c r="C267" s="83">
        <v>191785333069</v>
      </c>
      <c r="D267" t="s">
        <v>378</v>
      </c>
      <c r="E267">
        <v>51536203089</v>
      </c>
      <c r="F267">
        <v>625357</v>
      </c>
      <c r="G267">
        <v>48855230735</v>
      </c>
      <c r="H267" t="s">
        <v>35</v>
      </c>
      <c r="I267" s="36">
        <v>3593.28</v>
      </c>
      <c r="J267" s="36">
        <v>3593.28</v>
      </c>
      <c r="K267" s="85">
        <v>0</v>
      </c>
      <c r="L267" s="36">
        <v>299.44</v>
      </c>
      <c r="M267" s="36">
        <v>0</v>
      </c>
      <c r="N267" s="36">
        <v>1.44</v>
      </c>
      <c r="O267" s="36">
        <v>298</v>
      </c>
      <c r="P267" t="s">
        <v>116</v>
      </c>
      <c r="Q267" t="s">
        <v>111</v>
      </c>
      <c r="R267" t="s">
        <v>111</v>
      </c>
      <c r="S267" s="1">
        <v>46034</v>
      </c>
      <c r="T267" s="1">
        <v>46034</v>
      </c>
      <c r="U267" s="1">
        <v>46031</v>
      </c>
      <c r="V267" s="1">
        <v>46399</v>
      </c>
      <c r="W267" t="s">
        <v>38</v>
      </c>
      <c r="X267">
        <v>12</v>
      </c>
      <c r="Y267" t="s">
        <v>49</v>
      </c>
      <c r="Z267" t="s">
        <v>81</v>
      </c>
      <c r="AA267" t="s">
        <v>112</v>
      </c>
      <c r="AB267">
        <v>12</v>
      </c>
      <c r="AC267" t="s">
        <v>113</v>
      </c>
      <c r="AD267" t="s">
        <v>142</v>
      </c>
      <c r="AE267" t="s">
        <v>95</v>
      </c>
      <c r="AF267" t="s">
        <v>44</v>
      </c>
      <c r="AG267" t="str">
        <f t="shared" si="4"/>
        <v>CC 12x</v>
      </c>
      <c r="AH267" t="str">
        <f>IF(AND(SUMIF(E:E,E267,I:I)&gt;=400000,Q267="B2G"),"n","")</f>
        <v/>
      </c>
    </row>
    <row r="268" spans="1:34">
      <c r="A268">
        <v>2026</v>
      </c>
      <c r="B268">
        <v>1</v>
      </c>
      <c r="C268" s="83">
        <v>19435685987</v>
      </c>
      <c r="D268" t="s">
        <v>379</v>
      </c>
      <c r="E268">
        <v>51537287341</v>
      </c>
      <c r="F268">
        <v>607956</v>
      </c>
      <c r="G268">
        <v>46761742511</v>
      </c>
      <c r="H268" t="s">
        <v>35</v>
      </c>
      <c r="I268" s="36">
        <v>2586.6</v>
      </c>
      <c r="J268" s="36">
        <v>2586.6</v>
      </c>
      <c r="K268" s="85">
        <v>0</v>
      </c>
      <c r="L268" s="36">
        <v>215.55</v>
      </c>
      <c r="M268" s="36">
        <v>0</v>
      </c>
      <c r="N268" s="36">
        <v>57.3</v>
      </c>
      <c r="O268" s="36">
        <v>158.25</v>
      </c>
      <c r="P268" t="s">
        <v>165</v>
      </c>
      <c r="Q268" t="s">
        <v>166</v>
      </c>
      <c r="R268" t="s">
        <v>166</v>
      </c>
      <c r="S268" s="1">
        <v>46007</v>
      </c>
      <c r="T268" s="1">
        <v>46023</v>
      </c>
      <c r="U268" s="1">
        <v>46046</v>
      </c>
      <c r="V268" s="1">
        <v>46411</v>
      </c>
      <c r="W268" t="s">
        <v>38</v>
      </c>
      <c r="X268">
        <v>12</v>
      </c>
      <c r="Y268" t="s">
        <v>49</v>
      </c>
      <c r="Z268" t="s">
        <v>81</v>
      </c>
      <c r="AA268" t="s">
        <v>117</v>
      </c>
      <c r="AB268">
        <v>1</v>
      </c>
      <c r="AC268" t="s">
        <v>166</v>
      </c>
      <c r="AD268" t="s">
        <v>140</v>
      </c>
      <c r="AE268" t="s">
        <v>46</v>
      </c>
      <c r="AF268" t="s">
        <v>119</v>
      </c>
      <c r="AG268" t="str">
        <f t="shared" si="4"/>
        <v>À Vista</v>
      </c>
      <c r="AH268" t="str">
        <f>IF(AND(SUMIF(E:E,E268,I:I)&gt;=400000,Q268="B2G"),"n","")</f>
        <v/>
      </c>
    </row>
    <row r="269" spans="1:34">
      <c r="A269">
        <v>2026</v>
      </c>
      <c r="B269">
        <v>1</v>
      </c>
      <c r="C269" s="83">
        <v>123702138128</v>
      </c>
      <c r="D269" t="s">
        <v>380</v>
      </c>
      <c r="E269">
        <v>51538610065</v>
      </c>
      <c r="F269">
        <v>607181</v>
      </c>
      <c r="G269">
        <v>48885893379</v>
      </c>
      <c r="H269" t="s">
        <v>35</v>
      </c>
      <c r="I269" s="36">
        <v>4461</v>
      </c>
      <c r="J269" s="36">
        <v>4461</v>
      </c>
      <c r="K269" s="85">
        <v>0</v>
      </c>
      <c r="L269" s="36">
        <v>371.75</v>
      </c>
      <c r="M269" s="36">
        <v>0</v>
      </c>
      <c r="N269" s="36">
        <v>76.41</v>
      </c>
      <c r="O269" s="36">
        <v>295.33999999999997</v>
      </c>
      <c r="P269" t="s">
        <v>137</v>
      </c>
      <c r="Q269" t="s">
        <v>111</v>
      </c>
      <c r="R269" t="s">
        <v>111</v>
      </c>
      <c r="S269" s="1">
        <v>46035</v>
      </c>
      <c r="T269" s="1">
        <v>46035</v>
      </c>
      <c r="U269" s="1">
        <v>46032</v>
      </c>
      <c r="V269" s="1">
        <v>46397</v>
      </c>
      <c r="W269" t="s">
        <v>38</v>
      </c>
      <c r="X269">
        <v>12</v>
      </c>
      <c r="Y269" t="s">
        <v>49</v>
      </c>
      <c r="Z269" t="s">
        <v>81</v>
      </c>
      <c r="AA269" t="s">
        <v>122</v>
      </c>
      <c r="AB269">
        <v>12</v>
      </c>
      <c r="AC269" t="s">
        <v>113</v>
      </c>
      <c r="AD269" t="s">
        <v>138</v>
      </c>
      <c r="AE269" t="s">
        <v>135</v>
      </c>
      <c r="AF269" t="s">
        <v>119</v>
      </c>
      <c r="AG269" t="str">
        <f t="shared" si="4"/>
        <v>Recorrente</v>
      </c>
      <c r="AH269" t="str">
        <f>IF(AND(SUMIF(E:E,E269,I:I)&gt;=400000,Q269="B2G"),"n","")</f>
        <v/>
      </c>
    </row>
    <row r="270" spans="1:34">
      <c r="A270">
        <v>2026</v>
      </c>
      <c r="B270">
        <v>1</v>
      </c>
      <c r="C270" s="83">
        <v>151384509809</v>
      </c>
      <c r="D270" t="s">
        <v>381</v>
      </c>
      <c r="E270">
        <v>51539017835</v>
      </c>
      <c r="F270">
        <v>606345</v>
      </c>
      <c r="G270">
        <v>46871432819</v>
      </c>
      <c r="H270" t="s">
        <v>35</v>
      </c>
      <c r="I270" s="36">
        <v>2517</v>
      </c>
      <c r="J270" s="36">
        <v>2517</v>
      </c>
      <c r="K270" s="85">
        <v>0</v>
      </c>
      <c r="L270" s="36">
        <v>209.75</v>
      </c>
      <c r="M270" s="36">
        <v>0</v>
      </c>
      <c r="N270" s="36">
        <v>40.25</v>
      </c>
      <c r="O270" s="36">
        <v>169.5</v>
      </c>
      <c r="P270" t="s">
        <v>137</v>
      </c>
      <c r="Q270" t="s">
        <v>111</v>
      </c>
      <c r="R270" t="s">
        <v>111</v>
      </c>
      <c r="S270" s="1">
        <v>46001</v>
      </c>
      <c r="T270" s="1">
        <v>46023</v>
      </c>
      <c r="U270" s="1">
        <v>46012</v>
      </c>
      <c r="V270" s="1">
        <v>46377</v>
      </c>
      <c r="W270" t="s">
        <v>38</v>
      </c>
      <c r="X270">
        <v>12</v>
      </c>
      <c r="Y270" t="s">
        <v>49</v>
      </c>
      <c r="Z270" t="s">
        <v>81</v>
      </c>
      <c r="AA270" t="s">
        <v>122</v>
      </c>
      <c r="AB270">
        <v>12</v>
      </c>
      <c r="AC270" t="s">
        <v>113</v>
      </c>
      <c r="AD270" t="s">
        <v>84</v>
      </c>
      <c r="AE270" t="s">
        <v>43</v>
      </c>
      <c r="AF270" t="s">
        <v>44</v>
      </c>
      <c r="AG270" t="str">
        <f t="shared" si="4"/>
        <v>Recorrente</v>
      </c>
      <c r="AH270" t="str">
        <f>IF(AND(SUMIF(E:E,E270,I:I)&gt;=400000,Q270="B2G"),"n","")</f>
        <v/>
      </c>
    </row>
    <row r="271" spans="1:34">
      <c r="A271">
        <v>2026</v>
      </c>
      <c r="B271">
        <v>1</v>
      </c>
      <c r="C271" s="83">
        <v>2129143</v>
      </c>
      <c r="D271" t="s">
        <v>382</v>
      </c>
      <c r="E271">
        <v>51539146402</v>
      </c>
      <c r="F271">
        <v>303851</v>
      </c>
      <c r="G271">
        <v>46759074871</v>
      </c>
      <c r="H271" t="s">
        <v>35</v>
      </c>
      <c r="I271" s="36">
        <v>5178.6000000000004</v>
      </c>
      <c r="J271" s="36">
        <v>5178.6000000000004</v>
      </c>
      <c r="K271" s="85">
        <v>0</v>
      </c>
      <c r="L271" s="36">
        <v>431.55</v>
      </c>
      <c r="M271" s="36">
        <v>0</v>
      </c>
      <c r="N271" s="36">
        <v>61.44</v>
      </c>
      <c r="O271" s="36">
        <v>370.11</v>
      </c>
      <c r="P271" t="s">
        <v>165</v>
      </c>
      <c r="Q271" t="s">
        <v>166</v>
      </c>
      <c r="R271" t="s">
        <v>166</v>
      </c>
      <c r="S271" s="1">
        <v>46046</v>
      </c>
      <c r="T271" s="1">
        <v>46046</v>
      </c>
      <c r="U271" s="1">
        <v>46046</v>
      </c>
      <c r="V271" s="1">
        <v>46411</v>
      </c>
      <c r="W271" t="s">
        <v>38</v>
      </c>
      <c r="X271">
        <v>12</v>
      </c>
      <c r="Y271" t="s">
        <v>49</v>
      </c>
      <c r="Z271" t="s">
        <v>81</v>
      </c>
      <c r="AA271" t="s">
        <v>112</v>
      </c>
      <c r="AB271">
        <v>12</v>
      </c>
      <c r="AC271" t="s">
        <v>166</v>
      </c>
      <c r="AD271" t="s">
        <v>85</v>
      </c>
      <c r="AE271" t="s">
        <v>46</v>
      </c>
      <c r="AF271" t="s">
        <v>44</v>
      </c>
      <c r="AG271" t="str">
        <f t="shared" si="4"/>
        <v>CC 12x</v>
      </c>
      <c r="AH271" t="str">
        <f>IF(AND(SUMIF(E:E,E271,I:I)&gt;=400000,Q271="B2G"),"n","")</f>
        <v/>
      </c>
    </row>
    <row r="272" spans="1:34">
      <c r="A272">
        <v>2026</v>
      </c>
      <c r="B272">
        <v>1</v>
      </c>
      <c r="C272" s="83">
        <v>107643402302</v>
      </c>
      <c r="D272" t="s">
        <v>383</v>
      </c>
      <c r="E272">
        <v>51541311583</v>
      </c>
      <c r="F272">
        <v>625871</v>
      </c>
      <c r="G272">
        <v>46771547411</v>
      </c>
      <c r="H272" t="s">
        <v>35</v>
      </c>
      <c r="I272" s="36">
        <v>5178.6000000000004</v>
      </c>
      <c r="J272" s="36">
        <v>5178.6000000000004</v>
      </c>
      <c r="K272" s="85">
        <v>0</v>
      </c>
      <c r="L272" s="36">
        <v>431.55</v>
      </c>
      <c r="M272" s="36">
        <v>0</v>
      </c>
      <c r="N272" s="36">
        <v>49.9</v>
      </c>
      <c r="O272" s="36">
        <v>381.65</v>
      </c>
      <c r="P272" t="s">
        <v>165</v>
      </c>
      <c r="Q272" t="s">
        <v>166</v>
      </c>
      <c r="R272" t="s">
        <v>166</v>
      </c>
      <c r="S272" s="1">
        <v>46046</v>
      </c>
      <c r="T272" s="1">
        <v>46046</v>
      </c>
      <c r="U272" s="1">
        <v>46046</v>
      </c>
      <c r="V272" s="1">
        <v>46411</v>
      </c>
      <c r="W272" t="s">
        <v>38</v>
      </c>
      <c r="X272">
        <v>12</v>
      </c>
      <c r="Y272" t="s">
        <v>49</v>
      </c>
      <c r="Z272" t="s">
        <v>81</v>
      </c>
      <c r="AA272" t="s">
        <v>122</v>
      </c>
      <c r="AB272">
        <v>12</v>
      </c>
      <c r="AC272" t="s">
        <v>166</v>
      </c>
      <c r="AD272" t="s">
        <v>85</v>
      </c>
      <c r="AE272" t="s">
        <v>46</v>
      </c>
      <c r="AF272" t="s">
        <v>44</v>
      </c>
      <c r="AG272" t="str">
        <f t="shared" si="4"/>
        <v>Recorrente</v>
      </c>
      <c r="AH272" t="str">
        <f>IF(AND(SUMIF(E:E,E272,I:I)&gt;=400000,Q272="B2G"),"n","")</f>
        <v/>
      </c>
    </row>
    <row r="273" spans="1:34">
      <c r="A273">
        <v>2026</v>
      </c>
      <c r="B273">
        <v>1</v>
      </c>
      <c r="C273" s="83">
        <v>112948220729</v>
      </c>
      <c r="D273" t="s">
        <v>384</v>
      </c>
      <c r="E273">
        <v>51560806980</v>
      </c>
      <c r="F273">
        <v>328282</v>
      </c>
      <c r="G273">
        <v>46805566134</v>
      </c>
      <c r="H273" t="s">
        <v>35</v>
      </c>
      <c r="I273" s="36">
        <v>5754</v>
      </c>
      <c r="J273" s="36">
        <v>5754</v>
      </c>
      <c r="K273" s="85">
        <v>0</v>
      </c>
      <c r="L273" s="36">
        <v>479.5</v>
      </c>
      <c r="M273" s="36">
        <v>0</v>
      </c>
      <c r="N273" s="36">
        <v>26.5</v>
      </c>
      <c r="O273" s="36">
        <v>453</v>
      </c>
      <c r="P273" t="s">
        <v>165</v>
      </c>
      <c r="Q273" t="s">
        <v>166</v>
      </c>
      <c r="R273" t="s">
        <v>166</v>
      </c>
      <c r="S273" s="1">
        <v>46046</v>
      </c>
      <c r="T273" s="1">
        <v>46046</v>
      </c>
      <c r="U273" s="1">
        <v>46046</v>
      </c>
      <c r="V273" s="1">
        <v>46411</v>
      </c>
      <c r="W273" t="s">
        <v>38</v>
      </c>
      <c r="X273">
        <v>12</v>
      </c>
      <c r="Y273" t="s">
        <v>49</v>
      </c>
      <c r="Z273" t="s">
        <v>81</v>
      </c>
      <c r="AA273" t="s">
        <v>122</v>
      </c>
      <c r="AB273">
        <v>12</v>
      </c>
      <c r="AC273" t="s">
        <v>166</v>
      </c>
      <c r="AD273" t="s">
        <v>85</v>
      </c>
      <c r="AE273" t="s">
        <v>46</v>
      </c>
      <c r="AF273" t="s">
        <v>44</v>
      </c>
      <c r="AG273" t="str">
        <f t="shared" si="4"/>
        <v>Recorrente</v>
      </c>
      <c r="AH273" t="str">
        <f>IF(AND(SUMIF(E:E,E273,I:I)&gt;=400000,Q273="B2G"),"n","")</f>
        <v/>
      </c>
    </row>
    <row r="274" spans="1:34">
      <c r="A274">
        <v>2026</v>
      </c>
      <c r="B274">
        <v>1</v>
      </c>
      <c r="C274" s="83">
        <v>28869021602</v>
      </c>
      <c r="D274" t="s">
        <v>385</v>
      </c>
      <c r="E274">
        <v>51612789762</v>
      </c>
      <c r="F274">
        <v>625873</v>
      </c>
      <c r="G274">
        <v>46781523773</v>
      </c>
      <c r="H274" t="s">
        <v>35</v>
      </c>
      <c r="I274" s="36">
        <v>2874</v>
      </c>
      <c r="J274" s="36">
        <v>2874</v>
      </c>
      <c r="K274" s="85">
        <v>0</v>
      </c>
      <c r="L274" s="36">
        <v>239.5</v>
      </c>
      <c r="M274" s="36">
        <v>0</v>
      </c>
      <c r="N274" s="36">
        <v>20.41</v>
      </c>
      <c r="O274" s="36">
        <v>219.09</v>
      </c>
      <c r="P274" t="s">
        <v>165</v>
      </c>
      <c r="Q274" t="s">
        <v>166</v>
      </c>
      <c r="R274" t="s">
        <v>166</v>
      </c>
      <c r="S274" s="1">
        <v>46046</v>
      </c>
      <c r="T274" s="1">
        <v>46046</v>
      </c>
      <c r="U274" s="1">
        <v>46046</v>
      </c>
      <c r="V274" s="1">
        <v>46411</v>
      </c>
      <c r="W274" t="s">
        <v>38</v>
      </c>
      <c r="X274">
        <v>12</v>
      </c>
      <c r="Y274" t="s">
        <v>49</v>
      </c>
      <c r="Z274" t="s">
        <v>81</v>
      </c>
      <c r="AA274" t="s">
        <v>122</v>
      </c>
      <c r="AB274">
        <v>12</v>
      </c>
      <c r="AC274" t="s">
        <v>166</v>
      </c>
      <c r="AD274" t="s">
        <v>140</v>
      </c>
      <c r="AE274" t="s">
        <v>46</v>
      </c>
      <c r="AF274" t="s">
        <v>119</v>
      </c>
      <c r="AG274" t="str">
        <f t="shared" si="4"/>
        <v>Recorrente</v>
      </c>
      <c r="AH274" t="str">
        <f>IF(AND(SUMIF(E:E,E274,I:I)&gt;=400000,Q274="B2G"),"n","")</f>
        <v/>
      </c>
    </row>
    <row r="275" spans="1:34">
      <c r="A275">
        <v>2026</v>
      </c>
      <c r="B275">
        <v>1</v>
      </c>
      <c r="C275" s="83">
        <v>183444254377</v>
      </c>
      <c r="D275" t="s">
        <v>386</v>
      </c>
      <c r="E275">
        <v>51618009641</v>
      </c>
      <c r="F275">
        <v>605825</v>
      </c>
      <c r="G275">
        <v>47279023673</v>
      </c>
      <c r="H275" t="s">
        <v>35</v>
      </c>
      <c r="I275" s="36">
        <v>4534.92</v>
      </c>
      <c r="J275" s="36">
        <v>4534.92</v>
      </c>
      <c r="K275" s="85">
        <v>0</v>
      </c>
      <c r="L275" s="36">
        <v>377.91</v>
      </c>
      <c r="M275" s="36">
        <v>0</v>
      </c>
      <c r="N275" s="36">
        <v>54.54</v>
      </c>
      <c r="O275" s="36">
        <v>323.37</v>
      </c>
      <c r="P275" t="s">
        <v>121</v>
      </c>
      <c r="Q275" t="s">
        <v>111</v>
      </c>
      <c r="R275" t="s">
        <v>111</v>
      </c>
      <c r="S275" s="1">
        <v>46010</v>
      </c>
      <c r="T275" s="1">
        <v>46023</v>
      </c>
      <c r="U275" s="1">
        <v>46009</v>
      </c>
      <c r="V275" s="1">
        <v>46375</v>
      </c>
      <c r="W275" t="s">
        <v>38</v>
      </c>
      <c r="X275">
        <v>12</v>
      </c>
      <c r="Y275" t="s">
        <v>49</v>
      </c>
      <c r="Z275" t="s">
        <v>81</v>
      </c>
      <c r="AA275" t="s">
        <v>117</v>
      </c>
      <c r="AB275">
        <v>1</v>
      </c>
      <c r="AC275" t="s">
        <v>113</v>
      </c>
      <c r="AD275" t="s">
        <v>85</v>
      </c>
      <c r="AE275" t="s">
        <v>46</v>
      </c>
      <c r="AF275" t="s">
        <v>44</v>
      </c>
      <c r="AG275" t="str">
        <f t="shared" si="4"/>
        <v>À Vista</v>
      </c>
      <c r="AH275" t="str">
        <f>IF(AND(SUMIF(E:E,E275,I:I)&gt;=400000,Q275="B2G"),"n","")</f>
        <v/>
      </c>
    </row>
    <row r="276" spans="1:34">
      <c r="A276">
        <v>2026</v>
      </c>
      <c r="B276">
        <v>1</v>
      </c>
      <c r="C276" s="83">
        <v>36252528904</v>
      </c>
      <c r="D276" t="s">
        <v>387</v>
      </c>
      <c r="E276">
        <v>51626412201</v>
      </c>
      <c r="F276">
        <v>635619</v>
      </c>
      <c r="G276">
        <v>48885914551</v>
      </c>
      <c r="H276" t="s">
        <v>35</v>
      </c>
      <c r="I276" s="36">
        <v>3585.12</v>
      </c>
      <c r="J276" s="36">
        <v>3585.12</v>
      </c>
      <c r="K276" s="85">
        <v>0</v>
      </c>
      <c r="L276" s="36">
        <v>298.76</v>
      </c>
      <c r="M276" s="36">
        <v>298.76</v>
      </c>
      <c r="N276" s="36">
        <v>0</v>
      </c>
      <c r="O276" s="36">
        <v>0</v>
      </c>
      <c r="P276" t="s">
        <v>361</v>
      </c>
      <c r="Q276" t="s">
        <v>349</v>
      </c>
      <c r="R276" t="s">
        <v>349</v>
      </c>
      <c r="S276" s="1">
        <v>46038</v>
      </c>
      <c r="T276" s="1">
        <v>46038</v>
      </c>
      <c r="V276" s="1">
        <v>46403</v>
      </c>
      <c r="W276" t="s">
        <v>38</v>
      </c>
      <c r="X276">
        <v>12</v>
      </c>
      <c r="Y276" t="s">
        <v>49</v>
      </c>
      <c r="AA276" t="s">
        <v>117</v>
      </c>
      <c r="AB276">
        <v>1</v>
      </c>
      <c r="AC276" t="s">
        <v>350</v>
      </c>
      <c r="AD276" t="s">
        <v>160</v>
      </c>
      <c r="AE276" t="s">
        <v>43</v>
      </c>
      <c r="AF276" t="s">
        <v>44</v>
      </c>
      <c r="AG276" t="str">
        <f t="shared" si="4"/>
        <v>À Vista</v>
      </c>
      <c r="AH276" t="str">
        <f>IF(AND(SUMIF(E:E,E276,I:I)&gt;=400000,Q276="B2G"),"n","")</f>
        <v/>
      </c>
    </row>
    <row r="277" spans="1:34">
      <c r="A277">
        <v>2026</v>
      </c>
      <c r="B277">
        <v>1</v>
      </c>
      <c r="C277" s="83">
        <v>2129669</v>
      </c>
      <c r="D277" t="s">
        <v>388</v>
      </c>
      <c r="E277">
        <v>51682401149</v>
      </c>
      <c r="F277">
        <v>505240</v>
      </c>
      <c r="G277">
        <v>49944674691</v>
      </c>
      <c r="H277" t="s">
        <v>35</v>
      </c>
      <c r="I277" s="36">
        <v>4656</v>
      </c>
      <c r="J277" s="36">
        <v>4656</v>
      </c>
      <c r="K277" s="85">
        <v>0</v>
      </c>
      <c r="L277" s="36">
        <v>388</v>
      </c>
      <c r="M277" s="36">
        <v>0</v>
      </c>
      <c r="N277" s="36">
        <v>6.35</v>
      </c>
      <c r="O277" s="36">
        <v>381.65</v>
      </c>
      <c r="P277" t="s">
        <v>127</v>
      </c>
      <c r="Q277" t="s">
        <v>111</v>
      </c>
      <c r="R277" t="s">
        <v>111</v>
      </c>
      <c r="S277" s="1">
        <v>46049</v>
      </c>
      <c r="T277" s="1">
        <v>46049</v>
      </c>
      <c r="U277" s="1">
        <v>46048</v>
      </c>
      <c r="V277" s="1">
        <v>46413</v>
      </c>
      <c r="W277" t="s">
        <v>38</v>
      </c>
      <c r="X277">
        <v>12</v>
      </c>
      <c r="Y277" t="s">
        <v>49</v>
      </c>
      <c r="Z277" t="s">
        <v>81</v>
      </c>
      <c r="AA277" t="s">
        <v>112</v>
      </c>
      <c r="AB277">
        <v>12</v>
      </c>
      <c r="AC277" t="s">
        <v>113</v>
      </c>
      <c r="AD277" t="s">
        <v>85</v>
      </c>
      <c r="AE277" t="s">
        <v>46</v>
      </c>
      <c r="AF277" t="s">
        <v>44</v>
      </c>
      <c r="AG277" t="str">
        <f t="shared" si="4"/>
        <v>CC 12x</v>
      </c>
      <c r="AH277" t="str">
        <f>IF(AND(SUMIF(E:E,E277,I:I)&gt;=400000,Q277="B2G"),"n","")</f>
        <v/>
      </c>
    </row>
    <row r="278" spans="1:34">
      <c r="A278">
        <v>2026</v>
      </c>
      <c r="B278">
        <v>1</v>
      </c>
      <c r="C278" s="83">
        <v>95205602314</v>
      </c>
      <c r="D278" t="s">
        <v>389</v>
      </c>
      <c r="E278">
        <v>51684341018</v>
      </c>
      <c r="F278">
        <v>525817</v>
      </c>
      <c r="G278">
        <v>46935170365</v>
      </c>
      <c r="H278" t="s">
        <v>35</v>
      </c>
      <c r="I278" s="36">
        <v>2874</v>
      </c>
      <c r="J278" s="36">
        <v>2874</v>
      </c>
      <c r="K278" s="85">
        <v>0</v>
      </c>
      <c r="L278" s="36">
        <v>239.5</v>
      </c>
      <c r="M278" s="36">
        <v>0</v>
      </c>
      <c r="N278" s="36">
        <v>0.5</v>
      </c>
      <c r="O278" s="36">
        <v>239</v>
      </c>
      <c r="P278" t="s">
        <v>165</v>
      </c>
      <c r="Q278" t="s">
        <v>166</v>
      </c>
      <c r="R278" t="s">
        <v>166</v>
      </c>
      <c r="S278" s="1">
        <v>46006</v>
      </c>
      <c r="T278" s="1">
        <v>46023</v>
      </c>
      <c r="U278" s="1">
        <v>46049</v>
      </c>
      <c r="V278" s="1">
        <v>46414</v>
      </c>
      <c r="W278" t="s">
        <v>38</v>
      </c>
      <c r="X278">
        <v>12</v>
      </c>
      <c r="Y278" t="s">
        <v>49</v>
      </c>
      <c r="Z278" t="s">
        <v>81</v>
      </c>
      <c r="AA278" t="s">
        <v>112</v>
      </c>
      <c r="AB278">
        <v>12</v>
      </c>
      <c r="AC278" t="s">
        <v>166</v>
      </c>
      <c r="AD278" t="s">
        <v>140</v>
      </c>
      <c r="AE278" t="s">
        <v>46</v>
      </c>
      <c r="AF278" t="s">
        <v>119</v>
      </c>
      <c r="AG278" t="str">
        <f t="shared" si="4"/>
        <v>CC 12x</v>
      </c>
      <c r="AH278" t="str">
        <f>IF(AND(SUMIF(E:E,E278,I:I)&gt;=400000,Q278="B2G"),"n","")</f>
        <v/>
      </c>
    </row>
    <row r="279" spans="1:34">
      <c r="A279">
        <v>2026</v>
      </c>
      <c r="B279">
        <v>1</v>
      </c>
      <c r="C279" s="83">
        <v>185979825214</v>
      </c>
      <c r="D279" t="s">
        <v>390</v>
      </c>
      <c r="E279">
        <v>51694265956</v>
      </c>
      <c r="F279">
        <v>327656</v>
      </c>
      <c r="G279">
        <v>47281890395</v>
      </c>
      <c r="H279" t="s">
        <v>35</v>
      </c>
      <c r="I279" s="36">
        <v>4411.2</v>
      </c>
      <c r="J279" s="36">
        <v>4411.2</v>
      </c>
      <c r="K279" s="85">
        <v>0</v>
      </c>
      <c r="L279" s="36">
        <v>367.6</v>
      </c>
      <c r="M279" s="36">
        <v>0</v>
      </c>
      <c r="N279" s="36">
        <v>8.5</v>
      </c>
      <c r="O279" s="36">
        <v>359.1</v>
      </c>
      <c r="P279" t="s">
        <v>133</v>
      </c>
      <c r="Q279" t="s">
        <v>111</v>
      </c>
      <c r="R279" t="s">
        <v>111</v>
      </c>
      <c r="S279" s="1">
        <v>46009</v>
      </c>
      <c r="T279" s="1">
        <v>46023</v>
      </c>
      <c r="U279" s="1">
        <v>46003</v>
      </c>
      <c r="V279" s="1">
        <v>46374</v>
      </c>
      <c r="W279" t="s">
        <v>38</v>
      </c>
      <c r="X279">
        <v>12</v>
      </c>
      <c r="Y279" t="s">
        <v>49</v>
      </c>
      <c r="Z279" t="s">
        <v>81</v>
      </c>
      <c r="AA279" t="s">
        <v>112</v>
      </c>
      <c r="AB279">
        <v>12</v>
      </c>
      <c r="AC279" t="s">
        <v>113</v>
      </c>
      <c r="AD279" t="s">
        <v>138</v>
      </c>
      <c r="AE279" t="s">
        <v>135</v>
      </c>
      <c r="AF279" t="s">
        <v>119</v>
      </c>
      <c r="AG279" t="str">
        <f t="shared" si="4"/>
        <v>CC 12x</v>
      </c>
      <c r="AH279" t="str">
        <f>IF(AND(SUMIF(E:E,E279,I:I)&gt;=400000,Q279="B2G"),"n","")</f>
        <v/>
      </c>
    </row>
    <row r="280" spans="1:34">
      <c r="A280">
        <v>2026</v>
      </c>
      <c r="B280">
        <v>1</v>
      </c>
      <c r="C280" s="83">
        <v>2111657</v>
      </c>
      <c r="D280" t="s">
        <v>391</v>
      </c>
      <c r="E280">
        <v>51695556760</v>
      </c>
      <c r="F280">
        <v>608139</v>
      </c>
      <c r="G280">
        <v>46936181004</v>
      </c>
      <c r="H280" t="s">
        <v>35</v>
      </c>
      <c r="I280" s="36">
        <v>6110.88</v>
      </c>
      <c r="J280" s="36">
        <v>3055.44</v>
      </c>
      <c r="K280" s="85">
        <v>3055.44</v>
      </c>
      <c r="L280" s="36">
        <v>254.62</v>
      </c>
      <c r="M280" s="36">
        <v>0</v>
      </c>
      <c r="N280" s="36">
        <v>61.08</v>
      </c>
      <c r="O280" s="36">
        <v>193.54499999999999</v>
      </c>
      <c r="P280" t="s">
        <v>165</v>
      </c>
      <c r="Q280" t="s">
        <v>166</v>
      </c>
      <c r="R280" t="s">
        <v>166</v>
      </c>
      <c r="S280" s="1">
        <v>46003</v>
      </c>
      <c r="T280" s="1">
        <v>46023</v>
      </c>
      <c r="U280" s="1">
        <v>46048</v>
      </c>
      <c r="V280" s="1">
        <v>46778</v>
      </c>
      <c r="W280" t="s">
        <v>56</v>
      </c>
      <c r="X280">
        <v>24</v>
      </c>
      <c r="Y280" t="s">
        <v>49</v>
      </c>
      <c r="Z280" t="s">
        <v>81</v>
      </c>
      <c r="AA280" t="s">
        <v>112</v>
      </c>
      <c r="AB280">
        <v>12</v>
      </c>
      <c r="AC280" t="s">
        <v>166</v>
      </c>
      <c r="AD280" t="s">
        <v>114</v>
      </c>
      <c r="AE280" t="s">
        <v>43</v>
      </c>
      <c r="AF280" t="s">
        <v>44</v>
      </c>
      <c r="AG280" t="str">
        <f t="shared" si="4"/>
        <v>CC 12x</v>
      </c>
      <c r="AH280" t="str">
        <f>IF(AND(SUMIF(E:E,E280,I:I)&gt;=400000,Q280="B2G"),"n","")</f>
        <v/>
      </c>
    </row>
    <row r="281" spans="1:34">
      <c r="A281">
        <v>2026</v>
      </c>
      <c r="B281">
        <v>1</v>
      </c>
      <c r="C281" s="83">
        <v>196660358722</v>
      </c>
      <c r="D281" t="s">
        <v>392</v>
      </c>
      <c r="E281">
        <v>51698807579</v>
      </c>
      <c r="F281">
        <v>607292</v>
      </c>
      <c r="G281">
        <v>50044309069</v>
      </c>
      <c r="H281" t="s">
        <v>35</v>
      </c>
      <c r="I281" s="36">
        <v>3308.4</v>
      </c>
      <c r="J281" s="36">
        <v>3308.4</v>
      </c>
      <c r="K281" s="85">
        <v>0</v>
      </c>
      <c r="L281" s="36">
        <v>275.7</v>
      </c>
      <c r="M281" s="36">
        <v>0</v>
      </c>
      <c r="N281" s="36">
        <v>18.3</v>
      </c>
      <c r="O281" s="36">
        <v>257.39999999999998</v>
      </c>
      <c r="P281" t="s">
        <v>116</v>
      </c>
      <c r="Q281" t="s">
        <v>111</v>
      </c>
      <c r="R281" t="s">
        <v>111</v>
      </c>
      <c r="S281" s="1">
        <v>46050</v>
      </c>
      <c r="T281" s="1">
        <v>46050</v>
      </c>
      <c r="U281" s="1">
        <v>46048</v>
      </c>
      <c r="V281" s="1">
        <v>46413</v>
      </c>
      <c r="W281" t="s">
        <v>38</v>
      </c>
      <c r="X281">
        <v>12</v>
      </c>
      <c r="Y281" t="s">
        <v>49</v>
      </c>
      <c r="Z281" t="s">
        <v>81</v>
      </c>
      <c r="AA281" t="s">
        <v>117</v>
      </c>
      <c r="AB281">
        <v>1</v>
      </c>
      <c r="AC281" t="s">
        <v>113</v>
      </c>
      <c r="AD281" t="s">
        <v>138</v>
      </c>
      <c r="AE281" t="s">
        <v>135</v>
      </c>
      <c r="AF281" t="s">
        <v>119</v>
      </c>
      <c r="AG281" t="str">
        <f t="shared" si="4"/>
        <v>À Vista</v>
      </c>
      <c r="AH281" t="str">
        <f>IF(AND(SUMIF(E:E,E281,I:I)&gt;=400000,Q281="B2G"),"n","")</f>
        <v/>
      </c>
    </row>
    <row r="282" spans="1:34">
      <c r="A282">
        <v>2026</v>
      </c>
      <c r="B282">
        <v>1</v>
      </c>
      <c r="C282" s="83">
        <v>29163365513</v>
      </c>
      <c r="D282" t="s">
        <v>393</v>
      </c>
      <c r="E282">
        <v>51701700183</v>
      </c>
      <c r="F282">
        <v>624839</v>
      </c>
      <c r="G282">
        <v>48500026501</v>
      </c>
      <c r="H282" t="s">
        <v>35</v>
      </c>
      <c r="I282" s="36">
        <v>3897</v>
      </c>
      <c r="J282" s="36">
        <v>3897</v>
      </c>
      <c r="K282" s="85">
        <v>0</v>
      </c>
      <c r="L282" s="36">
        <v>324.75</v>
      </c>
      <c r="M282" s="36">
        <v>0</v>
      </c>
      <c r="N282" s="36">
        <v>55.25</v>
      </c>
      <c r="O282" s="36">
        <v>269.5</v>
      </c>
      <c r="P282" t="s">
        <v>162</v>
      </c>
      <c r="Q282" t="s">
        <v>111</v>
      </c>
      <c r="R282" t="s">
        <v>111</v>
      </c>
      <c r="S282" s="1">
        <v>46030</v>
      </c>
      <c r="T282" s="1">
        <v>46023</v>
      </c>
      <c r="U282" s="1">
        <v>46003</v>
      </c>
      <c r="V282" s="1">
        <v>46395</v>
      </c>
      <c r="W282" t="s">
        <v>38</v>
      </c>
      <c r="X282">
        <v>13</v>
      </c>
      <c r="Y282" t="s">
        <v>49</v>
      </c>
      <c r="Z282" t="s">
        <v>81</v>
      </c>
      <c r="AA282" t="s">
        <v>122</v>
      </c>
      <c r="AB282">
        <v>12</v>
      </c>
      <c r="AC282" t="s">
        <v>113</v>
      </c>
      <c r="AD282" t="s">
        <v>125</v>
      </c>
      <c r="AE282" t="s">
        <v>43</v>
      </c>
      <c r="AF282" t="s">
        <v>47</v>
      </c>
      <c r="AG282" t="str">
        <f t="shared" si="4"/>
        <v>Recorrente</v>
      </c>
      <c r="AH282" t="str">
        <f>IF(AND(SUMIF(E:E,E282,I:I)&gt;=400000,Q282="B2G"),"n","")</f>
        <v/>
      </c>
    </row>
    <row r="283" spans="1:34">
      <c r="A283">
        <v>2026</v>
      </c>
      <c r="B283">
        <v>1</v>
      </c>
      <c r="C283" s="83">
        <v>19485530629</v>
      </c>
      <c r="D283" t="s">
        <v>394</v>
      </c>
      <c r="E283">
        <v>51709813579</v>
      </c>
      <c r="F283">
        <v>328276</v>
      </c>
      <c r="G283">
        <v>48546196737</v>
      </c>
      <c r="H283" t="s">
        <v>35</v>
      </c>
      <c r="I283" s="36">
        <v>4300.4399999999996</v>
      </c>
      <c r="J283" s="36">
        <v>4300.4399999999996</v>
      </c>
      <c r="K283" s="85">
        <v>0</v>
      </c>
      <c r="L283" s="36">
        <v>358.37</v>
      </c>
      <c r="M283" s="36">
        <v>0</v>
      </c>
      <c r="N283" s="36">
        <v>27.87</v>
      </c>
      <c r="O283" s="36">
        <v>330.5</v>
      </c>
      <c r="P283" t="s">
        <v>116</v>
      </c>
      <c r="Q283" t="s">
        <v>111</v>
      </c>
      <c r="R283" t="s">
        <v>111</v>
      </c>
      <c r="S283" s="1">
        <v>46034</v>
      </c>
      <c r="T283" s="1">
        <v>46034</v>
      </c>
      <c r="U283" s="1">
        <v>46033</v>
      </c>
      <c r="V283" s="1">
        <v>46399</v>
      </c>
      <c r="W283" t="s">
        <v>38</v>
      </c>
      <c r="X283">
        <v>12</v>
      </c>
      <c r="Y283" t="s">
        <v>49</v>
      </c>
      <c r="Z283" t="s">
        <v>81</v>
      </c>
      <c r="AA283" t="s">
        <v>112</v>
      </c>
      <c r="AB283">
        <v>12</v>
      </c>
      <c r="AC283" t="s">
        <v>113</v>
      </c>
      <c r="AD283" t="s">
        <v>174</v>
      </c>
      <c r="AE283" t="s">
        <v>43</v>
      </c>
      <c r="AF283" t="s">
        <v>47</v>
      </c>
      <c r="AG283" t="str">
        <f t="shared" si="4"/>
        <v>CC 12x</v>
      </c>
      <c r="AH283" t="str">
        <f>IF(AND(SUMIF(E:E,E283,I:I)&gt;=400000,Q283="B2G"),"n","")</f>
        <v/>
      </c>
    </row>
    <row r="284" spans="1:34">
      <c r="A284">
        <v>2026</v>
      </c>
      <c r="B284">
        <v>1</v>
      </c>
      <c r="C284" s="83">
        <v>19485530629</v>
      </c>
      <c r="D284" t="s">
        <v>394</v>
      </c>
      <c r="E284">
        <v>51709813579</v>
      </c>
      <c r="F284">
        <v>328276</v>
      </c>
      <c r="G284">
        <v>48546196738</v>
      </c>
      <c r="H284" t="s">
        <v>35</v>
      </c>
      <c r="I284" s="36">
        <v>4300.4399999999996</v>
      </c>
      <c r="J284" s="36">
        <v>4300.4399999999996</v>
      </c>
      <c r="K284" s="85">
        <v>0</v>
      </c>
      <c r="L284" s="36">
        <v>358.37</v>
      </c>
      <c r="M284" s="36">
        <v>0</v>
      </c>
      <c r="N284" s="36">
        <v>27.87</v>
      </c>
      <c r="O284" s="36">
        <v>330.5</v>
      </c>
      <c r="P284" t="s">
        <v>116</v>
      </c>
      <c r="Q284" t="s">
        <v>111</v>
      </c>
      <c r="R284" t="s">
        <v>111</v>
      </c>
      <c r="S284" s="1">
        <v>46034</v>
      </c>
      <c r="T284" s="1">
        <v>46034</v>
      </c>
      <c r="U284" s="1">
        <v>46033</v>
      </c>
      <c r="V284" s="1">
        <v>46399</v>
      </c>
      <c r="W284" t="s">
        <v>38</v>
      </c>
      <c r="X284">
        <v>12</v>
      </c>
      <c r="Y284" t="s">
        <v>49</v>
      </c>
      <c r="Z284" t="s">
        <v>81</v>
      </c>
      <c r="AA284" t="s">
        <v>112</v>
      </c>
      <c r="AB284">
        <v>12</v>
      </c>
      <c r="AC284" t="s">
        <v>113</v>
      </c>
      <c r="AD284" t="s">
        <v>174</v>
      </c>
      <c r="AE284" t="s">
        <v>43</v>
      </c>
      <c r="AF284" t="s">
        <v>47</v>
      </c>
      <c r="AG284" t="str">
        <f t="shared" si="4"/>
        <v>CC 12x</v>
      </c>
      <c r="AH284" t="str">
        <f>IF(AND(SUMIF(E:E,E284,I:I)&gt;=400000,Q284="B2G"),"n","")</f>
        <v/>
      </c>
    </row>
    <row r="285" spans="1:34">
      <c r="A285">
        <v>2026</v>
      </c>
      <c r="B285">
        <v>1</v>
      </c>
      <c r="C285" s="83">
        <v>37182969172</v>
      </c>
      <c r="D285" t="s">
        <v>395</v>
      </c>
      <c r="E285">
        <v>51714379158</v>
      </c>
      <c r="F285">
        <v>304196</v>
      </c>
      <c r="G285">
        <v>46929351259</v>
      </c>
      <c r="H285" t="s">
        <v>35</v>
      </c>
      <c r="I285" s="36">
        <v>7195.44</v>
      </c>
      <c r="J285" s="36">
        <v>7195.44</v>
      </c>
      <c r="K285" s="85">
        <v>0</v>
      </c>
      <c r="L285" s="36">
        <v>599.62</v>
      </c>
      <c r="M285" s="36">
        <v>0</v>
      </c>
      <c r="N285" s="36">
        <v>93.31</v>
      </c>
      <c r="O285" s="36">
        <v>506.32</v>
      </c>
      <c r="P285" t="s">
        <v>165</v>
      </c>
      <c r="Q285" t="s">
        <v>166</v>
      </c>
      <c r="R285" t="s">
        <v>166</v>
      </c>
      <c r="S285" s="1">
        <v>46039</v>
      </c>
      <c r="T285" s="1">
        <v>46039</v>
      </c>
      <c r="U285" s="1">
        <v>46049</v>
      </c>
      <c r="V285" s="1">
        <v>46414</v>
      </c>
      <c r="W285" t="s">
        <v>38</v>
      </c>
      <c r="X285">
        <v>12</v>
      </c>
      <c r="Y285" t="s">
        <v>49</v>
      </c>
      <c r="Z285" t="s">
        <v>81</v>
      </c>
      <c r="AA285" t="s">
        <v>92</v>
      </c>
      <c r="AB285">
        <v>12</v>
      </c>
      <c r="AC285" t="s">
        <v>166</v>
      </c>
      <c r="AD285" t="s">
        <v>131</v>
      </c>
      <c r="AE285" t="s">
        <v>46</v>
      </c>
      <c r="AF285" t="s">
        <v>96</v>
      </c>
      <c r="AG285" t="str">
        <f t="shared" si="4"/>
        <v>Recorrente</v>
      </c>
      <c r="AH285" t="str">
        <f>IF(AND(SUMIF(E:E,E285,I:I)&gt;=400000,Q285="B2G"),"n","")</f>
        <v/>
      </c>
    </row>
    <row r="286" spans="1:34">
      <c r="A286">
        <v>2026</v>
      </c>
      <c r="B286">
        <v>1</v>
      </c>
      <c r="C286" s="83">
        <v>2119826</v>
      </c>
      <c r="D286" t="s">
        <v>396</v>
      </c>
      <c r="E286">
        <v>51757046138</v>
      </c>
      <c r="F286">
        <v>635847</v>
      </c>
      <c r="G286">
        <v>50518127914</v>
      </c>
      <c r="H286" t="s">
        <v>35</v>
      </c>
      <c r="I286" s="36">
        <v>4686.84</v>
      </c>
      <c r="J286" s="36">
        <v>4686.8999999999996</v>
      </c>
      <c r="K286" s="85">
        <v>0</v>
      </c>
      <c r="L286" s="36">
        <v>390.58</v>
      </c>
      <c r="M286" s="36">
        <v>390.58</v>
      </c>
      <c r="N286" s="36">
        <v>0</v>
      </c>
      <c r="O286" s="36">
        <v>0</v>
      </c>
      <c r="P286" t="s">
        <v>313</v>
      </c>
      <c r="Q286" t="s">
        <v>314</v>
      </c>
      <c r="R286" t="s">
        <v>314</v>
      </c>
      <c r="S286" s="1">
        <v>46052</v>
      </c>
      <c r="T286" s="1">
        <v>46052</v>
      </c>
      <c r="V286" s="1">
        <v>46417</v>
      </c>
      <c r="W286" t="s">
        <v>38</v>
      </c>
      <c r="X286">
        <v>12</v>
      </c>
      <c r="Y286" t="s">
        <v>49</v>
      </c>
      <c r="AA286" t="s">
        <v>122</v>
      </c>
      <c r="AB286">
        <v>12</v>
      </c>
      <c r="AC286" t="s">
        <v>315</v>
      </c>
      <c r="AD286" t="s">
        <v>138</v>
      </c>
      <c r="AE286" t="s">
        <v>135</v>
      </c>
      <c r="AF286" t="s">
        <v>119</v>
      </c>
      <c r="AG286" t="str">
        <f t="shared" si="4"/>
        <v>Recorrente</v>
      </c>
      <c r="AH286" t="str">
        <f>IF(AND(SUMIF(E:E,E286,I:I)&gt;=400000,Q286="B2G"),"n","")</f>
        <v/>
      </c>
    </row>
    <row r="287" spans="1:34">
      <c r="A287">
        <v>2026</v>
      </c>
      <c r="B287">
        <v>1</v>
      </c>
      <c r="C287" s="83">
        <v>138377266335</v>
      </c>
      <c r="D287" t="s">
        <v>397</v>
      </c>
      <c r="E287">
        <v>51796925234</v>
      </c>
      <c r="F287">
        <v>327701</v>
      </c>
      <c r="G287">
        <v>48671105895</v>
      </c>
      <c r="H287" t="s">
        <v>35</v>
      </c>
      <c r="I287" s="36">
        <v>4065</v>
      </c>
      <c r="J287" s="36">
        <v>4065</v>
      </c>
      <c r="K287" s="85">
        <v>0</v>
      </c>
      <c r="L287" s="36">
        <v>338.75</v>
      </c>
      <c r="M287" s="36">
        <v>0</v>
      </c>
      <c r="N287" s="36">
        <v>26.25</v>
      </c>
      <c r="O287" s="36">
        <v>312.5</v>
      </c>
      <c r="P287" t="s">
        <v>116</v>
      </c>
      <c r="Q287" t="s">
        <v>111</v>
      </c>
      <c r="R287" t="s">
        <v>111</v>
      </c>
      <c r="S287" s="1">
        <v>46034</v>
      </c>
      <c r="T287" s="1">
        <v>46034</v>
      </c>
      <c r="U287" s="1">
        <v>46034</v>
      </c>
      <c r="V287" s="1">
        <v>46399</v>
      </c>
      <c r="W287" t="s">
        <v>38</v>
      </c>
      <c r="X287">
        <v>12</v>
      </c>
      <c r="Y287" t="s">
        <v>49</v>
      </c>
      <c r="Z287" t="s">
        <v>81</v>
      </c>
      <c r="AA287" t="s">
        <v>122</v>
      </c>
      <c r="AB287">
        <v>12</v>
      </c>
      <c r="AC287" t="s">
        <v>113</v>
      </c>
      <c r="AD287" t="s">
        <v>84</v>
      </c>
      <c r="AE287" t="s">
        <v>43</v>
      </c>
      <c r="AF287" t="s">
        <v>44</v>
      </c>
      <c r="AG287" t="str">
        <f t="shared" si="4"/>
        <v>Recorrente</v>
      </c>
      <c r="AH287" t="str">
        <f>IF(AND(SUMIF(E:E,E287,I:I)&gt;=400000,Q287="B2G"),"n","")</f>
        <v/>
      </c>
    </row>
    <row r="288" spans="1:34">
      <c r="A288">
        <v>2026</v>
      </c>
      <c r="B288">
        <v>1</v>
      </c>
      <c r="C288" s="83">
        <v>2098426</v>
      </c>
      <c r="D288" t="s">
        <v>398</v>
      </c>
      <c r="E288">
        <v>51829005906</v>
      </c>
      <c r="F288">
        <v>625985</v>
      </c>
      <c r="G288">
        <v>47049656969</v>
      </c>
      <c r="H288" t="s">
        <v>35</v>
      </c>
      <c r="I288" s="36">
        <v>8418.6</v>
      </c>
      <c r="J288" s="36">
        <v>8418.6</v>
      </c>
      <c r="K288" s="85">
        <v>0</v>
      </c>
      <c r="L288" s="36">
        <v>701.55</v>
      </c>
      <c r="M288" s="36">
        <v>0</v>
      </c>
      <c r="N288" s="36">
        <v>138.87</v>
      </c>
      <c r="O288" s="36">
        <v>562.67999999999995</v>
      </c>
      <c r="P288" t="s">
        <v>165</v>
      </c>
      <c r="Q288" t="s">
        <v>166</v>
      </c>
      <c r="R288" t="s">
        <v>166</v>
      </c>
      <c r="S288" s="1">
        <v>46051</v>
      </c>
      <c r="T288" s="1">
        <v>46051</v>
      </c>
      <c r="U288" s="1">
        <v>46051</v>
      </c>
      <c r="V288" s="1">
        <v>46416</v>
      </c>
      <c r="W288" t="s">
        <v>38</v>
      </c>
      <c r="X288">
        <v>12</v>
      </c>
      <c r="Y288" t="s">
        <v>49</v>
      </c>
      <c r="Z288" t="s">
        <v>81</v>
      </c>
      <c r="AA288" t="s">
        <v>122</v>
      </c>
      <c r="AB288">
        <v>12</v>
      </c>
      <c r="AC288" t="s">
        <v>166</v>
      </c>
      <c r="AD288" t="s">
        <v>134</v>
      </c>
      <c r="AE288" t="s">
        <v>135</v>
      </c>
      <c r="AF288" t="s">
        <v>44</v>
      </c>
      <c r="AG288" t="str">
        <f t="shared" si="4"/>
        <v>Recorrente</v>
      </c>
      <c r="AH288" t="str">
        <f>IF(AND(SUMIF(E:E,E288,I:I)&gt;=400000,Q288="B2G"),"n","")</f>
        <v/>
      </c>
    </row>
    <row r="289" spans="1:34">
      <c r="A289">
        <v>2026</v>
      </c>
      <c r="B289">
        <v>1</v>
      </c>
      <c r="C289" s="83">
        <v>2128081</v>
      </c>
      <c r="D289" t="s">
        <v>399</v>
      </c>
      <c r="E289">
        <v>51833192766</v>
      </c>
      <c r="F289">
        <v>605717</v>
      </c>
      <c r="G289">
        <v>47221310551</v>
      </c>
      <c r="H289" t="s">
        <v>35</v>
      </c>
      <c r="I289" s="36">
        <v>3308.4</v>
      </c>
      <c r="J289" s="36">
        <v>3308.4</v>
      </c>
      <c r="K289" s="85">
        <v>0</v>
      </c>
      <c r="L289" s="36">
        <v>275.7</v>
      </c>
      <c r="M289" s="36">
        <v>0</v>
      </c>
      <c r="N289" s="36">
        <v>76.2</v>
      </c>
      <c r="O289" s="36">
        <v>199.5</v>
      </c>
      <c r="P289" t="s">
        <v>162</v>
      </c>
      <c r="Q289" t="s">
        <v>111</v>
      </c>
      <c r="R289" t="s">
        <v>111</v>
      </c>
      <c r="S289" s="1">
        <v>46007</v>
      </c>
      <c r="T289" s="1">
        <v>46023</v>
      </c>
      <c r="U289" s="1">
        <v>46005</v>
      </c>
      <c r="V289" s="1">
        <v>46372</v>
      </c>
      <c r="W289" t="s">
        <v>38</v>
      </c>
      <c r="X289">
        <v>12</v>
      </c>
      <c r="Y289" t="s">
        <v>49</v>
      </c>
      <c r="Z289" t="s">
        <v>81</v>
      </c>
      <c r="AA289" t="s">
        <v>117</v>
      </c>
      <c r="AB289">
        <v>1</v>
      </c>
      <c r="AC289" t="s">
        <v>113</v>
      </c>
      <c r="AD289" t="s">
        <v>138</v>
      </c>
      <c r="AE289" t="s">
        <v>135</v>
      </c>
      <c r="AF289" t="s">
        <v>119</v>
      </c>
      <c r="AG289" t="str">
        <f t="shared" si="4"/>
        <v>À Vista</v>
      </c>
      <c r="AH289" t="str">
        <f>IF(AND(SUMIF(E:E,E289,I:I)&gt;=400000,Q289="B2G"),"n","")</f>
        <v/>
      </c>
    </row>
    <row r="290" spans="1:34">
      <c r="A290">
        <v>2026</v>
      </c>
      <c r="B290">
        <v>1</v>
      </c>
      <c r="C290" s="83">
        <v>95011245974</v>
      </c>
      <c r="D290" t="s">
        <v>400</v>
      </c>
      <c r="E290">
        <v>51834624331</v>
      </c>
      <c r="F290">
        <v>625988</v>
      </c>
      <c r="G290">
        <v>46938616617</v>
      </c>
      <c r="H290" t="s">
        <v>35</v>
      </c>
      <c r="I290" s="36">
        <v>2874</v>
      </c>
      <c r="J290" s="36">
        <v>2874</v>
      </c>
      <c r="K290" s="85">
        <v>0</v>
      </c>
      <c r="L290" s="36">
        <v>239.5</v>
      </c>
      <c r="M290" s="36">
        <v>0</v>
      </c>
      <c r="N290" s="36">
        <v>20.41</v>
      </c>
      <c r="O290" s="36">
        <v>219.09</v>
      </c>
      <c r="P290" t="s">
        <v>165</v>
      </c>
      <c r="Q290" t="s">
        <v>166</v>
      </c>
      <c r="R290" t="s">
        <v>166</v>
      </c>
      <c r="S290" s="1">
        <v>46051</v>
      </c>
      <c r="T290" s="1">
        <v>46051</v>
      </c>
      <c r="U290" s="1">
        <v>46051</v>
      </c>
      <c r="V290" s="1">
        <v>46416</v>
      </c>
      <c r="W290" t="s">
        <v>38</v>
      </c>
      <c r="X290">
        <v>12</v>
      </c>
      <c r="Y290" t="s">
        <v>49</v>
      </c>
      <c r="Z290" t="s">
        <v>81</v>
      </c>
      <c r="AA290" t="s">
        <v>122</v>
      </c>
      <c r="AB290">
        <v>12</v>
      </c>
      <c r="AC290" t="s">
        <v>166</v>
      </c>
      <c r="AD290" t="s">
        <v>140</v>
      </c>
      <c r="AE290" t="s">
        <v>46</v>
      </c>
      <c r="AF290" t="s">
        <v>119</v>
      </c>
      <c r="AG290" t="str">
        <f t="shared" si="4"/>
        <v>Recorrente</v>
      </c>
      <c r="AH290" t="str">
        <f>IF(AND(SUMIF(E:E,E290,I:I)&gt;=400000,Q290="B2G"),"n","")</f>
        <v/>
      </c>
    </row>
    <row r="291" spans="1:34">
      <c r="A291">
        <v>2026</v>
      </c>
      <c r="B291">
        <v>1</v>
      </c>
      <c r="C291" s="83">
        <v>2065272</v>
      </c>
      <c r="D291" t="s">
        <v>401</v>
      </c>
      <c r="E291">
        <v>51843582876</v>
      </c>
      <c r="F291">
        <v>327766</v>
      </c>
      <c r="G291">
        <v>47270215051</v>
      </c>
      <c r="H291" t="s">
        <v>35</v>
      </c>
      <c r="I291" s="36">
        <v>2198.64</v>
      </c>
      <c r="J291" s="36">
        <v>2198.64</v>
      </c>
      <c r="K291" s="85">
        <v>0</v>
      </c>
      <c r="L291" s="36">
        <v>183.22</v>
      </c>
      <c r="M291" s="36">
        <v>0</v>
      </c>
      <c r="N291" s="36">
        <v>4.3</v>
      </c>
      <c r="O291" s="36">
        <v>178.92</v>
      </c>
      <c r="P291" t="s">
        <v>162</v>
      </c>
      <c r="Q291" t="s">
        <v>111</v>
      </c>
      <c r="R291" t="s">
        <v>111</v>
      </c>
      <c r="S291" s="1">
        <v>46009</v>
      </c>
      <c r="T291" s="1">
        <v>46023</v>
      </c>
      <c r="U291" s="1">
        <v>46004</v>
      </c>
      <c r="V291" s="1">
        <v>46374</v>
      </c>
      <c r="W291" t="s">
        <v>38</v>
      </c>
      <c r="X291">
        <v>12</v>
      </c>
      <c r="Y291" t="s">
        <v>49</v>
      </c>
      <c r="Z291" t="s">
        <v>81</v>
      </c>
      <c r="AA291" t="s">
        <v>112</v>
      </c>
      <c r="AB291">
        <v>12</v>
      </c>
      <c r="AC291" t="s">
        <v>113</v>
      </c>
      <c r="AD291" t="s">
        <v>118</v>
      </c>
      <c r="AE291" t="s">
        <v>43</v>
      </c>
      <c r="AF291" t="s">
        <v>119</v>
      </c>
      <c r="AG291" t="str">
        <f t="shared" si="4"/>
        <v>CC 12x</v>
      </c>
      <c r="AH291" t="str">
        <f>IF(AND(SUMIF(E:E,E291,I:I)&gt;=400000,Q291="B2G"),"n","")</f>
        <v/>
      </c>
    </row>
    <row r="292" spans="1:34">
      <c r="A292">
        <v>2026</v>
      </c>
      <c r="B292">
        <v>1</v>
      </c>
      <c r="C292" s="83">
        <v>96570507130</v>
      </c>
      <c r="D292" t="s">
        <v>402</v>
      </c>
      <c r="E292">
        <v>51847018279</v>
      </c>
      <c r="F292">
        <v>625933</v>
      </c>
      <c r="G292">
        <v>50045821502</v>
      </c>
      <c r="H292" t="s">
        <v>35</v>
      </c>
      <c r="I292" s="36">
        <v>9634.44</v>
      </c>
      <c r="J292" s="36">
        <v>9634.44</v>
      </c>
      <c r="K292" s="85">
        <v>0</v>
      </c>
      <c r="L292" s="36">
        <v>802.87</v>
      </c>
      <c r="M292" s="36">
        <v>0</v>
      </c>
      <c r="N292" s="36">
        <v>136.19999999999999</v>
      </c>
      <c r="O292" s="36">
        <v>666.67</v>
      </c>
      <c r="P292" t="s">
        <v>162</v>
      </c>
      <c r="Q292" t="s">
        <v>111</v>
      </c>
      <c r="R292" t="s">
        <v>111</v>
      </c>
      <c r="S292" s="1">
        <v>46049</v>
      </c>
      <c r="T292" s="1">
        <v>46049</v>
      </c>
      <c r="U292" s="1">
        <v>46050</v>
      </c>
      <c r="V292" s="1">
        <v>46415</v>
      </c>
      <c r="W292" t="s">
        <v>38</v>
      </c>
      <c r="X292">
        <v>12</v>
      </c>
      <c r="Y292" t="s">
        <v>49</v>
      </c>
      <c r="Z292" t="s">
        <v>81</v>
      </c>
      <c r="AA292" t="s">
        <v>112</v>
      </c>
      <c r="AB292">
        <v>12</v>
      </c>
      <c r="AC292" t="s">
        <v>113</v>
      </c>
      <c r="AD292" t="s">
        <v>146</v>
      </c>
      <c r="AE292" t="s">
        <v>135</v>
      </c>
      <c r="AF292" t="s">
        <v>96</v>
      </c>
      <c r="AG292" t="str">
        <f t="shared" si="4"/>
        <v>CC 12x</v>
      </c>
      <c r="AH292" t="str">
        <f>IF(AND(SUMIF(E:E,E292,I:I)&gt;=400000,Q292="B2G"),"n","")</f>
        <v/>
      </c>
    </row>
    <row r="293" spans="1:34">
      <c r="A293">
        <v>2026</v>
      </c>
      <c r="B293">
        <v>1</v>
      </c>
      <c r="C293" s="83">
        <v>19435662157</v>
      </c>
      <c r="D293" t="s">
        <v>403</v>
      </c>
      <c r="E293">
        <v>51888193948</v>
      </c>
      <c r="F293">
        <v>605662</v>
      </c>
      <c r="G293">
        <v>47279315639</v>
      </c>
      <c r="H293" t="s">
        <v>35</v>
      </c>
      <c r="I293" s="36">
        <v>6375</v>
      </c>
      <c r="J293" s="36">
        <v>6375</v>
      </c>
      <c r="K293" s="85">
        <v>0</v>
      </c>
      <c r="L293" s="36">
        <v>531.25</v>
      </c>
      <c r="M293" s="36">
        <v>0</v>
      </c>
      <c r="N293" s="36">
        <v>56.41</v>
      </c>
      <c r="O293" s="36">
        <v>474.84</v>
      </c>
      <c r="P293" t="s">
        <v>116</v>
      </c>
      <c r="Q293" t="s">
        <v>111</v>
      </c>
      <c r="R293" t="s">
        <v>111</v>
      </c>
      <c r="S293" s="1">
        <v>46010</v>
      </c>
      <c r="T293" s="1">
        <v>46023</v>
      </c>
      <c r="U293" s="1">
        <v>46005</v>
      </c>
      <c r="V293" s="1">
        <v>46375</v>
      </c>
      <c r="W293" t="s">
        <v>38</v>
      </c>
      <c r="X293">
        <v>12</v>
      </c>
      <c r="Y293" t="s">
        <v>49</v>
      </c>
      <c r="Z293" t="s">
        <v>81</v>
      </c>
      <c r="AA293" t="s">
        <v>122</v>
      </c>
      <c r="AB293">
        <v>12</v>
      </c>
      <c r="AC293" t="s">
        <v>113</v>
      </c>
      <c r="AD293" t="s">
        <v>125</v>
      </c>
      <c r="AE293" t="s">
        <v>43</v>
      </c>
      <c r="AF293" t="s">
        <v>47</v>
      </c>
      <c r="AG293" t="str">
        <f t="shared" si="4"/>
        <v>Recorrente</v>
      </c>
      <c r="AH293" t="str">
        <f>IF(AND(SUMIF(E:E,E293,I:I)&gt;=400000,Q293="B2G"),"n","")</f>
        <v/>
      </c>
    </row>
    <row r="294" spans="1:34">
      <c r="A294">
        <v>2026</v>
      </c>
      <c r="B294">
        <v>1</v>
      </c>
      <c r="C294" s="83">
        <v>2071268</v>
      </c>
      <c r="D294" t="s">
        <v>404</v>
      </c>
      <c r="E294">
        <v>51888218778</v>
      </c>
      <c r="F294">
        <v>504321</v>
      </c>
      <c r="G294">
        <v>47274618968</v>
      </c>
      <c r="H294" t="s">
        <v>35</v>
      </c>
      <c r="I294" s="36">
        <v>3020.4</v>
      </c>
      <c r="J294" s="36">
        <v>3020.4</v>
      </c>
      <c r="K294" s="85">
        <v>0</v>
      </c>
      <c r="L294" s="36">
        <v>251.7</v>
      </c>
      <c r="M294" s="36">
        <v>0</v>
      </c>
      <c r="N294" s="36">
        <v>14.12</v>
      </c>
      <c r="O294" s="36">
        <v>237.58</v>
      </c>
      <c r="P294" t="s">
        <v>110</v>
      </c>
      <c r="Q294" t="s">
        <v>111</v>
      </c>
      <c r="R294" t="s">
        <v>111</v>
      </c>
      <c r="S294" s="1">
        <v>46009</v>
      </c>
      <c r="T294" s="1">
        <v>46023</v>
      </c>
      <c r="U294" s="1">
        <v>46005</v>
      </c>
      <c r="V294" s="1">
        <v>46374</v>
      </c>
      <c r="W294" t="s">
        <v>38</v>
      </c>
      <c r="X294">
        <v>12</v>
      </c>
      <c r="Y294" t="s">
        <v>49</v>
      </c>
      <c r="Z294" t="s">
        <v>81</v>
      </c>
      <c r="AA294" t="s">
        <v>117</v>
      </c>
      <c r="AB294">
        <v>1</v>
      </c>
      <c r="AC294" t="s">
        <v>113</v>
      </c>
      <c r="AD294" t="s">
        <v>84</v>
      </c>
      <c r="AE294" t="s">
        <v>43</v>
      </c>
      <c r="AF294" t="s">
        <v>44</v>
      </c>
      <c r="AG294" t="str">
        <f t="shared" si="4"/>
        <v>À Vista</v>
      </c>
      <c r="AH294" t="str">
        <f>IF(AND(SUMIF(E:E,E294,I:I)&gt;=400000,Q294="B2G"),"n","")</f>
        <v/>
      </c>
    </row>
    <row r="295" spans="1:34">
      <c r="A295">
        <v>2026</v>
      </c>
      <c r="B295">
        <v>1</v>
      </c>
      <c r="C295" s="83">
        <v>26934259345</v>
      </c>
      <c r="D295" t="s">
        <v>405</v>
      </c>
      <c r="E295">
        <v>51891670606</v>
      </c>
      <c r="F295">
        <v>521993</v>
      </c>
      <c r="G295">
        <v>47157205369</v>
      </c>
      <c r="H295" t="s">
        <v>35</v>
      </c>
      <c r="I295" s="36">
        <v>4540.4399999999996</v>
      </c>
      <c r="J295" s="36">
        <v>4540.4399999999996</v>
      </c>
      <c r="K295" s="85">
        <v>0</v>
      </c>
      <c r="L295" s="36">
        <v>378.37</v>
      </c>
      <c r="M295" s="36">
        <v>0</v>
      </c>
      <c r="N295" s="36">
        <v>64.12</v>
      </c>
      <c r="O295" s="36">
        <v>314.25</v>
      </c>
      <c r="P295" t="s">
        <v>121</v>
      </c>
      <c r="Q295" t="s">
        <v>111</v>
      </c>
      <c r="R295" t="s">
        <v>111</v>
      </c>
      <c r="S295" s="1">
        <v>46007</v>
      </c>
      <c r="T295" s="1">
        <v>46023</v>
      </c>
      <c r="U295" s="1">
        <v>46005</v>
      </c>
      <c r="V295" s="1">
        <v>46372</v>
      </c>
      <c r="W295" t="s">
        <v>38</v>
      </c>
      <c r="X295">
        <v>12</v>
      </c>
      <c r="Y295" t="s">
        <v>49</v>
      </c>
      <c r="Z295" t="s">
        <v>81</v>
      </c>
      <c r="AA295" t="s">
        <v>122</v>
      </c>
      <c r="AB295">
        <v>12</v>
      </c>
      <c r="AC295" t="s">
        <v>113</v>
      </c>
      <c r="AD295" t="s">
        <v>174</v>
      </c>
      <c r="AE295" t="s">
        <v>43</v>
      </c>
      <c r="AF295" t="s">
        <v>47</v>
      </c>
      <c r="AG295" t="str">
        <f t="shared" si="4"/>
        <v>Recorrente</v>
      </c>
      <c r="AH295" t="str">
        <f>IF(AND(SUMIF(E:E,E295,I:I)&gt;=400000,Q295="B2G"),"n","")</f>
        <v/>
      </c>
    </row>
    <row r="296" spans="1:34">
      <c r="A296">
        <v>2026</v>
      </c>
      <c r="B296">
        <v>1</v>
      </c>
      <c r="C296" s="83">
        <v>26934259345</v>
      </c>
      <c r="D296" t="s">
        <v>405</v>
      </c>
      <c r="E296">
        <v>51891670606</v>
      </c>
      <c r="F296">
        <v>521993</v>
      </c>
      <c r="G296">
        <v>47157205370</v>
      </c>
      <c r="H296" t="s">
        <v>35</v>
      </c>
      <c r="I296" s="36">
        <v>4540.4399999999996</v>
      </c>
      <c r="J296" s="36">
        <v>4540.4399999999996</v>
      </c>
      <c r="K296" s="85">
        <v>0</v>
      </c>
      <c r="L296" s="36">
        <v>378.37</v>
      </c>
      <c r="M296" s="36">
        <v>0</v>
      </c>
      <c r="N296" s="36">
        <v>64.12</v>
      </c>
      <c r="O296" s="36">
        <v>314.25</v>
      </c>
      <c r="P296" t="s">
        <v>121</v>
      </c>
      <c r="Q296" t="s">
        <v>111</v>
      </c>
      <c r="R296" t="s">
        <v>111</v>
      </c>
      <c r="S296" s="1">
        <v>46007</v>
      </c>
      <c r="T296" s="1">
        <v>46023</v>
      </c>
      <c r="U296" s="1">
        <v>46005</v>
      </c>
      <c r="V296" s="1">
        <v>46372</v>
      </c>
      <c r="W296" t="s">
        <v>38</v>
      </c>
      <c r="X296">
        <v>12</v>
      </c>
      <c r="Y296" t="s">
        <v>49</v>
      </c>
      <c r="Z296" t="s">
        <v>81</v>
      </c>
      <c r="AA296" t="s">
        <v>122</v>
      </c>
      <c r="AB296">
        <v>12</v>
      </c>
      <c r="AC296" t="s">
        <v>113</v>
      </c>
      <c r="AD296" t="s">
        <v>174</v>
      </c>
      <c r="AE296" t="s">
        <v>43</v>
      </c>
      <c r="AF296" t="s">
        <v>47</v>
      </c>
      <c r="AG296" t="str">
        <f t="shared" si="4"/>
        <v>Recorrente</v>
      </c>
      <c r="AH296" t="str">
        <f>IF(AND(SUMIF(E:E,E296,I:I)&gt;=400000,Q296="B2G"),"n","")</f>
        <v/>
      </c>
    </row>
    <row r="297" spans="1:34">
      <c r="A297">
        <v>2026</v>
      </c>
      <c r="B297">
        <v>1</v>
      </c>
      <c r="C297" s="83">
        <v>140763059005</v>
      </c>
      <c r="D297" t="s">
        <v>406</v>
      </c>
      <c r="E297">
        <v>51891722789</v>
      </c>
      <c r="F297">
        <v>625961</v>
      </c>
      <c r="G297">
        <v>47125111370</v>
      </c>
      <c r="H297" t="s">
        <v>35</v>
      </c>
      <c r="I297" s="36">
        <v>4962.6000000000004</v>
      </c>
      <c r="J297" s="36">
        <v>4962.6000000000004</v>
      </c>
      <c r="K297" s="85">
        <v>0</v>
      </c>
      <c r="L297" s="36">
        <v>413.55</v>
      </c>
      <c r="M297" s="36">
        <v>0</v>
      </c>
      <c r="N297" s="36">
        <v>74.400000000000006</v>
      </c>
      <c r="O297" s="36">
        <v>339.15</v>
      </c>
      <c r="P297" t="s">
        <v>165</v>
      </c>
      <c r="Q297" t="s">
        <v>166</v>
      </c>
      <c r="R297" t="s">
        <v>166</v>
      </c>
      <c r="S297" s="1">
        <v>46051</v>
      </c>
      <c r="T297" s="1">
        <v>46051</v>
      </c>
      <c r="U297" s="1">
        <v>46051</v>
      </c>
      <c r="V297" s="1">
        <v>46416</v>
      </c>
      <c r="W297" t="s">
        <v>38</v>
      </c>
      <c r="X297">
        <v>12</v>
      </c>
      <c r="Y297" t="s">
        <v>49</v>
      </c>
      <c r="Z297" t="s">
        <v>81</v>
      </c>
      <c r="AA297" t="s">
        <v>112</v>
      </c>
      <c r="AB297">
        <v>12</v>
      </c>
      <c r="AC297" t="s">
        <v>166</v>
      </c>
      <c r="AD297" t="s">
        <v>138</v>
      </c>
      <c r="AE297" t="s">
        <v>135</v>
      </c>
      <c r="AF297" t="s">
        <v>119</v>
      </c>
      <c r="AG297" t="str">
        <f t="shared" si="4"/>
        <v>CC 12x</v>
      </c>
      <c r="AH297" t="str">
        <f>IF(AND(SUMIF(E:E,E297,I:I)&gt;=400000,Q297="B2G"),"n","")</f>
        <v/>
      </c>
    </row>
    <row r="298" spans="1:34">
      <c r="A298">
        <v>2026</v>
      </c>
      <c r="B298">
        <v>1</v>
      </c>
      <c r="C298" s="83">
        <v>95194875495</v>
      </c>
      <c r="D298" t="s">
        <v>407</v>
      </c>
      <c r="E298">
        <v>51891779397</v>
      </c>
      <c r="F298">
        <v>625964</v>
      </c>
      <c r="G298">
        <v>47125638456</v>
      </c>
      <c r="H298" t="s">
        <v>35</v>
      </c>
      <c r="I298" s="36">
        <v>8418.6</v>
      </c>
      <c r="J298" s="36">
        <v>8418.6</v>
      </c>
      <c r="K298" s="85">
        <v>0</v>
      </c>
      <c r="L298" s="36">
        <v>701.55</v>
      </c>
      <c r="M298" s="36">
        <v>0</v>
      </c>
      <c r="N298" s="36">
        <v>138.87</v>
      </c>
      <c r="O298" s="36">
        <v>562.67999999999995</v>
      </c>
      <c r="P298" t="s">
        <v>165</v>
      </c>
      <c r="Q298" t="s">
        <v>166</v>
      </c>
      <c r="R298" t="s">
        <v>166</v>
      </c>
      <c r="S298" s="1">
        <v>46051</v>
      </c>
      <c r="T298" s="1">
        <v>46051</v>
      </c>
      <c r="U298" s="1">
        <v>46051</v>
      </c>
      <c r="V298" s="1">
        <v>46416</v>
      </c>
      <c r="W298" t="s">
        <v>38</v>
      </c>
      <c r="X298">
        <v>12</v>
      </c>
      <c r="Y298" t="s">
        <v>49</v>
      </c>
      <c r="Z298" t="s">
        <v>81</v>
      </c>
      <c r="AA298" t="s">
        <v>122</v>
      </c>
      <c r="AB298">
        <v>12</v>
      </c>
      <c r="AC298" t="s">
        <v>166</v>
      </c>
      <c r="AD298" t="s">
        <v>134</v>
      </c>
      <c r="AE298" t="s">
        <v>135</v>
      </c>
      <c r="AF298" t="s">
        <v>44</v>
      </c>
      <c r="AG298" t="str">
        <f t="shared" si="4"/>
        <v>Recorrente</v>
      </c>
      <c r="AH298" t="str">
        <f>IF(AND(SUMIF(E:E,E298,I:I)&gt;=400000,Q298="B2G"),"n","")</f>
        <v/>
      </c>
    </row>
    <row r="299" spans="1:34">
      <c r="A299">
        <v>2026</v>
      </c>
      <c r="B299">
        <v>1</v>
      </c>
      <c r="C299" s="83">
        <v>2236183</v>
      </c>
      <c r="D299" t="s">
        <v>408</v>
      </c>
      <c r="E299">
        <v>51891784061</v>
      </c>
      <c r="F299">
        <v>625963</v>
      </c>
      <c r="G299">
        <v>47071067671</v>
      </c>
      <c r="H299" t="s">
        <v>35</v>
      </c>
      <c r="I299" s="36">
        <v>7014.6</v>
      </c>
      <c r="J299" s="36">
        <v>7014.6</v>
      </c>
      <c r="K299" s="85">
        <v>0</v>
      </c>
      <c r="L299" s="36">
        <v>584.54999999999995</v>
      </c>
      <c r="M299" s="36">
        <v>0</v>
      </c>
      <c r="N299" s="36">
        <v>126.4</v>
      </c>
      <c r="O299" s="36">
        <v>458.15</v>
      </c>
      <c r="P299" t="s">
        <v>165</v>
      </c>
      <c r="Q299" t="s">
        <v>166</v>
      </c>
      <c r="R299" t="s">
        <v>166</v>
      </c>
      <c r="S299" s="1">
        <v>46051</v>
      </c>
      <c r="T299" s="1">
        <v>46051</v>
      </c>
      <c r="U299" s="1">
        <v>46051</v>
      </c>
      <c r="V299" s="1">
        <v>46416</v>
      </c>
      <c r="W299" t="s">
        <v>38</v>
      </c>
      <c r="X299">
        <v>12</v>
      </c>
      <c r="Y299" t="s">
        <v>49</v>
      </c>
      <c r="Z299" t="s">
        <v>81</v>
      </c>
      <c r="AA299" t="s">
        <v>122</v>
      </c>
      <c r="AB299">
        <v>12</v>
      </c>
      <c r="AC299" t="s">
        <v>166</v>
      </c>
      <c r="AD299" t="s">
        <v>125</v>
      </c>
      <c r="AE299" t="s">
        <v>43</v>
      </c>
      <c r="AF299" t="s">
        <v>47</v>
      </c>
      <c r="AG299" t="str">
        <f t="shared" si="4"/>
        <v>Recorrente</v>
      </c>
      <c r="AH299" t="str">
        <f>IF(AND(SUMIF(E:E,E299,I:I)&gt;=400000,Q299="B2G"),"n","")</f>
        <v/>
      </c>
    </row>
    <row r="300" spans="1:34">
      <c r="A300">
        <v>2026</v>
      </c>
      <c r="B300">
        <v>1</v>
      </c>
      <c r="C300" s="83">
        <v>199248540033</v>
      </c>
      <c r="D300" t="s">
        <v>409</v>
      </c>
      <c r="E300">
        <v>51891785556</v>
      </c>
      <c r="F300">
        <v>625986</v>
      </c>
      <c r="G300">
        <v>47119604652</v>
      </c>
      <c r="H300" t="s">
        <v>35</v>
      </c>
      <c r="I300" s="36">
        <v>5754</v>
      </c>
      <c r="J300" s="36">
        <v>5754</v>
      </c>
      <c r="K300" s="85">
        <v>0</v>
      </c>
      <c r="L300" s="36">
        <v>479.5</v>
      </c>
      <c r="M300" s="36">
        <v>0</v>
      </c>
      <c r="N300" s="36">
        <v>67.92</v>
      </c>
      <c r="O300" s="36">
        <v>411.58</v>
      </c>
      <c r="P300" t="s">
        <v>165</v>
      </c>
      <c r="Q300" t="s">
        <v>166</v>
      </c>
      <c r="R300" t="s">
        <v>166</v>
      </c>
      <c r="S300" s="1">
        <v>46051</v>
      </c>
      <c r="T300" s="1">
        <v>46051</v>
      </c>
      <c r="U300" s="1">
        <v>46051</v>
      </c>
      <c r="V300" s="1">
        <v>46416</v>
      </c>
      <c r="W300" t="s">
        <v>38</v>
      </c>
      <c r="X300">
        <v>12</v>
      </c>
      <c r="Y300" t="s">
        <v>49</v>
      </c>
      <c r="Z300" t="s">
        <v>81</v>
      </c>
      <c r="AA300" t="s">
        <v>122</v>
      </c>
      <c r="AB300">
        <v>12</v>
      </c>
      <c r="AC300" t="s">
        <v>166</v>
      </c>
      <c r="AD300" t="s">
        <v>85</v>
      </c>
      <c r="AE300" t="s">
        <v>46</v>
      </c>
      <c r="AF300" t="s">
        <v>44</v>
      </c>
      <c r="AG300" t="str">
        <f t="shared" si="4"/>
        <v>Recorrente</v>
      </c>
      <c r="AH300" t="str">
        <f>IF(AND(SUMIF(E:E,E300,I:I)&gt;=400000,Q300="B2G"),"n","")</f>
        <v/>
      </c>
    </row>
    <row r="301" spans="1:34">
      <c r="A301">
        <v>2026</v>
      </c>
      <c r="B301">
        <v>1</v>
      </c>
      <c r="C301" s="83">
        <v>198680089262</v>
      </c>
      <c r="D301" t="s">
        <v>410</v>
      </c>
      <c r="E301">
        <v>51891793460</v>
      </c>
      <c r="F301">
        <v>625440</v>
      </c>
      <c r="G301">
        <v>50518849076</v>
      </c>
      <c r="H301" t="s">
        <v>35</v>
      </c>
      <c r="I301" s="36">
        <v>7483.2</v>
      </c>
      <c r="J301" s="36">
        <v>7483.2</v>
      </c>
      <c r="K301" s="85">
        <v>0</v>
      </c>
      <c r="L301" s="36">
        <v>623.6</v>
      </c>
      <c r="M301" s="36">
        <v>623.6</v>
      </c>
      <c r="N301" s="36">
        <v>0</v>
      </c>
      <c r="O301" s="36">
        <v>0</v>
      </c>
      <c r="P301" t="s">
        <v>162</v>
      </c>
      <c r="Q301" t="s">
        <v>111</v>
      </c>
      <c r="R301" t="s">
        <v>111</v>
      </c>
      <c r="S301" s="1">
        <v>46053</v>
      </c>
      <c r="T301" s="1">
        <v>46053</v>
      </c>
      <c r="U301" s="1">
        <v>46036</v>
      </c>
      <c r="V301" s="1">
        <v>46418</v>
      </c>
      <c r="W301" t="s">
        <v>38</v>
      </c>
      <c r="X301">
        <v>12</v>
      </c>
      <c r="Y301" t="s">
        <v>49</v>
      </c>
      <c r="Z301" t="s">
        <v>76</v>
      </c>
      <c r="AA301" t="s">
        <v>112</v>
      </c>
      <c r="AB301">
        <v>12</v>
      </c>
      <c r="AC301" t="s">
        <v>113</v>
      </c>
      <c r="AD301" t="s">
        <v>134</v>
      </c>
      <c r="AE301" t="s">
        <v>135</v>
      </c>
      <c r="AF301" t="s">
        <v>44</v>
      </c>
      <c r="AG301" t="str">
        <f t="shared" si="4"/>
        <v>CC 12x</v>
      </c>
      <c r="AH301" t="str">
        <f>IF(AND(SUMIF(E:E,E301,I:I)&gt;=400000,Q301="B2G"),"n","")</f>
        <v/>
      </c>
    </row>
    <row r="302" spans="1:34">
      <c r="A302">
        <v>2026</v>
      </c>
      <c r="B302">
        <v>1</v>
      </c>
      <c r="C302" s="83">
        <v>2130467</v>
      </c>
      <c r="D302" t="s">
        <v>411</v>
      </c>
      <c r="E302">
        <v>51916281230</v>
      </c>
      <c r="F302">
        <v>327704</v>
      </c>
      <c r="G302">
        <v>47247492398</v>
      </c>
      <c r="H302" t="s">
        <v>35</v>
      </c>
      <c r="I302" s="36">
        <v>5514</v>
      </c>
      <c r="J302" s="36">
        <v>5514</v>
      </c>
      <c r="K302" s="85">
        <v>0</v>
      </c>
      <c r="L302" s="36">
        <v>459.5</v>
      </c>
      <c r="M302" s="36">
        <v>0</v>
      </c>
      <c r="N302" s="36">
        <v>0</v>
      </c>
      <c r="O302" s="36">
        <v>459.5</v>
      </c>
      <c r="P302" t="s">
        <v>137</v>
      </c>
      <c r="Q302" t="s">
        <v>111</v>
      </c>
      <c r="R302" t="s">
        <v>111</v>
      </c>
      <c r="S302" s="1">
        <v>46009</v>
      </c>
      <c r="T302" s="1">
        <v>46023</v>
      </c>
      <c r="U302" s="1">
        <v>46001</v>
      </c>
      <c r="V302" s="1">
        <v>46374</v>
      </c>
      <c r="W302" t="s">
        <v>38</v>
      </c>
      <c r="X302">
        <v>12</v>
      </c>
      <c r="Y302" t="s">
        <v>49</v>
      </c>
      <c r="Z302" t="s">
        <v>76</v>
      </c>
      <c r="AA302" t="s">
        <v>122</v>
      </c>
      <c r="AB302">
        <v>12</v>
      </c>
      <c r="AC302" t="s">
        <v>113</v>
      </c>
      <c r="AD302" t="s">
        <v>138</v>
      </c>
      <c r="AE302" t="s">
        <v>135</v>
      </c>
      <c r="AF302" t="s">
        <v>119</v>
      </c>
      <c r="AG302" t="str">
        <f t="shared" si="4"/>
        <v>Recorrente</v>
      </c>
      <c r="AH302" t="str">
        <f>IF(AND(SUMIF(E:E,E302,I:I)&gt;=400000,Q302="B2G"),"n","")</f>
        <v/>
      </c>
    </row>
    <row r="303" spans="1:34">
      <c r="A303">
        <v>2026</v>
      </c>
      <c r="B303">
        <v>1</v>
      </c>
      <c r="C303" s="83">
        <v>119326476864</v>
      </c>
      <c r="D303" t="s">
        <v>412</v>
      </c>
      <c r="E303">
        <v>51933993338</v>
      </c>
      <c r="F303">
        <v>274410</v>
      </c>
      <c r="G303">
        <v>47441556406</v>
      </c>
      <c r="H303" t="s">
        <v>35</v>
      </c>
      <c r="I303" s="36">
        <v>7747.2</v>
      </c>
      <c r="J303" s="36">
        <v>7747.2</v>
      </c>
      <c r="K303" s="85">
        <v>0</v>
      </c>
      <c r="L303" s="36">
        <v>645.6</v>
      </c>
      <c r="M303" s="36">
        <v>0</v>
      </c>
      <c r="N303" s="36">
        <v>79.5</v>
      </c>
      <c r="O303" s="36">
        <v>566.1</v>
      </c>
      <c r="P303" t="s">
        <v>127</v>
      </c>
      <c r="Q303" t="s">
        <v>111</v>
      </c>
      <c r="R303" t="s">
        <v>111</v>
      </c>
      <c r="S303" s="1">
        <v>46010</v>
      </c>
      <c r="T303" s="1">
        <v>46023</v>
      </c>
      <c r="U303" s="1">
        <v>46003</v>
      </c>
      <c r="V303" s="1">
        <v>46375</v>
      </c>
      <c r="W303" t="s">
        <v>38</v>
      </c>
      <c r="X303">
        <v>12</v>
      </c>
      <c r="Y303" t="s">
        <v>49</v>
      </c>
      <c r="Z303" t="s">
        <v>81</v>
      </c>
      <c r="AA303" t="s">
        <v>122</v>
      </c>
      <c r="AB303">
        <v>12</v>
      </c>
      <c r="AC303" t="s">
        <v>113</v>
      </c>
      <c r="AD303" t="s">
        <v>131</v>
      </c>
      <c r="AE303" t="s">
        <v>46</v>
      </c>
      <c r="AF303" t="s">
        <v>96</v>
      </c>
      <c r="AG303" t="str">
        <f t="shared" si="4"/>
        <v>Recorrente</v>
      </c>
      <c r="AH303" t="str">
        <f>IF(AND(SUMIF(E:E,E303,I:I)&gt;=400000,Q303="B2G"),"n","")</f>
        <v/>
      </c>
    </row>
    <row r="304" spans="1:34">
      <c r="A304">
        <v>2026</v>
      </c>
      <c r="B304">
        <v>1</v>
      </c>
      <c r="C304" s="83">
        <v>127699605587</v>
      </c>
      <c r="D304" t="s">
        <v>413</v>
      </c>
      <c r="E304">
        <v>51935025057</v>
      </c>
      <c r="F304">
        <v>304214</v>
      </c>
      <c r="G304">
        <v>47165841541</v>
      </c>
      <c r="H304" t="s">
        <v>35</v>
      </c>
      <c r="I304" s="36">
        <v>5178.6000000000004</v>
      </c>
      <c r="J304" s="36">
        <v>5178.6000000000004</v>
      </c>
      <c r="K304" s="85">
        <v>0</v>
      </c>
      <c r="L304" s="36">
        <v>431.55</v>
      </c>
      <c r="M304" s="36">
        <v>0</v>
      </c>
      <c r="N304" s="36">
        <v>110.11</v>
      </c>
      <c r="O304" s="36">
        <v>321.44</v>
      </c>
      <c r="P304" t="s">
        <v>165</v>
      </c>
      <c r="Q304" t="s">
        <v>166</v>
      </c>
      <c r="R304" t="s">
        <v>166</v>
      </c>
      <c r="S304" s="1">
        <v>46051</v>
      </c>
      <c r="T304" s="1">
        <v>46051</v>
      </c>
      <c r="U304" s="1">
        <v>46052</v>
      </c>
      <c r="V304" s="1">
        <v>46417</v>
      </c>
      <c r="W304" t="s">
        <v>38</v>
      </c>
      <c r="X304">
        <v>12</v>
      </c>
      <c r="Y304" t="s">
        <v>49</v>
      </c>
      <c r="Z304" t="s">
        <v>81</v>
      </c>
      <c r="AA304" t="s">
        <v>122</v>
      </c>
      <c r="AB304">
        <v>12</v>
      </c>
      <c r="AC304" t="s">
        <v>166</v>
      </c>
      <c r="AD304" t="s">
        <v>85</v>
      </c>
      <c r="AE304" t="s">
        <v>46</v>
      </c>
      <c r="AF304" t="s">
        <v>44</v>
      </c>
      <c r="AG304" t="str">
        <f t="shared" si="4"/>
        <v>Recorrente</v>
      </c>
      <c r="AH304" t="str">
        <f>IF(AND(SUMIF(E:E,E304,I:I)&gt;=400000,Q304="B2G"),"n","")</f>
        <v/>
      </c>
    </row>
    <row r="305" spans="1:34">
      <c r="A305">
        <v>2026</v>
      </c>
      <c r="B305">
        <v>1</v>
      </c>
      <c r="C305" s="83">
        <v>104353331030</v>
      </c>
      <c r="D305" t="s">
        <v>414</v>
      </c>
      <c r="E305">
        <v>51937226578</v>
      </c>
      <c r="F305">
        <v>304142</v>
      </c>
      <c r="G305">
        <v>47185315997</v>
      </c>
      <c r="H305" t="s">
        <v>35</v>
      </c>
      <c r="I305" s="36">
        <v>8418.6</v>
      </c>
      <c r="J305" s="36">
        <v>8418.6</v>
      </c>
      <c r="K305" s="85">
        <v>0</v>
      </c>
      <c r="L305" s="36">
        <v>701.55</v>
      </c>
      <c r="M305" s="36">
        <v>0</v>
      </c>
      <c r="N305" s="36">
        <v>143.43</v>
      </c>
      <c r="O305" s="36">
        <v>558.12</v>
      </c>
      <c r="P305" t="s">
        <v>165</v>
      </c>
      <c r="Q305" t="s">
        <v>166</v>
      </c>
      <c r="R305" t="s">
        <v>166</v>
      </c>
      <c r="S305" s="1">
        <v>46051</v>
      </c>
      <c r="T305" s="1">
        <v>46051</v>
      </c>
      <c r="U305" s="1">
        <v>46052</v>
      </c>
      <c r="V305" s="1">
        <v>46417</v>
      </c>
      <c r="W305" t="s">
        <v>38</v>
      </c>
      <c r="X305">
        <v>12</v>
      </c>
      <c r="Y305" t="s">
        <v>49</v>
      </c>
      <c r="Z305" t="s">
        <v>81</v>
      </c>
      <c r="AA305" t="s">
        <v>122</v>
      </c>
      <c r="AB305">
        <v>12</v>
      </c>
      <c r="AC305" t="s">
        <v>166</v>
      </c>
      <c r="AD305" t="s">
        <v>134</v>
      </c>
      <c r="AE305" t="s">
        <v>135</v>
      </c>
      <c r="AF305" t="s">
        <v>44</v>
      </c>
      <c r="AG305" t="str">
        <f t="shared" si="4"/>
        <v>Recorrente</v>
      </c>
      <c r="AH305" t="str">
        <f>IF(AND(SUMIF(E:E,E305,I:I)&gt;=400000,Q305="B2G"),"n","")</f>
        <v/>
      </c>
    </row>
    <row r="306" spans="1:34">
      <c r="A306">
        <v>2026</v>
      </c>
      <c r="B306">
        <v>1</v>
      </c>
      <c r="C306" s="83">
        <v>122797825845</v>
      </c>
      <c r="D306" t="s">
        <v>415</v>
      </c>
      <c r="E306">
        <v>51941039195</v>
      </c>
      <c r="F306">
        <v>504062</v>
      </c>
      <c r="G306">
        <v>47231505754</v>
      </c>
      <c r="H306" t="s">
        <v>35</v>
      </c>
      <c r="I306" s="36">
        <v>2198.64</v>
      </c>
      <c r="J306" s="36">
        <v>2198.64</v>
      </c>
      <c r="K306" s="85">
        <v>0</v>
      </c>
      <c r="L306" s="36">
        <v>183.22</v>
      </c>
      <c r="M306" s="36">
        <v>0</v>
      </c>
      <c r="N306" s="36">
        <v>0</v>
      </c>
      <c r="O306" s="36">
        <v>183.22228999999999</v>
      </c>
      <c r="P306" t="s">
        <v>116</v>
      </c>
      <c r="Q306" t="s">
        <v>111</v>
      </c>
      <c r="R306" t="s">
        <v>111</v>
      </c>
      <c r="S306" s="1">
        <v>46008</v>
      </c>
      <c r="T306" s="1">
        <v>46023</v>
      </c>
      <c r="U306" s="1">
        <v>45999</v>
      </c>
      <c r="V306" s="1">
        <v>46373</v>
      </c>
      <c r="W306" t="s">
        <v>38</v>
      </c>
      <c r="X306">
        <v>12</v>
      </c>
      <c r="Y306" t="s">
        <v>49</v>
      </c>
      <c r="Z306" t="s">
        <v>81</v>
      </c>
      <c r="AA306" t="s">
        <v>112</v>
      </c>
      <c r="AB306">
        <v>12</v>
      </c>
      <c r="AC306" t="s">
        <v>113</v>
      </c>
      <c r="AD306" t="s">
        <v>140</v>
      </c>
      <c r="AE306" t="s">
        <v>46</v>
      </c>
      <c r="AF306" t="s">
        <v>119</v>
      </c>
      <c r="AG306" t="str">
        <f t="shared" si="4"/>
        <v>CC 12x</v>
      </c>
      <c r="AH306" t="str">
        <f>IF(AND(SUMIF(E:E,E306,I:I)&gt;=400000,Q306="B2G"),"n","")</f>
        <v/>
      </c>
    </row>
    <row r="307" spans="1:34">
      <c r="A307">
        <v>2026</v>
      </c>
      <c r="B307">
        <v>1</v>
      </c>
      <c r="C307" s="83">
        <v>94560185775</v>
      </c>
      <c r="D307" t="s">
        <v>416</v>
      </c>
      <c r="E307">
        <v>51942165630</v>
      </c>
      <c r="F307">
        <v>626016</v>
      </c>
      <c r="G307">
        <v>47180502551</v>
      </c>
      <c r="H307" t="s">
        <v>35</v>
      </c>
      <c r="I307" s="36">
        <v>4074</v>
      </c>
      <c r="J307" s="36">
        <v>4074</v>
      </c>
      <c r="K307" s="85">
        <v>0</v>
      </c>
      <c r="L307" s="36">
        <v>339.5</v>
      </c>
      <c r="M307" s="36">
        <v>0</v>
      </c>
      <c r="N307" s="36">
        <v>31.69</v>
      </c>
      <c r="O307" s="36">
        <v>307.81</v>
      </c>
      <c r="P307" t="s">
        <v>165</v>
      </c>
      <c r="Q307" t="s">
        <v>166</v>
      </c>
      <c r="R307" t="s">
        <v>166</v>
      </c>
      <c r="S307" s="1">
        <v>46051</v>
      </c>
      <c r="T307" s="1">
        <v>46051</v>
      </c>
      <c r="U307" s="1">
        <v>46052</v>
      </c>
      <c r="V307" s="1">
        <v>46417</v>
      </c>
      <c r="W307" t="s">
        <v>38</v>
      </c>
      <c r="X307">
        <v>12</v>
      </c>
      <c r="Y307" t="s">
        <v>49</v>
      </c>
      <c r="Z307" t="s">
        <v>81</v>
      </c>
      <c r="AA307" t="s">
        <v>122</v>
      </c>
      <c r="AB307">
        <v>12</v>
      </c>
      <c r="AC307" t="s">
        <v>166</v>
      </c>
      <c r="AD307" t="s">
        <v>160</v>
      </c>
      <c r="AE307" t="s">
        <v>43</v>
      </c>
      <c r="AF307" t="s">
        <v>44</v>
      </c>
      <c r="AG307" t="str">
        <f t="shared" si="4"/>
        <v>Recorrente</v>
      </c>
      <c r="AH307" t="str">
        <f>IF(AND(SUMIF(E:E,E307,I:I)&gt;=400000,Q307="B2G"),"n","")</f>
        <v/>
      </c>
    </row>
    <row r="308" spans="1:34">
      <c r="A308">
        <v>2026</v>
      </c>
      <c r="B308">
        <v>1</v>
      </c>
      <c r="E308">
        <v>51942942096</v>
      </c>
      <c r="F308">
        <v>626008</v>
      </c>
      <c r="G308">
        <v>47186704238</v>
      </c>
      <c r="H308" t="s">
        <v>35</v>
      </c>
      <c r="I308" s="36">
        <v>2874</v>
      </c>
      <c r="J308" s="36">
        <v>2874</v>
      </c>
      <c r="K308" s="85">
        <v>0</v>
      </c>
      <c r="L308" s="36">
        <v>239.5</v>
      </c>
      <c r="M308" s="36">
        <v>0</v>
      </c>
      <c r="N308" s="36">
        <v>39.119999999999997</v>
      </c>
      <c r="O308" s="36">
        <v>200.38</v>
      </c>
      <c r="P308" t="s">
        <v>165</v>
      </c>
      <c r="Q308" t="s">
        <v>166</v>
      </c>
      <c r="R308" t="s">
        <v>166</v>
      </c>
      <c r="S308" s="1">
        <v>46051</v>
      </c>
      <c r="T308" s="1">
        <v>46051</v>
      </c>
      <c r="U308" s="1">
        <v>46052</v>
      </c>
      <c r="V308" s="1">
        <v>46417</v>
      </c>
      <c r="W308" t="s">
        <v>38</v>
      </c>
      <c r="X308">
        <v>12</v>
      </c>
      <c r="Y308" t="s">
        <v>49</v>
      </c>
      <c r="Z308" t="s">
        <v>81</v>
      </c>
      <c r="AA308" t="s">
        <v>122</v>
      </c>
      <c r="AB308">
        <v>12</v>
      </c>
      <c r="AC308" t="s">
        <v>166</v>
      </c>
      <c r="AD308" t="s">
        <v>118</v>
      </c>
      <c r="AE308" t="s">
        <v>43</v>
      </c>
      <c r="AF308" t="s">
        <v>119</v>
      </c>
      <c r="AG308" t="str">
        <f t="shared" si="4"/>
        <v>Recorrente</v>
      </c>
      <c r="AH308" t="str">
        <f>IF(AND(SUMIF(E:E,E308,I:I)&gt;=400000,Q308="B2G"),"n","")</f>
        <v/>
      </c>
    </row>
    <row r="309" spans="1:34">
      <c r="A309">
        <v>2026</v>
      </c>
      <c r="B309">
        <v>1</v>
      </c>
      <c r="C309" s="83">
        <v>47198015328</v>
      </c>
      <c r="D309" t="s">
        <v>417</v>
      </c>
      <c r="E309">
        <v>51943531051</v>
      </c>
      <c r="F309">
        <v>635535</v>
      </c>
      <c r="G309">
        <v>48670916729</v>
      </c>
      <c r="H309" t="s">
        <v>35</v>
      </c>
      <c r="I309" s="36">
        <v>4354.8</v>
      </c>
      <c r="J309" s="36">
        <v>4354.8</v>
      </c>
      <c r="K309" s="85">
        <v>0</v>
      </c>
      <c r="L309" s="36">
        <v>362.9</v>
      </c>
      <c r="M309" s="36">
        <v>362.9</v>
      </c>
      <c r="N309" s="36">
        <v>0</v>
      </c>
      <c r="O309" s="36">
        <v>0</v>
      </c>
      <c r="P309" t="s">
        <v>361</v>
      </c>
      <c r="Q309" t="s">
        <v>349</v>
      </c>
      <c r="R309" t="s">
        <v>349</v>
      </c>
      <c r="S309" s="1">
        <v>46031</v>
      </c>
      <c r="T309" s="1">
        <v>46031</v>
      </c>
      <c r="V309" s="1">
        <v>46396</v>
      </c>
      <c r="W309" t="s">
        <v>38</v>
      </c>
      <c r="X309">
        <v>12</v>
      </c>
      <c r="Y309" t="s">
        <v>49</v>
      </c>
      <c r="AA309" t="s">
        <v>112</v>
      </c>
      <c r="AB309">
        <v>12</v>
      </c>
      <c r="AC309" t="s">
        <v>350</v>
      </c>
      <c r="AD309" t="s">
        <v>84</v>
      </c>
      <c r="AE309" t="s">
        <v>43</v>
      </c>
      <c r="AF309" t="s">
        <v>44</v>
      </c>
      <c r="AG309" t="str">
        <f t="shared" si="4"/>
        <v>CC 12x</v>
      </c>
      <c r="AH309" t="str">
        <f>IF(AND(SUMIF(E:E,E309,I:I)&gt;=400000,Q309="B2G"),"n","")</f>
        <v/>
      </c>
    </row>
    <row r="310" spans="1:34">
      <c r="A310">
        <v>2026</v>
      </c>
      <c r="B310">
        <v>1</v>
      </c>
      <c r="C310" s="83">
        <v>119875391875</v>
      </c>
      <c r="D310" t="s">
        <v>418</v>
      </c>
      <c r="E310">
        <v>51946778495</v>
      </c>
      <c r="F310">
        <v>608326</v>
      </c>
      <c r="G310">
        <v>47189025322</v>
      </c>
      <c r="H310" t="s">
        <v>35</v>
      </c>
      <c r="I310" s="36">
        <v>2874</v>
      </c>
      <c r="J310" s="36">
        <v>2874</v>
      </c>
      <c r="K310" s="85">
        <v>0</v>
      </c>
      <c r="L310" s="36">
        <v>239.5</v>
      </c>
      <c r="M310" s="36">
        <v>0</v>
      </c>
      <c r="N310" s="36">
        <v>42.32</v>
      </c>
      <c r="O310" s="36">
        <v>197.18</v>
      </c>
      <c r="P310" t="s">
        <v>165</v>
      </c>
      <c r="Q310" t="s">
        <v>166</v>
      </c>
      <c r="R310" t="s">
        <v>166</v>
      </c>
      <c r="S310" s="1">
        <v>46051</v>
      </c>
      <c r="T310" s="1">
        <v>46051</v>
      </c>
      <c r="U310" s="1">
        <v>46052</v>
      </c>
      <c r="V310" s="1">
        <v>46417</v>
      </c>
      <c r="W310" t="s">
        <v>38</v>
      </c>
      <c r="X310">
        <v>12</v>
      </c>
      <c r="Y310" t="s">
        <v>49</v>
      </c>
      <c r="Z310" t="s">
        <v>81</v>
      </c>
      <c r="AA310" t="s">
        <v>122</v>
      </c>
      <c r="AB310">
        <v>12</v>
      </c>
      <c r="AC310" t="s">
        <v>166</v>
      </c>
      <c r="AD310" t="s">
        <v>140</v>
      </c>
      <c r="AE310" t="s">
        <v>46</v>
      </c>
      <c r="AF310" t="s">
        <v>119</v>
      </c>
      <c r="AG310" t="str">
        <f t="shared" si="4"/>
        <v>Recorrente</v>
      </c>
      <c r="AH310" t="str">
        <f>IF(AND(SUMIF(E:E,E310,I:I)&gt;=400000,Q310="B2G"),"n","")</f>
        <v/>
      </c>
    </row>
    <row r="311" spans="1:34">
      <c r="A311">
        <v>2026</v>
      </c>
      <c r="B311">
        <v>1</v>
      </c>
      <c r="C311" s="83">
        <v>179226695057</v>
      </c>
      <c r="D311" t="s">
        <v>419</v>
      </c>
      <c r="E311">
        <v>51947275677</v>
      </c>
      <c r="F311">
        <v>327689</v>
      </c>
      <c r="G311">
        <v>47235157384</v>
      </c>
      <c r="H311" t="s">
        <v>35</v>
      </c>
      <c r="I311" s="36">
        <v>4500</v>
      </c>
      <c r="J311" s="36">
        <v>4500</v>
      </c>
      <c r="K311" s="85">
        <v>0</v>
      </c>
      <c r="L311" s="36">
        <v>375</v>
      </c>
      <c r="M311" s="36">
        <v>0</v>
      </c>
      <c r="N311" s="36">
        <v>18.04</v>
      </c>
      <c r="O311" s="36">
        <v>356.96499999999997</v>
      </c>
      <c r="P311" t="s">
        <v>121</v>
      </c>
      <c r="Q311" t="s">
        <v>111</v>
      </c>
      <c r="R311" t="s">
        <v>111</v>
      </c>
      <c r="S311" s="1">
        <v>46009</v>
      </c>
      <c r="T311" s="1">
        <v>46023</v>
      </c>
      <c r="U311" s="1">
        <v>46007</v>
      </c>
      <c r="V311" s="1">
        <v>46374</v>
      </c>
      <c r="W311" t="s">
        <v>38</v>
      </c>
      <c r="X311">
        <v>12</v>
      </c>
      <c r="Y311" t="s">
        <v>49</v>
      </c>
      <c r="Z311" t="s">
        <v>81</v>
      </c>
      <c r="AA311" t="s">
        <v>122</v>
      </c>
      <c r="AB311">
        <v>12</v>
      </c>
      <c r="AC311" t="s">
        <v>113</v>
      </c>
      <c r="AD311" t="s">
        <v>134</v>
      </c>
      <c r="AE311" t="s">
        <v>135</v>
      </c>
      <c r="AF311" t="s">
        <v>44</v>
      </c>
      <c r="AG311" t="str">
        <f t="shared" si="4"/>
        <v>Recorrente</v>
      </c>
      <c r="AH311" t="str">
        <f>IF(AND(SUMIF(E:E,E311,I:I)&gt;=400000,Q311="B2G"),"n","")</f>
        <v/>
      </c>
    </row>
    <row r="312" spans="1:34">
      <c r="A312">
        <v>2026</v>
      </c>
      <c r="B312">
        <v>1</v>
      </c>
      <c r="C312" s="83">
        <v>179226695057</v>
      </c>
      <c r="D312" t="s">
        <v>419</v>
      </c>
      <c r="E312">
        <v>51947275677</v>
      </c>
      <c r="F312">
        <v>327689</v>
      </c>
      <c r="G312">
        <v>47235157385</v>
      </c>
      <c r="H312" t="s">
        <v>35</v>
      </c>
      <c r="I312" s="36">
        <v>4500</v>
      </c>
      <c r="J312" s="36">
        <v>4500</v>
      </c>
      <c r="K312" s="85">
        <v>0</v>
      </c>
      <c r="L312" s="36">
        <v>375</v>
      </c>
      <c r="M312" s="36">
        <v>0</v>
      </c>
      <c r="N312" s="36">
        <v>18.04</v>
      </c>
      <c r="O312" s="36">
        <v>356.96499999999997</v>
      </c>
      <c r="P312" t="s">
        <v>121</v>
      </c>
      <c r="Q312" t="s">
        <v>111</v>
      </c>
      <c r="R312" t="s">
        <v>111</v>
      </c>
      <c r="S312" s="1">
        <v>46009</v>
      </c>
      <c r="T312" s="1">
        <v>46023</v>
      </c>
      <c r="U312" s="1">
        <v>46007</v>
      </c>
      <c r="V312" s="1">
        <v>46374</v>
      </c>
      <c r="W312" t="s">
        <v>38</v>
      </c>
      <c r="X312">
        <v>12</v>
      </c>
      <c r="Y312" t="s">
        <v>49</v>
      </c>
      <c r="Z312" t="s">
        <v>81</v>
      </c>
      <c r="AA312" t="s">
        <v>122</v>
      </c>
      <c r="AB312">
        <v>12</v>
      </c>
      <c r="AC312" t="s">
        <v>113</v>
      </c>
      <c r="AD312" t="s">
        <v>118</v>
      </c>
      <c r="AE312" t="s">
        <v>43</v>
      </c>
      <c r="AF312" t="s">
        <v>119</v>
      </c>
      <c r="AG312" t="str">
        <f t="shared" si="4"/>
        <v>Recorrente</v>
      </c>
      <c r="AH312" t="str">
        <f>IF(AND(SUMIF(E:E,E312,I:I)&gt;=400000,Q312="B2G"),"n","")</f>
        <v/>
      </c>
    </row>
    <row r="313" spans="1:34">
      <c r="A313">
        <v>2026</v>
      </c>
      <c r="B313">
        <v>1</v>
      </c>
      <c r="C313" s="83">
        <v>2069825</v>
      </c>
      <c r="D313" t="s">
        <v>420</v>
      </c>
      <c r="E313">
        <v>51948604767</v>
      </c>
      <c r="F313">
        <v>635834</v>
      </c>
      <c r="G313">
        <v>50351035232</v>
      </c>
      <c r="H313" t="s">
        <v>35</v>
      </c>
      <c r="I313" s="36">
        <v>2334</v>
      </c>
      <c r="J313" s="36">
        <v>2334</v>
      </c>
      <c r="K313" s="85">
        <v>0</v>
      </c>
      <c r="L313" s="36">
        <v>194.5</v>
      </c>
      <c r="M313" s="36">
        <v>194.5</v>
      </c>
      <c r="N313" s="36">
        <v>0</v>
      </c>
      <c r="O313" s="36">
        <v>0</v>
      </c>
      <c r="P313" t="s">
        <v>313</v>
      </c>
      <c r="Q313" t="s">
        <v>314</v>
      </c>
      <c r="R313" t="s">
        <v>314</v>
      </c>
      <c r="S313" s="1">
        <v>46052</v>
      </c>
      <c r="T313" s="1">
        <v>46052</v>
      </c>
      <c r="V313" s="1">
        <v>46417</v>
      </c>
      <c r="W313" t="s">
        <v>38</v>
      </c>
      <c r="X313">
        <v>12</v>
      </c>
      <c r="Y313" t="s">
        <v>49</v>
      </c>
      <c r="AA313" t="s">
        <v>112</v>
      </c>
      <c r="AB313">
        <v>3</v>
      </c>
      <c r="AC313" t="s">
        <v>315</v>
      </c>
      <c r="AD313" t="s">
        <v>140</v>
      </c>
      <c r="AE313" t="s">
        <v>46</v>
      </c>
      <c r="AF313" t="s">
        <v>119</v>
      </c>
      <c r="AG313" t="str">
        <f t="shared" si="4"/>
        <v>CC 3x</v>
      </c>
      <c r="AH313" t="str">
        <f>IF(AND(SUMIF(E:E,E313,I:I)&gt;=400000,Q313="B2G"),"n","")</f>
        <v/>
      </c>
    </row>
    <row r="314" spans="1:34">
      <c r="A314">
        <v>2026</v>
      </c>
      <c r="B314">
        <v>1</v>
      </c>
      <c r="C314" s="83">
        <v>2109236</v>
      </c>
      <c r="D314" t="s">
        <v>421</v>
      </c>
      <c r="E314">
        <v>51949718967</v>
      </c>
      <c r="F314">
        <v>605738</v>
      </c>
      <c r="G314">
        <v>47279260592</v>
      </c>
      <c r="H314" t="s">
        <v>35</v>
      </c>
      <c r="I314" s="36">
        <v>2586.6</v>
      </c>
      <c r="J314" s="36">
        <v>2586.6</v>
      </c>
      <c r="K314" s="85">
        <v>0</v>
      </c>
      <c r="L314" s="36">
        <v>215.55</v>
      </c>
      <c r="M314" s="36">
        <v>0</v>
      </c>
      <c r="N314" s="36">
        <v>0</v>
      </c>
      <c r="O314" s="36">
        <v>215.55</v>
      </c>
      <c r="P314" t="s">
        <v>137</v>
      </c>
      <c r="Q314" t="s">
        <v>111</v>
      </c>
      <c r="R314" t="s">
        <v>111</v>
      </c>
      <c r="S314" s="1">
        <v>46010</v>
      </c>
      <c r="T314" s="1">
        <v>46023</v>
      </c>
      <c r="U314" s="1">
        <v>46006</v>
      </c>
      <c r="V314" s="1">
        <v>46375</v>
      </c>
      <c r="W314" t="s">
        <v>38</v>
      </c>
      <c r="X314">
        <v>12</v>
      </c>
      <c r="Y314" t="s">
        <v>49</v>
      </c>
      <c r="Z314" t="s">
        <v>81</v>
      </c>
      <c r="AA314" t="s">
        <v>117</v>
      </c>
      <c r="AB314">
        <v>1</v>
      </c>
      <c r="AC314" t="s">
        <v>113</v>
      </c>
      <c r="AD314" t="s">
        <v>118</v>
      </c>
      <c r="AE314" t="s">
        <v>43</v>
      </c>
      <c r="AF314" t="s">
        <v>119</v>
      </c>
      <c r="AG314" t="str">
        <f t="shared" si="4"/>
        <v>À Vista</v>
      </c>
      <c r="AH314" t="str">
        <f>IF(AND(SUMIF(E:E,E314,I:I)&gt;=400000,Q314="B2G"),"n","")</f>
        <v/>
      </c>
    </row>
    <row r="315" spans="1:34">
      <c r="A315">
        <v>2026</v>
      </c>
      <c r="B315">
        <v>1</v>
      </c>
      <c r="C315" s="83">
        <v>166931445628</v>
      </c>
      <c r="D315" t="s">
        <v>422</v>
      </c>
      <c r="E315">
        <v>51950338904</v>
      </c>
      <c r="F315">
        <v>328289</v>
      </c>
      <c r="G315">
        <v>47171724150</v>
      </c>
      <c r="H315" t="s">
        <v>35</v>
      </c>
      <c r="I315" s="36">
        <v>3666.6</v>
      </c>
      <c r="J315" s="36">
        <v>3666.6</v>
      </c>
      <c r="K315" s="85">
        <v>0</v>
      </c>
      <c r="L315" s="36">
        <v>305.55</v>
      </c>
      <c r="M315" s="36">
        <v>0</v>
      </c>
      <c r="N315" s="36">
        <v>63.37</v>
      </c>
      <c r="O315" s="36">
        <v>242.18</v>
      </c>
      <c r="P315" t="s">
        <v>165</v>
      </c>
      <c r="Q315" t="s">
        <v>166</v>
      </c>
      <c r="R315" t="s">
        <v>166</v>
      </c>
      <c r="S315" s="1">
        <v>46051</v>
      </c>
      <c r="T315" s="1">
        <v>46051</v>
      </c>
      <c r="U315" s="1">
        <v>46052</v>
      </c>
      <c r="V315" s="1">
        <v>46417</v>
      </c>
      <c r="W315" t="s">
        <v>38</v>
      </c>
      <c r="X315">
        <v>12</v>
      </c>
      <c r="Y315" t="s">
        <v>49</v>
      </c>
      <c r="Z315" t="s">
        <v>81</v>
      </c>
      <c r="AA315" t="s">
        <v>112</v>
      </c>
      <c r="AB315">
        <v>10</v>
      </c>
      <c r="AC315" t="s">
        <v>166</v>
      </c>
      <c r="AD315" t="s">
        <v>114</v>
      </c>
      <c r="AE315" t="s">
        <v>43</v>
      </c>
      <c r="AF315" t="s">
        <v>44</v>
      </c>
      <c r="AG315" t="str">
        <f t="shared" si="4"/>
        <v>CC 12x</v>
      </c>
      <c r="AH315" t="str">
        <f>IF(AND(SUMIF(E:E,E315,I:I)&gt;=400000,Q315="B2G"),"n","")</f>
        <v/>
      </c>
    </row>
    <row r="316" spans="1:34">
      <c r="A316">
        <v>2026</v>
      </c>
      <c r="B316">
        <v>1</v>
      </c>
      <c r="C316" s="83">
        <v>29081602822</v>
      </c>
      <c r="D316" t="s">
        <v>423</v>
      </c>
      <c r="E316">
        <v>51952499736</v>
      </c>
      <c r="F316">
        <v>328356</v>
      </c>
      <c r="G316">
        <v>47171570602</v>
      </c>
      <c r="H316" t="s">
        <v>35</v>
      </c>
      <c r="I316" s="36">
        <v>2874</v>
      </c>
      <c r="J316" s="36">
        <v>2874</v>
      </c>
      <c r="K316" s="85">
        <v>0</v>
      </c>
      <c r="L316" s="36">
        <v>239.5</v>
      </c>
      <c r="M316" s="36">
        <v>0</v>
      </c>
      <c r="N316" s="36">
        <v>24.33</v>
      </c>
      <c r="O316" s="36">
        <v>215.17</v>
      </c>
      <c r="P316" t="s">
        <v>165</v>
      </c>
      <c r="Q316" t="s">
        <v>166</v>
      </c>
      <c r="R316" t="s">
        <v>166</v>
      </c>
      <c r="S316" s="1">
        <v>46051</v>
      </c>
      <c r="T316" s="1">
        <v>46051</v>
      </c>
      <c r="U316" s="1">
        <v>46052</v>
      </c>
      <c r="V316" s="1">
        <v>46417</v>
      </c>
      <c r="W316" t="s">
        <v>38</v>
      </c>
      <c r="X316">
        <v>12</v>
      </c>
      <c r="Y316" t="s">
        <v>49</v>
      </c>
      <c r="Z316" t="s">
        <v>81</v>
      </c>
      <c r="AA316" t="s">
        <v>112</v>
      </c>
      <c r="AB316">
        <v>12</v>
      </c>
      <c r="AC316" t="s">
        <v>166</v>
      </c>
      <c r="AD316" t="s">
        <v>140</v>
      </c>
      <c r="AE316" t="s">
        <v>46</v>
      </c>
      <c r="AF316" t="s">
        <v>119</v>
      </c>
      <c r="AG316" t="str">
        <f t="shared" si="4"/>
        <v>CC 12x</v>
      </c>
      <c r="AH316" t="str">
        <f>IF(AND(SUMIF(E:E,E316,I:I)&gt;=400000,Q316="B2G"),"n","")</f>
        <v/>
      </c>
    </row>
    <row r="317" spans="1:34">
      <c r="A317">
        <v>2026</v>
      </c>
      <c r="B317">
        <v>1</v>
      </c>
      <c r="C317" s="83">
        <v>2267811</v>
      </c>
      <c r="D317" t="s">
        <v>424</v>
      </c>
      <c r="E317">
        <v>51954823090</v>
      </c>
      <c r="F317">
        <v>626014</v>
      </c>
      <c r="G317">
        <v>47189801066</v>
      </c>
      <c r="H317" t="s">
        <v>35</v>
      </c>
      <c r="I317" s="36">
        <v>2874</v>
      </c>
      <c r="J317" s="36">
        <v>2874</v>
      </c>
      <c r="K317" s="85">
        <v>0</v>
      </c>
      <c r="L317" s="36">
        <v>239.5</v>
      </c>
      <c r="M317" s="36">
        <v>0</v>
      </c>
      <c r="N317" s="36">
        <v>20.420000000000002</v>
      </c>
      <c r="O317" s="36">
        <v>219.08</v>
      </c>
      <c r="P317" t="s">
        <v>165</v>
      </c>
      <c r="Q317" t="s">
        <v>166</v>
      </c>
      <c r="R317" t="s">
        <v>166</v>
      </c>
      <c r="S317" s="1">
        <v>46051</v>
      </c>
      <c r="T317" s="1">
        <v>46051</v>
      </c>
      <c r="U317" s="1">
        <v>46052</v>
      </c>
      <c r="V317" s="1">
        <v>46417</v>
      </c>
      <c r="W317" t="s">
        <v>38</v>
      </c>
      <c r="X317">
        <v>12</v>
      </c>
      <c r="Y317" t="s">
        <v>49</v>
      </c>
      <c r="Z317" t="s">
        <v>81</v>
      </c>
      <c r="AA317" t="s">
        <v>122</v>
      </c>
      <c r="AB317">
        <v>12</v>
      </c>
      <c r="AC317" t="s">
        <v>166</v>
      </c>
      <c r="AD317" t="s">
        <v>140</v>
      </c>
      <c r="AE317" t="s">
        <v>46</v>
      </c>
      <c r="AF317" t="s">
        <v>119</v>
      </c>
      <c r="AG317" t="str">
        <f t="shared" si="4"/>
        <v>Recorrente</v>
      </c>
      <c r="AH317" t="str">
        <f>IF(AND(SUMIF(E:E,E317,I:I)&gt;=400000,Q317="B2G"),"n","")</f>
        <v/>
      </c>
    </row>
    <row r="318" spans="1:34">
      <c r="A318">
        <v>2026</v>
      </c>
      <c r="B318">
        <v>1</v>
      </c>
      <c r="C318" s="83">
        <v>2112488</v>
      </c>
      <c r="D318" t="s">
        <v>425</v>
      </c>
      <c r="E318">
        <v>51955749531</v>
      </c>
      <c r="F318">
        <v>301102</v>
      </c>
      <c r="G318">
        <v>48048309298</v>
      </c>
      <c r="H318" t="s">
        <v>35</v>
      </c>
      <c r="I318" s="36">
        <v>3020.4</v>
      </c>
      <c r="J318" s="36">
        <v>3020.4</v>
      </c>
      <c r="K318" s="85">
        <v>0</v>
      </c>
      <c r="L318" s="36">
        <v>251.7</v>
      </c>
      <c r="M318" s="36">
        <v>0</v>
      </c>
      <c r="N318" s="36">
        <v>21.18</v>
      </c>
      <c r="O318" s="36">
        <v>230.52</v>
      </c>
      <c r="P318" t="s">
        <v>133</v>
      </c>
      <c r="Q318" t="s">
        <v>111</v>
      </c>
      <c r="R318" t="s">
        <v>111</v>
      </c>
      <c r="S318" s="1">
        <v>46021</v>
      </c>
      <c r="T318" s="1">
        <v>46023</v>
      </c>
      <c r="U318" s="1">
        <v>46006</v>
      </c>
      <c r="V318" s="1">
        <v>46386</v>
      </c>
      <c r="W318" t="s">
        <v>38</v>
      </c>
      <c r="X318">
        <v>12</v>
      </c>
      <c r="Y318" t="s">
        <v>49</v>
      </c>
      <c r="Z318" t="s">
        <v>81</v>
      </c>
      <c r="AA318" t="s">
        <v>117</v>
      </c>
      <c r="AB318">
        <v>1</v>
      </c>
      <c r="AC318" t="s">
        <v>113</v>
      </c>
      <c r="AD318" t="s">
        <v>84</v>
      </c>
      <c r="AE318" t="s">
        <v>43</v>
      </c>
      <c r="AF318" t="s">
        <v>44</v>
      </c>
      <c r="AG318" t="str">
        <f t="shared" si="4"/>
        <v>À Vista</v>
      </c>
      <c r="AH318" t="str">
        <f>IF(AND(SUMIF(E:E,E318,I:I)&gt;=400000,Q318="B2G"),"n","")</f>
        <v/>
      </c>
    </row>
    <row r="319" spans="1:34">
      <c r="A319">
        <v>2026</v>
      </c>
      <c r="B319">
        <v>1</v>
      </c>
      <c r="C319" s="83">
        <v>2076386</v>
      </c>
      <c r="D319" t="s">
        <v>426</v>
      </c>
      <c r="E319">
        <v>51958397587</v>
      </c>
      <c r="F319">
        <v>621416</v>
      </c>
      <c r="G319">
        <v>49363041292</v>
      </c>
      <c r="H319" t="s">
        <v>35</v>
      </c>
      <c r="I319" s="36">
        <v>6512.4</v>
      </c>
      <c r="J319" s="36">
        <v>3843</v>
      </c>
      <c r="K319" s="85">
        <v>2669.4</v>
      </c>
      <c r="L319" s="36">
        <v>320.25</v>
      </c>
      <c r="M319" s="36">
        <v>0</v>
      </c>
      <c r="N319" s="36">
        <v>320.25</v>
      </c>
      <c r="O319" s="36">
        <v>0</v>
      </c>
      <c r="P319" t="s">
        <v>323</v>
      </c>
      <c r="Q319" t="s">
        <v>191</v>
      </c>
      <c r="R319" t="s">
        <v>191</v>
      </c>
      <c r="S319" s="1">
        <v>46041</v>
      </c>
      <c r="T319" s="1">
        <v>46041</v>
      </c>
      <c r="V319" s="1">
        <v>46660</v>
      </c>
      <c r="W319" t="s">
        <v>102</v>
      </c>
      <c r="X319">
        <v>20</v>
      </c>
      <c r="Y319" t="s">
        <v>49</v>
      </c>
      <c r="Z319" t="s">
        <v>324</v>
      </c>
      <c r="AA319" t="s">
        <v>122</v>
      </c>
      <c r="AB319">
        <v>20</v>
      </c>
      <c r="AC319" t="s">
        <v>192</v>
      </c>
      <c r="AD319" t="s">
        <v>134</v>
      </c>
      <c r="AE319" t="s">
        <v>135</v>
      </c>
      <c r="AF319" t="s">
        <v>44</v>
      </c>
      <c r="AG319" t="str">
        <f t="shared" si="4"/>
        <v>Recorrente</v>
      </c>
      <c r="AH319" t="str">
        <f>IF(AND(SUMIF(E:E,E319,I:I)&gt;=400000,Q319="B2G"),"n","")</f>
        <v/>
      </c>
    </row>
    <row r="320" spans="1:34">
      <c r="A320">
        <v>2026</v>
      </c>
      <c r="B320">
        <v>1</v>
      </c>
      <c r="C320" s="83">
        <v>47404406968</v>
      </c>
      <c r="D320" t="s">
        <v>427</v>
      </c>
      <c r="E320">
        <v>51986573134</v>
      </c>
      <c r="F320">
        <v>301857</v>
      </c>
      <c r="G320">
        <v>47238110893</v>
      </c>
      <c r="H320" t="s">
        <v>35</v>
      </c>
      <c r="I320" s="36">
        <v>5050.8</v>
      </c>
      <c r="J320" s="36">
        <v>5050.8</v>
      </c>
      <c r="K320" s="85">
        <v>0</v>
      </c>
      <c r="L320" s="36">
        <v>420.9</v>
      </c>
      <c r="M320" s="36">
        <v>0</v>
      </c>
      <c r="N320" s="36">
        <v>47.81</v>
      </c>
      <c r="O320" s="36">
        <v>373.09</v>
      </c>
      <c r="P320" t="s">
        <v>162</v>
      </c>
      <c r="Q320" t="s">
        <v>111</v>
      </c>
      <c r="R320" t="s">
        <v>111</v>
      </c>
      <c r="S320" s="1">
        <v>46009</v>
      </c>
      <c r="T320" s="1">
        <v>46023</v>
      </c>
      <c r="U320" s="1">
        <v>46017</v>
      </c>
      <c r="V320" s="1">
        <v>46382</v>
      </c>
      <c r="W320" t="s">
        <v>38</v>
      </c>
      <c r="X320">
        <v>12</v>
      </c>
      <c r="Y320" t="s">
        <v>49</v>
      </c>
      <c r="Z320" t="s">
        <v>81</v>
      </c>
      <c r="AA320" t="s">
        <v>122</v>
      </c>
      <c r="AB320">
        <v>12</v>
      </c>
      <c r="AC320" t="s">
        <v>113</v>
      </c>
      <c r="AD320" t="s">
        <v>149</v>
      </c>
      <c r="AE320" t="s">
        <v>43</v>
      </c>
      <c r="AF320" t="s">
        <v>96</v>
      </c>
      <c r="AG320" t="str">
        <f t="shared" si="4"/>
        <v>Recorrente</v>
      </c>
      <c r="AH320" t="str">
        <f>IF(AND(SUMIF(E:E,E320,I:I)&gt;=400000,Q320="B2G"),"n","")</f>
        <v/>
      </c>
    </row>
    <row r="321" spans="1:34">
      <c r="A321">
        <v>2026</v>
      </c>
      <c r="B321">
        <v>1</v>
      </c>
      <c r="C321" s="83">
        <v>1632273</v>
      </c>
      <c r="D321" t="s">
        <v>428</v>
      </c>
      <c r="E321">
        <v>51996374914</v>
      </c>
      <c r="F321">
        <v>526292</v>
      </c>
      <c r="G321">
        <v>47179775397</v>
      </c>
      <c r="H321" t="s">
        <v>35</v>
      </c>
      <c r="I321" s="36">
        <v>2874</v>
      </c>
      <c r="J321" s="36">
        <v>2874</v>
      </c>
      <c r="K321" s="85">
        <v>0</v>
      </c>
      <c r="L321" s="36">
        <v>239.5</v>
      </c>
      <c r="M321" s="36">
        <v>0</v>
      </c>
      <c r="N321" s="36">
        <v>0.5</v>
      </c>
      <c r="O321" s="36">
        <v>239</v>
      </c>
      <c r="P321" t="s">
        <v>165</v>
      </c>
      <c r="Q321" t="s">
        <v>166</v>
      </c>
      <c r="R321" t="s">
        <v>166</v>
      </c>
      <c r="S321" s="1">
        <v>46051</v>
      </c>
      <c r="T321" s="1">
        <v>46051</v>
      </c>
      <c r="U321" s="1">
        <v>46053</v>
      </c>
      <c r="V321" s="1">
        <v>46418</v>
      </c>
      <c r="W321" t="s">
        <v>38</v>
      </c>
      <c r="X321">
        <v>12</v>
      </c>
      <c r="Y321" t="s">
        <v>49</v>
      </c>
      <c r="Z321" t="s">
        <v>81</v>
      </c>
      <c r="AA321" t="s">
        <v>112</v>
      </c>
      <c r="AB321">
        <v>6</v>
      </c>
      <c r="AC321" t="s">
        <v>166</v>
      </c>
      <c r="AD321" t="s">
        <v>140</v>
      </c>
      <c r="AE321" t="s">
        <v>46</v>
      </c>
      <c r="AF321" t="s">
        <v>119</v>
      </c>
      <c r="AG321" t="str">
        <f t="shared" si="4"/>
        <v>CC 12x</v>
      </c>
      <c r="AH321" t="str">
        <f>IF(AND(SUMIF(E:E,E321,I:I)&gt;=400000,Q321="B2G"),"n","")</f>
        <v/>
      </c>
    </row>
    <row r="322" spans="1:34">
      <c r="A322">
        <v>2026</v>
      </c>
      <c r="B322">
        <v>1</v>
      </c>
      <c r="C322" s="83">
        <v>93907072514</v>
      </c>
      <c r="D322" t="s">
        <v>429</v>
      </c>
      <c r="E322">
        <v>52008559267</v>
      </c>
      <c r="F322">
        <v>328380</v>
      </c>
      <c r="G322">
        <v>47162257562</v>
      </c>
      <c r="H322" t="s">
        <v>35</v>
      </c>
      <c r="I322" s="36">
        <v>4765.4399999999996</v>
      </c>
      <c r="J322" s="36">
        <v>4765.4399999999996</v>
      </c>
      <c r="K322" s="85">
        <v>0</v>
      </c>
      <c r="L322" s="36">
        <v>397.12</v>
      </c>
      <c r="M322" s="36">
        <v>0</v>
      </c>
      <c r="N322" s="36">
        <v>58.97</v>
      </c>
      <c r="O322" s="36">
        <v>338.16</v>
      </c>
      <c r="P322" t="s">
        <v>165</v>
      </c>
      <c r="Q322" t="s">
        <v>166</v>
      </c>
      <c r="R322" t="s">
        <v>166</v>
      </c>
      <c r="S322" s="1">
        <v>46051</v>
      </c>
      <c r="T322" s="1">
        <v>46051</v>
      </c>
      <c r="U322" s="1">
        <v>46053</v>
      </c>
      <c r="V322" s="1">
        <v>46418</v>
      </c>
      <c r="W322" t="s">
        <v>38</v>
      </c>
      <c r="X322">
        <v>12</v>
      </c>
      <c r="Y322" t="s">
        <v>49</v>
      </c>
      <c r="Z322" t="s">
        <v>81</v>
      </c>
      <c r="AA322" t="s">
        <v>122</v>
      </c>
      <c r="AB322">
        <v>12</v>
      </c>
      <c r="AC322" t="s">
        <v>166</v>
      </c>
      <c r="AD322" t="s">
        <v>174</v>
      </c>
      <c r="AE322" t="s">
        <v>43</v>
      </c>
      <c r="AF322" t="s">
        <v>47</v>
      </c>
      <c r="AG322" t="str">
        <f t="shared" si="4"/>
        <v>Recorrente</v>
      </c>
      <c r="AH322" t="str">
        <f>IF(AND(SUMIF(E:E,E322,I:I)&gt;=400000,Q322="B2G"),"n","")</f>
        <v/>
      </c>
    </row>
    <row r="323" spans="1:34">
      <c r="A323">
        <v>2026</v>
      </c>
      <c r="B323">
        <v>1</v>
      </c>
      <c r="C323" s="83">
        <v>2085732</v>
      </c>
      <c r="D323" t="s">
        <v>430</v>
      </c>
      <c r="E323">
        <v>52008838785</v>
      </c>
      <c r="F323">
        <v>328337</v>
      </c>
      <c r="G323">
        <v>47181634233</v>
      </c>
      <c r="H323" t="s">
        <v>35</v>
      </c>
      <c r="I323" s="36">
        <v>5178.6000000000004</v>
      </c>
      <c r="J323" s="36">
        <v>5178.6000000000004</v>
      </c>
      <c r="K323" s="85">
        <v>0</v>
      </c>
      <c r="L323" s="36">
        <v>431.55</v>
      </c>
      <c r="M323" s="36">
        <v>0</v>
      </c>
      <c r="N323" s="36">
        <v>92.3</v>
      </c>
      <c r="O323" s="36">
        <v>339.25</v>
      </c>
      <c r="P323" t="s">
        <v>165</v>
      </c>
      <c r="Q323" t="s">
        <v>166</v>
      </c>
      <c r="R323" t="s">
        <v>166</v>
      </c>
      <c r="S323" s="1">
        <v>46051</v>
      </c>
      <c r="T323" s="1">
        <v>46051</v>
      </c>
      <c r="U323" s="1">
        <v>46053</v>
      </c>
      <c r="V323" s="1">
        <v>46418</v>
      </c>
      <c r="W323" t="s">
        <v>38</v>
      </c>
      <c r="X323">
        <v>12</v>
      </c>
      <c r="Y323" t="s">
        <v>49</v>
      </c>
      <c r="Z323" t="s">
        <v>81</v>
      </c>
      <c r="AA323" t="s">
        <v>112</v>
      </c>
      <c r="AB323">
        <v>12</v>
      </c>
      <c r="AC323" t="s">
        <v>166</v>
      </c>
      <c r="AD323" t="s">
        <v>85</v>
      </c>
      <c r="AE323" t="s">
        <v>46</v>
      </c>
      <c r="AF323" t="s">
        <v>44</v>
      </c>
      <c r="AG323" t="str">
        <f t="shared" ref="AG323:AG386" si="5">IF(IFERROR(SEARCH("Recorrente",AA323),0)&gt;0,"Recorrente",IF(AB323=1,"À Vista",IF(AB323&lt;=3,"CC 3x",IF(AB323&lt;=12,"CC 12x",IF(AB323&gt;12,"Recorrente","")))))</f>
        <v>CC 12x</v>
      </c>
      <c r="AH323" t="str">
        <f>IF(AND(SUMIF(E:E,E323,I:I)&gt;=400000,Q323="B2G"),"n","")</f>
        <v/>
      </c>
    </row>
    <row r="324" spans="1:34">
      <c r="A324">
        <v>2026</v>
      </c>
      <c r="B324">
        <v>1</v>
      </c>
      <c r="C324" s="83">
        <v>19433951884</v>
      </c>
      <c r="D324" t="s">
        <v>431</v>
      </c>
      <c r="E324">
        <v>52008858038</v>
      </c>
      <c r="F324">
        <v>608454</v>
      </c>
      <c r="G324">
        <v>47186436141</v>
      </c>
      <c r="H324" t="s">
        <v>35</v>
      </c>
      <c r="I324" s="36">
        <v>4530.6000000000004</v>
      </c>
      <c r="J324" s="36">
        <v>4530.6000000000004</v>
      </c>
      <c r="K324" s="85">
        <v>0</v>
      </c>
      <c r="L324" s="36">
        <v>377.55</v>
      </c>
      <c r="M324" s="36">
        <v>0</v>
      </c>
      <c r="N324" s="36">
        <v>87.78</v>
      </c>
      <c r="O324" s="36">
        <v>289.77</v>
      </c>
      <c r="P324" t="s">
        <v>165</v>
      </c>
      <c r="Q324" t="s">
        <v>166</v>
      </c>
      <c r="R324" t="s">
        <v>166</v>
      </c>
      <c r="S324" s="1">
        <v>46051</v>
      </c>
      <c r="T324" s="1">
        <v>46051</v>
      </c>
      <c r="U324" s="1">
        <v>46053</v>
      </c>
      <c r="V324" s="1">
        <v>46418</v>
      </c>
      <c r="W324" t="s">
        <v>38</v>
      </c>
      <c r="X324">
        <v>12</v>
      </c>
      <c r="Y324" t="s">
        <v>49</v>
      </c>
      <c r="Z324" t="s">
        <v>81</v>
      </c>
      <c r="AA324" t="s">
        <v>112</v>
      </c>
      <c r="AB324">
        <v>12</v>
      </c>
      <c r="AC324" t="s">
        <v>166</v>
      </c>
      <c r="AD324" t="s">
        <v>84</v>
      </c>
      <c r="AE324" t="s">
        <v>43</v>
      </c>
      <c r="AF324" t="s">
        <v>44</v>
      </c>
      <c r="AG324" t="str">
        <f t="shared" si="5"/>
        <v>CC 12x</v>
      </c>
      <c r="AH324" t="str">
        <f>IF(AND(SUMIF(E:E,E324,I:I)&gt;=400000,Q324="B2G"),"n","")</f>
        <v/>
      </c>
    </row>
    <row r="325" spans="1:34">
      <c r="A325">
        <v>2026</v>
      </c>
      <c r="B325">
        <v>1</v>
      </c>
      <c r="C325" s="83">
        <v>125081951886</v>
      </c>
      <c r="D325" t="s">
        <v>432</v>
      </c>
      <c r="E325">
        <v>52008872318</v>
      </c>
      <c r="F325">
        <v>304306</v>
      </c>
      <c r="G325">
        <v>47180702987</v>
      </c>
      <c r="H325" t="s">
        <v>35</v>
      </c>
      <c r="I325" s="36">
        <v>2874</v>
      </c>
      <c r="J325" s="36">
        <v>2874</v>
      </c>
      <c r="K325" s="85">
        <v>0</v>
      </c>
      <c r="L325" s="36">
        <v>239.5</v>
      </c>
      <c r="M325" s="36">
        <v>0</v>
      </c>
      <c r="N325" s="36">
        <v>10.5</v>
      </c>
      <c r="O325" s="36">
        <v>229</v>
      </c>
      <c r="P325" t="s">
        <v>165</v>
      </c>
      <c r="Q325" t="s">
        <v>166</v>
      </c>
      <c r="R325" t="s">
        <v>166</v>
      </c>
      <c r="S325" s="1">
        <v>46051</v>
      </c>
      <c r="T325" s="1">
        <v>46051</v>
      </c>
      <c r="U325" s="1">
        <v>46053</v>
      </c>
      <c r="V325" s="1">
        <v>46418</v>
      </c>
      <c r="W325" t="s">
        <v>38</v>
      </c>
      <c r="X325">
        <v>12</v>
      </c>
      <c r="Y325" t="s">
        <v>49</v>
      </c>
      <c r="Z325" t="s">
        <v>81</v>
      </c>
      <c r="AA325" t="s">
        <v>122</v>
      </c>
      <c r="AB325">
        <v>12</v>
      </c>
      <c r="AC325" t="s">
        <v>166</v>
      </c>
      <c r="AD325" t="s">
        <v>140</v>
      </c>
      <c r="AE325" t="s">
        <v>46</v>
      </c>
      <c r="AF325" t="s">
        <v>119</v>
      </c>
      <c r="AG325" t="str">
        <f t="shared" si="5"/>
        <v>Recorrente</v>
      </c>
      <c r="AH325" t="str">
        <f>IF(AND(SUMIF(E:E,E325,I:I)&gt;=400000,Q325="B2G"),"n","")</f>
        <v/>
      </c>
    </row>
    <row r="326" spans="1:34">
      <c r="A326">
        <v>2026</v>
      </c>
      <c r="B326">
        <v>1</v>
      </c>
      <c r="C326" s="83">
        <v>125081951886</v>
      </c>
      <c r="D326" t="s">
        <v>432</v>
      </c>
      <c r="E326">
        <v>52008872318</v>
      </c>
      <c r="F326">
        <v>304306</v>
      </c>
      <c r="G326">
        <v>47220093053</v>
      </c>
      <c r="H326" t="s">
        <v>35</v>
      </c>
      <c r="I326" s="36">
        <v>2874</v>
      </c>
      <c r="J326" s="36">
        <v>2874</v>
      </c>
      <c r="K326" s="85">
        <v>0</v>
      </c>
      <c r="L326" s="36">
        <v>239.5</v>
      </c>
      <c r="M326" s="36">
        <v>0</v>
      </c>
      <c r="N326" s="36">
        <v>10.5</v>
      </c>
      <c r="O326" s="36">
        <v>229</v>
      </c>
      <c r="P326" t="s">
        <v>165</v>
      </c>
      <c r="Q326" t="s">
        <v>166</v>
      </c>
      <c r="R326" t="s">
        <v>166</v>
      </c>
      <c r="S326" s="1">
        <v>46051</v>
      </c>
      <c r="T326" s="1">
        <v>46051</v>
      </c>
      <c r="U326" s="1">
        <v>46053</v>
      </c>
      <c r="V326" s="1">
        <v>46418</v>
      </c>
      <c r="W326" t="s">
        <v>38</v>
      </c>
      <c r="X326">
        <v>12</v>
      </c>
      <c r="Y326" t="s">
        <v>49</v>
      </c>
      <c r="Z326" t="s">
        <v>81</v>
      </c>
      <c r="AA326" t="s">
        <v>122</v>
      </c>
      <c r="AB326">
        <v>12</v>
      </c>
      <c r="AC326" t="s">
        <v>166</v>
      </c>
      <c r="AD326" t="s">
        <v>118</v>
      </c>
      <c r="AE326" t="s">
        <v>43</v>
      </c>
      <c r="AF326" t="s">
        <v>119</v>
      </c>
      <c r="AG326" t="str">
        <f t="shared" si="5"/>
        <v>Recorrente</v>
      </c>
      <c r="AH326" t="str">
        <f>IF(AND(SUMIF(E:E,E326,I:I)&gt;=400000,Q326="B2G"),"n","")</f>
        <v/>
      </c>
    </row>
    <row r="327" spans="1:34">
      <c r="A327">
        <v>2026</v>
      </c>
      <c r="B327">
        <v>1</v>
      </c>
      <c r="C327" s="83">
        <v>93945531705</v>
      </c>
      <c r="D327" t="s">
        <v>433</v>
      </c>
      <c r="E327">
        <v>52008942515</v>
      </c>
      <c r="F327">
        <v>608259</v>
      </c>
      <c r="G327">
        <v>47177293124</v>
      </c>
      <c r="H327" t="s">
        <v>35</v>
      </c>
      <c r="I327" s="36">
        <v>2874</v>
      </c>
      <c r="J327" s="36">
        <v>2874</v>
      </c>
      <c r="K327" s="85">
        <v>0</v>
      </c>
      <c r="L327" s="36">
        <v>239.5</v>
      </c>
      <c r="M327" s="36">
        <v>0</v>
      </c>
      <c r="N327" s="36">
        <v>0.5</v>
      </c>
      <c r="O327" s="36">
        <v>239</v>
      </c>
      <c r="P327" t="s">
        <v>165</v>
      </c>
      <c r="Q327" t="s">
        <v>166</v>
      </c>
      <c r="R327" t="s">
        <v>166</v>
      </c>
      <c r="S327" s="1">
        <v>46051</v>
      </c>
      <c r="T327" s="1">
        <v>46051</v>
      </c>
      <c r="U327" s="1">
        <v>46053</v>
      </c>
      <c r="V327" s="1">
        <v>46418</v>
      </c>
      <c r="W327" t="s">
        <v>38</v>
      </c>
      <c r="X327">
        <v>12</v>
      </c>
      <c r="Y327" t="s">
        <v>49</v>
      </c>
      <c r="Z327" t="s">
        <v>81</v>
      </c>
      <c r="AA327" t="s">
        <v>122</v>
      </c>
      <c r="AB327">
        <v>12</v>
      </c>
      <c r="AC327" t="s">
        <v>166</v>
      </c>
      <c r="AD327" t="s">
        <v>140</v>
      </c>
      <c r="AE327" t="s">
        <v>46</v>
      </c>
      <c r="AF327" t="s">
        <v>119</v>
      </c>
      <c r="AG327" t="str">
        <f t="shared" si="5"/>
        <v>Recorrente</v>
      </c>
      <c r="AH327" t="str">
        <f>IF(AND(SUMIF(E:E,E327,I:I)&gt;=400000,Q327="B2G"),"n","")</f>
        <v/>
      </c>
    </row>
    <row r="328" spans="1:34">
      <c r="A328">
        <v>2026</v>
      </c>
      <c r="B328">
        <v>1</v>
      </c>
      <c r="C328" s="83">
        <v>2095524</v>
      </c>
      <c r="D328" t="s">
        <v>434</v>
      </c>
      <c r="E328">
        <v>52008943500</v>
      </c>
      <c r="F328">
        <v>625620</v>
      </c>
      <c r="G328">
        <v>50352490671</v>
      </c>
      <c r="H328" t="s">
        <v>35</v>
      </c>
      <c r="I328" s="36">
        <v>4896</v>
      </c>
      <c r="J328" s="36">
        <v>4896</v>
      </c>
      <c r="K328" s="85">
        <v>0</v>
      </c>
      <c r="L328" s="36">
        <v>408</v>
      </c>
      <c r="M328" s="36">
        <v>0</v>
      </c>
      <c r="N328" s="36">
        <v>26.35</v>
      </c>
      <c r="O328" s="36">
        <v>381.65</v>
      </c>
      <c r="P328" t="s">
        <v>127</v>
      </c>
      <c r="Q328" t="s">
        <v>111</v>
      </c>
      <c r="R328" t="s">
        <v>111</v>
      </c>
      <c r="S328" s="1">
        <v>46051</v>
      </c>
      <c r="T328" s="1">
        <v>46051</v>
      </c>
      <c r="U328" s="1">
        <v>46038</v>
      </c>
      <c r="V328" s="1">
        <v>46416</v>
      </c>
      <c r="W328" t="s">
        <v>38</v>
      </c>
      <c r="X328">
        <v>12</v>
      </c>
      <c r="Y328" t="s">
        <v>49</v>
      </c>
      <c r="Z328" t="s">
        <v>81</v>
      </c>
      <c r="AA328" t="s">
        <v>122</v>
      </c>
      <c r="AB328">
        <v>12</v>
      </c>
      <c r="AC328" t="s">
        <v>113</v>
      </c>
      <c r="AD328" t="s">
        <v>85</v>
      </c>
      <c r="AE328" t="s">
        <v>46</v>
      </c>
      <c r="AF328" t="s">
        <v>44</v>
      </c>
      <c r="AG328" t="str">
        <f t="shared" si="5"/>
        <v>Recorrente</v>
      </c>
      <c r="AH328" t="str">
        <f>IF(AND(SUMIF(E:E,E328,I:I)&gt;=400000,Q328="B2G"),"n","")</f>
        <v/>
      </c>
    </row>
    <row r="329" spans="1:34">
      <c r="A329">
        <v>2026</v>
      </c>
      <c r="B329">
        <v>1</v>
      </c>
      <c r="C329" s="83">
        <v>2081818</v>
      </c>
      <c r="D329" t="s">
        <v>435</v>
      </c>
      <c r="E329">
        <v>52008980891</v>
      </c>
      <c r="F329">
        <v>328404</v>
      </c>
      <c r="G329">
        <v>47166668084</v>
      </c>
      <c r="H329" t="s">
        <v>35</v>
      </c>
      <c r="I329" s="36">
        <v>8418.6</v>
      </c>
      <c r="J329" s="36">
        <v>8418.6</v>
      </c>
      <c r="K329" s="85">
        <v>0</v>
      </c>
      <c r="L329" s="36">
        <v>701.55</v>
      </c>
      <c r="M329" s="36">
        <v>0</v>
      </c>
      <c r="N329" s="36">
        <v>115.88</v>
      </c>
      <c r="O329" s="36">
        <v>585.66999999999996</v>
      </c>
      <c r="P329" t="s">
        <v>165</v>
      </c>
      <c r="Q329" t="s">
        <v>166</v>
      </c>
      <c r="R329" t="s">
        <v>166</v>
      </c>
      <c r="S329" s="1">
        <v>46051</v>
      </c>
      <c r="T329" s="1">
        <v>46051</v>
      </c>
      <c r="U329" s="1">
        <v>46053</v>
      </c>
      <c r="V329" s="1">
        <v>46418</v>
      </c>
      <c r="W329" t="s">
        <v>38</v>
      </c>
      <c r="X329">
        <v>12</v>
      </c>
      <c r="Y329" t="s">
        <v>49</v>
      </c>
      <c r="Z329" t="s">
        <v>81</v>
      </c>
      <c r="AA329" t="s">
        <v>122</v>
      </c>
      <c r="AB329">
        <v>12</v>
      </c>
      <c r="AC329" t="s">
        <v>166</v>
      </c>
      <c r="AD329" t="s">
        <v>134</v>
      </c>
      <c r="AE329" t="s">
        <v>135</v>
      </c>
      <c r="AF329" t="s">
        <v>44</v>
      </c>
      <c r="AG329" t="str">
        <f t="shared" si="5"/>
        <v>Recorrente</v>
      </c>
      <c r="AH329" t="str">
        <f>IF(AND(SUMIF(E:E,E329,I:I)&gt;=400000,Q329="B2G"),"n","")</f>
        <v/>
      </c>
    </row>
    <row r="330" spans="1:34">
      <c r="A330">
        <v>2026</v>
      </c>
      <c r="B330">
        <v>1</v>
      </c>
      <c r="C330" s="83">
        <v>125096340032</v>
      </c>
      <c r="D330" t="s">
        <v>436</v>
      </c>
      <c r="E330">
        <v>52009004402</v>
      </c>
      <c r="F330">
        <v>626083</v>
      </c>
      <c r="G330">
        <v>47186595988</v>
      </c>
      <c r="H330" t="s">
        <v>35</v>
      </c>
      <c r="I330" s="36">
        <v>12954.6</v>
      </c>
      <c r="J330" s="36">
        <v>12954.6</v>
      </c>
      <c r="K330" s="85">
        <v>0</v>
      </c>
      <c r="L330" s="36">
        <v>1079.55</v>
      </c>
      <c r="M330" s="36">
        <v>0</v>
      </c>
      <c r="N330" s="36">
        <v>230.4</v>
      </c>
      <c r="O330" s="36">
        <v>849.15</v>
      </c>
      <c r="P330" t="s">
        <v>165</v>
      </c>
      <c r="Q330" t="s">
        <v>166</v>
      </c>
      <c r="R330" t="s">
        <v>166</v>
      </c>
      <c r="S330" s="1">
        <v>46051</v>
      </c>
      <c r="T330" s="1">
        <v>46051</v>
      </c>
      <c r="U330" s="1">
        <v>46053</v>
      </c>
      <c r="V330" s="1">
        <v>46418</v>
      </c>
      <c r="W330" t="s">
        <v>38</v>
      </c>
      <c r="X330">
        <v>12</v>
      </c>
      <c r="Y330" t="s">
        <v>49</v>
      </c>
      <c r="Z330" t="s">
        <v>81</v>
      </c>
      <c r="AA330" t="s">
        <v>122</v>
      </c>
      <c r="AB330">
        <v>12</v>
      </c>
      <c r="AC330" t="s">
        <v>166</v>
      </c>
      <c r="AD330" t="s">
        <v>154</v>
      </c>
      <c r="AE330" t="s">
        <v>46</v>
      </c>
      <c r="AF330" t="s">
        <v>47</v>
      </c>
      <c r="AG330" t="str">
        <f t="shared" si="5"/>
        <v>Recorrente</v>
      </c>
      <c r="AH330" t="str">
        <f>IF(AND(SUMIF(E:E,E330,I:I)&gt;=400000,Q330="B2G"),"n","")</f>
        <v/>
      </c>
    </row>
    <row r="331" spans="1:34">
      <c r="A331">
        <v>2026</v>
      </c>
      <c r="B331">
        <v>1</v>
      </c>
      <c r="C331" s="83">
        <v>96813595934</v>
      </c>
      <c r="D331" t="s">
        <v>437</v>
      </c>
      <c r="E331">
        <v>52009006146</v>
      </c>
      <c r="F331">
        <v>626072</v>
      </c>
      <c r="G331">
        <v>47235183232</v>
      </c>
      <c r="H331" t="s">
        <v>35</v>
      </c>
      <c r="I331" s="36">
        <v>8634.6</v>
      </c>
      <c r="J331" s="36">
        <v>8634.6</v>
      </c>
      <c r="K331" s="85">
        <v>0</v>
      </c>
      <c r="L331" s="36">
        <v>719.55</v>
      </c>
      <c r="M331" s="36">
        <v>0</v>
      </c>
      <c r="N331" s="36">
        <v>90.55</v>
      </c>
      <c r="O331" s="36">
        <v>629</v>
      </c>
      <c r="P331" t="s">
        <v>165</v>
      </c>
      <c r="Q331" t="s">
        <v>166</v>
      </c>
      <c r="R331" t="s">
        <v>166</v>
      </c>
      <c r="S331" s="1">
        <v>46029</v>
      </c>
      <c r="T331" s="1">
        <v>46029</v>
      </c>
      <c r="U331" s="1">
        <v>46053</v>
      </c>
      <c r="V331" s="1">
        <v>46418</v>
      </c>
      <c r="W331" t="s">
        <v>38</v>
      </c>
      <c r="X331">
        <v>12</v>
      </c>
      <c r="Y331" t="s">
        <v>49</v>
      </c>
      <c r="Z331" t="s">
        <v>81</v>
      </c>
      <c r="AA331" t="s">
        <v>112</v>
      </c>
      <c r="AB331">
        <v>12</v>
      </c>
      <c r="AC331" t="s">
        <v>166</v>
      </c>
      <c r="AD331" t="s">
        <v>131</v>
      </c>
      <c r="AE331" t="s">
        <v>46</v>
      </c>
      <c r="AF331" t="s">
        <v>96</v>
      </c>
      <c r="AG331" t="str">
        <f t="shared" si="5"/>
        <v>CC 12x</v>
      </c>
      <c r="AH331" t="str">
        <f>IF(AND(SUMIF(E:E,E331,I:I)&gt;=400000,Q331="B2G"),"n","")</f>
        <v/>
      </c>
    </row>
    <row r="332" spans="1:34">
      <c r="A332">
        <v>2026</v>
      </c>
      <c r="B332">
        <v>1</v>
      </c>
      <c r="C332" s="83">
        <v>2096348</v>
      </c>
      <c r="D332" t="s">
        <v>438</v>
      </c>
      <c r="E332">
        <v>52009028480</v>
      </c>
      <c r="F332">
        <v>626062</v>
      </c>
      <c r="G332">
        <v>47173425548</v>
      </c>
      <c r="H332" t="s">
        <v>35</v>
      </c>
      <c r="I332" s="36">
        <v>4962.6000000000004</v>
      </c>
      <c r="J332" s="36">
        <v>4962.6000000000004</v>
      </c>
      <c r="K332" s="85">
        <v>0</v>
      </c>
      <c r="L332" s="36">
        <v>413.55</v>
      </c>
      <c r="M332" s="36">
        <v>0</v>
      </c>
      <c r="N332" s="36">
        <v>47.79</v>
      </c>
      <c r="O332" s="36">
        <v>365.76</v>
      </c>
      <c r="P332" t="s">
        <v>165</v>
      </c>
      <c r="Q332" t="s">
        <v>166</v>
      </c>
      <c r="R332" t="s">
        <v>166</v>
      </c>
      <c r="S332" s="1">
        <v>46051</v>
      </c>
      <c r="T332" s="1">
        <v>46051</v>
      </c>
      <c r="U332" s="1">
        <v>46053</v>
      </c>
      <c r="V332" s="1">
        <v>46418</v>
      </c>
      <c r="W332" t="s">
        <v>38</v>
      </c>
      <c r="X332">
        <v>12</v>
      </c>
      <c r="Y332" t="s">
        <v>49</v>
      </c>
      <c r="Z332" t="s">
        <v>81</v>
      </c>
      <c r="AA332" t="s">
        <v>122</v>
      </c>
      <c r="AB332">
        <v>12</v>
      </c>
      <c r="AC332" t="s">
        <v>166</v>
      </c>
      <c r="AD332" t="s">
        <v>138</v>
      </c>
      <c r="AE332" t="s">
        <v>135</v>
      </c>
      <c r="AF332" t="s">
        <v>119</v>
      </c>
      <c r="AG332" t="str">
        <f t="shared" si="5"/>
        <v>Recorrente</v>
      </c>
      <c r="AH332" t="str">
        <f>IF(AND(SUMIF(E:E,E332,I:I)&gt;=400000,Q332="B2G"),"n","")</f>
        <v/>
      </c>
    </row>
    <row r="333" spans="1:34">
      <c r="A333">
        <v>2026</v>
      </c>
      <c r="B333">
        <v>1</v>
      </c>
      <c r="C333" s="83">
        <v>29372363026</v>
      </c>
      <c r="D333" t="s">
        <v>439</v>
      </c>
      <c r="E333">
        <v>52009695033</v>
      </c>
      <c r="F333">
        <v>626086</v>
      </c>
      <c r="G333">
        <v>47234688901</v>
      </c>
      <c r="H333" t="s">
        <v>35</v>
      </c>
      <c r="I333" s="36">
        <v>2874</v>
      </c>
      <c r="J333" s="36">
        <v>2874</v>
      </c>
      <c r="K333" s="85">
        <v>0</v>
      </c>
      <c r="L333" s="36">
        <v>239.5</v>
      </c>
      <c r="M333" s="36">
        <v>0</v>
      </c>
      <c r="N333" s="36">
        <v>39.119999999999997</v>
      </c>
      <c r="O333" s="36">
        <v>200.38</v>
      </c>
      <c r="P333" t="s">
        <v>165</v>
      </c>
      <c r="Q333" t="s">
        <v>166</v>
      </c>
      <c r="R333" t="s">
        <v>166</v>
      </c>
      <c r="S333" s="1">
        <v>46051</v>
      </c>
      <c r="T333" s="1">
        <v>46051</v>
      </c>
      <c r="U333" s="1">
        <v>46053</v>
      </c>
      <c r="V333" s="1">
        <v>46418</v>
      </c>
      <c r="W333" t="s">
        <v>38</v>
      </c>
      <c r="X333">
        <v>12</v>
      </c>
      <c r="Y333" t="s">
        <v>49</v>
      </c>
      <c r="Z333" t="s">
        <v>81</v>
      </c>
      <c r="AA333" t="s">
        <v>122</v>
      </c>
      <c r="AB333">
        <v>12</v>
      </c>
      <c r="AC333" t="s">
        <v>166</v>
      </c>
      <c r="AD333" t="s">
        <v>118</v>
      </c>
      <c r="AE333" t="s">
        <v>43</v>
      </c>
      <c r="AF333" t="s">
        <v>119</v>
      </c>
      <c r="AG333" t="str">
        <f t="shared" si="5"/>
        <v>Recorrente</v>
      </c>
      <c r="AH333" t="str">
        <f>IF(AND(SUMIF(E:E,E333,I:I)&gt;=400000,Q333="B2G"),"n","")</f>
        <v/>
      </c>
    </row>
    <row r="334" spans="1:34">
      <c r="A334">
        <v>2026</v>
      </c>
      <c r="B334">
        <v>1</v>
      </c>
      <c r="C334" s="83">
        <v>124879712181</v>
      </c>
      <c r="D334" t="s">
        <v>440</v>
      </c>
      <c r="E334">
        <v>52010174844</v>
      </c>
      <c r="F334">
        <v>626060</v>
      </c>
      <c r="G334">
        <v>47181943886</v>
      </c>
      <c r="H334" t="s">
        <v>35</v>
      </c>
      <c r="I334" s="36">
        <v>9354</v>
      </c>
      <c r="J334" s="36">
        <v>9354</v>
      </c>
      <c r="K334" s="85">
        <v>0</v>
      </c>
      <c r="L334" s="36">
        <v>779.5</v>
      </c>
      <c r="M334" s="36">
        <v>0</v>
      </c>
      <c r="N334" s="36">
        <v>120.2</v>
      </c>
      <c r="O334" s="36">
        <v>659.3</v>
      </c>
      <c r="P334" t="s">
        <v>165</v>
      </c>
      <c r="Q334" t="s">
        <v>166</v>
      </c>
      <c r="R334" t="s">
        <v>166</v>
      </c>
      <c r="S334" s="1">
        <v>46051</v>
      </c>
      <c r="T334" s="1">
        <v>46051</v>
      </c>
      <c r="U334" s="1">
        <v>46053</v>
      </c>
      <c r="V334" s="1">
        <v>46418</v>
      </c>
      <c r="W334" t="s">
        <v>38</v>
      </c>
      <c r="X334">
        <v>12</v>
      </c>
      <c r="Y334" t="s">
        <v>49</v>
      </c>
      <c r="Z334" t="s">
        <v>81</v>
      </c>
      <c r="AA334" t="s">
        <v>122</v>
      </c>
      <c r="AB334">
        <v>12</v>
      </c>
      <c r="AC334" t="s">
        <v>166</v>
      </c>
      <c r="AD334" t="s">
        <v>134</v>
      </c>
      <c r="AE334" t="s">
        <v>135</v>
      </c>
      <c r="AF334" t="s">
        <v>44</v>
      </c>
      <c r="AG334" t="str">
        <f t="shared" si="5"/>
        <v>Recorrente</v>
      </c>
      <c r="AH334" t="str">
        <f>IF(AND(SUMIF(E:E,E334,I:I)&gt;=400000,Q334="B2G"),"n","")</f>
        <v/>
      </c>
    </row>
    <row r="335" spans="1:34">
      <c r="A335">
        <v>2026</v>
      </c>
      <c r="B335">
        <v>1</v>
      </c>
      <c r="C335" s="83">
        <v>28271090246</v>
      </c>
      <c r="D335" t="s">
        <v>441</v>
      </c>
      <c r="E335">
        <v>52010997358</v>
      </c>
      <c r="F335">
        <v>626056</v>
      </c>
      <c r="G335">
        <v>47173425781</v>
      </c>
      <c r="H335" t="s">
        <v>35</v>
      </c>
      <c r="I335" s="36">
        <v>8418.6</v>
      </c>
      <c r="J335" s="36">
        <v>8418.6</v>
      </c>
      <c r="K335" s="85">
        <v>0</v>
      </c>
      <c r="L335" s="36">
        <v>701.55</v>
      </c>
      <c r="M335" s="36">
        <v>0</v>
      </c>
      <c r="N335" s="36">
        <v>106.63</v>
      </c>
      <c r="O335" s="36">
        <v>594.91999999999996</v>
      </c>
      <c r="P335" t="s">
        <v>165</v>
      </c>
      <c r="Q335" t="s">
        <v>166</v>
      </c>
      <c r="R335" t="s">
        <v>166</v>
      </c>
      <c r="S335" s="1">
        <v>46051</v>
      </c>
      <c r="T335" s="1">
        <v>46051</v>
      </c>
      <c r="U335" s="1">
        <v>46053</v>
      </c>
      <c r="V335" s="1">
        <v>46418</v>
      </c>
      <c r="W335" t="s">
        <v>38</v>
      </c>
      <c r="X335">
        <v>12</v>
      </c>
      <c r="Y335" t="s">
        <v>49</v>
      </c>
      <c r="Z335" t="s">
        <v>81</v>
      </c>
      <c r="AA335" t="s">
        <v>122</v>
      </c>
      <c r="AB335">
        <v>12</v>
      </c>
      <c r="AC335" t="s">
        <v>166</v>
      </c>
      <c r="AD335" t="s">
        <v>134</v>
      </c>
      <c r="AE335" t="s">
        <v>135</v>
      </c>
      <c r="AF335" t="s">
        <v>44</v>
      </c>
      <c r="AG335" t="str">
        <f t="shared" si="5"/>
        <v>Recorrente</v>
      </c>
      <c r="AH335" t="str">
        <f>IF(AND(SUMIF(E:E,E335,I:I)&gt;=400000,Q335="B2G"),"n","")</f>
        <v/>
      </c>
    </row>
    <row r="336" spans="1:34">
      <c r="A336">
        <v>2026</v>
      </c>
      <c r="B336">
        <v>1</v>
      </c>
      <c r="C336" s="83">
        <v>2083997</v>
      </c>
      <c r="D336" t="s">
        <v>442</v>
      </c>
      <c r="E336">
        <v>52011050609</v>
      </c>
      <c r="F336">
        <v>626030</v>
      </c>
      <c r="G336">
        <v>47179617862</v>
      </c>
      <c r="H336" t="s">
        <v>35</v>
      </c>
      <c r="I336" s="36">
        <v>4170.6000000000004</v>
      </c>
      <c r="J336" s="36">
        <v>4170.6000000000004</v>
      </c>
      <c r="K336" s="85">
        <v>0</v>
      </c>
      <c r="L336" s="36">
        <v>347.55</v>
      </c>
      <c r="M336" s="36">
        <v>0</v>
      </c>
      <c r="N336" s="36">
        <v>76.22</v>
      </c>
      <c r="O336" s="36">
        <v>271.33333329999999</v>
      </c>
      <c r="P336" t="s">
        <v>165</v>
      </c>
      <c r="Q336" t="s">
        <v>166</v>
      </c>
      <c r="R336" t="s">
        <v>166</v>
      </c>
      <c r="S336" s="1">
        <v>46051</v>
      </c>
      <c r="T336" s="1">
        <v>46051</v>
      </c>
      <c r="U336" s="1">
        <v>46053</v>
      </c>
      <c r="V336" s="1">
        <v>46418</v>
      </c>
      <c r="W336" t="s">
        <v>38</v>
      </c>
      <c r="X336">
        <v>12</v>
      </c>
      <c r="Y336" t="s">
        <v>49</v>
      </c>
      <c r="Z336" t="s">
        <v>81</v>
      </c>
      <c r="AA336" t="s">
        <v>112</v>
      </c>
      <c r="AB336">
        <v>12</v>
      </c>
      <c r="AC336" t="s">
        <v>166</v>
      </c>
      <c r="AD336" t="s">
        <v>114</v>
      </c>
      <c r="AE336" t="s">
        <v>43</v>
      </c>
      <c r="AF336" t="s">
        <v>44</v>
      </c>
      <c r="AG336" t="str">
        <f t="shared" si="5"/>
        <v>CC 12x</v>
      </c>
      <c r="AH336" t="str">
        <f>IF(AND(SUMIF(E:E,E336,I:I)&gt;=400000,Q336="B2G"),"n","")</f>
        <v/>
      </c>
    </row>
    <row r="337" spans="1:34">
      <c r="A337">
        <v>2026</v>
      </c>
      <c r="B337">
        <v>1</v>
      </c>
      <c r="C337" s="83">
        <v>2083997</v>
      </c>
      <c r="D337" t="s">
        <v>442</v>
      </c>
      <c r="E337">
        <v>52011050609</v>
      </c>
      <c r="F337">
        <v>626030</v>
      </c>
      <c r="G337">
        <v>47224439378</v>
      </c>
      <c r="H337" t="s">
        <v>35</v>
      </c>
      <c r="I337" s="36">
        <v>4170.6000000000004</v>
      </c>
      <c r="J337" s="36">
        <v>4170.6000000000004</v>
      </c>
      <c r="K337" s="85">
        <v>0</v>
      </c>
      <c r="L337" s="36">
        <v>347.55</v>
      </c>
      <c r="M337" s="36">
        <v>0</v>
      </c>
      <c r="N337" s="36">
        <v>76.22</v>
      </c>
      <c r="O337" s="36">
        <v>271.33333329999999</v>
      </c>
      <c r="P337" t="s">
        <v>165</v>
      </c>
      <c r="Q337" t="s">
        <v>166</v>
      </c>
      <c r="R337" t="s">
        <v>166</v>
      </c>
      <c r="S337" s="1">
        <v>46051</v>
      </c>
      <c r="T337" s="1">
        <v>46051</v>
      </c>
      <c r="U337" s="1">
        <v>46053</v>
      </c>
      <c r="V337" s="1">
        <v>46418</v>
      </c>
      <c r="W337" t="s">
        <v>38</v>
      </c>
      <c r="X337">
        <v>12</v>
      </c>
      <c r="Y337" t="s">
        <v>49</v>
      </c>
      <c r="Z337" t="s">
        <v>81</v>
      </c>
      <c r="AA337" t="s">
        <v>112</v>
      </c>
      <c r="AB337">
        <v>12</v>
      </c>
      <c r="AC337" t="s">
        <v>166</v>
      </c>
      <c r="AD337" t="s">
        <v>160</v>
      </c>
      <c r="AE337" t="s">
        <v>43</v>
      </c>
      <c r="AF337" t="s">
        <v>44</v>
      </c>
      <c r="AG337" t="str">
        <f t="shared" si="5"/>
        <v>CC 12x</v>
      </c>
      <c r="AH337" t="str">
        <f>IF(AND(SUMIF(E:E,E337,I:I)&gt;=400000,Q337="B2G"),"n","")</f>
        <v/>
      </c>
    </row>
    <row r="338" spans="1:34">
      <c r="A338">
        <v>2026</v>
      </c>
      <c r="B338">
        <v>1</v>
      </c>
      <c r="C338" s="83">
        <v>2083997</v>
      </c>
      <c r="D338" t="s">
        <v>442</v>
      </c>
      <c r="E338">
        <v>52011050609</v>
      </c>
      <c r="F338">
        <v>626030</v>
      </c>
      <c r="G338">
        <v>47234534255</v>
      </c>
      <c r="H338" t="s">
        <v>35</v>
      </c>
      <c r="I338" s="36">
        <v>4170.6000000000004</v>
      </c>
      <c r="J338" s="36">
        <v>4170.6000000000004</v>
      </c>
      <c r="K338" s="85">
        <v>0</v>
      </c>
      <c r="L338" s="36">
        <v>347.55</v>
      </c>
      <c r="M338" s="36">
        <v>0</v>
      </c>
      <c r="N338" s="36">
        <v>76.22</v>
      </c>
      <c r="O338" s="36">
        <v>271.33333329999999</v>
      </c>
      <c r="P338" t="s">
        <v>165</v>
      </c>
      <c r="Q338" t="s">
        <v>166</v>
      </c>
      <c r="R338" t="s">
        <v>166</v>
      </c>
      <c r="S338" s="1">
        <v>46051</v>
      </c>
      <c r="T338" s="1">
        <v>46051</v>
      </c>
      <c r="U338" s="1">
        <v>46053</v>
      </c>
      <c r="V338" s="1">
        <v>46418</v>
      </c>
      <c r="W338" t="s">
        <v>38</v>
      </c>
      <c r="X338">
        <v>12</v>
      </c>
      <c r="Y338" t="s">
        <v>49</v>
      </c>
      <c r="Z338" t="s">
        <v>81</v>
      </c>
      <c r="AA338" t="s">
        <v>112</v>
      </c>
      <c r="AB338">
        <v>12</v>
      </c>
      <c r="AC338" t="s">
        <v>166</v>
      </c>
      <c r="AD338" t="s">
        <v>85</v>
      </c>
      <c r="AE338" t="s">
        <v>46</v>
      </c>
      <c r="AF338" t="s">
        <v>44</v>
      </c>
      <c r="AG338" t="str">
        <f t="shared" si="5"/>
        <v>CC 12x</v>
      </c>
      <c r="AH338" t="str">
        <f>IF(AND(SUMIF(E:E,E338,I:I)&gt;=400000,Q338="B2G"),"n","")</f>
        <v/>
      </c>
    </row>
    <row r="339" spans="1:34">
      <c r="A339">
        <v>2026</v>
      </c>
      <c r="B339">
        <v>1</v>
      </c>
      <c r="C339" s="83">
        <v>2120817</v>
      </c>
      <c r="D339" t="s">
        <v>443</v>
      </c>
      <c r="E339">
        <v>52011058599</v>
      </c>
      <c r="F339">
        <v>626049</v>
      </c>
      <c r="G339">
        <v>47174352166</v>
      </c>
      <c r="H339" t="s">
        <v>35</v>
      </c>
      <c r="I339" s="36">
        <v>2874</v>
      </c>
      <c r="J339" s="36">
        <v>2874</v>
      </c>
      <c r="K339" s="85">
        <v>0</v>
      </c>
      <c r="L339" s="36">
        <v>239.5</v>
      </c>
      <c r="M339" s="36">
        <v>0</v>
      </c>
      <c r="N339" s="36">
        <v>20.420000000000002</v>
      </c>
      <c r="O339" s="36">
        <v>219.08</v>
      </c>
      <c r="P339" t="s">
        <v>165</v>
      </c>
      <c r="Q339" t="s">
        <v>166</v>
      </c>
      <c r="R339" t="s">
        <v>166</v>
      </c>
      <c r="S339" s="1">
        <v>46051</v>
      </c>
      <c r="T339" s="1">
        <v>46051</v>
      </c>
      <c r="U339" s="1">
        <v>46053</v>
      </c>
      <c r="V339" s="1">
        <v>46418</v>
      </c>
      <c r="W339" t="s">
        <v>38</v>
      </c>
      <c r="X339">
        <v>12</v>
      </c>
      <c r="Y339" t="s">
        <v>49</v>
      </c>
      <c r="Z339" t="s">
        <v>81</v>
      </c>
      <c r="AA339" t="s">
        <v>122</v>
      </c>
      <c r="AB339">
        <v>12</v>
      </c>
      <c r="AC339" t="s">
        <v>166</v>
      </c>
      <c r="AD339" t="s">
        <v>140</v>
      </c>
      <c r="AE339" t="s">
        <v>46</v>
      </c>
      <c r="AF339" t="s">
        <v>119</v>
      </c>
      <c r="AG339" t="str">
        <f t="shared" si="5"/>
        <v>Recorrente</v>
      </c>
      <c r="AH339" t="str">
        <f>IF(AND(SUMIF(E:E,E339,I:I)&gt;=400000,Q339="B2G"),"n","")</f>
        <v/>
      </c>
    </row>
    <row r="340" spans="1:34">
      <c r="A340">
        <v>2026</v>
      </c>
      <c r="B340">
        <v>1</v>
      </c>
      <c r="C340" s="83">
        <v>19435607044</v>
      </c>
      <c r="D340" t="s">
        <v>444</v>
      </c>
      <c r="E340">
        <v>52025277761</v>
      </c>
      <c r="F340">
        <v>525317</v>
      </c>
      <c r="G340">
        <v>47171784852</v>
      </c>
      <c r="H340" t="s">
        <v>35</v>
      </c>
      <c r="I340" s="36">
        <v>5034</v>
      </c>
      <c r="J340" s="36">
        <v>5034</v>
      </c>
      <c r="K340" s="85">
        <v>0</v>
      </c>
      <c r="L340" s="36">
        <v>419.5</v>
      </c>
      <c r="M340" s="36">
        <v>0</v>
      </c>
      <c r="N340" s="36">
        <v>80.5</v>
      </c>
      <c r="O340" s="36">
        <v>339</v>
      </c>
      <c r="P340" t="s">
        <v>165</v>
      </c>
      <c r="Q340" t="s">
        <v>166</v>
      </c>
      <c r="R340" t="s">
        <v>166</v>
      </c>
      <c r="S340" s="1">
        <v>46042</v>
      </c>
      <c r="T340" s="1">
        <v>46042</v>
      </c>
      <c r="U340" s="1">
        <v>46042</v>
      </c>
      <c r="V340" s="1">
        <v>46407</v>
      </c>
      <c r="W340" t="s">
        <v>38</v>
      </c>
      <c r="X340">
        <v>12</v>
      </c>
      <c r="Y340" t="s">
        <v>49</v>
      </c>
      <c r="Z340" t="s">
        <v>81</v>
      </c>
      <c r="AA340" t="s">
        <v>122</v>
      </c>
      <c r="AB340">
        <v>12</v>
      </c>
      <c r="AC340" t="s">
        <v>166</v>
      </c>
      <c r="AD340" t="s">
        <v>84</v>
      </c>
      <c r="AE340" t="s">
        <v>43</v>
      </c>
      <c r="AF340" t="s">
        <v>44</v>
      </c>
      <c r="AG340" t="str">
        <f t="shared" si="5"/>
        <v>Recorrente</v>
      </c>
      <c r="AH340" t="str">
        <f>IF(AND(SUMIF(E:E,E340,I:I)&gt;=400000,Q340="B2G"),"n","")</f>
        <v/>
      </c>
    </row>
    <row r="341" spans="1:34">
      <c r="A341">
        <v>2026</v>
      </c>
      <c r="B341">
        <v>1</v>
      </c>
      <c r="C341" s="83">
        <v>140762020742</v>
      </c>
      <c r="D341" t="s">
        <v>445</v>
      </c>
      <c r="E341">
        <v>52026132894</v>
      </c>
      <c r="F341">
        <v>625154</v>
      </c>
      <c r="G341">
        <v>47271668592</v>
      </c>
      <c r="H341" t="s">
        <v>35</v>
      </c>
      <c r="I341" s="36">
        <v>4452.6000000000004</v>
      </c>
      <c r="J341" s="36">
        <v>4452.6000000000004</v>
      </c>
      <c r="K341" s="85">
        <v>0</v>
      </c>
      <c r="L341" s="36">
        <v>371.05</v>
      </c>
      <c r="M341" s="36">
        <v>0</v>
      </c>
      <c r="N341" s="36">
        <v>31.9</v>
      </c>
      <c r="O341" s="36">
        <v>339.15</v>
      </c>
      <c r="P341" t="s">
        <v>137</v>
      </c>
      <c r="Q341" t="s">
        <v>111</v>
      </c>
      <c r="R341" t="s">
        <v>111</v>
      </c>
      <c r="S341" s="1">
        <v>46010</v>
      </c>
      <c r="T341" s="1">
        <v>46023</v>
      </c>
      <c r="U341" s="1">
        <v>46014</v>
      </c>
      <c r="V341" s="1">
        <v>46379</v>
      </c>
      <c r="W341" t="s">
        <v>38</v>
      </c>
      <c r="X341">
        <v>12</v>
      </c>
      <c r="Y341" t="s">
        <v>49</v>
      </c>
      <c r="Z341" t="s">
        <v>81</v>
      </c>
      <c r="AA341" t="s">
        <v>122</v>
      </c>
      <c r="AB341">
        <v>12</v>
      </c>
      <c r="AC341" t="s">
        <v>113</v>
      </c>
      <c r="AD341" t="s">
        <v>138</v>
      </c>
      <c r="AE341" t="s">
        <v>135</v>
      </c>
      <c r="AF341" t="s">
        <v>119</v>
      </c>
      <c r="AG341" t="str">
        <f t="shared" si="5"/>
        <v>Recorrente</v>
      </c>
      <c r="AH341" t="str">
        <f>IF(AND(SUMIF(E:E,E341,I:I)&gt;=400000,Q341="B2G"),"n","")</f>
        <v/>
      </c>
    </row>
    <row r="342" spans="1:34">
      <c r="A342">
        <v>2026</v>
      </c>
      <c r="B342">
        <v>1</v>
      </c>
      <c r="C342" s="83">
        <v>2080370</v>
      </c>
      <c r="D342" t="s">
        <v>446</v>
      </c>
      <c r="E342">
        <v>52027739539</v>
      </c>
      <c r="F342">
        <v>523391</v>
      </c>
      <c r="G342">
        <v>48477163923</v>
      </c>
      <c r="H342" t="s">
        <v>35</v>
      </c>
      <c r="I342" s="36">
        <v>4603.2</v>
      </c>
      <c r="J342" s="36">
        <v>4603.2</v>
      </c>
      <c r="K342" s="85">
        <v>0</v>
      </c>
      <c r="L342" s="36">
        <v>383.6</v>
      </c>
      <c r="M342" s="36">
        <v>0</v>
      </c>
      <c r="N342" s="36">
        <v>159.1</v>
      </c>
      <c r="O342" s="36">
        <v>224.5</v>
      </c>
      <c r="P342" t="s">
        <v>127</v>
      </c>
      <c r="Q342" t="s">
        <v>111</v>
      </c>
      <c r="R342" t="s">
        <v>111</v>
      </c>
      <c r="S342" s="1">
        <v>46029</v>
      </c>
      <c r="T342" s="1">
        <v>46023</v>
      </c>
      <c r="U342" s="1">
        <v>46006</v>
      </c>
      <c r="V342" s="1">
        <v>46394</v>
      </c>
      <c r="W342" t="s">
        <v>38</v>
      </c>
      <c r="X342">
        <v>13</v>
      </c>
      <c r="Y342" t="s">
        <v>49</v>
      </c>
      <c r="Z342" t="s">
        <v>81</v>
      </c>
      <c r="AA342" t="s">
        <v>122</v>
      </c>
      <c r="AB342">
        <v>12</v>
      </c>
      <c r="AC342" t="s">
        <v>113</v>
      </c>
      <c r="AD342" t="s">
        <v>85</v>
      </c>
      <c r="AE342" t="s">
        <v>46</v>
      </c>
      <c r="AF342" t="s">
        <v>44</v>
      </c>
      <c r="AG342" t="str">
        <f t="shared" si="5"/>
        <v>Recorrente</v>
      </c>
      <c r="AH342" t="str">
        <f>IF(AND(SUMIF(E:E,E342,I:I)&gt;=400000,Q342="B2G"),"n","")</f>
        <v/>
      </c>
    </row>
    <row r="343" spans="1:34">
      <c r="A343">
        <v>2026</v>
      </c>
      <c r="B343">
        <v>1</v>
      </c>
      <c r="C343" s="83">
        <v>19540883742</v>
      </c>
      <c r="D343" t="s">
        <v>447</v>
      </c>
      <c r="E343">
        <v>52034831174</v>
      </c>
      <c r="F343">
        <v>607711</v>
      </c>
      <c r="G343">
        <v>49779076646</v>
      </c>
      <c r="H343" t="s">
        <v>35</v>
      </c>
      <c r="I343" s="36">
        <v>3666.6</v>
      </c>
      <c r="J343" s="36">
        <v>3666.6</v>
      </c>
      <c r="K343" s="85">
        <v>0</v>
      </c>
      <c r="L343" s="36">
        <v>305.55</v>
      </c>
      <c r="M343" s="36">
        <v>0</v>
      </c>
      <c r="N343" s="36">
        <v>15.7</v>
      </c>
      <c r="O343" s="36">
        <v>289.85000000000002</v>
      </c>
      <c r="P343" t="s">
        <v>116</v>
      </c>
      <c r="Q343" t="s">
        <v>111</v>
      </c>
      <c r="R343" t="s">
        <v>111</v>
      </c>
      <c r="S343" s="1">
        <v>46050</v>
      </c>
      <c r="T343" s="1">
        <v>46050</v>
      </c>
      <c r="U343" s="1">
        <v>46048</v>
      </c>
      <c r="V343" s="1">
        <v>46413</v>
      </c>
      <c r="W343" t="s">
        <v>38</v>
      </c>
      <c r="X343">
        <v>12</v>
      </c>
      <c r="Y343" t="s">
        <v>49</v>
      </c>
      <c r="Z343" t="s">
        <v>81</v>
      </c>
      <c r="AA343" t="s">
        <v>92</v>
      </c>
      <c r="AB343">
        <v>12</v>
      </c>
      <c r="AC343" t="s">
        <v>113</v>
      </c>
      <c r="AD343" t="s">
        <v>160</v>
      </c>
      <c r="AE343" t="s">
        <v>43</v>
      </c>
      <c r="AF343" t="s">
        <v>44</v>
      </c>
      <c r="AG343" t="str">
        <f t="shared" si="5"/>
        <v>Recorrente</v>
      </c>
      <c r="AH343" t="str">
        <f>IF(AND(SUMIF(E:E,E343,I:I)&gt;=400000,Q343="B2G"),"n","")</f>
        <v/>
      </c>
    </row>
    <row r="344" spans="1:34">
      <c r="A344">
        <v>2026</v>
      </c>
      <c r="B344">
        <v>1</v>
      </c>
      <c r="C344" s="83">
        <v>47389372287</v>
      </c>
      <c r="D344" t="s">
        <v>448</v>
      </c>
      <c r="E344">
        <v>52035060054</v>
      </c>
      <c r="F344">
        <v>635570</v>
      </c>
      <c r="G344">
        <v>48884767161</v>
      </c>
      <c r="H344" t="s">
        <v>35</v>
      </c>
      <c r="I344" s="36">
        <v>3537.84</v>
      </c>
      <c r="J344" s="36">
        <v>3537.84</v>
      </c>
      <c r="K344" s="85">
        <v>0</v>
      </c>
      <c r="L344" s="36">
        <v>294.82</v>
      </c>
      <c r="M344" s="36">
        <v>294.82</v>
      </c>
      <c r="N344" s="36">
        <v>0</v>
      </c>
      <c r="O344" s="36">
        <v>0</v>
      </c>
      <c r="P344" t="s">
        <v>361</v>
      </c>
      <c r="Q344" t="s">
        <v>349</v>
      </c>
      <c r="R344" t="s">
        <v>349</v>
      </c>
      <c r="S344" s="1">
        <v>46036</v>
      </c>
      <c r="T344" s="1">
        <v>46036</v>
      </c>
      <c r="V344" s="1">
        <v>46401</v>
      </c>
      <c r="W344" t="s">
        <v>38</v>
      </c>
      <c r="X344">
        <v>12</v>
      </c>
      <c r="Y344" t="s">
        <v>49</v>
      </c>
      <c r="AA344" t="s">
        <v>112</v>
      </c>
      <c r="AB344">
        <v>12</v>
      </c>
      <c r="AC344" t="s">
        <v>350</v>
      </c>
      <c r="AD344" t="s">
        <v>160</v>
      </c>
      <c r="AE344" t="s">
        <v>43</v>
      </c>
      <c r="AF344" t="s">
        <v>44</v>
      </c>
      <c r="AG344" t="str">
        <f t="shared" si="5"/>
        <v>CC 12x</v>
      </c>
      <c r="AH344" t="str">
        <f>IF(AND(SUMIF(E:E,E344,I:I)&gt;=400000,Q344="B2G"),"n","")</f>
        <v/>
      </c>
    </row>
    <row r="345" spans="1:34">
      <c r="A345">
        <v>2026</v>
      </c>
      <c r="B345">
        <v>1</v>
      </c>
      <c r="C345" s="83">
        <v>148153005930</v>
      </c>
      <c r="D345" t="s">
        <v>449</v>
      </c>
      <c r="E345">
        <v>52042160647</v>
      </c>
      <c r="F345">
        <v>624961</v>
      </c>
      <c r="G345">
        <v>47580881980</v>
      </c>
      <c r="H345" t="s">
        <v>35</v>
      </c>
      <c r="I345" s="36">
        <v>3578.76</v>
      </c>
      <c r="J345" s="36">
        <v>3578.76</v>
      </c>
      <c r="K345" s="85">
        <v>0</v>
      </c>
      <c r="L345" s="36">
        <v>298.23</v>
      </c>
      <c r="M345" s="36">
        <v>0</v>
      </c>
      <c r="N345" s="36">
        <v>98.73</v>
      </c>
      <c r="O345" s="36">
        <v>199.5</v>
      </c>
      <c r="P345" t="s">
        <v>137</v>
      </c>
      <c r="Q345" t="s">
        <v>111</v>
      </c>
      <c r="R345" t="s">
        <v>111</v>
      </c>
      <c r="S345" s="1">
        <v>46013</v>
      </c>
      <c r="T345" s="1">
        <v>46023</v>
      </c>
      <c r="U345" s="1">
        <v>46008</v>
      </c>
      <c r="V345" s="1">
        <v>46378</v>
      </c>
      <c r="W345" t="s">
        <v>38</v>
      </c>
      <c r="X345">
        <v>12</v>
      </c>
      <c r="Y345" t="s">
        <v>49</v>
      </c>
      <c r="Z345" t="s">
        <v>81</v>
      </c>
      <c r="AA345" t="s">
        <v>122</v>
      </c>
      <c r="AB345">
        <v>12</v>
      </c>
      <c r="AC345" t="s">
        <v>113</v>
      </c>
      <c r="AD345" t="s">
        <v>138</v>
      </c>
      <c r="AE345" t="s">
        <v>135</v>
      </c>
      <c r="AF345" t="s">
        <v>119</v>
      </c>
      <c r="AG345" t="str">
        <f t="shared" si="5"/>
        <v>Recorrente</v>
      </c>
      <c r="AH345" t="str">
        <f>IF(AND(SUMIF(E:E,E345,I:I)&gt;=400000,Q345="B2G"),"n","")</f>
        <v/>
      </c>
    </row>
    <row r="346" spans="1:34">
      <c r="A346">
        <v>2026</v>
      </c>
      <c r="B346">
        <v>1</v>
      </c>
      <c r="C346" s="83">
        <v>93766451751</v>
      </c>
      <c r="D346" t="s">
        <v>450</v>
      </c>
      <c r="E346">
        <v>52044725092</v>
      </c>
      <c r="F346">
        <v>624962</v>
      </c>
      <c r="G346">
        <v>48463950660</v>
      </c>
      <c r="H346" t="s">
        <v>35</v>
      </c>
      <c r="I346" s="36">
        <v>2730.24</v>
      </c>
      <c r="J346" s="36">
        <v>2730.24</v>
      </c>
      <c r="K346" s="85">
        <v>0</v>
      </c>
      <c r="L346" s="36">
        <v>227.52</v>
      </c>
      <c r="M346" s="36">
        <v>0</v>
      </c>
      <c r="N346" s="36">
        <v>12.43</v>
      </c>
      <c r="O346" s="36">
        <v>215.1</v>
      </c>
      <c r="P346" t="s">
        <v>110</v>
      </c>
      <c r="Q346" t="s">
        <v>111</v>
      </c>
      <c r="R346" t="s">
        <v>111</v>
      </c>
      <c r="S346" s="1">
        <v>46029</v>
      </c>
      <c r="T346" s="1">
        <v>46023</v>
      </c>
      <c r="U346" s="1">
        <v>46008</v>
      </c>
      <c r="V346" s="1">
        <v>46394</v>
      </c>
      <c r="W346" t="s">
        <v>38</v>
      </c>
      <c r="X346">
        <v>13</v>
      </c>
      <c r="Y346" t="s">
        <v>49</v>
      </c>
      <c r="Z346" t="s">
        <v>81</v>
      </c>
      <c r="AA346" t="s">
        <v>112</v>
      </c>
      <c r="AB346">
        <v>12</v>
      </c>
      <c r="AC346" t="s">
        <v>113</v>
      </c>
      <c r="AD346" t="s">
        <v>140</v>
      </c>
      <c r="AE346" t="s">
        <v>46</v>
      </c>
      <c r="AF346" t="s">
        <v>119</v>
      </c>
      <c r="AG346" t="str">
        <f t="shared" si="5"/>
        <v>CC 12x</v>
      </c>
      <c r="AH346" t="str">
        <f>IF(AND(SUMIF(E:E,E346,I:I)&gt;=400000,Q346="B2G"),"n","")</f>
        <v/>
      </c>
    </row>
    <row r="347" spans="1:34">
      <c r="A347">
        <v>2026</v>
      </c>
      <c r="B347">
        <v>1</v>
      </c>
      <c r="C347" s="83">
        <v>113184760685</v>
      </c>
      <c r="D347" t="s">
        <v>451</v>
      </c>
      <c r="E347">
        <v>52064883639</v>
      </c>
      <c r="F347">
        <v>526151</v>
      </c>
      <c r="G347">
        <v>50274605322</v>
      </c>
      <c r="H347" t="s">
        <v>35</v>
      </c>
      <c r="I347" s="36">
        <v>3272.04</v>
      </c>
      <c r="J347" s="36">
        <v>3272.04</v>
      </c>
      <c r="K347" s="85">
        <v>0</v>
      </c>
      <c r="L347" s="36">
        <v>272.67</v>
      </c>
      <c r="M347" s="36">
        <v>0</v>
      </c>
      <c r="N347" s="36">
        <v>0</v>
      </c>
      <c r="O347" s="36">
        <v>272.67500000000001</v>
      </c>
      <c r="P347" t="s">
        <v>133</v>
      </c>
      <c r="Q347" t="s">
        <v>111</v>
      </c>
      <c r="R347" t="s">
        <v>111</v>
      </c>
      <c r="S347" s="1">
        <v>46051</v>
      </c>
      <c r="T347" s="1">
        <v>46051</v>
      </c>
      <c r="U347" s="1">
        <v>46053</v>
      </c>
      <c r="V347" s="1">
        <v>46445</v>
      </c>
      <c r="W347" t="s">
        <v>38</v>
      </c>
      <c r="X347">
        <v>13</v>
      </c>
      <c r="Y347" t="s">
        <v>49</v>
      </c>
      <c r="Z347" t="s">
        <v>76</v>
      </c>
      <c r="AA347" t="s">
        <v>112</v>
      </c>
      <c r="AB347">
        <v>12</v>
      </c>
      <c r="AC347" t="s">
        <v>113</v>
      </c>
      <c r="AD347" t="s">
        <v>84</v>
      </c>
      <c r="AE347" t="s">
        <v>43</v>
      </c>
      <c r="AF347" t="s">
        <v>44</v>
      </c>
      <c r="AG347" t="str">
        <f t="shared" si="5"/>
        <v>CC 12x</v>
      </c>
      <c r="AH347" t="str">
        <f>IF(AND(SUMIF(E:E,E347,I:I)&gt;=400000,Q347="B2G"),"n","")</f>
        <v/>
      </c>
    </row>
    <row r="348" spans="1:34">
      <c r="A348">
        <v>2026</v>
      </c>
      <c r="B348">
        <v>1</v>
      </c>
      <c r="C348" s="83">
        <v>2132797</v>
      </c>
      <c r="D348" t="s">
        <v>452</v>
      </c>
      <c r="E348">
        <v>52074197656</v>
      </c>
      <c r="F348">
        <v>327873</v>
      </c>
      <c r="G348">
        <v>50975505563</v>
      </c>
      <c r="H348" t="s">
        <v>35</v>
      </c>
      <c r="I348" s="36">
        <v>4481.28</v>
      </c>
      <c r="J348" s="36">
        <v>2240.64</v>
      </c>
      <c r="K348" s="85">
        <v>2240.64</v>
      </c>
      <c r="L348" s="36">
        <v>186.72</v>
      </c>
      <c r="M348" s="36">
        <v>0</v>
      </c>
      <c r="N348" s="36">
        <v>36.72</v>
      </c>
      <c r="O348" s="36">
        <v>150.00125</v>
      </c>
      <c r="P348" t="s">
        <v>165</v>
      </c>
      <c r="Q348" t="s">
        <v>166</v>
      </c>
      <c r="R348" t="s">
        <v>166</v>
      </c>
      <c r="S348" s="1">
        <v>46034</v>
      </c>
      <c r="T348" s="1">
        <v>46034</v>
      </c>
      <c r="U348" s="1">
        <v>46034</v>
      </c>
      <c r="V348" s="1">
        <v>46764</v>
      </c>
      <c r="W348" t="s">
        <v>56</v>
      </c>
      <c r="X348">
        <v>24</v>
      </c>
      <c r="Y348" t="s">
        <v>49</v>
      </c>
      <c r="Z348" t="s">
        <v>81</v>
      </c>
      <c r="AA348" t="s">
        <v>112</v>
      </c>
      <c r="AB348">
        <v>12</v>
      </c>
      <c r="AC348" t="s">
        <v>166</v>
      </c>
      <c r="AD348" t="s">
        <v>114</v>
      </c>
      <c r="AE348" t="s">
        <v>43</v>
      </c>
      <c r="AF348" t="s">
        <v>44</v>
      </c>
      <c r="AG348" t="str">
        <f t="shared" si="5"/>
        <v>CC 12x</v>
      </c>
      <c r="AH348" t="str">
        <f>IF(AND(SUMIF(E:E,E348,I:I)&gt;=400000,Q348="B2G"),"n","")</f>
        <v/>
      </c>
    </row>
    <row r="349" spans="1:34">
      <c r="A349">
        <v>2026</v>
      </c>
      <c r="B349">
        <v>1</v>
      </c>
      <c r="C349" s="83">
        <v>28251191154</v>
      </c>
      <c r="D349" t="s">
        <v>453</v>
      </c>
      <c r="E349">
        <v>52083364141</v>
      </c>
      <c r="F349">
        <v>625324</v>
      </c>
      <c r="G349">
        <v>47273367298</v>
      </c>
      <c r="H349" t="s">
        <v>35</v>
      </c>
      <c r="I349" s="36">
        <v>5754</v>
      </c>
      <c r="J349" s="36">
        <v>5754</v>
      </c>
      <c r="K349" s="85">
        <v>0</v>
      </c>
      <c r="L349" s="36">
        <v>479.5</v>
      </c>
      <c r="M349" s="36">
        <v>0</v>
      </c>
      <c r="N349" s="36">
        <v>30.5</v>
      </c>
      <c r="O349" s="36">
        <v>449</v>
      </c>
      <c r="P349" t="s">
        <v>165</v>
      </c>
      <c r="Q349" t="s">
        <v>166</v>
      </c>
      <c r="R349" t="s">
        <v>166</v>
      </c>
      <c r="S349" s="1">
        <v>46030</v>
      </c>
      <c r="T349" s="1">
        <v>46030</v>
      </c>
      <c r="U349" s="1">
        <v>46030</v>
      </c>
      <c r="V349" s="1">
        <v>46395</v>
      </c>
      <c r="W349" t="s">
        <v>38</v>
      </c>
      <c r="X349">
        <v>12</v>
      </c>
      <c r="Y349" t="s">
        <v>49</v>
      </c>
      <c r="Z349" t="s">
        <v>81</v>
      </c>
      <c r="AA349" t="s">
        <v>112</v>
      </c>
      <c r="AB349">
        <v>12</v>
      </c>
      <c r="AC349" t="s">
        <v>166</v>
      </c>
      <c r="AD349" t="s">
        <v>85</v>
      </c>
      <c r="AE349" t="s">
        <v>46</v>
      </c>
      <c r="AF349" t="s">
        <v>44</v>
      </c>
      <c r="AG349" t="str">
        <f t="shared" si="5"/>
        <v>CC 12x</v>
      </c>
      <c r="AH349" t="str">
        <f>IF(AND(SUMIF(E:E,E349,I:I)&gt;=400000,Q349="B2G"),"n","")</f>
        <v/>
      </c>
    </row>
    <row r="350" spans="1:34">
      <c r="A350">
        <v>2026</v>
      </c>
      <c r="B350">
        <v>1</v>
      </c>
      <c r="C350" s="83">
        <v>28190201968</v>
      </c>
      <c r="D350" t="s">
        <v>454</v>
      </c>
      <c r="E350">
        <v>52083450547</v>
      </c>
      <c r="F350">
        <v>625277</v>
      </c>
      <c r="G350">
        <v>47270791289</v>
      </c>
      <c r="H350" t="s">
        <v>35</v>
      </c>
      <c r="I350" s="36">
        <v>2874</v>
      </c>
      <c r="J350" s="36">
        <v>2874</v>
      </c>
      <c r="K350" s="85">
        <v>0</v>
      </c>
      <c r="L350" s="36">
        <v>239.5</v>
      </c>
      <c r="M350" s="36">
        <v>0</v>
      </c>
      <c r="N350" s="36">
        <v>0.5</v>
      </c>
      <c r="O350" s="36">
        <v>239</v>
      </c>
      <c r="P350" t="s">
        <v>165</v>
      </c>
      <c r="Q350" t="s">
        <v>166</v>
      </c>
      <c r="R350" t="s">
        <v>166</v>
      </c>
      <c r="S350" s="1">
        <v>46028</v>
      </c>
      <c r="T350" s="1">
        <v>46028</v>
      </c>
      <c r="U350" s="1">
        <v>46028</v>
      </c>
      <c r="V350" s="1">
        <v>46393</v>
      </c>
      <c r="W350" t="s">
        <v>38</v>
      </c>
      <c r="X350">
        <v>12</v>
      </c>
      <c r="Y350" t="s">
        <v>49</v>
      </c>
      <c r="Z350" t="s">
        <v>81</v>
      </c>
      <c r="AA350" t="s">
        <v>112</v>
      </c>
      <c r="AB350">
        <v>12</v>
      </c>
      <c r="AC350" t="s">
        <v>166</v>
      </c>
      <c r="AD350" t="s">
        <v>140</v>
      </c>
      <c r="AE350" t="s">
        <v>46</v>
      </c>
      <c r="AF350" t="s">
        <v>119</v>
      </c>
      <c r="AG350" t="str">
        <f t="shared" si="5"/>
        <v>CC 12x</v>
      </c>
      <c r="AH350" t="str">
        <f>IF(AND(SUMIF(E:E,E350,I:I)&gt;=400000,Q350="B2G"),"n","")</f>
        <v/>
      </c>
    </row>
    <row r="351" spans="1:34">
      <c r="A351">
        <v>2026</v>
      </c>
      <c r="B351">
        <v>1</v>
      </c>
      <c r="C351" s="83">
        <v>28268242212</v>
      </c>
      <c r="D351" t="s">
        <v>455</v>
      </c>
      <c r="E351">
        <v>52083644260</v>
      </c>
      <c r="F351">
        <v>625331</v>
      </c>
      <c r="G351">
        <v>47270762088</v>
      </c>
      <c r="H351" t="s">
        <v>35</v>
      </c>
      <c r="I351" s="36">
        <v>2874</v>
      </c>
      <c r="J351" s="36">
        <v>2874</v>
      </c>
      <c r="K351" s="85">
        <v>0</v>
      </c>
      <c r="L351" s="36">
        <v>239.5</v>
      </c>
      <c r="M351" s="36">
        <v>0</v>
      </c>
      <c r="N351" s="36">
        <v>20.420000000000002</v>
      </c>
      <c r="O351" s="36">
        <v>219.08</v>
      </c>
      <c r="P351" t="s">
        <v>165</v>
      </c>
      <c r="Q351" t="s">
        <v>166</v>
      </c>
      <c r="R351" t="s">
        <v>166</v>
      </c>
      <c r="S351" s="1">
        <v>46030</v>
      </c>
      <c r="T351" s="1">
        <v>46030</v>
      </c>
      <c r="U351" s="1">
        <v>46030</v>
      </c>
      <c r="V351" s="1">
        <v>46395</v>
      </c>
      <c r="W351" t="s">
        <v>38</v>
      </c>
      <c r="X351">
        <v>12</v>
      </c>
      <c r="Y351" t="s">
        <v>49</v>
      </c>
      <c r="Z351" t="s">
        <v>81</v>
      </c>
      <c r="AA351" t="s">
        <v>112</v>
      </c>
      <c r="AB351">
        <v>12</v>
      </c>
      <c r="AC351" t="s">
        <v>166</v>
      </c>
      <c r="AD351" t="s">
        <v>140</v>
      </c>
      <c r="AE351" t="s">
        <v>46</v>
      </c>
      <c r="AF351" t="s">
        <v>119</v>
      </c>
      <c r="AG351" t="str">
        <f t="shared" si="5"/>
        <v>CC 12x</v>
      </c>
      <c r="AH351" t="str">
        <f>IF(AND(SUMIF(E:E,E351,I:I)&gt;=400000,Q351="B2G"),"n","")</f>
        <v/>
      </c>
    </row>
    <row r="352" spans="1:34">
      <c r="A352">
        <v>2026</v>
      </c>
      <c r="B352">
        <v>1</v>
      </c>
      <c r="C352" s="83">
        <v>84185349134</v>
      </c>
      <c r="D352" t="s">
        <v>456</v>
      </c>
      <c r="E352">
        <v>52100670222</v>
      </c>
      <c r="F352">
        <v>625026</v>
      </c>
      <c r="G352">
        <v>47279014012</v>
      </c>
      <c r="H352" t="s">
        <v>35</v>
      </c>
      <c r="I352" s="36">
        <v>2874</v>
      </c>
      <c r="J352" s="36">
        <v>2874</v>
      </c>
      <c r="K352" s="85">
        <v>0</v>
      </c>
      <c r="L352" s="36">
        <v>239.5</v>
      </c>
      <c r="M352" s="36">
        <v>0</v>
      </c>
      <c r="N352" s="36">
        <v>0.5</v>
      </c>
      <c r="O352" s="36">
        <v>239</v>
      </c>
      <c r="P352" t="s">
        <v>127</v>
      </c>
      <c r="Q352" t="s">
        <v>111</v>
      </c>
      <c r="R352" t="s">
        <v>111</v>
      </c>
      <c r="S352" s="1">
        <v>46010</v>
      </c>
      <c r="T352" s="1">
        <v>46023</v>
      </c>
      <c r="U352" s="1">
        <v>46009</v>
      </c>
      <c r="V352" s="1">
        <v>46375</v>
      </c>
      <c r="W352" t="s">
        <v>38</v>
      </c>
      <c r="X352">
        <v>12</v>
      </c>
      <c r="Y352" t="s">
        <v>49</v>
      </c>
      <c r="Z352" t="s">
        <v>81</v>
      </c>
      <c r="AA352" t="s">
        <v>122</v>
      </c>
      <c r="AB352">
        <v>12</v>
      </c>
      <c r="AC352" t="s">
        <v>113</v>
      </c>
      <c r="AD352" t="s">
        <v>140</v>
      </c>
      <c r="AE352" t="s">
        <v>46</v>
      </c>
      <c r="AF352" t="s">
        <v>119</v>
      </c>
      <c r="AG352" t="str">
        <f t="shared" si="5"/>
        <v>Recorrente</v>
      </c>
      <c r="AH352" t="str">
        <f>IF(AND(SUMIF(E:E,E352,I:I)&gt;=400000,Q352="B2G"),"n","")</f>
        <v/>
      </c>
    </row>
    <row r="353" spans="1:34">
      <c r="A353">
        <v>2026</v>
      </c>
      <c r="B353">
        <v>1</v>
      </c>
      <c r="C353" s="83">
        <v>154783212880</v>
      </c>
      <c r="D353" t="s">
        <v>457</v>
      </c>
      <c r="E353">
        <v>52105438380</v>
      </c>
      <c r="F353">
        <v>635482</v>
      </c>
      <c r="G353">
        <v>48385310862</v>
      </c>
      <c r="H353" t="s">
        <v>35</v>
      </c>
      <c r="I353" s="36">
        <v>2524.08</v>
      </c>
      <c r="J353" s="36">
        <v>2524.09</v>
      </c>
      <c r="K353" s="85">
        <v>0</v>
      </c>
      <c r="L353" s="36">
        <v>210.34</v>
      </c>
      <c r="M353" s="36">
        <v>210.34</v>
      </c>
      <c r="N353" s="36">
        <v>0</v>
      </c>
      <c r="O353" s="36">
        <v>0</v>
      </c>
      <c r="P353" t="s">
        <v>299</v>
      </c>
      <c r="Q353" t="s">
        <v>300</v>
      </c>
      <c r="R353" t="s">
        <v>300</v>
      </c>
      <c r="S353" s="1">
        <v>46027</v>
      </c>
      <c r="T353" s="1">
        <v>46027</v>
      </c>
      <c r="V353" s="1">
        <v>46392</v>
      </c>
      <c r="W353" t="s">
        <v>38</v>
      </c>
      <c r="X353">
        <v>12</v>
      </c>
      <c r="Y353" t="s">
        <v>49</v>
      </c>
      <c r="AA353" t="s">
        <v>122</v>
      </c>
      <c r="AB353">
        <v>12</v>
      </c>
      <c r="AC353" t="s">
        <v>301</v>
      </c>
      <c r="AD353" t="s">
        <v>118</v>
      </c>
      <c r="AE353" t="s">
        <v>43</v>
      </c>
      <c r="AF353" t="s">
        <v>119</v>
      </c>
      <c r="AG353" t="str">
        <f t="shared" si="5"/>
        <v>Recorrente</v>
      </c>
      <c r="AH353" t="str">
        <f>IF(AND(SUMIF(E:E,E353,I:I)&gt;=400000,Q353="B2G"),"n","")</f>
        <v/>
      </c>
    </row>
    <row r="354" spans="1:34">
      <c r="A354">
        <v>2026</v>
      </c>
      <c r="B354">
        <v>1</v>
      </c>
      <c r="C354" s="83">
        <v>199600378296</v>
      </c>
      <c r="D354" t="s">
        <v>458</v>
      </c>
      <c r="E354">
        <v>52115916622</v>
      </c>
      <c r="F354">
        <v>503827</v>
      </c>
      <c r="G354">
        <v>49707275164</v>
      </c>
      <c r="H354" t="s">
        <v>35</v>
      </c>
      <c r="I354" s="36">
        <v>4027.2</v>
      </c>
      <c r="J354" s="36">
        <v>4027.2</v>
      </c>
      <c r="K354" s="85">
        <v>0</v>
      </c>
      <c r="L354" s="36">
        <v>335.6</v>
      </c>
      <c r="M354" s="36">
        <v>0</v>
      </c>
      <c r="N354" s="36">
        <v>36.049999999999997</v>
      </c>
      <c r="O354" s="36">
        <v>299.55</v>
      </c>
      <c r="P354" t="s">
        <v>121</v>
      </c>
      <c r="Q354" t="s">
        <v>111</v>
      </c>
      <c r="R354" t="s">
        <v>111</v>
      </c>
      <c r="S354" s="1">
        <v>46044</v>
      </c>
      <c r="T354" s="1">
        <v>46040</v>
      </c>
      <c r="U354" s="1">
        <v>46009</v>
      </c>
      <c r="V354" s="1">
        <v>46409</v>
      </c>
      <c r="W354" t="s">
        <v>38</v>
      </c>
      <c r="X354">
        <v>13</v>
      </c>
      <c r="Y354" t="s">
        <v>49</v>
      </c>
      <c r="Z354" t="s">
        <v>81</v>
      </c>
      <c r="AA354" t="s">
        <v>122</v>
      </c>
      <c r="AB354">
        <v>12</v>
      </c>
      <c r="AC354" t="s">
        <v>113</v>
      </c>
      <c r="AD354" t="s">
        <v>84</v>
      </c>
      <c r="AE354" t="s">
        <v>43</v>
      </c>
      <c r="AF354" t="s">
        <v>44</v>
      </c>
      <c r="AG354" t="str">
        <f t="shared" si="5"/>
        <v>Recorrente</v>
      </c>
      <c r="AH354" t="str">
        <f>IF(AND(SUMIF(E:E,E354,I:I)&gt;=400000,Q354="B2G"),"n","")</f>
        <v/>
      </c>
    </row>
    <row r="355" spans="1:34">
      <c r="A355">
        <v>2026</v>
      </c>
      <c r="B355">
        <v>1</v>
      </c>
      <c r="C355" s="83">
        <v>19435650309</v>
      </c>
      <c r="D355" t="s">
        <v>459</v>
      </c>
      <c r="E355">
        <v>52224327254</v>
      </c>
      <c r="F355">
        <v>625888</v>
      </c>
      <c r="G355">
        <v>49673720224</v>
      </c>
      <c r="H355" t="s">
        <v>35</v>
      </c>
      <c r="I355" s="36">
        <v>9980.2800000000007</v>
      </c>
      <c r="J355" s="36">
        <v>9980.2800000000007</v>
      </c>
      <c r="K355" s="85">
        <v>0</v>
      </c>
      <c r="L355" s="36">
        <v>831.69</v>
      </c>
      <c r="M355" s="36">
        <v>831.69</v>
      </c>
      <c r="N355" s="36">
        <v>0</v>
      </c>
      <c r="O355" s="36">
        <v>0</v>
      </c>
      <c r="P355" t="s">
        <v>72</v>
      </c>
      <c r="Q355" t="s">
        <v>37</v>
      </c>
      <c r="R355" t="s">
        <v>37</v>
      </c>
      <c r="S355" s="1">
        <v>46043</v>
      </c>
      <c r="T355" s="1">
        <v>46043</v>
      </c>
      <c r="V355" s="1">
        <v>46414</v>
      </c>
      <c r="W355" t="s">
        <v>38</v>
      </c>
      <c r="X355">
        <v>12</v>
      </c>
      <c r="Y355" t="s">
        <v>49</v>
      </c>
      <c r="Z355" t="s">
        <v>81</v>
      </c>
      <c r="AA355" t="s">
        <v>40</v>
      </c>
      <c r="AB355">
        <v>1</v>
      </c>
      <c r="AC355" t="s">
        <v>41</v>
      </c>
      <c r="AD355" t="s">
        <v>100</v>
      </c>
      <c r="AE355" t="s">
        <v>46</v>
      </c>
      <c r="AF355" t="s">
        <v>47</v>
      </c>
      <c r="AG355" t="str">
        <f t="shared" si="5"/>
        <v>À Vista</v>
      </c>
      <c r="AH355" t="str">
        <f>IF(AND(SUMIF(E:E,E355,I:I)&gt;=400000,Q355="B2G"),"n","")</f>
        <v/>
      </c>
    </row>
    <row r="356" spans="1:34">
      <c r="A356">
        <v>2026</v>
      </c>
      <c r="B356">
        <v>1</v>
      </c>
      <c r="C356" s="83">
        <v>19435650309</v>
      </c>
      <c r="D356" t="s">
        <v>459</v>
      </c>
      <c r="E356">
        <v>52224327254</v>
      </c>
      <c r="F356">
        <v>625888</v>
      </c>
      <c r="G356">
        <v>49673720225</v>
      </c>
      <c r="H356" t="s">
        <v>35</v>
      </c>
      <c r="I356" s="36">
        <v>13751.28</v>
      </c>
      <c r="J356" s="36">
        <v>13751.28</v>
      </c>
      <c r="K356" s="85">
        <v>0</v>
      </c>
      <c r="L356" s="36">
        <v>1145.94</v>
      </c>
      <c r="M356" s="36">
        <v>1145.94</v>
      </c>
      <c r="N356" s="36">
        <v>0</v>
      </c>
      <c r="O356" s="36">
        <v>0</v>
      </c>
      <c r="P356" t="s">
        <v>72</v>
      </c>
      <c r="Q356" t="s">
        <v>37</v>
      </c>
      <c r="R356" t="s">
        <v>37</v>
      </c>
      <c r="S356" s="1">
        <v>46043</v>
      </c>
      <c r="T356" s="1">
        <v>46043</v>
      </c>
      <c r="V356" s="1">
        <v>46414</v>
      </c>
      <c r="W356" t="s">
        <v>38</v>
      </c>
      <c r="X356">
        <v>12</v>
      </c>
      <c r="Y356" t="s">
        <v>49</v>
      </c>
      <c r="Z356" t="s">
        <v>81</v>
      </c>
      <c r="AA356" t="s">
        <v>40</v>
      </c>
      <c r="AB356">
        <v>1</v>
      </c>
      <c r="AC356" t="s">
        <v>41</v>
      </c>
      <c r="AD356" t="s">
        <v>70</v>
      </c>
      <c r="AE356" t="s">
        <v>43</v>
      </c>
      <c r="AF356" t="s">
        <v>47</v>
      </c>
      <c r="AG356" t="str">
        <f t="shared" si="5"/>
        <v>À Vista</v>
      </c>
      <c r="AH356" t="str">
        <f>IF(AND(SUMIF(E:E,E356,I:I)&gt;=400000,Q356="B2G"),"n","")</f>
        <v/>
      </c>
    </row>
    <row r="357" spans="1:34">
      <c r="A357">
        <v>2026</v>
      </c>
      <c r="B357">
        <v>1</v>
      </c>
      <c r="C357" s="83">
        <v>19435650309</v>
      </c>
      <c r="D357" t="s">
        <v>459</v>
      </c>
      <c r="E357">
        <v>52224327254</v>
      </c>
      <c r="F357">
        <v>625888</v>
      </c>
      <c r="G357">
        <v>49673720226</v>
      </c>
      <c r="H357" t="s">
        <v>35</v>
      </c>
      <c r="I357" s="36">
        <v>11038.92</v>
      </c>
      <c r="J357" s="36">
        <v>11038.92</v>
      </c>
      <c r="K357" s="85">
        <v>0</v>
      </c>
      <c r="L357" s="36">
        <v>919.91</v>
      </c>
      <c r="M357" s="36">
        <v>919.91</v>
      </c>
      <c r="N357" s="36">
        <v>0</v>
      </c>
      <c r="O357" s="36">
        <v>0</v>
      </c>
      <c r="P357" t="s">
        <v>72</v>
      </c>
      <c r="Q357" t="s">
        <v>37</v>
      </c>
      <c r="R357" t="s">
        <v>37</v>
      </c>
      <c r="S357" s="1">
        <v>46043</v>
      </c>
      <c r="T357" s="1">
        <v>46043</v>
      </c>
      <c r="V357" s="1">
        <v>46414</v>
      </c>
      <c r="W357" t="s">
        <v>38</v>
      </c>
      <c r="X357">
        <v>12</v>
      </c>
      <c r="Y357" t="s">
        <v>49</v>
      </c>
      <c r="Z357" t="s">
        <v>81</v>
      </c>
      <c r="AA357" t="s">
        <v>40</v>
      </c>
      <c r="AB357">
        <v>1</v>
      </c>
      <c r="AC357" t="s">
        <v>41</v>
      </c>
      <c r="AD357" t="s">
        <v>73</v>
      </c>
      <c r="AE357" t="s">
        <v>51</v>
      </c>
      <c r="AF357" t="s">
        <v>47</v>
      </c>
      <c r="AG357" t="str">
        <f t="shared" si="5"/>
        <v>À Vista</v>
      </c>
      <c r="AH357" t="str">
        <f>IF(AND(SUMIF(E:E,E357,I:I)&gt;=400000,Q357="B2G"),"n","")</f>
        <v/>
      </c>
    </row>
    <row r="358" spans="1:34">
      <c r="A358">
        <v>2026</v>
      </c>
      <c r="B358">
        <v>1</v>
      </c>
      <c r="C358" s="83">
        <v>2085847</v>
      </c>
      <c r="D358" t="s">
        <v>460</v>
      </c>
      <c r="E358">
        <v>52230376267</v>
      </c>
      <c r="F358">
        <v>625039</v>
      </c>
      <c r="G358">
        <v>48546177182</v>
      </c>
      <c r="H358" t="s">
        <v>35</v>
      </c>
      <c r="I358" s="36">
        <v>2607.36</v>
      </c>
      <c r="J358" s="36">
        <v>2607.36</v>
      </c>
      <c r="K358" s="85">
        <v>0</v>
      </c>
      <c r="L358" s="36">
        <v>217.28</v>
      </c>
      <c r="M358" s="36">
        <v>0</v>
      </c>
      <c r="N358" s="36">
        <v>15.7</v>
      </c>
      <c r="O358" s="36">
        <v>201.58</v>
      </c>
      <c r="P358" t="s">
        <v>110</v>
      </c>
      <c r="Q358" t="s">
        <v>111</v>
      </c>
      <c r="R358" t="s">
        <v>111</v>
      </c>
      <c r="S358" s="1">
        <v>46030</v>
      </c>
      <c r="T358" s="1">
        <v>46023</v>
      </c>
      <c r="U358" s="1">
        <v>46010</v>
      </c>
      <c r="V358" s="1">
        <v>46395</v>
      </c>
      <c r="W358" t="s">
        <v>38</v>
      </c>
      <c r="X358">
        <v>13</v>
      </c>
      <c r="Y358" t="s">
        <v>49</v>
      </c>
      <c r="Z358" t="s">
        <v>81</v>
      </c>
      <c r="AA358" t="s">
        <v>117</v>
      </c>
      <c r="AB358">
        <v>1</v>
      </c>
      <c r="AC358" t="s">
        <v>113</v>
      </c>
      <c r="AD358" t="s">
        <v>114</v>
      </c>
      <c r="AE358" t="s">
        <v>43</v>
      </c>
      <c r="AF358" t="s">
        <v>44</v>
      </c>
      <c r="AG358" t="str">
        <f t="shared" si="5"/>
        <v>À Vista</v>
      </c>
      <c r="AH358" t="str">
        <f>IF(AND(SUMIF(E:E,E358,I:I)&gt;=400000,Q358="B2G"),"n","")</f>
        <v/>
      </c>
    </row>
    <row r="359" spans="1:34">
      <c r="A359">
        <v>2026</v>
      </c>
      <c r="B359">
        <v>1</v>
      </c>
      <c r="C359" s="83">
        <v>2105261</v>
      </c>
      <c r="D359" t="s">
        <v>461</v>
      </c>
      <c r="E359">
        <v>52242054509</v>
      </c>
      <c r="F359">
        <v>606079</v>
      </c>
      <c r="G359">
        <v>48460215982</v>
      </c>
      <c r="H359" t="s">
        <v>35</v>
      </c>
      <c r="I359" s="36">
        <v>4500</v>
      </c>
      <c r="J359" s="36">
        <v>4500</v>
      </c>
      <c r="K359" s="85">
        <v>0</v>
      </c>
      <c r="L359" s="36">
        <v>375</v>
      </c>
      <c r="M359" s="36">
        <v>0</v>
      </c>
      <c r="N359" s="36">
        <v>35.21</v>
      </c>
      <c r="O359" s="36">
        <v>339.79</v>
      </c>
      <c r="P359" t="s">
        <v>116</v>
      </c>
      <c r="Q359" t="s">
        <v>111</v>
      </c>
      <c r="R359" t="s">
        <v>111</v>
      </c>
      <c r="S359" s="1">
        <v>46053</v>
      </c>
      <c r="T359" s="1">
        <v>46042</v>
      </c>
      <c r="U359" s="1">
        <v>46011</v>
      </c>
      <c r="V359" s="1">
        <v>46418</v>
      </c>
      <c r="W359" t="s">
        <v>38</v>
      </c>
      <c r="X359">
        <v>13</v>
      </c>
      <c r="Y359" t="s">
        <v>49</v>
      </c>
      <c r="Z359" t="s">
        <v>81</v>
      </c>
      <c r="AA359" t="s">
        <v>112</v>
      </c>
      <c r="AB359">
        <v>12</v>
      </c>
      <c r="AC359" t="s">
        <v>113</v>
      </c>
      <c r="AD359" t="s">
        <v>149</v>
      </c>
      <c r="AE359" t="s">
        <v>43</v>
      </c>
      <c r="AF359" t="s">
        <v>96</v>
      </c>
      <c r="AG359" t="str">
        <f t="shared" si="5"/>
        <v>CC 12x</v>
      </c>
      <c r="AH359" t="str">
        <f>IF(AND(SUMIF(E:E,E359,I:I)&gt;=400000,Q359="B2G"),"n","")</f>
        <v/>
      </c>
    </row>
    <row r="360" spans="1:34">
      <c r="A360">
        <v>2026</v>
      </c>
      <c r="B360">
        <v>1</v>
      </c>
      <c r="C360" s="83">
        <v>2094119</v>
      </c>
      <c r="D360" t="s">
        <v>462</v>
      </c>
      <c r="E360">
        <v>52244288327</v>
      </c>
      <c r="F360">
        <v>327727</v>
      </c>
      <c r="G360">
        <v>47441855562</v>
      </c>
      <c r="H360" t="s">
        <v>35</v>
      </c>
      <c r="I360" s="36">
        <v>4158</v>
      </c>
      <c r="J360" s="36">
        <v>4158</v>
      </c>
      <c r="K360" s="85">
        <v>0</v>
      </c>
      <c r="L360" s="36">
        <v>346.5</v>
      </c>
      <c r="M360" s="36">
        <v>0</v>
      </c>
      <c r="N360" s="36">
        <v>45.75</v>
      </c>
      <c r="O360" s="36">
        <v>300.75</v>
      </c>
      <c r="P360" t="s">
        <v>110</v>
      </c>
      <c r="Q360" t="s">
        <v>111</v>
      </c>
      <c r="R360" t="s">
        <v>111</v>
      </c>
      <c r="S360" s="1">
        <v>46013</v>
      </c>
      <c r="T360" s="1">
        <v>46023</v>
      </c>
      <c r="U360" s="1">
        <v>46006</v>
      </c>
      <c r="V360" s="1">
        <v>46378</v>
      </c>
      <c r="W360" t="s">
        <v>38</v>
      </c>
      <c r="X360">
        <v>12</v>
      </c>
      <c r="Y360" t="s">
        <v>49</v>
      </c>
      <c r="Z360" t="s">
        <v>81</v>
      </c>
      <c r="AA360" t="s">
        <v>112</v>
      </c>
      <c r="AB360">
        <v>12</v>
      </c>
      <c r="AC360" t="s">
        <v>113</v>
      </c>
      <c r="AD360" t="s">
        <v>85</v>
      </c>
      <c r="AE360" t="s">
        <v>46</v>
      </c>
      <c r="AF360" t="s">
        <v>44</v>
      </c>
      <c r="AG360" t="str">
        <f t="shared" si="5"/>
        <v>CC 12x</v>
      </c>
      <c r="AH360" t="str">
        <f>IF(AND(SUMIF(E:E,E360,I:I)&gt;=400000,Q360="B2G"),"n","")</f>
        <v/>
      </c>
    </row>
    <row r="361" spans="1:34">
      <c r="A361">
        <v>2026</v>
      </c>
      <c r="B361">
        <v>1</v>
      </c>
      <c r="C361" s="83">
        <v>2100497</v>
      </c>
      <c r="D361" t="s">
        <v>463</v>
      </c>
      <c r="E361">
        <v>52245217143</v>
      </c>
      <c r="F361">
        <v>625126</v>
      </c>
      <c r="G361">
        <v>47435488514</v>
      </c>
      <c r="H361" t="s">
        <v>35</v>
      </c>
      <c r="I361" s="36">
        <v>2440.3200000000002</v>
      </c>
      <c r="J361" s="36">
        <v>2440.3200000000002</v>
      </c>
      <c r="K361" s="85">
        <v>0</v>
      </c>
      <c r="L361" s="36">
        <v>203.36</v>
      </c>
      <c r="M361" s="36">
        <v>0</v>
      </c>
      <c r="N361" s="36">
        <v>13.64</v>
      </c>
      <c r="O361" s="36">
        <v>189.72</v>
      </c>
      <c r="P361" t="s">
        <v>116</v>
      </c>
      <c r="Q361" t="s">
        <v>111</v>
      </c>
      <c r="R361" t="s">
        <v>111</v>
      </c>
      <c r="S361" s="1">
        <v>46010</v>
      </c>
      <c r="T361" s="1">
        <v>46023</v>
      </c>
      <c r="U361" s="1">
        <v>46014</v>
      </c>
      <c r="V361" s="1">
        <v>46379</v>
      </c>
      <c r="W361" t="s">
        <v>38</v>
      </c>
      <c r="X361">
        <v>12</v>
      </c>
      <c r="Y361" t="s">
        <v>49</v>
      </c>
      <c r="Z361" t="s">
        <v>81</v>
      </c>
      <c r="AA361" t="s">
        <v>117</v>
      </c>
      <c r="AB361">
        <v>1</v>
      </c>
      <c r="AC361" t="s">
        <v>113</v>
      </c>
      <c r="AD361" t="s">
        <v>160</v>
      </c>
      <c r="AE361" t="s">
        <v>43</v>
      </c>
      <c r="AF361" t="s">
        <v>44</v>
      </c>
      <c r="AG361" t="str">
        <f t="shared" si="5"/>
        <v>À Vista</v>
      </c>
      <c r="AH361" t="str">
        <f>IF(AND(SUMIF(E:E,E361,I:I)&gt;=400000,Q361="B2G"),"n","")</f>
        <v/>
      </c>
    </row>
    <row r="362" spans="1:34">
      <c r="A362">
        <v>2026</v>
      </c>
      <c r="B362">
        <v>1</v>
      </c>
      <c r="C362" s="83">
        <v>142761734831</v>
      </c>
      <c r="D362" t="s">
        <v>464</v>
      </c>
      <c r="E362">
        <v>52248954796</v>
      </c>
      <c r="F362">
        <v>327877</v>
      </c>
      <c r="G362">
        <v>47613062404</v>
      </c>
      <c r="H362" t="s">
        <v>35</v>
      </c>
      <c r="I362" s="36">
        <v>8875.2000000000007</v>
      </c>
      <c r="J362" s="36">
        <v>8875.2000000000007</v>
      </c>
      <c r="K362" s="85">
        <v>0</v>
      </c>
      <c r="L362" s="36">
        <v>739.6</v>
      </c>
      <c r="M362" s="36">
        <v>0</v>
      </c>
      <c r="N362" s="36">
        <v>46.55</v>
      </c>
      <c r="O362" s="36">
        <v>693.05499999999995</v>
      </c>
      <c r="P362" t="s">
        <v>133</v>
      </c>
      <c r="Q362" t="s">
        <v>111</v>
      </c>
      <c r="R362" t="s">
        <v>111</v>
      </c>
      <c r="S362" s="1">
        <v>46014</v>
      </c>
      <c r="T362" s="1">
        <v>46023</v>
      </c>
      <c r="U362" s="1">
        <v>46012</v>
      </c>
      <c r="V362" s="1">
        <v>46379</v>
      </c>
      <c r="W362" t="s">
        <v>38</v>
      </c>
      <c r="X362">
        <v>12</v>
      </c>
      <c r="Y362" t="s">
        <v>49</v>
      </c>
      <c r="Z362" t="s">
        <v>81</v>
      </c>
      <c r="AA362" t="s">
        <v>122</v>
      </c>
      <c r="AB362">
        <v>12</v>
      </c>
      <c r="AC362" t="s">
        <v>113</v>
      </c>
      <c r="AD362" t="s">
        <v>154</v>
      </c>
      <c r="AE362" t="s">
        <v>46</v>
      </c>
      <c r="AF362" t="s">
        <v>47</v>
      </c>
      <c r="AG362" t="str">
        <f t="shared" si="5"/>
        <v>Recorrente</v>
      </c>
      <c r="AH362" t="str">
        <f>IF(AND(SUMIF(E:E,E362,I:I)&gt;=400000,Q362="B2G"),"n","")</f>
        <v/>
      </c>
    </row>
    <row r="363" spans="1:34">
      <c r="A363">
        <v>2026</v>
      </c>
      <c r="B363">
        <v>1</v>
      </c>
      <c r="C363" s="83">
        <v>142761734831</v>
      </c>
      <c r="D363" t="s">
        <v>464</v>
      </c>
      <c r="E363">
        <v>52248954796</v>
      </c>
      <c r="F363">
        <v>327877</v>
      </c>
      <c r="G363">
        <v>47613062405</v>
      </c>
      <c r="H363" t="s">
        <v>35</v>
      </c>
      <c r="I363" s="36">
        <v>8875.2000000000007</v>
      </c>
      <c r="J363" s="36">
        <v>8875.2000000000007</v>
      </c>
      <c r="K363" s="85">
        <v>0</v>
      </c>
      <c r="L363" s="36">
        <v>739.6</v>
      </c>
      <c r="M363" s="36">
        <v>0</v>
      </c>
      <c r="N363" s="36">
        <v>46.55</v>
      </c>
      <c r="O363" s="36">
        <v>693.05499999999995</v>
      </c>
      <c r="P363" t="s">
        <v>133</v>
      </c>
      <c r="Q363" t="s">
        <v>111</v>
      </c>
      <c r="R363" t="s">
        <v>111</v>
      </c>
      <c r="S363" s="1">
        <v>46014</v>
      </c>
      <c r="T363" s="1">
        <v>46023</v>
      </c>
      <c r="U363" s="1">
        <v>46012</v>
      </c>
      <c r="V363" s="1">
        <v>46379</v>
      </c>
      <c r="W363" t="s">
        <v>38</v>
      </c>
      <c r="X363">
        <v>12</v>
      </c>
      <c r="Y363" t="s">
        <v>49</v>
      </c>
      <c r="Z363" t="s">
        <v>81</v>
      </c>
      <c r="AA363" t="s">
        <v>122</v>
      </c>
      <c r="AB363">
        <v>12</v>
      </c>
      <c r="AC363" t="s">
        <v>113</v>
      </c>
      <c r="AD363" t="s">
        <v>125</v>
      </c>
      <c r="AE363" t="s">
        <v>43</v>
      </c>
      <c r="AF363" t="s">
        <v>47</v>
      </c>
      <c r="AG363" t="str">
        <f t="shared" si="5"/>
        <v>Recorrente</v>
      </c>
      <c r="AH363" t="str">
        <f>IF(AND(SUMIF(E:E,E363,I:I)&gt;=400000,Q363="B2G"),"n","")</f>
        <v/>
      </c>
    </row>
    <row r="364" spans="1:34">
      <c r="A364">
        <v>2026</v>
      </c>
      <c r="B364">
        <v>1</v>
      </c>
      <c r="C364" s="83">
        <v>199966661198</v>
      </c>
      <c r="D364" t="s">
        <v>465</v>
      </c>
      <c r="E364">
        <v>52334410394</v>
      </c>
      <c r="F364">
        <v>625795</v>
      </c>
      <c r="G364">
        <v>49949939807</v>
      </c>
      <c r="H364" t="s">
        <v>35</v>
      </c>
      <c r="I364" s="36">
        <v>2624.04</v>
      </c>
      <c r="J364" s="36">
        <v>2624.04</v>
      </c>
      <c r="K364" s="85">
        <v>0</v>
      </c>
      <c r="L364" s="36">
        <v>218.67</v>
      </c>
      <c r="M364" s="36">
        <v>0</v>
      </c>
      <c r="N364" s="36">
        <v>0</v>
      </c>
      <c r="O364" s="36">
        <v>218.67</v>
      </c>
      <c r="P364" t="s">
        <v>110</v>
      </c>
      <c r="Q364" t="s">
        <v>111</v>
      </c>
      <c r="R364" t="s">
        <v>111</v>
      </c>
      <c r="S364" s="1">
        <v>46049</v>
      </c>
      <c r="T364" s="1">
        <v>46049</v>
      </c>
      <c r="U364" s="1">
        <v>46044</v>
      </c>
      <c r="V364" s="1">
        <v>46414</v>
      </c>
      <c r="W364" t="s">
        <v>38</v>
      </c>
      <c r="X364">
        <v>12</v>
      </c>
      <c r="Y364" t="s">
        <v>49</v>
      </c>
      <c r="Z364" t="s">
        <v>76</v>
      </c>
      <c r="AA364" t="s">
        <v>122</v>
      </c>
      <c r="AB364">
        <v>12</v>
      </c>
      <c r="AC364" t="s">
        <v>113</v>
      </c>
      <c r="AD364" t="s">
        <v>140</v>
      </c>
      <c r="AE364" t="s">
        <v>46</v>
      </c>
      <c r="AF364" t="s">
        <v>119</v>
      </c>
      <c r="AG364" t="str">
        <f t="shared" si="5"/>
        <v>Recorrente</v>
      </c>
      <c r="AH364" t="str">
        <f>IF(AND(SUMIF(E:E,E364,I:I)&gt;=400000,Q364="B2G"),"n","")</f>
        <v/>
      </c>
    </row>
    <row r="365" spans="1:34">
      <c r="A365">
        <v>2026</v>
      </c>
      <c r="B365">
        <v>1</v>
      </c>
      <c r="C365" s="83">
        <v>2080206</v>
      </c>
      <c r="D365" t="s">
        <v>466</v>
      </c>
      <c r="E365">
        <v>52344386415</v>
      </c>
      <c r="F365">
        <v>523932</v>
      </c>
      <c r="G365">
        <v>49007614486</v>
      </c>
      <c r="H365" t="s">
        <v>35</v>
      </c>
      <c r="I365" s="36">
        <v>2198.64</v>
      </c>
      <c r="J365" s="36">
        <v>2198.64</v>
      </c>
      <c r="K365" s="85">
        <v>0</v>
      </c>
      <c r="L365" s="36">
        <v>183.22</v>
      </c>
      <c r="M365" s="36">
        <v>0</v>
      </c>
      <c r="N365" s="36">
        <v>8.51</v>
      </c>
      <c r="O365" s="36">
        <v>174.71</v>
      </c>
      <c r="P365" t="s">
        <v>162</v>
      </c>
      <c r="Q365" t="s">
        <v>111</v>
      </c>
      <c r="R365" t="s">
        <v>111</v>
      </c>
      <c r="S365" s="1">
        <v>46046</v>
      </c>
      <c r="T365" s="1">
        <v>46044</v>
      </c>
      <c r="U365" s="1">
        <v>46013</v>
      </c>
      <c r="V365" s="1">
        <v>46411</v>
      </c>
      <c r="W365" t="s">
        <v>38</v>
      </c>
      <c r="X365">
        <v>13</v>
      </c>
      <c r="Y365" t="s">
        <v>49</v>
      </c>
      <c r="Z365" t="s">
        <v>81</v>
      </c>
      <c r="AA365" t="s">
        <v>112</v>
      </c>
      <c r="AB365">
        <v>12</v>
      </c>
      <c r="AC365" t="s">
        <v>113</v>
      </c>
      <c r="AD365" t="s">
        <v>140</v>
      </c>
      <c r="AE365" t="s">
        <v>46</v>
      </c>
      <c r="AF365" t="s">
        <v>119</v>
      </c>
      <c r="AG365" t="str">
        <f t="shared" si="5"/>
        <v>CC 12x</v>
      </c>
      <c r="AH365" t="str">
        <f>IF(AND(SUMIF(E:E,E365,I:I)&gt;=400000,Q365="B2G"),"n","")</f>
        <v/>
      </c>
    </row>
    <row r="366" spans="1:34">
      <c r="A366">
        <v>2026</v>
      </c>
      <c r="B366">
        <v>1</v>
      </c>
      <c r="C366" s="83">
        <v>92872978616</v>
      </c>
      <c r="D366" t="s">
        <v>467</v>
      </c>
      <c r="E366">
        <v>52359607810</v>
      </c>
      <c r="F366">
        <v>625671</v>
      </c>
      <c r="G366">
        <v>47505122839</v>
      </c>
      <c r="H366" t="s">
        <v>35</v>
      </c>
      <c r="I366" s="36">
        <v>2874</v>
      </c>
      <c r="J366" s="36">
        <v>2874</v>
      </c>
      <c r="K366" s="85">
        <v>0</v>
      </c>
      <c r="L366" s="36">
        <v>239.5</v>
      </c>
      <c r="M366" s="36">
        <v>0</v>
      </c>
      <c r="N366" s="36">
        <v>0.5</v>
      </c>
      <c r="O366" s="36">
        <v>239</v>
      </c>
      <c r="P366" t="s">
        <v>165</v>
      </c>
      <c r="Q366" t="s">
        <v>166</v>
      </c>
      <c r="R366" t="s">
        <v>166</v>
      </c>
      <c r="S366" s="1">
        <v>46042</v>
      </c>
      <c r="T366" s="1">
        <v>46042</v>
      </c>
      <c r="U366" s="1">
        <v>46042</v>
      </c>
      <c r="V366" s="1">
        <v>46407</v>
      </c>
      <c r="W366" t="s">
        <v>38</v>
      </c>
      <c r="X366">
        <v>12</v>
      </c>
      <c r="Y366" t="s">
        <v>49</v>
      </c>
      <c r="Z366" t="s">
        <v>81</v>
      </c>
      <c r="AA366" t="s">
        <v>112</v>
      </c>
      <c r="AB366">
        <v>12</v>
      </c>
      <c r="AC366" t="s">
        <v>166</v>
      </c>
      <c r="AD366" t="s">
        <v>140</v>
      </c>
      <c r="AE366" t="s">
        <v>46</v>
      </c>
      <c r="AF366" t="s">
        <v>119</v>
      </c>
      <c r="AG366" t="str">
        <f t="shared" si="5"/>
        <v>CC 12x</v>
      </c>
      <c r="AH366" t="str">
        <f>IF(AND(SUMIF(E:E,E366,I:I)&gt;=400000,Q366="B2G"),"n","")</f>
        <v/>
      </c>
    </row>
    <row r="367" spans="1:34">
      <c r="A367">
        <v>2026</v>
      </c>
      <c r="B367">
        <v>1</v>
      </c>
      <c r="C367" s="83">
        <v>116919799692</v>
      </c>
      <c r="D367" t="s">
        <v>468</v>
      </c>
      <c r="E367">
        <v>52386242682</v>
      </c>
      <c r="F367">
        <v>635558</v>
      </c>
      <c r="G367">
        <v>48938419267</v>
      </c>
      <c r="H367" t="s">
        <v>35</v>
      </c>
      <c r="I367" s="36">
        <v>3970.08</v>
      </c>
      <c r="J367" s="36">
        <v>1763.16</v>
      </c>
      <c r="K367" s="85">
        <v>2206.92</v>
      </c>
      <c r="L367" s="36">
        <v>146.93</v>
      </c>
      <c r="M367" s="36">
        <v>0</v>
      </c>
      <c r="N367" s="36">
        <v>146.93</v>
      </c>
      <c r="O367" s="36">
        <v>0</v>
      </c>
      <c r="P367" t="s">
        <v>469</v>
      </c>
      <c r="Q367" t="s">
        <v>191</v>
      </c>
      <c r="R367" t="s">
        <v>191</v>
      </c>
      <c r="S367" s="1">
        <v>46035</v>
      </c>
      <c r="T367" s="1">
        <v>46035</v>
      </c>
      <c r="V367" s="1">
        <v>46400</v>
      </c>
      <c r="W367" t="s">
        <v>38</v>
      </c>
      <c r="Y367" t="s">
        <v>49</v>
      </c>
      <c r="AA367" t="s">
        <v>122</v>
      </c>
      <c r="AB367">
        <v>12</v>
      </c>
      <c r="AC367" t="s">
        <v>192</v>
      </c>
      <c r="AD367" t="s">
        <v>138</v>
      </c>
      <c r="AE367" t="s">
        <v>135</v>
      </c>
      <c r="AF367" t="s">
        <v>119</v>
      </c>
      <c r="AG367" t="str">
        <f t="shared" si="5"/>
        <v>Recorrente</v>
      </c>
      <c r="AH367" t="str">
        <f>IF(AND(SUMIF(E:E,E367,I:I)&gt;=400000,Q367="B2G"),"n","")</f>
        <v/>
      </c>
    </row>
    <row r="368" spans="1:34">
      <c r="A368">
        <v>2026</v>
      </c>
      <c r="B368">
        <v>1</v>
      </c>
      <c r="C368" s="83">
        <v>2139702</v>
      </c>
      <c r="D368" t="s">
        <v>470</v>
      </c>
      <c r="E368">
        <v>52387812964</v>
      </c>
      <c r="F368">
        <v>525305</v>
      </c>
      <c r="G368">
        <v>47461700367</v>
      </c>
      <c r="H368" t="s">
        <v>35</v>
      </c>
      <c r="I368" s="36">
        <v>5718.6</v>
      </c>
      <c r="J368" s="36">
        <v>5718.6</v>
      </c>
      <c r="K368" s="85">
        <v>0</v>
      </c>
      <c r="L368" s="36">
        <v>476.55</v>
      </c>
      <c r="M368" s="36">
        <v>0</v>
      </c>
      <c r="N368" s="36">
        <v>120.46</v>
      </c>
      <c r="O368" s="36">
        <v>356.09</v>
      </c>
      <c r="P368" t="s">
        <v>165</v>
      </c>
      <c r="Q368" t="s">
        <v>166</v>
      </c>
      <c r="R368" t="s">
        <v>166</v>
      </c>
      <c r="S368" s="1">
        <v>46042</v>
      </c>
      <c r="T368" s="1">
        <v>46042</v>
      </c>
      <c r="U368" s="1">
        <v>46042</v>
      </c>
      <c r="V368" s="1">
        <v>46407</v>
      </c>
      <c r="W368" t="s">
        <v>38</v>
      </c>
      <c r="X368">
        <v>12</v>
      </c>
      <c r="Y368" t="s">
        <v>49</v>
      </c>
      <c r="Z368" t="s">
        <v>81</v>
      </c>
      <c r="AA368" t="s">
        <v>112</v>
      </c>
      <c r="AB368">
        <v>12</v>
      </c>
      <c r="AC368" t="s">
        <v>166</v>
      </c>
      <c r="AD368" t="s">
        <v>174</v>
      </c>
      <c r="AE368" t="s">
        <v>43</v>
      </c>
      <c r="AF368" t="s">
        <v>47</v>
      </c>
      <c r="AG368" t="str">
        <f t="shared" si="5"/>
        <v>CC 12x</v>
      </c>
      <c r="AH368" t="str">
        <f>IF(AND(SUMIF(E:E,E368,I:I)&gt;=400000,Q368="B2G"),"n","")</f>
        <v/>
      </c>
    </row>
    <row r="369" spans="1:34">
      <c r="A369">
        <v>2026</v>
      </c>
      <c r="B369">
        <v>1</v>
      </c>
      <c r="C369" s="83">
        <v>2099203</v>
      </c>
      <c r="D369" t="s">
        <v>471</v>
      </c>
      <c r="E369">
        <v>52388778283</v>
      </c>
      <c r="F369">
        <v>625687</v>
      </c>
      <c r="G369">
        <v>47439211108</v>
      </c>
      <c r="H369" t="s">
        <v>35</v>
      </c>
      <c r="I369" s="36">
        <v>2155.44</v>
      </c>
      <c r="J369" s="36">
        <v>2155.44</v>
      </c>
      <c r="K369" s="85">
        <v>0</v>
      </c>
      <c r="L369" s="36">
        <v>179.62</v>
      </c>
      <c r="M369" s="36">
        <v>0</v>
      </c>
      <c r="N369" s="36">
        <v>37.28</v>
      </c>
      <c r="O369" s="36">
        <v>142.35</v>
      </c>
      <c r="P369" t="s">
        <v>165</v>
      </c>
      <c r="Q369" t="s">
        <v>166</v>
      </c>
      <c r="R369" t="s">
        <v>166</v>
      </c>
      <c r="S369" s="1">
        <v>46042</v>
      </c>
      <c r="T369" s="1">
        <v>46042</v>
      </c>
      <c r="U369" s="1">
        <v>46042</v>
      </c>
      <c r="V369" s="1">
        <v>46407</v>
      </c>
      <c r="W369" t="s">
        <v>38</v>
      </c>
      <c r="X369">
        <v>12</v>
      </c>
      <c r="Y369" t="s">
        <v>49</v>
      </c>
      <c r="Z369" t="s">
        <v>81</v>
      </c>
      <c r="AA369" t="s">
        <v>112</v>
      </c>
      <c r="AB369">
        <v>12</v>
      </c>
      <c r="AC369" t="s">
        <v>166</v>
      </c>
      <c r="AD369" t="s">
        <v>118</v>
      </c>
      <c r="AE369" t="s">
        <v>43</v>
      </c>
      <c r="AF369" t="s">
        <v>119</v>
      </c>
      <c r="AG369" t="str">
        <f t="shared" si="5"/>
        <v>CC 12x</v>
      </c>
      <c r="AH369" t="str">
        <f>IF(AND(SUMIF(E:E,E369,I:I)&gt;=400000,Q369="B2G"),"n","")</f>
        <v/>
      </c>
    </row>
    <row r="370" spans="1:34">
      <c r="A370">
        <v>2026</v>
      </c>
      <c r="B370">
        <v>1</v>
      </c>
      <c r="C370" s="83">
        <v>164618858933</v>
      </c>
      <c r="D370" t="s">
        <v>472</v>
      </c>
      <c r="E370">
        <v>52390676091</v>
      </c>
      <c r="F370">
        <v>625700</v>
      </c>
      <c r="G370">
        <v>47446617943</v>
      </c>
      <c r="H370" t="s">
        <v>35</v>
      </c>
      <c r="I370" s="36">
        <v>8634.6</v>
      </c>
      <c r="J370" s="36">
        <v>8634.6</v>
      </c>
      <c r="K370" s="85">
        <v>0</v>
      </c>
      <c r="L370" s="36">
        <v>719.55</v>
      </c>
      <c r="M370" s="36">
        <v>0</v>
      </c>
      <c r="N370" s="36">
        <v>184.9</v>
      </c>
      <c r="O370" s="36">
        <v>534.65</v>
      </c>
      <c r="P370" t="s">
        <v>165</v>
      </c>
      <c r="Q370" t="s">
        <v>166</v>
      </c>
      <c r="R370" t="s">
        <v>166</v>
      </c>
      <c r="S370" s="1">
        <v>46042</v>
      </c>
      <c r="T370" s="1">
        <v>46042</v>
      </c>
      <c r="U370" s="1">
        <v>46042</v>
      </c>
      <c r="V370" s="1">
        <v>46407</v>
      </c>
      <c r="W370" t="s">
        <v>38</v>
      </c>
      <c r="X370">
        <v>12</v>
      </c>
      <c r="Y370" t="s">
        <v>49</v>
      </c>
      <c r="Z370" t="s">
        <v>81</v>
      </c>
      <c r="AA370" t="s">
        <v>122</v>
      </c>
      <c r="AB370">
        <v>12</v>
      </c>
      <c r="AC370" t="s">
        <v>166</v>
      </c>
      <c r="AD370" t="s">
        <v>131</v>
      </c>
      <c r="AE370" t="s">
        <v>46</v>
      </c>
      <c r="AF370" t="s">
        <v>96</v>
      </c>
      <c r="AG370" t="str">
        <f t="shared" si="5"/>
        <v>Recorrente</v>
      </c>
      <c r="AH370" t="str">
        <f>IF(AND(SUMIF(E:E,E370,I:I)&gt;=400000,Q370="B2G"),"n","")</f>
        <v/>
      </c>
    </row>
    <row r="371" spans="1:34">
      <c r="A371">
        <v>2026</v>
      </c>
      <c r="B371">
        <v>1</v>
      </c>
      <c r="C371" s="83">
        <v>2077562</v>
      </c>
      <c r="D371" t="s">
        <v>473</v>
      </c>
      <c r="E371">
        <v>52390840980</v>
      </c>
      <c r="F371">
        <v>525244</v>
      </c>
      <c r="G371">
        <v>47576745219</v>
      </c>
      <c r="H371" t="s">
        <v>35</v>
      </c>
      <c r="I371" s="36">
        <v>8418.6</v>
      </c>
      <c r="J371" s="36">
        <v>8418.6</v>
      </c>
      <c r="K371" s="85">
        <v>0</v>
      </c>
      <c r="L371" s="36">
        <v>701.55</v>
      </c>
      <c r="M371" s="36">
        <v>0</v>
      </c>
      <c r="N371" s="36">
        <v>80.790000000000006</v>
      </c>
      <c r="O371" s="36">
        <v>620.76</v>
      </c>
      <c r="P371" t="s">
        <v>165</v>
      </c>
      <c r="Q371" t="s">
        <v>166</v>
      </c>
      <c r="R371" t="s">
        <v>166</v>
      </c>
      <c r="S371" s="1">
        <v>46042</v>
      </c>
      <c r="T371" s="1">
        <v>46042</v>
      </c>
      <c r="U371" s="1">
        <v>46042</v>
      </c>
      <c r="V371" s="1">
        <v>46407</v>
      </c>
      <c r="W371" t="s">
        <v>38</v>
      </c>
      <c r="X371">
        <v>12</v>
      </c>
      <c r="Y371" t="s">
        <v>49</v>
      </c>
      <c r="Z371" t="s">
        <v>81</v>
      </c>
      <c r="AA371" t="s">
        <v>122</v>
      </c>
      <c r="AB371">
        <v>12</v>
      </c>
      <c r="AC371" t="s">
        <v>166</v>
      </c>
      <c r="AD371" t="s">
        <v>134</v>
      </c>
      <c r="AE371" t="s">
        <v>135</v>
      </c>
      <c r="AF371" t="s">
        <v>44</v>
      </c>
      <c r="AG371" t="str">
        <f t="shared" si="5"/>
        <v>Recorrente</v>
      </c>
      <c r="AH371" t="str">
        <f>IF(AND(SUMIF(E:E,E371,I:I)&gt;=400000,Q371="B2G"),"n","")</f>
        <v/>
      </c>
    </row>
    <row r="372" spans="1:34">
      <c r="A372">
        <v>2026</v>
      </c>
      <c r="B372">
        <v>1</v>
      </c>
      <c r="C372" s="83">
        <v>196640939864</v>
      </c>
      <c r="D372" t="s">
        <v>474</v>
      </c>
      <c r="E372">
        <v>52422728787</v>
      </c>
      <c r="F372">
        <v>606409</v>
      </c>
      <c r="G372">
        <v>48561468774</v>
      </c>
      <c r="H372" t="s">
        <v>104</v>
      </c>
      <c r="I372" s="36">
        <v>1977.84</v>
      </c>
      <c r="J372" s="36">
        <v>1977.84</v>
      </c>
      <c r="K372" s="85">
        <v>0</v>
      </c>
      <c r="L372" s="36">
        <v>164.82</v>
      </c>
      <c r="M372" s="36">
        <v>0</v>
      </c>
      <c r="N372" s="36">
        <v>20.12</v>
      </c>
      <c r="O372" s="36">
        <v>144.69999999999999</v>
      </c>
      <c r="P372" t="s">
        <v>133</v>
      </c>
      <c r="Q372" t="s">
        <v>111</v>
      </c>
      <c r="R372" t="s">
        <v>111</v>
      </c>
      <c r="S372" s="1">
        <v>46031</v>
      </c>
      <c r="T372" s="1">
        <v>46023</v>
      </c>
      <c r="U372" s="1">
        <v>46013</v>
      </c>
      <c r="V372" s="1">
        <v>46396</v>
      </c>
      <c r="W372" t="s">
        <v>38</v>
      </c>
      <c r="X372">
        <v>13</v>
      </c>
      <c r="Y372" t="s">
        <v>49</v>
      </c>
      <c r="Z372" t="s">
        <v>81</v>
      </c>
      <c r="AA372" t="s">
        <v>112</v>
      </c>
      <c r="AB372">
        <v>12</v>
      </c>
      <c r="AC372" t="s">
        <v>113</v>
      </c>
      <c r="AD372" t="s">
        <v>277</v>
      </c>
      <c r="AE372" t="s">
        <v>106</v>
      </c>
      <c r="AF372" t="s">
        <v>59</v>
      </c>
      <c r="AG372" t="str">
        <f t="shared" si="5"/>
        <v>CC 12x</v>
      </c>
      <c r="AH372" t="str">
        <f>IF(AND(SUMIF(E:E,E372,I:I)&gt;=400000,Q372="B2G"),"n","")</f>
        <v/>
      </c>
    </row>
    <row r="373" spans="1:34">
      <c r="A373">
        <v>2026</v>
      </c>
      <c r="B373">
        <v>1</v>
      </c>
      <c r="C373" s="83">
        <v>196640939864</v>
      </c>
      <c r="D373" t="s">
        <v>474</v>
      </c>
      <c r="E373">
        <v>52422728787</v>
      </c>
      <c r="F373">
        <v>606409</v>
      </c>
      <c r="G373">
        <v>48561468775</v>
      </c>
      <c r="H373" t="s">
        <v>35</v>
      </c>
      <c r="I373" s="36">
        <v>1977.84</v>
      </c>
      <c r="J373" s="36">
        <v>1977.84</v>
      </c>
      <c r="K373" s="85">
        <v>0</v>
      </c>
      <c r="L373" s="36">
        <v>164.82</v>
      </c>
      <c r="M373" s="36">
        <v>0</v>
      </c>
      <c r="N373" s="36">
        <v>20.12</v>
      </c>
      <c r="O373" s="36">
        <v>144.69999999999999</v>
      </c>
      <c r="P373" t="s">
        <v>133</v>
      </c>
      <c r="Q373" t="s">
        <v>111</v>
      </c>
      <c r="R373" t="s">
        <v>111</v>
      </c>
      <c r="S373" s="1">
        <v>46031</v>
      </c>
      <c r="T373" s="1">
        <v>46023</v>
      </c>
      <c r="U373" s="1">
        <v>46013</v>
      </c>
      <c r="V373" s="1">
        <v>46396</v>
      </c>
      <c r="W373" t="s">
        <v>38</v>
      </c>
      <c r="X373">
        <v>13</v>
      </c>
      <c r="Y373" t="s">
        <v>49</v>
      </c>
      <c r="Z373" t="s">
        <v>81</v>
      </c>
      <c r="AA373" t="s">
        <v>112</v>
      </c>
      <c r="AB373">
        <v>12</v>
      </c>
      <c r="AC373" t="s">
        <v>113</v>
      </c>
      <c r="AD373" t="s">
        <v>138</v>
      </c>
      <c r="AE373" t="s">
        <v>135</v>
      </c>
      <c r="AF373" t="s">
        <v>119</v>
      </c>
      <c r="AG373" t="str">
        <f t="shared" si="5"/>
        <v>CC 12x</v>
      </c>
      <c r="AH373" t="str">
        <f>IF(AND(SUMIF(E:E,E373,I:I)&gt;=400000,Q373="B2G"),"n","")</f>
        <v/>
      </c>
    </row>
    <row r="374" spans="1:34">
      <c r="A374">
        <v>2026</v>
      </c>
      <c r="B374">
        <v>1</v>
      </c>
      <c r="C374" s="83">
        <v>2085638</v>
      </c>
      <c r="D374" t="s">
        <v>475</v>
      </c>
      <c r="E374">
        <v>52489753411</v>
      </c>
      <c r="F374">
        <v>625813</v>
      </c>
      <c r="G374">
        <v>49608436638</v>
      </c>
      <c r="H374" t="s">
        <v>35</v>
      </c>
      <c r="I374" s="36">
        <v>4452.6000000000004</v>
      </c>
      <c r="J374" s="36">
        <v>4452.6000000000004</v>
      </c>
      <c r="K374" s="85">
        <v>0</v>
      </c>
      <c r="L374" s="36">
        <v>371.05</v>
      </c>
      <c r="M374" s="36">
        <v>0</v>
      </c>
      <c r="N374" s="36">
        <v>5.3</v>
      </c>
      <c r="O374" s="36">
        <v>365.75</v>
      </c>
      <c r="P374" t="s">
        <v>116</v>
      </c>
      <c r="Q374" t="s">
        <v>111</v>
      </c>
      <c r="R374" t="s">
        <v>111</v>
      </c>
      <c r="S374" s="1">
        <v>46043</v>
      </c>
      <c r="T374" s="1">
        <v>46043</v>
      </c>
      <c r="U374" s="1">
        <v>46045</v>
      </c>
      <c r="V374" s="1">
        <v>46410</v>
      </c>
      <c r="W374" t="s">
        <v>38</v>
      </c>
      <c r="X374">
        <v>12</v>
      </c>
      <c r="Y374" t="s">
        <v>49</v>
      </c>
      <c r="Z374" t="s">
        <v>81</v>
      </c>
      <c r="AA374" t="s">
        <v>122</v>
      </c>
      <c r="AB374">
        <v>12</v>
      </c>
      <c r="AC374" t="s">
        <v>113</v>
      </c>
      <c r="AD374" t="s">
        <v>138</v>
      </c>
      <c r="AE374" t="s">
        <v>135</v>
      </c>
      <c r="AF374" t="s">
        <v>119</v>
      </c>
      <c r="AG374" t="str">
        <f t="shared" si="5"/>
        <v>Recorrente</v>
      </c>
      <c r="AH374" t="str">
        <f>IF(AND(SUMIF(E:E,E374,I:I)&gt;=400000,Q374="B2G"),"n","")</f>
        <v/>
      </c>
    </row>
    <row r="375" spans="1:34">
      <c r="A375">
        <v>2026</v>
      </c>
      <c r="B375">
        <v>1</v>
      </c>
      <c r="C375" s="83">
        <v>100274683827</v>
      </c>
      <c r="D375" t="s">
        <v>476</v>
      </c>
      <c r="E375">
        <v>52491793505</v>
      </c>
      <c r="F375">
        <v>625832</v>
      </c>
      <c r="G375">
        <v>50425404031</v>
      </c>
      <c r="H375" t="s">
        <v>35</v>
      </c>
      <c r="I375" s="36">
        <v>4157.28</v>
      </c>
      <c r="J375" s="36">
        <v>4157.28</v>
      </c>
      <c r="K375" s="85">
        <v>0</v>
      </c>
      <c r="L375" s="36">
        <v>346.44</v>
      </c>
      <c r="M375" s="36">
        <v>0</v>
      </c>
      <c r="N375" s="36">
        <v>22.04</v>
      </c>
      <c r="O375" s="36">
        <v>324.39999999999998</v>
      </c>
      <c r="P375" t="s">
        <v>162</v>
      </c>
      <c r="Q375" t="s">
        <v>111</v>
      </c>
      <c r="R375" t="s">
        <v>111</v>
      </c>
      <c r="S375" s="1">
        <v>46052</v>
      </c>
      <c r="T375" s="1">
        <v>46052</v>
      </c>
      <c r="U375" s="1">
        <v>46045</v>
      </c>
      <c r="V375" s="1">
        <v>46417</v>
      </c>
      <c r="W375" t="s">
        <v>38</v>
      </c>
      <c r="X375">
        <v>12</v>
      </c>
      <c r="Y375" t="s">
        <v>49</v>
      </c>
      <c r="Z375" t="s">
        <v>81</v>
      </c>
      <c r="AA375" t="s">
        <v>117</v>
      </c>
      <c r="AB375">
        <v>1</v>
      </c>
      <c r="AC375" t="s">
        <v>113</v>
      </c>
      <c r="AD375" t="s">
        <v>85</v>
      </c>
      <c r="AE375" t="s">
        <v>46</v>
      </c>
      <c r="AF375" t="s">
        <v>44</v>
      </c>
      <c r="AG375" t="str">
        <f t="shared" si="5"/>
        <v>À Vista</v>
      </c>
      <c r="AH375" t="str">
        <f>IF(AND(SUMIF(E:E,E375,I:I)&gt;=400000,Q375="B2G"),"n","")</f>
        <v/>
      </c>
    </row>
    <row r="376" spans="1:34">
      <c r="A376">
        <v>2026</v>
      </c>
      <c r="B376">
        <v>1</v>
      </c>
      <c r="C376" s="83">
        <v>165893286191</v>
      </c>
      <c r="D376" t="s">
        <v>477</v>
      </c>
      <c r="E376">
        <v>52521673020</v>
      </c>
      <c r="F376">
        <v>607210</v>
      </c>
      <c r="G376">
        <v>50044244856</v>
      </c>
      <c r="H376" t="s">
        <v>35</v>
      </c>
      <c r="I376" s="36">
        <v>7339.44</v>
      </c>
      <c r="J376" s="36">
        <v>7339.44</v>
      </c>
      <c r="K376" s="85">
        <v>0</v>
      </c>
      <c r="L376" s="36">
        <v>611.62</v>
      </c>
      <c r="M376" s="36">
        <v>0</v>
      </c>
      <c r="N376" s="36">
        <v>124.77</v>
      </c>
      <c r="O376" s="36">
        <v>486.85</v>
      </c>
      <c r="P376" t="s">
        <v>110</v>
      </c>
      <c r="Q376" t="s">
        <v>111</v>
      </c>
      <c r="R376" t="s">
        <v>111</v>
      </c>
      <c r="S376" s="1">
        <v>46049</v>
      </c>
      <c r="T376" s="1">
        <v>46049</v>
      </c>
      <c r="U376" s="1">
        <v>46046</v>
      </c>
      <c r="V376" s="1">
        <v>46411</v>
      </c>
      <c r="W376" t="s">
        <v>38</v>
      </c>
      <c r="X376">
        <v>12</v>
      </c>
      <c r="Y376" t="s">
        <v>49</v>
      </c>
      <c r="Z376" t="s">
        <v>81</v>
      </c>
      <c r="AA376" t="s">
        <v>122</v>
      </c>
      <c r="AB376">
        <v>12</v>
      </c>
      <c r="AC376" t="s">
        <v>113</v>
      </c>
      <c r="AD376" t="s">
        <v>131</v>
      </c>
      <c r="AE376" t="s">
        <v>46</v>
      </c>
      <c r="AF376" t="s">
        <v>96</v>
      </c>
      <c r="AG376" t="str">
        <f t="shared" si="5"/>
        <v>Recorrente</v>
      </c>
      <c r="AH376" t="str">
        <f>IF(AND(SUMIF(E:E,E376,I:I)&gt;=400000,Q376="B2G"),"n","")</f>
        <v/>
      </c>
    </row>
    <row r="377" spans="1:34">
      <c r="A377">
        <v>2026</v>
      </c>
      <c r="B377">
        <v>1</v>
      </c>
      <c r="C377" s="83">
        <v>142986491832</v>
      </c>
      <c r="D377" t="s">
        <v>478</v>
      </c>
      <c r="E377">
        <v>52546742837</v>
      </c>
      <c r="F377">
        <v>505207</v>
      </c>
      <c r="G377">
        <v>50273333066</v>
      </c>
      <c r="H377" t="s">
        <v>35</v>
      </c>
      <c r="I377" s="36">
        <v>2759.04</v>
      </c>
      <c r="J377" s="36">
        <v>2759.04</v>
      </c>
      <c r="K377" s="85">
        <v>0</v>
      </c>
      <c r="L377" s="36">
        <v>229.92</v>
      </c>
      <c r="M377" s="36">
        <v>0</v>
      </c>
      <c r="N377" s="36">
        <v>0</v>
      </c>
      <c r="O377" s="36">
        <v>229.92</v>
      </c>
      <c r="P377" t="s">
        <v>162</v>
      </c>
      <c r="Q377" t="s">
        <v>111</v>
      </c>
      <c r="R377" t="s">
        <v>111</v>
      </c>
      <c r="S377" s="1">
        <v>46051</v>
      </c>
      <c r="T377" s="1">
        <v>46051</v>
      </c>
      <c r="U377" s="1">
        <v>46047</v>
      </c>
      <c r="V377" s="1">
        <v>46412</v>
      </c>
      <c r="W377" t="s">
        <v>38</v>
      </c>
      <c r="X377">
        <v>12</v>
      </c>
      <c r="Y377" t="s">
        <v>49</v>
      </c>
      <c r="Z377" t="s">
        <v>76</v>
      </c>
      <c r="AA377" t="s">
        <v>112</v>
      </c>
      <c r="AB377">
        <v>12</v>
      </c>
      <c r="AC377" t="s">
        <v>113</v>
      </c>
      <c r="AD377" t="s">
        <v>140</v>
      </c>
      <c r="AE377" t="s">
        <v>46</v>
      </c>
      <c r="AF377" t="s">
        <v>119</v>
      </c>
      <c r="AG377" t="str">
        <f t="shared" si="5"/>
        <v>CC 12x</v>
      </c>
      <c r="AH377" t="str">
        <f>IF(AND(SUMIF(E:E,E377,I:I)&gt;=400000,Q377="B2G"),"n","")</f>
        <v/>
      </c>
    </row>
    <row r="378" spans="1:34">
      <c r="A378">
        <v>2026</v>
      </c>
      <c r="B378">
        <v>1</v>
      </c>
      <c r="C378" s="83">
        <v>2136791</v>
      </c>
      <c r="D378" t="s">
        <v>479</v>
      </c>
      <c r="E378">
        <v>52548559218</v>
      </c>
      <c r="F378">
        <v>525562</v>
      </c>
      <c r="G378">
        <v>49954677157</v>
      </c>
      <c r="H378" t="s">
        <v>35</v>
      </c>
      <c r="I378" s="36">
        <v>4161.84</v>
      </c>
      <c r="J378" s="36">
        <v>4161.84</v>
      </c>
      <c r="K378" s="85">
        <v>0</v>
      </c>
      <c r="L378" s="36">
        <v>346.82</v>
      </c>
      <c r="M378" s="36">
        <v>0</v>
      </c>
      <c r="N378" s="36">
        <v>5.77</v>
      </c>
      <c r="O378" s="36">
        <v>341.05</v>
      </c>
      <c r="P378" t="s">
        <v>116</v>
      </c>
      <c r="Q378" t="s">
        <v>111</v>
      </c>
      <c r="R378" t="s">
        <v>111</v>
      </c>
      <c r="S378" s="1">
        <v>46049</v>
      </c>
      <c r="T378" s="1">
        <v>46049</v>
      </c>
      <c r="U378" s="1">
        <v>46047</v>
      </c>
      <c r="V378" s="1">
        <v>46412</v>
      </c>
      <c r="W378" t="s">
        <v>38</v>
      </c>
      <c r="X378">
        <v>12</v>
      </c>
      <c r="Y378" t="s">
        <v>49</v>
      </c>
      <c r="Z378" t="s">
        <v>81</v>
      </c>
      <c r="AA378" t="s">
        <v>122</v>
      </c>
      <c r="AB378">
        <v>12</v>
      </c>
      <c r="AC378" t="s">
        <v>113</v>
      </c>
      <c r="AD378" t="s">
        <v>163</v>
      </c>
      <c r="AE378" t="s">
        <v>43</v>
      </c>
      <c r="AF378" t="s">
        <v>96</v>
      </c>
      <c r="AG378" t="str">
        <f t="shared" si="5"/>
        <v>Recorrente</v>
      </c>
      <c r="AH378" t="str">
        <f>IF(AND(SUMIF(E:E,E378,I:I)&gt;=400000,Q378="B2G"),"n","")</f>
        <v/>
      </c>
    </row>
    <row r="379" spans="1:34">
      <c r="A379">
        <v>2026</v>
      </c>
      <c r="B379">
        <v>1</v>
      </c>
      <c r="C379" s="83">
        <v>19435586460</v>
      </c>
      <c r="D379" t="s">
        <v>480</v>
      </c>
      <c r="E379">
        <v>52604367924</v>
      </c>
      <c r="F379">
        <v>525784</v>
      </c>
      <c r="G379">
        <v>50273394186</v>
      </c>
      <c r="H379" t="s">
        <v>35</v>
      </c>
      <c r="I379" s="36">
        <v>5388</v>
      </c>
      <c r="J379" s="36">
        <v>5388</v>
      </c>
      <c r="K379" s="85">
        <v>0</v>
      </c>
      <c r="L379" s="36">
        <v>449</v>
      </c>
      <c r="M379" s="36">
        <v>0</v>
      </c>
      <c r="N379" s="36">
        <v>27.21</v>
      </c>
      <c r="O379" s="36">
        <v>421.8</v>
      </c>
      <c r="P379" t="s">
        <v>110</v>
      </c>
      <c r="Q379" t="s">
        <v>111</v>
      </c>
      <c r="R379" t="s">
        <v>111</v>
      </c>
      <c r="S379" s="1">
        <v>46050</v>
      </c>
      <c r="T379" s="1">
        <v>46050</v>
      </c>
      <c r="U379" s="1">
        <v>46048</v>
      </c>
      <c r="V379" s="1">
        <v>46413</v>
      </c>
      <c r="W379" t="s">
        <v>38</v>
      </c>
      <c r="X379">
        <v>12</v>
      </c>
      <c r="Y379" t="s">
        <v>49</v>
      </c>
      <c r="Z379" t="s">
        <v>81</v>
      </c>
      <c r="AA379" t="s">
        <v>122</v>
      </c>
      <c r="AB379">
        <v>12</v>
      </c>
      <c r="AC379" t="s">
        <v>113</v>
      </c>
      <c r="AD379" t="s">
        <v>149</v>
      </c>
      <c r="AE379" t="s">
        <v>43</v>
      </c>
      <c r="AF379" t="s">
        <v>96</v>
      </c>
      <c r="AG379" t="str">
        <f t="shared" si="5"/>
        <v>Recorrente</v>
      </c>
      <c r="AH379" t="str">
        <f>IF(AND(SUMIF(E:E,E379,I:I)&gt;=400000,Q379="B2G"),"n","")</f>
        <v/>
      </c>
    </row>
    <row r="380" spans="1:34">
      <c r="A380">
        <v>2026</v>
      </c>
      <c r="B380">
        <v>1</v>
      </c>
      <c r="C380" s="83">
        <v>19435586460</v>
      </c>
      <c r="D380" t="s">
        <v>480</v>
      </c>
      <c r="E380">
        <v>52604367924</v>
      </c>
      <c r="F380">
        <v>525784</v>
      </c>
      <c r="G380">
        <v>50273394187</v>
      </c>
      <c r="H380" t="s">
        <v>35</v>
      </c>
      <c r="I380" s="36">
        <v>5388</v>
      </c>
      <c r="J380" s="36">
        <v>5388</v>
      </c>
      <c r="K380" s="85">
        <v>0</v>
      </c>
      <c r="L380" s="36">
        <v>449</v>
      </c>
      <c r="M380" s="36">
        <v>0</v>
      </c>
      <c r="N380" s="36">
        <v>27.21</v>
      </c>
      <c r="O380" s="36">
        <v>421.8</v>
      </c>
      <c r="P380" t="s">
        <v>110</v>
      </c>
      <c r="Q380" t="s">
        <v>111</v>
      </c>
      <c r="R380" t="s">
        <v>111</v>
      </c>
      <c r="S380" s="1">
        <v>46050</v>
      </c>
      <c r="T380" s="1">
        <v>46050</v>
      </c>
      <c r="U380" s="1">
        <v>46048</v>
      </c>
      <c r="V380" s="1">
        <v>46413</v>
      </c>
      <c r="W380" t="s">
        <v>38</v>
      </c>
      <c r="X380">
        <v>12</v>
      </c>
      <c r="Y380" t="s">
        <v>49</v>
      </c>
      <c r="Z380" t="s">
        <v>81</v>
      </c>
      <c r="AA380" t="s">
        <v>122</v>
      </c>
      <c r="AB380">
        <v>12</v>
      </c>
      <c r="AC380" t="s">
        <v>113</v>
      </c>
      <c r="AD380" t="s">
        <v>85</v>
      </c>
      <c r="AE380" t="s">
        <v>46</v>
      </c>
      <c r="AF380" t="s">
        <v>44</v>
      </c>
      <c r="AG380" t="str">
        <f t="shared" si="5"/>
        <v>Recorrente</v>
      </c>
      <c r="AH380" t="str">
        <f>IF(AND(SUMIF(E:E,E380,I:I)&gt;=400000,Q380="B2G"),"n","")</f>
        <v/>
      </c>
    </row>
    <row r="381" spans="1:34">
      <c r="A381">
        <v>2026</v>
      </c>
      <c r="B381">
        <v>1</v>
      </c>
      <c r="C381" s="83">
        <v>19435434051</v>
      </c>
      <c r="D381" t="s">
        <v>481</v>
      </c>
      <c r="E381">
        <v>52605592376</v>
      </c>
      <c r="F381">
        <v>523633</v>
      </c>
      <c r="G381">
        <v>48065387436</v>
      </c>
      <c r="H381" t="s">
        <v>35</v>
      </c>
      <c r="I381" s="36">
        <v>10932.6</v>
      </c>
      <c r="J381" s="36">
        <v>10932.6</v>
      </c>
      <c r="K381" s="85">
        <v>0</v>
      </c>
      <c r="L381" s="36">
        <v>911.05</v>
      </c>
      <c r="M381" s="36">
        <v>0</v>
      </c>
      <c r="N381" s="36">
        <v>0</v>
      </c>
      <c r="O381" s="36">
        <v>911.05</v>
      </c>
      <c r="P381" t="s">
        <v>110</v>
      </c>
      <c r="Q381" t="s">
        <v>111</v>
      </c>
      <c r="R381" t="s">
        <v>111</v>
      </c>
      <c r="S381" s="1">
        <v>46021</v>
      </c>
      <c r="T381" s="1">
        <v>46023</v>
      </c>
      <c r="U381" s="1">
        <v>46018</v>
      </c>
      <c r="V381" s="1">
        <v>46386</v>
      </c>
      <c r="W381" t="s">
        <v>38</v>
      </c>
      <c r="X381">
        <v>12</v>
      </c>
      <c r="Y381" t="s">
        <v>49</v>
      </c>
      <c r="Z381" t="s">
        <v>76</v>
      </c>
      <c r="AA381" t="s">
        <v>112</v>
      </c>
      <c r="AB381">
        <v>12</v>
      </c>
      <c r="AC381" t="s">
        <v>113</v>
      </c>
      <c r="AD381" t="s">
        <v>85</v>
      </c>
      <c r="AE381" t="s">
        <v>46</v>
      </c>
      <c r="AF381" t="s">
        <v>44</v>
      </c>
      <c r="AG381" t="str">
        <f t="shared" si="5"/>
        <v>CC 12x</v>
      </c>
      <c r="AH381" t="str">
        <f>IF(AND(SUMIF(E:E,E381,I:I)&gt;=400000,Q381="B2G"),"n","")</f>
        <v/>
      </c>
    </row>
    <row r="382" spans="1:34">
      <c r="A382">
        <v>2026</v>
      </c>
      <c r="B382">
        <v>1</v>
      </c>
      <c r="C382" s="83">
        <v>162090627717</v>
      </c>
      <c r="D382" t="s">
        <v>482</v>
      </c>
      <c r="E382">
        <v>52697097401</v>
      </c>
      <c r="F382">
        <v>525797</v>
      </c>
      <c r="G382">
        <v>50276678558</v>
      </c>
      <c r="H382" t="s">
        <v>35</v>
      </c>
      <c r="I382" s="36">
        <v>3590.04</v>
      </c>
      <c r="J382" s="36">
        <v>3590.04</v>
      </c>
      <c r="K382" s="85">
        <v>0</v>
      </c>
      <c r="L382" s="36">
        <v>299.17</v>
      </c>
      <c r="M382" s="36">
        <v>0</v>
      </c>
      <c r="N382" s="36">
        <v>24.59</v>
      </c>
      <c r="O382" s="36">
        <v>274.58</v>
      </c>
      <c r="P382" t="s">
        <v>121</v>
      </c>
      <c r="Q382" t="s">
        <v>111</v>
      </c>
      <c r="R382" t="s">
        <v>111</v>
      </c>
      <c r="S382" s="1">
        <v>46051</v>
      </c>
      <c r="T382" s="1">
        <v>46051</v>
      </c>
      <c r="U382" s="1">
        <v>46049</v>
      </c>
      <c r="V382" s="1">
        <v>46414</v>
      </c>
      <c r="W382" t="s">
        <v>38</v>
      </c>
      <c r="X382">
        <v>12</v>
      </c>
      <c r="Y382" t="s">
        <v>49</v>
      </c>
      <c r="Z382" t="s">
        <v>81</v>
      </c>
      <c r="AA382" t="s">
        <v>122</v>
      </c>
      <c r="AB382">
        <v>12</v>
      </c>
      <c r="AC382" t="s">
        <v>113</v>
      </c>
      <c r="AD382" t="s">
        <v>84</v>
      </c>
      <c r="AE382" t="s">
        <v>43</v>
      </c>
      <c r="AF382" t="s">
        <v>44</v>
      </c>
      <c r="AG382" t="str">
        <f t="shared" si="5"/>
        <v>Recorrente</v>
      </c>
      <c r="AH382" t="str">
        <f>IF(AND(SUMIF(E:E,E382,I:I)&gt;=400000,Q382="B2G"),"n","")</f>
        <v/>
      </c>
    </row>
    <row r="383" spans="1:34">
      <c r="A383">
        <v>2026</v>
      </c>
      <c r="B383">
        <v>1</v>
      </c>
      <c r="C383" s="83">
        <v>150512252948</v>
      </c>
      <c r="D383" t="s">
        <v>483</v>
      </c>
      <c r="E383">
        <v>52697544839</v>
      </c>
      <c r="F383">
        <v>625196</v>
      </c>
      <c r="G383">
        <v>49321020788</v>
      </c>
      <c r="H383" t="s">
        <v>35</v>
      </c>
      <c r="I383" s="36">
        <v>3819.84</v>
      </c>
      <c r="J383" s="36">
        <v>3819.84</v>
      </c>
      <c r="K383" s="85">
        <v>0</v>
      </c>
      <c r="L383" s="36">
        <v>318.32</v>
      </c>
      <c r="M383" s="36">
        <v>0</v>
      </c>
      <c r="N383" s="36">
        <v>30.17</v>
      </c>
      <c r="O383" s="36">
        <v>288.14999999999998</v>
      </c>
      <c r="P383" t="s">
        <v>116</v>
      </c>
      <c r="Q383" t="s">
        <v>111</v>
      </c>
      <c r="R383" t="s">
        <v>111</v>
      </c>
      <c r="S383" s="1">
        <v>46038</v>
      </c>
      <c r="T383" s="1">
        <v>46023</v>
      </c>
      <c r="U383" s="1">
        <v>46018</v>
      </c>
      <c r="V383" s="1">
        <v>46403</v>
      </c>
      <c r="W383" t="s">
        <v>38</v>
      </c>
      <c r="X383">
        <v>13</v>
      </c>
      <c r="Y383" t="s">
        <v>49</v>
      </c>
      <c r="Z383" t="s">
        <v>81</v>
      </c>
      <c r="AA383" t="s">
        <v>122</v>
      </c>
      <c r="AB383">
        <v>12</v>
      </c>
      <c r="AC383" t="s">
        <v>113</v>
      </c>
      <c r="AD383" t="s">
        <v>84</v>
      </c>
      <c r="AE383" t="s">
        <v>43</v>
      </c>
      <c r="AF383" t="s">
        <v>44</v>
      </c>
      <c r="AG383" t="str">
        <f t="shared" si="5"/>
        <v>Recorrente</v>
      </c>
      <c r="AH383" t="str">
        <f>IF(AND(SUMIF(E:E,E383,I:I)&gt;=400000,Q383="B2G"),"n","")</f>
        <v/>
      </c>
    </row>
    <row r="384" spans="1:34">
      <c r="A384">
        <v>2026</v>
      </c>
      <c r="B384">
        <v>1</v>
      </c>
      <c r="C384" s="83">
        <v>93912484937</v>
      </c>
      <c r="D384" t="s">
        <v>484</v>
      </c>
      <c r="E384">
        <v>52706728823</v>
      </c>
      <c r="F384">
        <v>625902</v>
      </c>
      <c r="G384">
        <v>48488244897</v>
      </c>
      <c r="H384" t="s">
        <v>35</v>
      </c>
      <c r="I384" s="36">
        <v>4686.84</v>
      </c>
      <c r="J384" s="36">
        <v>4686.84</v>
      </c>
      <c r="K384" s="85">
        <v>0</v>
      </c>
      <c r="L384" s="36">
        <v>390.57</v>
      </c>
      <c r="M384" s="36">
        <v>0</v>
      </c>
      <c r="N384" s="36">
        <v>11.68</v>
      </c>
      <c r="O384" s="36">
        <v>378.9</v>
      </c>
      <c r="P384" t="s">
        <v>133</v>
      </c>
      <c r="Q384" t="s">
        <v>111</v>
      </c>
      <c r="R384" t="s">
        <v>111</v>
      </c>
      <c r="S384" s="1">
        <v>46038</v>
      </c>
      <c r="T384" s="1">
        <v>46038</v>
      </c>
      <c r="U384" s="1">
        <v>46049</v>
      </c>
      <c r="V384" s="1">
        <v>46414</v>
      </c>
      <c r="W384" t="s">
        <v>38</v>
      </c>
      <c r="X384">
        <v>12</v>
      </c>
      <c r="Y384" t="s">
        <v>49</v>
      </c>
      <c r="Z384" t="s">
        <v>81</v>
      </c>
      <c r="AA384" t="s">
        <v>122</v>
      </c>
      <c r="AB384">
        <v>12</v>
      </c>
      <c r="AC384" t="s">
        <v>113</v>
      </c>
      <c r="AD384" t="s">
        <v>138</v>
      </c>
      <c r="AE384" t="s">
        <v>135</v>
      </c>
      <c r="AF384" t="s">
        <v>119</v>
      </c>
      <c r="AG384" t="str">
        <f t="shared" si="5"/>
        <v>Recorrente</v>
      </c>
      <c r="AH384" t="str">
        <f>IF(AND(SUMIF(E:E,E384,I:I)&gt;=400000,Q384="B2G"),"n","")</f>
        <v/>
      </c>
    </row>
    <row r="385" spans="1:34">
      <c r="A385">
        <v>2026</v>
      </c>
      <c r="B385">
        <v>1</v>
      </c>
      <c r="C385" s="83">
        <v>2098933</v>
      </c>
      <c r="D385" t="s">
        <v>485</v>
      </c>
      <c r="E385">
        <v>52752681216</v>
      </c>
      <c r="F385">
        <v>328075</v>
      </c>
      <c r="G385">
        <v>48061916957</v>
      </c>
      <c r="H385" t="s">
        <v>35</v>
      </c>
      <c r="I385" s="36">
        <v>3000</v>
      </c>
      <c r="J385" s="36">
        <v>3000</v>
      </c>
      <c r="K385" s="85">
        <v>0</v>
      </c>
      <c r="L385" s="36">
        <v>250</v>
      </c>
      <c r="M385" s="36">
        <v>0</v>
      </c>
      <c r="N385" s="36">
        <v>33.409999999999997</v>
      </c>
      <c r="O385" s="36">
        <v>216.59</v>
      </c>
      <c r="P385" t="s">
        <v>110</v>
      </c>
      <c r="Q385" t="s">
        <v>111</v>
      </c>
      <c r="R385" t="s">
        <v>111</v>
      </c>
      <c r="S385" s="1">
        <v>46022</v>
      </c>
      <c r="T385" s="1">
        <v>46023</v>
      </c>
      <c r="U385" s="1">
        <v>46019</v>
      </c>
      <c r="V385" s="1">
        <v>46387</v>
      </c>
      <c r="W385" t="s">
        <v>38</v>
      </c>
      <c r="X385">
        <v>12</v>
      </c>
      <c r="Y385" t="s">
        <v>49</v>
      </c>
      <c r="Z385" t="s">
        <v>81</v>
      </c>
      <c r="AA385" t="s">
        <v>117</v>
      </c>
      <c r="AB385">
        <v>1</v>
      </c>
      <c r="AC385" t="s">
        <v>113</v>
      </c>
      <c r="AD385" t="s">
        <v>160</v>
      </c>
      <c r="AE385" t="s">
        <v>43</v>
      </c>
      <c r="AF385" t="s">
        <v>44</v>
      </c>
      <c r="AG385" t="str">
        <f t="shared" si="5"/>
        <v>À Vista</v>
      </c>
      <c r="AH385" t="str">
        <f>IF(AND(SUMIF(E:E,E385,I:I)&gt;=400000,Q385="B2G"),"n","")</f>
        <v/>
      </c>
    </row>
    <row r="386" spans="1:34">
      <c r="A386">
        <v>2026</v>
      </c>
      <c r="B386">
        <v>1</v>
      </c>
      <c r="C386" s="83">
        <v>2111989</v>
      </c>
      <c r="D386" t="s">
        <v>486</v>
      </c>
      <c r="E386">
        <v>52769585203</v>
      </c>
      <c r="F386">
        <v>625920</v>
      </c>
      <c r="G386">
        <v>50274467189</v>
      </c>
      <c r="H386" t="s">
        <v>35</v>
      </c>
      <c r="I386" s="36">
        <v>4411.2</v>
      </c>
      <c r="J386" s="36">
        <v>4411.2</v>
      </c>
      <c r="K386" s="85">
        <v>0</v>
      </c>
      <c r="L386" s="36">
        <v>367.6</v>
      </c>
      <c r="M386" s="36">
        <v>0</v>
      </c>
      <c r="N386" s="36">
        <v>1.85</v>
      </c>
      <c r="O386" s="36">
        <v>365.75</v>
      </c>
      <c r="P386" t="s">
        <v>116</v>
      </c>
      <c r="Q386" t="s">
        <v>111</v>
      </c>
      <c r="R386" t="s">
        <v>111</v>
      </c>
      <c r="S386" s="1">
        <v>46051</v>
      </c>
      <c r="T386" s="1">
        <v>46051</v>
      </c>
      <c r="U386" s="1">
        <v>46050</v>
      </c>
      <c r="V386" s="1">
        <v>46415</v>
      </c>
      <c r="W386" t="s">
        <v>38</v>
      </c>
      <c r="X386">
        <v>12</v>
      </c>
      <c r="Y386" t="s">
        <v>49</v>
      </c>
      <c r="Z386" t="s">
        <v>81</v>
      </c>
      <c r="AA386" t="s">
        <v>122</v>
      </c>
      <c r="AB386">
        <v>12</v>
      </c>
      <c r="AC386" t="s">
        <v>113</v>
      </c>
      <c r="AD386" t="s">
        <v>138</v>
      </c>
      <c r="AE386" t="s">
        <v>135</v>
      </c>
      <c r="AF386" t="s">
        <v>119</v>
      </c>
      <c r="AG386" t="str">
        <f t="shared" si="5"/>
        <v>Recorrente</v>
      </c>
      <c r="AH386" t="str">
        <f>IF(AND(SUMIF(E:E,E386,I:I)&gt;=400000,Q386="B2G"),"n","")</f>
        <v/>
      </c>
    </row>
    <row r="387" spans="1:34">
      <c r="A387">
        <v>2026</v>
      </c>
      <c r="B387">
        <v>1</v>
      </c>
      <c r="C387" s="83">
        <v>125106135356</v>
      </c>
      <c r="D387" t="s">
        <v>487</v>
      </c>
      <c r="E387">
        <v>52784812172</v>
      </c>
      <c r="F387">
        <v>327859</v>
      </c>
      <c r="G387">
        <v>49007631941</v>
      </c>
      <c r="H387" t="s">
        <v>35</v>
      </c>
      <c r="I387" s="36">
        <v>3942.84</v>
      </c>
      <c r="J387" s="36">
        <v>3942.84</v>
      </c>
      <c r="K387" s="85">
        <v>0</v>
      </c>
      <c r="L387" s="36">
        <v>328.57</v>
      </c>
      <c r="M387" s="36">
        <v>0</v>
      </c>
      <c r="N387" s="36">
        <v>0</v>
      </c>
      <c r="O387" s="36">
        <v>328.57</v>
      </c>
      <c r="P387" t="s">
        <v>162</v>
      </c>
      <c r="Q387" t="s">
        <v>111</v>
      </c>
      <c r="R387" t="s">
        <v>111</v>
      </c>
      <c r="S387" s="1">
        <v>46053</v>
      </c>
      <c r="T387" s="1">
        <v>46053</v>
      </c>
      <c r="U387" s="1">
        <v>46050</v>
      </c>
      <c r="V387" s="1">
        <v>46415</v>
      </c>
      <c r="W387" t="s">
        <v>38</v>
      </c>
      <c r="X387">
        <v>12</v>
      </c>
      <c r="Y387" t="s">
        <v>49</v>
      </c>
      <c r="Z387" t="s">
        <v>81</v>
      </c>
      <c r="AA387" t="s">
        <v>112</v>
      </c>
      <c r="AB387">
        <v>12</v>
      </c>
      <c r="AC387" t="s">
        <v>113</v>
      </c>
      <c r="AD387" t="s">
        <v>163</v>
      </c>
      <c r="AE387" t="s">
        <v>43</v>
      </c>
      <c r="AF387" t="s">
        <v>96</v>
      </c>
      <c r="AG387" t="str">
        <f t="shared" ref="AG387:AG450" si="6">IF(IFERROR(SEARCH("Recorrente",AA387),0)&gt;0,"Recorrente",IF(AB387=1,"À Vista",IF(AB387&lt;=3,"CC 3x",IF(AB387&lt;=12,"CC 12x",IF(AB387&gt;12,"Recorrente","")))))</f>
        <v>CC 12x</v>
      </c>
      <c r="AH387" t="str">
        <f>IF(AND(SUMIF(E:E,E387,I:I)&gt;=400000,Q387="B2G"),"n","")</f>
        <v/>
      </c>
    </row>
    <row r="388" spans="1:34">
      <c r="A388">
        <v>2026</v>
      </c>
      <c r="B388">
        <v>1</v>
      </c>
      <c r="C388" s="83">
        <v>2099198</v>
      </c>
      <c r="D388" t="s">
        <v>488</v>
      </c>
      <c r="E388">
        <v>52785893967</v>
      </c>
      <c r="F388">
        <v>327991</v>
      </c>
      <c r="G388">
        <v>48061985198</v>
      </c>
      <c r="H388" t="s">
        <v>35</v>
      </c>
      <c r="I388" s="36">
        <v>4196.3999999999996</v>
      </c>
      <c r="J388" s="36">
        <v>4196.3999999999996</v>
      </c>
      <c r="K388" s="85">
        <v>0</v>
      </c>
      <c r="L388" s="36">
        <v>349.7</v>
      </c>
      <c r="M388" s="36">
        <v>0</v>
      </c>
      <c r="N388" s="36">
        <v>26.42</v>
      </c>
      <c r="O388" s="36">
        <v>323.27999999999997</v>
      </c>
      <c r="P388" t="s">
        <v>137</v>
      </c>
      <c r="Q388" t="s">
        <v>111</v>
      </c>
      <c r="R388" t="s">
        <v>111</v>
      </c>
      <c r="S388" s="1">
        <v>46022</v>
      </c>
      <c r="T388" s="1">
        <v>46023</v>
      </c>
      <c r="U388" s="1">
        <v>46019</v>
      </c>
      <c r="V388" s="1">
        <v>46387</v>
      </c>
      <c r="W388" t="s">
        <v>38</v>
      </c>
      <c r="X388">
        <v>12</v>
      </c>
      <c r="Y388" t="s">
        <v>49</v>
      </c>
      <c r="Z388" t="s">
        <v>81</v>
      </c>
      <c r="AA388" t="s">
        <v>122</v>
      </c>
      <c r="AB388">
        <v>12</v>
      </c>
      <c r="AC388" t="s">
        <v>113</v>
      </c>
      <c r="AD388" t="s">
        <v>85</v>
      </c>
      <c r="AE388" t="s">
        <v>46</v>
      </c>
      <c r="AF388" t="s">
        <v>44</v>
      </c>
      <c r="AG388" t="str">
        <f t="shared" si="6"/>
        <v>Recorrente</v>
      </c>
      <c r="AH388" t="str">
        <f>IF(AND(SUMIF(E:E,E388,I:I)&gt;=400000,Q388="B2G"),"n","")</f>
        <v/>
      </c>
    </row>
    <row r="389" spans="1:34">
      <c r="A389">
        <v>2026</v>
      </c>
      <c r="B389">
        <v>1</v>
      </c>
      <c r="C389" s="83">
        <v>195550417531</v>
      </c>
      <c r="D389" t="s">
        <v>489</v>
      </c>
      <c r="E389">
        <v>52839737767</v>
      </c>
      <c r="F389">
        <v>625987</v>
      </c>
      <c r="G389">
        <v>49746260111</v>
      </c>
      <c r="H389" t="s">
        <v>35</v>
      </c>
      <c r="I389" s="36">
        <v>7155.84</v>
      </c>
      <c r="J389" s="36">
        <v>7155.84</v>
      </c>
      <c r="K389" s="85">
        <v>0</v>
      </c>
      <c r="L389" s="36">
        <v>596.32000000000005</v>
      </c>
      <c r="M389" s="36">
        <v>0</v>
      </c>
      <c r="N389" s="36">
        <v>77.12</v>
      </c>
      <c r="O389" s="36">
        <v>519.20000000000005</v>
      </c>
      <c r="P389" t="s">
        <v>137</v>
      </c>
      <c r="Q389" t="s">
        <v>111</v>
      </c>
      <c r="R389" t="s">
        <v>111</v>
      </c>
      <c r="S389" s="1">
        <v>46045</v>
      </c>
      <c r="T389" s="1">
        <v>46045</v>
      </c>
      <c r="U389" s="1">
        <v>46051</v>
      </c>
      <c r="V389" s="1">
        <v>46416</v>
      </c>
      <c r="W389" t="s">
        <v>38</v>
      </c>
      <c r="X389">
        <v>12</v>
      </c>
      <c r="Y389" t="s">
        <v>49</v>
      </c>
      <c r="Z389" t="s">
        <v>81</v>
      </c>
      <c r="AA389" t="s">
        <v>122</v>
      </c>
      <c r="AB389">
        <v>12</v>
      </c>
      <c r="AC389" t="s">
        <v>113</v>
      </c>
      <c r="AD389" t="s">
        <v>134</v>
      </c>
      <c r="AE389" t="s">
        <v>135</v>
      </c>
      <c r="AF389" t="s">
        <v>44</v>
      </c>
      <c r="AG389" t="str">
        <f t="shared" si="6"/>
        <v>Recorrente</v>
      </c>
      <c r="AH389" t="str">
        <f>IF(AND(SUMIF(E:E,E389,I:I)&gt;=400000,Q389="B2G"),"n","")</f>
        <v/>
      </c>
    </row>
    <row r="390" spans="1:34">
      <c r="A390">
        <v>2026</v>
      </c>
      <c r="B390">
        <v>1</v>
      </c>
      <c r="C390" s="83">
        <v>19485984044</v>
      </c>
      <c r="D390" t="s">
        <v>490</v>
      </c>
      <c r="E390">
        <v>52869933435</v>
      </c>
      <c r="F390">
        <v>635494</v>
      </c>
      <c r="G390">
        <v>48464284962</v>
      </c>
      <c r="H390" t="s">
        <v>35</v>
      </c>
      <c r="I390" s="36">
        <v>3834</v>
      </c>
      <c r="J390" s="36">
        <v>3834</v>
      </c>
      <c r="K390" s="85">
        <v>0</v>
      </c>
      <c r="L390" s="36">
        <v>319.5</v>
      </c>
      <c r="M390" s="36">
        <v>319.5</v>
      </c>
      <c r="N390" s="36">
        <v>0</v>
      </c>
      <c r="O390" s="36">
        <v>0</v>
      </c>
      <c r="P390" t="s">
        <v>78</v>
      </c>
      <c r="Q390" t="s">
        <v>79</v>
      </c>
      <c r="R390" t="s">
        <v>80</v>
      </c>
      <c r="S390" s="1">
        <v>46028</v>
      </c>
      <c r="T390" s="1">
        <v>46028</v>
      </c>
      <c r="V390" s="1">
        <v>46393</v>
      </c>
      <c r="W390" t="s">
        <v>38</v>
      </c>
      <c r="X390">
        <v>12</v>
      </c>
      <c r="Y390" t="s">
        <v>49</v>
      </c>
      <c r="AA390" t="s">
        <v>82</v>
      </c>
      <c r="AB390">
        <v>1</v>
      </c>
      <c r="AC390" t="s">
        <v>83</v>
      </c>
      <c r="AD390" t="s">
        <v>142</v>
      </c>
      <c r="AE390" t="s">
        <v>95</v>
      </c>
      <c r="AF390" t="s">
        <v>44</v>
      </c>
      <c r="AG390" t="str">
        <f t="shared" si="6"/>
        <v>À Vista</v>
      </c>
      <c r="AH390" t="str">
        <f>IF(AND(SUMIF(E:E,E390,I:I)&gt;=400000,Q390="B2G"),"n","")</f>
        <v/>
      </c>
    </row>
    <row r="391" spans="1:34">
      <c r="A391">
        <v>2026</v>
      </c>
      <c r="B391">
        <v>1</v>
      </c>
      <c r="C391" s="83">
        <v>19485984044</v>
      </c>
      <c r="D391" t="s">
        <v>490</v>
      </c>
      <c r="E391">
        <v>52869933435</v>
      </c>
      <c r="F391">
        <v>635494</v>
      </c>
      <c r="G391">
        <v>48464284963</v>
      </c>
      <c r="H391" t="s">
        <v>104</v>
      </c>
      <c r="I391" s="36">
        <v>1078.8</v>
      </c>
      <c r="J391" s="36">
        <v>1078.8</v>
      </c>
      <c r="K391" s="85">
        <v>0</v>
      </c>
      <c r="L391" s="36">
        <v>89.9</v>
      </c>
      <c r="M391" s="36">
        <v>89.9</v>
      </c>
      <c r="N391" s="36">
        <v>0</v>
      </c>
      <c r="O391" s="36">
        <v>0</v>
      </c>
      <c r="P391" t="s">
        <v>78</v>
      </c>
      <c r="Q391" t="s">
        <v>79</v>
      </c>
      <c r="R391" t="s">
        <v>80</v>
      </c>
      <c r="S391" s="1">
        <v>46028</v>
      </c>
      <c r="T391" s="1">
        <v>46028</v>
      </c>
      <c r="V391" s="1">
        <v>46393</v>
      </c>
      <c r="W391" t="s">
        <v>38</v>
      </c>
      <c r="X391">
        <v>12</v>
      </c>
      <c r="Y391" t="s">
        <v>49</v>
      </c>
      <c r="AA391" t="s">
        <v>82</v>
      </c>
      <c r="AB391">
        <v>1</v>
      </c>
      <c r="AC391" t="s">
        <v>83</v>
      </c>
      <c r="AD391" t="s">
        <v>277</v>
      </c>
      <c r="AE391" t="s">
        <v>106</v>
      </c>
      <c r="AF391" t="s">
        <v>59</v>
      </c>
      <c r="AG391" t="str">
        <f t="shared" si="6"/>
        <v>À Vista</v>
      </c>
      <c r="AH391" t="str">
        <f>IF(AND(SUMIF(E:E,E391,I:I)&gt;=400000,Q391="B2G"),"n","")</f>
        <v/>
      </c>
    </row>
    <row r="392" spans="1:34">
      <c r="A392">
        <v>2026</v>
      </c>
      <c r="B392">
        <v>1</v>
      </c>
      <c r="C392" s="83">
        <v>2094991</v>
      </c>
      <c r="D392" t="s">
        <v>491</v>
      </c>
      <c r="E392">
        <v>52952444963</v>
      </c>
      <c r="F392">
        <v>304220</v>
      </c>
      <c r="G392">
        <v>50276825773</v>
      </c>
      <c r="H392" t="s">
        <v>35</v>
      </c>
      <c r="I392" s="36">
        <v>7553.4</v>
      </c>
      <c r="J392" s="36">
        <v>7553.4</v>
      </c>
      <c r="K392" s="85">
        <v>0</v>
      </c>
      <c r="L392" s="36">
        <v>629.45000000000005</v>
      </c>
      <c r="M392" s="36">
        <v>0</v>
      </c>
      <c r="N392" s="36">
        <v>154.44999999999999</v>
      </c>
      <c r="O392" s="36">
        <v>475</v>
      </c>
      <c r="P392" t="s">
        <v>137</v>
      </c>
      <c r="Q392" t="s">
        <v>111</v>
      </c>
      <c r="R392" t="s">
        <v>111</v>
      </c>
      <c r="S392" s="1">
        <v>46051</v>
      </c>
      <c r="T392" s="1">
        <v>46051</v>
      </c>
      <c r="U392" s="1">
        <v>46052</v>
      </c>
      <c r="V392" s="1">
        <v>46417</v>
      </c>
      <c r="W392" t="s">
        <v>38</v>
      </c>
      <c r="X392">
        <v>12</v>
      </c>
      <c r="Y392" t="s">
        <v>49</v>
      </c>
      <c r="Z392" t="s">
        <v>76</v>
      </c>
      <c r="AA392" t="s">
        <v>122</v>
      </c>
      <c r="AB392">
        <v>12</v>
      </c>
      <c r="AC392" t="s">
        <v>113</v>
      </c>
      <c r="AD392" t="s">
        <v>134</v>
      </c>
      <c r="AE392" t="s">
        <v>135</v>
      </c>
      <c r="AF392" t="s">
        <v>44</v>
      </c>
      <c r="AG392" t="str">
        <f t="shared" si="6"/>
        <v>Recorrente</v>
      </c>
      <c r="AH392" t="str">
        <f>IF(AND(SUMIF(E:E,E392,I:I)&gt;=400000,Q392="B2G"),"n","")</f>
        <v/>
      </c>
    </row>
    <row r="393" spans="1:34">
      <c r="A393">
        <v>2026</v>
      </c>
      <c r="B393">
        <v>1</v>
      </c>
      <c r="C393" s="83">
        <v>128434111872</v>
      </c>
      <c r="D393" t="s">
        <v>492</v>
      </c>
      <c r="E393">
        <v>53034795163</v>
      </c>
      <c r="F393">
        <v>607979</v>
      </c>
      <c r="G393">
        <v>50351157535</v>
      </c>
      <c r="H393" t="s">
        <v>35</v>
      </c>
      <c r="I393" s="36">
        <v>6664.68</v>
      </c>
      <c r="J393" s="36">
        <v>6664.68</v>
      </c>
      <c r="K393" s="85">
        <v>0</v>
      </c>
      <c r="L393" s="36">
        <v>555.39</v>
      </c>
      <c r="M393" s="36">
        <v>0</v>
      </c>
      <c r="N393" s="36">
        <v>190.74</v>
      </c>
      <c r="O393" s="36">
        <v>364.65</v>
      </c>
      <c r="P393" t="s">
        <v>110</v>
      </c>
      <c r="Q393" t="s">
        <v>111</v>
      </c>
      <c r="R393" t="s">
        <v>111</v>
      </c>
      <c r="S393" s="1">
        <v>46052</v>
      </c>
      <c r="T393" s="1">
        <v>46052</v>
      </c>
      <c r="U393" s="1">
        <v>46053</v>
      </c>
      <c r="V393" s="1">
        <v>46418</v>
      </c>
      <c r="W393" t="s">
        <v>38</v>
      </c>
      <c r="X393">
        <v>12</v>
      </c>
      <c r="Y393" t="s">
        <v>49</v>
      </c>
      <c r="Z393" t="s">
        <v>81</v>
      </c>
      <c r="AA393" t="s">
        <v>122</v>
      </c>
      <c r="AB393">
        <v>12</v>
      </c>
      <c r="AC393" t="s">
        <v>113</v>
      </c>
      <c r="AD393" t="s">
        <v>134</v>
      </c>
      <c r="AE393" t="s">
        <v>135</v>
      </c>
      <c r="AF393" t="s">
        <v>44</v>
      </c>
      <c r="AG393" t="str">
        <f t="shared" si="6"/>
        <v>Recorrente</v>
      </c>
      <c r="AH393" t="str">
        <f>IF(AND(SUMIF(E:E,E393,I:I)&gt;=400000,Q393="B2G"),"n","")</f>
        <v/>
      </c>
    </row>
    <row r="394" spans="1:34">
      <c r="A394">
        <v>2026</v>
      </c>
      <c r="B394">
        <v>1</v>
      </c>
      <c r="C394" s="83">
        <v>2064805</v>
      </c>
      <c r="D394" t="s">
        <v>493</v>
      </c>
      <c r="E394">
        <v>53034891115</v>
      </c>
      <c r="F394">
        <v>635470</v>
      </c>
      <c r="G394">
        <v>48144549509</v>
      </c>
      <c r="H394" t="s">
        <v>35</v>
      </c>
      <c r="I394" s="36">
        <v>2524.08</v>
      </c>
      <c r="J394" s="36">
        <v>2524.09</v>
      </c>
      <c r="K394" s="85">
        <v>0</v>
      </c>
      <c r="L394" s="36">
        <v>210.34</v>
      </c>
      <c r="M394" s="36">
        <v>210.34</v>
      </c>
      <c r="N394" s="36">
        <v>0</v>
      </c>
      <c r="O394" s="36">
        <v>0</v>
      </c>
      <c r="P394" t="s">
        <v>299</v>
      </c>
      <c r="Q394" t="s">
        <v>300</v>
      </c>
      <c r="R394" t="s">
        <v>300</v>
      </c>
      <c r="S394" s="1">
        <v>46024</v>
      </c>
      <c r="T394" s="1">
        <v>46024</v>
      </c>
      <c r="V394" s="1">
        <v>46389</v>
      </c>
      <c r="W394" t="s">
        <v>38</v>
      </c>
      <c r="X394">
        <v>12</v>
      </c>
      <c r="Y394" t="s">
        <v>49</v>
      </c>
      <c r="AA394" t="s">
        <v>122</v>
      </c>
      <c r="AB394">
        <v>12</v>
      </c>
      <c r="AC394" t="s">
        <v>301</v>
      </c>
      <c r="AD394" t="s">
        <v>118</v>
      </c>
      <c r="AE394" t="s">
        <v>43</v>
      </c>
      <c r="AF394" t="s">
        <v>119</v>
      </c>
      <c r="AG394" t="str">
        <f t="shared" si="6"/>
        <v>Recorrente</v>
      </c>
      <c r="AH394" t="str">
        <f>IF(AND(SUMIF(E:E,E394,I:I)&gt;=400000,Q394="B2G"),"n","")</f>
        <v/>
      </c>
    </row>
    <row r="395" spans="1:34">
      <c r="A395">
        <v>2026</v>
      </c>
      <c r="B395">
        <v>1</v>
      </c>
      <c r="C395" s="83">
        <v>189887092889</v>
      </c>
      <c r="D395" t="s">
        <v>494</v>
      </c>
      <c r="E395">
        <v>53074396013</v>
      </c>
      <c r="F395">
        <v>635471</v>
      </c>
      <c r="G395">
        <v>48249024519</v>
      </c>
      <c r="H395" t="s">
        <v>35</v>
      </c>
      <c r="I395" s="36">
        <v>1724.4</v>
      </c>
      <c r="J395" s="36">
        <v>1724.4</v>
      </c>
      <c r="K395" s="85">
        <v>0</v>
      </c>
      <c r="L395" s="36">
        <v>143.69999999999999</v>
      </c>
      <c r="M395" s="36">
        <v>143.69999999999999</v>
      </c>
      <c r="N395" s="36">
        <v>0</v>
      </c>
      <c r="O395" s="36">
        <v>0</v>
      </c>
      <c r="P395" t="s">
        <v>299</v>
      </c>
      <c r="Q395" t="s">
        <v>300</v>
      </c>
      <c r="R395" t="s">
        <v>80</v>
      </c>
      <c r="S395" s="1">
        <v>46025</v>
      </c>
      <c r="T395" s="1">
        <v>46025</v>
      </c>
      <c r="V395" s="1">
        <v>46390</v>
      </c>
      <c r="W395" t="s">
        <v>38</v>
      </c>
      <c r="X395">
        <v>12</v>
      </c>
      <c r="Y395" t="s">
        <v>49</v>
      </c>
      <c r="AA395" t="s">
        <v>122</v>
      </c>
      <c r="AB395">
        <v>12</v>
      </c>
      <c r="AC395" t="s">
        <v>495</v>
      </c>
      <c r="AD395" t="s">
        <v>118</v>
      </c>
      <c r="AE395" t="s">
        <v>43</v>
      </c>
      <c r="AF395" t="s">
        <v>119</v>
      </c>
      <c r="AG395" t="str">
        <f t="shared" si="6"/>
        <v>Recorrente</v>
      </c>
      <c r="AH395" t="str">
        <f>IF(AND(SUMIF(E:E,E395,I:I)&gt;=400000,Q395="B2G"),"n","")</f>
        <v/>
      </c>
    </row>
    <row r="396" spans="1:34">
      <c r="A396">
        <v>2026</v>
      </c>
      <c r="B396">
        <v>1</v>
      </c>
      <c r="C396" s="83">
        <v>190457079861</v>
      </c>
      <c r="D396" t="s">
        <v>496</v>
      </c>
      <c r="E396">
        <v>53116864618</v>
      </c>
      <c r="F396">
        <v>635507</v>
      </c>
      <c r="G396">
        <v>48174255246</v>
      </c>
      <c r="H396" t="s">
        <v>35</v>
      </c>
      <c r="I396" s="36">
        <v>5514</v>
      </c>
      <c r="J396" s="36">
        <v>5514</v>
      </c>
      <c r="K396" s="85">
        <v>0</v>
      </c>
      <c r="L396" s="36">
        <v>459.5</v>
      </c>
      <c r="M396" s="36">
        <v>459.5</v>
      </c>
      <c r="N396" s="36">
        <v>0</v>
      </c>
      <c r="O396" s="36">
        <v>0</v>
      </c>
      <c r="P396" t="s">
        <v>497</v>
      </c>
      <c r="Q396" t="s">
        <v>498</v>
      </c>
      <c r="R396" t="s">
        <v>498</v>
      </c>
      <c r="S396" s="1">
        <v>46029</v>
      </c>
      <c r="T396" s="1">
        <v>46029</v>
      </c>
      <c r="V396" s="1">
        <v>46394</v>
      </c>
      <c r="W396" t="s">
        <v>38</v>
      </c>
      <c r="X396">
        <v>12</v>
      </c>
      <c r="Y396" t="s">
        <v>49</v>
      </c>
      <c r="AA396" t="s">
        <v>112</v>
      </c>
      <c r="AB396">
        <v>1</v>
      </c>
      <c r="AC396" t="s">
        <v>499</v>
      </c>
      <c r="AD396" t="s">
        <v>138</v>
      </c>
      <c r="AE396" t="s">
        <v>135</v>
      </c>
      <c r="AF396" t="s">
        <v>119</v>
      </c>
      <c r="AG396" t="str">
        <f t="shared" si="6"/>
        <v>À Vista</v>
      </c>
      <c r="AH396" t="str">
        <f>IF(AND(SUMIF(E:E,E396,I:I)&gt;=400000,Q396="B2G"),"n","")</f>
        <v/>
      </c>
    </row>
    <row r="397" spans="1:34">
      <c r="A397">
        <v>2026</v>
      </c>
      <c r="B397">
        <v>1</v>
      </c>
      <c r="C397" s="83">
        <v>195321727899</v>
      </c>
      <c r="D397" t="s">
        <v>500</v>
      </c>
      <c r="E397">
        <v>53117067575</v>
      </c>
      <c r="F397">
        <v>635654</v>
      </c>
      <c r="G397">
        <v>49627740548</v>
      </c>
      <c r="H397" t="s">
        <v>35</v>
      </c>
      <c r="I397" s="36">
        <v>6518.4</v>
      </c>
      <c r="J397" s="36">
        <v>3259.2</v>
      </c>
      <c r="K397" s="85">
        <v>3259.2</v>
      </c>
      <c r="L397" s="36">
        <v>271.60000000000002</v>
      </c>
      <c r="M397" s="36">
        <v>271.60000000000002</v>
      </c>
      <c r="N397" s="36">
        <v>0</v>
      </c>
      <c r="O397" s="36">
        <v>0</v>
      </c>
      <c r="P397" t="s">
        <v>501</v>
      </c>
      <c r="Q397" t="s">
        <v>314</v>
      </c>
      <c r="R397" t="s">
        <v>314</v>
      </c>
      <c r="S397" s="1">
        <v>46042</v>
      </c>
      <c r="T397" s="1">
        <v>46042</v>
      </c>
      <c r="V397" s="1">
        <v>46772</v>
      </c>
      <c r="W397" t="s">
        <v>56</v>
      </c>
      <c r="X397">
        <v>24</v>
      </c>
      <c r="Y397" t="s">
        <v>49</v>
      </c>
      <c r="AA397" t="s">
        <v>122</v>
      </c>
      <c r="AB397">
        <v>24</v>
      </c>
      <c r="AC397" t="s">
        <v>315</v>
      </c>
      <c r="AD397" t="s">
        <v>160</v>
      </c>
      <c r="AE397" t="s">
        <v>43</v>
      </c>
      <c r="AF397" t="s">
        <v>44</v>
      </c>
      <c r="AG397" t="str">
        <f t="shared" si="6"/>
        <v>Recorrente</v>
      </c>
      <c r="AH397" t="str">
        <f>IF(AND(SUMIF(E:E,E397,I:I)&gt;=400000,Q397="B2G"),"n","")</f>
        <v/>
      </c>
    </row>
    <row r="398" spans="1:34">
      <c r="A398">
        <v>2026</v>
      </c>
      <c r="B398">
        <v>1</v>
      </c>
      <c r="C398" s="83">
        <v>190057929654</v>
      </c>
      <c r="D398" t="s">
        <v>502</v>
      </c>
      <c r="E398">
        <v>53142134022</v>
      </c>
      <c r="F398">
        <v>635479</v>
      </c>
      <c r="G398">
        <v>48144875268</v>
      </c>
      <c r="H398" t="s">
        <v>35</v>
      </c>
      <c r="I398" s="36">
        <v>2624.04</v>
      </c>
      <c r="J398" s="36">
        <v>2623.99</v>
      </c>
      <c r="K398" s="85">
        <v>0.05</v>
      </c>
      <c r="L398" s="36">
        <v>218.67</v>
      </c>
      <c r="M398" s="36">
        <v>218.67</v>
      </c>
      <c r="N398" s="36">
        <v>0</v>
      </c>
      <c r="O398" s="36">
        <v>0</v>
      </c>
      <c r="P398" t="s">
        <v>299</v>
      </c>
      <c r="Q398" t="s">
        <v>300</v>
      </c>
      <c r="R398" t="s">
        <v>300</v>
      </c>
      <c r="S398" s="1">
        <v>46027</v>
      </c>
      <c r="T398" s="1">
        <v>46027</v>
      </c>
      <c r="V398" s="1">
        <v>46392</v>
      </c>
      <c r="W398" t="s">
        <v>38</v>
      </c>
      <c r="X398">
        <v>12</v>
      </c>
      <c r="Y398" t="s">
        <v>49</v>
      </c>
      <c r="AA398" t="s">
        <v>122</v>
      </c>
      <c r="AB398">
        <v>12</v>
      </c>
      <c r="AC398" t="s">
        <v>301</v>
      </c>
      <c r="AD398" t="s">
        <v>140</v>
      </c>
      <c r="AE398" t="s">
        <v>46</v>
      </c>
      <c r="AF398" t="s">
        <v>119</v>
      </c>
      <c r="AG398" t="str">
        <f t="shared" si="6"/>
        <v>Recorrente</v>
      </c>
      <c r="AH398" t="str">
        <f>IF(AND(SUMIF(E:E,E398,I:I)&gt;=400000,Q398="B2G"),"n","")</f>
        <v/>
      </c>
    </row>
    <row r="399" spans="1:34">
      <c r="A399">
        <v>2026</v>
      </c>
      <c r="B399">
        <v>1</v>
      </c>
      <c r="C399" s="83">
        <v>2079245</v>
      </c>
      <c r="D399" t="s">
        <v>503</v>
      </c>
      <c r="E399">
        <v>53224472141</v>
      </c>
      <c r="F399">
        <v>635560</v>
      </c>
      <c r="G399">
        <v>48879511840</v>
      </c>
      <c r="H399" t="s">
        <v>35</v>
      </c>
      <c r="I399" s="36">
        <v>4027.8</v>
      </c>
      <c r="J399" s="36">
        <v>4027.8</v>
      </c>
      <c r="K399" s="85">
        <v>0</v>
      </c>
      <c r="L399" s="36">
        <v>335.65</v>
      </c>
      <c r="M399" s="36">
        <v>0</v>
      </c>
      <c r="N399" s="36">
        <v>335.65</v>
      </c>
      <c r="O399" s="36">
        <v>0</v>
      </c>
      <c r="P399" t="s">
        <v>469</v>
      </c>
      <c r="Q399" t="s">
        <v>191</v>
      </c>
      <c r="R399" t="s">
        <v>191</v>
      </c>
      <c r="S399" s="1">
        <v>46035</v>
      </c>
      <c r="T399" s="1">
        <v>46035</v>
      </c>
      <c r="V399" s="1">
        <v>46400</v>
      </c>
      <c r="W399" t="s">
        <v>38</v>
      </c>
      <c r="X399">
        <v>12</v>
      </c>
      <c r="Y399" t="s">
        <v>49</v>
      </c>
      <c r="AA399" t="s">
        <v>112</v>
      </c>
      <c r="AB399">
        <v>12</v>
      </c>
      <c r="AC399" t="s">
        <v>192</v>
      </c>
      <c r="AD399" t="s">
        <v>85</v>
      </c>
      <c r="AE399" t="s">
        <v>46</v>
      </c>
      <c r="AF399" t="s">
        <v>44</v>
      </c>
      <c r="AG399" t="str">
        <f t="shared" si="6"/>
        <v>CC 12x</v>
      </c>
      <c r="AH399" t="str">
        <f>IF(AND(SUMIF(E:E,E399,I:I)&gt;=400000,Q399="B2G"),"n","")</f>
        <v/>
      </c>
    </row>
    <row r="400" spans="1:34">
      <c r="A400">
        <v>2026</v>
      </c>
      <c r="B400">
        <v>1</v>
      </c>
      <c r="C400" s="83">
        <v>2085095</v>
      </c>
      <c r="D400" t="s">
        <v>504</v>
      </c>
      <c r="E400">
        <v>53239741718</v>
      </c>
      <c r="F400">
        <v>310557</v>
      </c>
      <c r="G400">
        <v>48444808017</v>
      </c>
      <c r="H400" t="s">
        <v>35</v>
      </c>
      <c r="I400" s="36">
        <v>778.56</v>
      </c>
      <c r="J400" s="36">
        <v>3843.12</v>
      </c>
      <c r="K400" s="85">
        <v>0</v>
      </c>
      <c r="L400" s="36">
        <v>320.26</v>
      </c>
      <c r="M400" s="36">
        <v>0</v>
      </c>
      <c r="N400" s="36">
        <v>320.26</v>
      </c>
      <c r="O400" s="36">
        <v>0</v>
      </c>
      <c r="P400" t="s">
        <v>323</v>
      </c>
      <c r="Q400" t="s">
        <v>191</v>
      </c>
      <c r="R400" t="s">
        <v>191</v>
      </c>
      <c r="S400" s="1">
        <v>46028</v>
      </c>
      <c r="T400" s="1">
        <v>46028</v>
      </c>
      <c r="V400" s="1">
        <v>46102</v>
      </c>
      <c r="W400" t="s">
        <v>38</v>
      </c>
      <c r="X400">
        <v>2</v>
      </c>
      <c r="Y400" t="s">
        <v>49</v>
      </c>
      <c r="Z400" t="s">
        <v>324</v>
      </c>
      <c r="AA400" t="s">
        <v>122</v>
      </c>
      <c r="AB400">
        <v>2</v>
      </c>
      <c r="AC400" t="s">
        <v>192</v>
      </c>
      <c r="AD400" t="s">
        <v>134</v>
      </c>
      <c r="AE400" t="s">
        <v>135</v>
      </c>
      <c r="AF400" t="s">
        <v>44</v>
      </c>
      <c r="AG400" t="str">
        <f t="shared" si="6"/>
        <v>Recorrente</v>
      </c>
      <c r="AH400" t="str">
        <f>IF(AND(SUMIF(E:E,E400,I:I)&gt;=400000,Q400="B2G"),"n","")</f>
        <v/>
      </c>
    </row>
    <row r="401" spans="1:34">
      <c r="A401">
        <v>2026</v>
      </c>
      <c r="B401">
        <v>1</v>
      </c>
      <c r="C401" s="83">
        <v>48256073806</v>
      </c>
      <c r="D401" t="s">
        <v>505</v>
      </c>
      <c r="E401">
        <v>53244739493</v>
      </c>
      <c r="F401">
        <v>635495</v>
      </c>
      <c r="G401">
        <v>48380740519</v>
      </c>
      <c r="H401" t="s">
        <v>35</v>
      </c>
      <c r="I401" s="36">
        <v>4612.4399999999996</v>
      </c>
      <c r="J401" s="36">
        <v>4612.46</v>
      </c>
      <c r="K401" s="85">
        <v>0</v>
      </c>
      <c r="L401" s="36">
        <v>384.37</v>
      </c>
      <c r="M401" s="36">
        <v>384.37</v>
      </c>
      <c r="N401" s="36">
        <v>0</v>
      </c>
      <c r="O401" s="36">
        <v>0</v>
      </c>
      <c r="P401" t="s">
        <v>506</v>
      </c>
      <c r="Q401" t="s">
        <v>300</v>
      </c>
      <c r="R401" t="s">
        <v>300</v>
      </c>
      <c r="S401" s="1">
        <v>46028</v>
      </c>
      <c r="T401" s="1">
        <v>46028</v>
      </c>
      <c r="V401" s="1">
        <v>46393</v>
      </c>
      <c r="W401" t="s">
        <v>38</v>
      </c>
      <c r="X401">
        <v>12</v>
      </c>
      <c r="Y401" t="s">
        <v>49</v>
      </c>
      <c r="AA401" t="s">
        <v>117</v>
      </c>
      <c r="AB401">
        <v>1</v>
      </c>
      <c r="AC401" t="s">
        <v>301</v>
      </c>
      <c r="AD401" t="s">
        <v>138</v>
      </c>
      <c r="AE401" t="s">
        <v>135</v>
      </c>
      <c r="AF401" t="s">
        <v>119</v>
      </c>
      <c r="AG401" t="str">
        <f t="shared" si="6"/>
        <v>À Vista</v>
      </c>
      <c r="AH401" t="str">
        <f>IF(AND(SUMIF(E:E,E401,I:I)&gt;=400000,Q401="B2G"),"n","")</f>
        <v/>
      </c>
    </row>
    <row r="402" spans="1:34">
      <c r="A402">
        <v>2026</v>
      </c>
      <c r="B402">
        <v>1</v>
      </c>
      <c r="C402" s="83">
        <v>189853568301</v>
      </c>
      <c r="D402" t="s">
        <v>507</v>
      </c>
      <c r="E402">
        <v>53246719537</v>
      </c>
      <c r="F402">
        <v>635484</v>
      </c>
      <c r="G402">
        <v>48382414134</v>
      </c>
      <c r="H402" t="s">
        <v>35</v>
      </c>
      <c r="I402" s="36">
        <v>2471.64</v>
      </c>
      <c r="J402" s="36">
        <v>2471.64</v>
      </c>
      <c r="K402" s="85">
        <v>0</v>
      </c>
      <c r="L402" s="36">
        <v>205.97</v>
      </c>
      <c r="M402" s="36">
        <v>205.97</v>
      </c>
      <c r="N402" s="36">
        <v>0</v>
      </c>
      <c r="O402" s="36">
        <v>0</v>
      </c>
      <c r="P402" t="s">
        <v>299</v>
      </c>
      <c r="Q402" t="s">
        <v>300</v>
      </c>
      <c r="R402" t="s">
        <v>300</v>
      </c>
      <c r="S402" s="1">
        <v>46027</v>
      </c>
      <c r="T402" s="1">
        <v>46027</v>
      </c>
      <c r="V402" s="1">
        <v>46392</v>
      </c>
      <c r="W402" t="s">
        <v>38</v>
      </c>
      <c r="X402">
        <v>12</v>
      </c>
      <c r="Y402" t="s">
        <v>49</v>
      </c>
      <c r="AA402" t="s">
        <v>117</v>
      </c>
      <c r="AB402">
        <v>1</v>
      </c>
      <c r="AC402" t="s">
        <v>301</v>
      </c>
      <c r="AD402" t="s">
        <v>118</v>
      </c>
      <c r="AE402" t="s">
        <v>43</v>
      </c>
      <c r="AF402" t="s">
        <v>119</v>
      </c>
      <c r="AG402" t="str">
        <f t="shared" si="6"/>
        <v>À Vista</v>
      </c>
      <c r="AH402" t="str">
        <f>IF(AND(SUMIF(E:E,E402,I:I)&gt;=400000,Q402="B2G"),"n","")</f>
        <v/>
      </c>
    </row>
    <row r="403" spans="1:34">
      <c r="A403">
        <v>2026</v>
      </c>
      <c r="B403">
        <v>1</v>
      </c>
      <c r="C403" s="83">
        <v>179436288907</v>
      </c>
      <c r="D403" t="s">
        <v>508</v>
      </c>
      <c r="E403">
        <v>53249258777</v>
      </c>
      <c r="F403">
        <v>635475</v>
      </c>
      <c r="G403">
        <v>48144872754</v>
      </c>
      <c r="H403" t="s">
        <v>35</v>
      </c>
      <c r="I403" s="36">
        <v>2757</v>
      </c>
      <c r="J403" s="36">
        <v>2757</v>
      </c>
      <c r="K403" s="85">
        <v>0</v>
      </c>
      <c r="L403" s="36">
        <v>229.75</v>
      </c>
      <c r="M403" s="36">
        <v>229.75</v>
      </c>
      <c r="N403" s="36">
        <v>0</v>
      </c>
      <c r="O403" s="36">
        <v>0</v>
      </c>
      <c r="P403" t="s">
        <v>299</v>
      </c>
      <c r="Q403" t="s">
        <v>300</v>
      </c>
      <c r="R403" t="s">
        <v>80</v>
      </c>
      <c r="S403" s="1">
        <v>46027</v>
      </c>
      <c r="T403" s="1">
        <v>46027</v>
      </c>
      <c r="V403" s="1">
        <v>46392</v>
      </c>
      <c r="W403" t="s">
        <v>38</v>
      </c>
      <c r="X403">
        <v>12</v>
      </c>
      <c r="Y403" t="s">
        <v>49</v>
      </c>
      <c r="AA403" t="s">
        <v>117</v>
      </c>
      <c r="AB403">
        <v>1</v>
      </c>
      <c r="AC403" t="s">
        <v>495</v>
      </c>
      <c r="AD403" t="s">
        <v>138</v>
      </c>
      <c r="AE403" t="s">
        <v>135</v>
      </c>
      <c r="AF403" t="s">
        <v>119</v>
      </c>
      <c r="AG403" t="str">
        <f t="shared" si="6"/>
        <v>À Vista</v>
      </c>
      <c r="AH403" t="str">
        <f>IF(AND(SUMIF(E:E,E403,I:I)&gt;=400000,Q403="B2G"),"n","")</f>
        <v/>
      </c>
    </row>
    <row r="404" spans="1:34">
      <c r="A404">
        <v>2026</v>
      </c>
      <c r="B404">
        <v>1</v>
      </c>
      <c r="C404" s="83">
        <v>32670673278</v>
      </c>
      <c r="D404" t="s">
        <v>509</v>
      </c>
      <c r="E404">
        <v>53249668750</v>
      </c>
      <c r="F404">
        <v>635505</v>
      </c>
      <c r="G404">
        <v>48138246719</v>
      </c>
      <c r="H404" t="s">
        <v>35</v>
      </c>
      <c r="I404" s="36">
        <v>4074</v>
      </c>
      <c r="J404" s="36">
        <v>4074</v>
      </c>
      <c r="K404" s="85">
        <v>0</v>
      </c>
      <c r="L404" s="36">
        <v>339.5</v>
      </c>
      <c r="M404" s="36">
        <v>339.5</v>
      </c>
      <c r="N404" s="36">
        <v>0</v>
      </c>
      <c r="O404" s="36">
        <v>0</v>
      </c>
      <c r="P404" t="s">
        <v>361</v>
      </c>
      <c r="Q404" t="s">
        <v>349</v>
      </c>
      <c r="R404" t="s">
        <v>349</v>
      </c>
      <c r="S404" s="1">
        <v>46029</v>
      </c>
      <c r="T404" s="1">
        <v>46029</v>
      </c>
      <c r="V404" s="1">
        <v>46394</v>
      </c>
      <c r="W404" t="s">
        <v>38</v>
      </c>
      <c r="X404">
        <v>12</v>
      </c>
      <c r="Y404" t="s">
        <v>49</v>
      </c>
      <c r="AA404" t="s">
        <v>92</v>
      </c>
      <c r="AB404">
        <v>12</v>
      </c>
      <c r="AC404" t="s">
        <v>350</v>
      </c>
      <c r="AD404" t="s">
        <v>160</v>
      </c>
      <c r="AE404" t="s">
        <v>43</v>
      </c>
      <c r="AF404" t="s">
        <v>44</v>
      </c>
      <c r="AG404" t="str">
        <f t="shared" si="6"/>
        <v>Recorrente</v>
      </c>
      <c r="AH404" t="str">
        <f>IF(AND(SUMIF(E:E,E404,I:I)&gt;=400000,Q404="B2G"),"n","")</f>
        <v/>
      </c>
    </row>
    <row r="405" spans="1:34">
      <c r="A405">
        <v>2026</v>
      </c>
      <c r="B405">
        <v>1</v>
      </c>
      <c r="C405" s="83">
        <v>190406824567</v>
      </c>
      <c r="D405" t="s">
        <v>510</v>
      </c>
      <c r="E405">
        <v>53250443161</v>
      </c>
      <c r="F405">
        <v>635525</v>
      </c>
      <c r="G405">
        <v>48561715877</v>
      </c>
      <c r="H405" t="s">
        <v>35</v>
      </c>
      <c r="I405" s="36">
        <v>2235</v>
      </c>
      <c r="J405" s="36">
        <v>2235</v>
      </c>
      <c r="K405" s="85">
        <v>0</v>
      </c>
      <c r="L405" s="36">
        <v>186.25</v>
      </c>
      <c r="M405" s="36">
        <v>186.25</v>
      </c>
      <c r="N405" s="36">
        <v>0</v>
      </c>
      <c r="O405" s="36">
        <v>0</v>
      </c>
      <c r="P405" t="s">
        <v>511</v>
      </c>
      <c r="Q405" t="s">
        <v>300</v>
      </c>
      <c r="R405" t="s">
        <v>300</v>
      </c>
      <c r="S405" s="1">
        <v>46031</v>
      </c>
      <c r="T405" s="1">
        <v>46031</v>
      </c>
      <c r="V405" s="1">
        <v>46396</v>
      </c>
      <c r="W405" t="s">
        <v>38</v>
      </c>
      <c r="X405">
        <v>12</v>
      </c>
      <c r="Y405" t="s">
        <v>49</v>
      </c>
      <c r="AA405" t="s">
        <v>117</v>
      </c>
      <c r="AB405">
        <v>1</v>
      </c>
      <c r="AC405" t="s">
        <v>301</v>
      </c>
      <c r="AD405" t="s">
        <v>140</v>
      </c>
      <c r="AE405" t="s">
        <v>46</v>
      </c>
      <c r="AF405" t="s">
        <v>119</v>
      </c>
      <c r="AG405" t="str">
        <f t="shared" si="6"/>
        <v>À Vista</v>
      </c>
      <c r="AH405" t="str">
        <f>IF(AND(SUMIF(E:E,E405,I:I)&gt;=400000,Q405="B2G"),"n","")</f>
        <v/>
      </c>
    </row>
    <row r="406" spans="1:34">
      <c r="A406">
        <v>2026</v>
      </c>
      <c r="B406">
        <v>1</v>
      </c>
      <c r="C406" s="83">
        <v>82757259042</v>
      </c>
      <c r="D406" t="s">
        <v>512</v>
      </c>
      <c r="E406">
        <v>53255210400</v>
      </c>
      <c r="F406">
        <v>635485</v>
      </c>
      <c r="G406">
        <v>48382843786</v>
      </c>
      <c r="H406" t="s">
        <v>35</v>
      </c>
      <c r="I406" s="36">
        <v>2874</v>
      </c>
      <c r="J406" s="36">
        <v>2874</v>
      </c>
      <c r="K406" s="85">
        <v>0</v>
      </c>
      <c r="L406" s="36">
        <v>239.5</v>
      </c>
      <c r="M406" s="36">
        <v>239.5</v>
      </c>
      <c r="N406" s="36">
        <v>0</v>
      </c>
      <c r="O406" s="36">
        <v>0</v>
      </c>
      <c r="P406" t="s">
        <v>511</v>
      </c>
      <c r="Q406" t="s">
        <v>300</v>
      </c>
      <c r="R406" t="s">
        <v>300</v>
      </c>
      <c r="S406" s="1">
        <v>46027</v>
      </c>
      <c r="T406" s="1">
        <v>46027</v>
      </c>
      <c r="V406" s="1">
        <v>46392</v>
      </c>
      <c r="W406" t="s">
        <v>38</v>
      </c>
      <c r="X406">
        <v>12</v>
      </c>
      <c r="Y406" t="s">
        <v>49</v>
      </c>
      <c r="AA406" t="s">
        <v>122</v>
      </c>
      <c r="AB406">
        <v>12</v>
      </c>
      <c r="AC406" t="s">
        <v>301</v>
      </c>
      <c r="AD406" t="s">
        <v>140</v>
      </c>
      <c r="AE406" t="s">
        <v>46</v>
      </c>
      <c r="AF406" t="s">
        <v>119</v>
      </c>
      <c r="AG406" t="str">
        <f t="shared" si="6"/>
        <v>Recorrente</v>
      </c>
      <c r="AH406" t="str">
        <f>IF(AND(SUMIF(E:E,E406,I:I)&gt;=400000,Q406="B2G"),"n","")</f>
        <v/>
      </c>
    </row>
    <row r="407" spans="1:34">
      <c r="A407">
        <v>2026</v>
      </c>
      <c r="B407">
        <v>1</v>
      </c>
      <c r="C407" s="83">
        <v>19435572333</v>
      </c>
      <c r="D407" t="s">
        <v>513</v>
      </c>
      <c r="E407">
        <v>53256663660</v>
      </c>
      <c r="F407">
        <v>635588</v>
      </c>
      <c r="G407">
        <v>49007643231</v>
      </c>
      <c r="H407" t="s">
        <v>35</v>
      </c>
      <c r="I407" s="36">
        <v>3624.48</v>
      </c>
      <c r="J407" s="36">
        <v>3624.48</v>
      </c>
      <c r="K407" s="85">
        <v>0</v>
      </c>
      <c r="L407" s="36">
        <v>302.04000000000002</v>
      </c>
      <c r="M407" s="36">
        <v>0</v>
      </c>
      <c r="N407" s="36">
        <v>80.61</v>
      </c>
      <c r="O407" s="36">
        <v>221.42973860000001</v>
      </c>
      <c r="P407" t="s">
        <v>367</v>
      </c>
      <c r="Q407" t="s">
        <v>191</v>
      </c>
      <c r="R407" t="s">
        <v>191</v>
      </c>
      <c r="S407" s="1">
        <v>46036</v>
      </c>
      <c r="T407" s="1">
        <v>46036</v>
      </c>
      <c r="V407" s="1">
        <v>46401</v>
      </c>
      <c r="W407" t="s">
        <v>38</v>
      </c>
      <c r="Y407" t="s">
        <v>49</v>
      </c>
      <c r="AA407" t="s">
        <v>112</v>
      </c>
      <c r="AB407">
        <v>3</v>
      </c>
      <c r="AC407" t="s">
        <v>192</v>
      </c>
      <c r="AD407" t="s">
        <v>84</v>
      </c>
      <c r="AE407" t="s">
        <v>43</v>
      </c>
      <c r="AF407" t="s">
        <v>44</v>
      </c>
      <c r="AG407" t="str">
        <f t="shared" si="6"/>
        <v>CC 3x</v>
      </c>
      <c r="AH407" t="str">
        <f>IF(AND(SUMIF(E:E,E407,I:I)&gt;=400000,Q407="B2G"),"n","")</f>
        <v/>
      </c>
    </row>
    <row r="408" spans="1:34">
      <c r="A408">
        <v>2026</v>
      </c>
      <c r="B408">
        <v>1</v>
      </c>
      <c r="C408" s="83">
        <v>19435572333</v>
      </c>
      <c r="D408" t="s">
        <v>513</v>
      </c>
      <c r="E408">
        <v>53256663660</v>
      </c>
      <c r="F408">
        <v>635588</v>
      </c>
      <c r="G408">
        <v>49007643232</v>
      </c>
      <c r="H408" t="s">
        <v>35</v>
      </c>
      <c r="I408" s="36">
        <v>4142.88</v>
      </c>
      <c r="J408" s="36">
        <v>4142.88</v>
      </c>
      <c r="K408" s="85">
        <v>0</v>
      </c>
      <c r="L408" s="36">
        <v>345.24</v>
      </c>
      <c r="M408" s="36">
        <v>0</v>
      </c>
      <c r="N408" s="36">
        <v>92.14</v>
      </c>
      <c r="O408" s="36">
        <v>253.10026139999999</v>
      </c>
      <c r="P408" t="s">
        <v>367</v>
      </c>
      <c r="Q408" t="s">
        <v>191</v>
      </c>
      <c r="R408" t="s">
        <v>191</v>
      </c>
      <c r="S408" s="1">
        <v>46036</v>
      </c>
      <c r="T408" s="1">
        <v>46036</v>
      </c>
      <c r="V408" s="1">
        <v>46401</v>
      </c>
      <c r="W408" t="s">
        <v>38</v>
      </c>
      <c r="Y408" t="s">
        <v>49</v>
      </c>
      <c r="AA408" t="s">
        <v>112</v>
      </c>
      <c r="AB408">
        <v>3</v>
      </c>
      <c r="AC408" t="s">
        <v>192</v>
      </c>
      <c r="AD408" t="s">
        <v>85</v>
      </c>
      <c r="AE408" t="s">
        <v>46</v>
      </c>
      <c r="AF408" t="s">
        <v>44</v>
      </c>
      <c r="AG408" t="str">
        <f t="shared" si="6"/>
        <v>CC 3x</v>
      </c>
      <c r="AH408" t="str">
        <f>IF(AND(SUMIF(E:E,E408,I:I)&gt;=400000,Q408="B2G"),"n","")</f>
        <v/>
      </c>
    </row>
    <row r="409" spans="1:34">
      <c r="A409">
        <v>2026</v>
      </c>
      <c r="B409">
        <v>1</v>
      </c>
      <c r="C409" s="83">
        <v>2077483</v>
      </c>
      <c r="D409" t="s">
        <v>514</v>
      </c>
      <c r="E409">
        <v>53256786480</v>
      </c>
      <c r="F409">
        <v>635500</v>
      </c>
      <c r="G409">
        <v>48487198540</v>
      </c>
      <c r="H409" t="s">
        <v>35</v>
      </c>
      <c r="I409" s="36">
        <v>5064</v>
      </c>
      <c r="J409" s="36">
        <v>5064</v>
      </c>
      <c r="K409" s="85">
        <v>0</v>
      </c>
      <c r="L409" s="36">
        <v>422</v>
      </c>
      <c r="M409" s="36">
        <v>422</v>
      </c>
      <c r="N409" s="36">
        <v>0</v>
      </c>
      <c r="O409" s="36">
        <v>0</v>
      </c>
      <c r="P409" t="s">
        <v>511</v>
      </c>
      <c r="Q409" t="s">
        <v>300</v>
      </c>
      <c r="R409" t="s">
        <v>300</v>
      </c>
      <c r="S409" s="1">
        <v>46029</v>
      </c>
      <c r="T409" s="1">
        <v>46029</v>
      </c>
      <c r="V409" s="1">
        <v>46394</v>
      </c>
      <c r="W409" t="s">
        <v>38</v>
      </c>
      <c r="X409">
        <v>12</v>
      </c>
      <c r="Y409" t="s">
        <v>49</v>
      </c>
      <c r="AA409" t="s">
        <v>122</v>
      </c>
      <c r="AB409">
        <v>12</v>
      </c>
      <c r="AC409" t="s">
        <v>301</v>
      </c>
      <c r="AD409" t="s">
        <v>138</v>
      </c>
      <c r="AE409" t="s">
        <v>135</v>
      </c>
      <c r="AF409" t="s">
        <v>119</v>
      </c>
      <c r="AG409" t="str">
        <f t="shared" si="6"/>
        <v>Recorrente</v>
      </c>
      <c r="AH409" t="str">
        <f>IF(AND(SUMIF(E:E,E409,I:I)&gt;=400000,Q409="B2G"),"n","")</f>
        <v/>
      </c>
    </row>
    <row r="410" spans="1:34">
      <c r="A410">
        <v>2026</v>
      </c>
      <c r="B410">
        <v>1</v>
      </c>
      <c r="C410" s="83">
        <v>46734933626</v>
      </c>
      <c r="D410" t="s">
        <v>515</v>
      </c>
      <c r="E410">
        <v>53256837122</v>
      </c>
      <c r="F410">
        <v>635770</v>
      </c>
      <c r="G410">
        <v>50159222632</v>
      </c>
      <c r="H410" t="s">
        <v>35</v>
      </c>
      <c r="I410" s="36">
        <v>5154</v>
      </c>
      <c r="J410" s="36">
        <v>5154</v>
      </c>
      <c r="K410" s="85">
        <v>0</v>
      </c>
      <c r="L410" s="36">
        <v>429.5</v>
      </c>
      <c r="M410" s="36">
        <v>429.5</v>
      </c>
      <c r="N410" s="36">
        <v>0</v>
      </c>
      <c r="O410" s="36">
        <v>0</v>
      </c>
      <c r="P410" t="s">
        <v>361</v>
      </c>
      <c r="Q410" t="s">
        <v>349</v>
      </c>
      <c r="R410" t="s">
        <v>349</v>
      </c>
      <c r="S410" s="1">
        <v>46050</v>
      </c>
      <c r="T410" s="1">
        <v>46050</v>
      </c>
      <c r="V410" s="1">
        <v>46415</v>
      </c>
      <c r="W410" t="s">
        <v>38</v>
      </c>
      <c r="X410">
        <v>12</v>
      </c>
      <c r="Y410" t="s">
        <v>49</v>
      </c>
      <c r="AA410" t="s">
        <v>92</v>
      </c>
      <c r="AB410">
        <v>12</v>
      </c>
      <c r="AC410" t="s">
        <v>350</v>
      </c>
      <c r="AD410" t="s">
        <v>229</v>
      </c>
      <c r="AE410" t="s">
        <v>43</v>
      </c>
      <c r="AF410" t="s">
        <v>96</v>
      </c>
      <c r="AG410" t="str">
        <f t="shared" si="6"/>
        <v>Recorrente</v>
      </c>
      <c r="AH410" t="str">
        <f>IF(AND(SUMIF(E:E,E410,I:I)&gt;=400000,Q410="B2G"),"n","")</f>
        <v/>
      </c>
    </row>
    <row r="411" spans="1:34">
      <c r="A411">
        <v>2026</v>
      </c>
      <c r="B411">
        <v>1</v>
      </c>
      <c r="C411" s="83">
        <v>2111876</v>
      </c>
      <c r="D411" t="s">
        <v>516</v>
      </c>
      <c r="E411">
        <v>53257375764</v>
      </c>
      <c r="F411">
        <v>635490</v>
      </c>
      <c r="G411">
        <v>48452138664</v>
      </c>
      <c r="H411" t="s">
        <v>35</v>
      </c>
      <c r="I411" s="36">
        <v>2586.6</v>
      </c>
      <c r="J411" s="36">
        <v>2586.6</v>
      </c>
      <c r="K411" s="85">
        <v>0</v>
      </c>
      <c r="L411" s="36">
        <v>215.55</v>
      </c>
      <c r="M411" s="36">
        <v>215.55</v>
      </c>
      <c r="N411" s="36">
        <v>0</v>
      </c>
      <c r="O411" s="36">
        <v>0</v>
      </c>
      <c r="P411" t="s">
        <v>313</v>
      </c>
      <c r="Q411" t="s">
        <v>314</v>
      </c>
      <c r="R411" t="s">
        <v>314</v>
      </c>
      <c r="S411" s="1">
        <v>46028</v>
      </c>
      <c r="T411" s="1">
        <v>46028</v>
      </c>
      <c r="V411" s="1">
        <v>46393</v>
      </c>
      <c r="W411" t="s">
        <v>38</v>
      </c>
      <c r="X411">
        <v>12</v>
      </c>
      <c r="Y411" t="s">
        <v>49</v>
      </c>
      <c r="AA411" t="s">
        <v>112</v>
      </c>
      <c r="AB411">
        <v>12</v>
      </c>
      <c r="AC411" t="s">
        <v>315</v>
      </c>
      <c r="AD411" t="s">
        <v>118</v>
      </c>
      <c r="AE411" t="s">
        <v>43</v>
      </c>
      <c r="AF411" t="s">
        <v>119</v>
      </c>
      <c r="AG411" t="str">
        <f t="shared" si="6"/>
        <v>CC 12x</v>
      </c>
      <c r="AH411" t="str">
        <f>IF(AND(SUMIF(E:E,E411,I:I)&gt;=400000,Q411="B2G"),"n","")</f>
        <v/>
      </c>
    </row>
    <row r="412" spans="1:34">
      <c r="A412">
        <v>2026</v>
      </c>
      <c r="B412">
        <v>1</v>
      </c>
      <c r="C412" s="83">
        <v>19435645006</v>
      </c>
      <c r="D412" t="s">
        <v>517</v>
      </c>
      <c r="E412">
        <v>53257701817</v>
      </c>
      <c r="F412">
        <v>635487</v>
      </c>
      <c r="G412">
        <v>48380720512</v>
      </c>
      <c r="H412" t="s">
        <v>35</v>
      </c>
      <c r="I412" s="36">
        <v>4200</v>
      </c>
      <c r="J412" s="36">
        <v>4200</v>
      </c>
      <c r="K412" s="85">
        <v>0</v>
      </c>
      <c r="L412" s="36">
        <v>350</v>
      </c>
      <c r="M412" s="36">
        <v>350</v>
      </c>
      <c r="N412" s="36">
        <v>0</v>
      </c>
      <c r="O412" s="36">
        <v>0</v>
      </c>
      <c r="P412" t="s">
        <v>313</v>
      </c>
      <c r="Q412" t="s">
        <v>314</v>
      </c>
      <c r="R412" t="s">
        <v>314</v>
      </c>
      <c r="S412" s="1">
        <v>46028</v>
      </c>
      <c r="T412" s="1">
        <v>46028</v>
      </c>
      <c r="V412" s="1">
        <v>46393</v>
      </c>
      <c r="W412" t="s">
        <v>38</v>
      </c>
      <c r="X412">
        <v>12</v>
      </c>
      <c r="Y412" t="s">
        <v>49</v>
      </c>
      <c r="AA412" t="s">
        <v>92</v>
      </c>
      <c r="AB412">
        <v>12</v>
      </c>
      <c r="AC412" t="s">
        <v>315</v>
      </c>
      <c r="AD412" t="s">
        <v>84</v>
      </c>
      <c r="AE412" t="s">
        <v>43</v>
      </c>
      <c r="AF412" t="s">
        <v>44</v>
      </c>
      <c r="AG412" t="str">
        <f t="shared" si="6"/>
        <v>Recorrente</v>
      </c>
      <c r="AH412" t="str">
        <f>IF(AND(SUMIF(E:E,E412,I:I)&gt;=400000,Q412="B2G"),"n","")</f>
        <v/>
      </c>
    </row>
    <row r="413" spans="1:34">
      <c r="A413">
        <v>2026</v>
      </c>
      <c r="B413">
        <v>1</v>
      </c>
      <c r="C413" s="83">
        <v>2093430</v>
      </c>
      <c r="D413" t="s">
        <v>518</v>
      </c>
      <c r="E413">
        <v>53259968827</v>
      </c>
      <c r="F413">
        <v>635489</v>
      </c>
      <c r="G413">
        <v>48457702567</v>
      </c>
      <c r="H413" t="s">
        <v>35</v>
      </c>
      <c r="I413" s="36">
        <v>5210.28</v>
      </c>
      <c r="J413" s="36">
        <v>5210.28</v>
      </c>
      <c r="K413" s="85">
        <v>0</v>
      </c>
      <c r="L413" s="36">
        <v>434.19</v>
      </c>
      <c r="M413" s="36">
        <v>0</v>
      </c>
      <c r="N413" s="36">
        <v>434.19</v>
      </c>
      <c r="O413" s="36">
        <v>0</v>
      </c>
      <c r="P413" t="s">
        <v>323</v>
      </c>
      <c r="Q413" t="s">
        <v>191</v>
      </c>
      <c r="R413" t="s">
        <v>191</v>
      </c>
      <c r="S413" s="1">
        <v>46028</v>
      </c>
      <c r="T413" s="1">
        <v>46028</v>
      </c>
      <c r="V413" s="1">
        <v>46393</v>
      </c>
      <c r="W413" t="s">
        <v>38</v>
      </c>
      <c r="X413">
        <v>12</v>
      </c>
      <c r="Y413" t="s">
        <v>49</v>
      </c>
      <c r="AA413" t="s">
        <v>112</v>
      </c>
      <c r="AB413">
        <v>12</v>
      </c>
      <c r="AC413" t="s">
        <v>192</v>
      </c>
      <c r="AD413" t="s">
        <v>174</v>
      </c>
      <c r="AE413" t="s">
        <v>43</v>
      </c>
      <c r="AF413" t="s">
        <v>47</v>
      </c>
      <c r="AG413" t="str">
        <f t="shared" si="6"/>
        <v>CC 12x</v>
      </c>
      <c r="AH413" t="str">
        <f>IF(AND(SUMIF(E:E,E413,I:I)&gt;=400000,Q413="B2G"),"n","")</f>
        <v/>
      </c>
    </row>
    <row r="414" spans="1:34">
      <c r="A414">
        <v>2026</v>
      </c>
      <c r="B414">
        <v>1</v>
      </c>
      <c r="C414" s="83">
        <v>19435558795</v>
      </c>
      <c r="D414" t="s">
        <v>519</v>
      </c>
      <c r="E414">
        <v>53260374648</v>
      </c>
      <c r="F414">
        <v>635510</v>
      </c>
      <c r="G414">
        <v>48500312231</v>
      </c>
      <c r="H414" t="s">
        <v>35</v>
      </c>
      <c r="I414" s="36">
        <v>3450.6</v>
      </c>
      <c r="J414" s="36">
        <v>3450.6</v>
      </c>
      <c r="K414" s="85">
        <v>0</v>
      </c>
      <c r="L414" s="36">
        <v>287.55</v>
      </c>
      <c r="M414" s="36">
        <v>0</v>
      </c>
      <c r="N414" s="36">
        <v>287.55</v>
      </c>
      <c r="O414" s="36">
        <v>0</v>
      </c>
      <c r="P414" t="s">
        <v>520</v>
      </c>
      <c r="Q414" t="s">
        <v>191</v>
      </c>
      <c r="R414" t="s">
        <v>191</v>
      </c>
      <c r="S414" s="1">
        <v>46029</v>
      </c>
      <c r="T414" s="1">
        <v>46029</v>
      </c>
      <c r="V414" s="1">
        <v>46394</v>
      </c>
      <c r="W414" t="s">
        <v>38</v>
      </c>
      <c r="X414">
        <v>12</v>
      </c>
      <c r="Y414" t="s">
        <v>49</v>
      </c>
      <c r="AA414" t="s">
        <v>117</v>
      </c>
      <c r="AB414">
        <v>1</v>
      </c>
      <c r="AC414" t="s">
        <v>192</v>
      </c>
      <c r="AD414" t="s">
        <v>142</v>
      </c>
      <c r="AE414" t="s">
        <v>95</v>
      </c>
      <c r="AF414" t="s">
        <v>44</v>
      </c>
      <c r="AG414" t="str">
        <f t="shared" si="6"/>
        <v>À Vista</v>
      </c>
      <c r="AH414" t="str">
        <f>IF(AND(SUMIF(E:E,E414,I:I)&gt;=400000,Q414="B2G"),"n","")</f>
        <v/>
      </c>
    </row>
    <row r="415" spans="1:34">
      <c r="A415">
        <v>2026</v>
      </c>
      <c r="B415">
        <v>1</v>
      </c>
      <c r="C415" s="83">
        <v>100396700974</v>
      </c>
      <c r="D415" t="s">
        <v>521</v>
      </c>
      <c r="E415">
        <v>53265142820</v>
      </c>
      <c r="F415">
        <v>635480</v>
      </c>
      <c r="G415">
        <v>48368812208</v>
      </c>
      <c r="H415" t="s">
        <v>35</v>
      </c>
      <c r="I415" s="36">
        <v>4962.6000000000004</v>
      </c>
      <c r="J415" s="36">
        <v>4962.6000000000004</v>
      </c>
      <c r="K415" s="85">
        <v>0</v>
      </c>
      <c r="L415" s="36">
        <v>413.55</v>
      </c>
      <c r="M415" s="36">
        <v>413.55</v>
      </c>
      <c r="N415" s="36">
        <v>0</v>
      </c>
      <c r="O415" s="36">
        <v>0</v>
      </c>
      <c r="P415" t="s">
        <v>299</v>
      </c>
      <c r="Q415" t="s">
        <v>300</v>
      </c>
      <c r="R415" t="s">
        <v>300</v>
      </c>
      <c r="S415" s="1">
        <v>46027</v>
      </c>
      <c r="T415" s="1">
        <v>46027</v>
      </c>
      <c r="V415" s="1">
        <v>46392</v>
      </c>
      <c r="W415" t="s">
        <v>38</v>
      </c>
      <c r="X415">
        <v>12</v>
      </c>
      <c r="Y415" t="s">
        <v>49</v>
      </c>
      <c r="AA415" t="s">
        <v>117</v>
      </c>
      <c r="AB415">
        <v>1</v>
      </c>
      <c r="AC415" t="s">
        <v>301</v>
      </c>
      <c r="AD415" t="s">
        <v>138</v>
      </c>
      <c r="AE415" t="s">
        <v>135</v>
      </c>
      <c r="AF415" t="s">
        <v>119</v>
      </c>
      <c r="AG415" t="str">
        <f t="shared" si="6"/>
        <v>À Vista</v>
      </c>
      <c r="AH415" t="str">
        <f>IF(AND(SUMIF(E:E,E415,I:I)&gt;=400000,Q415="B2G"),"n","")</f>
        <v/>
      </c>
    </row>
    <row r="416" spans="1:34">
      <c r="A416">
        <v>2026</v>
      </c>
      <c r="B416">
        <v>1</v>
      </c>
      <c r="C416" s="83">
        <v>114195417962</v>
      </c>
      <c r="D416" t="s">
        <v>522</v>
      </c>
      <c r="E416">
        <v>53267580001</v>
      </c>
      <c r="F416">
        <v>313160</v>
      </c>
      <c r="G416">
        <v>48382357092</v>
      </c>
      <c r="H416" t="s">
        <v>35</v>
      </c>
      <c r="I416" s="36">
        <v>1146.72</v>
      </c>
      <c r="J416" s="36">
        <v>3842.88</v>
      </c>
      <c r="K416" s="85">
        <v>0</v>
      </c>
      <c r="L416" s="36">
        <v>320.24</v>
      </c>
      <c r="M416" s="36">
        <v>0</v>
      </c>
      <c r="N416" s="36">
        <v>320.24</v>
      </c>
      <c r="O416" s="36">
        <v>0</v>
      </c>
      <c r="P416" t="s">
        <v>323</v>
      </c>
      <c r="Q416" t="s">
        <v>191</v>
      </c>
      <c r="R416" t="s">
        <v>191</v>
      </c>
      <c r="S416" s="1">
        <v>46027</v>
      </c>
      <c r="T416" s="1">
        <v>46027</v>
      </c>
      <c r="V416" s="1">
        <v>46136</v>
      </c>
      <c r="W416" t="s">
        <v>38</v>
      </c>
      <c r="X416">
        <v>3</v>
      </c>
      <c r="Y416" t="s">
        <v>49</v>
      </c>
      <c r="Z416" t="s">
        <v>324</v>
      </c>
      <c r="AA416" t="s">
        <v>122</v>
      </c>
      <c r="AB416">
        <v>3</v>
      </c>
      <c r="AC416" t="s">
        <v>192</v>
      </c>
      <c r="AD416" t="s">
        <v>134</v>
      </c>
      <c r="AE416" t="s">
        <v>135</v>
      </c>
      <c r="AF416" t="s">
        <v>44</v>
      </c>
      <c r="AG416" t="str">
        <f t="shared" si="6"/>
        <v>Recorrente</v>
      </c>
      <c r="AH416" t="str">
        <f>IF(AND(SUMIF(E:E,E416,I:I)&gt;=400000,Q416="B2G"),"n","")</f>
        <v/>
      </c>
    </row>
    <row r="417" spans="1:34">
      <c r="A417">
        <v>2026</v>
      </c>
      <c r="B417">
        <v>1</v>
      </c>
      <c r="C417" s="83">
        <v>189882122411</v>
      </c>
      <c r="D417" t="s">
        <v>523</v>
      </c>
      <c r="E417">
        <v>53267847436</v>
      </c>
      <c r="F417">
        <v>635493</v>
      </c>
      <c r="G417">
        <v>48380736308</v>
      </c>
      <c r="H417" t="s">
        <v>35</v>
      </c>
      <c r="I417" s="36">
        <v>2424</v>
      </c>
      <c r="J417" s="36">
        <v>2424</v>
      </c>
      <c r="K417" s="85">
        <v>0</v>
      </c>
      <c r="L417" s="36">
        <v>202</v>
      </c>
      <c r="M417" s="36">
        <v>202</v>
      </c>
      <c r="N417" s="36">
        <v>0</v>
      </c>
      <c r="O417" s="36">
        <v>0</v>
      </c>
      <c r="P417" t="s">
        <v>511</v>
      </c>
      <c r="Q417" t="s">
        <v>300</v>
      </c>
      <c r="R417" t="s">
        <v>300</v>
      </c>
      <c r="S417" s="1">
        <v>46028</v>
      </c>
      <c r="T417" s="1">
        <v>46028</v>
      </c>
      <c r="V417" s="1">
        <v>46393</v>
      </c>
      <c r="W417" t="s">
        <v>38</v>
      </c>
      <c r="X417">
        <v>12</v>
      </c>
      <c r="Y417" t="s">
        <v>49</v>
      </c>
      <c r="AA417" t="s">
        <v>122</v>
      </c>
      <c r="AB417">
        <v>12</v>
      </c>
      <c r="AC417" t="s">
        <v>301</v>
      </c>
      <c r="AD417" t="s">
        <v>140</v>
      </c>
      <c r="AE417" t="s">
        <v>46</v>
      </c>
      <c r="AF417" t="s">
        <v>119</v>
      </c>
      <c r="AG417" t="str">
        <f t="shared" si="6"/>
        <v>Recorrente</v>
      </c>
      <c r="AH417" t="str">
        <f>IF(AND(SUMIF(E:E,E417,I:I)&gt;=400000,Q417="B2G"),"n","")</f>
        <v/>
      </c>
    </row>
    <row r="418" spans="1:34">
      <c r="A418">
        <v>2026</v>
      </c>
      <c r="B418">
        <v>1</v>
      </c>
      <c r="C418" s="83">
        <v>13818042291</v>
      </c>
      <c r="D418" t="s">
        <v>524</v>
      </c>
      <c r="E418">
        <v>53269387780</v>
      </c>
      <c r="F418">
        <v>635481</v>
      </c>
      <c r="G418">
        <v>48379522088</v>
      </c>
      <c r="H418" t="s">
        <v>35</v>
      </c>
      <c r="I418" s="36">
        <v>5160</v>
      </c>
      <c r="J418" s="36">
        <v>5160</v>
      </c>
      <c r="K418" s="85">
        <v>0</v>
      </c>
      <c r="L418" s="36">
        <v>430</v>
      </c>
      <c r="M418" s="36">
        <v>430</v>
      </c>
      <c r="N418" s="36">
        <v>0</v>
      </c>
      <c r="O418" s="36">
        <v>0</v>
      </c>
      <c r="P418" t="s">
        <v>511</v>
      </c>
      <c r="Q418" t="s">
        <v>300</v>
      </c>
      <c r="R418" t="s">
        <v>300</v>
      </c>
      <c r="S418" s="1">
        <v>46027</v>
      </c>
      <c r="T418" s="1">
        <v>46027</v>
      </c>
      <c r="V418" s="1">
        <v>46392</v>
      </c>
      <c r="W418" t="s">
        <v>38</v>
      </c>
      <c r="X418">
        <v>12</v>
      </c>
      <c r="Y418" t="s">
        <v>49</v>
      </c>
      <c r="AA418" t="s">
        <v>122</v>
      </c>
      <c r="AB418">
        <v>12</v>
      </c>
      <c r="AC418" t="s">
        <v>301</v>
      </c>
      <c r="AD418" t="s">
        <v>138</v>
      </c>
      <c r="AE418" t="s">
        <v>135</v>
      </c>
      <c r="AF418" t="s">
        <v>119</v>
      </c>
      <c r="AG418" t="str">
        <f t="shared" si="6"/>
        <v>Recorrente</v>
      </c>
      <c r="AH418" t="str">
        <f>IF(AND(SUMIF(E:E,E418,I:I)&gt;=400000,Q418="B2G"),"n","")</f>
        <v/>
      </c>
    </row>
    <row r="419" spans="1:34">
      <c r="A419">
        <v>2026</v>
      </c>
      <c r="B419">
        <v>1</v>
      </c>
      <c r="C419" s="83">
        <v>161748765247</v>
      </c>
      <c r="D419" t="s">
        <v>525</v>
      </c>
      <c r="E419">
        <v>53271160107</v>
      </c>
      <c r="F419">
        <v>635483</v>
      </c>
      <c r="G419">
        <v>48385849911</v>
      </c>
      <c r="H419" t="s">
        <v>35</v>
      </c>
      <c r="I419" s="36">
        <v>2524.08</v>
      </c>
      <c r="J419" s="36">
        <v>2524.09</v>
      </c>
      <c r="K419" s="85">
        <v>0</v>
      </c>
      <c r="L419" s="36">
        <v>210.34</v>
      </c>
      <c r="M419" s="36">
        <v>210.34</v>
      </c>
      <c r="N419" s="36">
        <v>0</v>
      </c>
      <c r="O419" s="36">
        <v>0</v>
      </c>
      <c r="P419" t="s">
        <v>299</v>
      </c>
      <c r="Q419" t="s">
        <v>300</v>
      </c>
      <c r="R419" t="s">
        <v>300</v>
      </c>
      <c r="S419" s="1">
        <v>46027</v>
      </c>
      <c r="T419" s="1">
        <v>46027</v>
      </c>
      <c r="V419" s="1">
        <v>46392</v>
      </c>
      <c r="W419" t="s">
        <v>38</v>
      </c>
      <c r="X419">
        <v>12</v>
      </c>
      <c r="Y419" t="s">
        <v>49</v>
      </c>
      <c r="AA419" t="s">
        <v>122</v>
      </c>
      <c r="AB419">
        <v>12</v>
      </c>
      <c r="AC419" t="s">
        <v>301</v>
      </c>
      <c r="AD419" t="s">
        <v>118</v>
      </c>
      <c r="AE419" t="s">
        <v>43</v>
      </c>
      <c r="AF419" t="s">
        <v>119</v>
      </c>
      <c r="AG419" t="str">
        <f t="shared" si="6"/>
        <v>Recorrente</v>
      </c>
      <c r="AH419" t="str">
        <f>IF(AND(SUMIF(E:E,E419,I:I)&gt;=400000,Q419="B2G"),"n","")</f>
        <v/>
      </c>
    </row>
    <row r="420" spans="1:34">
      <c r="A420">
        <v>2026</v>
      </c>
      <c r="B420">
        <v>1</v>
      </c>
      <c r="C420" s="83">
        <v>30232000871</v>
      </c>
      <c r="D420" t="s">
        <v>526</v>
      </c>
      <c r="E420">
        <v>53272737297</v>
      </c>
      <c r="F420">
        <v>632686</v>
      </c>
      <c r="G420">
        <v>49362685004</v>
      </c>
      <c r="H420" t="s">
        <v>35</v>
      </c>
      <c r="I420" s="36">
        <v>7463.88</v>
      </c>
      <c r="J420" s="36">
        <v>11219.76</v>
      </c>
      <c r="K420" s="85">
        <v>0</v>
      </c>
      <c r="L420" s="36">
        <v>934.98</v>
      </c>
      <c r="M420" s="36">
        <v>0</v>
      </c>
      <c r="N420" s="36">
        <v>934.98</v>
      </c>
      <c r="O420" s="36">
        <v>0</v>
      </c>
      <c r="P420" t="s">
        <v>520</v>
      </c>
      <c r="Q420" t="s">
        <v>191</v>
      </c>
      <c r="R420" t="s">
        <v>191</v>
      </c>
      <c r="S420" s="1">
        <v>46038</v>
      </c>
      <c r="T420" s="1">
        <v>46038</v>
      </c>
      <c r="V420" s="1">
        <v>46281</v>
      </c>
      <c r="W420" t="s">
        <v>38</v>
      </c>
      <c r="X420">
        <v>8</v>
      </c>
      <c r="Y420" t="s">
        <v>49</v>
      </c>
      <c r="Z420" t="s">
        <v>324</v>
      </c>
      <c r="AA420" t="s">
        <v>112</v>
      </c>
      <c r="AB420">
        <v>1</v>
      </c>
      <c r="AC420" t="s">
        <v>192</v>
      </c>
      <c r="AD420" t="s">
        <v>527</v>
      </c>
      <c r="AE420" t="s">
        <v>257</v>
      </c>
      <c r="AF420" t="s">
        <v>59</v>
      </c>
      <c r="AG420" t="str">
        <f t="shared" si="6"/>
        <v>À Vista</v>
      </c>
      <c r="AH420" t="str">
        <f>IF(AND(SUMIF(E:E,E420,I:I)&gt;=400000,Q420="B2G"),"n","")</f>
        <v/>
      </c>
    </row>
    <row r="421" spans="1:34">
      <c r="A421">
        <v>2026</v>
      </c>
      <c r="B421">
        <v>1</v>
      </c>
      <c r="C421" s="83">
        <v>2078484</v>
      </c>
      <c r="D421" t="s">
        <v>528</v>
      </c>
      <c r="E421">
        <v>53277230511</v>
      </c>
      <c r="F421">
        <v>635492</v>
      </c>
      <c r="G421">
        <v>48463776090</v>
      </c>
      <c r="H421" t="s">
        <v>35</v>
      </c>
      <c r="I421" s="36">
        <v>2400</v>
      </c>
      <c r="J421" s="36">
        <v>2400</v>
      </c>
      <c r="K421" s="85">
        <v>0</v>
      </c>
      <c r="L421" s="36">
        <v>200</v>
      </c>
      <c r="M421" s="36">
        <v>200</v>
      </c>
      <c r="N421" s="36">
        <v>0</v>
      </c>
      <c r="O421" s="36">
        <v>0</v>
      </c>
      <c r="P421" t="s">
        <v>313</v>
      </c>
      <c r="Q421" t="s">
        <v>314</v>
      </c>
      <c r="R421" t="s">
        <v>314</v>
      </c>
      <c r="S421" s="1">
        <v>46028</v>
      </c>
      <c r="T421" s="1">
        <v>46028</v>
      </c>
      <c r="V421" s="1">
        <v>46393</v>
      </c>
      <c r="W421" t="s">
        <v>38</v>
      </c>
      <c r="X421">
        <v>12</v>
      </c>
      <c r="Y421" t="s">
        <v>49</v>
      </c>
      <c r="AA421" t="s">
        <v>112</v>
      </c>
      <c r="AB421">
        <v>12</v>
      </c>
      <c r="AC421" t="s">
        <v>315</v>
      </c>
      <c r="AD421" t="s">
        <v>140</v>
      </c>
      <c r="AE421" t="s">
        <v>46</v>
      </c>
      <c r="AF421" t="s">
        <v>119</v>
      </c>
      <c r="AG421" t="str">
        <f t="shared" si="6"/>
        <v>CC 12x</v>
      </c>
      <c r="AH421" t="str">
        <f>IF(AND(SUMIF(E:E,E421,I:I)&gt;=400000,Q421="B2G"),"n","")</f>
        <v/>
      </c>
    </row>
    <row r="422" spans="1:34">
      <c r="A422">
        <v>2026</v>
      </c>
      <c r="B422">
        <v>1</v>
      </c>
      <c r="C422" s="83">
        <v>48256067451</v>
      </c>
      <c r="D422" t="s">
        <v>529</v>
      </c>
      <c r="E422">
        <v>53281965139</v>
      </c>
      <c r="F422">
        <v>635498</v>
      </c>
      <c r="G422">
        <v>48477150819</v>
      </c>
      <c r="H422" t="s">
        <v>35</v>
      </c>
      <c r="I422" s="36">
        <v>5403.96</v>
      </c>
      <c r="J422" s="36">
        <v>5403.98</v>
      </c>
      <c r="K422" s="85">
        <v>0</v>
      </c>
      <c r="L422" s="36">
        <v>450.33</v>
      </c>
      <c r="M422" s="36">
        <v>450.33</v>
      </c>
      <c r="N422" s="36">
        <v>0</v>
      </c>
      <c r="O422" s="36">
        <v>0</v>
      </c>
      <c r="P422" t="s">
        <v>361</v>
      </c>
      <c r="Q422" t="s">
        <v>91</v>
      </c>
      <c r="R422" t="s">
        <v>91</v>
      </c>
      <c r="S422" s="1">
        <v>46029</v>
      </c>
      <c r="T422" s="1">
        <v>46029</v>
      </c>
      <c r="V422" s="1">
        <v>46394</v>
      </c>
      <c r="W422" t="s">
        <v>38</v>
      </c>
      <c r="X422">
        <v>12</v>
      </c>
      <c r="Y422" t="s">
        <v>49</v>
      </c>
      <c r="AA422" t="s">
        <v>92</v>
      </c>
      <c r="AB422">
        <v>12</v>
      </c>
      <c r="AC422" t="s">
        <v>93</v>
      </c>
      <c r="AD422" t="s">
        <v>85</v>
      </c>
      <c r="AE422" t="s">
        <v>46</v>
      </c>
      <c r="AF422" t="s">
        <v>44</v>
      </c>
      <c r="AG422" t="str">
        <f t="shared" si="6"/>
        <v>Recorrente</v>
      </c>
      <c r="AH422" t="str">
        <f>IF(AND(SUMIF(E:E,E422,I:I)&gt;=400000,Q422="B2G"),"n","")</f>
        <v/>
      </c>
    </row>
    <row r="423" spans="1:34">
      <c r="A423">
        <v>2026</v>
      </c>
      <c r="B423">
        <v>1</v>
      </c>
      <c r="C423" s="83">
        <v>2080097</v>
      </c>
      <c r="D423" t="s">
        <v>530</v>
      </c>
      <c r="E423">
        <v>53284637276</v>
      </c>
      <c r="F423">
        <v>547150</v>
      </c>
      <c r="G423">
        <v>48488418732</v>
      </c>
      <c r="H423" t="s">
        <v>35</v>
      </c>
      <c r="I423" s="36">
        <v>4452.6000000000004</v>
      </c>
      <c r="J423" s="36">
        <v>4452.6000000000004</v>
      </c>
      <c r="K423" s="85">
        <v>0</v>
      </c>
      <c r="L423" s="36">
        <v>371.05</v>
      </c>
      <c r="M423" s="36">
        <v>371.05</v>
      </c>
      <c r="N423" s="36">
        <v>0</v>
      </c>
      <c r="O423" s="36">
        <v>0</v>
      </c>
      <c r="P423" t="s">
        <v>162</v>
      </c>
      <c r="Q423" t="s">
        <v>111</v>
      </c>
      <c r="R423" t="s">
        <v>111</v>
      </c>
      <c r="S423" s="1">
        <v>46029</v>
      </c>
      <c r="T423" s="1">
        <v>46029</v>
      </c>
      <c r="U423" s="1">
        <v>45973</v>
      </c>
      <c r="V423" s="1">
        <v>46394</v>
      </c>
      <c r="W423" t="s">
        <v>38</v>
      </c>
      <c r="X423">
        <v>14</v>
      </c>
      <c r="Y423" t="s">
        <v>49</v>
      </c>
      <c r="Z423" t="s">
        <v>81</v>
      </c>
      <c r="AA423" t="s">
        <v>122</v>
      </c>
      <c r="AB423">
        <v>12</v>
      </c>
      <c r="AC423" t="s">
        <v>113</v>
      </c>
      <c r="AD423" t="s">
        <v>138</v>
      </c>
      <c r="AE423" t="s">
        <v>135</v>
      </c>
      <c r="AF423" t="s">
        <v>119</v>
      </c>
      <c r="AG423" t="str">
        <f t="shared" si="6"/>
        <v>Recorrente</v>
      </c>
      <c r="AH423" t="str">
        <f>IF(AND(SUMIF(E:E,E423,I:I)&gt;=400000,Q423="B2G"),"n","")</f>
        <v/>
      </c>
    </row>
    <row r="424" spans="1:34">
      <c r="A424">
        <v>2026</v>
      </c>
      <c r="B424">
        <v>1</v>
      </c>
      <c r="C424" s="83">
        <v>48510676520</v>
      </c>
      <c r="D424" t="s">
        <v>531</v>
      </c>
      <c r="E424">
        <v>53342615650</v>
      </c>
      <c r="F424">
        <v>635774</v>
      </c>
      <c r="G424">
        <v>50274068043</v>
      </c>
      <c r="H424" t="s">
        <v>35</v>
      </c>
      <c r="I424" s="36">
        <v>16308</v>
      </c>
      <c r="J424" s="36">
        <v>5436</v>
      </c>
      <c r="K424" s="85">
        <v>10872</v>
      </c>
      <c r="L424" s="36">
        <v>453</v>
      </c>
      <c r="M424" s="36">
        <v>453</v>
      </c>
      <c r="N424" s="36">
        <v>0</v>
      </c>
      <c r="O424" s="36">
        <v>0</v>
      </c>
      <c r="P424" t="s">
        <v>98</v>
      </c>
      <c r="Q424" t="s">
        <v>37</v>
      </c>
      <c r="R424" t="s">
        <v>37</v>
      </c>
      <c r="S424" s="1">
        <v>46050</v>
      </c>
      <c r="T424" s="1">
        <v>46050</v>
      </c>
      <c r="V424" s="1">
        <v>47146</v>
      </c>
      <c r="W424" t="s">
        <v>102</v>
      </c>
      <c r="X424">
        <v>36</v>
      </c>
      <c r="Y424" t="s">
        <v>49</v>
      </c>
      <c r="AA424" t="s">
        <v>40</v>
      </c>
      <c r="AB424">
        <v>1</v>
      </c>
      <c r="AC424" t="s">
        <v>41</v>
      </c>
      <c r="AD424" t="s">
        <v>54</v>
      </c>
      <c r="AE424" t="s">
        <v>46</v>
      </c>
      <c r="AF424" t="s">
        <v>44</v>
      </c>
      <c r="AG424" t="str">
        <f t="shared" si="6"/>
        <v>À Vista</v>
      </c>
      <c r="AH424" t="str">
        <f>IF(AND(SUMIF(E:E,E424,I:I)&gt;=400000,Q424="B2G"),"n","")</f>
        <v/>
      </c>
    </row>
    <row r="425" spans="1:34">
      <c r="A425">
        <v>2026</v>
      </c>
      <c r="B425">
        <v>1</v>
      </c>
      <c r="C425" s="83">
        <v>48510676520</v>
      </c>
      <c r="D425" t="s">
        <v>531</v>
      </c>
      <c r="E425">
        <v>53342615650</v>
      </c>
      <c r="F425">
        <v>635774</v>
      </c>
      <c r="G425">
        <v>50274068044</v>
      </c>
      <c r="H425" t="s">
        <v>35</v>
      </c>
      <c r="I425" s="36">
        <v>13932</v>
      </c>
      <c r="J425" s="36">
        <v>4644</v>
      </c>
      <c r="K425" s="85">
        <v>9288</v>
      </c>
      <c r="L425" s="36">
        <v>387</v>
      </c>
      <c r="M425" s="36">
        <v>387</v>
      </c>
      <c r="N425" s="36">
        <v>0</v>
      </c>
      <c r="O425" s="36">
        <v>0</v>
      </c>
      <c r="P425" t="s">
        <v>98</v>
      </c>
      <c r="Q425" t="s">
        <v>37</v>
      </c>
      <c r="R425" t="s">
        <v>37</v>
      </c>
      <c r="S425" s="1">
        <v>46050</v>
      </c>
      <c r="T425" s="1">
        <v>46050</v>
      </c>
      <c r="V425" s="1">
        <v>47146</v>
      </c>
      <c r="W425" t="s">
        <v>102</v>
      </c>
      <c r="X425">
        <v>36</v>
      </c>
      <c r="Y425" t="s">
        <v>49</v>
      </c>
      <c r="AA425" t="s">
        <v>40</v>
      </c>
      <c r="AB425">
        <v>1</v>
      </c>
      <c r="AC425" t="s">
        <v>41</v>
      </c>
      <c r="AD425" t="s">
        <v>53</v>
      </c>
      <c r="AE425" t="s">
        <v>43</v>
      </c>
      <c r="AF425" t="s">
        <v>44</v>
      </c>
      <c r="AG425" t="str">
        <f t="shared" si="6"/>
        <v>À Vista</v>
      </c>
      <c r="AH425" t="str">
        <f>IF(AND(SUMIF(E:E,E425,I:I)&gt;=400000,Q425="B2G"),"n","")</f>
        <v/>
      </c>
    </row>
    <row r="426" spans="1:34">
      <c r="A426">
        <v>2026</v>
      </c>
      <c r="B426">
        <v>1</v>
      </c>
      <c r="C426" s="83">
        <v>2082817</v>
      </c>
      <c r="D426" t="s">
        <v>532</v>
      </c>
      <c r="E426">
        <v>53346546006</v>
      </c>
      <c r="F426">
        <v>635531</v>
      </c>
      <c r="G426">
        <v>48546039171</v>
      </c>
      <c r="H426" t="s">
        <v>35</v>
      </c>
      <c r="I426" s="36">
        <v>2190</v>
      </c>
      <c r="J426" s="36">
        <v>2190</v>
      </c>
      <c r="K426" s="85">
        <v>0</v>
      </c>
      <c r="L426" s="36">
        <v>182.5</v>
      </c>
      <c r="M426" s="36">
        <v>182.5</v>
      </c>
      <c r="N426" s="36">
        <v>0</v>
      </c>
      <c r="O426" s="36">
        <v>0</v>
      </c>
      <c r="P426" t="s">
        <v>313</v>
      </c>
      <c r="Q426" t="s">
        <v>314</v>
      </c>
      <c r="R426" t="s">
        <v>314</v>
      </c>
      <c r="S426" s="1">
        <v>46031</v>
      </c>
      <c r="T426" s="1">
        <v>46031</v>
      </c>
      <c r="V426" s="1">
        <v>46396</v>
      </c>
      <c r="W426" t="s">
        <v>38</v>
      </c>
      <c r="X426">
        <v>12</v>
      </c>
      <c r="Y426" t="s">
        <v>49</v>
      </c>
      <c r="AA426" t="s">
        <v>117</v>
      </c>
      <c r="AB426">
        <v>1</v>
      </c>
      <c r="AC426" t="s">
        <v>315</v>
      </c>
      <c r="AD426" t="s">
        <v>118</v>
      </c>
      <c r="AE426" t="s">
        <v>43</v>
      </c>
      <c r="AF426" t="s">
        <v>119</v>
      </c>
      <c r="AG426" t="str">
        <f t="shared" si="6"/>
        <v>À Vista</v>
      </c>
      <c r="AH426" t="str">
        <f>IF(AND(SUMIF(E:E,E426,I:I)&gt;=400000,Q426="B2G"),"n","")</f>
        <v/>
      </c>
    </row>
    <row r="427" spans="1:34">
      <c r="A427">
        <v>2026</v>
      </c>
      <c r="B427">
        <v>1</v>
      </c>
      <c r="C427" s="83">
        <v>48918481736</v>
      </c>
      <c r="D427" t="s">
        <v>533</v>
      </c>
      <c r="E427">
        <v>53347172867</v>
      </c>
      <c r="F427">
        <v>635568</v>
      </c>
      <c r="G427">
        <v>48992654910</v>
      </c>
      <c r="H427" t="s">
        <v>35</v>
      </c>
      <c r="I427" s="36">
        <v>8524.56</v>
      </c>
      <c r="J427" s="36">
        <v>3137.94</v>
      </c>
      <c r="K427" s="85">
        <v>5386.62</v>
      </c>
      <c r="L427" s="36">
        <v>261.49</v>
      </c>
      <c r="M427" s="36">
        <v>0</v>
      </c>
      <c r="N427" s="36">
        <v>188.08</v>
      </c>
      <c r="O427" s="36">
        <v>73.413002449999993</v>
      </c>
      <c r="P427" t="s">
        <v>367</v>
      </c>
      <c r="Q427" t="s">
        <v>191</v>
      </c>
      <c r="R427" t="s">
        <v>191</v>
      </c>
      <c r="S427" s="1">
        <v>46036</v>
      </c>
      <c r="T427" s="1">
        <v>46036</v>
      </c>
      <c r="V427" s="1">
        <v>46766</v>
      </c>
      <c r="W427" t="s">
        <v>56</v>
      </c>
      <c r="Y427" t="s">
        <v>49</v>
      </c>
      <c r="AA427" t="s">
        <v>122</v>
      </c>
      <c r="AB427">
        <v>24</v>
      </c>
      <c r="AC427" t="s">
        <v>192</v>
      </c>
      <c r="AD427" t="s">
        <v>84</v>
      </c>
      <c r="AE427" t="s">
        <v>43</v>
      </c>
      <c r="AF427" t="s">
        <v>44</v>
      </c>
      <c r="AG427" t="str">
        <f t="shared" si="6"/>
        <v>Recorrente</v>
      </c>
      <c r="AH427" t="str">
        <f>IF(AND(SUMIF(E:E,E427,I:I)&gt;=400000,Q427="B2G"),"n","")</f>
        <v/>
      </c>
    </row>
    <row r="428" spans="1:34">
      <c r="A428">
        <v>2026</v>
      </c>
      <c r="B428">
        <v>1</v>
      </c>
      <c r="C428" s="83">
        <v>48918481736</v>
      </c>
      <c r="D428" t="s">
        <v>533</v>
      </c>
      <c r="E428">
        <v>53347172867</v>
      </c>
      <c r="F428">
        <v>635568</v>
      </c>
      <c r="G428">
        <v>48992654911</v>
      </c>
      <c r="H428" t="s">
        <v>35</v>
      </c>
      <c r="I428" s="36">
        <v>10211.280000000001</v>
      </c>
      <c r="J428" s="36">
        <v>3758.82</v>
      </c>
      <c r="K428" s="85">
        <v>6452.46</v>
      </c>
      <c r="L428" s="36">
        <v>313.24</v>
      </c>
      <c r="M428" s="36">
        <v>0</v>
      </c>
      <c r="N428" s="36">
        <v>225.3</v>
      </c>
      <c r="O428" s="36">
        <v>87.938761200000002</v>
      </c>
      <c r="P428" t="s">
        <v>367</v>
      </c>
      <c r="Q428" t="s">
        <v>191</v>
      </c>
      <c r="R428" t="s">
        <v>191</v>
      </c>
      <c r="S428" s="1">
        <v>46036</v>
      </c>
      <c r="T428" s="1">
        <v>46036</v>
      </c>
      <c r="V428" s="1">
        <v>46766</v>
      </c>
      <c r="W428" t="s">
        <v>56</v>
      </c>
      <c r="Y428" t="s">
        <v>49</v>
      </c>
      <c r="AA428" t="s">
        <v>122</v>
      </c>
      <c r="AB428">
        <v>24</v>
      </c>
      <c r="AC428" t="s">
        <v>192</v>
      </c>
      <c r="AD428" t="s">
        <v>85</v>
      </c>
      <c r="AE428" t="s">
        <v>46</v>
      </c>
      <c r="AF428" t="s">
        <v>44</v>
      </c>
      <c r="AG428" t="str">
        <f t="shared" si="6"/>
        <v>Recorrente</v>
      </c>
      <c r="AH428" t="str">
        <f>IF(AND(SUMIF(E:E,E428,I:I)&gt;=400000,Q428="B2G"),"n","")</f>
        <v/>
      </c>
    </row>
    <row r="429" spans="1:34">
      <c r="A429">
        <v>2026</v>
      </c>
      <c r="B429">
        <v>1</v>
      </c>
      <c r="C429" s="83">
        <v>48918481736</v>
      </c>
      <c r="D429" t="s">
        <v>533</v>
      </c>
      <c r="E429">
        <v>53347172867</v>
      </c>
      <c r="F429">
        <v>635568</v>
      </c>
      <c r="G429">
        <v>48992654912</v>
      </c>
      <c r="H429" t="s">
        <v>35</v>
      </c>
      <c r="I429" s="36">
        <v>9081.84</v>
      </c>
      <c r="J429" s="36">
        <v>3343.07</v>
      </c>
      <c r="K429" s="85">
        <v>5738.77</v>
      </c>
      <c r="L429" s="36">
        <v>278.58999999999997</v>
      </c>
      <c r="M429" s="36">
        <v>0</v>
      </c>
      <c r="N429" s="36">
        <v>200.38</v>
      </c>
      <c r="O429" s="36">
        <v>78.212116289999997</v>
      </c>
      <c r="P429" t="s">
        <v>367</v>
      </c>
      <c r="Q429" t="s">
        <v>191</v>
      </c>
      <c r="R429" t="s">
        <v>191</v>
      </c>
      <c r="S429" s="1">
        <v>46036</v>
      </c>
      <c r="T429" s="1">
        <v>46036</v>
      </c>
      <c r="V429" s="1">
        <v>46766</v>
      </c>
      <c r="W429" t="s">
        <v>56</v>
      </c>
      <c r="Y429" t="s">
        <v>49</v>
      </c>
      <c r="AA429" t="s">
        <v>122</v>
      </c>
      <c r="AB429">
        <v>24</v>
      </c>
      <c r="AC429" t="s">
        <v>192</v>
      </c>
      <c r="AD429" t="s">
        <v>84</v>
      </c>
      <c r="AE429" t="s">
        <v>43</v>
      </c>
      <c r="AF429" t="s">
        <v>44</v>
      </c>
      <c r="AG429" t="str">
        <f t="shared" si="6"/>
        <v>Recorrente</v>
      </c>
      <c r="AH429" t="str">
        <f>IF(AND(SUMIF(E:E,E429,I:I)&gt;=400000,Q429="B2G"),"n","")</f>
        <v/>
      </c>
    </row>
    <row r="430" spans="1:34">
      <c r="A430">
        <v>2026</v>
      </c>
      <c r="B430">
        <v>1</v>
      </c>
      <c r="C430" s="83">
        <v>48918481736</v>
      </c>
      <c r="D430" t="s">
        <v>533</v>
      </c>
      <c r="E430">
        <v>53347172867</v>
      </c>
      <c r="F430">
        <v>635568</v>
      </c>
      <c r="G430">
        <v>48992654913</v>
      </c>
      <c r="H430" t="s">
        <v>35</v>
      </c>
      <c r="I430" s="36">
        <v>7518</v>
      </c>
      <c r="J430" s="36">
        <v>2767.41</v>
      </c>
      <c r="K430" s="85">
        <v>4750.59</v>
      </c>
      <c r="L430" s="36">
        <v>230.62</v>
      </c>
      <c r="M430" s="36">
        <v>0</v>
      </c>
      <c r="N430" s="36">
        <v>165.87</v>
      </c>
      <c r="O430" s="36">
        <v>64.744449270000004</v>
      </c>
      <c r="P430" t="s">
        <v>367</v>
      </c>
      <c r="Q430" t="s">
        <v>191</v>
      </c>
      <c r="R430" t="s">
        <v>191</v>
      </c>
      <c r="S430" s="1">
        <v>46036</v>
      </c>
      <c r="T430" s="1">
        <v>46036</v>
      </c>
      <c r="V430" s="1">
        <v>46766</v>
      </c>
      <c r="W430" t="s">
        <v>56</v>
      </c>
      <c r="Y430" t="s">
        <v>49</v>
      </c>
      <c r="AA430" t="s">
        <v>122</v>
      </c>
      <c r="AB430">
        <v>24</v>
      </c>
      <c r="AC430" t="s">
        <v>192</v>
      </c>
      <c r="AD430" t="s">
        <v>362</v>
      </c>
      <c r="AE430" t="s">
        <v>363</v>
      </c>
      <c r="AF430" t="s">
        <v>59</v>
      </c>
      <c r="AG430" t="str">
        <f t="shared" si="6"/>
        <v>Recorrente</v>
      </c>
      <c r="AH430" t="str">
        <f>IF(AND(SUMIF(E:E,E430,I:I)&gt;=400000,Q430="B2G"),"n","")</f>
        <v/>
      </c>
    </row>
    <row r="431" spans="1:34">
      <c r="A431">
        <v>2026</v>
      </c>
      <c r="B431">
        <v>1</v>
      </c>
      <c r="C431" s="83">
        <v>48918481736</v>
      </c>
      <c r="D431" t="s">
        <v>533</v>
      </c>
      <c r="E431">
        <v>53347172867</v>
      </c>
      <c r="F431">
        <v>635568</v>
      </c>
      <c r="G431">
        <v>48992654914</v>
      </c>
      <c r="H431" t="s">
        <v>35</v>
      </c>
      <c r="I431" s="36">
        <v>11437.2</v>
      </c>
      <c r="J431" s="36">
        <v>4210.09</v>
      </c>
      <c r="K431" s="85">
        <v>7227.11</v>
      </c>
      <c r="L431" s="36">
        <v>350.84</v>
      </c>
      <c r="M431" s="36">
        <v>0</v>
      </c>
      <c r="N431" s="36">
        <v>252.34</v>
      </c>
      <c r="O431" s="36">
        <v>98.496304219999999</v>
      </c>
      <c r="P431" t="s">
        <v>367</v>
      </c>
      <c r="Q431" t="s">
        <v>191</v>
      </c>
      <c r="R431" t="s">
        <v>191</v>
      </c>
      <c r="S431" s="1">
        <v>46036</v>
      </c>
      <c r="T431" s="1">
        <v>46036</v>
      </c>
      <c r="V431" s="1">
        <v>46766</v>
      </c>
      <c r="W431" t="s">
        <v>56</v>
      </c>
      <c r="Y431" t="s">
        <v>49</v>
      </c>
      <c r="AA431" t="s">
        <v>122</v>
      </c>
      <c r="AB431">
        <v>24</v>
      </c>
      <c r="AC431" t="s">
        <v>192</v>
      </c>
      <c r="AD431" t="s">
        <v>149</v>
      </c>
      <c r="AE431" t="s">
        <v>43</v>
      </c>
      <c r="AF431" t="s">
        <v>96</v>
      </c>
      <c r="AG431" t="str">
        <f t="shared" si="6"/>
        <v>Recorrente</v>
      </c>
      <c r="AH431" t="str">
        <f>IF(AND(SUMIF(E:E,E431,I:I)&gt;=400000,Q431="B2G"),"n","")</f>
        <v/>
      </c>
    </row>
    <row r="432" spans="1:34">
      <c r="A432">
        <v>2026</v>
      </c>
      <c r="B432">
        <v>1</v>
      </c>
      <c r="C432" s="83">
        <v>48918481736</v>
      </c>
      <c r="D432" t="s">
        <v>533</v>
      </c>
      <c r="E432">
        <v>53347172867</v>
      </c>
      <c r="F432">
        <v>635568</v>
      </c>
      <c r="G432">
        <v>48992654915</v>
      </c>
      <c r="H432" t="s">
        <v>35</v>
      </c>
      <c r="I432" s="36">
        <v>5367.6</v>
      </c>
      <c r="J432" s="36">
        <v>1975.84</v>
      </c>
      <c r="K432" s="85">
        <v>3391.76</v>
      </c>
      <c r="L432" s="36">
        <v>164.65</v>
      </c>
      <c r="M432" s="36">
        <v>0</v>
      </c>
      <c r="N432" s="36">
        <v>118.43</v>
      </c>
      <c r="O432" s="36">
        <v>46.225366569999998</v>
      </c>
      <c r="P432" t="s">
        <v>367</v>
      </c>
      <c r="Q432" t="s">
        <v>191</v>
      </c>
      <c r="R432" t="s">
        <v>191</v>
      </c>
      <c r="S432" s="1">
        <v>46036</v>
      </c>
      <c r="T432" s="1">
        <v>46036</v>
      </c>
      <c r="V432" s="1">
        <v>46766</v>
      </c>
      <c r="W432" t="s">
        <v>56</v>
      </c>
      <c r="Y432" t="s">
        <v>49</v>
      </c>
      <c r="AA432" t="s">
        <v>122</v>
      </c>
      <c r="AB432">
        <v>24</v>
      </c>
      <c r="AC432" t="s">
        <v>192</v>
      </c>
      <c r="AD432" t="s">
        <v>142</v>
      </c>
      <c r="AE432" t="s">
        <v>95</v>
      </c>
      <c r="AF432" t="s">
        <v>44</v>
      </c>
      <c r="AG432" t="str">
        <f t="shared" si="6"/>
        <v>Recorrente</v>
      </c>
      <c r="AH432" t="str">
        <f>IF(AND(SUMIF(E:E,E432,I:I)&gt;=400000,Q432="B2G"),"n","")</f>
        <v/>
      </c>
    </row>
    <row r="433" spans="1:34">
      <c r="A433">
        <v>2026</v>
      </c>
      <c r="B433">
        <v>1</v>
      </c>
      <c r="C433" s="83">
        <v>118256417899</v>
      </c>
      <c r="D433" t="s">
        <v>534</v>
      </c>
      <c r="E433">
        <v>53347549328</v>
      </c>
      <c r="F433">
        <v>635513</v>
      </c>
      <c r="G433">
        <v>48544413522</v>
      </c>
      <c r="H433" t="s">
        <v>35</v>
      </c>
      <c r="I433" s="36">
        <v>3240</v>
      </c>
      <c r="J433" s="36">
        <v>3240</v>
      </c>
      <c r="K433" s="85">
        <v>0</v>
      </c>
      <c r="L433" s="36">
        <v>270</v>
      </c>
      <c r="M433" s="36">
        <v>270</v>
      </c>
      <c r="N433" s="36">
        <v>0</v>
      </c>
      <c r="O433" s="36">
        <v>0</v>
      </c>
      <c r="P433" t="s">
        <v>313</v>
      </c>
      <c r="Q433" t="s">
        <v>314</v>
      </c>
      <c r="R433" t="s">
        <v>314</v>
      </c>
      <c r="S433" s="1">
        <v>46030</v>
      </c>
      <c r="T433" s="1">
        <v>46030</v>
      </c>
      <c r="V433" s="1">
        <v>46395</v>
      </c>
      <c r="W433" t="s">
        <v>38</v>
      </c>
      <c r="X433">
        <v>12</v>
      </c>
      <c r="Y433" t="s">
        <v>49</v>
      </c>
      <c r="AA433" t="s">
        <v>117</v>
      </c>
      <c r="AB433">
        <v>1</v>
      </c>
      <c r="AC433" t="s">
        <v>315</v>
      </c>
      <c r="AD433" t="s">
        <v>114</v>
      </c>
      <c r="AE433" t="s">
        <v>43</v>
      </c>
      <c r="AF433" t="s">
        <v>44</v>
      </c>
      <c r="AG433" t="str">
        <f t="shared" si="6"/>
        <v>À Vista</v>
      </c>
      <c r="AH433" t="str">
        <f>IF(AND(SUMIF(E:E,E433,I:I)&gt;=400000,Q433="B2G"),"n","")</f>
        <v/>
      </c>
    </row>
    <row r="434" spans="1:34">
      <c r="A434">
        <v>2026</v>
      </c>
      <c r="B434">
        <v>1</v>
      </c>
      <c r="C434" s="83">
        <v>2119153</v>
      </c>
      <c r="D434" t="s">
        <v>535</v>
      </c>
      <c r="E434">
        <v>53348768390</v>
      </c>
      <c r="F434">
        <v>635496</v>
      </c>
      <c r="G434">
        <v>48465003961</v>
      </c>
      <c r="H434" t="s">
        <v>35</v>
      </c>
      <c r="I434" s="36">
        <v>5392.08</v>
      </c>
      <c r="J434" s="36">
        <v>5392.07</v>
      </c>
      <c r="K434" s="85">
        <v>0.01</v>
      </c>
      <c r="L434" s="36">
        <v>449.34</v>
      </c>
      <c r="M434" s="36">
        <v>449.34</v>
      </c>
      <c r="N434" s="36">
        <v>0</v>
      </c>
      <c r="O434" s="36">
        <v>0</v>
      </c>
      <c r="P434" t="s">
        <v>506</v>
      </c>
      <c r="Q434" t="s">
        <v>300</v>
      </c>
      <c r="R434" t="s">
        <v>300</v>
      </c>
      <c r="S434" s="1">
        <v>46028</v>
      </c>
      <c r="T434" s="1">
        <v>46028</v>
      </c>
      <c r="V434" s="1">
        <v>46393</v>
      </c>
      <c r="W434" t="s">
        <v>38</v>
      </c>
      <c r="X434">
        <v>12</v>
      </c>
      <c r="Y434" t="s">
        <v>49</v>
      </c>
      <c r="AA434" t="s">
        <v>122</v>
      </c>
      <c r="AB434">
        <v>12</v>
      </c>
      <c r="AC434" t="s">
        <v>301</v>
      </c>
      <c r="AD434" t="s">
        <v>85</v>
      </c>
      <c r="AE434" t="s">
        <v>46</v>
      </c>
      <c r="AF434" t="s">
        <v>44</v>
      </c>
      <c r="AG434" t="str">
        <f t="shared" si="6"/>
        <v>Recorrente</v>
      </c>
      <c r="AH434" t="str">
        <f>IF(AND(SUMIF(E:E,E434,I:I)&gt;=400000,Q434="B2G"),"n","")</f>
        <v/>
      </c>
    </row>
    <row r="435" spans="1:34">
      <c r="A435">
        <v>2026</v>
      </c>
      <c r="B435">
        <v>1</v>
      </c>
      <c r="C435" s="83">
        <v>2119081</v>
      </c>
      <c r="D435" t="s">
        <v>536</v>
      </c>
      <c r="E435">
        <v>53350968671</v>
      </c>
      <c r="F435">
        <v>635501</v>
      </c>
      <c r="G435">
        <v>48491956079</v>
      </c>
      <c r="H435" t="s">
        <v>35</v>
      </c>
      <c r="I435" s="36">
        <v>7155</v>
      </c>
      <c r="J435" s="36">
        <v>7155</v>
      </c>
      <c r="K435" s="85">
        <v>0</v>
      </c>
      <c r="L435" s="36">
        <v>596.25</v>
      </c>
      <c r="M435" s="36">
        <v>596.25</v>
      </c>
      <c r="N435" s="36">
        <v>0</v>
      </c>
      <c r="O435" s="36">
        <v>0</v>
      </c>
      <c r="P435" t="s">
        <v>511</v>
      </c>
      <c r="Q435" t="s">
        <v>300</v>
      </c>
      <c r="R435" t="s">
        <v>300</v>
      </c>
      <c r="S435" s="1">
        <v>46029</v>
      </c>
      <c r="T435" s="1">
        <v>46029</v>
      </c>
      <c r="V435" s="1">
        <v>46394</v>
      </c>
      <c r="W435" t="s">
        <v>38</v>
      </c>
      <c r="X435">
        <v>12</v>
      </c>
      <c r="Y435" t="s">
        <v>49</v>
      </c>
      <c r="AA435" t="s">
        <v>117</v>
      </c>
      <c r="AB435">
        <v>1</v>
      </c>
      <c r="AC435" t="s">
        <v>301</v>
      </c>
      <c r="AD435" t="s">
        <v>134</v>
      </c>
      <c r="AE435" t="s">
        <v>135</v>
      </c>
      <c r="AF435" t="s">
        <v>44</v>
      </c>
      <c r="AG435" t="str">
        <f t="shared" si="6"/>
        <v>À Vista</v>
      </c>
      <c r="AH435" t="str">
        <f>IF(AND(SUMIF(E:E,E435,I:I)&gt;=400000,Q435="B2G"),"n","")</f>
        <v/>
      </c>
    </row>
    <row r="436" spans="1:34">
      <c r="A436">
        <v>2026</v>
      </c>
      <c r="B436">
        <v>1</v>
      </c>
      <c r="C436" s="83">
        <v>2066267</v>
      </c>
      <c r="D436" t="s">
        <v>537</v>
      </c>
      <c r="E436">
        <v>53351488822</v>
      </c>
      <c r="F436">
        <v>630903</v>
      </c>
      <c r="G436">
        <v>48500184426</v>
      </c>
      <c r="H436" t="s">
        <v>35</v>
      </c>
      <c r="I436" s="36">
        <v>6649.56</v>
      </c>
      <c r="J436" s="36">
        <v>2651.64</v>
      </c>
      <c r="K436" s="85">
        <v>3997.92</v>
      </c>
      <c r="L436" s="36">
        <v>220.97</v>
      </c>
      <c r="M436" s="36">
        <v>0</v>
      </c>
      <c r="N436" s="36">
        <v>220.97</v>
      </c>
      <c r="O436" s="36">
        <v>0</v>
      </c>
      <c r="P436" t="s">
        <v>313</v>
      </c>
      <c r="Q436" t="s">
        <v>314</v>
      </c>
      <c r="R436" t="s">
        <v>314</v>
      </c>
      <c r="S436" s="1">
        <v>46029</v>
      </c>
      <c r="T436" s="1">
        <v>46029</v>
      </c>
      <c r="V436" s="1">
        <v>46945</v>
      </c>
      <c r="W436" t="s">
        <v>102</v>
      </c>
      <c r="X436">
        <v>30</v>
      </c>
      <c r="Y436" t="s">
        <v>49</v>
      </c>
      <c r="Z436" t="s">
        <v>324</v>
      </c>
      <c r="AA436" t="s">
        <v>122</v>
      </c>
      <c r="AB436">
        <v>30</v>
      </c>
      <c r="AC436" t="s">
        <v>315</v>
      </c>
      <c r="AD436" t="s">
        <v>131</v>
      </c>
      <c r="AE436" t="s">
        <v>46</v>
      </c>
      <c r="AF436" t="s">
        <v>96</v>
      </c>
      <c r="AG436" t="str">
        <f t="shared" si="6"/>
        <v>Recorrente</v>
      </c>
      <c r="AH436" t="str">
        <f>IF(AND(SUMIF(E:E,E436,I:I)&gt;=400000,Q436="B2G"),"n","")</f>
        <v/>
      </c>
    </row>
    <row r="437" spans="1:34">
      <c r="A437">
        <v>2026</v>
      </c>
      <c r="B437">
        <v>1</v>
      </c>
      <c r="C437" s="83">
        <v>2255085</v>
      </c>
      <c r="D437" t="s">
        <v>538</v>
      </c>
      <c r="E437">
        <v>53353323395</v>
      </c>
      <c r="F437">
        <v>635511</v>
      </c>
      <c r="G437">
        <v>48464284824</v>
      </c>
      <c r="H437" t="s">
        <v>35</v>
      </c>
      <c r="I437" s="36">
        <v>2624.04</v>
      </c>
      <c r="J437" s="36">
        <v>2624.04</v>
      </c>
      <c r="K437" s="85">
        <v>0</v>
      </c>
      <c r="L437" s="36">
        <v>218.67</v>
      </c>
      <c r="M437" s="36">
        <v>218.67</v>
      </c>
      <c r="N437" s="36">
        <v>0</v>
      </c>
      <c r="O437" s="36">
        <v>0</v>
      </c>
      <c r="P437" t="s">
        <v>511</v>
      </c>
      <c r="Q437" t="s">
        <v>300</v>
      </c>
      <c r="R437" t="s">
        <v>300</v>
      </c>
      <c r="S437" s="1">
        <v>46029</v>
      </c>
      <c r="T437" s="1">
        <v>46029</v>
      </c>
      <c r="V437" s="1">
        <v>46394</v>
      </c>
      <c r="W437" t="s">
        <v>38</v>
      </c>
      <c r="X437">
        <v>12</v>
      </c>
      <c r="Y437" t="s">
        <v>49</v>
      </c>
      <c r="AA437" t="s">
        <v>122</v>
      </c>
      <c r="AB437">
        <v>12</v>
      </c>
      <c r="AC437" t="s">
        <v>301</v>
      </c>
      <c r="AD437" t="s">
        <v>140</v>
      </c>
      <c r="AE437" t="s">
        <v>46</v>
      </c>
      <c r="AF437" t="s">
        <v>119</v>
      </c>
      <c r="AG437" t="str">
        <f t="shared" si="6"/>
        <v>Recorrente</v>
      </c>
      <c r="AH437" t="str">
        <f>IF(AND(SUMIF(E:E,E437,I:I)&gt;=400000,Q437="B2G"),"n","")</f>
        <v/>
      </c>
    </row>
    <row r="438" spans="1:34">
      <c r="A438">
        <v>2026</v>
      </c>
      <c r="B438">
        <v>1</v>
      </c>
      <c r="C438" s="83">
        <v>2220933</v>
      </c>
      <c r="D438" t="s">
        <v>539</v>
      </c>
      <c r="E438">
        <v>53353877433</v>
      </c>
      <c r="F438">
        <v>635682</v>
      </c>
      <c r="G438">
        <v>49709540441</v>
      </c>
      <c r="H438" t="s">
        <v>35</v>
      </c>
      <c r="I438" s="36">
        <v>4074</v>
      </c>
      <c r="J438" s="36">
        <v>4074</v>
      </c>
      <c r="K438" s="85">
        <v>0</v>
      </c>
      <c r="L438" s="36">
        <v>339.5</v>
      </c>
      <c r="M438" s="36">
        <v>339.5</v>
      </c>
      <c r="N438" s="36">
        <v>0</v>
      </c>
      <c r="O438" s="36">
        <v>0</v>
      </c>
      <c r="P438" t="s">
        <v>299</v>
      </c>
      <c r="Q438" t="s">
        <v>300</v>
      </c>
      <c r="R438" t="s">
        <v>300</v>
      </c>
      <c r="S438" s="1">
        <v>46044</v>
      </c>
      <c r="T438" s="1">
        <v>46044</v>
      </c>
      <c r="V438" s="1">
        <v>46409</v>
      </c>
      <c r="W438" t="s">
        <v>38</v>
      </c>
      <c r="X438">
        <v>12</v>
      </c>
      <c r="Y438" t="s">
        <v>49</v>
      </c>
      <c r="AA438" t="s">
        <v>122</v>
      </c>
      <c r="AB438">
        <v>12</v>
      </c>
      <c r="AC438" t="s">
        <v>301</v>
      </c>
      <c r="AD438" t="s">
        <v>160</v>
      </c>
      <c r="AE438" t="s">
        <v>43</v>
      </c>
      <c r="AF438" t="s">
        <v>44</v>
      </c>
      <c r="AG438" t="str">
        <f t="shared" si="6"/>
        <v>Recorrente</v>
      </c>
      <c r="AH438" t="str">
        <f>IF(AND(SUMIF(E:E,E438,I:I)&gt;=400000,Q438="B2G"),"n","")</f>
        <v/>
      </c>
    </row>
    <row r="439" spans="1:34">
      <c r="A439">
        <v>2026</v>
      </c>
      <c r="B439">
        <v>1</v>
      </c>
      <c r="C439" s="83">
        <v>2203622</v>
      </c>
      <c r="D439" t="s">
        <v>540</v>
      </c>
      <c r="E439">
        <v>53362770697</v>
      </c>
      <c r="F439">
        <v>625266</v>
      </c>
      <c r="G439">
        <v>50262423623</v>
      </c>
      <c r="H439" t="s">
        <v>35</v>
      </c>
      <c r="I439" s="36">
        <v>5466.24</v>
      </c>
      <c r="J439" s="36">
        <v>5466.24</v>
      </c>
      <c r="K439" s="85">
        <v>0</v>
      </c>
      <c r="L439" s="36">
        <v>455.52</v>
      </c>
      <c r="M439" s="36">
        <v>0</v>
      </c>
      <c r="N439" s="36">
        <v>2.38</v>
      </c>
      <c r="O439" s="36">
        <v>453.15</v>
      </c>
      <c r="P439" t="s">
        <v>110</v>
      </c>
      <c r="Q439" t="s">
        <v>111</v>
      </c>
      <c r="R439" t="s">
        <v>111</v>
      </c>
      <c r="S439" s="1">
        <v>46050</v>
      </c>
      <c r="T439" s="1">
        <v>46050</v>
      </c>
      <c r="U439" s="1">
        <v>46028</v>
      </c>
      <c r="V439" s="1">
        <v>46415</v>
      </c>
      <c r="W439" t="s">
        <v>38</v>
      </c>
      <c r="X439">
        <v>12</v>
      </c>
      <c r="Y439" t="s">
        <v>49</v>
      </c>
      <c r="Z439" t="s">
        <v>81</v>
      </c>
      <c r="AA439" t="s">
        <v>112</v>
      </c>
      <c r="AB439">
        <v>12</v>
      </c>
      <c r="AC439" t="s">
        <v>113</v>
      </c>
      <c r="AD439" t="s">
        <v>85</v>
      </c>
      <c r="AE439" t="s">
        <v>46</v>
      </c>
      <c r="AF439" t="s">
        <v>44</v>
      </c>
      <c r="AG439" t="str">
        <f t="shared" si="6"/>
        <v>CC 12x</v>
      </c>
      <c r="AH439" t="str">
        <f>IF(AND(SUMIF(E:E,E439,I:I)&gt;=400000,Q439="B2G"),"n","")</f>
        <v/>
      </c>
    </row>
    <row r="440" spans="1:34">
      <c r="A440">
        <v>2026</v>
      </c>
      <c r="B440">
        <v>1</v>
      </c>
      <c r="C440" s="83">
        <v>112704278353</v>
      </c>
      <c r="D440" t="s">
        <v>541</v>
      </c>
      <c r="E440">
        <v>53377010354</v>
      </c>
      <c r="F440">
        <v>629024</v>
      </c>
      <c r="G440">
        <v>48938544701</v>
      </c>
      <c r="H440" t="s">
        <v>35</v>
      </c>
      <c r="I440" s="36">
        <v>1035.5999999999999</v>
      </c>
      <c r="J440" s="36">
        <v>3602.64</v>
      </c>
      <c r="K440" s="85">
        <v>0</v>
      </c>
      <c r="L440" s="36">
        <v>300.22000000000003</v>
      </c>
      <c r="M440" s="36">
        <v>0</v>
      </c>
      <c r="N440" s="36">
        <v>300.22000000000003</v>
      </c>
      <c r="O440" s="36">
        <v>0</v>
      </c>
      <c r="P440" t="s">
        <v>313</v>
      </c>
      <c r="Q440" t="s">
        <v>314</v>
      </c>
      <c r="R440" t="s">
        <v>314</v>
      </c>
      <c r="S440" s="1">
        <v>46035</v>
      </c>
      <c r="T440" s="1">
        <v>46035</v>
      </c>
      <c r="V440" s="1">
        <v>46140</v>
      </c>
      <c r="W440" t="s">
        <v>38</v>
      </c>
      <c r="X440">
        <v>3</v>
      </c>
      <c r="Y440" t="s">
        <v>49</v>
      </c>
      <c r="Z440" t="s">
        <v>324</v>
      </c>
      <c r="AA440" t="s">
        <v>122</v>
      </c>
      <c r="AB440">
        <v>3</v>
      </c>
      <c r="AC440" t="s">
        <v>315</v>
      </c>
      <c r="AD440" t="s">
        <v>134</v>
      </c>
      <c r="AE440" t="s">
        <v>135</v>
      </c>
      <c r="AF440" t="s">
        <v>44</v>
      </c>
      <c r="AG440" t="str">
        <f t="shared" si="6"/>
        <v>Recorrente</v>
      </c>
      <c r="AH440" t="str">
        <f>IF(AND(SUMIF(E:E,E440,I:I)&gt;=400000,Q440="B2G"),"n","")</f>
        <v/>
      </c>
    </row>
    <row r="441" spans="1:34">
      <c r="A441">
        <v>2026</v>
      </c>
      <c r="B441">
        <v>1</v>
      </c>
      <c r="C441" s="83">
        <v>2075640</v>
      </c>
      <c r="D441" t="s">
        <v>542</v>
      </c>
      <c r="E441">
        <v>53380918865</v>
      </c>
      <c r="F441">
        <v>635822</v>
      </c>
      <c r="G441">
        <v>50276837006</v>
      </c>
      <c r="H441" t="s">
        <v>35</v>
      </c>
      <c r="I441" s="36">
        <v>4530.6000000000004</v>
      </c>
      <c r="J441" s="36">
        <v>2214.6</v>
      </c>
      <c r="K441" s="85">
        <v>2316</v>
      </c>
      <c r="L441" s="36">
        <v>184.55</v>
      </c>
      <c r="M441" s="36">
        <v>0</v>
      </c>
      <c r="N441" s="36">
        <v>184.55</v>
      </c>
      <c r="O441" s="36">
        <v>0</v>
      </c>
      <c r="P441" t="s">
        <v>323</v>
      </c>
      <c r="Q441" t="s">
        <v>191</v>
      </c>
      <c r="R441" t="s">
        <v>191</v>
      </c>
      <c r="S441" s="1">
        <v>46052</v>
      </c>
      <c r="T441" s="1">
        <v>46052</v>
      </c>
      <c r="V441" s="1">
        <v>46417</v>
      </c>
      <c r="W441" t="s">
        <v>38</v>
      </c>
      <c r="Y441" t="s">
        <v>49</v>
      </c>
      <c r="AA441" t="s">
        <v>122</v>
      </c>
      <c r="AB441">
        <v>12</v>
      </c>
      <c r="AC441" t="s">
        <v>192</v>
      </c>
      <c r="AD441" t="s">
        <v>84</v>
      </c>
      <c r="AE441" t="s">
        <v>43</v>
      </c>
      <c r="AF441" t="s">
        <v>44</v>
      </c>
      <c r="AG441" t="str">
        <f t="shared" si="6"/>
        <v>Recorrente</v>
      </c>
      <c r="AH441" t="str">
        <f>IF(AND(SUMIF(E:E,E441,I:I)&gt;=400000,Q441="B2G"),"n","")</f>
        <v/>
      </c>
    </row>
    <row r="442" spans="1:34">
      <c r="A442">
        <v>2026</v>
      </c>
      <c r="B442">
        <v>1</v>
      </c>
      <c r="C442" s="83">
        <v>2098342</v>
      </c>
      <c r="D442" t="s">
        <v>543</v>
      </c>
      <c r="E442">
        <v>53381110535</v>
      </c>
      <c r="F442">
        <v>635509</v>
      </c>
      <c r="G442">
        <v>48544855072</v>
      </c>
      <c r="H442" t="s">
        <v>35</v>
      </c>
      <c r="I442" s="36">
        <v>4962.6000000000004</v>
      </c>
      <c r="J442" s="36">
        <v>4962.6000000000004</v>
      </c>
      <c r="K442" s="85">
        <v>0</v>
      </c>
      <c r="L442" s="36">
        <v>413.55</v>
      </c>
      <c r="M442" s="36">
        <v>413.55</v>
      </c>
      <c r="N442" s="36">
        <v>0</v>
      </c>
      <c r="O442" s="36">
        <v>0</v>
      </c>
      <c r="P442" t="s">
        <v>511</v>
      </c>
      <c r="Q442" t="s">
        <v>300</v>
      </c>
      <c r="R442" t="s">
        <v>300</v>
      </c>
      <c r="S442" s="1">
        <v>46029</v>
      </c>
      <c r="T442" s="1">
        <v>46029</v>
      </c>
      <c r="V442" s="1">
        <v>46394</v>
      </c>
      <c r="W442" t="s">
        <v>38</v>
      </c>
      <c r="X442">
        <v>12</v>
      </c>
      <c r="Y442" t="s">
        <v>49</v>
      </c>
      <c r="AA442" t="s">
        <v>112</v>
      </c>
      <c r="AB442">
        <v>12</v>
      </c>
      <c r="AC442" t="s">
        <v>301</v>
      </c>
      <c r="AD442" t="s">
        <v>138</v>
      </c>
      <c r="AE442" t="s">
        <v>135</v>
      </c>
      <c r="AF442" t="s">
        <v>119</v>
      </c>
      <c r="AG442" t="str">
        <f t="shared" si="6"/>
        <v>CC 12x</v>
      </c>
      <c r="AH442" t="str">
        <f>IF(AND(SUMIF(E:E,E442,I:I)&gt;=400000,Q442="B2G"),"n","")</f>
        <v/>
      </c>
    </row>
    <row r="443" spans="1:34">
      <c r="A443">
        <v>2026</v>
      </c>
      <c r="B443">
        <v>1</v>
      </c>
      <c r="C443" s="83">
        <v>2071170</v>
      </c>
      <c r="D443" t="s">
        <v>544</v>
      </c>
      <c r="E443">
        <v>53381456419</v>
      </c>
      <c r="F443">
        <v>635499</v>
      </c>
      <c r="G443">
        <v>48493117527</v>
      </c>
      <c r="H443" t="s">
        <v>35</v>
      </c>
      <c r="I443" s="36">
        <v>9206.4</v>
      </c>
      <c r="J443" s="36">
        <v>4603.2</v>
      </c>
      <c r="K443" s="85">
        <v>4603.2</v>
      </c>
      <c r="L443" s="36">
        <v>383.6</v>
      </c>
      <c r="M443" s="36">
        <v>383.6</v>
      </c>
      <c r="N443" s="36">
        <v>0</v>
      </c>
      <c r="O443" s="36">
        <v>0</v>
      </c>
      <c r="P443" t="s">
        <v>313</v>
      </c>
      <c r="Q443" t="s">
        <v>314</v>
      </c>
      <c r="R443" t="s">
        <v>314</v>
      </c>
      <c r="S443" s="1">
        <v>46029</v>
      </c>
      <c r="T443" s="1">
        <v>46029</v>
      </c>
      <c r="V443" s="1">
        <v>46759</v>
      </c>
      <c r="W443" t="s">
        <v>56</v>
      </c>
      <c r="X443">
        <v>24</v>
      </c>
      <c r="Y443" t="s">
        <v>49</v>
      </c>
      <c r="AA443" t="s">
        <v>122</v>
      </c>
      <c r="AB443">
        <v>24</v>
      </c>
      <c r="AC443" t="s">
        <v>315</v>
      </c>
      <c r="AD443" t="s">
        <v>85</v>
      </c>
      <c r="AE443" t="s">
        <v>46</v>
      </c>
      <c r="AF443" t="s">
        <v>44</v>
      </c>
      <c r="AG443" t="str">
        <f t="shared" si="6"/>
        <v>Recorrente</v>
      </c>
      <c r="AH443" t="str">
        <f>IF(AND(SUMIF(E:E,E443,I:I)&gt;=400000,Q443="B2G"),"n","")</f>
        <v/>
      </c>
    </row>
    <row r="444" spans="1:34">
      <c r="A444">
        <v>2026</v>
      </c>
      <c r="B444">
        <v>1</v>
      </c>
      <c r="C444" s="83">
        <v>19435523858</v>
      </c>
      <c r="D444" t="s">
        <v>545</v>
      </c>
      <c r="E444">
        <v>53382043699</v>
      </c>
      <c r="F444">
        <v>635797</v>
      </c>
      <c r="G444">
        <v>50352669184</v>
      </c>
      <c r="H444" t="s">
        <v>35</v>
      </c>
      <c r="I444" s="36">
        <v>3897</v>
      </c>
      <c r="J444" s="36">
        <v>3897</v>
      </c>
      <c r="K444" s="85">
        <v>0</v>
      </c>
      <c r="L444" s="36">
        <v>324.75</v>
      </c>
      <c r="M444" s="36">
        <v>324.75</v>
      </c>
      <c r="N444" s="36">
        <v>0</v>
      </c>
      <c r="O444" s="36">
        <v>0</v>
      </c>
      <c r="P444" t="s">
        <v>78</v>
      </c>
      <c r="Q444" t="s">
        <v>79</v>
      </c>
      <c r="R444" t="s">
        <v>80</v>
      </c>
      <c r="S444" s="1">
        <v>46051</v>
      </c>
      <c r="T444" s="1">
        <v>46051</v>
      </c>
      <c r="V444" s="1">
        <v>46416</v>
      </c>
      <c r="W444" t="s">
        <v>38</v>
      </c>
      <c r="X444">
        <v>12</v>
      </c>
      <c r="Y444" t="s">
        <v>49</v>
      </c>
      <c r="AA444" t="s">
        <v>82</v>
      </c>
      <c r="AB444">
        <v>1</v>
      </c>
      <c r="AC444" t="s">
        <v>83</v>
      </c>
      <c r="AD444" t="s">
        <v>125</v>
      </c>
      <c r="AE444" t="s">
        <v>43</v>
      </c>
      <c r="AF444" t="s">
        <v>47</v>
      </c>
      <c r="AG444" t="str">
        <f t="shared" si="6"/>
        <v>À Vista</v>
      </c>
      <c r="AH444" t="str">
        <f>IF(AND(SUMIF(E:E,E444,I:I)&gt;=400000,Q444="B2G"),"n","")</f>
        <v/>
      </c>
    </row>
    <row r="445" spans="1:34">
      <c r="A445">
        <v>2026</v>
      </c>
      <c r="B445">
        <v>1</v>
      </c>
      <c r="C445" s="83">
        <v>19435523858</v>
      </c>
      <c r="D445" t="s">
        <v>545</v>
      </c>
      <c r="E445">
        <v>53382043699</v>
      </c>
      <c r="F445">
        <v>635797</v>
      </c>
      <c r="G445">
        <v>50352669185</v>
      </c>
      <c r="H445" t="s">
        <v>35</v>
      </c>
      <c r="I445" s="36">
        <v>7197</v>
      </c>
      <c r="J445" s="36">
        <v>7197</v>
      </c>
      <c r="K445" s="85">
        <v>0</v>
      </c>
      <c r="L445" s="36">
        <v>599.75</v>
      </c>
      <c r="M445" s="36">
        <v>599.75</v>
      </c>
      <c r="N445" s="36">
        <v>0</v>
      </c>
      <c r="O445" s="36">
        <v>0</v>
      </c>
      <c r="P445" t="s">
        <v>78</v>
      </c>
      <c r="Q445" t="s">
        <v>79</v>
      </c>
      <c r="R445" t="s">
        <v>80</v>
      </c>
      <c r="S445" s="1">
        <v>46051</v>
      </c>
      <c r="T445" s="1">
        <v>46051</v>
      </c>
      <c r="V445" s="1">
        <v>46416</v>
      </c>
      <c r="W445" t="s">
        <v>38</v>
      </c>
      <c r="X445">
        <v>12</v>
      </c>
      <c r="Y445" t="s">
        <v>49</v>
      </c>
      <c r="AA445" t="s">
        <v>82</v>
      </c>
      <c r="AB445">
        <v>1</v>
      </c>
      <c r="AC445" t="s">
        <v>83</v>
      </c>
      <c r="AD445" t="s">
        <v>154</v>
      </c>
      <c r="AE445" t="s">
        <v>46</v>
      </c>
      <c r="AF445" t="s">
        <v>47</v>
      </c>
      <c r="AG445" t="str">
        <f t="shared" si="6"/>
        <v>À Vista</v>
      </c>
      <c r="AH445" t="str">
        <f>IF(AND(SUMIF(E:E,E445,I:I)&gt;=400000,Q445="B2G"),"n","")</f>
        <v/>
      </c>
    </row>
    <row r="446" spans="1:34">
      <c r="A446">
        <v>2026</v>
      </c>
      <c r="B446">
        <v>1</v>
      </c>
      <c r="C446" s="83">
        <v>19435523858</v>
      </c>
      <c r="D446" t="s">
        <v>545</v>
      </c>
      <c r="E446">
        <v>53382043699</v>
      </c>
      <c r="F446">
        <v>635797</v>
      </c>
      <c r="G446">
        <v>50352669186</v>
      </c>
      <c r="H446" t="s">
        <v>35</v>
      </c>
      <c r="I446" s="36">
        <v>537</v>
      </c>
      <c r="J446" s="36">
        <v>537</v>
      </c>
      <c r="K446" s="85">
        <v>0</v>
      </c>
      <c r="L446" s="36">
        <v>44.75</v>
      </c>
      <c r="M446" s="36">
        <v>44.75</v>
      </c>
      <c r="N446" s="36">
        <v>0</v>
      </c>
      <c r="O446" s="36">
        <v>0</v>
      </c>
      <c r="P446" t="s">
        <v>78</v>
      </c>
      <c r="Q446" t="s">
        <v>79</v>
      </c>
      <c r="R446" t="s">
        <v>80</v>
      </c>
      <c r="S446" s="1">
        <v>46051</v>
      </c>
      <c r="T446" s="1">
        <v>46051</v>
      </c>
      <c r="V446" s="1">
        <v>46416</v>
      </c>
      <c r="W446" t="s">
        <v>38</v>
      </c>
      <c r="X446">
        <v>12</v>
      </c>
      <c r="Y446" t="s">
        <v>49</v>
      </c>
      <c r="AA446" t="s">
        <v>82</v>
      </c>
      <c r="AB446">
        <v>1</v>
      </c>
      <c r="AC446" t="s">
        <v>83</v>
      </c>
      <c r="AD446" t="s">
        <v>256</v>
      </c>
      <c r="AE446" t="s">
        <v>257</v>
      </c>
      <c r="AF446" t="s">
        <v>59</v>
      </c>
      <c r="AG446" t="str">
        <f t="shared" si="6"/>
        <v>À Vista</v>
      </c>
      <c r="AH446" t="str">
        <f>IF(AND(SUMIF(E:E,E446,I:I)&gt;=400000,Q446="B2G"),"n","")</f>
        <v/>
      </c>
    </row>
    <row r="447" spans="1:34">
      <c r="A447">
        <v>2026</v>
      </c>
      <c r="B447">
        <v>1</v>
      </c>
      <c r="C447" s="83">
        <v>19435523858</v>
      </c>
      <c r="D447" t="s">
        <v>545</v>
      </c>
      <c r="E447">
        <v>53382043699</v>
      </c>
      <c r="F447">
        <v>635797</v>
      </c>
      <c r="G447">
        <v>50352669187</v>
      </c>
      <c r="H447" t="s">
        <v>35</v>
      </c>
      <c r="I447" s="36">
        <v>6354</v>
      </c>
      <c r="J447" s="36">
        <v>6354</v>
      </c>
      <c r="K447" s="85">
        <v>0</v>
      </c>
      <c r="L447" s="36">
        <v>529.5</v>
      </c>
      <c r="M447" s="36">
        <v>529.5</v>
      </c>
      <c r="N447" s="36">
        <v>0</v>
      </c>
      <c r="O447" s="36">
        <v>0</v>
      </c>
      <c r="P447" t="s">
        <v>78</v>
      </c>
      <c r="Q447" t="s">
        <v>79</v>
      </c>
      <c r="R447" t="s">
        <v>80</v>
      </c>
      <c r="S447" s="1">
        <v>46051</v>
      </c>
      <c r="T447" s="1">
        <v>46051</v>
      </c>
      <c r="V447" s="1">
        <v>46416</v>
      </c>
      <c r="W447" t="s">
        <v>38</v>
      </c>
      <c r="X447">
        <v>12</v>
      </c>
      <c r="Y447" t="s">
        <v>49</v>
      </c>
      <c r="AA447" t="s">
        <v>82</v>
      </c>
      <c r="AB447">
        <v>1</v>
      </c>
      <c r="AC447" t="s">
        <v>83</v>
      </c>
      <c r="AD447" t="s">
        <v>351</v>
      </c>
      <c r="AE447" t="s">
        <v>95</v>
      </c>
      <c r="AF447" t="s">
        <v>96</v>
      </c>
      <c r="AG447" t="str">
        <f t="shared" si="6"/>
        <v>À Vista</v>
      </c>
      <c r="AH447" t="str">
        <f>IF(AND(SUMIF(E:E,E447,I:I)&gt;=400000,Q447="B2G"),"n","")</f>
        <v/>
      </c>
    </row>
    <row r="448" spans="1:34">
      <c r="A448">
        <v>2026</v>
      </c>
      <c r="B448">
        <v>1</v>
      </c>
      <c r="C448" s="83">
        <v>191108645126</v>
      </c>
      <c r="D448" t="s">
        <v>546</v>
      </c>
      <c r="E448">
        <v>53383011975</v>
      </c>
      <c r="F448">
        <v>635502</v>
      </c>
      <c r="G448">
        <v>48493471859</v>
      </c>
      <c r="H448" t="s">
        <v>35</v>
      </c>
      <c r="I448" s="36">
        <v>2586.6</v>
      </c>
      <c r="J448" s="36">
        <v>2586.6</v>
      </c>
      <c r="K448" s="85">
        <v>0</v>
      </c>
      <c r="L448" s="36">
        <v>215.55</v>
      </c>
      <c r="M448" s="36">
        <v>215.55</v>
      </c>
      <c r="N448" s="36">
        <v>0</v>
      </c>
      <c r="O448" s="36">
        <v>0</v>
      </c>
      <c r="P448" t="s">
        <v>313</v>
      </c>
      <c r="Q448" t="s">
        <v>314</v>
      </c>
      <c r="R448" t="s">
        <v>314</v>
      </c>
      <c r="S448" s="1">
        <v>46029</v>
      </c>
      <c r="T448" s="1">
        <v>46029</v>
      </c>
      <c r="V448" s="1">
        <v>46394</v>
      </c>
      <c r="W448" t="s">
        <v>38</v>
      </c>
      <c r="X448">
        <v>12</v>
      </c>
      <c r="Y448" t="s">
        <v>49</v>
      </c>
      <c r="AA448" t="s">
        <v>122</v>
      </c>
      <c r="AB448">
        <v>12</v>
      </c>
      <c r="AC448" t="s">
        <v>315</v>
      </c>
      <c r="AD448" t="s">
        <v>140</v>
      </c>
      <c r="AE448" t="s">
        <v>46</v>
      </c>
      <c r="AF448" t="s">
        <v>119</v>
      </c>
      <c r="AG448" t="str">
        <f t="shared" si="6"/>
        <v>Recorrente</v>
      </c>
      <c r="AH448" t="str">
        <f>IF(AND(SUMIF(E:E,E448,I:I)&gt;=400000,Q448="B2G"),"n","")</f>
        <v/>
      </c>
    </row>
    <row r="449" spans="1:34">
      <c r="A449">
        <v>2026</v>
      </c>
      <c r="B449">
        <v>1</v>
      </c>
      <c r="C449" s="83">
        <v>2140374</v>
      </c>
      <c r="D449" t="s">
        <v>547</v>
      </c>
      <c r="E449">
        <v>53392001967</v>
      </c>
      <c r="F449">
        <v>606670</v>
      </c>
      <c r="G449">
        <v>48546059138</v>
      </c>
      <c r="H449" t="s">
        <v>35</v>
      </c>
      <c r="I449" s="36">
        <v>3749.52</v>
      </c>
      <c r="J449" s="36">
        <v>3749.52</v>
      </c>
      <c r="K449" s="85">
        <v>0</v>
      </c>
      <c r="L449" s="36">
        <v>312.45999999999998</v>
      </c>
      <c r="M449" s="36">
        <v>0</v>
      </c>
      <c r="N449" s="36">
        <v>20.79</v>
      </c>
      <c r="O449" s="36">
        <v>291.67</v>
      </c>
      <c r="P449" t="s">
        <v>116</v>
      </c>
      <c r="Q449" t="s">
        <v>111</v>
      </c>
      <c r="R449" t="s">
        <v>111</v>
      </c>
      <c r="S449" s="1">
        <v>46030</v>
      </c>
      <c r="T449" s="1">
        <v>46023</v>
      </c>
      <c r="U449" s="1">
        <v>46019</v>
      </c>
      <c r="V449" s="1">
        <v>46395</v>
      </c>
      <c r="W449" t="s">
        <v>38</v>
      </c>
      <c r="X449">
        <v>13</v>
      </c>
      <c r="Y449" t="s">
        <v>49</v>
      </c>
      <c r="Z449" t="s">
        <v>81</v>
      </c>
      <c r="AA449" t="s">
        <v>117</v>
      </c>
      <c r="AB449">
        <v>1</v>
      </c>
      <c r="AC449" t="s">
        <v>113</v>
      </c>
      <c r="AD449" t="s">
        <v>138</v>
      </c>
      <c r="AE449" t="s">
        <v>135</v>
      </c>
      <c r="AF449" t="s">
        <v>119</v>
      </c>
      <c r="AG449" t="str">
        <f t="shared" si="6"/>
        <v>À Vista</v>
      </c>
      <c r="AH449" t="str">
        <f>IF(AND(SUMIF(E:E,E449,I:I)&gt;=400000,Q449="B2G"),"n","")</f>
        <v/>
      </c>
    </row>
    <row r="450" spans="1:34">
      <c r="A450">
        <v>2026</v>
      </c>
      <c r="B450">
        <v>1</v>
      </c>
      <c r="C450" s="83">
        <v>28902019927</v>
      </c>
      <c r="D450" t="s">
        <v>548</v>
      </c>
      <c r="E450">
        <v>53393321762</v>
      </c>
      <c r="F450">
        <v>625960</v>
      </c>
      <c r="G450">
        <v>48657379687</v>
      </c>
      <c r="H450" t="s">
        <v>35</v>
      </c>
      <c r="I450" s="36">
        <v>6515.64</v>
      </c>
      <c r="J450" s="36">
        <v>1640.48</v>
      </c>
      <c r="K450" s="85">
        <v>4875.16</v>
      </c>
      <c r="L450" s="36">
        <v>136.71</v>
      </c>
      <c r="M450" s="36">
        <v>0</v>
      </c>
      <c r="N450" s="36">
        <v>136.71</v>
      </c>
      <c r="O450" s="36">
        <v>0</v>
      </c>
      <c r="P450" t="s">
        <v>520</v>
      </c>
      <c r="Q450" t="s">
        <v>191</v>
      </c>
      <c r="R450" t="s">
        <v>191</v>
      </c>
      <c r="S450" s="1">
        <v>46031</v>
      </c>
      <c r="T450" s="1">
        <v>46031</v>
      </c>
      <c r="V450" s="1">
        <v>46781</v>
      </c>
      <c r="W450" t="s">
        <v>102</v>
      </c>
      <c r="X450">
        <v>24</v>
      </c>
      <c r="Y450" t="s">
        <v>549</v>
      </c>
      <c r="Z450" t="s">
        <v>324</v>
      </c>
      <c r="AA450" t="s">
        <v>92</v>
      </c>
      <c r="AB450">
        <v>25</v>
      </c>
      <c r="AC450" t="s">
        <v>192</v>
      </c>
      <c r="AD450" t="s">
        <v>125</v>
      </c>
      <c r="AE450" t="s">
        <v>43</v>
      </c>
      <c r="AF450" t="s">
        <v>47</v>
      </c>
      <c r="AG450" t="str">
        <f t="shared" si="6"/>
        <v>Recorrente</v>
      </c>
      <c r="AH450" t="str">
        <f>IF(AND(SUMIF(E:E,E450,I:I)&gt;=400000,Q450="B2G"),"n","")</f>
        <v/>
      </c>
    </row>
    <row r="451" spans="1:34">
      <c r="A451">
        <v>2026</v>
      </c>
      <c r="B451">
        <v>1</v>
      </c>
      <c r="C451" s="83">
        <v>28902019927</v>
      </c>
      <c r="D451" t="s">
        <v>548</v>
      </c>
      <c r="E451">
        <v>53393321762</v>
      </c>
      <c r="F451">
        <v>625960</v>
      </c>
      <c r="G451">
        <v>48657379688</v>
      </c>
      <c r="H451" t="s">
        <v>35</v>
      </c>
      <c r="I451" s="36">
        <v>1794.6</v>
      </c>
      <c r="J451" s="36">
        <v>1640.48</v>
      </c>
      <c r="K451" s="85">
        <v>154.12</v>
      </c>
      <c r="L451" s="36">
        <v>136.71</v>
      </c>
      <c r="M451" s="36">
        <v>0</v>
      </c>
      <c r="N451" s="36">
        <v>136.71</v>
      </c>
      <c r="O451" s="36">
        <v>0</v>
      </c>
      <c r="P451" t="s">
        <v>520</v>
      </c>
      <c r="Q451" t="s">
        <v>191</v>
      </c>
      <c r="R451" t="s">
        <v>191</v>
      </c>
      <c r="S451" s="1">
        <v>46031</v>
      </c>
      <c r="T451" s="1">
        <v>46031</v>
      </c>
      <c r="V451" s="1">
        <v>46781</v>
      </c>
      <c r="W451" t="s">
        <v>102</v>
      </c>
      <c r="X451">
        <v>24</v>
      </c>
      <c r="Y451" t="s">
        <v>549</v>
      </c>
      <c r="Z451" t="s">
        <v>324</v>
      </c>
      <c r="AA451" t="s">
        <v>92</v>
      </c>
      <c r="AB451">
        <v>25</v>
      </c>
      <c r="AC451" t="s">
        <v>192</v>
      </c>
      <c r="AD451" t="s">
        <v>527</v>
      </c>
      <c r="AE451" t="s">
        <v>257</v>
      </c>
      <c r="AF451" t="s">
        <v>59</v>
      </c>
      <c r="AG451" t="str">
        <f t="shared" ref="AG451:AG512" si="7">IF(IFERROR(SEARCH("Recorrente",AA451),0)&gt;0,"Recorrente",IF(AB451=1,"À Vista",IF(AB451&lt;=3,"CC 3x",IF(AB451&lt;=12,"CC 12x",IF(AB451&gt;12,"Recorrente","")))))</f>
        <v>Recorrente</v>
      </c>
      <c r="AH451" t="str">
        <f>IF(AND(SUMIF(E:E,E451,I:I)&gt;=400000,Q451="B2G"),"n","")</f>
        <v/>
      </c>
    </row>
    <row r="452" spans="1:34">
      <c r="A452">
        <v>2026</v>
      </c>
      <c r="B452">
        <v>1</v>
      </c>
      <c r="C452" s="83">
        <v>28902019927</v>
      </c>
      <c r="D452" t="s">
        <v>548</v>
      </c>
      <c r="E452">
        <v>53393321762</v>
      </c>
      <c r="F452">
        <v>625960</v>
      </c>
      <c r="G452">
        <v>48657379689</v>
      </c>
      <c r="H452" t="s">
        <v>35</v>
      </c>
      <c r="I452" s="36">
        <v>1794.6</v>
      </c>
      <c r="J452" s="36">
        <v>1640.48</v>
      </c>
      <c r="K452" s="85">
        <v>154.12</v>
      </c>
      <c r="L452" s="36">
        <v>136.71</v>
      </c>
      <c r="M452" s="36">
        <v>0</v>
      </c>
      <c r="N452" s="36">
        <v>136.71</v>
      </c>
      <c r="O452" s="36">
        <v>0</v>
      </c>
      <c r="P452" t="s">
        <v>520</v>
      </c>
      <c r="Q452" t="s">
        <v>191</v>
      </c>
      <c r="R452" t="s">
        <v>191</v>
      </c>
      <c r="S452" s="1">
        <v>46031</v>
      </c>
      <c r="T452" s="1">
        <v>46031</v>
      </c>
      <c r="V452" s="1">
        <v>46781</v>
      </c>
      <c r="W452" t="s">
        <v>102</v>
      </c>
      <c r="X452">
        <v>24</v>
      </c>
      <c r="Y452" t="s">
        <v>549</v>
      </c>
      <c r="Z452" t="s">
        <v>324</v>
      </c>
      <c r="AA452" t="s">
        <v>92</v>
      </c>
      <c r="AB452">
        <v>25</v>
      </c>
      <c r="AC452" t="s">
        <v>192</v>
      </c>
      <c r="AD452" t="s">
        <v>550</v>
      </c>
      <c r="AE452" t="s">
        <v>363</v>
      </c>
      <c r="AF452" t="s">
        <v>59</v>
      </c>
      <c r="AG452" t="str">
        <f t="shared" si="7"/>
        <v>Recorrente</v>
      </c>
      <c r="AH452" t="str">
        <f>IF(AND(SUMIF(E:E,E452,I:I)&gt;=400000,Q452="B2G"),"n","")</f>
        <v/>
      </c>
    </row>
    <row r="453" spans="1:34">
      <c r="A453">
        <v>2026</v>
      </c>
      <c r="B453">
        <v>1</v>
      </c>
      <c r="C453" s="83">
        <v>2133465</v>
      </c>
      <c r="D453" t="s">
        <v>551</v>
      </c>
      <c r="E453">
        <v>53393775209</v>
      </c>
      <c r="F453">
        <v>635529</v>
      </c>
      <c r="G453">
        <v>48583106117</v>
      </c>
      <c r="H453" t="s">
        <v>35</v>
      </c>
      <c r="I453" s="36">
        <v>2593.8000000000002</v>
      </c>
      <c r="J453" s="36">
        <v>2593.81</v>
      </c>
      <c r="K453" s="85">
        <v>0</v>
      </c>
      <c r="L453" s="36">
        <v>216.15</v>
      </c>
      <c r="M453" s="36">
        <v>216.15</v>
      </c>
      <c r="N453" s="36">
        <v>0</v>
      </c>
      <c r="O453" s="36">
        <v>0</v>
      </c>
      <c r="P453" t="s">
        <v>116</v>
      </c>
      <c r="Q453" t="s">
        <v>111</v>
      </c>
      <c r="R453" t="s">
        <v>111</v>
      </c>
      <c r="S453" s="1">
        <v>46031</v>
      </c>
      <c r="T453" s="1">
        <v>46031</v>
      </c>
      <c r="V453" s="1">
        <v>46396</v>
      </c>
      <c r="W453" t="s">
        <v>38</v>
      </c>
      <c r="X453">
        <v>12</v>
      </c>
      <c r="Y453" t="s">
        <v>49</v>
      </c>
      <c r="AA453" t="s">
        <v>122</v>
      </c>
      <c r="AB453">
        <v>12</v>
      </c>
      <c r="AC453" t="s">
        <v>113</v>
      </c>
      <c r="AD453" t="s">
        <v>140</v>
      </c>
      <c r="AE453" t="s">
        <v>46</v>
      </c>
      <c r="AF453" t="s">
        <v>119</v>
      </c>
      <c r="AG453" t="str">
        <f t="shared" si="7"/>
        <v>Recorrente</v>
      </c>
      <c r="AH453" t="str">
        <f>IF(AND(SUMIF(E:E,E453,I:I)&gt;=400000,Q453="B2G"),"n","")</f>
        <v/>
      </c>
    </row>
    <row r="454" spans="1:34">
      <c r="A454">
        <v>2026</v>
      </c>
      <c r="B454">
        <v>1</v>
      </c>
      <c r="C454" s="83">
        <v>28699632178</v>
      </c>
      <c r="D454" t="s">
        <v>552</v>
      </c>
      <c r="E454">
        <v>53397232964</v>
      </c>
      <c r="F454">
        <v>625752</v>
      </c>
      <c r="G454">
        <v>49624074593</v>
      </c>
      <c r="H454" t="s">
        <v>35</v>
      </c>
      <c r="I454" s="36">
        <v>2874</v>
      </c>
      <c r="J454" s="36">
        <v>2874</v>
      </c>
      <c r="K454" s="85">
        <v>0</v>
      </c>
      <c r="L454" s="36">
        <v>239.5</v>
      </c>
      <c r="M454" s="36">
        <v>0</v>
      </c>
      <c r="N454" s="36">
        <v>4.09</v>
      </c>
      <c r="O454" s="36">
        <v>235.41</v>
      </c>
      <c r="P454" t="s">
        <v>127</v>
      </c>
      <c r="Q454" t="s">
        <v>111</v>
      </c>
      <c r="R454" t="s">
        <v>111</v>
      </c>
      <c r="S454" s="1">
        <v>46044</v>
      </c>
      <c r="T454" s="1">
        <v>46044</v>
      </c>
      <c r="U454" s="1">
        <v>46043</v>
      </c>
      <c r="V454" s="1">
        <v>46408</v>
      </c>
      <c r="W454" t="s">
        <v>38</v>
      </c>
      <c r="X454">
        <v>12</v>
      </c>
      <c r="Y454" t="s">
        <v>49</v>
      </c>
      <c r="Z454" t="s">
        <v>81</v>
      </c>
      <c r="AA454" t="s">
        <v>112</v>
      </c>
      <c r="AB454">
        <v>12</v>
      </c>
      <c r="AC454" t="s">
        <v>113</v>
      </c>
      <c r="AD454" t="s">
        <v>140</v>
      </c>
      <c r="AE454" t="s">
        <v>46</v>
      </c>
      <c r="AF454" t="s">
        <v>119</v>
      </c>
      <c r="AG454" t="str">
        <f t="shared" si="7"/>
        <v>CC 12x</v>
      </c>
      <c r="AH454" t="str">
        <f>IF(AND(SUMIF(E:E,E454,I:I)&gt;=400000,Q454="B2G"),"n","")</f>
        <v/>
      </c>
    </row>
    <row r="455" spans="1:34">
      <c r="A455">
        <v>2026</v>
      </c>
      <c r="B455">
        <v>1</v>
      </c>
      <c r="C455" s="83">
        <v>49760701067</v>
      </c>
      <c r="D455" t="s">
        <v>553</v>
      </c>
      <c r="E455">
        <v>53403636024</v>
      </c>
      <c r="F455">
        <v>635517</v>
      </c>
      <c r="G455">
        <v>48545438618</v>
      </c>
      <c r="H455" t="s">
        <v>35</v>
      </c>
      <c r="I455" s="36">
        <v>3726</v>
      </c>
      <c r="J455" s="36">
        <v>3726</v>
      </c>
      <c r="K455" s="85">
        <v>0</v>
      </c>
      <c r="L455" s="36">
        <v>310.5</v>
      </c>
      <c r="M455" s="36">
        <v>310.5</v>
      </c>
      <c r="N455" s="36">
        <v>0</v>
      </c>
      <c r="O455" s="36">
        <v>0</v>
      </c>
      <c r="P455" t="s">
        <v>511</v>
      </c>
      <c r="Q455" t="s">
        <v>300</v>
      </c>
      <c r="R455" t="s">
        <v>300</v>
      </c>
      <c r="S455" s="1">
        <v>46030</v>
      </c>
      <c r="T455" s="1">
        <v>46030</v>
      </c>
      <c r="V455" s="1">
        <v>46395</v>
      </c>
      <c r="W455" t="s">
        <v>38</v>
      </c>
      <c r="X455">
        <v>12</v>
      </c>
      <c r="Y455" t="s">
        <v>49</v>
      </c>
      <c r="AA455" t="s">
        <v>122</v>
      </c>
      <c r="AB455">
        <v>12</v>
      </c>
      <c r="AC455" t="s">
        <v>301</v>
      </c>
      <c r="AD455" t="s">
        <v>160</v>
      </c>
      <c r="AE455" t="s">
        <v>43</v>
      </c>
      <c r="AF455" t="s">
        <v>44</v>
      </c>
      <c r="AG455" t="str">
        <f t="shared" si="7"/>
        <v>Recorrente</v>
      </c>
      <c r="AH455" t="str">
        <f>IF(AND(SUMIF(E:E,E455,I:I)&gt;=400000,Q455="B2G"),"n","")</f>
        <v/>
      </c>
    </row>
    <row r="456" spans="1:34">
      <c r="A456">
        <v>2026</v>
      </c>
      <c r="B456">
        <v>1</v>
      </c>
      <c r="C456" s="83">
        <v>197928122903</v>
      </c>
      <c r="D456" t="s">
        <v>554</v>
      </c>
      <c r="E456">
        <v>53408963616</v>
      </c>
      <c r="F456">
        <v>635684</v>
      </c>
      <c r="G456">
        <v>49677257817</v>
      </c>
      <c r="H456" t="s">
        <v>35</v>
      </c>
      <c r="I456" s="36">
        <v>4932.96</v>
      </c>
      <c r="J456" s="36">
        <v>866.25</v>
      </c>
      <c r="K456" s="85">
        <v>4066.71</v>
      </c>
      <c r="L456" s="36">
        <v>72.19</v>
      </c>
      <c r="M456" s="36">
        <v>0</v>
      </c>
      <c r="N456" s="36">
        <v>72.19</v>
      </c>
      <c r="O456" s="36">
        <v>0</v>
      </c>
      <c r="P456" t="s">
        <v>323</v>
      </c>
      <c r="Q456" t="s">
        <v>191</v>
      </c>
      <c r="R456" t="s">
        <v>191</v>
      </c>
      <c r="S456" s="1">
        <v>46044</v>
      </c>
      <c r="T456" s="1">
        <v>46044</v>
      </c>
      <c r="V456" s="1">
        <v>46409</v>
      </c>
      <c r="W456" t="s">
        <v>38</v>
      </c>
      <c r="Y456" t="s">
        <v>49</v>
      </c>
      <c r="AA456" t="s">
        <v>122</v>
      </c>
      <c r="AB456">
        <v>12</v>
      </c>
      <c r="AC456" t="s">
        <v>192</v>
      </c>
      <c r="AD456" t="s">
        <v>85</v>
      </c>
      <c r="AE456" t="s">
        <v>46</v>
      </c>
      <c r="AF456" t="s">
        <v>44</v>
      </c>
      <c r="AG456" t="str">
        <f t="shared" si="7"/>
        <v>Recorrente</v>
      </c>
      <c r="AH456" t="str">
        <f>IF(AND(SUMIF(E:E,E456,I:I)&gt;=400000,Q456="B2G"),"n","")</f>
        <v/>
      </c>
    </row>
    <row r="457" spans="1:34">
      <c r="A457">
        <v>2026</v>
      </c>
      <c r="B457">
        <v>1</v>
      </c>
      <c r="C457" s="83">
        <v>197928122903</v>
      </c>
      <c r="D457" t="s">
        <v>554</v>
      </c>
      <c r="E457">
        <v>53408963616</v>
      </c>
      <c r="F457">
        <v>635684</v>
      </c>
      <c r="G457">
        <v>49677257818</v>
      </c>
      <c r="H457" t="s">
        <v>35</v>
      </c>
      <c r="I457" s="36">
        <v>585</v>
      </c>
      <c r="J457" s="36">
        <v>102.73</v>
      </c>
      <c r="K457" s="85">
        <v>482.27</v>
      </c>
      <c r="L457" s="36">
        <v>8.56</v>
      </c>
      <c r="M457" s="36">
        <v>0</v>
      </c>
      <c r="N457" s="36">
        <v>8.56</v>
      </c>
      <c r="O457" s="36">
        <v>0</v>
      </c>
      <c r="P457" t="s">
        <v>323</v>
      </c>
      <c r="Q457" t="s">
        <v>191</v>
      </c>
      <c r="R457" t="s">
        <v>191</v>
      </c>
      <c r="S457" s="1">
        <v>46044</v>
      </c>
      <c r="T457" s="1">
        <v>46044</v>
      </c>
      <c r="V457" s="1">
        <v>46409</v>
      </c>
      <c r="W457" t="s">
        <v>38</v>
      </c>
      <c r="Y457" t="s">
        <v>49</v>
      </c>
      <c r="AA457" t="s">
        <v>122</v>
      </c>
      <c r="AB457">
        <v>12</v>
      </c>
      <c r="AC457" t="s">
        <v>192</v>
      </c>
      <c r="AD457" t="s">
        <v>243</v>
      </c>
      <c r="AE457" t="s">
        <v>95</v>
      </c>
      <c r="AF457" t="s">
        <v>244</v>
      </c>
      <c r="AG457" t="str">
        <f t="shared" si="7"/>
        <v>Recorrente</v>
      </c>
      <c r="AH457" t="str">
        <f>IF(AND(SUMIF(E:E,E457,I:I)&gt;=400000,Q457="B2G"),"n","")</f>
        <v/>
      </c>
    </row>
    <row r="458" spans="1:34">
      <c r="A458">
        <v>2026</v>
      </c>
      <c r="B458">
        <v>1</v>
      </c>
      <c r="C458" s="83">
        <v>197928122903</v>
      </c>
      <c r="D458" t="s">
        <v>554</v>
      </c>
      <c r="E458">
        <v>53408963616</v>
      </c>
      <c r="F458">
        <v>635684</v>
      </c>
      <c r="G458">
        <v>49677257819</v>
      </c>
      <c r="H458" t="s">
        <v>35</v>
      </c>
      <c r="I458" s="36">
        <v>4314.6000000000004</v>
      </c>
      <c r="J458" s="36">
        <v>757.68</v>
      </c>
      <c r="K458" s="85">
        <v>3556.92</v>
      </c>
      <c r="L458" s="36">
        <v>63.14</v>
      </c>
      <c r="M458" s="36">
        <v>0</v>
      </c>
      <c r="N458" s="36">
        <v>63.14</v>
      </c>
      <c r="O458" s="36">
        <v>0</v>
      </c>
      <c r="P458" t="s">
        <v>323</v>
      </c>
      <c r="Q458" t="s">
        <v>191</v>
      </c>
      <c r="R458" t="s">
        <v>191</v>
      </c>
      <c r="S458" s="1">
        <v>46044</v>
      </c>
      <c r="T458" s="1">
        <v>46044</v>
      </c>
      <c r="V458" s="1">
        <v>46409</v>
      </c>
      <c r="W458" t="s">
        <v>38</v>
      </c>
      <c r="Y458" t="s">
        <v>49</v>
      </c>
      <c r="AA458" t="s">
        <v>122</v>
      </c>
      <c r="AB458">
        <v>12</v>
      </c>
      <c r="AC458" t="s">
        <v>192</v>
      </c>
      <c r="AD458" t="s">
        <v>84</v>
      </c>
      <c r="AE458" t="s">
        <v>43</v>
      </c>
      <c r="AF458" t="s">
        <v>44</v>
      </c>
      <c r="AG458" t="str">
        <f t="shared" si="7"/>
        <v>Recorrente</v>
      </c>
      <c r="AH458" t="str">
        <f>IF(AND(SUMIF(E:E,E458,I:I)&gt;=400000,Q458="B2G"),"n","")</f>
        <v/>
      </c>
    </row>
    <row r="459" spans="1:34">
      <c r="A459">
        <v>2026</v>
      </c>
      <c r="B459">
        <v>1</v>
      </c>
      <c r="C459" s="83">
        <v>191363414678</v>
      </c>
      <c r="D459" t="s">
        <v>555</v>
      </c>
      <c r="E459">
        <v>53409437770</v>
      </c>
      <c r="F459">
        <v>635524</v>
      </c>
      <c r="G459">
        <v>48546204579</v>
      </c>
      <c r="H459" t="s">
        <v>35</v>
      </c>
      <c r="I459" s="36">
        <v>2586.6</v>
      </c>
      <c r="J459" s="36">
        <v>2586.6</v>
      </c>
      <c r="K459" s="85">
        <v>0</v>
      </c>
      <c r="L459" s="36">
        <v>215.55</v>
      </c>
      <c r="M459" s="36">
        <v>215.55</v>
      </c>
      <c r="N459" s="36">
        <v>0</v>
      </c>
      <c r="O459" s="36">
        <v>0</v>
      </c>
      <c r="P459" t="s">
        <v>313</v>
      </c>
      <c r="Q459" t="s">
        <v>314</v>
      </c>
      <c r="R459" t="s">
        <v>314</v>
      </c>
      <c r="S459" s="1">
        <v>46030</v>
      </c>
      <c r="T459" s="1">
        <v>46030</v>
      </c>
      <c r="V459" s="1">
        <v>46395</v>
      </c>
      <c r="W459" t="s">
        <v>38</v>
      </c>
      <c r="X459">
        <v>12</v>
      </c>
      <c r="Y459" t="s">
        <v>49</v>
      </c>
      <c r="AA459" t="s">
        <v>122</v>
      </c>
      <c r="AB459">
        <v>12</v>
      </c>
      <c r="AC459" t="s">
        <v>315</v>
      </c>
      <c r="AD459" t="s">
        <v>118</v>
      </c>
      <c r="AE459" t="s">
        <v>43</v>
      </c>
      <c r="AF459" t="s">
        <v>119</v>
      </c>
      <c r="AG459" t="str">
        <f t="shared" si="7"/>
        <v>Recorrente</v>
      </c>
      <c r="AH459" t="str">
        <f>IF(AND(SUMIF(E:E,E459,I:I)&gt;=400000,Q459="B2G"),"n","")</f>
        <v/>
      </c>
    </row>
    <row r="460" spans="1:34">
      <c r="A460">
        <v>2026</v>
      </c>
      <c r="B460">
        <v>1</v>
      </c>
      <c r="C460" s="83">
        <v>42791685943</v>
      </c>
      <c r="D460" t="s">
        <v>556</v>
      </c>
      <c r="E460">
        <v>53412625723</v>
      </c>
      <c r="F460">
        <v>635508</v>
      </c>
      <c r="G460">
        <v>48500311833</v>
      </c>
      <c r="H460" t="s">
        <v>35</v>
      </c>
      <c r="I460" s="36">
        <v>5400.84</v>
      </c>
      <c r="J460" s="36">
        <v>5400.9</v>
      </c>
      <c r="K460" s="85">
        <v>0</v>
      </c>
      <c r="L460" s="36">
        <v>450.08</v>
      </c>
      <c r="M460" s="36">
        <v>0</v>
      </c>
      <c r="N460" s="36">
        <v>168.95</v>
      </c>
      <c r="O460" s="36">
        <v>281.12640249999998</v>
      </c>
      <c r="P460" t="s">
        <v>190</v>
      </c>
      <c r="Q460" t="s">
        <v>191</v>
      </c>
      <c r="R460" t="s">
        <v>191</v>
      </c>
      <c r="S460" s="1">
        <v>46029</v>
      </c>
      <c r="T460" s="1">
        <v>46029</v>
      </c>
      <c r="V460" s="1">
        <v>46394</v>
      </c>
      <c r="W460" t="s">
        <v>38</v>
      </c>
      <c r="Y460" t="s">
        <v>49</v>
      </c>
      <c r="AA460" t="s">
        <v>112</v>
      </c>
      <c r="AB460">
        <v>12</v>
      </c>
      <c r="AC460" t="s">
        <v>192</v>
      </c>
      <c r="AD460" t="s">
        <v>149</v>
      </c>
      <c r="AE460" t="s">
        <v>43</v>
      </c>
      <c r="AF460" t="s">
        <v>96</v>
      </c>
      <c r="AG460" t="str">
        <f t="shared" si="7"/>
        <v>CC 12x</v>
      </c>
      <c r="AH460" t="str">
        <f>IF(AND(SUMIF(E:E,E460,I:I)&gt;=400000,Q460="B2G"),"n","")</f>
        <v/>
      </c>
    </row>
    <row r="461" spans="1:34">
      <c r="A461">
        <v>2026</v>
      </c>
      <c r="B461">
        <v>1</v>
      </c>
      <c r="C461" s="83">
        <v>42791685943</v>
      </c>
      <c r="D461" t="s">
        <v>556</v>
      </c>
      <c r="E461">
        <v>53412625723</v>
      </c>
      <c r="F461">
        <v>635508</v>
      </c>
      <c r="G461">
        <v>48500311834</v>
      </c>
      <c r="H461" t="s">
        <v>35</v>
      </c>
      <c r="I461" s="36">
        <v>4380.84</v>
      </c>
      <c r="J461" s="36">
        <v>4380.8999999999996</v>
      </c>
      <c r="K461" s="85">
        <v>0</v>
      </c>
      <c r="L461" s="36">
        <v>365.08</v>
      </c>
      <c r="M461" s="36">
        <v>0</v>
      </c>
      <c r="N461" s="36">
        <v>137.04</v>
      </c>
      <c r="O461" s="36">
        <v>228.03359750000001</v>
      </c>
      <c r="P461" t="s">
        <v>190</v>
      </c>
      <c r="Q461" t="s">
        <v>191</v>
      </c>
      <c r="R461" t="s">
        <v>191</v>
      </c>
      <c r="S461" s="1">
        <v>46029</v>
      </c>
      <c r="T461" s="1">
        <v>46029</v>
      </c>
      <c r="V461" s="1">
        <v>46394</v>
      </c>
      <c r="W461" t="s">
        <v>38</v>
      </c>
      <c r="Y461" t="s">
        <v>49</v>
      </c>
      <c r="AA461" t="s">
        <v>112</v>
      </c>
      <c r="AB461">
        <v>12</v>
      </c>
      <c r="AC461" t="s">
        <v>192</v>
      </c>
      <c r="AD461" t="s">
        <v>163</v>
      </c>
      <c r="AE461" t="s">
        <v>43</v>
      </c>
      <c r="AF461" t="s">
        <v>96</v>
      </c>
      <c r="AG461" t="str">
        <f t="shared" si="7"/>
        <v>CC 12x</v>
      </c>
      <c r="AH461" t="str">
        <f>IF(AND(SUMIF(E:E,E461,I:I)&gt;=400000,Q461="B2G"),"n","")</f>
        <v/>
      </c>
    </row>
    <row r="462" spans="1:34">
      <c r="A462">
        <v>2026</v>
      </c>
      <c r="B462">
        <v>1</v>
      </c>
      <c r="C462" s="83">
        <v>19485975341</v>
      </c>
      <c r="D462" t="s">
        <v>557</v>
      </c>
      <c r="E462">
        <v>53416586167</v>
      </c>
      <c r="F462">
        <v>602203</v>
      </c>
      <c r="G462">
        <v>48560939327</v>
      </c>
      <c r="H462" t="s">
        <v>35</v>
      </c>
      <c r="I462" s="36">
        <v>780.48</v>
      </c>
      <c r="J462" s="36">
        <v>966.36</v>
      </c>
      <c r="K462" s="85">
        <v>0</v>
      </c>
      <c r="L462" s="36">
        <v>80.53</v>
      </c>
      <c r="M462" s="36">
        <v>0</v>
      </c>
      <c r="N462" s="36">
        <v>80.53</v>
      </c>
      <c r="O462" s="36">
        <v>0</v>
      </c>
      <c r="P462" t="s">
        <v>520</v>
      </c>
      <c r="Q462" t="s">
        <v>191</v>
      </c>
      <c r="R462" t="s">
        <v>191</v>
      </c>
      <c r="S462" s="1">
        <v>46031</v>
      </c>
      <c r="T462" s="1">
        <v>46031</v>
      </c>
      <c r="V462" s="1">
        <v>46326</v>
      </c>
      <c r="W462" t="s">
        <v>38</v>
      </c>
      <c r="X462">
        <v>9</v>
      </c>
      <c r="Y462" t="s">
        <v>49</v>
      </c>
      <c r="Z462" t="s">
        <v>324</v>
      </c>
      <c r="AA462" t="s">
        <v>122</v>
      </c>
      <c r="AB462">
        <v>9</v>
      </c>
      <c r="AC462" t="s">
        <v>192</v>
      </c>
      <c r="AD462" t="s">
        <v>550</v>
      </c>
      <c r="AE462" t="s">
        <v>363</v>
      </c>
      <c r="AF462" t="s">
        <v>59</v>
      </c>
      <c r="AG462" t="str">
        <f t="shared" si="7"/>
        <v>Recorrente</v>
      </c>
      <c r="AH462" t="str">
        <f>IF(AND(SUMIF(E:E,E462,I:I)&gt;=400000,Q462="B2G"),"n","")</f>
        <v/>
      </c>
    </row>
    <row r="463" spans="1:34">
      <c r="A463">
        <v>2026</v>
      </c>
      <c r="B463">
        <v>1</v>
      </c>
      <c r="C463" s="83">
        <v>123358526751</v>
      </c>
      <c r="D463" t="s">
        <v>558</v>
      </c>
      <c r="E463">
        <v>53423792907</v>
      </c>
      <c r="F463">
        <v>635523</v>
      </c>
      <c r="G463">
        <v>48560804409</v>
      </c>
      <c r="H463" t="s">
        <v>35</v>
      </c>
      <c r="I463" s="36">
        <v>5397.24</v>
      </c>
      <c r="J463" s="36">
        <v>5397.25</v>
      </c>
      <c r="K463" s="85">
        <v>0</v>
      </c>
      <c r="L463" s="36">
        <v>449.77</v>
      </c>
      <c r="M463" s="36">
        <v>449.77</v>
      </c>
      <c r="N463" s="36">
        <v>0</v>
      </c>
      <c r="O463" s="36">
        <v>0</v>
      </c>
      <c r="P463" t="s">
        <v>506</v>
      </c>
      <c r="Q463" t="s">
        <v>300</v>
      </c>
      <c r="R463" t="s">
        <v>300</v>
      </c>
      <c r="S463" s="1">
        <v>46030</v>
      </c>
      <c r="T463" s="1">
        <v>46030</v>
      </c>
      <c r="V463" s="1">
        <v>46395</v>
      </c>
      <c r="W463" t="s">
        <v>38</v>
      </c>
      <c r="X463">
        <v>12</v>
      </c>
      <c r="Y463" t="s">
        <v>49</v>
      </c>
      <c r="AA463" t="s">
        <v>122</v>
      </c>
      <c r="AB463">
        <v>12</v>
      </c>
      <c r="AC463" t="s">
        <v>301</v>
      </c>
      <c r="AD463" t="s">
        <v>85</v>
      </c>
      <c r="AE463" t="s">
        <v>46</v>
      </c>
      <c r="AF463" t="s">
        <v>44</v>
      </c>
      <c r="AG463" t="str">
        <f t="shared" si="7"/>
        <v>Recorrente</v>
      </c>
      <c r="AH463" t="str">
        <f>IF(AND(SUMIF(E:E,E463,I:I)&gt;=400000,Q463="B2G"),"n","")</f>
        <v/>
      </c>
    </row>
    <row r="464" spans="1:34">
      <c r="A464">
        <v>2026</v>
      </c>
      <c r="B464">
        <v>1</v>
      </c>
      <c r="C464" s="83">
        <v>2250345</v>
      </c>
      <c r="D464" t="s">
        <v>559</v>
      </c>
      <c r="E464">
        <v>53426562871</v>
      </c>
      <c r="F464">
        <v>635536</v>
      </c>
      <c r="G464">
        <v>48671101091</v>
      </c>
      <c r="H464" t="s">
        <v>35</v>
      </c>
      <c r="I464" s="36">
        <v>3519.84</v>
      </c>
      <c r="J464" s="36">
        <v>3519.81</v>
      </c>
      <c r="K464" s="85">
        <v>0.03</v>
      </c>
      <c r="L464" s="36">
        <v>293.32</v>
      </c>
      <c r="M464" s="36">
        <v>0</v>
      </c>
      <c r="N464" s="36">
        <v>293.32</v>
      </c>
      <c r="O464" s="36">
        <v>0</v>
      </c>
      <c r="P464" t="s">
        <v>520</v>
      </c>
      <c r="Q464" t="s">
        <v>191</v>
      </c>
      <c r="R464" t="s">
        <v>191</v>
      </c>
      <c r="S464" s="1">
        <v>46031</v>
      </c>
      <c r="T464" s="1">
        <v>46031</v>
      </c>
      <c r="V464" s="1">
        <v>46396</v>
      </c>
      <c r="W464" t="s">
        <v>38</v>
      </c>
      <c r="X464">
        <v>12</v>
      </c>
      <c r="Y464" t="s">
        <v>49</v>
      </c>
      <c r="AA464" t="s">
        <v>112</v>
      </c>
      <c r="AB464">
        <v>12</v>
      </c>
      <c r="AC464" t="s">
        <v>192</v>
      </c>
      <c r="AD464" t="s">
        <v>114</v>
      </c>
      <c r="AE464" t="s">
        <v>43</v>
      </c>
      <c r="AF464" t="s">
        <v>44</v>
      </c>
      <c r="AG464" t="str">
        <f t="shared" si="7"/>
        <v>CC 12x</v>
      </c>
      <c r="AH464" t="str">
        <f>IF(AND(SUMIF(E:E,E464,I:I)&gt;=400000,Q464="B2G"),"n","")</f>
        <v/>
      </c>
    </row>
    <row r="465" spans="1:34">
      <c r="A465">
        <v>2026</v>
      </c>
      <c r="B465">
        <v>1</v>
      </c>
      <c r="C465" s="83">
        <v>2248522</v>
      </c>
      <c r="D465" t="s">
        <v>560</v>
      </c>
      <c r="E465">
        <v>53427373621</v>
      </c>
      <c r="F465">
        <v>625333</v>
      </c>
      <c r="G465">
        <v>50060363546</v>
      </c>
      <c r="H465" t="s">
        <v>35</v>
      </c>
      <c r="I465" s="36">
        <v>2730.24</v>
      </c>
      <c r="J465" s="36">
        <v>2730.24</v>
      </c>
      <c r="K465" s="85">
        <v>0</v>
      </c>
      <c r="L465" s="36">
        <v>227.52</v>
      </c>
      <c r="M465" s="36">
        <v>0</v>
      </c>
      <c r="N465" s="36">
        <v>15.02</v>
      </c>
      <c r="O465" s="36">
        <v>212.51</v>
      </c>
      <c r="P465" t="s">
        <v>121</v>
      </c>
      <c r="Q465" t="s">
        <v>111</v>
      </c>
      <c r="R465" t="s">
        <v>111</v>
      </c>
      <c r="S465" s="1">
        <v>46050</v>
      </c>
      <c r="T465" s="1">
        <v>46050</v>
      </c>
      <c r="U465" s="1">
        <v>46030</v>
      </c>
      <c r="V465" s="1">
        <v>46415</v>
      </c>
      <c r="W465" t="s">
        <v>38</v>
      </c>
      <c r="X465">
        <v>12</v>
      </c>
      <c r="Y465" t="s">
        <v>49</v>
      </c>
      <c r="Z465" t="s">
        <v>81</v>
      </c>
      <c r="AA465" t="s">
        <v>122</v>
      </c>
      <c r="AB465">
        <v>12</v>
      </c>
      <c r="AC465" t="s">
        <v>113</v>
      </c>
      <c r="AD465" t="s">
        <v>140</v>
      </c>
      <c r="AE465" t="s">
        <v>46</v>
      </c>
      <c r="AF465" t="s">
        <v>119</v>
      </c>
      <c r="AG465" t="str">
        <f t="shared" si="7"/>
        <v>Recorrente</v>
      </c>
      <c r="AH465" t="str">
        <f>IF(AND(SUMIF(E:E,E465,I:I)&gt;=400000,Q465="B2G"),"n","")</f>
        <v/>
      </c>
    </row>
    <row r="466" spans="1:34">
      <c r="A466">
        <v>2026</v>
      </c>
      <c r="B466">
        <v>1</v>
      </c>
      <c r="C466" s="83">
        <v>2071339</v>
      </c>
      <c r="D466" t="s">
        <v>561</v>
      </c>
      <c r="E466">
        <v>53434730022</v>
      </c>
      <c r="F466">
        <v>635515</v>
      </c>
      <c r="G466">
        <v>48546053743</v>
      </c>
      <c r="H466" t="s">
        <v>35</v>
      </c>
      <c r="I466" s="36">
        <v>2624.04</v>
      </c>
      <c r="J466" s="36">
        <v>2624.04</v>
      </c>
      <c r="K466" s="85">
        <v>0</v>
      </c>
      <c r="L466" s="36">
        <v>218.67</v>
      </c>
      <c r="M466" s="36">
        <v>218.67</v>
      </c>
      <c r="N466" s="36">
        <v>0</v>
      </c>
      <c r="O466" s="36">
        <v>0</v>
      </c>
      <c r="P466" t="s">
        <v>562</v>
      </c>
      <c r="Q466" t="s">
        <v>498</v>
      </c>
      <c r="R466" t="s">
        <v>498</v>
      </c>
      <c r="S466" s="1">
        <v>46030</v>
      </c>
      <c r="T466" s="1">
        <v>46030</v>
      </c>
      <c r="V466" s="1">
        <v>46395</v>
      </c>
      <c r="W466" t="s">
        <v>38</v>
      </c>
      <c r="X466">
        <v>12</v>
      </c>
      <c r="Y466" t="s">
        <v>49</v>
      </c>
      <c r="AA466" t="s">
        <v>112</v>
      </c>
      <c r="AB466">
        <v>10</v>
      </c>
      <c r="AC466" t="s">
        <v>499</v>
      </c>
      <c r="AD466" t="s">
        <v>140</v>
      </c>
      <c r="AE466" t="s">
        <v>46</v>
      </c>
      <c r="AF466" t="s">
        <v>119</v>
      </c>
      <c r="AG466" t="str">
        <f t="shared" si="7"/>
        <v>CC 12x</v>
      </c>
      <c r="AH466" t="str">
        <f>IF(AND(SUMIF(E:E,E466,I:I)&gt;=400000,Q466="B2G"),"n","")</f>
        <v/>
      </c>
    </row>
    <row r="467" spans="1:34">
      <c r="A467">
        <v>2026</v>
      </c>
      <c r="B467">
        <v>1</v>
      </c>
      <c r="C467" s="83">
        <v>28510011708</v>
      </c>
      <c r="D467" t="s">
        <v>563</v>
      </c>
      <c r="E467">
        <v>53441938532</v>
      </c>
      <c r="F467">
        <v>625929</v>
      </c>
      <c r="G467">
        <v>50513981620</v>
      </c>
      <c r="H467" t="s">
        <v>35</v>
      </c>
      <c r="I467" s="36">
        <v>27220.47</v>
      </c>
      <c r="J467" s="36">
        <v>27220.47</v>
      </c>
      <c r="K467" s="85">
        <v>0</v>
      </c>
      <c r="L467" s="36">
        <v>2268.37</v>
      </c>
      <c r="M467" s="36">
        <v>0</v>
      </c>
      <c r="N467" s="36">
        <v>92.4</v>
      </c>
      <c r="O467" s="36">
        <v>2175.9749999999999</v>
      </c>
      <c r="P467" t="s">
        <v>78</v>
      </c>
      <c r="Q467" t="s">
        <v>79</v>
      </c>
      <c r="R467" t="s">
        <v>80</v>
      </c>
      <c r="S467" s="1">
        <v>46052</v>
      </c>
      <c r="T467" s="1">
        <v>46052</v>
      </c>
      <c r="U467" s="1">
        <v>46050</v>
      </c>
      <c r="V467" s="1">
        <v>46415</v>
      </c>
      <c r="W467" t="s">
        <v>38</v>
      </c>
      <c r="X467">
        <v>12</v>
      </c>
      <c r="Y467" t="s">
        <v>49</v>
      </c>
      <c r="Z467" t="s">
        <v>76</v>
      </c>
      <c r="AA467" t="s">
        <v>40</v>
      </c>
      <c r="AB467">
        <v>1</v>
      </c>
      <c r="AC467" t="s">
        <v>83</v>
      </c>
      <c r="AD467" t="s">
        <v>70</v>
      </c>
      <c r="AE467" t="s">
        <v>43</v>
      </c>
      <c r="AF467" t="s">
        <v>47</v>
      </c>
      <c r="AG467" t="str">
        <f t="shared" si="7"/>
        <v>À Vista</v>
      </c>
      <c r="AH467" t="str">
        <f>IF(AND(SUMIF(E:E,E467,I:I)&gt;=400000,Q467="B2G"),"n","")</f>
        <v/>
      </c>
    </row>
    <row r="468" spans="1:34">
      <c r="A468">
        <v>2026</v>
      </c>
      <c r="B468">
        <v>1</v>
      </c>
      <c r="C468" s="83">
        <v>28510011708</v>
      </c>
      <c r="D468" t="s">
        <v>563</v>
      </c>
      <c r="E468">
        <v>53441938532</v>
      </c>
      <c r="F468">
        <v>625929</v>
      </c>
      <c r="G468">
        <v>50513981621</v>
      </c>
      <c r="H468" t="s">
        <v>35</v>
      </c>
      <c r="I468" s="36">
        <v>27220.47</v>
      </c>
      <c r="J468" s="36">
        <v>27220.47</v>
      </c>
      <c r="K468" s="85">
        <v>0</v>
      </c>
      <c r="L468" s="36">
        <v>2268.37</v>
      </c>
      <c r="M468" s="36">
        <v>0</v>
      </c>
      <c r="N468" s="36">
        <v>92.4</v>
      </c>
      <c r="O468" s="36">
        <v>2175.9749999999999</v>
      </c>
      <c r="P468" t="s">
        <v>78</v>
      </c>
      <c r="Q468" t="s">
        <v>79</v>
      </c>
      <c r="R468" t="s">
        <v>80</v>
      </c>
      <c r="S468" s="1">
        <v>46052</v>
      </c>
      <c r="T468" s="1">
        <v>46052</v>
      </c>
      <c r="U468" s="1">
        <v>46050</v>
      </c>
      <c r="V468" s="1">
        <v>46415</v>
      </c>
      <c r="W468" t="s">
        <v>38</v>
      </c>
      <c r="X468">
        <v>12</v>
      </c>
      <c r="Y468" t="s">
        <v>49</v>
      </c>
      <c r="Z468" t="s">
        <v>76</v>
      </c>
      <c r="AA468" t="s">
        <v>40</v>
      </c>
      <c r="AB468">
        <v>1</v>
      </c>
      <c r="AC468" t="s">
        <v>83</v>
      </c>
      <c r="AD468" t="s">
        <v>73</v>
      </c>
      <c r="AE468" t="s">
        <v>51</v>
      </c>
      <c r="AF468" t="s">
        <v>47</v>
      </c>
      <c r="AG468" t="str">
        <f t="shared" si="7"/>
        <v>À Vista</v>
      </c>
      <c r="AH468" t="str">
        <f>IF(AND(SUMIF(E:E,E468,I:I)&gt;=400000,Q468="B2G"),"n","")</f>
        <v/>
      </c>
    </row>
    <row r="469" spans="1:34">
      <c r="A469">
        <v>2026</v>
      </c>
      <c r="B469">
        <v>1</v>
      </c>
      <c r="C469" s="83">
        <v>28510011708</v>
      </c>
      <c r="D469" t="s">
        <v>563</v>
      </c>
      <c r="E469">
        <v>53441938532</v>
      </c>
      <c r="F469">
        <v>625929</v>
      </c>
      <c r="G469">
        <v>50513981622</v>
      </c>
      <c r="H469" t="s">
        <v>35</v>
      </c>
      <c r="I469" s="36">
        <v>27220.47</v>
      </c>
      <c r="J469" s="36">
        <v>27220.47</v>
      </c>
      <c r="K469" s="85">
        <v>0</v>
      </c>
      <c r="L469" s="36">
        <v>2268.37</v>
      </c>
      <c r="M469" s="36">
        <v>0</v>
      </c>
      <c r="N469" s="36">
        <v>92.4</v>
      </c>
      <c r="O469" s="36">
        <v>2175.9749999999999</v>
      </c>
      <c r="P469" t="s">
        <v>78</v>
      </c>
      <c r="Q469" t="s">
        <v>79</v>
      </c>
      <c r="R469" t="s">
        <v>80</v>
      </c>
      <c r="S469" s="1">
        <v>46052</v>
      </c>
      <c r="T469" s="1">
        <v>46052</v>
      </c>
      <c r="U469" s="1">
        <v>46050</v>
      </c>
      <c r="V469" s="1">
        <v>46415</v>
      </c>
      <c r="W469" t="s">
        <v>38</v>
      </c>
      <c r="X469">
        <v>12</v>
      </c>
      <c r="Y469" t="s">
        <v>49</v>
      </c>
      <c r="Z469" t="s">
        <v>76</v>
      </c>
      <c r="AA469" t="s">
        <v>40</v>
      </c>
      <c r="AB469">
        <v>1</v>
      </c>
      <c r="AC469" t="s">
        <v>83</v>
      </c>
      <c r="AD469" t="s">
        <v>564</v>
      </c>
      <c r="AE469" t="s">
        <v>257</v>
      </c>
      <c r="AF469" t="s">
        <v>59</v>
      </c>
      <c r="AG469" t="str">
        <f t="shared" si="7"/>
        <v>À Vista</v>
      </c>
      <c r="AH469" t="str">
        <f>IF(AND(SUMIF(E:E,E469,I:I)&gt;=400000,Q469="B2G"),"n","")</f>
        <v/>
      </c>
    </row>
    <row r="470" spans="1:34">
      <c r="A470">
        <v>2026</v>
      </c>
      <c r="B470">
        <v>1</v>
      </c>
      <c r="C470" s="83">
        <v>28510011708</v>
      </c>
      <c r="D470" t="s">
        <v>563</v>
      </c>
      <c r="E470">
        <v>53441938532</v>
      </c>
      <c r="F470">
        <v>625929</v>
      </c>
      <c r="G470">
        <v>50513981623</v>
      </c>
      <c r="H470" t="s">
        <v>35</v>
      </c>
      <c r="I470" s="36">
        <v>27220.47</v>
      </c>
      <c r="J470" s="36">
        <v>27220.47</v>
      </c>
      <c r="K470" s="85">
        <v>0</v>
      </c>
      <c r="L470" s="36">
        <v>2268.37</v>
      </c>
      <c r="M470" s="36">
        <v>0</v>
      </c>
      <c r="N470" s="36">
        <v>92.4</v>
      </c>
      <c r="O470" s="36">
        <v>2175.9749999999999</v>
      </c>
      <c r="P470" t="s">
        <v>78</v>
      </c>
      <c r="Q470" t="s">
        <v>79</v>
      </c>
      <c r="R470" t="s">
        <v>80</v>
      </c>
      <c r="S470" s="1">
        <v>46052</v>
      </c>
      <c r="T470" s="1">
        <v>46052</v>
      </c>
      <c r="U470" s="1">
        <v>46050</v>
      </c>
      <c r="V470" s="1">
        <v>46415</v>
      </c>
      <c r="W470" t="s">
        <v>38</v>
      </c>
      <c r="X470">
        <v>12</v>
      </c>
      <c r="Y470" t="s">
        <v>49</v>
      </c>
      <c r="Z470" t="s">
        <v>76</v>
      </c>
      <c r="AA470" t="s">
        <v>40</v>
      </c>
      <c r="AB470">
        <v>1</v>
      </c>
      <c r="AC470" t="s">
        <v>83</v>
      </c>
      <c r="AD470" t="s">
        <v>100</v>
      </c>
      <c r="AE470" t="s">
        <v>46</v>
      </c>
      <c r="AF470" t="s">
        <v>47</v>
      </c>
      <c r="AG470" t="str">
        <f t="shared" si="7"/>
        <v>À Vista</v>
      </c>
      <c r="AH470" t="str">
        <f>IF(AND(SUMIF(E:E,E470,I:I)&gt;=400000,Q470="B2G"),"n","")</f>
        <v/>
      </c>
    </row>
    <row r="471" spans="1:34">
      <c r="A471">
        <v>2026</v>
      </c>
      <c r="B471">
        <v>1</v>
      </c>
      <c r="C471" s="83">
        <v>159526533551</v>
      </c>
      <c r="D471" t="s">
        <v>565</v>
      </c>
      <c r="E471">
        <v>53443325471</v>
      </c>
      <c r="F471">
        <v>274970</v>
      </c>
      <c r="G471">
        <v>50274380161</v>
      </c>
      <c r="H471" t="s">
        <v>35</v>
      </c>
      <c r="I471" s="36">
        <v>5523.84</v>
      </c>
      <c r="J471" s="36">
        <v>5523.84</v>
      </c>
      <c r="K471" s="85">
        <v>0</v>
      </c>
      <c r="L471" s="36">
        <v>460.32</v>
      </c>
      <c r="M471" s="36">
        <v>0</v>
      </c>
      <c r="N471" s="36">
        <v>20.07</v>
      </c>
      <c r="O471" s="36">
        <v>440.25</v>
      </c>
      <c r="P471" t="s">
        <v>162</v>
      </c>
      <c r="Q471" t="s">
        <v>111</v>
      </c>
      <c r="R471" t="s">
        <v>111</v>
      </c>
      <c r="S471" s="1">
        <v>46050</v>
      </c>
      <c r="T471" s="1">
        <v>46050</v>
      </c>
      <c r="U471" s="1">
        <v>46029</v>
      </c>
      <c r="V471" s="1">
        <v>46415</v>
      </c>
      <c r="W471" t="s">
        <v>38</v>
      </c>
      <c r="X471">
        <v>12</v>
      </c>
      <c r="Y471" t="s">
        <v>49</v>
      </c>
      <c r="Z471" t="s">
        <v>76</v>
      </c>
      <c r="AA471" t="s">
        <v>122</v>
      </c>
      <c r="AB471">
        <v>12</v>
      </c>
      <c r="AC471" t="s">
        <v>113</v>
      </c>
      <c r="AD471" t="s">
        <v>85</v>
      </c>
      <c r="AE471" t="s">
        <v>46</v>
      </c>
      <c r="AF471" t="s">
        <v>44</v>
      </c>
      <c r="AG471" t="str">
        <f t="shared" si="7"/>
        <v>Recorrente</v>
      </c>
      <c r="AH471" t="str">
        <f>IF(AND(SUMIF(E:E,E471,I:I)&gt;=400000,Q471="B2G"),"n","")</f>
        <v/>
      </c>
    </row>
    <row r="472" spans="1:34">
      <c r="A472">
        <v>2026</v>
      </c>
      <c r="B472">
        <v>1</v>
      </c>
      <c r="C472" s="83">
        <v>196783288648</v>
      </c>
      <c r="D472" t="s">
        <v>566</v>
      </c>
      <c r="E472">
        <v>53444017174</v>
      </c>
      <c r="F472">
        <v>635516</v>
      </c>
      <c r="G472">
        <v>48546121062</v>
      </c>
      <c r="H472" t="s">
        <v>104</v>
      </c>
      <c r="I472" s="36">
        <v>718.8</v>
      </c>
      <c r="J472" s="36">
        <v>718.8</v>
      </c>
      <c r="K472" s="85">
        <v>0</v>
      </c>
      <c r="L472" s="36">
        <v>59.9</v>
      </c>
      <c r="M472" s="36">
        <v>59.9</v>
      </c>
      <c r="N472" s="36">
        <v>0</v>
      </c>
      <c r="O472" s="36">
        <v>0</v>
      </c>
      <c r="P472" t="s">
        <v>562</v>
      </c>
      <c r="Q472" t="s">
        <v>498</v>
      </c>
      <c r="R472" t="s">
        <v>498</v>
      </c>
      <c r="S472" s="1">
        <v>46030</v>
      </c>
      <c r="T472" s="1">
        <v>46030</v>
      </c>
      <c r="V472" s="1">
        <v>46395</v>
      </c>
      <c r="W472" t="s">
        <v>38</v>
      </c>
      <c r="X472">
        <v>12</v>
      </c>
      <c r="Y472" t="s">
        <v>49</v>
      </c>
      <c r="AA472" t="s">
        <v>112</v>
      </c>
      <c r="AB472">
        <v>12</v>
      </c>
      <c r="AC472" t="s">
        <v>499</v>
      </c>
      <c r="AD472" t="s">
        <v>105</v>
      </c>
      <c r="AE472" t="s">
        <v>106</v>
      </c>
      <c r="AF472" t="s">
        <v>59</v>
      </c>
      <c r="AG472" t="str">
        <f t="shared" si="7"/>
        <v>CC 12x</v>
      </c>
      <c r="AH472" t="str">
        <f>IF(AND(SUMIF(E:E,E472,I:I)&gt;=400000,Q472="B2G"),"n","")</f>
        <v/>
      </c>
    </row>
    <row r="473" spans="1:34">
      <c r="A473">
        <v>2026</v>
      </c>
      <c r="B473">
        <v>1</v>
      </c>
      <c r="C473" s="83">
        <v>28919619586</v>
      </c>
      <c r="D473" t="s">
        <v>567</v>
      </c>
      <c r="E473">
        <v>53451300682</v>
      </c>
      <c r="F473">
        <v>625966</v>
      </c>
      <c r="G473">
        <v>49608455761</v>
      </c>
      <c r="H473" t="s">
        <v>35</v>
      </c>
      <c r="I473" s="36">
        <v>2874</v>
      </c>
      <c r="J473" s="36">
        <v>2874</v>
      </c>
      <c r="K473" s="85">
        <v>0</v>
      </c>
      <c r="L473" s="36">
        <v>239.5</v>
      </c>
      <c r="M473" s="36">
        <v>0</v>
      </c>
      <c r="N473" s="36">
        <v>24.4</v>
      </c>
      <c r="O473" s="36">
        <v>215.1</v>
      </c>
      <c r="P473" t="s">
        <v>78</v>
      </c>
      <c r="Q473" t="s">
        <v>79</v>
      </c>
      <c r="R473" t="s">
        <v>80</v>
      </c>
      <c r="S473" s="1">
        <v>46044</v>
      </c>
      <c r="T473" s="1">
        <v>46044</v>
      </c>
      <c r="U473" s="1">
        <v>46051</v>
      </c>
      <c r="V473" s="1">
        <v>46416</v>
      </c>
      <c r="W473" t="s">
        <v>38</v>
      </c>
      <c r="X473">
        <v>12</v>
      </c>
      <c r="Y473" t="s">
        <v>49</v>
      </c>
      <c r="Z473" t="s">
        <v>81</v>
      </c>
      <c r="AA473" t="s">
        <v>82</v>
      </c>
      <c r="AB473">
        <v>1</v>
      </c>
      <c r="AC473" t="s">
        <v>83</v>
      </c>
      <c r="AD473" t="s">
        <v>140</v>
      </c>
      <c r="AE473" t="s">
        <v>46</v>
      </c>
      <c r="AF473" t="s">
        <v>119</v>
      </c>
      <c r="AG473" t="str">
        <f t="shared" si="7"/>
        <v>À Vista</v>
      </c>
      <c r="AH473" t="str">
        <f>IF(AND(SUMIF(E:E,E473,I:I)&gt;=400000,Q473="B2G"),"n","")</f>
        <v/>
      </c>
    </row>
    <row r="474" spans="1:34">
      <c r="A474">
        <v>2026</v>
      </c>
      <c r="B474">
        <v>1</v>
      </c>
      <c r="C474" s="83">
        <v>2134566</v>
      </c>
      <c r="D474" t="s">
        <v>568</v>
      </c>
      <c r="E474">
        <v>53453668127</v>
      </c>
      <c r="F474">
        <v>635530</v>
      </c>
      <c r="G474">
        <v>48661236081</v>
      </c>
      <c r="H474" t="s">
        <v>35</v>
      </c>
      <c r="I474" s="36">
        <v>4676.6400000000003</v>
      </c>
      <c r="J474" s="36">
        <v>4676.59</v>
      </c>
      <c r="K474" s="85">
        <v>0.05</v>
      </c>
      <c r="L474" s="36">
        <v>389.72</v>
      </c>
      <c r="M474" s="36">
        <v>389.72</v>
      </c>
      <c r="N474" s="36">
        <v>0</v>
      </c>
      <c r="O474" s="36">
        <v>0</v>
      </c>
      <c r="P474" t="s">
        <v>506</v>
      </c>
      <c r="Q474" t="s">
        <v>300</v>
      </c>
      <c r="R474" t="s">
        <v>300</v>
      </c>
      <c r="S474" s="1">
        <v>46031</v>
      </c>
      <c r="T474" s="1">
        <v>46031</v>
      </c>
      <c r="V474" s="1">
        <v>46396</v>
      </c>
      <c r="W474" t="s">
        <v>38</v>
      </c>
      <c r="X474">
        <v>12</v>
      </c>
      <c r="Y474" t="s">
        <v>49</v>
      </c>
      <c r="AA474" t="s">
        <v>122</v>
      </c>
      <c r="AB474">
        <v>12</v>
      </c>
      <c r="AC474" t="s">
        <v>301</v>
      </c>
      <c r="AD474" t="s">
        <v>84</v>
      </c>
      <c r="AE474" t="s">
        <v>43</v>
      </c>
      <c r="AF474" t="s">
        <v>44</v>
      </c>
      <c r="AG474" t="str">
        <f t="shared" si="7"/>
        <v>Recorrente</v>
      </c>
      <c r="AH474" t="str">
        <f>IF(AND(SUMIF(E:E,E474,I:I)&gt;=400000,Q474="B2G"),"n","")</f>
        <v/>
      </c>
    </row>
    <row r="475" spans="1:34">
      <c r="A475">
        <v>2026</v>
      </c>
      <c r="B475">
        <v>1</v>
      </c>
      <c r="C475" s="83">
        <v>199208782138</v>
      </c>
      <c r="D475" t="s">
        <v>569</v>
      </c>
      <c r="E475">
        <v>53492888625</v>
      </c>
      <c r="F475">
        <v>635272</v>
      </c>
      <c r="G475">
        <v>50053642637</v>
      </c>
      <c r="H475" t="s">
        <v>35</v>
      </c>
      <c r="I475" s="36">
        <v>3221.64</v>
      </c>
      <c r="J475" s="36">
        <v>3688.92</v>
      </c>
      <c r="K475" s="85">
        <v>0</v>
      </c>
      <c r="L475" s="36">
        <v>307.41000000000003</v>
      </c>
      <c r="M475" s="36">
        <v>0</v>
      </c>
      <c r="N475" s="36">
        <v>307.41000000000003</v>
      </c>
      <c r="O475" s="36">
        <v>0</v>
      </c>
      <c r="P475" t="s">
        <v>323</v>
      </c>
      <c r="Q475" t="s">
        <v>191</v>
      </c>
      <c r="R475" t="s">
        <v>191</v>
      </c>
      <c r="S475" s="1">
        <v>46049</v>
      </c>
      <c r="T475" s="1">
        <v>46049</v>
      </c>
      <c r="V475" s="1">
        <v>46368</v>
      </c>
      <c r="W475" t="s">
        <v>38</v>
      </c>
      <c r="X475">
        <v>11</v>
      </c>
      <c r="Y475" t="s">
        <v>49</v>
      </c>
      <c r="Z475" t="s">
        <v>324</v>
      </c>
      <c r="AA475" t="s">
        <v>112</v>
      </c>
      <c r="AB475">
        <v>11</v>
      </c>
      <c r="AC475" t="s">
        <v>192</v>
      </c>
      <c r="AD475" t="s">
        <v>134</v>
      </c>
      <c r="AE475" t="s">
        <v>135</v>
      </c>
      <c r="AF475" t="s">
        <v>44</v>
      </c>
      <c r="AG475" t="str">
        <f t="shared" si="7"/>
        <v>CC 12x</v>
      </c>
      <c r="AH475" t="str">
        <f>IF(AND(SUMIF(E:E,E475,I:I)&gt;=400000,Q475="B2G"),"n","")</f>
        <v/>
      </c>
    </row>
    <row r="476" spans="1:34">
      <c r="A476">
        <v>2026</v>
      </c>
      <c r="B476">
        <v>1</v>
      </c>
      <c r="C476" s="83">
        <v>191363639726</v>
      </c>
      <c r="D476" t="s">
        <v>570</v>
      </c>
      <c r="E476">
        <v>53493481011</v>
      </c>
      <c r="F476">
        <v>635532</v>
      </c>
      <c r="G476">
        <v>48583110023</v>
      </c>
      <c r="H476" t="s">
        <v>35</v>
      </c>
      <c r="I476" s="36">
        <v>2874</v>
      </c>
      <c r="J476" s="36">
        <v>2874</v>
      </c>
      <c r="K476" s="85">
        <v>0</v>
      </c>
      <c r="L476" s="36">
        <v>239.5</v>
      </c>
      <c r="M476" s="36">
        <v>239.5</v>
      </c>
      <c r="N476" s="36">
        <v>0</v>
      </c>
      <c r="O476" s="36">
        <v>0</v>
      </c>
      <c r="P476" t="s">
        <v>506</v>
      </c>
      <c r="Q476" t="s">
        <v>300</v>
      </c>
      <c r="R476" t="s">
        <v>300</v>
      </c>
      <c r="S476" s="1">
        <v>46031</v>
      </c>
      <c r="T476" s="1">
        <v>46031</v>
      </c>
      <c r="V476" s="1">
        <v>46396</v>
      </c>
      <c r="W476" t="s">
        <v>38</v>
      </c>
      <c r="X476">
        <v>12</v>
      </c>
      <c r="Y476" t="s">
        <v>49</v>
      </c>
      <c r="AA476" t="s">
        <v>122</v>
      </c>
      <c r="AB476">
        <v>12</v>
      </c>
      <c r="AC476" t="s">
        <v>301</v>
      </c>
      <c r="AD476" t="s">
        <v>140</v>
      </c>
      <c r="AE476" t="s">
        <v>46</v>
      </c>
      <c r="AF476" t="s">
        <v>119</v>
      </c>
      <c r="AG476" t="str">
        <f t="shared" si="7"/>
        <v>Recorrente</v>
      </c>
      <c r="AH476" t="str">
        <f>IF(AND(SUMIF(E:E,E476,I:I)&gt;=400000,Q476="B2G"),"n","")</f>
        <v/>
      </c>
    </row>
    <row r="477" spans="1:34">
      <c r="A477">
        <v>2026</v>
      </c>
      <c r="B477">
        <v>1</v>
      </c>
      <c r="C477" s="83">
        <v>2091434</v>
      </c>
      <c r="D477" t="s">
        <v>571</v>
      </c>
      <c r="E477">
        <v>53494846212</v>
      </c>
      <c r="F477">
        <v>635541</v>
      </c>
      <c r="G477">
        <v>48657329836</v>
      </c>
      <c r="H477" t="s">
        <v>35</v>
      </c>
      <c r="I477" s="36">
        <v>2586.6</v>
      </c>
      <c r="J477" s="36">
        <v>2586.6</v>
      </c>
      <c r="K477" s="85">
        <v>0</v>
      </c>
      <c r="L477" s="36">
        <v>215.55</v>
      </c>
      <c r="M477" s="36">
        <v>215.55</v>
      </c>
      <c r="N477" s="36">
        <v>0</v>
      </c>
      <c r="O477" s="36">
        <v>0</v>
      </c>
      <c r="P477" t="s">
        <v>313</v>
      </c>
      <c r="Q477" t="s">
        <v>314</v>
      </c>
      <c r="R477" t="s">
        <v>314</v>
      </c>
      <c r="S477" s="1">
        <v>46031</v>
      </c>
      <c r="T477" s="1">
        <v>46031</v>
      </c>
      <c r="V477" s="1">
        <v>46396</v>
      </c>
      <c r="W477" t="s">
        <v>38</v>
      </c>
      <c r="X477">
        <v>12</v>
      </c>
      <c r="Y477" t="s">
        <v>49</v>
      </c>
      <c r="AA477" t="s">
        <v>112</v>
      </c>
      <c r="AB477">
        <v>12</v>
      </c>
      <c r="AC477" t="s">
        <v>315</v>
      </c>
      <c r="AD477" t="s">
        <v>140</v>
      </c>
      <c r="AE477" t="s">
        <v>46</v>
      </c>
      <c r="AF477" t="s">
        <v>119</v>
      </c>
      <c r="AG477" t="str">
        <f t="shared" si="7"/>
        <v>CC 12x</v>
      </c>
      <c r="AH477" t="str">
        <f>IF(AND(SUMIF(E:E,E477,I:I)&gt;=400000,Q477="B2G"),"n","")</f>
        <v/>
      </c>
    </row>
    <row r="478" spans="1:34">
      <c r="A478">
        <v>2026</v>
      </c>
      <c r="B478">
        <v>1</v>
      </c>
      <c r="C478" s="83">
        <v>14355136639</v>
      </c>
      <c r="D478" t="s">
        <v>572</v>
      </c>
      <c r="E478">
        <v>53495328875</v>
      </c>
      <c r="F478">
        <v>635538</v>
      </c>
      <c r="G478">
        <v>48561796452</v>
      </c>
      <c r="H478" t="s">
        <v>35</v>
      </c>
      <c r="I478" s="36">
        <v>2524.08</v>
      </c>
      <c r="J478" s="36">
        <v>2524.09</v>
      </c>
      <c r="K478" s="85">
        <v>0</v>
      </c>
      <c r="L478" s="36">
        <v>210.34</v>
      </c>
      <c r="M478" s="36">
        <v>210.34</v>
      </c>
      <c r="N478" s="36">
        <v>0</v>
      </c>
      <c r="O478" s="36">
        <v>0</v>
      </c>
      <c r="P478" t="s">
        <v>299</v>
      </c>
      <c r="Q478" t="s">
        <v>300</v>
      </c>
      <c r="R478" t="s">
        <v>300</v>
      </c>
      <c r="S478" s="1">
        <v>46031</v>
      </c>
      <c r="T478" s="1">
        <v>46031</v>
      </c>
      <c r="V478" s="1">
        <v>46396</v>
      </c>
      <c r="W478" t="s">
        <v>38</v>
      </c>
      <c r="X478">
        <v>12</v>
      </c>
      <c r="Y478" t="s">
        <v>49</v>
      </c>
      <c r="AA478" t="s">
        <v>122</v>
      </c>
      <c r="AB478">
        <v>12</v>
      </c>
      <c r="AC478" t="s">
        <v>301</v>
      </c>
      <c r="AD478" t="s">
        <v>140</v>
      </c>
      <c r="AE478" t="s">
        <v>46</v>
      </c>
      <c r="AF478" t="s">
        <v>119</v>
      </c>
      <c r="AG478" t="str">
        <f t="shared" si="7"/>
        <v>Recorrente</v>
      </c>
      <c r="AH478" t="str">
        <f>IF(AND(SUMIF(E:E,E478,I:I)&gt;=400000,Q478="B2G"),"n","")</f>
        <v/>
      </c>
    </row>
    <row r="479" spans="1:34">
      <c r="A479">
        <v>2026</v>
      </c>
      <c r="B479">
        <v>1</v>
      </c>
      <c r="C479" s="83">
        <v>121923001726</v>
      </c>
      <c r="D479" t="s">
        <v>573</v>
      </c>
      <c r="E479">
        <v>53498754737</v>
      </c>
      <c r="F479">
        <v>617334</v>
      </c>
      <c r="G479">
        <v>48884599839</v>
      </c>
      <c r="H479" t="s">
        <v>35</v>
      </c>
      <c r="I479" s="36">
        <v>1129.08</v>
      </c>
      <c r="J479" s="36">
        <v>2593.8000000000002</v>
      </c>
      <c r="K479" s="85">
        <v>0</v>
      </c>
      <c r="L479" s="36">
        <v>216.15</v>
      </c>
      <c r="M479" s="36">
        <v>0</v>
      </c>
      <c r="N479" s="36">
        <v>216.15</v>
      </c>
      <c r="O479" s="36">
        <v>0</v>
      </c>
      <c r="P479" t="s">
        <v>469</v>
      </c>
      <c r="Q479" t="s">
        <v>191</v>
      </c>
      <c r="R479" t="s">
        <v>191</v>
      </c>
      <c r="S479" s="1">
        <v>46036</v>
      </c>
      <c r="T479" s="1">
        <v>46036</v>
      </c>
      <c r="V479" s="1">
        <v>46193</v>
      </c>
      <c r="W479" t="s">
        <v>38</v>
      </c>
      <c r="X479">
        <v>5</v>
      </c>
      <c r="Y479" t="s">
        <v>49</v>
      </c>
      <c r="Z479" t="s">
        <v>324</v>
      </c>
      <c r="AA479" t="s">
        <v>122</v>
      </c>
      <c r="AB479">
        <v>5</v>
      </c>
      <c r="AC479" t="s">
        <v>192</v>
      </c>
      <c r="AD479" t="s">
        <v>85</v>
      </c>
      <c r="AE479" t="s">
        <v>46</v>
      </c>
      <c r="AF479" t="s">
        <v>44</v>
      </c>
      <c r="AG479" t="str">
        <f t="shared" si="7"/>
        <v>Recorrente</v>
      </c>
      <c r="AH479" t="str">
        <f>IF(AND(SUMIF(E:E,E479,I:I)&gt;=400000,Q479="B2G"),"n","")</f>
        <v/>
      </c>
    </row>
    <row r="480" spans="1:34">
      <c r="A480">
        <v>2026</v>
      </c>
      <c r="B480">
        <v>1</v>
      </c>
      <c r="C480" s="83">
        <v>19435600228</v>
      </c>
      <c r="D480" t="s">
        <v>574</v>
      </c>
      <c r="E480">
        <v>53500416655</v>
      </c>
      <c r="F480">
        <v>625280</v>
      </c>
      <c r="G480">
        <v>48657381677</v>
      </c>
      <c r="H480" t="s">
        <v>35</v>
      </c>
      <c r="I480" s="36">
        <v>6475.92</v>
      </c>
      <c r="J480" s="36">
        <v>6475.92</v>
      </c>
      <c r="K480" s="85">
        <v>0</v>
      </c>
      <c r="L480" s="36">
        <v>539.66</v>
      </c>
      <c r="M480" s="36">
        <v>539.66</v>
      </c>
      <c r="N480" s="36">
        <v>0</v>
      </c>
      <c r="O480" s="36">
        <v>0</v>
      </c>
      <c r="P480" t="s">
        <v>116</v>
      </c>
      <c r="Q480" t="s">
        <v>111</v>
      </c>
      <c r="R480" t="s">
        <v>111</v>
      </c>
      <c r="S480" s="1">
        <v>46031</v>
      </c>
      <c r="T480" s="1">
        <v>46031</v>
      </c>
      <c r="U480" s="1">
        <v>46029</v>
      </c>
      <c r="V480" s="1">
        <v>46396</v>
      </c>
      <c r="W480" t="s">
        <v>38</v>
      </c>
      <c r="X480">
        <v>12</v>
      </c>
      <c r="Y480" t="s">
        <v>49</v>
      </c>
      <c r="Z480" t="s">
        <v>81</v>
      </c>
      <c r="AA480" t="s">
        <v>112</v>
      </c>
      <c r="AB480">
        <v>12</v>
      </c>
      <c r="AC480" t="s">
        <v>113</v>
      </c>
      <c r="AD480" t="s">
        <v>131</v>
      </c>
      <c r="AE480" t="s">
        <v>46</v>
      </c>
      <c r="AF480" t="s">
        <v>96</v>
      </c>
      <c r="AG480" t="str">
        <f t="shared" si="7"/>
        <v>CC 12x</v>
      </c>
      <c r="AH480" t="str">
        <f>IF(AND(SUMIF(E:E,E480,I:I)&gt;=400000,Q480="B2G"),"n","")</f>
        <v/>
      </c>
    </row>
    <row r="481" spans="1:34">
      <c r="A481">
        <v>2026</v>
      </c>
      <c r="B481">
        <v>1</v>
      </c>
      <c r="C481" s="83">
        <v>191173468537</v>
      </c>
      <c r="D481" t="s">
        <v>575</v>
      </c>
      <c r="E481">
        <v>53500690607</v>
      </c>
      <c r="F481">
        <v>625229</v>
      </c>
      <c r="G481">
        <v>48718090921</v>
      </c>
      <c r="H481" t="s">
        <v>35</v>
      </c>
      <c r="I481" s="36">
        <v>2586.6</v>
      </c>
      <c r="J481" s="36">
        <v>2586.6</v>
      </c>
      <c r="K481" s="85">
        <v>0</v>
      </c>
      <c r="L481" s="36">
        <v>215.55</v>
      </c>
      <c r="M481" s="36">
        <v>215.55</v>
      </c>
      <c r="N481" s="36">
        <v>0</v>
      </c>
      <c r="O481" s="36">
        <v>0</v>
      </c>
      <c r="P481" t="s">
        <v>121</v>
      </c>
      <c r="Q481" t="s">
        <v>111</v>
      </c>
      <c r="R481" t="s">
        <v>111</v>
      </c>
      <c r="S481" s="1">
        <v>46034</v>
      </c>
      <c r="T481" s="1">
        <v>46034</v>
      </c>
      <c r="U481" s="1">
        <v>46024</v>
      </c>
      <c r="V481" s="1">
        <v>46399</v>
      </c>
      <c r="W481" t="s">
        <v>38</v>
      </c>
      <c r="X481">
        <v>12</v>
      </c>
      <c r="Y481" t="s">
        <v>49</v>
      </c>
      <c r="Z481" t="s">
        <v>81</v>
      </c>
      <c r="AA481" t="s">
        <v>122</v>
      </c>
      <c r="AB481">
        <v>12</v>
      </c>
      <c r="AC481" t="s">
        <v>113</v>
      </c>
      <c r="AD481" t="s">
        <v>140</v>
      </c>
      <c r="AE481" t="s">
        <v>46</v>
      </c>
      <c r="AF481" t="s">
        <v>119</v>
      </c>
      <c r="AG481" t="str">
        <f t="shared" si="7"/>
        <v>Recorrente</v>
      </c>
      <c r="AH481" t="str">
        <f>IF(AND(SUMIF(E:E,E481,I:I)&gt;=400000,Q481="B2G"),"n","")</f>
        <v/>
      </c>
    </row>
    <row r="482" spans="1:34">
      <c r="A482">
        <v>2026</v>
      </c>
      <c r="B482">
        <v>1</v>
      </c>
      <c r="C482" s="83">
        <v>150637286575</v>
      </c>
      <c r="D482" t="s">
        <v>576</v>
      </c>
      <c r="E482">
        <v>53511824028</v>
      </c>
      <c r="F482">
        <v>634538</v>
      </c>
      <c r="G482">
        <v>48827604540</v>
      </c>
      <c r="H482" t="s">
        <v>35</v>
      </c>
      <c r="I482" s="36">
        <v>2233.8000000000002</v>
      </c>
      <c r="J482" s="36">
        <v>2738.04</v>
      </c>
      <c r="K482" s="85">
        <v>0</v>
      </c>
      <c r="L482" s="36">
        <v>228.17</v>
      </c>
      <c r="M482" s="36">
        <v>0</v>
      </c>
      <c r="N482" s="36">
        <v>228.17</v>
      </c>
      <c r="O482" s="36">
        <v>0</v>
      </c>
      <c r="P482" t="s">
        <v>323</v>
      </c>
      <c r="Q482" t="s">
        <v>191</v>
      </c>
      <c r="R482" t="s">
        <v>191</v>
      </c>
      <c r="S482" s="1">
        <v>46034</v>
      </c>
      <c r="T482" s="1">
        <v>46034</v>
      </c>
      <c r="V482" s="1">
        <v>46332</v>
      </c>
      <c r="W482" t="s">
        <v>38</v>
      </c>
      <c r="X482">
        <v>10</v>
      </c>
      <c r="Y482" t="s">
        <v>49</v>
      </c>
      <c r="Z482" t="s">
        <v>324</v>
      </c>
      <c r="AA482" t="s">
        <v>122</v>
      </c>
      <c r="AB482">
        <v>9</v>
      </c>
      <c r="AC482" t="s">
        <v>192</v>
      </c>
      <c r="AD482" t="s">
        <v>85</v>
      </c>
      <c r="AE482" t="s">
        <v>46</v>
      </c>
      <c r="AF482" t="s">
        <v>44</v>
      </c>
      <c r="AG482" t="str">
        <f t="shared" si="7"/>
        <v>Recorrente</v>
      </c>
      <c r="AH482" t="str">
        <f>IF(AND(SUMIF(E:E,E482,I:I)&gt;=400000,Q482="B2G"),"n","")</f>
        <v/>
      </c>
    </row>
    <row r="483" spans="1:34">
      <c r="A483">
        <v>2026</v>
      </c>
      <c r="B483">
        <v>1</v>
      </c>
      <c r="C483" s="83">
        <v>150349058733</v>
      </c>
      <c r="D483" t="s">
        <v>577</v>
      </c>
      <c r="E483">
        <v>53515409929</v>
      </c>
      <c r="F483">
        <v>635537</v>
      </c>
      <c r="G483">
        <v>48670915410</v>
      </c>
      <c r="H483" t="s">
        <v>35</v>
      </c>
      <c r="I483" s="36">
        <v>4369.5600000000004</v>
      </c>
      <c r="J483" s="36">
        <v>4369.51</v>
      </c>
      <c r="K483" s="85">
        <v>0.05</v>
      </c>
      <c r="L483" s="36">
        <v>364.13</v>
      </c>
      <c r="M483" s="36">
        <v>364.13</v>
      </c>
      <c r="N483" s="36">
        <v>0</v>
      </c>
      <c r="O483" s="36">
        <v>0</v>
      </c>
      <c r="P483" t="s">
        <v>506</v>
      </c>
      <c r="Q483" t="s">
        <v>300</v>
      </c>
      <c r="R483" t="s">
        <v>300</v>
      </c>
      <c r="S483" s="1">
        <v>46031</v>
      </c>
      <c r="T483" s="1">
        <v>46031</v>
      </c>
      <c r="V483" s="1">
        <v>46396</v>
      </c>
      <c r="W483" t="s">
        <v>38</v>
      </c>
      <c r="X483">
        <v>12</v>
      </c>
      <c r="Y483" t="s">
        <v>49</v>
      </c>
      <c r="AA483" t="s">
        <v>112</v>
      </c>
      <c r="AB483">
        <v>12</v>
      </c>
      <c r="AC483" t="s">
        <v>301</v>
      </c>
      <c r="AD483" t="s">
        <v>84</v>
      </c>
      <c r="AE483" t="s">
        <v>43</v>
      </c>
      <c r="AF483" t="s">
        <v>44</v>
      </c>
      <c r="AG483" t="str">
        <f t="shared" si="7"/>
        <v>CC 12x</v>
      </c>
      <c r="AH483" t="str">
        <f>IF(AND(SUMIF(E:E,E483,I:I)&gt;=400000,Q483="B2G"),"n","")</f>
        <v/>
      </c>
    </row>
    <row r="484" spans="1:34">
      <c r="A484">
        <v>2026</v>
      </c>
      <c r="B484">
        <v>1</v>
      </c>
      <c r="C484" s="83">
        <v>2087725</v>
      </c>
      <c r="D484" t="s">
        <v>578</v>
      </c>
      <c r="E484">
        <v>53517241409</v>
      </c>
      <c r="F484">
        <v>635572</v>
      </c>
      <c r="G484">
        <v>48994059425</v>
      </c>
      <c r="H484" t="s">
        <v>35</v>
      </c>
      <c r="I484" s="36">
        <v>4446</v>
      </c>
      <c r="J484" s="36">
        <v>4446</v>
      </c>
      <c r="K484" s="85">
        <v>0</v>
      </c>
      <c r="L484" s="36">
        <v>370.5</v>
      </c>
      <c r="M484" s="36">
        <v>370.5</v>
      </c>
      <c r="N484" s="36">
        <v>0</v>
      </c>
      <c r="O484" s="36">
        <v>0</v>
      </c>
      <c r="P484" t="s">
        <v>313</v>
      </c>
      <c r="Q484" t="s">
        <v>314</v>
      </c>
      <c r="R484" t="s">
        <v>314</v>
      </c>
      <c r="S484" s="1">
        <v>46036</v>
      </c>
      <c r="T484" s="1">
        <v>46036</v>
      </c>
      <c r="V484" s="1">
        <v>46401</v>
      </c>
      <c r="W484" t="s">
        <v>38</v>
      </c>
      <c r="X484">
        <v>12</v>
      </c>
      <c r="Y484" t="s">
        <v>49</v>
      </c>
      <c r="AA484" t="s">
        <v>112</v>
      </c>
      <c r="AB484">
        <v>1</v>
      </c>
      <c r="AC484" t="s">
        <v>315</v>
      </c>
      <c r="AD484" t="s">
        <v>85</v>
      </c>
      <c r="AE484" t="s">
        <v>46</v>
      </c>
      <c r="AF484" t="s">
        <v>44</v>
      </c>
      <c r="AG484" t="str">
        <f t="shared" si="7"/>
        <v>À Vista</v>
      </c>
      <c r="AH484" t="str">
        <f>IF(AND(SUMIF(E:E,E484,I:I)&gt;=400000,Q484="B2G"),"n","")</f>
        <v/>
      </c>
    </row>
    <row r="485" spans="1:34">
      <c r="A485">
        <v>2026</v>
      </c>
      <c r="B485">
        <v>1</v>
      </c>
      <c r="C485" s="83">
        <v>40173608779</v>
      </c>
      <c r="D485" t="s">
        <v>579</v>
      </c>
      <c r="E485">
        <v>53521692337</v>
      </c>
      <c r="F485">
        <v>635546</v>
      </c>
      <c r="G485">
        <v>48879471184</v>
      </c>
      <c r="H485" t="s">
        <v>35</v>
      </c>
      <c r="I485" s="36">
        <v>2442.84</v>
      </c>
      <c r="J485" s="36">
        <v>2442.9</v>
      </c>
      <c r="K485" s="85">
        <v>0</v>
      </c>
      <c r="L485" s="36">
        <v>203.58</v>
      </c>
      <c r="M485" s="36">
        <v>0</v>
      </c>
      <c r="N485" s="36">
        <v>203.58</v>
      </c>
      <c r="O485" s="36">
        <v>0</v>
      </c>
      <c r="P485" t="s">
        <v>323</v>
      </c>
      <c r="Q485" t="s">
        <v>191</v>
      </c>
      <c r="R485" t="s">
        <v>191</v>
      </c>
      <c r="S485" s="1">
        <v>46034</v>
      </c>
      <c r="T485" s="1">
        <v>46034</v>
      </c>
      <c r="V485" s="1">
        <v>46399</v>
      </c>
      <c r="W485" t="s">
        <v>38</v>
      </c>
      <c r="X485">
        <v>12</v>
      </c>
      <c r="Y485" t="s">
        <v>49</v>
      </c>
      <c r="AA485" t="s">
        <v>122</v>
      </c>
      <c r="AB485">
        <v>12</v>
      </c>
      <c r="AC485" t="s">
        <v>192</v>
      </c>
      <c r="AD485" t="s">
        <v>140</v>
      </c>
      <c r="AE485" t="s">
        <v>46</v>
      </c>
      <c r="AF485" t="s">
        <v>119</v>
      </c>
      <c r="AG485" t="str">
        <f t="shared" si="7"/>
        <v>Recorrente</v>
      </c>
      <c r="AH485" t="str">
        <f>IF(AND(SUMIF(E:E,E485,I:I)&gt;=400000,Q485="B2G"),"n","")</f>
        <v/>
      </c>
    </row>
    <row r="486" spans="1:34">
      <c r="A486">
        <v>2026</v>
      </c>
      <c r="B486">
        <v>1</v>
      </c>
      <c r="C486" s="83">
        <v>19435442720</v>
      </c>
      <c r="D486" t="s">
        <v>580</v>
      </c>
      <c r="E486">
        <v>53533884457</v>
      </c>
      <c r="F486">
        <v>635542</v>
      </c>
      <c r="G486">
        <v>48671113803</v>
      </c>
      <c r="H486" t="s">
        <v>35</v>
      </c>
      <c r="I486" s="36">
        <v>7014.6</v>
      </c>
      <c r="J486" s="36">
        <v>7014.6</v>
      </c>
      <c r="K486" s="85">
        <v>0</v>
      </c>
      <c r="L486" s="36">
        <v>584.54999999999995</v>
      </c>
      <c r="M486" s="36">
        <v>0</v>
      </c>
      <c r="N486" s="36">
        <v>584.54999999999995</v>
      </c>
      <c r="O486" s="36">
        <v>0</v>
      </c>
      <c r="P486" t="s">
        <v>367</v>
      </c>
      <c r="Q486" t="s">
        <v>191</v>
      </c>
      <c r="R486" t="s">
        <v>191</v>
      </c>
      <c r="S486" s="1">
        <v>46031</v>
      </c>
      <c r="T486" s="1">
        <v>46031</v>
      </c>
      <c r="V486" s="1">
        <v>46396</v>
      </c>
      <c r="W486" t="s">
        <v>38</v>
      </c>
      <c r="X486">
        <v>12</v>
      </c>
      <c r="Y486" t="s">
        <v>49</v>
      </c>
      <c r="AA486" t="s">
        <v>122</v>
      </c>
      <c r="AB486">
        <v>12</v>
      </c>
      <c r="AC486" t="s">
        <v>192</v>
      </c>
      <c r="AD486" t="s">
        <v>125</v>
      </c>
      <c r="AE486" t="s">
        <v>43</v>
      </c>
      <c r="AF486" t="s">
        <v>47</v>
      </c>
      <c r="AG486" t="str">
        <f t="shared" si="7"/>
        <v>Recorrente</v>
      </c>
      <c r="AH486" t="str">
        <f>IF(AND(SUMIF(E:E,E486,I:I)&gt;=400000,Q486="B2G"),"n","")</f>
        <v/>
      </c>
    </row>
    <row r="487" spans="1:34">
      <c r="A487">
        <v>2026</v>
      </c>
      <c r="B487">
        <v>1</v>
      </c>
      <c r="C487" s="83">
        <v>197415687960</v>
      </c>
      <c r="D487" t="s">
        <v>581</v>
      </c>
      <c r="E487">
        <v>53546137527</v>
      </c>
      <c r="F487">
        <v>328146</v>
      </c>
      <c r="G487">
        <v>50276784286</v>
      </c>
      <c r="H487" t="s">
        <v>35</v>
      </c>
      <c r="I487" s="36">
        <v>2328</v>
      </c>
      <c r="J487" s="36">
        <v>2328</v>
      </c>
      <c r="K487" s="85">
        <v>0</v>
      </c>
      <c r="L487" s="36">
        <v>194</v>
      </c>
      <c r="M487" s="36">
        <v>0</v>
      </c>
      <c r="N487" s="36">
        <v>0</v>
      </c>
      <c r="O487" s="36">
        <v>194.002185</v>
      </c>
      <c r="P487" t="s">
        <v>116</v>
      </c>
      <c r="Q487" t="s">
        <v>111</v>
      </c>
      <c r="R487" t="s">
        <v>111</v>
      </c>
      <c r="S487" s="1">
        <v>46051</v>
      </c>
      <c r="T487" s="1">
        <v>46051</v>
      </c>
      <c r="U487" s="1">
        <v>46045</v>
      </c>
      <c r="V487" s="1">
        <v>46416</v>
      </c>
      <c r="W487" t="s">
        <v>38</v>
      </c>
      <c r="X487">
        <v>12</v>
      </c>
      <c r="Y487" t="s">
        <v>49</v>
      </c>
      <c r="Z487" t="s">
        <v>76</v>
      </c>
      <c r="AA487" t="s">
        <v>112</v>
      </c>
      <c r="AB487">
        <v>12</v>
      </c>
      <c r="AC487" t="s">
        <v>113</v>
      </c>
      <c r="AD487" t="s">
        <v>140</v>
      </c>
      <c r="AE487" t="s">
        <v>46</v>
      </c>
      <c r="AF487" t="s">
        <v>119</v>
      </c>
      <c r="AG487" t="str">
        <f t="shared" si="7"/>
        <v>CC 12x</v>
      </c>
      <c r="AH487" t="str">
        <f>IF(AND(SUMIF(E:E,E487,I:I)&gt;=400000,Q487="B2G"),"n","")</f>
        <v/>
      </c>
    </row>
    <row r="488" spans="1:34">
      <c r="A488">
        <v>2026</v>
      </c>
      <c r="B488">
        <v>1</v>
      </c>
      <c r="C488" s="83">
        <v>46664559772</v>
      </c>
      <c r="D488" t="s">
        <v>582</v>
      </c>
      <c r="E488">
        <v>53598764101</v>
      </c>
      <c r="F488">
        <v>635752</v>
      </c>
      <c r="G488">
        <v>50045809950</v>
      </c>
      <c r="H488" t="s">
        <v>35</v>
      </c>
      <c r="I488" s="36">
        <v>8394</v>
      </c>
      <c r="J488" s="36">
        <v>8394</v>
      </c>
      <c r="K488" s="85">
        <v>0</v>
      </c>
      <c r="L488" s="36">
        <v>699.5</v>
      </c>
      <c r="M488" s="36">
        <v>699.5</v>
      </c>
      <c r="N488" s="36">
        <v>0</v>
      </c>
      <c r="O488" s="36">
        <v>0</v>
      </c>
      <c r="P488" t="s">
        <v>361</v>
      </c>
      <c r="Q488" t="s">
        <v>91</v>
      </c>
      <c r="R488" t="s">
        <v>91</v>
      </c>
      <c r="S488" s="1">
        <v>46049</v>
      </c>
      <c r="T488" s="1">
        <v>46049</v>
      </c>
      <c r="V488" s="1">
        <v>46414</v>
      </c>
      <c r="W488" t="s">
        <v>38</v>
      </c>
      <c r="X488">
        <v>12</v>
      </c>
      <c r="Y488" t="s">
        <v>49</v>
      </c>
      <c r="AA488" t="s">
        <v>122</v>
      </c>
      <c r="AB488">
        <v>12</v>
      </c>
      <c r="AC488" t="s">
        <v>93</v>
      </c>
      <c r="AD488" t="s">
        <v>94</v>
      </c>
      <c r="AE488" t="s">
        <v>95</v>
      </c>
      <c r="AF488" t="s">
        <v>96</v>
      </c>
      <c r="AG488" t="str">
        <f t="shared" si="7"/>
        <v>Recorrente</v>
      </c>
      <c r="AH488" t="str">
        <f>IF(AND(SUMIF(E:E,E488,I:I)&gt;=400000,Q488="B2G"),"n","")</f>
        <v/>
      </c>
    </row>
    <row r="489" spans="1:34">
      <c r="A489">
        <v>2026</v>
      </c>
      <c r="B489">
        <v>1</v>
      </c>
      <c r="C489" s="83">
        <v>31691274669</v>
      </c>
      <c r="D489" t="s">
        <v>583</v>
      </c>
      <c r="E489">
        <v>53602629195</v>
      </c>
      <c r="F489">
        <v>635601</v>
      </c>
      <c r="G489">
        <v>49141875260</v>
      </c>
      <c r="H489" t="s">
        <v>35</v>
      </c>
      <c r="I489" s="36">
        <v>10068</v>
      </c>
      <c r="J489" s="36">
        <v>1721.51</v>
      </c>
      <c r="K489" s="85">
        <v>8346.49</v>
      </c>
      <c r="L489" s="36">
        <v>143.46</v>
      </c>
      <c r="M489" s="36">
        <v>0</v>
      </c>
      <c r="N489" s="36">
        <v>143.46</v>
      </c>
      <c r="O489" s="36">
        <v>0</v>
      </c>
      <c r="P489" t="s">
        <v>367</v>
      </c>
      <c r="Q489" t="s">
        <v>191</v>
      </c>
      <c r="R489" t="s">
        <v>191</v>
      </c>
      <c r="S489" s="1">
        <v>46037</v>
      </c>
      <c r="T489" s="1">
        <v>46037</v>
      </c>
      <c r="V489" s="1">
        <v>46767</v>
      </c>
      <c r="W489" t="s">
        <v>56</v>
      </c>
      <c r="Y489" t="s">
        <v>49</v>
      </c>
      <c r="AA489" t="s">
        <v>122</v>
      </c>
      <c r="AB489">
        <v>24</v>
      </c>
      <c r="AC489" t="s">
        <v>192</v>
      </c>
      <c r="AD489" t="s">
        <v>84</v>
      </c>
      <c r="AE489" t="s">
        <v>43</v>
      </c>
      <c r="AF489" t="s">
        <v>44</v>
      </c>
      <c r="AG489" t="str">
        <f t="shared" si="7"/>
        <v>Recorrente</v>
      </c>
      <c r="AH489" t="str">
        <f>IF(AND(SUMIF(E:E,E489,I:I)&gt;=400000,Q489="B2G"),"n","")</f>
        <v/>
      </c>
    </row>
    <row r="490" spans="1:34">
      <c r="A490">
        <v>2026</v>
      </c>
      <c r="B490">
        <v>1</v>
      </c>
      <c r="C490" s="83">
        <v>31691274669</v>
      </c>
      <c r="D490" t="s">
        <v>583</v>
      </c>
      <c r="E490">
        <v>53602629195</v>
      </c>
      <c r="F490">
        <v>635601</v>
      </c>
      <c r="G490">
        <v>49141875261</v>
      </c>
      <c r="H490" t="s">
        <v>35</v>
      </c>
      <c r="I490" s="36">
        <v>9061.2000000000007</v>
      </c>
      <c r="J490" s="36">
        <v>1549.36</v>
      </c>
      <c r="K490" s="85">
        <v>7511.84</v>
      </c>
      <c r="L490" s="36">
        <v>129.11000000000001</v>
      </c>
      <c r="M490" s="36">
        <v>0</v>
      </c>
      <c r="N490" s="36">
        <v>129.11000000000001</v>
      </c>
      <c r="O490" s="36">
        <v>0</v>
      </c>
      <c r="P490" t="s">
        <v>367</v>
      </c>
      <c r="Q490" t="s">
        <v>191</v>
      </c>
      <c r="R490" t="s">
        <v>191</v>
      </c>
      <c r="S490" s="1">
        <v>46037</v>
      </c>
      <c r="T490" s="1">
        <v>46037</v>
      </c>
      <c r="V490" s="1">
        <v>46767</v>
      </c>
      <c r="W490" t="s">
        <v>56</v>
      </c>
      <c r="Y490" t="s">
        <v>49</v>
      </c>
      <c r="AA490" t="s">
        <v>122</v>
      </c>
      <c r="AB490">
        <v>24</v>
      </c>
      <c r="AC490" t="s">
        <v>192</v>
      </c>
      <c r="AD490" t="s">
        <v>84</v>
      </c>
      <c r="AE490" t="s">
        <v>43</v>
      </c>
      <c r="AF490" t="s">
        <v>44</v>
      </c>
      <c r="AG490" t="str">
        <f t="shared" si="7"/>
        <v>Recorrente</v>
      </c>
      <c r="AH490" t="str">
        <f>IF(AND(SUMIF(E:E,E490,I:I)&gt;=400000,Q490="B2G"),"n","")</f>
        <v/>
      </c>
    </row>
    <row r="491" spans="1:34">
      <c r="A491">
        <v>2026</v>
      </c>
      <c r="B491">
        <v>1</v>
      </c>
      <c r="C491" s="83">
        <v>31691274669</v>
      </c>
      <c r="D491" t="s">
        <v>583</v>
      </c>
      <c r="E491">
        <v>53602629195</v>
      </c>
      <c r="F491">
        <v>635601</v>
      </c>
      <c r="G491">
        <v>49141875262</v>
      </c>
      <c r="H491" t="s">
        <v>35</v>
      </c>
      <c r="I491" s="36">
        <v>11508</v>
      </c>
      <c r="J491" s="36">
        <v>1967.73</v>
      </c>
      <c r="K491" s="85">
        <v>9540.27</v>
      </c>
      <c r="L491" s="36">
        <v>163.98</v>
      </c>
      <c r="M491" s="36">
        <v>0</v>
      </c>
      <c r="N491" s="36">
        <v>163.98</v>
      </c>
      <c r="O491" s="36">
        <v>0</v>
      </c>
      <c r="P491" t="s">
        <v>367</v>
      </c>
      <c r="Q491" t="s">
        <v>191</v>
      </c>
      <c r="R491" t="s">
        <v>191</v>
      </c>
      <c r="S491" s="1">
        <v>46037</v>
      </c>
      <c r="T491" s="1">
        <v>46037</v>
      </c>
      <c r="V491" s="1">
        <v>46767</v>
      </c>
      <c r="W491" t="s">
        <v>56</v>
      </c>
      <c r="Y491" t="s">
        <v>49</v>
      </c>
      <c r="AA491" t="s">
        <v>122</v>
      </c>
      <c r="AB491">
        <v>24</v>
      </c>
      <c r="AC491" t="s">
        <v>192</v>
      </c>
      <c r="AD491" t="s">
        <v>85</v>
      </c>
      <c r="AE491" t="s">
        <v>46</v>
      </c>
      <c r="AF491" t="s">
        <v>44</v>
      </c>
      <c r="AG491" t="str">
        <f t="shared" si="7"/>
        <v>Recorrente</v>
      </c>
      <c r="AH491" t="str">
        <f>IF(AND(SUMIF(E:E,E491,I:I)&gt;=400000,Q491="B2G"),"n","")</f>
        <v/>
      </c>
    </row>
    <row r="492" spans="1:34">
      <c r="A492">
        <v>2026</v>
      </c>
      <c r="B492">
        <v>1</v>
      </c>
      <c r="C492" s="83">
        <v>192343477847</v>
      </c>
      <c r="D492" t="s">
        <v>584</v>
      </c>
      <c r="E492">
        <v>53633054890</v>
      </c>
      <c r="F492">
        <v>635583</v>
      </c>
      <c r="G492">
        <v>49007635304</v>
      </c>
      <c r="H492" t="s">
        <v>35</v>
      </c>
      <c r="I492" s="36">
        <v>2529.12</v>
      </c>
      <c r="J492" s="36">
        <v>2529.12</v>
      </c>
      <c r="K492" s="85">
        <v>0</v>
      </c>
      <c r="L492" s="36">
        <v>210.76</v>
      </c>
      <c r="M492" s="36">
        <v>210.76</v>
      </c>
      <c r="N492" s="36">
        <v>0</v>
      </c>
      <c r="O492" s="36">
        <v>0</v>
      </c>
      <c r="P492" t="s">
        <v>506</v>
      </c>
      <c r="Q492" t="s">
        <v>300</v>
      </c>
      <c r="R492" t="s">
        <v>300</v>
      </c>
      <c r="S492" s="1">
        <v>46036</v>
      </c>
      <c r="T492" s="1">
        <v>46036</v>
      </c>
      <c r="V492" s="1">
        <v>46401</v>
      </c>
      <c r="W492" t="s">
        <v>38</v>
      </c>
      <c r="X492">
        <v>12</v>
      </c>
      <c r="Y492" t="s">
        <v>49</v>
      </c>
      <c r="AA492" t="s">
        <v>112</v>
      </c>
      <c r="AB492">
        <v>12</v>
      </c>
      <c r="AC492" t="s">
        <v>301</v>
      </c>
      <c r="AD492" t="s">
        <v>140</v>
      </c>
      <c r="AE492" t="s">
        <v>46</v>
      </c>
      <c r="AF492" t="s">
        <v>119</v>
      </c>
      <c r="AG492" t="str">
        <f t="shared" si="7"/>
        <v>CC 12x</v>
      </c>
      <c r="AH492" t="str">
        <f>IF(AND(SUMIF(E:E,E492,I:I)&gt;=400000,Q492="B2G"),"n","")</f>
        <v/>
      </c>
    </row>
    <row r="493" spans="1:34">
      <c r="A493">
        <v>2026</v>
      </c>
      <c r="B493">
        <v>1</v>
      </c>
      <c r="C493" s="83">
        <v>19699713336</v>
      </c>
      <c r="D493" t="s">
        <v>585</v>
      </c>
      <c r="E493">
        <v>53635834799</v>
      </c>
      <c r="F493">
        <v>635548</v>
      </c>
      <c r="G493">
        <v>48718100132</v>
      </c>
      <c r="H493" t="s">
        <v>35</v>
      </c>
      <c r="I493" s="36">
        <v>4751.04</v>
      </c>
      <c r="J493" s="36">
        <v>4751.04</v>
      </c>
      <c r="K493" s="85">
        <v>0</v>
      </c>
      <c r="L493" s="36">
        <v>395.92</v>
      </c>
      <c r="M493" s="36">
        <v>395.92</v>
      </c>
      <c r="N493" s="36">
        <v>0</v>
      </c>
      <c r="O493" s="36">
        <v>0</v>
      </c>
      <c r="P493" t="s">
        <v>511</v>
      </c>
      <c r="Q493" t="s">
        <v>300</v>
      </c>
      <c r="R493" t="s">
        <v>300</v>
      </c>
      <c r="S493" s="1">
        <v>46034</v>
      </c>
      <c r="T493" s="1">
        <v>46034</v>
      </c>
      <c r="V493" s="1">
        <v>46399</v>
      </c>
      <c r="W493" t="s">
        <v>38</v>
      </c>
      <c r="X493">
        <v>12</v>
      </c>
      <c r="Y493" t="s">
        <v>49</v>
      </c>
      <c r="AA493" t="s">
        <v>117</v>
      </c>
      <c r="AB493">
        <v>1</v>
      </c>
      <c r="AC493" t="s">
        <v>301</v>
      </c>
      <c r="AD493" t="s">
        <v>85</v>
      </c>
      <c r="AE493" t="s">
        <v>46</v>
      </c>
      <c r="AF493" t="s">
        <v>44</v>
      </c>
      <c r="AG493" t="str">
        <f t="shared" si="7"/>
        <v>À Vista</v>
      </c>
      <c r="AH493" t="str">
        <f>IF(AND(SUMIF(E:E,E493,I:I)&gt;=400000,Q493="B2G"),"n","")</f>
        <v/>
      </c>
    </row>
    <row r="494" spans="1:34">
      <c r="A494">
        <v>2026</v>
      </c>
      <c r="B494">
        <v>1</v>
      </c>
      <c r="C494" s="83">
        <v>192172770740</v>
      </c>
      <c r="D494" t="s">
        <v>586</v>
      </c>
      <c r="E494">
        <v>53664181297</v>
      </c>
      <c r="F494">
        <v>635545</v>
      </c>
      <c r="G494">
        <v>48718427061</v>
      </c>
      <c r="H494" t="s">
        <v>35</v>
      </c>
      <c r="I494" s="36">
        <v>5754</v>
      </c>
      <c r="J494" s="36">
        <v>5754</v>
      </c>
      <c r="K494" s="85">
        <v>0</v>
      </c>
      <c r="L494" s="36">
        <v>479.5</v>
      </c>
      <c r="M494" s="36">
        <v>479.5</v>
      </c>
      <c r="N494" s="36">
        <v>0</v>
      </c>
      <c r="O494" s="36">
        <v>0</v>
      </c>
      <c r="P494" t="s">
        <v>562</v>
      </c>
      <c r="Q494" t="s">
        <v>498</v>
      </c>
      <c r="R494" t="s">
        <v>498</v>
      </c>
      <c r="S494" s="1">
        <v>46034</v>
      </c>
      <c r="T494" s="1">
        <v>46034</v>
      </c>
      <c r="V494" s="1">
        <v>46399</v>
      </c>
      <c r="W494" t="s">
        <v>38</v>
      </c>
      <c r="X494">
        <v>12</v>
      </c>
      <c r="Y494" t="s">
        <v>49</v>
      </c>
      <c r="AA494" t="s">
        <v>112</v>
      </c>
      <c r="AB494">
        <v>12</v>
      </c>
      <c r="AC494" t="s">
        <v>499</v>
      </c>
      <c r="AD494" t="s">
        <v>85</v>
      </c>
      <c r="AE494" t="s">
        <v>46</v>
      </c>
      <c r="AF494" t="s">
        <v>44</v>
      </c>
      <c r="AG494" t="str">
        <f t="shared" si="7"/>
        <v>CC 12x</v>
      </c>
      <c r="AH494" t="str">
        <f>IF(AND(SUMIF(E:E,E494,I:I)&gt;=400000,Q494="B2G"),"n","")</f>
        <v/>
      </c>
    </row>
    <row r="495" spans="1:34">
      <c r="A495">
        <v>2026</v>
      </c>
      <c r="B495">
        <v>1</v>
      </c>
      <c r="C495" s="83">
        <v>119403213646</v>
      </c>
      <c r="D495" t="s">
        <v>587</v>
      </c>
      <c r="E495">
        <v>53675937561</v>
      </c>
      <c r="F495">
        <v>635073</v>
      </c>
      <c r="G495">
        <v>49270935194</v>
      </c>
      <c r="H495" t="s">
        <v>35</v>
      </c>
      <c r="I495" s="36">
        <v>2113.8000000000002</v>
      </c>
      <c r="J495" s="36">
        <v>2443.3200000000002</v>
      </c>
      <c r="K495" s="85">
        <v>0</v>
      </c>
      <c r="L495" s="36">
        <v>203.61</v>
      </c>
      <c r="M495" s="36">
        <v>0</v>
      </c>
      <c r="N495" s="36">
        <v>203.61</v>
      </c>
      <c r="O495" s="36">
        <v>0</v>
      </c>
      <c r="P495" t="s">
        <v>323</v>
      </c>
      <c r="Q495" t="s">
        <v>191</v>
      </c>
      <c r="R495" t="s">
        <v>191</v>
      </c>
      <c r="S495" s="1">
        <v>46038</v>
      </c>
      <c r="T495" s="1">
        <v>46038</v>
      </c>
      <c r="V495" s="1">
        <v>46354</v>
      </c>
      <c r="W495" t="s">
        <v>38</v>
      </c>
      <c r="X495">
        <v>10</v>
      </c>
      <c r="Y495" t="s">
        <v>49</v>
      </c>
      <c r="Z495" t="s">
        <v>324</v>
      </c>
      <c r="AA495" t="s">
        <v>112</v>
      </c>
      <c r="AB495">
        <v>10</v>
      </c>
      <c r="AC495" t="s">
        <v>192</v>
      </c>
      <c r="AD495" t="s">
        <v>118</v>
      </c>
      <c r="AE495" t="s">
        <v>43</v>
      </c>
      <c r="AF495" t="s">
        <v>119</v>
      </c>
      <c r="AG495" t="str">
        <f t="shared" si="7"/>
        <v>CC 12x</v>
      </c>
      <c r="AH495" t="str">
        <f>IF(AND(SUMIF(E:E,E495,I:I)&gt;=400000,Q495="B2G"),"n","")</f>
        <v/>
      </c>
    </row>
    <row r="496" spans="1:34">
      <c r="A496">
        <v>2026</v>
      </c>
      <c r="B496">
        <v>1</v>
      </c>
      <c r="C496" s="83">
        <v>193340775989</v>
      </c>
      <c r="D496" t="s">
        <v>588</v>
      </c>
      <c r="E496">
        <v>53676128025</v>
      </c>
      <c r="F496">
        <v>635543</v>
      </c>
      <c r="G496">
        <v>48825762688</v>
      </c>
      <c r="H496" t="s">
        <v>35</v>
      </c>
      <c r="I496" s="36">
        <v>1724.4</v>
      </c>
      <c r="J496" s="36">
        <v>1724.4</v>
      </c>
      <c r="K496" s="85">
        <v>0</v>
      </c>
      <c r="L496" s="36">
        <v>143.69999999999999</v>
      </c>
      <c r="M496" s="36">
        <v>143.69999999999999</v>
      </c>
      <c r="N496" s="36">
        <v>0</v>
      </c>
      <c r="O496" s="36">
        <v>0</v>
      </c>
      <c r="P496" t="s">
        <v>299</v>
      </c>
      <c r="Q496" t="s">
        <v>300</v>
      </c>
      <c r="R496" t="s">
        <v>80</v>
      </c>
      <c r="S496" s="1">
        <v>46034</v>
      </c>
      <c r="T496" s="1">
        <v>46034</v>
      </c>
      <c r="V496" s="1">
        <v>46399</v>
      </c>
      <c r="W496" t="s">
        <v>38</v>
      </c>
      <c r="X496">
        <v>12</v>
      </c>
      <c r="Y496" t="s">
        <v>49</v>
      </c>
      <c r="AA496" t="s">
        <v>112</v>
      </c>
      <c r="AB496">
        <v>12</v>
      </c>
      <c r="AC496" t="s">
        <v>495</v>
      </c>
      <c r="AD496" t="s">
        <v>118</v>
      </c>
      <c r="AE496" t="s">
        <v>43</v>
      </c>
      <c r="AF496" t="s">
        <v>119</v>
      </c>
      <c r="AG496" t="str">
        <f t="shared" si="7"/>
        <v>CC 12x</v>
      </c>
      <c r="AH496" t="str">
        <f>IF(AND(SUMIF(E:E,E496,I:I)&gt;=400000,Q496="B2G"),"n","")</f>
        <v/>
      </c>
    </row>
    <row r="497" spans="1:34">
      <c r="A497">
        <v>2026</v>
      </c>
      <c r="B497">
        <v>1</v>
      </c>
      <c r="C497" s="83">
        <v>2066118</v>
      </c>
      <c r="D497" t="s">
        <v>589</v>
      </c>
      <c r="E497">
        <v>53676576936</v>
      </c>
      <c r="F497">
        <v>635555</v>
      </c>
      <c r="G497">
        <v>48718215056</v>
      </c>
      <c r="H497" t="s">
        <v>35</v>
      </c>
      <c r="I497" s="36">
        <v>2606.7600000000002</v>
      </c>
      <c r="J497" s="36">
        <v>2606.7199999999998</v>
      </c>
      <c r="K497" s="85">
        <v>0.04</v>
      </c>
      <c r="L497" s="36">
        <v>217.23</v>
      </c>
      <c r="M497" s="36">
        <v>217.23</v>
      </c>
      <c r="N497" s="36">
        <v>0</v>
      </c>
      <c r="O497" s="36">
        <v>0</v>
      </c>
      <c r="P497" t="s">
        <v>506</v>
      </c>
      <c r="Q497" t="s">
        <v>300</v>
      </c>
      <c r="R497" t="s">
        <v>300</v>
      </c>
      <c r="S497" s="1">
        <v>46035</v>
      </c>
      <c r="T497" s="1">
        <v>46035</v>
      </c>
      <c r="V497" s="1">
        <v>46400</v>
      </c>
      <c r="W497" t="s">
        <v>38</v>
      </c>
      <c r="X497">
        <v>12</v>
      </c>
      <c r="Y497" t="s">
        <v>49</v>
      </c>
      <c r="AA497" t="s">
        <v>112</v>
      </c>
      <c r="AB497">
        <v>12</v>
      </c>
      <c r="AC497" t="s">
        <v>301</v>
      </c>
      <c r="AD497" t="s">
        <v>118</v>
      </c>
      <c r="AE497" t="s">
        <v>43</v>
      </c>
      <c r="AF497" t="s">
        <v>119</v>
      </c>
      <c r="AG497" t="str">
        <f t="shared" si="7"/>
        <v>CC 12x</v>
      </c>
      <c r="AH497" t="str">
        <f>IF(AND(SUMIF(E:E,E497,I:I)&gt;=400000,Q497="B2G"),"n","")</f>
        <v/>
      </c>
    </row>
    <row r="498" spans="1:34">
      <c r="A498">
        <v>2026</v>
      </c>
      <c r="B498">
        <v>1</v>
      </c>
      <c r="C498" s="83">
        <v>2113773</v>
      </c>
      <c r="D498" t="s">
        <v>590</v>
      </c>
      <c r="E498">
        <v>53676621976</v>
      </c>
      <c r="F498">
        <v>544159</v>
      </c>
      <c r="G498">
        <v>48827610167</v>
      </c>
      <c r="H498" t="s">
        <v>35</v>
      </c>
      <c r="I498" s="36">
        <v>2356.56</v>
      </c>
      <c r="J498" s="36">
        <v>3842.88</v>
      </c>
      <c r="K498" s="85">
        <v>0</v>
      </c>
      <c r="L498" s="36">
        <v>320.24</v>
      </c>
      <c r="M498" s="36">
        <v>0</v>
      </c>
      <c r="N498" s="36">
        <v>320.24</v>
      </c>
      <c r="O498" s="36">
        <v>0</v>
      </c>
      <c r="P498" t="s">
        <v>520</v>
      </c>
      <c r="Q498" t="s">
        <v>191</v>
      </c>
      <c r="R498" t="s">
        <v>191</v>
      </c>
      <c r="S498" s="1">
        <v>46034</v>
      </c>
      <c r="T498" s="1">
        <v>46034</v>
      </c>
      <c r="V498" s="1">
        <v>46258</v>
      </c>
      <c r="W498" t="s">
        <v>38</v>
      </c>
      <c r="X498">
        <v>7</v>
      </c>
      <c r="Y498" t="s">
        <v>49</v>
      </c>
      <c r="Z498" t="s">
        <v>324</v>
      </c>
      <c r="AA498" t="s">
        <v>122</v>
      </c>
      <c r="AB498">
        <v>7</v>
      </c>
      <c r="AC498" t="s">
        <v>192</v>
      </c>
      <c r="AD498" t="s">
        <v>134</v>
      </c>
      <c r="AE498" t="s">
        <v>135</v>
      </c>
      <c r="AF498" t="s">
        <v>44</v>
      </c>
      <c r="AG498" t="str">
        <f t="shared" si="7"/>
        <v>Recorrente</v>
      </c>
      <c r="AH498" t="str">
        <f>IF(AND(SUMIF(E:E,E498,I:I)&gt;=400000,Q498="B2G"),"n","")</f>
        <v/>
      </c>
    </row>
    <row r="499" spans="1:34">
      <c r="A499">
        <v>2026</v>
      </c>
      <c r="B499">
        <v>1</v>
      </c>
      <c r="C499" s="83">
        <v>26326881167</v>
      </c>
      <c r="D499" t="s">
        <v>591</v>
      </c>
      <c r="E499">
        <v>53682342818</v>
      </c>
      <c r="F499">
        <v>625246</v>
      </c>
      <c r="G499">
        <v>50350917709</v>
      </c>
      <c r="H499" t="s">
        <v>35</v>
      </c>
      <c r="I499" s="36">
        <v>3462.84</v>
      </c>
      <c r="J499" s="36">
        <v>3462.84</v>
      </c>
      <c r="K499" s="85">
        <v>0</v>
      </c>
      <c r="L499" s="36">
        <v>288.57</v>
      </c>
      <c r="M499" s="36">
        <v>0</v>
      </c>
      <c r="N499" s="36">
        <v>32.83</v>
      </c>
      <c r="O499" s="36">
        <v>255.75</v>
      </c>
      <c r="P499" t="s">
        <v>162</v>
      </c>
      <c r="Q499" t="s">
        <v>111</v>
      </c>
      <c r="R499" t="s">
        <v>111</v>
      </c>
      <c r="S499" s="1">
        <v>46052</v>
      </c>
      <c r="T499" s="1">
        <v>46052</v>
      </c>
      <c r="U499" s="1">
        <v>46025</v>
      </c>
      <c r="V499" s="1">
        <v>46417</v>
      </c>
      <c r="W499" t="s">
        <v>38</v>
      </c>
      <c r="X499">
        <v>12</v>
      </c>
      <c r="Y499" t="s">
        <v>49</v>
      </c>
      <c r="Z499" t="s">
        <v>81</v>
      </c>
      <c r="AA499" t="s">
        <v>112</v>
      </c>
      <c r="AB499">
        <v>12</v>
      </c>
      <c r="AC499" t="s">
        <v>113</v>
      </c>
      <c r="AD499" t="s">
        <v>160</v>
      </c>
      <c r="AE499" t="s">
        <v>43</v>
      </c>
      <c r="AF499" t="s">
        <v>44</v>
      </c>
      <c r="AG499" t="str">
        <f t="shared" si="7"/>
        <v>CC 12x</v>
      </c>
      <c r="AH499" t="str">
        <f>IF(AND(SUMIF(E:E,E499,I:I)&gt;=400000,Q499="B2G"),"n","")</f>
        <v/>
      </c>
    </row>
    <row r="500" spans="1:34">
      <c r="A500">
        <v>2026</v>
      </c>
      <c r="B500">
        <v>1</v>
      </c>
      <c r="C500" s="83">
        <v>199926456142</v>
      </c>
      <c r="D500" t="s">
        <v>592</v>
      </c>
      <c r="E500">
        <v>53685679176</v>
      </c>
      <c r="F500">
        <v>630510</v>
      </c>
      <c r="G500">
        <v>48994060161</v>
      </c>
      <c r="H500" t="s">
        <v>35</v>
      </c>
      <c r="I500" s="36">
        <v>1735.92</v>
      </c>
      <c r="J500" s="36">
        <v>3843</v>
      </c>
      <c r="K500" s="85">
        <v>0</v>
      </c>
      <c r="L500" s="36">
        <v>320.25</v>
      </c>
      <c r="M500" s="36">
        <v>0</v>
      </c>
      <c r="N500" s="36">
        <v>320.25</v>
      </c>
      <c r="O500" s="36">
        <v>0</v>
      </c>
      <c r="P500" t="s">
        <v>323</v>
      </c>
      <c r="Q500" t="s">
        <v>191</v>
      </c>
      <c r="R500" t="s">
        <v>191</v>
      </c>
      <c r="S500" s="1">
        <v>46036</v>
      </c>
      <c r="T500" s="1">
        <v>46036</v>
      </c>
      <c r="V500" s="1">
        <v>46201</v>
      </c>
      <c r="W500" t="s">
        <v>38</v>
      </c>
      <c r="X500">
        <v>5</v>
      </c>
      <c r="Y500" t="s">
        <v>49</v>
      </c>
      <c r="Z500" t="s">
        <v>324</v>
      </c>
      <c r="AA500" t="s">
        <v>122</v>
      </c>
      <c r="AB500">
        <v>5</v>
      </c>
      <c r="AC500" t="s">
        <v>192</v>
      </c>
      <c r="AD500" t="s">
        <v>134</v>
      </c>
      <c r="AE500" t="s">
        <v>135</v>
      </c>
      <c r="AF500" t="s">
        <v>44</v>
      </c>
      <c r="AG500" t="str">
        <f t="shared" si="7"/>
        <v>Recorrente</v>
      </c>
      <c r="AH500" t="str">
        <f>IF(AND(SUMIF(E:E,E500,I:I)&gt;=400000,Q500="B2G"),"n","")</f>
        <v/>
      </c>
    </row>
    <row r="501" spans="1:34">
      <c r="A501">
        <v>2026</v>
      </c>
      <c r="B501">
        <v>1</v>
      </c>
      <c r="C501" s="83">
        <v>19435670867</v>
      </c>
      <c r="D501" t="s">
        <v>593</v>
      </c>
      <c r="E501">
        <v>53685856134</v>
      </c>
      <c r="F501">
        <v>635547</v>
      </c>
      <c r="G501">
        <v>48884603306</v>
      </c>
      <c r="H501" t="s">
        <v>35</v>
      </c>
      <c r="I501" s="36">
        <v>8634.6</v>
      </c>
      <c r="J501" s="36">
        <v>4147.1400000000003</v>
      </c>
      <c r="K501" s="85">
        <v>4487.46</v>
      </c>
      <c r="L501" s="36">
        <v>345.6</v>
      </c>
      <c r="M501" s="36">
        <v>0</v>
      </c>
      <c r="N501" s="36">
        <v>345.6</v>
      </c>
      <c r="O501" s="36">
        <v>0</v>
      </c>
      <c r="P501" t="s">
        <v>367</v>
      </c>
      <c r="Q501" t="s">
        <v>191</v>
      </c>
      <c r="R501" t="s">
        <v>191</v>
      </c>
      <c r="S501" s="1">
        <v>46034</v>
      </c>
      <c r="T501" s="1">
        <v>46034</v>
      </c>
      <c r="V501" s="1">
        <v>46399</v>
      </c>
      <c r="W501" t="s">
        <v>38</v>
      </c>
      <c r="Y501" t="s">
        <v>49</v>
      </c>
      <c r="AA501" t="s">
        <v>122</v>
      </c>
      <c r="AB501">
        <v>12</v>
      </c>
      <c r="AC501" t="s">
        <v>192</v>
      </c>
      <c r="AD501" t="s">
        <v>131</v>
      </c>
      <c r="AE501" t="s">
        <v>46</v>
      </c>
      <c r="AF501" t="s">
        <v>96</v>
      </c>
      <c r="AG501" t="str">
        <f t="shared" si="7"/>
        <v>Recorrente</v>
      </c>
      <c r="AH501" t="str">
        <f>IF(AND(SUMIF(E:E,E501,I:I)&gt;=400000,Q501="B2G"),"n","")</f>
        <v/>
      </c>
    </row>
    <row r="502" spans="1:34">
      <c r="A502">
        <v>2026</v>
      </c>
      <c r="B502">
        <v>1</v>
      </c>
      <c r="C502" s="83">
        <v>19435670867</v>
      </c>
      <c r="D502" t="s">
        <v>593</v>
      </c>
      <c r="E502">
        <v>53685856134</v>
      </c>
      <c r="F502">
        <v>635547</v>
      </c>
      <c r="G502">
        <v>48884603307</v>
      </c>
      <c r="H502" t="s">
        <v>35</v>
      </c>
      <c r="I502" s="36">
        <v>2874</v>
      </c>
      <c r="J502" s="36">
        <v>1380.36</v>
      </c>
      <c r="K502" s="85">
        <v>1493.64</v>
      </c>
      <c r="L502" s="36">
        <v>115.03</v>
      </c>
      <c r="M502" s="36">
        <v>0</v>
      </c>
      <c r="N502" s="36">
        <v>115.03</v>
      </c>
      <c r="O502" s="36">
        <v>0</v>
      </c>
      <c r="P502" t="s">
        <v>367</v>
      </c>
      <c r="Q502" t="s">
        <v>191</v>
      </c>
      <c r="R502" t="s">
        <v>191</v>
      </c>
      <c r="S502" s="1">
        <v>46034</v>
      </c>
      <c r="T502" s="1">
        <v>46034</v>
      </c>
      <c r="V502" s="1">
        <v>46399</v>
      </c>
      <c r="W502" t="s">
        <v>38</v>
      </c>
      <c r="Y502" t="s">
        <v>49</v>
      </c>
      <c r="AA502" t="s">
        <v>122</v>
      </c>
      <c r="AB502">
        <v>12</v>
      </c>
      <c r="AC502" t="s">
        <v>192</v>
      </c>
      <c r="AD502" t="s">
        <v>140</v>
      </c>
      <c r="AE502" t="s">
        <v>46</v>
      </c>
      <c r="AF502" t="s">
        <v>119</v>
      </c>
      <c r="AG502" t="str">
        <f t="shared" si="7"/>
        <v>Recorrente</v>
      </c>
      <c r="AH502" t="str">
        <f>IF(AND(SUMIF(E:E,E502,I:I)&gt;=400000,Q502="B2G"),"n","")</f>
        <v/>
      </c>
    </row>
    <row r="503" spans="1:34">
      <c r="A503">
        <v>2026</v>
      </c>
      <c r="B503">
        <v>1</v>
      </c>
      <c r="C503" s="83">
        <v>19435670867</v>
      </c>
      <c r="D503" t="s">
        <v>593</v>
      </c>
      <c r="E503">
        <v>53685856134</v>
      </c>
      <c r="F503">
        <v>635547</v>
      </c>
      <c r="G503">
        <v>48884603308</v>
      </c>
      <c r="H503" t="s">
        <v>35</v>
      </c>
      <c r="I503" s="36">
        <v>2874</v>
      </c>
      <c r="J503" s="36">
        <v>1380.36</v>
      </c>
      <c r="K503" s="85">
        <v>1493.64</v>
      </c>
      <c r="L503" s="36">
        <v>115.03</v>
      </c>
      <c r="M503" s="36">
        <v>0</v>
      </c>
      <c r="N503" s="36">
        <v>115.03</v>
      </c>
      <c r="O503" s="36">
        <v>0</v>
      </c>
      <c r="P503" t="s">
        <v>367</v>
      </c>
      <c r="Q503" t="s">
        <v>191</v>
      </c>
      <c r="R503" t="s">
        <v>191</v>
      </c>
      <c r="S503" s="1">
        <v>46034</v>
      </c>
      <c r="T503" s="1">
        <v>46034</v>
      </c>
      <c r="V503" s="1">
        <v>46399</v>
      </c>
      <c r="W503" t="s">
        <v>38</v>
      </c>
      <c r="Y503" t="s">
        <v>49</v>
      </c>
      <c r="AA503" t="s">
        <v>122</v>
      </c>
      <c r="AB503">
        <v>12</v>
      </c>
      <c r="AC503" t="s">
        <v>192</v>
      </c>
      <c r="AD503" t="s">
        <v>118</v>
      </c>
      <c r="AE503" t="s">
        <v>43</v>
      </c>
      <c r="AF503" t="s">
        <v>119</v>
      </c>
      <c r="AG503" t="str">
        <f t="shared" si="7"/>
        <v>Recorrente</v>
      </c>
      <c r="AH503" t="str">
        <f>IF(AND(SUMIF(E:E,E503,I:I)&gt;=400000,Q503="B2G"),"n","")</f>
        <v/>
      </c>
    </row>
    <row r="504" spans="1:34">
      <c r="A504">
        <v>2026</v>
      </c>
      <c r="B504">
        <v>1</v>
      </c>
      <c r="C504" s="83">
        <v>19435670867</v>
      </c>
      <c r="D504" t="s">
        <v>593</v>
      </c>
      <c r="E504">
        <v>53685856134</v>
      </c>
      <c r="F504">
        <v>635547</v>
      </c>
      <c r="G504">
        <v>48884603309</v>
      </c>
      <c r="H504" t="s">
        <v>35</v>
      </c>
      <c r="I504" s="36">
        <v>5718.6</v>
      </c>
      <c r="J504" s="36">
        <v>2746.61</v>
      </c>
      <c r="K504" s="85">
        <v>2971.99</v>
      </c>
      <c r="L504" s="36">
        <v>228.88</v>
      </c>
      <c r="M504" s="36">
        <v>0</v>
      </c>
      <c r="N504" s="36">
        <v>228.88</v>
      </c>
      <c r="O504" s="36">
        <v>0</v>
      </c>
      <c r="P504" t="s">
        <v>367</v>
      </c>
      <c r="Q504" t="s">
        <v>191</v>
      </c>
      <c r="R504" t="s">
        <v>191</v>
      </c>
      <c r="S504" s="1">
        <v>46034</v>
      </c>
      <c r="T504" s="1">
        <v>46034</v>
      </c>
      <c r="V504" s="1">
        <v>46399</v>
      </c>
      <c r="W504" t="s">
        <v>38</v>
      </c>
      <c r="Y504" t="s">
        <v>49</v>
      </c>
      <c r="AA504" t="s">
        <v>122</v>
      </c>
      <c r="AB504">
        <v>12</v>
      </c>
      <c r="AC504" t="s">
        <v>192</v>
      </c>
      <c r="AD504" t="s">
        <v>149</v>
      </c>
      <c r="AE504" t="s">
        <v>43</v>
      </c>
      <c r="AF504" t="s">
        <v>96</v>
      </c>
      <c r="AG504" t="str">
        <f t="shared" si="7"/>
        <v>Recorrente</v>
      </c>
      <c r="AH504" t="str">
        <f>IF(AND(SUMIF(E:E,E504,I:I)&gt;=400000,Q504="B2G"),"n","")</f>
        <v/>
      </c>
    </row>
    <row r="505" spans="1:34">
      <c r="A505">
        <v>2026</v>
      </c>
      <c r="B505">
        <v>1</v>
      </c>
      <c r="C505" s="83">
        <v>19435670867</v>
      </c>
      <c r="D505" t="s">
        <v>593</v>
      </c>
      <c r="E505">
        <v>53685856134</v>
      </c>
      <c r="F505">
        <v>635547</v>
      </c>
      <c r="G505">
        <v>48884603310</v>
      </c>
      <c r="H505" t="s">
        <v>35</v>
      </c>
      <c r="I505" s="36">
        <v>6354</v>
      </c>
      <c r="J505" s="36">
        <v>3051.79</v>
      </c>
      <c r="K505" s="85">
        <v>3302.21</v>
      </c>
      <c r="L505" s="36">
        <v>254.32</v>
      </c>
      <c r="M505" s="36">
        <v>0</v>
      </c>
      <c r="N505" s="36">
        <v>254.32</v>
      </c>
      <c r="O505" s="36">
        <v>0</v>
      </c>
      <c r="P505" t="s">
        <v>367</v>
      </c>
      <c r="Q505" t="s">
        <v>191</v>
      </c>
      <c r="R505" t="s">
        <v>191</v>
      </c>
      <c r="S505" s="1">
        <v>46034</v>
      </c>
      <c r="T505" s="1">
        <v>46034</v>
      </c>
      <c r="V505" s="1">
        <v>46399</v>
      </c>
      <c r="W505" t="s">
        <v>38</v>
      </c>
      <c r="Y505" t="s">
        <v>49</v>
      </c>
      <c r="AA505" t="s">
        <v>122</v>
      </c>
      <c r="AB505">
        <v>12</v>
      </c>
      <c r="AC505" t="s">
        <v>192</v>
      </c>
      <c r="AD505" t="s">
        <v>149</v>
      </c>
      <c r="AE505" t="s">
        <v>43</v>
      </c>
      <c r="AF505" t="s">
        <v>96</v>
      </c>
      <c r="AG505" t="str">
        <f t="shared" si="7"/>
        <v>Recorrente</v>
      </c>
      <c r="AH505" t="str">
        <f>IF(AND(SUMIF(E:E,E505,I:I)&gt;=400000,Q505="B2G"),"n","")</f>
        <v/>
      </c>
    </row>
    <row r="506" spans="1:34">
      <c r="A506">
        <v>2026</v>
      </c>
      <c r="B506">
        <v>1</v>
      </c>
      <c r="C506" s="83">
        <v>19435670867</v>
      </c>
      <c r="D506" t="s">
        <v>593</v>
      </c>
      <c r="E506">
        <v>53685856134</v>
      </c>
      <c r="F506">
        <v>635547</v>
      </c>
      <c r="G506">
        <v>48884603311</v>
      </c>
      <c r="H506" t="s">
        <v>35</v>
      </c>
      <c r="I506" s="36">
        <v>5514</v>
      </c>
      <c r="J506" s="36">
        <v>2648.34</v>
      </c>
      <c r="K506" s="85">
        <v>2865.66</v>
      </c>
      <c r="L506" s="36">
        <v>220.69</v>
      </c>
      <c r="M506" s="36">
        <v>0</v>
      </c>
      <c r="N506" s="36">
        <v>220.69</v>
      </c>
      <c r="O506" s="36">
        <v>0</v>
      </c>
      <c r="P506" t="s">
        <v>367</v>
      </c>
      <c r="Q506" t="s">
        <v>191</v>
      </c>
      <c r="R506" t="s">
        <v>191</v>
      </c>
      <c r="S506" s="1">
        <v>46034</v>
      </c>
      <c r="T506" s="1">
        <v>46034</v>
      </c>
      <c r="V506" s="1">
        <v>46399</v>
      </c>
      <c r="W506" t="s">
        <v>38</v>
      </c>
      <c r="Y506" t="s">
        <v>49</v>
      </c>
      <c r="AA506" t="s">
        <v>122</v>
      </c>
      <c r="AB506">
        <v>12</v>
      </c>
      <c r="AC506" t="s">
        <v>192</v>
      </c>
      <c r="AD506" t="s">
        <v>138</v>
      </c>
      <c r="AE506" t="s">
        <v>135</v>
      </c>
      <c r="AF506" t="s">
        <v>119</v>
      </c>
      <c r="AG506" t="str">
        <f t="shared" si="7"/>
        <v>Recorrente</v>
      </c>
      <c r="AH506" t="str">
        <f>IF(AND(SUMIF(E:E,E506,I:I)&gt;=400000,Q506="B2G"),"n","")</f>
        <v/>
      </c>
    </row>
    <row r="507" spans="1:34">
      <c r="A507">
        <v>2026</v>
      </c>
      <c r="B507">
        <v>1</v>
      </c>
      <c r="C507" s="83">
        <v>23140316440</v>
      </c>
      <c r="D507" t="s">
        <v>594</v>
      </c>
      <c r="E507">
        <v>53692630450</v>
      </c>
      <c r="F507">
        <v>635556</v>
      </c>
      <c r="G507">
        <v>48885893889</v>
      </c>
      <c r="H507" t="s">
        <v>35</v>
      </c>
      <c r="I507" s="36">
        <v>5466.24</v>
      </c>
      <c r="J507" s="36">
        <v>5466.3</v>
      </c>
      <c r="K507" s="85">
        <v>0</v>
      </c>
      <c r="L507" s="36">
        <v>455.53</v>
      </c>
      <c r="M507" s="36">
        <v>455.53</v>
      </c>
      <c r="N507" s="36">
        <v>0</v>
      </c>
      <c r="O507" s="36">
        <v>0</v>
      </c>
      <c r="P507" t="s">
        <v>361</v>
      </c>
      <c r="Q507" t="s">
        <v>349</v>
      </c>
      <c r="R507" t="s">
        <v>349</v>
      </c>
      <c r="S507" s="1">
        <v>46035</v>
      </c>
      <c r="T507" s="1">
        <v>46035</v>
      </c>
      <c r="V507" s="1">
        <v>46400</v>
      </c>
      <c r="W507" t="s">
        <v>38</v>
      </c>
      <c r="X507">
        <v>12</v>
      </c>
      <c r="Y507" t="s">
        <v>49</v>
      </c>
      <c r="AA507" t="s">
        <v>112</v>
      </c>
      <c r="AB507">
        <v>12</v>
      </c>
      <c r="AC507" t="s">
        <v>350</v>
      </c>
      <c r="AD507" t="s">
        <v>85</v>
      </c>
      <c r="AE507" t="s">
        <v>46</v>
      </c>
      <c r="AF507" t="s">
        <v>44</v>
      </c>
      <c r="AG507" t="str">
        <f t="shared" si="7"/>
        <v>CC 12x</v>
      </c>
      <c r="AH507" t="str">
        <f>IF(AND(SUMIF(E:E,E507,I:I)&gt;=400000,Q507="B2G"),"n","")</f>
        <v/>
      </c>
    </row>
    <row r="508" spans="1:34">
      <c r="A508">
        <v>2026</v>
      </c>
      <c r="B508">
        <v>1</v>
      </c>
      <c r="C508" s="83">
        <v>192342584346</v>
      </c>
      <c r="D508" t="s">
        <v>595</v>
      </c>
      <c r="E508">
        <v>53693881270</v>
      </c>
      <c r="F508">
        <v>300947</v>
      </c>
      <c r="G508">
        <v>49358495337</v>
      </c>
      <c r="H508" t="s">
        <v>35</v>
      </c>
      <c r="I508" s="36">
        <v>6664.68</v>
      </c>
      <c r="J508" s="36">
        <v>6664.68</v>
      </c>
      <c r="K508" s="85">
        <v>0</v>
      </c>
      <c r="L508" s="36">
        <v>555.39</v>
      </c>
      <c r="M508" s="36">
        <v>0</v>
      </c>
      <c r="N508" s="36">
        <v>114.14</v>
      </c>
      <c r="O508" s="36">
        <v>441.25</v>
      </c>
      <c r="P508" t="s">
        <v>116</v>
      </c>
      <c r="Q508" t="s">
        <v>111</v>
      </c>
      <c r="R508" t="s">
        <v>111</v>
      </c>
      <c r="S508" s="1">
        <v>46052</v>
      </c>
      <c r="T508" s="1">
        <v>46052</v>
      </c>
      <c r="U508" s="1">
        <v>46034</v>
      </c>
      <c r="V508" s="1">
        <v>46417</v>
      </c>
      <c r="W508" t="s">
        <v>38</v>
      </c>
      <c r="X508">
        <v>12</v>
      </c>
      <c r="Y508" t="s">
        <v>49</v>
      </c>
      <c r="Z508" t="s">
        <v>81</v>
      </c>
      <c r="AA508" t="s">
        <v>122</v>
      </c>
      <c r="AB508">
        <v>12</v>
      </c>
      <c r="AC508" t="s">
        <v>113</v>
      </c>
      <c r="AD508" t="s">
        <v>134</v>
      </c>
      <c r="AE508" t="s">
        <v>135</v>
      </c>
      <c r="AF508" t="s">
        <v>44</v>
      </c>
      <c r="AG508" t="str">
        <f t="shared" si="7"/>
        <v>Recorrente</v>
      </c>
      <c r="AH508" t="str">
        <f>IF(AND(SUMIF(E:E,E508,I:I)&gt;=400000,Q508="B2G"),"n","")</f>
        <v/>
      </c>
    </row>
    <row r="509" spans="1:34">
      <c r="A509">
        <v>2026</v>
      </c>
      <c r="B509">
        <v>1</v>
      </c>
      <c r="C509" s="83">
        <v>19435672386</v>
      </c>
      <c r="D509" t="s">
        <v>596</v>
      </c>
      <c r="E509">
        <v>53697320018</v>
      </c>
      <c r="F509">
        <v>523198</v>
      </c>
      <c r="G509">
        <v>48938535189</v>
      </c>
      <c r="H509" t="s">
        <v>35</v>
      </c>
      <c r="I509" s="36">
        <v>4890.84</v>
      </c>
      <c r="J509" s="36">
        <v>0.06</v>
      </c>
      <c r="K509" s="85">
        <v>4890.78</v>
      </c>
      <c r="L509" s="36">
        <v>0.01</v>
      </c>
      <c r="M509" s="36">
        <v>0</v>
      </c>
      <c r="N509" s="36">
        <v>0.01</v>
      </c>
      <c r="O509" s="36">
        <v>0</v>
      </c>
      <c r="P509" t="s">
        <v>121</v>
      </c>
      <c r="Q509" t="s">
        <v>111</v>
      </c>
      <c r="R509" t="s">
        <v>111</v>
      </c>
      <c r="S509" s="1">
        <v>46036</v>
      </c>
      <c r="T509" s="1">
        <v>46036</v>
      </c>
      <c r="V509" s="1">
        <v>46418</v>
      </c>
      <c r="W509" t="s">
        <v>38</v>
      </c>
      <c r="Y509" t="s">
        <v>49</v>
      </c>
      <c r="Z509" t="s">
        <v>81</v>
      </c>
      <c r="AA509" t="s">
        <v>122</v>
      </c>
      <c r="AB509">
        <v>12</v>
      </c>
      <c r="AC509" t="s">
        <v>113</v>
      </c>
      <c r="AD509" t="s">
        <v>85</v>
      </c>
      <c r="AE509" t="s">
        <v>46</v>
      </c>
      <c r="AF509" t="s">
        <v>44</v>
      </c>
      <c r="AG509" t="str">
        <f t="shared" si="7"/>
        <v>Recorrente</v>
      </c>
      <c r="AH509" t="str">
        <f>IF(AND(SUMIF(E:E,E509,I:I)&gt;=400000,Q509="B2G"),"n","")</f>
        <v/>
      </c>
    </row>
    <row r="510" spans="1:34">
      <c r="A510">
        <v>2026</v>
      </c>
      <c r="B510">
        <v>1</v>
      </c>
      <c r="C510" s="83">
        <v>91899863901</v>
      </c>
      <c r="D510" t="s">
        <v>597</v>
      </c>
      <c r="E510">
        <v>53697320810</v>
      </c>
      <c r="F510">
        <v>319508</v>
      </c>
      <c r="G510">
        <v>49007263144</v>
      </c>
      <c r="H510" t="s">
        <v>35</v>
      </c>
      <c r="I510" s="36">
        <v>1799.04</v>
      </c>
      <c r="J510" s="36">
        <v>3842.9</v>
      </c>
      <c r="K510" s="85">
        <v>0</v>
      </c>
      <c r="L510" s="36">
        <v>320.24</v>
      </c>
      <c r="M510" s="36">
        <v>0</v>
      </c>
      <c r="N510" s="36">
        <v>320.24</v>
      </c>
      <c r="O510" s="36">
        <v>0</v>
      </c>
      <c r="P510" t="s">
        <v>162</v>
      </c>
      <c r="Q510" t="s">
        <v>111</v>
      </c>
      <c r="R510" t="s">
        <v>111</v>
      </c>
      <c r="S510" s="1">
        <v>46036</v>
      </c>
      <c r="T510" s="1">
        <v>46036</v>
      </c>
      <c r="V510" s="1">
        <v>46207</v>
      </c>
      <c r="W510" t="s">
        <v>38</v>
      </c>
      <c r="X510">
        <v>6</v>
      </c>
      <c r="Y510" t="s">
        <v>49</v>
      </c>
      <c r="Z510" t="s">
        <v>324</v>
      </c>
      <c r="AA510" t="s">
        <v>122</v>
      </c>
      <c r="AB510">
        <v>5</v>
      </c>
      <c r="AC510" t="s">
        <v>598</v>
      </c>
      <c r="AD510" t="s">
        <v>131</v>
      </c>
      <c r="AE510" t="s">
        <v>46</v>
      </c>
      <c r="AF510" t="s">
        <v>96</v>
      </c>
      <c r="AG510" t="str">
        <f t="shared" si="7"/>
        <v>Recorrente</v>
      </c>
      <c r="AH510" t="str">
        <f>IF(AND(SUMIF(E:E,E510,I:I)&gt;=400000,Q510="B2G"),"n","")</f>
        <v/>
      </c>
    </row>
    <row r="511" spans="1:34">
      <c r="A511">
        <v>2026</v>
      </c>
      <c r="B511">
        <v>1</v>
      </c>
      <c r="C511" s="83">
        <v>17142646148</v>
      </c>
      <c r="D511" t="s">
        <v>599</v>
      </c>
      <c r="E511">
        <v>53699560715</v>
      </c>
      <c r="F511">
        <v>635709</v>
      </c>
      <c r="G511">
        <v>49754686817</v>
      </c>
      <c r="H511" t="s">
        <v>35</v>
      </c>
      <c r="I511" s="36">
        <v>2748</v>
      </c>
      <c r="J511" s="36">
        <v>2748</v>
      </c>
      <c r="K511" s="85">
        <v>0</v>
      </c>
      <c r="L511" s="36">
        <v>229</v>
      </c>
      <c r="M511" s="36">
        <v>229</v>
      </c>
      <c r="N511" s="36">
        <v>0</v>
      </c>
      <c r="O511" s="36">
        <v>0</v>
      </c>
      <c r="P511" t="s">
        <v>511</v>
      </c>
      <c r="Q511" t="s">
        <v>300</v>
      </c>
      <c r="R511" t="s">
        <v>300</v>
      </c>
      <c r="S511" s="1">
        <v>46045</v>
      </c>
      <c r="T511" s="1">
        <v>46045</v>
      </c>
      <c r="V511" s="1">
        <v>46410</v>
      </c>
      <c r="W511" t="s">
        <v>38</v>
      </c>
      <c r="X511">
        <v>12</v>
      </c>
      <c r="Y511" t="s">
        <v>49</v>
      </c>
      <c r="AA511" t="s">
        <v>112</v>
      </c>
      <c r="AB511">
        <v>12</v>
      </c>
      <c r="AC511" t="s">
        <v>301</v>
      </c>
      <c r="AD511" t="s">
        <v>140</v>
      </c>
      <c r="AE511" t="s">
        <v>46</v>
      </c>
      <c r="AF511" t="s">
        <v>119</v>
      </c>
      <c r="AG511" t="str">
        <f t="shared" si="7"/>
        <v>CC 12x</v>
      </c>
      <c r="AH511" t="str">
        <f>IF(AND(SUMIF(E:E,E511,I:I)&gt;=400000,Q511="B2G"),"n","")</f>
        <v/>
      </c>
    </row>
    <row r="512" spans="1:34">
      <c r="A512">
        <v>2026</v>
      </c>
      <c r="B512">
        <v>1</v>
      </c>
      <c r="C512" s="83">
        <v>124886333030</v>
      </c>
      <c r="D512" t="s">
        <v>600</v>
      </c>
      <c r="E512">
        <v>53700805277</v>
      </c>
      <c r="F512">
        <v>635851</v>
      </c>
      <c r="G512">
        <v>50518132760</v>
      </c>
      <c r="H512" t="s">
        <v>35</v>
      </c>
      <c r="I512" s="36">
        <v>4686.84</v>
      </c>
      <c r="J512" s="36">
        <v>4686.8999999999996</v>
      </c>
      <c r="K512" s="85">
        <v>0</v>
      </c>
      <c r="L512" s="36">
        <v>390.58</v>
      </c>
      <c r="M512" s="36">
        <v>0</v>
      </c>
      <c r="N512" s="36">
        <v>61.6</v>
      </c>
      <c r="O512" s="36">
        <v>328.98</v>
      </c>
      <c r="P512" t="s">
        <v>323</v>
      </c>
      <c r="Q512" t="s">
        <v>191</v>
      </c>
      <c r="R512" t="s">
        <v>191</v>
      </c>
      <c r="S512" s="1">
        <v>46052</v>
      </c>
      <c r="T512" s="1">
        <v>46052</v>
      </c>
      <c r="U512" s="1">
        <v>46077</v>
      </c>
      <c r="V512" s="1">
        <v>46417</v>
      </c>
      <c r="W512" t="s">
        <v>38</v>
      </c>
      <c r="X512">
        <v>11</v>
      </c>
      <c r="Y512" t="s">
        <v>49</v>
      </c>
      <c r="AA512" t="s">
        <v>122</v>
      </c>
      <c r="AB512">
        <v>12</v>
      </c>
      <c r="AC512" t="s">
        <v>192</v>
      </c>
      <c r="AD512" t="s">
        <v>138</v>
      </c>
      <c r="AE512" t="s">
        <v>135</v>
      </c>
      <c r="AF512" t="s">
        <v>119</v>
      </c>
      <c r="AG512" t="str">
        <f t="shared" si="7"/>
        <v>Recorrente</v>
      </c>
      <c r="AH512" t="str">
        <f>IF(AND(SUMIF(E:E,E512,I:I)&gt;=400000,Q512="B2G"),"n","")</f>
        <v/>
      </c>
    </row>
    <row r="513" spans="1:34">
      <c r="A513">
        <v>2026</v>
      </c>
      <c r="B513">
        <v>1</v>
      </c>
      <c r="C513" s="83">
        <v>22812263068</v>
      </c>
      <c r="D513" t="s">
        <v>601</v>
      </c>
      <c r="E513">
        <v>53708819897</v>
      </c>
      <c r="F513">
        <v>620616</v>
      </c>
      <c r="G513">
        <v>48890459201</v>
      </c>
      <c r="H513" t="s">
        <v>35</v>
      </c>
      <c r="I513" s="36">
        <v>6322.68</v>
      </c>
      <c r="J513" s="36">
        <v>3842.76</v>
      </c>
      <c r="K513" s="85">
        <v>2479.92</v>
      </c>
      <c r="L513" s="36">
        <v>320.23</v>
      </c>
      <c r="M513" s="36">
        <v>0</v>
      </c>
      <c r="N513" s="36">
        <v>320.23</v>
      </c>
      <c r="O513" s="36">
        <v>0</v>
      </c>
      <c r="P513" t="s">
        <v>323</v>
      </c>
      <c r="Q513" t="s">
        <v>191</v>
      </c>
      <c r="R513" t="s">
        <v>191</v>
      </c>
      <c r="S513" s="1">
        <v>46035</v>
      </c>
      <c r="T513" s="1">
        <v>46035</v>
      </c>
      <c r="V513" s="1">
        <v>46636</v>
      </c>
      <c r="W513" t="s">
        <v>102</v>
      </c>
      <c r="X513">
        <v>20</v>
      </c>
      <c r="Y513" t="s">
        <v>49</v>
      </c>
      <c r="Z513" t="s">
        <v>324</v>
      </c>
      <c r="AA513" t="s">
        <v>122</v>
      </c>
      <c r="AB513">
        <v>19</v>
      </c>
      <c r="AC513" t="s">
        <v>192</v>
      </c>
      <c r="AD513" t="s">
        <v>131</v>
      </c>
      <c r="AE513" t="s">
        <v>46</v>
      </c>
      <c r="AF513" t="s">
        <v>96</v>
      </c>
      <c r="AG513" t="str">
        <f t="shared" ref="AG513:AG576" si="8">IF(IFERROR(SEARCH("Recorrente",AA513),0)&gt;0,"Recorrente",IF(AB513=1,"À Vista",IF(AB513&lt;=3,"CC 3x",IF(AB513&lt;=12,"CC 12x",IF(AB513&gt;12,"Recorrente","")))))</f>
        <v>Recorrente</v>
      </c>
      <c r="AH513" t="str">
        <f>IF(AND(SUMIF(E:E,E513,I:I)&gt;=400000,Q513="B2G"),"n","")</f>
        <v/>
      </c>
    </row>
    <row r="514" spans="1:34">
      <c r="A514">
        <v>2026</v>
      </c>
      <c r="B514">
        <v>1</v>
      </c>
      <c r="C514" s="83">
        <v>32817002095</v>
      </c>
      <c r="D514" t="s">
        <v>602</v>
      </c>
      <c r="E514">
        <v>53714093191</v>
      </c>
      <c r="F514">
        <v>629721</v>
      </c>
      <c r="G514">
        <v>49141811234</v>
      </c>
      <c r="H514" t="s">
        <v>35</v>
      </c>
      <c r="I514" s="36">
        <v>6550.92</v>
      </c>
      <c r="J514" s="36">
        <v>1559.72</v>
      </c>
      <c r="K514" s="85">
        <v>4991.2</v>
      </c>
      <c r="L514" s="36">
        <v>129.97999999999999</v>
      </c>
      <c r="M514" s="36">
        <v>0</v>
      </c>
      <c r="N514" s="36">
        <v>129.97999999999999</v>
      </c>
      <c r="O514" s="36">
        <v>0</v>
      </c>
      <c r="P514" t="s">
        <v>520</v>
      </c>
      <c r="Q514" t="s">
        <v>191</v>
      </c>
      <c r="R514" t="s">
        <v>191</v>
      </c>
      <c r="S514" s="1">
        <v>46037</v>
      </c>
      <c r="T514" s="1">
        <v>46037</v>
      </c>
      <c r="V514" s="1">
        <v>46894</v>
      </c>
      <c r="W514" t="s">
        <v>102</v>
      </c>
      <c r="X514">
        <v>28</v>
      </c>
      <c r="Y514" t="s">
        <v>549</v>
      </c>
      <c r="Z514" t="s">
        <v>324</v>
      </c>
      <c r="AA514" t="s">
        <v>92</v>
      </c>
      <c r="AB514">
        <v>28</v>
      </c>
      <c r="AC514" t="s">
        <v>192</v>
      </c>
      <c r="AD514" t="s">
        <v>158</v>
      </c>
      <c r="AE514" t="s">
        <v>43</v>
      </c>
      <c r="AF514" t="s">
        <v>47</v>
      </c>
      <c r="AG514" t="str">
        <f t="shared" si="8"/>
        <v>Recorrente</v>
      </c>
      <c r="AH514" t="str">
        <f>IF(AND(SUMIF(E:E,E514,I:I)&gt;=400000,Q514="B2G"),"n","")</f>
        <v/>
      </c>
    </row>
    <row r="515" spans="1:34">
      <c r="A515">
        <v>2026</v>
      </c>
      <c r="B515">
        <v>1</v>
      </c>
      <c r="C515" s="83">
        <v>32817002095</v>
      </c>
      <c r="D515" t="s">
        <v>602</v>
      </c>
      <c r="E515">
        <v>53714093191</v>
      </c>
      <c r="F515">
        <v>629721</v>
      </c>
      <c r="G515">
        <v>49141811235</v>
      </c>
      <c r="H515" t="s">
        <v>35</v>
      </c>
      <c r="I515" s="36">
        <v>2213.64</v>
      </c>
      <c r="J515" s="36">
        <v>1559.72</v>
      </c>
      <c r="K515" s="85">
        <v>653.91999999999996</v>
      </c>
      <c r="L515" s="36">
        <v>129.97999999999999</v>
      </c>
      <c r="M515" s="36">
        <v>0</v>
      </c>
      <c r="N515" s="36">
        <v>129.97999999999999</v>
      </c>
      <c r="O515" s="36">
        <v>0</v>
      </c>
      <c r="P515" t="s">
        <v>520</v>
      </c>
      <c r="Q515" t="s">
        <v>191</v>
      </c>
      <c r="R515" t="s">
        <v>191</v>
      </c>
      <c r="S515" s="1">
        <v>46037</v>
      </c>
      <c r="T515" s="1">
        <v>46037</v>
      </c>
      <c r="V515" s="1">
        <v>46894</v>
      </c>
      <c r="W515" t="s">
        <v>102</v>
      </c>
      <c r="X515">
        <v>28</v>
      </c>
      <c r="Y515" t="s">
        <v>549</v>
      </c>
      <c r="Z515" t="s">
        <v>324</v>
      </c>
      <c r="AA515" t="s">
        <v>92</v>
      </c>
      <c r="AB515">
        <v>28</v>
      </c>
      <c r="AC515" t="s">
        <v>192</v>
      </c>
      <c r="AD515" t="s">
        <v>550</v>
      </c>
      <c r="AE515" t="s">
        <v>363</v>
      </c>
      <c r="AF515" t="s">
        <v>59</v>
      </c>
      <c r="AG515" t="str">
        <f t="shared" si="8"/>
        <v>Recorrente</v>
      </c>
      <c r="AH515" t="str">
        <f>IF(AND(SUMIF(E:E,E515,I:I)&gt;=400000,Q515="B2G"),"n","")</f>
        <v/>
      </c>
    </row>
    <row r="516" spans="1:34">
      <c r="A516">
        <v>2026</v>
      </c>
      <c r="B516">
        <v>1</v>
      </c>
      <c r="C516" s="83">
        <v>32817002095</v>
      </c>
      <c r="D516" t="s">
        <v>602</v>
      </c>
      <c r="E516">
        <v>53714093191</v>
      </c>
      <c r="F516">
        <v>629721</v>
      </c>
      <c r="G516">
        <v>49141811236</v>
      </c>
      <c r="H516" t="s">
        <v>35</v>
      </c>
      <c r="I516" s="36">
        <v>2213.64</v>
      </c>
      <c r="J516" s="36">
        <v>1559.72</v>
      </c>
      <c r="K516" s="85">
        <v>653.91999999999996</v>
      </c>
      <c r="L516" s="36">
        <v>129.97999999999999</v>
      </c>
      <c r="M516" s="36">
        <v>0</v>
      </c>
      <c r="N516" s="36">
        <v>129.97999999999999</v>
      </c>
      <c r="O516" s="36">
        <v>0</v>
      </c>
      <c r="P516" t="s">
        <v>520</v>
      </c>
      <c r="Q516" t="s">
        <v>191</v>
      </c>
      <c r="R516" t="s">
        <v>191</v>
      </c>
      <c r="S516" s="1">
        <v>46037</v>
      </c>
      <c r="T516" s="1">
        <v>46037</v>
      </c>
      <c r="V516" s="1">
        <v>46894</v>
      </c>
      <c r="W516" t="s">
        <v>102</v>
      </c>
      <c r="X516">
        <v>28</v>
      </c>
      <c r="Y516" t="s">
        <v>549</v>
      </c>
      <c r="Z516" t="s">
        <v>324</v>
      </c>
      <c r="AA516" t="s">
        <v>92</v>
      </c>
      <c r="AB516">
        <v>28</v>
      </c>
      <c r="AC516" t="s">
        <v>192</v>
      </c>
      <c r="AD516" t="s">
        <v>527</v>
      </c>
      <c r="AE516" t="s">
        <v>257</v>
      </c>
      <c r="AF516" t="s">
        <v>59</v>
      </c>
      <c r="AG516" t="str">
        <f t="shared" si="8"/>
        <v>Recorrente</v>
      </c>
      <c r="AH516" t="str">
        <f>IF(AND(SUMIF(E:E,E516,I:I)&gt;=400000,Q516="B2G"),"n","")</f>
        <v/>
      </c>
    </row>
    <row r="517" spans="1:34">
      <c r="A517">
        <v>2026</v>
      </c>
      <c r="B517">
        <v>1</v>
      </c>
      <c r="C517" s="83">
        <v>49000701551</v>
      </c>
      <c r="D517" t="s">
        <v>603</v>
      </c>
      <c r="E517">
        <v>53715283464</v>
      </c>
      <c r="F517">
        <v>635587</v>
      </c>
      <c r="G517">
        <v>49004616992</v>
      </c>
      <c r="H517" t="s">
        <v>35</v>
      </c>
      <c r="I517" s="36">
        <v>4631.28</v>
      </c>
      <c r="J517" s="36">
        <v>4631.28</v>
      </c>
      <c r="K517" s="85">
        <v>0</v>
      </c>
      <c r="L517" s="36">
        <v>385.94</v>
      </c>
      <c r="M517" s="36">
        <v>385.94</v>
      </c>
      <c r="N517" s="36">
        <v>0</v>
      </c>
      <c r="O517" s="36">
        <v>0</v>
      </c>
      <c r="P517" t="s">
        <v>129</v>
      </c>
      <c r="Q517" t="s">
        <v>91</v>
      </c>
      <c r="R517" t="s">
        <v>91</v>
      </c>
      <c r="S517" s="1">
        <v>46036</v>
      </c>
      <c r="T517" s="1">
        <v>46036</v>
      </c>
      <c r="V517" s="1">
        <v>46401</v>
      </c>
      <c r="W517" t="s">
        <v>38</v>
      </c>
      <c r="X517">
        <v>12</v>
      </c>
      <c r="Y517" t="s">
        <v>49</v>
      </c>
      <c r="AA517" t="s">
        <v>112</v>
      </c>
      <c r="AB517">
        <v>12</v>
      </c>
      <c r="AC517" t="s">
        <v>93</v>
      </c>
      <c r="AD517" t="s">
        <v>84</v>
      </c>
      <c r="AE517" t="s">
        <v>43</v>
      </c>
      <c r="AF517" t="s">
        <v>44</v>
      </c>
      <c r="AG517" t="str">
        <f t="shared" si="8"/>
        <v>CC 12x</v>
      </c>
      <c r="AH517" t="str">
        <f>IF(AND(SUMIF(E:E,E517,I:I)&gt;=400000,Q517="B2G"),"n","")</f>
        <v/>
      </c>
    </row>
    <row r="518" spans="1:34">
      <c r="A518">
        <v>2026</v>
      </c>
      <c r="B518">
        <v>1</v>
      </c>
      <c r="C518" s="83">
        <v>125081710729</v>
      </c>
      <c r="D518" t="s">
        <v>604</v>
      </c>
      <c r="E518">
        <v>53716857604</v>
      </c>
      <c r="F518">
        <v>635807</v>
      </c>
      <c r="G518">
        <v>48944335437</v>
      </c>
      <c r="H518" t="s">
        <v>35</v>
      </c>
      <c r="I518" s="36">
        <v>3825.84</v>
      </c>
      <c r="J518" s="36">
        <v>3825.84</v>
      </c>
      <c r="K518" s="85">
        <v>0</v>
      </c>
      <c r="L518" s="36">
        <v>318.82</v>
      </c>
      <c r="M518" s="36">
        <v>0</v>
      </c>
      <c r="N518" s="36">
        <v>153.82</v>
      </c>
      <c r="O518" s="36">
        <v>165</v>
      </c>
      <c r="P518" t="s">
        <v>323</v>
      </c>
      <c r="Q518" t="s">
        <v>191</v>
      </c>
      <c r="R518" t="s">
        <v>191</v>
      </c>
      <c r="S518" s="1">
        <v>46051</v>
      </c>
      <c r="T518" s="1">
        <v>46051</v>
      </c>
      <c r="V518" s="1">
        <v>46416</v>
      </c>
      <c r="W518" t="s">
        <v>38</v>
      </c>
      <c r="Y518" t="s">
        <v>49</v>
      </c>
      <c r="AA518" t="s">
        <v>117</v>
      </c>
      <c r="AB518">
        <v>1</v>
      </c>
      <c r="AC518" t="s">
        <v>192</v>
      </c>
      <c r="AD518" t="s">
        <v>84</v>
      </c>
      <c r="AE518" t="s">
        <v>43</v>
      </c>
      <c r="AF518" t="s">
        <v>44</v>
      </c>
      <c r="AG518" t="str">
        <f t="shared" si="8"/>
        <v>À Vista</v>
      </c>
      <c r="AH518" t="str">
        <f>IF(AND(SUMIF(E:E,E518,I:I)&gt;=400000,Q518="B2G"),"n","")</f>
        <v/>
      </c>
    </row>
    <row r="519" spans="1:34">
      <c r="A519">
        <v>2026</v>
      </c>
      <c r="B519">
        <v>1</v>
      </c>
      <c r="C519" s="83">
        <v>192576581520</v>
      </c>
      <c r="D519" t="s">
        <v>605</v>
      </c>
      <c r="E519">
        <v>53718939511</v>
      </c>
      <c r="F519">
        <v>635603</v>
      </c>
      <c r="G519">
        <v>49007734544</v>
      </c>
      <c r="H519" t="s">
        <v>35</v>
      </c>
      <c r="I519" s="36">
        <v>2448</v>
      </c>
      <c r="J519" s="36">
        <v>2448</v>
      </c>
      <c r="K519" s="85">
        <v>0</v>
      </c>
      <c r="L519" s="36">
        <v>204</v>
      </c>
      <c r="M519" s="36">
        <v>204</v>
      </c>
      <c r="N519" s="36">
        <v>0</v>
      </c>
      <c r="O519" s="36">
        <v>0</v>
      </c>
      <c r="P519" t="s">
        <v>313</v>
      </c>
      <c r="Q519" t="s">
        <v>314</v>
      </c>
      <c r="R519" t="s">
        <v>314</v>
      </c>
      <c r="S519" s="1">
        <v>46037</v>
      </c>
      <c r="T519" s="1">
        <v>46037</v>
      </c>
      <c r="V519" s="1">
        <v>46402</v>
      </c>
      <c r="W519" t="s">
        <v>38</v>
      </c>
      <c r="X519">
        <v>12</v>
      </c>
      <c r="Y519" t="s">
        <v>49</v>
      </c>
      <c r="AA519" t="s">
        <v>112</v>
      </c>
      <c r="AB519">
        <v>12</v>
      </c>
      <c r="AC519" t="s">
        <v>315</v>
      </c>
      <c r="AD519" t="s">
        <v>140</v>
      </c>
      <c r="AE519" t="s">
        <v>46</v>
      </c>
      <c r="AF519" t="s">
        <v>119</v>
      </c>
      <c r="AG519" t="str">
        <f t="shared" si="8"/>
        <v>CC 12x</v>
      </c>
      <c r="AH519" t="str">
        <f>IF(AND(SUMIF(E:E,E519,I:I)&gt;=400000,Q519="B2G"),"n","")</f>
        <v/>
      </c>
    </row>
    <row r="520" spans="1:34">
      <c r="A520">
        <v>2026</v>
      </c>
      <c r="B520">
        <v>1</v>
      </c>
      <c r="C520" s="83">
        <v>183985648022</v>
      </c>
      <c r="D520" t="s">
        <v>606</v>
      </c>
      <c r="E520">
        <v>53720618291</v>
      </c>
      <c r="F520">
        <v>635551</v>
      </c>
      <c r="G520">
        <v>48885891941</v>
      </c>
      <c r="H520" t="s">
        <v>35</v>
      </c>
      <c r="I520" s="36">
        <v>2874</v>
      </c>
      <c r="J520" s="36">
        <v>2874</v>
      </c>
      <c r="K520" s="85">
        <v>0</v>
      </c>
      <c r="L520" s="36">
        <v>239.5</v>
      </c>
      <c r="M520" s="36">
        <v>239.5</v>
      </c>
      <c r="N520" s="36">
        <v>0</v>
      </c>
      <c r="O520" s="36">
        <v>0</v>
      </c>
      <c r="P520" t="s">
        <v>299</v>
      </c>
      <c r="Q520" t="s">
        <v>300</v>
      </c>
      <c r="R520" t="s">
        <v>300</v>
      </c>
      <c r="S520" s="1">
        <v>46035</v>
      </c>
      <c r="T520" s="1">
        <v>46035</v>
      </c>
      <c r="V520" s="1">
        <v>46400</v>
      </c>
      <c r="W520" t="s">
        <v>38</v>
      </c>
      <c r="X520">
        <v>12</v>
      </c>
      <c r="Y520" t="s">
        <v>49</v>
      </c>
      <c r="AA520" t="s">
        <v>122</v>
      </c>
      <c r="AB520">
        <v>12</v>
      </c>
      <c r="AC520" t="s">
        <v>301</v>
      </c>
      <c r="AD520" t="s">
        <v>140</v>
      </c>
      <c r="AE520" t="s">
        <v>46</v>
      </c>
      <c r="AF520" t="s">
        <v>119</v>
      </c>
      <c r="AG520" t="str">
        <f t="shared" si="8"/>
        <v>Recorrente</v>
      </c>
      <c r="AH520" t="str">
        <f>IF(AND(SUMIF(E:E,E520,I:I)&gt;=400000,Q520="B2G"),"n","")</f>
        <v/>
      </c>
    </row>
    <row r="521" spans="1:34">
      <c r="A521">
        <v>2026</v>
      </c>
      <c r="B521">
        <v>1</v>
      </c>
      <c r="C521" s="83">
        <v>150551845500</v>
      </c>
      <c r="D521" t="s">
        <v>607</v>
      </c>
      <c r="E521">
        <v>53720621084</v>
      </c>
      <c r="F521">
        <v>523255</v>
      </c>
      <c r="G521">
        <v>48886123548</v>
      </c>
      <c r="H521" t="s">
        <v>35</v>
      </c>
      <c r="I521" s="36">
        <v>11334.6</v>
      </c>
      <c r="J521" s="36">
        <v>11334.6</v>
      </c>
      <c r="K521" s="85">
        <v>0</v>
      </c>
      <c r="L521" s="36">
        <v>944.55</v>
      </c>
      <c r="M521" s="36">
        <v>944.55</v>
      </c>
      <c r="N521" s="36">
        <v>0</v>
      </c>
      <c r="O521" s="36">
        <v>0</v>
      </c>
      <c r="P521" t="s">
        <v>127</v>
      </c>
      <c r="Q521" t="s">
        <v>111</v>
      </c>
      <c r="R521" t="s">
        <v>111</v>
      </c>
      <c r="S521" s="1">
        <v>46035</v>
      </c>
      <c r="T521" s="1">
        <v>46035</v>
      </c>
      <c r="V521" s="1">
        <v>46418</v>
      </c>
      <c r="W521" t="s">
        <v>38</v>
      </c>
      <c r="X521">
        <v>12</v>
      </c>
      <c r="Y521" t="s">
        <v>49</v>
      </c>
      <c r="Z521" t="s">
        <v>81</v>
      </c>
      <c r="AA521" t="s">
        <v>122</v>
      </c>
      <c r="AB521">
        <v>12</v>
      </c>
      <c r="AC521" t="s">
        <v>113</v>
      </c>
      <c r="AD521" t="s">
        <v>146</v>
      </c>
      <c r="AE521" t="s">
        <v>135</v>
      </c>
      <c r="AF521" t="s">
        <v>96</v>
      </c>
      <c r="AG521" t="str">
        <f t="shared" si="8"/>
        <v>Recorrente</v>
      </c>
      <c r="AH521" t="str">
        <f>IF(AND(SUMIF(E:E,E521,I:I)&gt;=400000,Q521="B2G"),"n","")</f>
        <v/>
      </c>
    </row>
    <row r="522" spans="1:34">
      <c r="A522">
        <v>2026</v>
      </c>
      <c r="B522">
        <v>1</v>
      </c>
      <c r="C522" s="83">
        <v>128496323237</v>
      </c>
      <c r="D522" t="s">
        <v>608</v>
      </c>
      <c r="E522">
        <v>53720631120</v>
      </c>
      <c r="F522">
        <v>635571</v>
      </c>
      <c r="G522">
        <v>48890477606</v>
      </c>
      <c r="H522" t="s">
        <v>35</v>
      </c>
      <c r="I522" s="36">
        <v>4765.4399999999996</v>
      </c>
      <c r="J522" s="36">
        <v>0</v>
      </c>
      <c r="K522" s="85">
        <v>4765.4399999999996</v>
      </c>
      <c r="L522" s="36">
        <v>0</v>
      </c>
      <c r="M522" s="36">
        <v>0</v>
      </c>
      <c r="N522" s="36">
        <v>0</v>
      </c>
      <c r="O522" s="36">
        <v>0</v>
      </c>
      <c r="P522" t="s">
        <v>127</v>
      </c>
      <c r="Q522" t="s">
        <v>111</v>
      </c>
      <c r="R522" t="s">
        <v>111</v>
      </c>
      <c r="S522" s="1">
        <v>46036</v>
      </c>
      <c r="T522" s="1">
        <v>46036</v>
      </c>
      <c r="V522" s="1">
        <v>46401</v>
      </c>
      <c r="W522" t="s">
        <v>38</v>
      </c>
      <c r="Y522" t="s">
        <v>49</v>
      </c>
      <c r="AA522" t="s">
        <v>117</v>
      </c>
      <c r="AB522">
        <v>1</v>
      </c>
      <c r="AC522" t="s">
        <v>113</v>
      </c>
      <c r="AD522" t="s">
        <v>149</v>
      </c>
      <c r="AE522" t="s">
        <v>43</v>
      </c>
      <c r="AF522" t="s">
        <v>96</v>
      </c>
      <c r="AG522" t="str">
        <f t="shared" si="8"/>
        <v>À Vista</v>
      </c>
      <c r="AH522" t="str">
        <f>IF(AND(SUMIF(E:E,E522,I:I)&gt;=400000,Q522="B2G"),"n","")</f>
        <v/>
      </c>
    </row>
    <row r="523" spans="1:34">
      <c r="A523">
        <v>2026</v>
      </c>
      <c r="B523">
        <v>1</v>
      </c>
      <c r="C523" s="83">
        <v>128496323237</v>
      </c>
      <c r="D523" t="s">
        <v>608</v>
      </c>
      <c r="E523">
        <v>53720631120</v>
      </c>
      <c r="F523">
        <v>635571</v>
      </c>
      <c r="G523">
        <v>48890477607</v>
      </c>
      <c r="H523" t="s">
        <v>35</v>
      </c>
      <c r="I523" s="36">
        <v>7195.44</v>
      </c>
      <c r="J523" s="36">
        <v>0</v>
      </c>
      <c r="K523" s="85">
        <v>7195.44</v>
      </c>
      <c r="L523" s="36">
        <v>0</v>
      </c>
      <c r="M523" s="36">
        <v>0</v>
      </c>
      <c r="N523" s="36">
        <v>0</v>
      </c>
      <c r="O523" s="36">
        <v>0</v>
      </c>
      <c r="P523" t="s">
        <v>127</v>
      </c>
      <c r="Q523" t="s">
        <v>111</v>
      </c>
      <c r="R523" t="s">
        <v>111</v>
      </c>
      <c r="S523" s="1">
        <v>46036</v>
      </c>
      <c r="T523" s="1">
        <v>46036</v>
      </c>
      <c r="V523" s="1">
        <v>46401</v>
      </c>
      <c r="W523" t="s">
        <v>38</v>
      </c>
      <c r="Y523" t="s">
        <v>49</v>
      </c>
      <c r="AA523" t="s">
        <v>117</v>
      </c>
      <c r="AB523">
        <v>1</v>
      </c>
      <c r="AC523" t="s">
        <v>113</v>
      </c>
      <c r="AD523" t="s">
        <v>131</v>
      </c>
      <c r="AE523" t="s">
        <v>46</v>
      </c>
      <c r="AF523" t="s">
        <v>96</v>
      </c>
      <c r="AG523" t="str">
        <f t="shared" si="8"/>
        <v>À Vista</v>
      </c>
      <c r="AH523" t="str">
        <f>IF(AND(SUMIF(E:E,E523,I:I)&gt;=400000,Q523="B2G"),"n","")</f>
        <v/>
      </c>
    </row>
    <row r="524" spans="1:34">
      <c r="A524">
        <v>2026</v>
      </c>
      <c r="B524">
        <v>1</v>
      </c>
      <c r="C524" s="83">
        <v>113901060113</v>
      </c>
      <c r="D524" t="s">
        <v>609</v>
      </c>
      <c r="E524">
        <v>53736324514</v>
      </c>
      <c r="F524">
        <v>616352</v>
      </c>
      <c r="G524">
        <v>48886121490</v>
      </c>
      <c r="H524" t="s">
        <v>35</v>
      </c>
      <c r="I524" s="36">
        <v>842.28</v>
      </c>
      <c r="J524" s="36">
        <v>2245.6799999999998</v>
      </c>
      <c r="K524" s="85">
        <v>0</v>
      </c>
      <c r="L524" s="36">
        <v>187.14</v>
      </c>
      <c r="M524" s="36">
        <v>0</v>
      </c>
      <c r="N524" s="36">
        <v>187.14</v>
      </c>
      <c r="O524" s="36">
        <v>0</v>
      </c>
      <c r="P524" t="s">
        <v>469</v>
      </c>
      <c r="Q524" t="s">
        <v>191</v>
      </c>
      <c r="R524" t="s">
        <v>191</v>
      </c>
      <c r="S524" s="1">
        <v>46035</v>
      </c>
      <c r="T524" s="1">
        <v>46035</v>
      </c>
      <c r="V524" s="1">
        <v>46172</v>
      </c>
      <c r="W524" t="s">
        <v>38</v>
      </c>
      <c r="X524">
        <v>4</v>
      </c>
      <c r="Y524" t="s">
        <v>49</v>
      </c>
      <c r="Z524" t="s">
        <v>324</v>
      </c>
      <c r="AA524" t="s">
        <v>122</v>
      </c>
      <c r="AB524">
        <v>4</v>
      </c>
      <c r="AC524" t="s">
        <v>192</v>
      </c>
      <c r="AD524" t="s">
        <v>138</v>
      </c>
      <c r="AE524" t="s">
        <v>135</v>
      </c>
      <c r="AF524" t="s">
        <v>119</v>
      </c>
      <c r="AG524" t="str">
        <f t="shared" si="8"/>
        <v>Recorrente</v>
      </c>
      <c r="AH524" t="str">
        <f>IF(AND(SUMIF(E:E,E524,I:I)&gt;=400000,Q524="B2G"),"n","")</f>
        <v/>
      </c>
    </row>
    <row r="525" spans="1:34">
      <c r="A525">
        <v>2026</v>
      </c>
      <c r="B525">
        <v>1</v>
      </c>
      <c r="C525" s="83">
        <v>19435589159</v>
      </c>
      <c r="D525" t="s">
        <v>610</v>
      </c>
      <c r="E525">
        <v>53736335618</v>
      </c>
      <c r="F525">
        <v>526217</v>
      </c>
      <c r="G525">
        <v>50352764329</v>
      </c>
      <c r="H525" t="s">
        <v>35</v>
      </c>
      <c r="I525" s="36">
        <v>6259.2</v>
      </c>
      <c r="J525" s="36">
        <v>3129.6</v>
      </c>
      <c r="K525" s="85">
        <v>3129.6</v>
      </c>
      <c r="L525" s="36">
        <v>260.8</v>
      </c>
      <c r="M525" s="36">
        <v>0</v>
      </c>
      <c r="N525" s="36">
        <v>96.74</v>
      </c>
      <c r="O525" s="36">
        <v>164.0625</v>
      </c>
      <c r="P525" t="s">
        <v>162</v>
      </c>
      <c r="Q525" t="s">
        <v>111</v>
      </c>
      <c r="R525" t="s">
        <v>111</v>
      </c>
      <c r="S525" s="1">
        <v>46052</v>
      </c>
      <c r="T525" s="1">
        <v>46052</v>
      </c>
      <c r="U525" s="1">
        <v>46053</v>
      </c>
      <c r="V525" s="1">
        <v>46783</v>
      </c>
      <c r="W525" t="s">
        <v>56</v>
      </c>
      <c r="X525">
        <v>24</v>
      </c>
      <c r="Y525" t="s">
        <v>49</v>
      </c>
      <c r="Z525" t="s">
        <v>81</v>
      </c>
      <c r="AA525" t="s">
        <v>112</v>
      </c>
      <c r="AB525">
        <v>12</v>
      </c>
      <c r="AC525" t="s">
        <v>113</v>
      </c>
      <c r="AD525" t="s">
        <v>84</v>
      </c>
      <c r="AE525" t="s">
        <v>43</v>
      </c>
      <c r="AF525" t="s">
        <v>44</v>
      </c>
      <c r="AG525" t="str">
        <f t="shared" si="8"/>
        <v>CC 12x</v>
      </c>
      <c r="AH525" t="str">
        <f>IF(AND(SUMIF(E:E,E525,I:I)&gt;=400000,Q525="B2G"),"n","")</f>
        <v/>
      </c>
    </row>
    <row r="526" spans="1:34">
      <c r="A526">
        <v>2026</v>
      </c>
      <c r="B526">
        <v>1</v>
      </c>
      <c r="C526" s="83">
        <v>154335853104</v>
      </c>
      <c r="D526" t="s">
        <v>611</v>
      </c>
      <c r="E526">
        <v>53740811038</v>
      </c>
      <c r="F526">
        <v>631903</v>
      </c>
      <c r="G526">
        <v>48885767983</v>
      </c>
      <c r="H526" t="s">
        <v>35</v>
      </c>
      <c r="I526" s="36">
        <v>1288.44</v>
      </c>
      <c r="J526" s="36">
        <v>2158.8000000000002</v>
      </c>
      <c r="K526" s="85">
        <v>0</v>
      </c>
      <c r="L526" s="36">
        <v>179.9</v>
      </c>
      <c r="M526" s="36">
        <v>0</v>
      </c>
      <c r="N526" s="36">
        <v>179.9</v>
      </c>
      <c r="O526" s="36">
        <v>0</v>
      </c>
      <c r="P526" t="s">
        <v>323</v>
      </c>
      <c r="Q526" t="s">
        <v>191</v>
      </c>
      <c r="R526" t="s">
        <v>191</v>
      </c>
      <c r="S526" s="1">
        <v>46036</v>
      </c>
      <c r="T526" s="1">
        <v>46036</v>
      </c>
      <c r="V526" s="1">
        <v>46253</v>
      </c>
      <c r="W526" t="s">
        <v>38</v>
      </c>
      <c r="X526">
        <v>7</v>
      </c>
      <c r="Y526" t="s">
        <v>49</v>
      </c>
      <c r="Z526" t="s">
        <v>324</v>
      </c>
      <c r="AA526" t="s">
        <v>112</v>
      </c>
      <c r="AB526">
        <v>7</v>
      </c>
      <c r="AC526" t="s">
        <v>192</v>
      </c>
      <c r="AD526" t="s">
        <v>84</v>
      </c>
      <c r="AE526" t="s">
        <v>43</v>
      </c>
      <c r="AF526" t="s">
        <v>44</v>
      </c>
      <c r="AG526" t="str">
        <f t="shared" si="8"/>
        <v>CC 12x</v>
      </c>
      <c r="AH526" t="str">
        <f>IF(AND(SUMIF(E:E,E526,I:I)&gt;=400000,Q526="B2G"),"n","")</f>
        <v/>
      </c>
    </row>
    <row r="527" spans="1:34">
      <c r="A527">
        <v>2026</v>
      </c>
      <c r="B527">
        <v>1</v>
      </c>
      <c r="C527" s="83">
        <v>130307873837</v>
      </c>
      <c r="D527" t="s">
        <v>612</v>
      </c>
      <c r="E527">
        <v>53744365946</v>
      </c>
      <c r="F527">
        <v>635594</v>
      </c>
      <c r="G527">
        <v>49068605587</v>
      </c>
      <c r="H527" t="s">
        <v>35</v>
      </c>
      <c r="I527" s="36">
        <v>7404.24</v>
      </c>
      <c r="J527" s="36">
        <v>7404.3</v>
      </c>
      <c r="K527" s="85">
        <v>0</v>
      </c>
      <c r="L527" s="36">
        <v>617.03</v>
      </c>
      <c r="M527" s="36">
        <v>0</v>
      </c>
      <c r="N527" s="36">
        <v>617.03</v>
      </c>
      <c r="O527" s="36">
        <v>0</v>
      </c>
      <c r="P527" t="s">
        <v>469</v>
      </c>
      <c r="Q527" t="s">
        <v>191</v>
      </c>
      <c r="R527" t="s">
        <v>191</v>
      </c>
      <c r="S527" s="1">
        <v>46037</v>
      </c>
      <c r="T527" s="1">
        <v>46037</v>
      </c>
      <c r="V527" s="1">
        <v>46402</v>
      </c>
      <c r="W527" t="s">
        <v>38</v>
      </c>
      <c r="X527">
        <v>12</v>
      </c>
      <c r="Y527" t="s">
        <v>49</v>
      </c>
      <c r="AA527" t="s">
        <v>112</v>
      </c>
      <c r="AB527">
        <v>12</v>
      </c>
      <c r="AC527" t="s">
        <v>192</v>
      </c>
      <c r="AD527" t="s">
        <v>125</v>
      </c>
      <c r="AE527" t="s">
        <v>43</v>
      </c>
      <c r="AF527" t="s">
        <v>47</v>
      </c>
      <c r="AG527" t="str">
        <f t="shared" si="8"/>
        <v>CC 12x</v>
      </c>
      <c r="AH527" t="str">
        <f>IF(AND(SUMIF(E:E,E527,I:I)&gt;=400000,Q527="B2G"),"n","")</f>
        <v/>
      </c>
    </row>
    <row r="528" spans="1:34">
      <c r="A528">
        <v>2026</v>
      </c>
      <c r="B528">
        <v>1</v>
      </c>
      <c r="C528" s="83">
        <v>130307873837</v>
      </c>
      <c r="D528" t="s">
        <v>612</v>
      </c>
      <c r="E528">
        <v>53744365946</v>
      </c>
      <c r="F528">
        <v>635594</v>
      </c>
      <c r="G528">
        <v>49068605588</v>
      </c>
      <c r="H528" t="s">
        <v>35</v>
      </c>
      <c r="I528" s="36">
        <v>7404.24</v>
      </c>
      <c r="J528" s="36">
        <v>7404.3</v>
      </c>
      <c r="K528" s="85">
        <v>0</v>
      </c>
      <c r="L528" s="36">
        <v>617.03</v>
      </c>
      <c r="M528" s="36">
        <v>0</v>
      </c>
      <c r="N528" s="36">
        <v>617.03</v>
      </c>
      <c r="O528" s="36">
        <v>0</v>
      </c>
      <c r="P528" t="s">
        <v>469</v>
      </c>
      <c r="Q528" t="s">
        <v>191</v>
      </c>
      <c r="R528" t="s">
        <v>191</v>
      </c>
      <c r="S528" s="1">
        <v>46037</v>
      </c>
      <c r="T528" s="1">
        <v>46037</v>
      </c>
      <c r="V528" s="1">
        <v>46402</v>
      </c>
      <c r="W528" t="s">
        <v>38</v>
      </c>
      <c r="X528">
        <v>12</v>
      </c>
      <c r="Y528" t="s">
        <v>49</v>
      </c>
      <c r="AA528" t="s">
        <v>112</v>
      </c>
      <c r="AB528">
        <v>12</v>
      </c>
      <c r="AC528" t="s">
        <v>192</v>
      </c>
      <c r="AD528" t="s">
        <v>125</v>
      </c>
      <c r="AE528" t="s">
        <v>43</v>
      </c>
      <c r="AF528" t="s">
        <v>47</v>
      </c>
      <c r="AG528" t="str">
        <f t="shared" si="8"/>
        <v>CC 12x</v>
      </c>
      <c r="AH528" t="str">
        <f>IF(AND(SUMIF(E:E,E528,I:I)&gt;=400000,Q528="B2G"),"n","")</f>
        <v/>
      </c>
    </row>
    <row r="529" spans="1:34">
      <c r="A529">
        <v>2026</v>
      </c>
      <c r="B529">
        <v>1</v>
      </c>
      <c r="C529" s="83">
        <v>2091278</v>
      </c>
      <c r="D529" t="s">
        <v>613</v>
      </c>
      <c r="E529">
        <v>53744693887</v>
      </c>
      <c r="F529">
        <v>635557</v>
      </c>
      <c r="G529">
        <v>48885734065</v>
      </c>
      <c r="H529" t="s">
        <v>35</v>
      </c>
      <c r="I529" s="36">
        <v>13242.48</v>
      </c>
      <c r="J529" s="36">
        <v>13242.48</v>
      </c>
      <c r="K529" s="85">
        <v>0</v>
      </c>
      <c r="L529" s="36">
        <v>1103.54</v>
      </c>
      <c r="M529" s="36">
        <v>1103.54</v>
      </c>
      <c r="N529" s="36">
        <v>0</v>
      </c>
      <c r="O529" s="36">
        <v>0</v>
      </c>
      <c r="P529" t="s">
        <v>506</v>
      </c>
      <c r="Q529" t="s">
        <v>300</v>
      </c>
      <c r="R529" t="s">
        <v>300</v>
      </c>
      <c r="S529" s="1">
        <v>46035</v>
      </c>
      <c r="T529" s="1">
        <v>46035</v>
      </c>
      <c r="V529" s="1">
        <v>46400</v>
      </c>
      <c r="W529" t="s">
        <v>38</v>
      </c>
      <c r="X529">
        <v>12</v>
      </c>
      <c r="Y529" t="s">
        <v>49</v>
      </c>
      <c r="AA529" t="s">
        <v>122</v>
      </c>
      <c r="AB529">
        <v>12</v>
      </c>
      <c r="AC529" t="s">
        <v>301</v>
      </c>
      <c r="AD529" t="s">
        <v>154</v>
      </c>
      <c r="AE529" t="s">
        <v>46</v>
      </c>
      <c r="AF529" t="s">
        <v>47</v>
      </c>
      <c r="AG529" t="str">
        <f t="shared" si="8"/>
        <v>Recorrente</v>
      </c>
      <c r="AH529" t="str">
        <f>IF(AND(SUMIF(E:E,E529,I:I)&gt;=400000,Q529="B2G"),"n","")</f>
        <v/>
      </c>
    </row>
    <row r="530" spans="1:34">
      <c r="A530">
        <v>2026</v>
      </c>
      <c r="B530">
        <v>1</v>
      </c>
      <c r="C530" s="83">
        <v>2131591</v>
      </c>
      <c r="D530" t="s">
        <v>614</v>
      </c>
      <c r="E530">
        <v>53746455139</v>
      </c>
      <c r="F530">
        <v>502702</v>
      </c>
      <c r="G530">
        <v>48886151829</v>
      </c>
      <c r="H530" t="s">
        <v>35</v>
      </c>
      <c r="I530" s="36">
        <v>3462.84</v>
      </c>
      <c r="J530" s="36">
        <v>3462.9</v>
      </c>
      <c r="K530" s="85">
        <v>0</v>
      </c>
      <c r="L530" s="36">
        <v>288.58</v>
      </c>
      <c r="M530" s="36">
        <v>288.58</v>
      </c>
      <c r="N530" s="36">
        <v>0</v>
      </c>
      <c r="O530" s="36">
        <v>0</v>
      </c>
      <c r="P530" t="s">
        <v>121</v>
      </c>
      <c r="Q530" t="s">
        <v>111</v>
      </c>
      <c r="R530" t="s">
        <v>111</v>
      </c>
      <c r="S530" s="1">
        <v>46035</v>
      </c>
      <c r="T530" s="1">
        <v>46035</v>
      </c>
      <c r="V530" s="1">
        <v>46400</v>
      </c>
      <c r="W530" t="s">
        <v>38</v>
      </c>
      <c r="X530">
        <v>12</v>
      </c>
      <c r="Y530" t="s">
        <v>49</v>
      </c>
      <c r="Z530" t="s">
        <v>81</v>
      </c>
      <c r="AA530" t="s">
        <v>112</v>
      </c>
      <c r="AB530">
        <v>12</v>
      </c>
      <c r="AC530" t="s">
        <v>113</v>
      </c>
      <c r="AD530" t="s">
        <v>160</v>
      </c>
      <c r="AE530" t="s">
        <v>43</v>
      </c>
      <c r="AF530" t="s">
        <v>44</v>
      </c>
      <c r="AG530" t="str">
        <f t="shared" si="8"/>
        <v>CC 12x</v>
      </c>
      <c r="AH530" t="str">
        <f>IF(AND(SUMIF(E:E,E530,I:I)&gt;=400000,Q530="B2G"),"n","")</f>
        <v/>
      </c>
    </row>
    <row r="531" spans="1:34">
      <c r="A531">
        <v>2026</v>
      </c>
      <c r="B531">
        <v>1</v>
      </c>
      <c r="C531" s="83">
        <v>2135317</v>
      </c>
      <c r="D531" t="s">
        <v>615</v>
      </c>
      <c r="E531">
        <v>53746988120</v>
      </c>
      <c r="F531">
        <v>635648</v>
      </c>
      <c r="G531">
        <v>49358611620</v>
      </c>
      <c r="H531" t="s">
        <v>35</v>
      </c>
      <c r="I531" s="36">
        <v>4962.6000000000004</v>
      </c>
      <c r="J531" s="36">
        <v>4962.6000000000004</v>
      </c>
      <c r="K531" s="85">
        <v>0</v>
      </c>
      <c r="L531" s="36">
        <v>413.55</v>
      </c>
      <c r="M531" s="36">
        <v>413.55</v>
      </c>
      <c r="N531" s="36">
        <v>0</v>
      </c>
      <c r="O531" s="36">
        <v>0</v>
      </c>
      <c r="P531" t="s">
        <v>313</v>
      </c>
      <c r="Q531" t="s">
        <v>314</v>
      </c>
      <c r="R531" t="s">
        <v>314</v>
      </c>
      <c r="S531" s="1">
        <v>46042</v>
      </c>
      <c r="T531" s="1">
        <v>46042</v>
      </c>
      <c r="V531" s="1">
        <v>46407</v>
      </c>
      <c r="W531" t="s">
        <v>38</v>
      </c>
      <c r="X531">
        <v>12</v>
      </c>
      <c r="Y531" t="s">
        <v>49</v>
      </c>
      <c r="AA531" t="s">
        <v>122</v>
      </c>
      <c r="AB531">
        <v>12</v>
      </c>
      <c r="AC531" t="s">
        <v>315</v>
      </c>
      <c r="AD531" t="s">
        <v>138</v>
      </c>
      <c r="AE531" t="s">
        <v>135</v>
      </c>
      <c r="AF531" t="s">
        <v>119</v>
      </c>
      <c r="AG531" t="str">
        <f t="shared" si="8"/>
        <v>Recorrente</v>
      </c>
      <c r="AH531" t="str">
        <f>IF(AND(SUMIF(E:E,E531,I:I)&gt;=400000,Q531="B2G"),"n","")</f>
        <v/>
      </c>
    </row>
    <row r="532" spans="1:34">
      <c r="A532">
        <v>2026</v>
      </c>
      <c r="B532">
        <v>1</v>
      </c>
      <c r="C532" s="83">
        <v>2090616</v>
      </c>
      <c r="D532" t="s">
        <v>616</v>
      </c>
      <c r="E532">
        <v>53747459490</v>
      </c>
      <c r="F532">
        <v>635617</v>
      </c>
      <c r="G532">
        <v>49339965807</v>
      </c>
      <c r="H532" t="s">
        <v>35</v>
      </c>
      <c r="I532" s="36">
        <v>5514</v>
      </c>
      <c r="J532" s="36">
        <v>5514</v>
      </c>
      <c r="K532" s="85">
        <v>0</v>
      </c>
      <c r="L532" s="36">
        <v>459.5</v>
      </c>
      <c r="M532" s="36">
        <v>459.5</v>
      </c>
      <c r="N532" s="36">
        <v>0</v>
      </c>
      <c r="O532" s="36">
        <v>0</v>
      </c>
      <c r="P532" t="s">
        <v>506</v>
      </c>
      <c r="Q532" t="s">
        <v>300</v>
      </c>
      <c r="R532" t="s">
        <v>300</v>
      </c>
      <c r="S532" s="1">
        <v>46038</v>
      </c>
      <c r="T532" s="1">
        <v>46038</v>
      </c>
      <c r="V532" s="1">
        <v>46403</v>
      </c>
      <c r="W532" t="s">
        <v>38</v>
      </c>
      <c r="X532">
        <v>12</v>
      </c>
      <c r="Y532" t="s">
        <v>49</v>
      </c>
      <c r="AA532" t="s">
        <v>122</v>
      </c>
      <c r="AB532">
        <v>12</v>
      </c>
      <c r="AC532" t="s">
        <v>301</v>
      </c>
      <c r="AD532" t="s">
        <v>138</v>
      </c>
      <c r="AE532" t="s">
        <v>135</v>
      </c>
      <c r="AF532" t="s">
        <v>119</v>
      </c>
      <c r="AG532" t="str">
        <f t="shared" si="8"/>
        <v>Recorrente</v>
      </c>
      <c r="AH532" t="str">
        <f>IF(AND(SUMIF(E:E,E532,I:I)&gt;=400000,Q532="B2G"),"n","")</f>
        <v/>
      </c>
    </row>
    <row r="533" spans="1:34">
      <c r="A533">
        <v>2026</v>
      </c>
      <c r="B533">
        <v>1</v>
      </c>
      <c r="C533" s="83">
        <v>172233286158</v>
      </c>
      <c r="D533" t="s">
        <v>617</v>
      </c>
      <c r="E533">
        <v>53748060979</v>
      </c>
      <c r="F533">
        <v>635573</v>
      </c>
      <c r="G533">
        <v>48938589707</v>
      </c>
      <c r="H533" t="s">
        <v>35</v>
      </c>
      <c r="I533" s="36">
        <v>2454</v>
      </c>
      <c r="J533" s="36">
        <v>2454</v>
      </c>
      <c r="K533" s="85">
        <v>0</v>
      </c>
      <c r="L533" s="36">
        <v>204.5</v>
      </c>
      <c r="M533" s="36">
        <v>204.5</v>
      </c>
      <c r="N533" s="36">
        <v>0</v>
      </c>
      <c r="O533" s="36">
        <v>0</v>
      </c>
      <c r="P533" t="s">
        <v>313</v>
      </c>
      <c r="Q533" t="s">
        <v>314</v>
      </c>
      <c r="R533" t="s">
        <v>314</v>
      </c>
      <c r="S533" s="1">
        <v>46036</v>
      </c>
      <c r="T533" s="1">
        <v>46036</v>
      </c>
      <c r="V533" s="1">
        <v>46401</v>
      </c>
      <c r="W533" t="s">
        <v>38</v>
      </c>
      <c r="X533">
        <v>12</v>
      </c>
      <c r="Y533" t="s">
        <v>49</v>
      </c>
      <c r="AA533" t="s">
        <v>122</v>
      </c>
      <c r="AB533">
        <v>12</v>
      </c>
      <c r="AC533" t="s">
        <v>315</v>
      </c>
      <c r="AD533" t="s">
        <v>140</v>
      </c>
      <c r="AE533" t="s">
        <v>46</v>
      </c>
      <c r="AF533" t="s">
        <v>119</v>
      </c>
      <c r="AG533" t="str">
        <f t="shared" si="8"/>
        <v>Recorrente</v>
      </c>
      <c r="AH533" t="str">
        <f>IF(AND(SUMIF(E:E,E533,I:I)&gt;=400000,Q533="B2G"),"n","")</f>
        <v/>
      </c>
    </row>
    <row r="534" spans="1:34">
      <c r="A534">
        <v>2026</v>
      </c>
      <c r="B534">
        <v>1</v>
      </c>
      <c r="C534" s="83">
        <v>192101711889</v>
      </c>
      <c r="D534" t="s">
        <v>618</v>
      </c>
      <c r="E534">
        <v>53748321683</v>
      </c>
      <c r="F534">
        <v>635692</v>
      </c>
      <c r="G534">
        <v>49713575832</v>
      </c>
      <c r="H534" t="s">
        <v>35</v>
      </c>
      <c r="I534" s="36">
        <v>4074</v>
      </c>
      <c r="J534" s="36">
        <v>4074</v>
      </c>
      <c r="K534" s="85">
        <v>0</v>
      </c>
      <c r="L534" s="36">
        <v>339.5</v>
      </c>
      <c r="M534" s="36">
        <v>339.5</v>
      </c>
      <c r="N534" s="36">
        <v>0</v>
      </c>
      <c r="O534" s="36">
        <v>0</v>
      </c>
      <c r="P534" t="s">
        <v>511</v>
      </c>
      <c r="Q534" t="s">
        <v>300</v>
      </c>
      <c r="R534" t="s">
        <v>300</v>
      </c>
      <c r="S534" s="1">
        <v>46044</v>
      </c>
      <c r="T534" s="1">
        <v>46044</v>
      </c>
      <c r="V534" s="1">
        <v>46409</v>
      </c>
      <c r="W534" t="s">
        <v>38</v>
      </c>
      <c r="X534">
        <v>12</v>
      </c>
      <c r="Y534" t="s">
        <v>49</v>
      </c>
      <c r="AA534" t="s">
        <v>112</v>
      </c>
      <c r="AB534">
        <v>12</v>
      </c>
      <c r="AC534" t="s">
        <v>301</v>
      </c>
      <c r="AD534" t="s">
        <v>160</v>
      </c>
      <c r="AE534" t="s">
        <v>43</v>
      </c>
      <c r="AF534" t="s">
        <v>44</v>
      </c>
      <c r="AG534" t="str">
        <f t="shared" si="8"/>
        <v>CC 12x</v>
      </c>
      <c r="AH534" t="str">
        <f>IF(AND(SUMIF(E:E,E534,I:I)&gt;=400000,Q534="B2G"),"n","")</f>
        <v/>
      </c>
    </row>
    <row r="535" spans="1:34">
      <c r="A535">
        <v>2026</v>
      </c>
      <c r="B535">
        <v>1</v>
      </c>
      <c r="C535" s="83">
        <v>28298602658</v>
      </c>
      <c r="D535" t="s">
        <v>619</v>
      </c>
      <c r="E535">
        <v>53748418056</v>
      </c>
      <c r="F535">
        <v>625376</v>
      </c>
      <c r="G535">
        <v>49001025809</v>
      </c>
      <c r="H535" t="s">
        <v>35</v>
      </c>
      <c r="I535" s="36">
        <v>2029.56</v>
      </c>
      <c r="J535" s="36">
        <v>2053.56</v>
      </c>
      <c r="K535" s="85">
        <v>0</v>
      </c>
      <c r="L535" s="36">
        <v>171.13</v>
      </c>
      <c r="M535" s="36">
        <v>0</v>
      </c>
      <c r="N535" s="36">
        <v>171.13</v>
      </c>
      <c r="O535" s="36">
        <v>0</v>
      </c>
      <c r="P535" t="s">
        <v>323</v>
      </c>
      <c r="Q535" t="s">
        <v>191</v>
      </c>
      <c r="R535" t="s">
        <v>191</v>
      </c>
      <c r="S535" s="1">
        <v>46036</v>
      </c>
      <c r="T535" s="1">
        <v>46036</v>
      </c>
      <c r="V535" s="1">
        <v>46397</v>
      </c>
      <c r="W535" t="s">
        <v>38</v>
      </c>
      <c r="X535">
        <v>12</v>
      </c>
      <c r="Y535" t="s">
        <v>49</v>
      </c>
      <c r="Z535" t="s">
        <v>324</v>
      </c>
      <c r="AA535" t="s">
        <v>122</v>
      </c>
      <c r="AB535">
        <v>11</v>
      </c>
      <c r="AC535" t="s">
        <v>192</v>
      </c>
      <c r="AD535" t="s">
        <v>84</v>
      </c>
      <c r="AE535" t="s">
        <v>43</v>
      </c>
      <c r="AF535" t="s">
        <v>44</v>
      </c>
      <c r="AG535" t="str">
        <f t="shared" si="8"/>
        <v>Recorrente</v>
      </c>
      <c r="AH535" t="str">
        <f>IF(AND(SUMIF(E:E,E535,I:I)&gt;=400000,Q535="B2G"),"n","")</f>
        <v/>
      </c>
    </row>
    <row r="536" spans="1:34">
      <c r="A536">
        <v>2026</v>
      </c>
      <c r="B536">
        <v>1</v>
      </c>
      <c r="C536" s="83">
        <v>151844493750</v>
      </c>
      <c r="D536" t="s">
        <v>620</v>
      </c>
      <c r="E536">
        <v>53750037512</v>
      </c>
      <c r="F536">
        <v>635604</v>
      </c>
      <c r="G536">
        <v>49007637587</v>
      </c>
      <c r="H536" t="s">
        <v>35</v>
      </c>
      <c r="I536" s="36">
        <v>1724.4</v>
      </c>
      <c r="J536" s="36">
        <v>1724.4</v>
      </c>
      <c r="K536" s="85">
        <v>0</v>
      </c>
      <c r="L536" s="36">
        <v>143.69999999999999</v>
      </c>
      <c r="M536" s="36">
        <v>143.69999999999999</v>
      </c>
      <c r="N536" s="36">
        <v>0</v>
      </c>
      <c r="O536" s="36">
        <v>0</v>
      </c>
      <c r="P536" t="s">
        <v>299</v>
      </c>
      <c r="Q536" t="s">
        <v>300</v>
      </c>
      <c r="R536" t="s">
        <v>80</v>
      </c>
      <c r="S536" s="1">
        <v>46037</v>
      </c>
      <c r="T536" s="1">
        <v>46037</v>
      </c>
      <c r="V536" s="1">
        <v>46402</v>
      </c>
      <c r="W536" t="s">
        <v>38</v>
      </c>
      <c r="X536">
        <v>12</v>
      </c>
      <c r="Y536" t="s">
        <v>49</v>
      </c>
      <c r="AA536" t="s">
        <v>112</v>
      </c>
      <c r="AB536">
        <v>12</v>
      </c>
      <c r="AC536" t="s">
        <v>495</v>
      </c>
      <c r="AD536" t="s">
        <v>140</v>
      </c>
      <c r="AE536" t="s">
        <v>46</v>
      </c>
      <c r="AF536" t="s">
        <v>119</v>
      </c>
      <c r="AG536" t="str">
        <f t="shared" si="8"/>
        <v>CC 12x</v>
      </c>
      <c r="AH536" t="str">
        <f>IF(AND(SUMIF(E:E,E536,I:I)&gt;=400000,Q536="B2G"),"n","")</f>
        <v/>
      </c>
    </row>
    <row r="537" spans="1:34">
      <c r="A537">
        <v>2026</v>
      </c>
      <c r="B537">
        <v>1</v>
      </c>
      <c r="C537" s="83">
        <v>197055167899</v>
      </c>
      <c r="D537" t="s">
        <v>621</v>
      </c>
      <c r="E537">
        <v>53750707607</v>
      </c>
      <c r="F537">
        <v>635637</v>
      </c>
      <c r="G537">
        <v>48885758986</v>
      </c>
      <c r="H537" t="s">
        <v>35</v>
      </c>
      <c r="I537" s="36">
        <v>4928.76</v>
      </c>
      <c r="J537" s="36">
        <v>214.12</v>
      </c>
      <c r="K537" s="85">
        <v>4714.6400000000003</v>
      </c>
      <c r="L537" s="36">
        <v>17.84</v>
      </c>
      <c r="M537" s="36">
        <v>0</v>
      </c>
      <c r="N537" s="36">
        <v>17.84</v>
      </c>
      <c r="O537" s="36">
        <v>0</v>
      </c>
      <c r="P537" t="s">
        <v>323</v>
      </c>
      <c r="Q537" t="s">
        <v>191</v>
      </c>
      <c r="R537" t="s">
        <v>191</v>
      </c>
      <c r="S537" s="1">
        <v>46041</v>
      </c>
      <c r="T537" s="1">
        <v>46041</v>
      </c>
      <c r="V537" s="1">
        <v>46406</v>
      </c>
      <c r="W537" t="s">
        <v>38</v>
      </c>
      <c r="Y537" t="s">
        <v>49</v>
      </c>
      <c r="AA537" t="s">
        <v>122</v>
      </c>
      <c r="AB537">
        <v>12</v>
      </c>
      <c r="AC537" t="s">
        <v>192</v>
      </c>
      <c r="AD537" t="s">
        <v>84</v>
      </c>
      <c r="AE537" t="s">
        <v>43</v>
      </c>
      <c r="AF537" t="s">
        <v>44</v>
      </c>
      <c r="AG537" t="str">
        <f t="shared" si="8"/>
        <v>Recorrente</v>
      </c>
      <c r="AH537" t="str">
        <f>IF(AND(SUMIF(E:E,E537,I:I)&gt;=400000,Q537="B2G"),"n","")</f>
        <v/>
      </c>
    </row>
    <row r="538" spans="1:34">
      <c r="A538">
        <v>2026</v>
      </c>
      <c r="B538">
        <v>1</v>
      </c>
      <c r="C538" s="83">
        <v>197055167899</v>
      </c>
      <c r="D538" t="s">
        <v>621</v>
      </c>
      <c r="E538">
        <v>53750707607</v>
      </c>
      <c r="F538">
        <v>635637</v>
      </c>
      <c r="G538">
        <v>48885758987</v>
      </c>
      <c r="H538" t="s">
        <v>35</v>
      </c>
      <c r="I538" s="36">
        <v>5609.04</v>
      </c>
      <c r="J538" s="36">
        <v>243.67</v>
      </c>
      <c r="K538" s="85">
        <v>5365.37</v>
      </c>
      <c r="L538" s="36">
        <v>20.309999999999999</v>
      </c>
      <c r="M538" s="36">
        <v>0</v>
      </c>
      <c r="N538" s="36">
        <v>20.309999999999999</v>
      </c>
      <c r="O538" s="36">
        <v>0</v>
      </c>
      <c r="P538" t="s">
        <v>323</v>
      </c>
      <c r="Q538" t="s">
        <v>191</v>
      </c>
      <c r="R538" t="s">
        <v>191</v>
      </c>
      <c r="S538" s="1">
        <v>46041</v>
      </c>
      <c r="T538" s="1">
        <v>46041</v>
      </c>
      <c r="V538" s="1">
        <v>46406</v>
      </c>
      <c r="W538" t="s">
        <v>38</v>
      </c>
      <c r="Y538" t="s">
        <v>49</v>
      </c>
      <c r="AA538" t="s">
        <v>122</v>
      </c>
      <c r="AB538">
        <v>12</v>
      </c>
      <c r="AC538" t="s">
        <v>192</v>
      </c>
      <c r="AD538" t="s">
        <v>85</v>
      </c>
      <c r="AE538" t="s">
        <v>46</v>
      </c>
      <c r="AF538" t="s">
        <v>44</v>
      </c>
      <c r="AG538" t="str">
        <f t="shared" si="8"/>
        <v>Recorrente</v>
      </c>
      <c r="AH538" t="str">
        <f>IF(AND(SUMIF(E:E,E538,I:I)&gt;=400000,Q538="B2G"),"n","")</f>
        <v/>
      </c>
    </row>
    <row r="539" spans="1:34">
      <c r="A539">
        <v>2026</v>
      </c>
      <c r="B539">
        <v>1</v>
      </c>
      <c r="C539" s="83">
        <v>150664794476</v>
      </c>
      <c r="D539" t="s">
        <v>622</v>
      </c>
      <c r="E539">
        <v>53750880413</v>
      </c>
      <c r="F539">
        <v>304349</v>
      </c>
      <c r="G539">
        <v>50274405914</v>
      </c>
      <c r="H539" t="s">
        <v>35</v>
      </c>
      <c r="I539" s="36">
        <v>4890.96</v>
      </c>
      <c r="J539" s="36">
        <v>4890.96</v>
      </c>
      <c r="K539" s="85">
        <v>0</v>
      </c>
      <c r="L539" s="36">
        <v>407.58</v>
      </c>
      <c r="M539" s="36">
        <v>0</v>
      </c>
      <c r="N539" s="36">
        <v>37.159999999999997</v>
      </c>
      <c r="O539" s="36">
        <v>370.42</v>
      </c>
      <c r="P539" t="s">
        <v>162</v>
      </c>
      <c r="Q539" t="s">
        <v>111</v>
      </c>
      <c r="R539" t="s">
        <v>111</v>
      </c>
      <c r="S539" s="1">
        <v>46051</v>
      </c>
      <c r="T539" s="1">
        <v>46051</v>
      </c>
      <c r="U539" s="1">
        <v>46050</v>
      </c>
      <c r="V539" s="1">
        <v>46415</v>
      </c>
      <c r="W539" t="s">
        <v>38</v>
      </c>
      <c r="X539">
        <v>12</v>
      </c>
      <c r="Y539" t="s">
        <v>49</v>
      </c>
      <c r="Z539" t="s">
        <v>81</v>
      </c>
      <c r="AA539" t="s">
        <v>112</v>
      </c>
      <c r="AB539">
        <v>12</v>
      </c>
      <c r="AC539" t="s">
        <v>113</v>
      </c>
      <c r="AD539" t="s">
        <v>85</v>
      </c>
      <c r="AE539" t="s">
        <v>46</v>
      </c>
      <c r="AF539" t="s">
        <v>44</v>
      </c>
      <c r="AG539" t="str">
        <f t="shared" si="8"/>
        <v>CC 12x</v>
      </c>
      <c r="AH539" t="str">
        <f>IF(AND(SUMIF(E:E,E539,I:I)&gt;=400000,Q539="B2G"),"n","")</f>
        <v/>
      </c>
    </row>
    <row r="540" spans="1:34">
      <c r="A540">
        <v>2026</v>
      </c>
      <c r="B540">
        <v>1</v>
      </c>
      <c r="C540" s="83">
        <v>197261689265</v>
      </c>
      <c r="D540" t="s">
        <v>623</v>
      </c>
      <c r="E540">
        <v>53751516325</v>
      </c>
      <c r="F540">
        <v>635595</v>
      </c>
      <c r="G540">
        <v>48885825181</v>
      </c>
      <c r="H540" t="s">
        <v>35</v>
      </c>
      <c r="I540" s="36">
        <v>4424.88</v>
      </c>
      <c r="J540" s="36">
        <v>4424.8900000000003</v>
      </c>
      <c r="K540" s="85">
        <v>0</v>
      </c>
      <c r="L540" s="36">
        <v>368.74</v>
      </c>
      <c r="M540" s="36">
        <v>368.74</v>
      </c>
      <c r="N540" s="36">
        <v>0</v>
      </c>
      <c r="O540" s="36">
        <v>0</v>
      </c>
      <c r="P540" t="s">
        <v>506</v>
      </c>
      <c r="Q540" t="s">
        <v>300</v>
      </c>
      <c r="R540" t="s">
        <v>300</v>
      </c>
      <c r="S540" s="1">
        <v>46037</v>
      </c>
      <c r="T540" s="1">
        <v>46037</v>
      </c>
      <c r="V540" s="1">
        <v>46402</v>
      </c>
      <c r="W540" t="s">
        <v>38</v>
      </c>
      <c r="X540">
        <v>12</v>
      </c>
      <c r="Y540" t="s">
        <v>49</v>
      </c>
      <c r="AA540" t="s">
        <v>112</v>
      </c>
      <c r="AB540">
        <v>12</v>
      </c>
      <c r="AC540" t="s">
        <v>301</v>
      </c>
      <c r="AD540" t="s">
        <v>84</v>
      </c>
      <c r="AE540" t="s">
        <v>43</v>
      </c>
      <c r="AF540" t="s">
        <v>44</v>
      </c>
      <c r="AG540" t="str">
        <f t="shared" si="8"/>
        <v>CC 12x</v>
      </c>
      <c r="AH540" t="str">
        <f>IF(AND(SUMIF(E:E,E540,I:I)&gt;=400000,Q540="B2G"),"n","")</f>
        <v/>
      </c>
    </row>
    <row r="541" spans="1:34">
      <c r="A541">
        <v>2026</v>
      </c>
      <c r="B541">
        <v>1</v>
      </c>
      <c r="C541" s="83">
        <v>197261689265</v>
      </c>
      <c r="D541" t="s">
        <v>623</v>
      </c>
      <c r="E541">
        <v>53751516325</v>
      </c>
      <c r="F541">
        <v>635595</v>
      </c>
      <c r="G541">
        <v>48885825182</v>
      </c>
      <c r="H541" t="s">
        <v>35</v>
      </c>
      <c r="I541" s="36">
        <v>5057.76</v>
      </c>
      <c r="J541" s="36">
        <v>5057.7700000000004</v>
      </c>
      <c r="K541" s="85">
        <v>0</v>
      </c>
      <c r="L541" s="36">
        <v>421.48</v>
      </c>
      <c r="M541" s="36">
        <v>421.48</v>
      </c>
      <c r="N541" s="36">
        <v>0</v>
      </c>
      <c r="O541" s="36">
        <v>0</v>
      </c>
      <c r="P541" t="s">
        <v>506</v>
      </c>
      <c r="Q541" t="s">
        <v>300</v>
      </c>
      <c r="R541" t="s">
        <v>300</v>
      </c>
      <c r="S541" s="1">
        <v>46037</v>
      </c>
      <c r="T541" s="1">
        <v>46037</v>
      </c>
      <c r="V541" s="1">
        <v>46402</v>
      </c>
      <c r="W541" t="s">
        <v>38</v>
      </c>
      <c r="X541">
        <v>12</v>
      </c>
      <c r="Y541" t="s">
        <v>49</v>
      </c>
      <c r="AA541" t="s">
        <v>112</v>
      </c>
      <c r="AB541">
        <v>12</v>
      </c>
      <c r="AC541" t="s">
        <v>301</v>
      </c>
      <c r="AD541" t="s">
        <v>85</v>
      </c>
      <c r="AE541" t="s">
        <v>46</v>
      </c>
      <c r="AF541" t="s">
        <v>44</v>
      </c>
      <c r="AG541" t="str">
        <f t="shared" si="8"/>
        <v>CC 12x</v>
      </c>
      <c r="AH541" t="str">
        <f>IF(AND(SUMIF(E:E,E541,I:I)&gt;=400000,Q541="B2G"),"n","")</f>
        <v/>
      </c>
    </row>
    <row r="542" spans="1:34">
      <c r="A542">
        <v>2026</v>
      </c>
      <c r="B542">
        <v>1</v>
      </c>
      <c r="C542" s="83">
        <v>191892865885</v>
      </c>
      <c r="D542" t="s">
        <v>624</v>
      </c>
      <c r="E542">
        <v>53751955008</v>
      </c>
      <c r="F542">
        <v>635581</v>
      </c>
      <c r="G542">
        <v>49004554048</v>
      </c>
      <c r="H542" t="s">
        <v>35</v>
      </c>
      <c r="I542" s="36">
        <v>2624.04</v>
      </c>
      <c r="J542" s="36">
        <v>2623.99</v>
      </c>
      <c r="K542" s="85">
        <v>0.05</v>
      </c>
      <c r="L542" s="36">
        <v>218.67</v>
      </c>
      <c r="M542" s="36">
        <v>218.67</v>
      </c>
      <c r="N542" s="36">
        <v>0</v>
      </c>
      <c r="O542" s="36">
        <v>0</v>
      </c>
      <c r="P542" t="s">
        <v>562</v>
      </c>
      <c r="Q542" t="s">
        <v>498</v>
      </c>
      <c r="R542" t="s">
        <v>498</v>
      </c>
      <c r="S542" s="1">
        <v>46036</v>
      </c>
      <c r="T542" s="1">
        <v>46036</v>
      </c>
      <c r="V542" s="1">
        <v>46401</v>
      </c>
      <c r="W542" t="s">
        <v>38</v>
      </c>
      <c r="X542">
        <v>12</v>
      </c>
      <c r="Y542" t="s">
        <v>49</v>
      </c>
      <c r="AA542" t="s">
        <v>112</v>
      </c>
      <c r="AB542">
        <v>12</v>
      </c>
      <c r="AC542" t="s">
        <v>499</v>
      </c>
      <c r="AD542" t="s">
        <v>118</v>
      </c>
      <c r="AE542" t="s">
        <v>43</v>
      </c>
      <c r="AF542" t="s">
        <v>119</v>
      </c>
      <c r="AG542" t="str">
        <f t="shared" si="8"/>
        <v>CC 12x</v>
      </c>
      <c r="AH542" t="str">
        <f>IF(AND(SUMIF(E:E,E542,I:I)&gt;=400000,Q542="B2G"),"n","")</f>
        <v/>
      </c>
    </row>
    <row r="543" spans="1:34">
      <c r="A543">
        <v>2026</v>
      </c>
      <c r="B543">
        <v>1</v>
      </c>
      <c r="C543" s="83">
        <v>19486004361</v>
      </c>
      <c r="D543" t="s">
        <v>625</v>
      </c>
      <c r="E543">
        <v>53761791656</v>
      </c>
      <c r="F543">
        <v>635635</v>
      </c>
      <c r="G543">
        <v>49450855324</v>
      </c>
      <c r="H543" t="s">
        <v>35</v>
      </c>
      <c r="I543" s="36">
        <v>11946.96</v>
      </c>
      <c r="J543" s="36">
        <v>11947.02</v>
      </c>
      <c r="K543" s="85">
        <v>0</v>
      </c>
      <c r="L543" s="36">
        <v>995.59</v>
      </c>
      <c r="M543" s="36">
        <v>0</v>
      </c>
      <c r="N543" s="36">
        <v>995.59</v>
      </c>
      <c r="O543" s="36">
        <v>0</v>
      </c>
      <c r="P543" t="s">
        <v>190</v>
      </c>
      <c r="Q543" t="s">
        <v>191</v>
      </c>
      <c r="R543" t="s">
        <v>191</v>
      </c>
      <c r="S543" s="1">
        <v>46041</v>
      </c>
      <c r="T543" s="1">
        <v>46041</v>
      </c>
      <c r="V543" s="1">
        <v>46406</v>
      </c>
      <c r="W543" t="s">
        <v>38</v>
      </c>
      <c r="X543">
        <v>12</v>
      </c>
      <c r="Y543" t="s">
        <v>49</v>
      </c>
      <c r="AA543" t="s">
        <v>122</v>
      </c>
      <c r="AB543">
        <v>12</v>
      </c>
      <c r="AC543" t="s">
        <v>192</v>
      </c>
      <c r="AD543" t="s">
        <v>154</v>
      </c>
      <c r="AE543" t="s">
        <v>46</v>
      </c>
      <c r="AF543" t="s">
        <v>47</v>
      </c>
      <c r="AG543" t="str">
        <f t="shared" si="8"/>
        <v>Recorrente</v>
      </c>
      <c r="AH543" t="str">
        <f>IF(AND(SUMIF(E:E,E543,I:I)&gt;=400000,Q543="B2G"),"n","")</f>
        <v/>
      </c>
    </row>
    <row r="544" spans="1:34">
      <c r="A544">
        <v>2026</v>
      </c>
      <c r="B544">
        <v>1</v>
      </c>
      <c r="C544" s="83">
        <v>159417909361</v>
      </c>
      <c r="D544" t="s">
        <v>626</v>
      </c>
      <c r="E544">
        <v>53762307403</v>
      </c>
      <c r="F544">
        <v>635564</v>
      </c>
      <c r="G544">
        <v>48885816355</v>
      </c>
      <c r="H544" t="s">
        <v>35</v>
      </c>
      <c r="I544" s="36">
        <v>2580.84</v>
      </c>
      <c r="J544" s="36">
        <v>2580.85</v>
      </c>
      <c r="K544" s="85">
        <v>0</v>
      </c>
      <c r="L544" s="36">
        <v>215.07</v>
      </c>
      <c r="M544" s="36">
        <v>215.07</v>
      </c>
      <c r="N544" s="36">
        <v>0</v>
      </c>
      <c r="O544" s="36">
        <v>0</v>
      </c>
      <c r="P544" t="s">
        <v>506</v>
      </c>
      <c r="Q544" t="s">
        <v>300</v>
      </c>
      <c r="R544" t="s">
        <v>300</v>
      </c>
      <c r="S544" s="1">
        <v>46035</v>
      </c>
      <c r="T544" s="1">
        <v>46035</v>
      </c>
      <c r="V544" s="1">
        <v>46400</v>
      </c>
      <c r="W544" t="s">
        <v>38</v>
      </c>
      <c r="X544">
        <v>12</v>
      </c>
      <c r="Y544" t="s">
        <v>49</v>
      </c>
      <c r="AA544" t="s">
        <v>112</v>
      </c>
      <c r="AB544">
        <v>12</v>
      </c>
      <c r="AC544" t="s">
        <v>301</v>
      </c>
      <c r="AD544" t="s">
        <v>118</v>
      </c>
      <c r="AE544" t="s">
        <v>43</v>
      </c>
      <c r="AF544" t="s">
        <v>119</v>
      </c>
      <c r="AG544" t="str">
        <f t="shared" si="8"/>
        <v>CC 12x</v>
      </c>
      <c r="AH544" t="str">
        <f>IF(AND(SUMIF(E:E,E544,I:I)&gt;=400000,Q544="B2G"),"n","")</f>
        <v/>
      </c>
    </row>
    <row r="545" spans="1:34">
      <c r="A545">
        <v>2026</v>
      </c>
      <c r="B545">
        <v>1</v>
      </c>
      <c r="C545" s="83">
        <v>29954733236</v>
      </c>
      <c r="D545" t="s">
        <v>627</v>
      </c>
      <c r="E545">
        <v>53762496012</v>
      </c>
      <c r="F545">
        <v>635563</v>
      </c>
      <c r="G545">
        <v>48944343830</v>
      </c>
      <c r="H545" t="s">
        <v>35</v>
      </c>
      <c r="I545" s="36">
        <v>7113.12</v>
      </c>
      <c r="J545" s="36">
        <v>3556.6</v>
      </c>
      <c r="K545" s="85">
        <v>3556.52</v>
      </c>
      <c r="L545" s="36">
        <v>296.38</v>
      </c>
      <c r="M545" s="36">
        <v>0</v>
      </c>
      <c r="N545" s="36">
        <v>296.38</v>
      </c>
      <c r="O545" s="36">
        <v>0</v>
      </c>
      <c r="P545" t="s">
        <v>520</v>
      </c>
      <c r="Q545" t="s">
        <v>191</v>
      </c>
      <c r="R545" t="s">
        <v>191</v>
      </c>
      <c r="S545" s="1">
        <v>46035</v>
      </c>
      <c r="T545" s="1">
        <v>46035</v>
      </c>
      <c r="V545" s="1">
        <v>46765</v>
      </c>
      <c r="W545" t="s">
        <v>56</v>
      </c>
      <c r="X545">
        <v>24</v>
      </c>
      <c r="Y545" t="s">
        <v>49</v>
      </c>
      <c r="AA545" t="s">
        <v>122</v>
      </c>
      <c r="AB545">
        <v>24</v>
      </c>
      <c r="AC545" t="s">
        <v>192</v>
      </c>
      <c r="AD545" t="s">
        <v>160</v>
      </c>
      <c r="AE545" t="s">
        <v>43</v>
      </c>
      <c r="AF545" t="s">
        <v>44</v>
      </c>
      <c r="AG545" t="str">
        <f t="shared" si="8"/>
        <v>Recorrente</v>
      </c>
      <c r="AH545" t="str">
        <f>IF(AND(SUMIF(E:E,E545,I:I)&gt;=400000,Q545="B2G"),"n","")</f>
        <v/>
      </c>
    </row>
    <row r="546" spans="1:34">
      <c r="A546">
        <v>2026</v>
      </c>
      <c r="B546">
        <v>1</v>
      </c>
      <c r="C546" s="83">
        <v>192741702703</v>
      </c>
      <c r="D546" t="s">
        <v>628</v>
      </c>
      <c r="E546">
        <v>53771577880</v>
      </c>
      <c r="F546">
        <v>635582</v>
      </c>
      <c r="G546">
        <v>49069035377</v>
      </c>
      <c r="H546" t="s">
        <v>35</v>
      </c>
      <c r="I546" s="36">
        <v>2874</v>
      </c>
      <c r="J546" s="36">
        <v>2874</v>
      </c>
      <c r="K546" s="85">
        <v>0</v>
      </c>
      <c r="L546" s="36">
        <v>239.5</v>
      </c>
      <c r="M546" s="36">
        <v>239.5</v>
      </c>
      <c r="N546" s="36">
        <v>0</v>
      </c>
      <c r="O546" s="36">
        <v>0</v>
      </c>
      <c r="P546" t="s">
        <v>506</v>
      </c>
      <c r="Q546" t="s">
        <v>300</v>
      </c>
      <c r="R546" t="s">
        <v>300</v>
      </c>
      <c r="S546" s="1">
        <v>46036</v>
      </c>
      <c r="T546" s="1">
        <v>46036</v>
      </c>
      <c r="V546" s="1">
        <v>46401</v>
      </c>
      <c r="W546" t="s">
        <v>38</v>
      </c>
      <c r="X546">
        <v>12</v>
      </c>
      <c r="Y546" t="s">
        <v>49</v>
      </c>
      <c r="AA546" t="s">
        <v>122</v>
      </c>
      <c r="AB546">
        <v>12</v>
      </c>
      <c r="AC546" t="s">
        <v>301</v>
      </c>
      <c r="AD546" t="s">
        <v>118</v>
      </c>
      <c r="AE546" t="s">
        <v>43</v>
      </c>
      <c r="AF546" t="s">
        <v>119</v>
      </c>
      <c r="AG546" t="str">
        <f t="shared" si="8"/>
        <v>Recorrente</v>
      </c>
      <c r="AH546" t="str">
        <f>IF(AND(SUMIF(E:E,E546,I:I)&gt;=400000,Q546="B2G"),"n","")</f>
        <v/>
      </c>
    </row>
    <row r="547" spans="1:34">
      <c r="A547">
        <v>2026</v>
      </c>
      <c r="B547">
        <v>1</v>
      </c>
      <c r="C547" s="83">
        <v>132101153032</v>
      </c>
      <c r="D547" t="s">
        <v>629</v>
      </c>
      <c r="E547">
        <v>53773058130</v>
      </c>
      <c r="F547">
        <v>635590</v>
      </c>
      <c r="G547">
        <v>49068550561</v>
      </c>
      <c r="H547" t="s">
        <v>35</v>
      </c>
      <c r="I547" s="36">
        <v>2874</v>
      </c>
      <c r="J547" s="36">
        <v>2874</v>
      </c>
      <c r="K547" s="85">
        <v>0</v>
      </c>
      <c r="L547" s="36">
        <v>239.5</v>
      </c>
      <c r="M547" s="36">
        <v>239.5</v>
      </c>
      <c r="N547" s="36">
        <v>0</v>
      </c>
      <c r="O547" s="36">
        <v>0</v>
      </c>
      <c r="P547" t="s">
        <v>511</v>
      </c>
      <c r="Q547" t="s">
        <v>300</v>
      </c>
      <c r="R547" t="s">
        <v>300</v>
      </c>
      <c r="S547" s="1">
        <v>46036</v>
      </c>
      <c r="T547" s="1">
        <v>46036</v>
      </c>
      <c r="V547" s="1">
        <v>46401</v>
      </c>
      <c r="W547" t="s">
        <v>38</v>
      </c>
      <c r="X547">
        <v>12</v>
      </c>
      <c r="Y547" t="s">
        <v>49</v>
      </c>
      <c r="AA547" t="s">
        <v>122</v>
      </c>
      <c r="AB547">
        <v>12</v>
      </c>
      <c r="AC547" t="s">
        <v>301</v>
      </c>
      <c r="AD547" t="s">
        <v>140</v>
      </c>
      <c r="AE547" t="s">
        <v>46</v>
      </c>
      <c r="AF547" t="s">
        <v>119</v>
      </c>
      <c r="AG547" t="str">
        <f t="shared" si="8"/>
        <v>Recorrente</v>
      </c>
      <c r="AH547" t="str">
        <f>IF(AND(SUMIF(E:E,E547,I:I)&gt;=400000,Q547="B2G"),"n","")</f>
        <v/>
      </c>
    </row>
    <row r="548" spans="1:34">
      <c r="A548">
        <v>2026</v>
      </c>
      <c r="B548">
        <v>1</v>
      </c>
      <c r="C548" s="83">
        <v>192678013870</v>
      </c>
      <c r="D548" t="s">
        <v>630</v>
      </c>
      <c r="E548">
        <v>53788776728</v>
      </c>
      <c r="F548">
        <v>635674</v>
      </c>
      <c r="G548">
        <v>49678639474</v>
      </c>
      <c r="H548" t="s">
        <v>35</v>
      </c>
      <c r="I548" s="36">
        <v>8154.84</v>
      </c>
      <c r="J548" s="36">
        <v>8154.9</v>
      </c>
      <c r="K548" s="85">
        <v>0</v>
      </c>
      <c r="L548" s="36">
        <v>679.58</v>
      </c>
      <c r="M548" s="36">
        <v>679.58</v>
      </c>
      <c r="N548" s="36">
        <v>0</v>
      </c>
      <c r="O548" s="36">
        <v>0</v>
      </c>
      <c r="P548" t="s">
        <v>313</v>
      </c>
      <c r="Q548" t="s">
        <v>314</v>
      </c>
      <c r="R548" t="s">
        <v>314</v>
      </c>
      <c r="S548" s="1">
        <v>46044</v>
      </c>
      <c r="T548" s="1">
        <v>46044</v>
      </c>
      <c r="V548" s="1">
        <v>46409</v>
      </c>
      <c r="W548" t="s">
        <v>38</v>
      </c>
      <c r="X548">
        <v>12</v>
      </c>
      <c r="Y548" t="s">
        <v>49</v>
      </c>
      <c r="AA548" t="s">
        <v>122</v>
      </c>
      <c r="AB548">
        <v>12</v>
      </c>
      <c r="AC548" t="s">
        <v>315</v>
      </c>
      <c r="AD548" t="s">
        <v>131</v>
      </c>
      <c r="AE548" t="s">
        <v>46</v>
      </c>
      <c r="AF548" t="s">
        <v>96</v>
      </c>
      <c r="AG548" t="str">
        <f t="shared" si="8"/>
        <v>Recorrente</v>
      </c>
      <c r="AH548" t="str">
        <f>IF(AND(SUMIF(E:E,E548,I:I)&gt;=400000,Q548="B2G"),"n","")</f>
        <v/>
      </c>
    </row>
    <row r="549" spans="1:34">
      <c r="A549">
        <v>2026</v>
      </c>
      <c r="B549">
        <v>1</v>
      </c>
      <c r="C549" s="83">
        <v>2124403</v>
      </c>
      <c r="D549" t="s">
        <v>631</v>
      </c>
      <c r="E549">
        <v>53789656645</v>
      </c>
      <c r="F549">
        <v>523775</v>
      </c>
      <c r="G549">
        <v>49949884226</v>
      </c>
      <c r="H549" t="s">
        <v>35</v>
      </c>
      <c r="I549" s="36">
        <v>3983.64</v>
      </c>
      <c r="J549" s="36">
        <v>3983.64</v>
      </c>
      <c r="K549" s="85">
        <v>0</v>
      </c>
      <c r="L549" s="36">
        <v>331.97</v>
      </c>
      <c r="M549" s="36">
        <v>0</v>
      </c>
      <c r="N549" s="36">
        <v>0</v>
      </c>
      <c r="O549" s="36">
        <v>331.96577500000001</v>
      </c>
      <c r="P549" t="s">
        <v>116</v>
      </c>
      <c r="Q549" t="s">
        <v>111</v>
      </c>
      <c r="R549" t="s">
        <v>111</v>
      </c>
      <c r="S549" s="1">
        <v>46049</v>
      </c>
      <c r="T549" s="1">
        <v>46049</v>
      </c>
      <c r="U549" s="1">
        <v>46035</v>
      </c>
      <c r="V549" s="1">
        <v>46415</v>
      </c>
      <c r="W549" t="s">
        <v>38</v>
      </c>
      <c r="X549">
        <v>12</v>
      </c>
      <c r="Y549" t="s">
        <v>49</v>
      </c>
      <c r="Z549" t="s">
        <v>81</v>
      </c>
      <c r="AA549" t="s">
        <v>117</v>
      </c>
      <c r="AB549">
        <v>1</v>
      </c>
      <c r="AC549" t="s">
        <v>113</v>
      </c>
      <c r="AD549" t="s">
        <v>138</v>
      </c>
      <c r="AE549" t="s">
        <v>135</v>
      </c>
      <c r="AF549" t="s">
        <v>119</v>
      </c>
      <c r="AG549" t="str">
        <f t="shared" si="8"/>
        <v>À Vista</v>
      </c>
      <c r="AH549" t="str">
        <f>IF(AND(SUMIF(E:E,E549,I:I)&gt;=400000,Q549="B2G"),"n","")</f>
        <v/>
      </c>
    </row>
    <row r="550" spans="1:34">
      <c r="A550">
        <v>2026</v>
      </c>
      <c r="B550">
        <v>1</v>
      </c>
      <c r="C550" s="83">
        <v>2072355</v>
      </c>
      <c r="D550" t="s">
        <v>632</v>
      </c>
      <c r="E550">
        <v>53794765621</v>
      </c>
      <c r="F550">
        <v>635846</v>
      </c>
      <c r="G550">
        <v>50426092626</v>
      </c>
      <c r="H550" t="s">
        <v>35</v>
      </c>
      <c r="I550" s="36">
        <v>6240</v>
      </c>
      <c r="J550" s="36">
        <v>3120</v>
      </c>
      <c r="K550" s="85">
        <v>3120</v>
      </c>
      <c r="L550" s="36">
        <v>260</v>
      </c>
      <c r="M550" s="36">
        <v>260</v>
      </c>
      <c r="N550" s="36">
        <v>0</v>
      </c>
      <c r="O550" s="36">
        <v>0</v>
      </c>
      <c r="P550" t="s">
        <v>313</v>
      </c>
      <c r="Q550" t="s">
        <v>314</v>
      </c>
      <c r="R550" t="s">
        <v>314</v>
      </c>
      <c r="S550" s="1">
        <v>46052</v>
      </c>
      <c r="T550" s="1">
        <v>46052</v>
      </c>
      <c r="V550" s="1">
        <v>46782</v>
      </c>
      <c r="W550" t="s">
        <v>56</v>
      </c>
      <c r="X550">
        <v>24</v>
      </c>
      <c r="Y550" t="s">
        <v>49</v>
      </c>
      <c r="AA550" t="s">
        <v>122</v>
      </c>
      <c r="AB550">
        <v>24</v>
      </c>
      <c r="AC550" t="s">
        <v>315</v>
      </c>
      <c r="AD550" t="s">
        <v>160</v>
      </c>
      <c r="AE550" t="s">
        <v>43</v>
      </c>
      <c r="AF550" t="s">
        <v>44</v>
      </c>
      <c r="AG550" t="str">
        <f t="shared" si="8"/>
        <v>Recorrente</v>
      </c>
      <c r="AH550" t="str">
        <f>IF(AND(SUMIF(E:E,E550,I:I)&gt;=400000,Q550="B2G"),"n","")</f>
        <v/>
      </c>
    </row>
    <row r="551" spans="1:34">
      <c r="A551">
        <v>2026</v>
      </c>
      <c r="B551">
        <v>1</v>
      </c>
      <c r="C551" s="83">
        <v>2103975</v>
      </c>
      <c r="D551" t="s">
        <v>633</v>
      </c>
      <c r="E551">
        <v>53806356318</v>
      </c>
      <c r="F551">
        <v>602401</v>
      </c>
      <c r="G551">
        <v>48992051884</v>
      </c>
      <c r="H551" t="s">
        <v>35</v>
      </c>
      <c r="I551" s="36">
        <v>2299.1999999999998</v>
      </c>
      <c r="J551" s="36">
        <v>2299.1999999999998</v>
      </c>
      <c r="K551" s="85">
        <v>0</v>
      </c>
      <c r="L551" s="36">
        <v>191.6</v>
      </c>
      <c r="M551" s="36">
        <v>191.6</v>
      </c>
      <c r="N551" s="36">
        <v>0</v>
      </c>
      <c r="O551" s="36">
        <v>0</v>
      </c>
      <c r="P551" t="s">
        <v>121</v>
      </c>
      <c r="Q551" t="s">
        <v>111</v>
      </c>
      <c r="R551" t="s">
        <v>111</v>
      </c>
      <c r="S551" s="1">
        <v>46036</v>
      </c>
      <c r="T551" s="1">
        <v>46036</v>
      </c>
      <c r="V551" s="1">
        <v>46418</v>
      </c>
      <c r="W551" t="s">
        <v>38</v>
      </c>
      <c r="X551">
        <v>12</v>
      </c>
      <c r="Y551" t="s">
        <v>49</v>
      </c>
      <c r="Z551" t="s">
        <v>81</v>
      </c>
      <c r="AA551" t="s">
        <v>122</v>
      </c>
      <c r="AB551">
        <v>12</v>
      </c>
      <c r="AC551" t="s">
        <v>113</v>
      </c>
      <c r="AD551" t="s">
        <v>118</v>
      </c>
      <c r="AE551" t="s">
        <v>43</v>
      </c>
      <c r="AF551" t="s">
        <v>119</v>
      </c>
      <c r="AG551" t="str">
        <f t="shared" si="8"/>
        <v>Recorrente</v>
      </c>
      <c r="AH551" t="str">
        <f>IF(AND(SUMIF(E:E,E551,I:I)&gt;=400000,Q551="B2G"),"n","")</f>
        <v/>
      </c>
    </row>
    <row r="552" spans="1:34">
      <c r="A552">
        <v>2026</v>
      </c>
      <c r="B552">
        <v>1</v>
      </c>
      <c r="C552" s="83">
        <v>19435599790</v>
      </c>
      <c r="D552" t="s">
        <v>634</v>
      </c>
      <c r="E552">
        <v>53811961775</v>
      </c>
      <c r="F552">
        <v>635575</v>
      </c>
      <c r="G552">
        <v>49007570964</v>
      </c>
      <c r="H552" t="s">
        <v>35</v>
      </c>
      <c r="I552" s="36">
        <v>17269.2</v>
      </c>
      <c r="J552" s="36">
        <v>5621.19</v>
      </c>
      <c r="K552" s="85">
        <v>11648.01</v>
      </c>
      <c r="L552" s="36">
        <v>468.43</v>
      </c>
      <c r="M552" s="36">
        <v>0</v>
      </c>
      <c r="N552" s="36">
        <v>292.77</v>
      </c>
      <c r="O552" s="36">
        <v>175.66139949999999</v>
      </c>
      <c r="P552" t="s">
        <v>367</v>
      </c>
      <c r="Q552" t="s">
        <v>191</v>
      </c>
      <c r="R552" t="s">
        <v>191</v>
      </c>
      <c r="S552" s="1">
        <v>46036</v>
      </c>
      <c r="T552" s="1">
        <v>46036</v>
      </c>
      <c r="V552" s="1">
        <v>46766</v>
      </c>
      <c r="W552" t="s">
        <v>56</v>
      </c>
      <c r="Y552" t="s">
        <v>49</v>
      </c>
      <c r="AA552" t="s">
        <v>122</v>
      </c>
      <c r="AB552">
        <v>24</v>
      </c>
      <c r="AC552" t="s">
        <v>192</v>
      </c>
      <c r="AD552" t="s">
        <v>131</v>
      </c>
      <c r="AE552" t="s">
        <v>46</v>
      </c>
      <c r="AF552" t="s">
        <v>96</v>
      </c>
      <c r="AG552" t="str">
        <f t="shared" si="8"/>
        <v>Recorrente</v>
      </c>
      <c r="AH552" t="str">
        <f>IF(AND(SUMIF(E:E,E552,I:I)&gt;=400000,Q552="B2G"),"n","")</f>
        <v/>
      </c>
    </row>
    <row r="553" spans="1:34">
      <c r="A553">
        <v>2026</v>
      </c>
      <c r="B553">
        <v>1</v>
      </c>
      <c r="C553" s="83">
        <v>19435599790</v>
      </c>
      <c r="D553" t="s">
        <v>634</v>
      </c>
      <c r="E553">
        <v>53811961775</v>
      </c>
      <c r="F553">
        <v>635575</v>
      </c>
      <c r="G553">
        <v>49007570965</v>
      </c>
      <c r="H553" t="s">
        <v>35</v>
      </c>
      <c r="I553" s="36">
        <v>11437.2</v>
      </c>
      <c r="J553" s="36">
        <v>3722.85</v>
      </c>
      <c r="K553" s="85">
        <v>7714.35</v>
      </c>
      <c r="L553" s="36">
        <v>310.24</v>
      </c>
      <c r="M553" s="36">
        <v>0</v>
      </c>
      <c r="N553" s="36">
        <v>193.9</v>
      </c>
      <c r="O553" s="36">
        <v>116.3386005</v>
      </c>
      <c r="P553" t="s">
        <v>367</v>
      </c>
      <c r="Q553" t="s">
        <v>191</v>
      </c>
      <c r="R553" t="s">
        <v>191</v>
      </c>
      <c r="S553" s="1">
        <v>46036</v>
      </c>
      <c r="T553" s="1">
        <v>46036</v>
      </c>
      <c r="V553" s="1">
        <v>46766</v>
      </c>
      <c r="W553" t="s">
        <v>56</v>
      </c>
      <c r="Y553" t="s">
        <v>49</v>
      </c>
      <c r="AA553" t="s">
        <v>122</v>
      </c>
      <c r="AB553">
        <v>24</v>
      </c>
      <c r="AC553" t="s">
        <v>192</v>
      </c>
      <c r="AD553" t="s">
        <v>149</v>
      </c>
      <c r="AE553" t="s">
        <v>43</v>
      </c>
      <c r="AF553" t="s">
        <v>96</v>
      </c>
      <c r="AG553" t="str">
        <f t="shared" si="8"/>
        <v>Recorrente</v>
      </c>
      <c r="AH553" t="str">
        <f>IF(AND(SUMIF(E:E,E553,I:I)&gt;=400000,Q553="B2G"),"n","")</f>
        <v/>
      </c>
    </row>
    <row r="554" spans="1:34">
      <c r="A554">
        <v>2026</v>
      </c>
      <c r="B554">
        <v>1</v>
      </c>
      <c r="C554" s="83">
        <v>2073001</v>
      </c>
      <c r="D554" t="s">
        <v>635</v>
      </c>
      <c r="E554">
        <v>53812201364</v>
      </c>
      <c r="F554">
        <v>604817</v>
      </c>
      <c r="G554">
        <v>49007707982</v>
      </c>
      <c r="H554" t="s">
        <v>35</v>
      </c>
      <c r="I554" s="36">
        <v>2320.8000000000002</v>
      </c>
      <c r="J554" s="36">
        <v>2320.8000000000002</v>
      </c>
      <c r="K554" s="85">
        <v>0</v>
      </c>
      <c r="L554" s="36">
        <v>193.4</v>
      </c>
      <c r="M554" s="36">
        <v>193.4</v>
      </c>
      <c r="N554" s="36">
        <v>0</v>
      </c>
      <c r="O554" s="36">
        <v>0</v>
      </c>
      <c r="P554" t="s">
        <v>137</v>
      </c>
      <c r="Q554" t="s">
        <v>111</v>
      </c>
      <c r="R554" t="s">
        <v>111</v>
      </c>
      <c r="S554" s="1">
        <v>46038</v>
      </c>
      <c r="T554" s="1">
        <v>46038</v>
      </c>
      <c r="U554" s="1">
        <v>45992</v>
      </c>
      <c r="V554" s="1">
        <v>46401</v>
      </c>
      <c r="W554" t="s">
        <v>38</v>
      </c>
      <c r="X554">
        <v>13</v>
      </c>
      <c r="Y554" t="s">
        <v>49</v>
      </c>
      <c r="Z554" t="s">
        <v>81</v>
      </c>
      <c r="AA554" t="s">
        <v>122</v>
      </c>
      <c r="AB554">
        <v>12</v>
      </c>
      <c r="AC554" t="s">
        <v>113</v>
      </c>
      <c r="AD554" t="s">
        <v>118</v>
      </c>
      <c r="AE554" t="s">
        <v>43</v>
      </c>
      <c r="AF554" t="s">
        <v>119</v>
      </c>
      <c r="AG554" t="str">
        <f t="shared" si="8"/>
        <v>Recorrente</v>
      </c>
      <c r="AH554" t="str">
        <f>IF(AND(SUMIF(E:E,E554,I:I)&gt;=400000,Q554="B2G"),"n","")</f>
        <v/>
      </c>
    </row>
    <row r="555" spans="1:34">
      <c r="A555">
        <v>2026</v>
      </c>
      <c r="B555">
        <v>1</v>
      </c>
      <c r="C555" s="83">
        <v>48895851938</v>
      </c>
      <c r="D555" t="s">
        <v>636</v>
      </c>
      <c r="E555">
        <v>53818294873</v>
      </c>
      <c r="F555">
        <v>635576</v>
      </c>
      <c r="G555">
        <v>49007570592</v>
      </c>
      <c r="H555" t="s">
        <v>35</v>
      </c>
      <c r="I555" s="36">
        <v>5340</v>
      </c>
      <c r="J555" s="36">
        <v>5340</v>
      </c>
      <c r="K555" s="85">
        <v>0</v>
      </c>
      <c r="L555" s="36">
        <v>445</v>
      </c>
      <c r="M555" s="36">
        <v>445</v>
      </c>
      <c r="N555" s="36">
        <v>0</v>
      </c>
      <c r="O555" s="36">
        <v>0</v>
      </c>
      <c r="P555" t="s">
        <v>511</v>
      </c>
      <c r="Q555" t="s">
        <v>300</v>
      </c>
      <c r="R555" t="s">
        <v>300</v>
      </c>
      <c r="S555" s="1">
        <v>46036</v>
      </c>
      <c r="T555" s="1">
        <v>46036</v>
      </c>
      <c r="V555" s="1">
        <v>46401</v>
      </c>
      <c r="W555" t="s">
        <v>38</v>
      </c>
      <c r="X555">
        <v>12</v>
      </c>
      <c r="Y555" t="s">
        <v>49</v>
      </c>
      <c r="AA555" t="s">
        <v>122</v>
      </c>
      <c r="AB555">
        <v>12</v>
      </c>
      <c r="AC555" t="s">
        <v>301</v>
      </c>
      <c r="AD555" t="s">
        <v>138</v>
      </c>
      <c r="AE555" t="s">
        <v>135</v>
      </c>
      <c r="AF555" t="s">
        <v>119</v>
      </c>
      <c r="AG555" t="str">
        <f t="shared" si="8"/>
        <v>Recorrente</v>
      </c>
      <c r="AH555" t="str">
        <f>IF(AND(SUMIF(E:E,E555,I:I)&gt;=400000,Q555="B2G"),"n","")</f>
        <v/>
      </c>
    </row>
    <row r="556" spans="1:34">
      <c r="A556">
        <v>2026</v>
      </c>
      <c r="B556">
        <v>1</v>
      </c>
      <c r="C556" s="83">
        <v>2115822</v>
      </c>
      <c r="D556" t="s">
        <v>637</v>
      </c>
      <c r="E556">
        <v>53821646593</v>
      </c>
      <c r="F556">
        <v>635579</v>
      </c>
      <c r="G556">
        <v>49007323918</v>
      </c>
      <c r="H556" t="s">
        <v>104</v>
      </c>
      <c r="I556" s="36">
        <v>718.8</v>
      </c>
      <c r="J556" s="36">
        <v>718.8</v>
      </c>
      <c r="K556" s="85">
        <v>0</v>
      </c>
      <c r="L556" s="36">
        <v>59.9</v>
      </c>
      <c r="M556" s="36">
        <v>59.9</v>
      </c>
      <c r="N556" s="36">
        <v>0</v>
      </c>
      <c r="O556" s="36">
        <v>0</v>
      </c>
      <c r="P556" t="s">
        <v>562</v>
      </c>
      <c r="Q556" t="s">
        <v>498</v>
      </c>
      <c r="R556" t="s">
        <v>498</v>
      </c>
      <c r="S556" s="1">
        <v>46036</v>
      </c>
      <c r="T556" s="1">
        <v>46036</v>
      </c>
      <c r="V556" s="1">
        <v>46401</v>
      </c>
      <c r="W556" t="s">
        <v>38</v>
      </c>
      <c r="X556">
        <v>12</v>
      </c>
      <c r="Y556" t="s">
        <v>49</v>
      </c>
      <c r="AA556" t="s">
        <v>112</v>
      </c>
      <c r="AB556">
        <v>6</v>
      </c>
      <c r="AC556" t="s">
        <v>499</v>
      </c>
      <c r="AD556" t="s">
        <v>105</v>
      </c>
      <c r="AE556" t="s">
        <v>106</v>
      </c>
      <c r="AF556" t="s">
        <v>59</v>
      </c>
      <c r="AG556" t="str">
        <f t="shared" si="8"/>
        <v>CC 12x</v>
      </c>
      <c r="AH556" t="str">
        <f>IF(AND(SUMIF(E:E,E556,I:I)&gt;=400000,Q556="B2G"),"n","")</f>
        <v/>
      </c>
    </row>
    <row r="557" spans="1:34">
      <c r="A557">
        <v>2026</v>
      </c>
      <c r="B557">
        <v>1</v>
      </c>
      <c r="C557" s="83">
        <v>193106850912</v>
      </c>
      <c r="D557" t="s">
        <v>638</v>
      </c>
      <c r="E557">
        <v>53821955855</v>
      </c>
      <c r="F557">
        <v>327377</v>
      </c>
      <c r="G557">
        <v>49068665134</v>
      </c>
      <c r="H557" t="s">
        <v>35</v>
      </c>
      <c r="I557" s="36">
        <v>6664.68</v>
      </c>
      <c r="J557" s="36">
        <v>6664.63</v>
      </c>
      <c r="K557" s="85">
        <v>0.05</v>
      </c>
      <c r="L557" s="36">
        <v>555.39</v>
      </c>
      <c r="M557" s="36">
        <v>555.39</v>
      </c>
      <c r="N557" s="36">
        <v>0</v>
      </c>
      <c r="O557" s="36">
        <v>0</v>
      </c>
      <c r="P557" t="s">
        <v>137</v>
      </c>
      <c r="Q557" t="s">
        <v>111</v>
      </c>
      <c r="R557" t="s">
        <v>111</v>
      </c>
      <c r="S557" s="1">
        <v>46036</v>
      </c>
      <c r="T557" s="1">
        <v>46036</v>
      </c>
      <c r="V557" s="1">
        <v>46401</v>
      </c>
      <c r="W557" t="s">
        <v>38</v>
      </c>
      <c r="X557">
        <v>12</v>
      </c>
      <c r="Y557" t="s">
        <v>49</v>
      </c>
      <c r="Z557" t="s">
        <v>81</v>
      </c>
      <c r="AA557" t="s">
        <v>122</v>
      </c>
      <c r="AB557">
        <v>12</v>
      </c>
      <c r="AC557" t="s">
        <v>639</v>
      </c>
      <c r="AD557" t="s">
        <v>134</v>
      </c>
      <c r="AE557" t="s">
        <v>135</v>
      </c>
      <c r="AF557" t="s">
        <v>44</v>
      </c>
      <c r="AG557" t="str">
        <f t="shared" si="8"/>
        <v>Recorrente</v>
      </c>
      <c r="AH557" t="str">
        <f>IF(AND(SUMIF(E:E,E557,I:I)&gt;=400000,Q557="B2G"),"n","")</f>
        <v/>
      </c>
    </row>
    <row r="558" spans="1:34">
      <c r="A558">
        <v>2026</v>
      </c>
      <c r="B558">
        <v>1</v>
      </c>
      <c r="C558" s="83">
        <v>171482700827</v>
      </c>
      <c r="D558" t="s">
        <v>640</v>
      </c>
      <c r="E558">
        <v>53822018459</v>
      </c>
      <c r="F558">
        <v>635586</v>
      </c>
      <c r="G558">
        <v>49068425507</v>
      </c>
      <c r="H558" t="s">
        <v>35</v>
      </c>
      <c r="I558" s="36">
        <v>4530.6000000000004</v>
      </c>
      <c r="J558" s="36">
        <v>4530.6000000000004</v>
      </c>
      <c r="K558" s="85">
        <v>0</v>
      </c>
      <c r="L558" s="36">
        <v>377.55</v>
      </c>
      <c r="M558" s="36">
        <v>377.55</v>
      </c>
      <c r="N558" s="36">
        <v>0</v>
      </c>
      <c r="O558" s="36">
        <v>0</v>
      </c>
      <c r="P558" t="s">
        <v>562</v>
      </c>
      <c r="Q558" t="s">
        <v>498</v>
      </c>
      <c r="R558" t="s">
        <v>498</v>
      </c>
      <c r="S558" s="1">
        <v>46036</v>
      </c>
      <c r="T558" s="1">
        <v>46036</v>
      </c>
      <c r="V558" s="1">
        <v>46401</v>
      </c>
      <c r="W558" t="s">
        <v>38</v>
      </c>
      <c r="X558">
        <v>12</v>
      </c>
      <c r="Y558" t="s">
        <v>49</v>
      </c>
      <c r="AA558" t="s">
        <v>117</v>
      </c>
      <c r="AB558">
        <v>1</v>
      </c>
      <c r="AC558" t="s">
        <v>499</v>
      </c>
      <c r="AD558" t="s">
        <v>84</v>
      </c>
      <c r="AE558" t="s">
        <v>43</v>
      </c>
      <c r="AF558" t="s">
        <v>44</v>
      </c>
      <c r="AG558" t="str">
        <f t="shared" si="8"/>
        <v>À Vista</v>
      </c>
      <c r="AH558" t="str">
        <f>IF(AND(SUMIF(E:E,E558,I:I)&gt;=400000,Q558="B2G"),"n","")</f>
        <v/>
      </c>
    </row>
    <row r="559" spans="1:34">
      <c r="A559">
        <v>2026</v>
      </c>
      <c r="B559">
        <v>1</v>
      </c>
      <c r="C559" s="83">
        <v>197813148483</v>
      </c>
      <c r="D559" t="s">
        <v>641</v>
      </c>
      <c r="E559">
        <v>53838543403</v>
      </c>
      <c r="F559">
        <v>606818</v>
      </c>
      <c r="G559">
        <v>50425466778</v>
      </c>
      <c r="H559" t="s">
        <v>35</v>
      </c>
      <c r="I559" s="36">
        <v>3586.68</v>
      </c>
      <c r="J559" s="36">
        <v>3586.68</v>
      </c>
      <c r="K559" s="85">
        <v>0</v>
      </c>
      <c r="L559" s="36">
        <v>298.89</v>
      </c>
      <c r="M559" s="36">
        <v>0</v>
      </c>
      <c r="N559" s="36">
        <v>66.69</v>
      </c>
      <c r="O559" s="36">
        <v>232.2</v>
      </c>
      <c r="P559" t="s">
        <v>162</v>
      </c>
      <c r="Q559" t="s">
        <v>111</v>
      </c>
      <c r="R559" t="s">
        <v>111</v>
      </c>
      <c r="S559" s="1">
        <v>46052</v>
      </c>
      <c r="T559" s="1">
        <v>46052</v>
      </c>
      <c r="U559" s="1">
        <v>46052</v>
      </c>
      <c r="V559" s="1">
        <v>46417</v>
      </c>
      <c r="W559" t="s">
        <v>38</v>
      </c>
      <c r="X559">
        <v>12</v>
      </c>
      <c r="Y559" t="s">
        <v>49</v>
      </c>
      <c r="Z559" t="s">
        <v>81</v>
      </c>
      <c r="AA559" t="s">
        <v>122</v>
      </c>
      <c r="AB559">
        <v>12</v>
      </c>
      <c r="AC559" t="s">
        <v>113</v>
      </c>
      <c r="AD559" t="s">
        <v>84</v>
      </c>
      <c r="AE559" t="s">
        <v>43</v>
      </c>
      <c r="AF559" t="s">
        <v>44</v>
      </c>
      <c r="AG559" t="str">
        <f t="shared" si="8"/>
        <v>Recorrente</v>
      </c>
      <c r="AH559" t="str">
        <f>IF(AND(SUMIF(E:E,E559,I:I)&gt;=400000,Q559="B2G"),"n","")</f>
        <v/>
      </c>
    </row>
    <row r="560" spans="1:34">
      <c r="A560">
        <v>2026</v>
      </c>
      <c r="B560">
        <v>1</v>
      </c>
      <c r="C560" s="83">
        <v>28942006173</v>
      </c>
      <c r="D560" t="s">
        <v>642</v>
      </c>
      <c r="E560">
        <v>53852705418</v>
      </c>
      <c r="F560">
        <v>608534</v>
      </c>
      <c r="G560">
        <v>50518325623</v>
      </c>
      <c r="H560" t="s">
        <v>35</v>
      </c>
      <c r="I560" s="36">
        <v>5906.1</v>
      </c>
      <c r="J560" s="36">
        <v>5906.1</v>
      </c>
      <c r="K560" s="85">
        <v>0</v>
      </c>
      <c r="L560" s="36">
        <v>492.18</v>
      </c>
      <c r="M560" s="36">
        <v>0</v>
      </c>
      <c r="N560" s="36">
        <v>56.82</v>
      </c>
      <c r="O560" s="36">
        <v>435.36</v>
      </c>
      <c r="P560" t="s">
        <v>137</v>
      </c>
      <c r="Q560" t="s">
        <v>111</v>
      </c>
      <c r="R560" t="s">
        <v>111</v>
      </c>
      <c r="S560" s="1">
        <v>46053</v>
      </c>
      <c r="T560" s="1">
        <v>46053</v>
      </c>
      <c r="U560" s="1">
        <v>46053</v>
      </c>
      <c r="V560" s="1">
        <v>46418</v>
      </c>
      <c r="W560" t="s">
        <v>38</v>
      </c>
      <c r="X560">
        <v>12</v>
      </c>
      <c r="Y560" t="s">
        <v>49</v>
      </c>
      <c r="Z560" t="s">
        <v>81</v>
      </c>
      <c r="AA560" t="s">
        <v>122</v>
      </c>
      <c r="AB560">
        <v>12</v>
      </c>
      <c r="AC560" t="s">
        <v>113</v>
      </c>
      <c r="AD560" t="s">
        <v>131</v>
      </c>
      <c r="AE560" t="s">
        <v>46</v>
      </c>
      <c r="AF560" t="s">
        <v>96</v>
      </c>
      <c r="AG560" t="str">
        <f t="shared" si="8"/>
        <v>Recorrente</v>
      </c>
      <c r="AH560" t="str">
        <f>IF(AND(SUMIF(E:E,E560,I:I)&gt;=400000,Q560="B2G"),"n","")</f>
        <v/>
      </c>
    </row>
    <row r="561" spans="1:34">
      <c r="A561">
        <v>2026</v>
      </c>
      <c r="B561">
        <v>1</v>
      </c>
      <c r="C561" s="83">
        <v>28942006173</v>
      </c>
      <c r="D561" t="s">
        <v>642</v>
      </c>
      <c r="E561">
        <v>53852705418</v>
      </c>
      <c r="F561">
        <v>608534</v>
      </c>
      <c r="G561">
        <v>50518325624</v>
      </c>
      <c r="H561" t="s">
        <v>35</v>
      </c>
      <c r="I561" s="36">
        <v>5906.1</v>
      </c>
      <c r="J561" s="36">
        <v>5906.1</v>
      </c>
      <c r="K561" s="85">
        <v>0</v>
      </c>
      <c r="L561" s="36">
        <v>492.18</v>
      </c>
      <c r="M561" s="36">
        <v>0</v>
      </c>
      <c r="N561" s="36">
        <v>56.82</v>
      </c>
      <c r="O561" s="36">
        <v>435.36</v>
      </c>
      <c r="P561" t="s">
        <v>137</v>
      </c>
      <c r="Q561" t="s">
        <v>111</v>
      </c>
      <c r="R561" t="s">
        <v>111</v>
      </c>
      <c r="S561" s="1">
        <v>46053</v>
      </c>
      <c r="T561" s="1">
        <v>46053</v>
      </c>
      <c r="U561" s="1">
        <v>46053</v>
      </c>
      <c r="V561" s="1">
        <v>46418</v>
      </c>
      <c r="W561" t="s">
        <v>38</v>
      </c>
      <c r="X561">
        <v>12</v>
      </c>
      <c r="Y561" t="s">
        <v>49</v>
      </c>
      <c r="Z561" t="s">
        <v>81</v>
      </c>
      <c r="AA561" t="s">
        <v>122</v>
      </c>
      <c r="AB561">
        <v>12</v>
      </c>
      <c r="AC561" t="s">
        <v>113</v>
      </c>
      <c r="AD561" t="s">
        <v>84</v>
      </c>
      <c r="AE561" t="s">
        <v>43</v>
      </c>
      <c r="AF561" t="s">
        <v>44</v>
      </c>
      <c r="AG561" t="str">
        <f t="shared" si="8"/>
        <v>Recorrente</v>
      </c>
      <c r="AH561" t="str">
        <f>IF(AND(SUMIF(E:E,E561,I:I)&gt;=400000,Q561="B2G"),"n","")</f>
        <v/>
      </c>
    </row>
    <row r="562" spans="1:34">
      <c r="A562">
        <v>2026</v>
      </c>
      <c r="B562">
        <v>1</v>
      </c>
      <c r="C562" s="83">
        <v>2074588</v>
      </c>
      <c r="D562" t="s">
        <v>643</v>
      </c>
      <c r="E562">
        <v>53852734571</v>
      </c>
      <c r="F562">
        <v>635629</v>
      </c>
      <c r="G562">
        <v>49362953488</v>
      </c>
      <c r="H562" t="s">
        <v>35</v>
      </c>
      <c r="I562" s="36">
        <v>8222.16</v>
      </c>
      <c r="J562" s="36">
        <v>8222.17</v>
      </c>
      <c r="K562" s="85">
        <v>0</v>
      </c>
      <c r="L562" s="36">
        <v>685.18</v>
      </c>
      <c r="M562" s="36">
        <v>685.18</v>
      </c>
      <c r="N562" s="36">
        <v>0</v>
      </c>
      <c r="O562" s="36">
        <v>0</v>
      </c>
      <c r="P562" t="s">
        <v>506</v>
      </c>
      <c r="Q562" t="s">
        <v>300</v>
      </c>
      <c r="R562" t="s">
        <v>300</v>
      </c>
      <c r="S562" s="1">
        <v>46038</v>
      </c>
      <c r="T562" s="1">
        <v>46038</v>
      </c>
      <c r="V562" s="1">
        <v>46403</v>
      </c>
      <c r="W562" t="s">
        <v>38</v>
      </c>
      <c r="X562">
        <v>12</v>
      </c>
      <c r="Y562" t="s">
        <v>49</v>
      </c>
      <c r="AA562" t="s">
        <v>112</v>
      </c>
      <c r="AB562">
        <v>12</v>
      </c>
      <c r="AC562" t="s">
        <v>301</v>
      </c>
      <c r="AD562" t="s">
        <v>134</v>
      </c>
      <c r="AE562" t="s">
        <v>135</v>
      </c>
      <c r="AF562" t="s">
        <v>44</v>
      </c>
      <c r="AG562" t="str">
        <f t="shared" si="8"/>
        <v>CC 12x</v>
      </c>
      <c r="AH562" t="str">
        <f>IF(AND(SUMIF(E:E,E562,I:I)&gt;=400000,Q562="B2G"),"n","")</f>
        <v/>
      </c>
    </row>
    <row r="563" spans="1:34">
      <c r="A563">
        <v>2026</v>
      </c>
      <c r="B563">
        <v>1</v>
      </c>
      <c r="C563" s="83">
        <v>193144360278</v>
      </c>
      <c r="D563" t="s">
        <v>644</v>
      </c>
      <c r="E563">
        <v>53852749215</v>
      </c>
      <c r="F563">
        <v>635736</v>
      </c>
      <c r="G563">
        <v>49949713927</v>
      </c>
      <c r="H563" t="s">
        <v>35</v>
      </c>
      <c r="I563" s="36">
        <v>4530.6000000000004</v>
      </c>
      <c r="J563" s="36">
        <v>4530.6000000000004</v>
      </c>
      <c r="K563" s="85">
        <v>0</v>
      </c>
      <c r="L563" s="36">
        <v>377.55</v>
      </c>
      <c r="M563" s="36">
        <v>377.55</v>
      </c>
      <c r="N563" s="36">
        <v>0</v>
      </c>
      <c r="O563" s="36">
        <v>0</v>
      </c>
      <c r="P563" t="s">
        <v>299</v>
      </c>
      <c r="Q563" t="s">
        <v>300</v>
      </c>
      <c r="R563" t="s">
        <v>300</v>
      </c>
      <c r="S563" s="1">
        <v>46048</v>
      </c>
      <c r="T563" s="1">
        <v>46048</v>
      </c>
      <c r="V563" s="1">
        <v>46413</v>
      </c>
      <c r="W563" t="s">
        <v>38</v>
      </c>
      <c r="X563">
        <v>12</v>
      </c>
      <c r="Y563" t="s">
        <v>49</v>
      </c>
      <c r="AA563" t="s">
        <v>112</v>
      </c>
      <c r="AB563">
        <v>12</v>
      </c>
      <c r="AC563" t="s">
        <v>301</v>
      </c>
      <c r="AD563" t="s">
        <v>84</v>
      </c>
      <c r="AE563" t="s">
        <v>43</v>
      </c>
      <c r="AF563" t="s">
        <v>44</v>
      </c>
      <c r="AG563" t="str">
        <f t="shared" si="8"/>
        <v>CC 12x</v>
      </c>
      <c r="AH563" t="str">
        <f>IF(AND(SUMIF(E:E,E563,I:I)&gt;=400000,Q563="B2G"),"n","")</f>
        <v/>
      </c>
    </row>
    <row r="564" spans="1:34">
      <c r="A564">
        <v>2026</v>
      </c>
      <c r="B564">
        <v>1</v>
      </c>
      <c r="C564" s="83">
        <v>191750599193</v>
      </c>
      <c r="D564" t="s">
        <v>645</v>
      </c>
      <c r="E564">
        <v>53852787278</v>
      </c>
      <c r="F564">
        <v>635592</v>
      </c>
      <c r="G564">
        <v>49172411516</v>
      </c>
      <c r="H564" t="s">
        <v>35</v>
      </c>
      <c r="I564" s="36">
        <v>2874</v>
      </c>
      <c r="J564" s="36">
        <v>2874</v>
      </c>
      <c r="K564" s="85">
        <v>0</v>
      </c>
      <c r="L564" s="36">
        <v>239.5</v>
      </c>
      <c r="M564" s="36">
        <v>239.5</v>
      </c>
      <c r="N564" s="36">
        <v>0</v>
      </c>
      <c r="O564" s="36">
        <v>0</v>
      </c>
      <c r="P564" t="s">
        <v>497</v>
      </c>
      <c r="Q564" t="s">
        <v>498</v>
      </c>
      <c r="R564" t="s">
        <v>498</v>
      </c>
      <c r="S564" s="1">
        <v>46037</v>
      </c>
      <c r="T564" s="1">
        <v>46037</v>
      </c>
      <c r="V564" s="1">
        <v>46402</v>
      </c>
      <c r="W564" t="s">
        <v>38</v>
      </c>
      <c r="X564">
        <v>12</v>
      </c>
      <c r="Y564" t="s">
        <v>49</v>
      </c>
      <c r="AA564" t="s">
        <v>112</v>
      </c>
      <c r="AB564">
        <v>12</v>
      </c>
      <c r="AC564" t="s">
        <v>499</v>
      </c>
      <c r="AD564" t="s">
        <v>140</v>
      </c>
      <c r="AE564" t="s">
        <v>46</v>
      </c>
      <c r="AF564" t="s">
        <v>119</v>
      </c>
      <c r="AG564" t="str">
        <f t="shared" si="8"/>
        <v>CC 12x</v>
      </c>
      <c r="AH564" t="str">
        <f>IF(AND(SUMIF(E:E,E564,I:I)&gt;=400000,Q564="B2G"),"n","")</f>
        <v/>
      </c>
    </row>
    <row r="565" spans="1:34">
      <c r="A565">
        <v>2026</v>
      </c>
      <c r="B565">
        <v>1</v>
      </c>
      <c r="C565" s="83">
        <v>194275564099</v>
      </c>
      <c r="D565" t="s">
        <v>646</v>
      </c>
      <c r="E565">
        <v>53853117065</v>
      </c>
      <c r="F565">
        <v>635609</v>
      </c>
      <c r="G565">
        <v>49240266855</v>
      </c>
      <c r="H565" t="s">
        <v>35</v>
      </c>
      <c r="I565" s="36">
        <v>4852.32</v>
      </c>
      <c r="J565" s="36">
        <v>4852.32</v>
      </c>
      <c r="K565" s="85">
        <v>0</v>
      </c>
      <c r="L565" s="36">
        <v>404.36</v>
      </c>
      <c r="M565" s="36">
        <v>404.36</v>
      </c>
      <c r="N565" s="36">
        <v>0</v>
      </c>
      <c r="O565" s="36">
        <v>0</v>
      </c>
      <c r="P565" t="s">
        <v>506</v>
      </c>
      <c r="Q565" t="s">
        <v>300</v>
      </c>
      <c r="R565" t="s">
        <v>300</v>
      </c>
      <c r="S565" s="1">
        <v>46037</v>
      </c>
      <c r="T565" s="1">
        <v>46037</v>
      </c>
      <c r="V565" s="1">
        <v>46402</v>
      </c>
      <c r="W565" t="s">
        <v>38</v>
      </c>
      <c r="X565">
        <v>12</v>
      </c>
      <c r="Y565" t="s">
        <v>49</v>
      </c>
      <c r="AA565" t="s">
        <v>112</v>
      </c>
      <c r="AB565">
        <v>12</v>
      </c>
      <c r="AC565" t="s">
        <v>301</v>
      </c>
      <c r="AD565" t="s">
        <v>138</v>
      </c>
      <c r="AE565" t="s">
        <v>135</v>
      </c>
      <c r="AF565" t="s">
        <v>119</v>
      </c>
      <c r="AG565" t="str">
        <f t="shared" si="8"/>
        <v>CC 12x</v>
      </c>
      <c r="AH565" t="str">
        <f>IF(AND(SUMIF(E:E,E565,I:I)&gt;=400000,Q565="B2G"),"n","")</f>
        <v/>
      </c>
    </row>
    <row r="566" spans="1:34">
      <c r="A566">
        <v>2026</v>
      </c>
      <c r="B566">
        <v>1</v>
      </c>
      <c r="C566" s="83">
        <v>19435476770</v>
      </c>
      <c r="D566" t="s">
        <v>647</v>
      </c>
      <c r="E566">
        <v>53855448615</v>
      </c>
      <c r="F566">
        <v>635612</v>
      </c>
      <c r="G566">
        <v>49268346022</v>
      </c>
      <c r="H566" t="s">
        <v>35</v>
      </c>
      <c r="I566" s="36">
        <v>5178.6000000000004</v>
      </c>
      <c r="J566" s="36">
        <v>3334.2</v>
      </c>
      <c r="K566" s="85">
        <v>1844.4</v>
      </c>
      <c r="L566" s="36">
        <v>277.85000000000002</v>
      </c>
      <c r="M566" s="36">
        <v>0</v>
      </c>
      <c r="N566" s="36">
        <v>131.83000000000001</v>
      </c>
      <c r="O566" s="36">
        <v>146.01509200000001</v>
      </c>
      <c r="P566" t="s">
        <v>367</v>
      </c>
      <c r="Q566" t="s">
        <v>191</v>
      </c>
      <c r="R566" t="s">
        <v>191</v>
      </c>
      <c r="S566" s="1">
        <v>46037</v>
      </c>
      <c r="T566" s="1">
        <v>46037</v>
      </c>
      <c r="V566" s="1">
        <v>46402</v>
      </c>
      <c r="W566" t="s">
        <v>38</v>
      </c>
      <c r="Y566" t="s">
        <v>49</v>
      </c>
      <c r="AA566" t="s">
        <v>122</v>
      </c>
      <c r="AB566">
        <v>12</v>
      </c>
      <c r="AC566" t="s">
        <v>192</v>
      </c>
      <c r="AD566" t="s">
        <v>85</v>
      </c>
      <c r="AE566" t="s">
        <v>46</v>
      </c>
      <c r="AF566" t="s">
        <v>44</v>
      </c>
      <c r="AG566" t="str">
        <f t="shared" si="8"/>
        <v>Recorrente</v>
      </c>
      <c r="AH566" t="str">
        <f>IF(AND(SUMIF(E:E,E566,I:I)&gt;=400000,Q566="B2G"),"n","")</f>
        <v/>
      </c>
    </row>
    <row r="567" spans="1:34">
      <c r="A567">
        <v>2026</v>
      </c>
      <c r="B567">
        <v>1</v>
      </c>
      <c r="C567" s="83">
        <v>19435476770</v>
      </c>
      <c r="D567" t="s">
        <v>647</v>
      </c>
      <c r="E567">
        <v>53855448615</v>
      </c>
      <c r="F567">
        <v>635612</v>
      </c>
      <c r="G567">
        <v>49268346023</v>
      </c>
      <c r="H567" t="s">
        <v>35</v>
      </c>
      <c r="I567" s="36">
        <v>2874</v>
      </c>
      <c r="J567" s="36">
        <v>1850.4</v>
      </c>
      <c r="K567" s="85">
        <v>1023.6</v>
      </c>
      <c r="L567" s="36">
        <v>154.19999999999999</v>
      </c>
      <c r="M567" s="36">
        <v>0</v>
      </c>
      <c r="N567" s="36">
        <v>73.17</v>
      </c>
      <c r="O567" s="36">
        <v>81.03490798</v>
      </c>
      <c r="P567" t="s">
        <v>367</v>
      </c>
      <c r="Q567" t="s">
        <v>191</v>
      </c>
      <c r="R567" t="s">
        <v>191</v>
      </c>
      <c r="S567" s="1">
        <v>46037</v>
      </c>
      <c r="T567" s="1">
        <v>46037</v>
      </c>
      <c r="V567" s="1">
        <v>46402</v>
      </c>
      <c r="W567" t="s">
        <v>38</v>
      </c>
      <c r="Y567" t="s">
        <v>49</v>
      </c>
      <c r="AA567" t="s">
        <v>122</v>
      </c>
      <c r="AB567">
        <v>12</v>
      </c>
      <c r="AC567" t="s">
        <v>192</v>
      </c>
      <c r="AD567" t="s">
        <v>118</v>
      </c>
      <c r="AE567" t="s">
        <v>43</v>
      </c>
      <c r="AF567" t="s">
        <v>119</v>
      </c>
      <c r="AG567" t="str">
        <f t="shared" si="8"/>
        <v>Recorrente</v>
      </c>
      <c r="AH567" t="str">
        <f>IF(AND(SUMIF(E:E,E567,I:I)&gt;=400000,Q567="B2G"),"n","")</f>
        <v/>
      </c>
    </row>
    <row r="568" spans="1:34">
      <c r="A568">
        <v>2026</v>
      </c>
      <c r="B568">
        <v>1</v>
      </c>
      <c r="C568" s="83">
        <v>2087721</v>
      </c>
      <c r="D568" t="s">
        <v>648</v>
      </c>
      <c r="E568">
        <v>53856771637</v>
      </c>
      <c r="F568">
        <v>635578</v>
      </c>
      <c r="G568">
        <v>49048565857</v>
      </c>
      <c r="H568" t="s">
        <v>104</v>
      </c>
      <c r="I568" s="36">
        <v>718.8</v>
      </c>
      <c r="J568" s="36">
        <v>718.8</v>
      </c>
      <c r="K568" s="85">
        <v>0</v>
      </c>
      <c r="L568" s="36">
        <v>59.9</v>
      </c>
      <c r="M568" s="36">
        <v>59.9</v>
      </c>
      <c r="N568" s="36">
        <v>0</v>
      </c>
      <c r="O568" s="36">
        <v>0</v>
      </c>
      <c r="P568" t="s">
        <v>497</v>
      </c>
      <c r="Q568" t="s">
        <v>498</v>
      </c>
      <c r="R568" t="s">
        <v>498</v>
      </c>
      <c r="S568" s="1">
        <v>46036</v>
      </c>
      <c r="T568" s="1">
        <v>46036</v>
      </c>
      <c r="V568" s="1">
        <v>46401</v>
      </c>
      <c r="W568" t="s">
        <v>38</v>
      </c>
      <c r="X568">
        <v>12</v>
      </c>
      <c r="Y568" t="s">
        <v>49</v>
      </c>
      <c r="AA568" t="s">
        <v>112</v>
      </c>
      <c r="AB568">
        <v>2</v>
      </c>
      <c r="AC568" t="s">
        <v>499</v>
      </c>
      <c r="AD568" t="s">
        <v>105</v>
      </c>
      <c r="AE568" t="s">
        <v>106</v>
      </c>
      <c r="AF568" t="s">
        <v>59</v>
      </c>
      <c r="AG568" t="str">
        <f t="shared" si="8"/>
        <v>CC 3x</v>
      </c>
      <c r="AH568" t="str">
        <f>IF(AND(SUMIF(E:E,E568,I:I)&gt;=400000,Q568="B2G"),"n","")</f>
        <v/>
      </c>
    </row>
    <row r="569" spans="1:34">
      <c r="A569">
        <v>2026</v>
      </c>
      <c r="B569">
        <v>1</v>
      </c>
      <c r="C569" s="83">
        <v>191142400653</v>
      </c>
      <c r="D569" t="s">
        <v>649</v>
      </c>
      <c r="E569">
        <v>53858479185</v>
      </c>
      <c r="F569">
        <v>635625</v>
      </c>
      <c r="G569">
        <v>49068606857</v>
      </c>
      <c r="H569" t="s">
        <v>35</v>
      </c>
      <c r="I569" s="36">
        <v>2628</v>
      </c>
      <c r="J569" s="36">
        <v>2628</v>
      </c>
      <c r="K569" s="85">
        <v>0</v>
      </c>
      <c r="L569" s="36">
        <v>219</v>
      </c>
      <c r="M569" s="36">
        <v>219</v>
      </c>
      <c r="N569" s="36">
        <v>0</v>
      </c>
      <c r="O569" s="36">
        <v>0</v>
      </c>
      <c r="P569" t="s">
        <v>511</v>
      </c>
      <c r="Q569" t="s">
        <v>300</v>
      </c>
      <c r="R569" t="s">
        <v>300</v>
      </c>
      <c r="S569" s="1">
        <v>46038</v>
      </c>
      <c r="T569" s="1">
        <v>46038</v>
      </c>
      <c r="V569" s="1">
        <v>46403</v>
      </c>
      <c r="W569" t="s">
        <v>38</v>
      </c>
      <c r="X569">
        <v>12</v>
      </c>
      <c r="Y569" t="s">
        <v>49</v>
      </c>
      <c r="AA569" t="s">
        <v>112</v>
      </c>
      <c r="AB569">
        <v>12</v>
      </c>
      <c r="AC569" t="s">
        <v>301</v>
      </c>
      <c r="AD569" t="s">
        <v>140</v>
      </c>
      <c r="AE569" t="s">
        <v>46</v>
      </c>
      <c r="AF569" t="s">
        <v>119</v>
      </c>
      <c r="AG569" t="str">
        <f t="shared" si="8"/>
        <v>CC 12x</v>
      </c>
      <c r="AH569" t="str">
        <f>IF(AND(SUMIF(E:E,E569,I:I)&gt;=400000,Q569="B2G"),"n","")</f>
        <v/>
      </c>
    </row>
    <row r="570" spans="1:34">
      <c r="A570">
        <v>2026</v>
      </c>
      <c r="B570">
        <v>1</v>
      </c>
      <c r="C570" s="83">
        <v>2091434</v>
      </c>
      <c r="D570" t="s">
        <v>571</v>
      </c>
      <c r="E570">
        <v>53862244995</v>
      </c>
      <c r="F570">
        <v>635541</v>
      </c>
      <c r="G570">
        <v>49362942786</v>
      </c>
      <c r="H570" t="s">
        <v>35</v>
      </c>
      <c r="I570" s="36">
        <v>2542.08</v>
      </c>
      <c r="J570" s="36">
        <v>2593.6799999999998</v>
      </c>
      <c r="K570" s="85">
        <v>0</v>
      </c>
      <c r="L570" s="36">
        <v>216.14</v>
      </c>
      <c r="M570" s="36">
        <v>0</v>
      </c>
      <c r="N570" s="36">
        <v>216.14</v>
      </c>
      <c r="O570" s="36">
        <v>0</v>
      </c>
      <c r="P570" t="s">
        <v>313</v>
      </c>
      <c r="Q570" t="s">
        <v>314</v>
      </c>
      <c r="R570" t="s">
        <v>314</v>
      </c>
      <c r="S570" s="1">
        <v>46038</v>
      </c>
      <c r="T570" s="1">
        <v>46038</v>
      </c>
      <c r="V570" s="1">
        <v>46396</v>
      </c>
      <c r="W570" t="s">
        <v>38</v>
      </c>
      <c r="X570">
        <v>12</v>
      </c>
      <c r="Y570" t="s">
        <v>49</v>
      </c>
      <c r="Z570" t="s">
        <v>324</v>
      </c>
      <c r="AA570" t="s">
        <v>112</v>
      </c>
      <c r="AB570">
        <v>12</v>
      </c>
      <c r="AC570" t="s">
        <v>315</v>
      </c>
      <c r="AD570" t="s">
        <v>85</v>
      </c>
      <c r="AE570" t="s">
        <v>46</v>
      </c>
      <c r="AF570" t="s">
        <v>44</v>
      </c>
      <c r="AG570" t="str">
        <f t="shared" si="8"/>
        <v>CC 12x</v>
      </c>
      <c r="AH570" t="str">
        <f>IF(AND(SUMIF(E:E,E570,I:I)&gt;=400000,Q570="B2G"),"n","")</f>
        <v/>
      </c>
    </row>
    <row r="571" spans="1:34">
      <c r="A571">
        <v>2026</v>
      </c>
      <c r="B571">
        <v>1</v>
      </c>
      <c r="C571" s="83">
        <v>193250376006</v>
      </c>
      <c r="D571" t="s">
        <v>650</v>
      </c>
      <c r="E571">
        <v>53863596973</v>
      </c>
      <c r="F571">
        <v>635593</v>
      </c>
      <c r="G571">
        <v>49058341005</v>
      </c>
      <c r="H571" t="s">
        <v>35</v>
      </c>
      <c r="I571" s="36">
        <v>2874</v>
      </c>
      <c r="J571" s="36">
        <v>2874</v>
      </c>
      <c r="K571" s="85">
        <v>0</v>
      </c>
      <c r="L571" s="36">
        <v>239.5</v>
      </c>
      <c r="M571" s="36">
        <v>239.5</v>
      </c>
      <c r="N571" s="36">
        <v>0</v>
      </c>
      <c r="O571" s="36">
        <v>0</v>
      </c>
      <c r="P571" t="s">
        <v>497</v>
      </c>
      <c r="Q571" t="s">
        <v>498</v>
      </c>
      <c r="R571" t="s">
        <v>498</v>
      </c>
      <c r="S571" s="1">
        <v>46036</v>
      </c>
      <c r="T571" s="1">
        <v>46036</v>
      </c>
      <c r="V571" s="1">
        <v>46402</v>
      </c>
      <c r="W571" t="s">
        <v>38</v>
      </c>
      <c r="X571">
        <v>12</v>
      </c>
      <c r="Y571" t="s">
        <v>49</v>
      </c>
      <c r="AA571" t="s">
        <v>112</v>
      </c>
      <c r="AB571">
        <v>12</v>
      </c>
      <c r="AC571" t="s">
        <v>499</v>
      </c>
      <c r="AD571" t="s">
        <v>140</v>
      </c>
      <c r="AE571" t="s">
        <v>46</v>
      </c>
      <c r="AF571" t="s">
        <v>119</v>
      </c>
      <c r="AG571" t="str">
        <f t="shared" si="8"/>
        <v>CC 12x</v>
      </c>
      <c r="AH571" t="str">
        <f>IF(AND(SUMIF(E:E,E571,I:I)&gt;=400000,Q571="B2G"),"n","")</f>
        <v/>
      </c>
    </row>
    <row r="572" spans="1:34">
      <c r="A572">
        <v>2026</v>
      </c>
      <c r="B572">
        <v>1</v>
      </c>
      <c r="C572" s="83">
        <v>193054129460</v>
      </c>
      <c r="D572" t="s">
        <v>651</v>
      </c>
      <c r="E572">
        <v>53864058184</v>
      </c>
      <c r="F572">
        <v>635724</v>
      </c>
      <c r="G572">
        <v>49778675029</v>
      </c>
      <c r="H572" t="s">
        <v>35</v>
      </c>
      <c r="I572" s="36">
        <v>5514</v>
      </c>
      <c r="J572" s="36">
        <v>5514</v>
      </c>
      <c r="K572" s="85">
        <v>0</v>
      </c>
      <c r="L572" s="36">
        <v>459.5</v>
      </c>
      <c r="M572" s="36">
        <v>459.5</v>
      </c>
      <c r="N572" s="36">
        <v>0</v>
      </c>
      <c r="O572" s="36">
        <v>0</v>
      </c>
      <c r="P572" t="s">
        <v>299</v>
      </c>
      <c r="Q572" t="s">
        <v>300</v>
      </c>
      <c r="R572" t="s">
        <v>300</v>
      </c>
      <c r="S572" s="1">
        <v>46045</v>
      </c>
      <c r="T572" s="1">
        <v>46045</v>
      </c>
      <c r="V572" s="1">
        <v>46410</v>
      </c>
      <c r="W572" t="s">
        <v>38</v>
      </c>
      <c r="X572">
        <v>12</v>
      </c>
      <c r="Y572" t="s">
        <v>49</v>
      </c>
      <c r="AA572" t="s">
        <v>122</v>
      </c>
      <c r="AB572">
        <v>12</v>
      </c>
      <c r="AC572" t="s">
        <v>301</v>
      </c>
      <c r="AD572" t="s">
        <v>138</v>
      </c>
      <c r="AE572" t="s">
        <v>135</v>
      </c>
      <c r="AF572" t="s">
        <v>119</v>
      </c>
      <c r="AG572" t="str">
        <f t="shared" si="8"/>
        <v>Recorrente</v>
      </c>
      <c r="AH572" t="str">
        <f>IF(AND(SUMIF(E:E,E572,I:I)&gt;=400000,Q572="B2G"),"n","")</f>
        <v/>
      </c>
    </row>
    <row r="573" spans="1:34">
      <c r="A573">
        <v>2026</v>
      </c>
      <c r="B573">
        <v>1</v>
      </c>
      <c r="C573" s="83">
        <v>193043964710</v>
      </c>
      <c r="D573" t="s">
        <v>652</v>
      </c>
      <c r="E573">
        <v>53864372228</v>
      </c>
      <c r="F573">
        <v>635658</v>
      </c>
      <c r="G573">
        <v>49628549211</v>
      </c>
      <c r="H573" t="s">
        <v>35</v>
      </c>
      <c r="I573" s="36">
        <v>4885.68</v>
      </c>
      <c r="J573" s="36">
        <v>2442.9</v>
      </c>
      <c r="K573" s="85">
        <v>2442.7800000000002</v>
      </c>
      <c r="L573" s="36">
        <v>203.58</v>
      </c>
      <c r="M573" s="36">
        <v>203.58</v>
      </c>
      <c r="N573" s="36">
        <v>0</v>
      </c>
      <c r="O573" s="36">
        <v>0</v>
      </c>
      <c r="P573" t="s">
        <v>313</v>
      </c>
      <c r="Q573" t="s">
        <v>314</v>
      </c>
      <c r="R573" t="s">
        <v>314</v>
      </c>
      <c r="S573" s="1">
        <v>46042</v>
      </c>
      <c r="T573" s="1">
        <v>46042</v>
      </c>
      <c r="V573" s="1">
        <v>46772</v>
      </c>
      <c r="W573" t="s">
        <v>56</v>
      </c>
      <c r="X573">
        <v>24</v>
      </c>
      <c r="Y573" t="s">
        <v>49</v>
      </c>
      <c r="AA573" t="s">
        <v>122</v>
      </c>
      <c r="AB573">
        <v>24</v>
      </c>
      <c r="AC573" t="s">
        <v>315</v>
      </c>
      <c r="AD573" t="s">
        <v>140</v>
      </c>
      <c r="AE573" t="s">
        <v>46</v>
      </c>
      <c r="AF573" t="s">
        <v>119</v>
      </c>
      <c r="AG573" t="str">
        <f t="shared" si="8"/>
        <v>Recorrente</v>
      </c>
      <c r="AH573" t="str">
        <f>IF(AND(SUMIF(E:E,E573,I:I)&gt;=400000,Q573="B2G"),"n","")</f>
        <v/>
      </c>
    </row>
    <row r="574" spans="1:34">
      <c r="A574">
        <v>2026</v>
      </c>
      <c r="B574">
        <v>1</v>
      </c>
      <c r="C574" s="83">
        <v>193472433986</v>
      </c>
      <c r="D574" t="s">
        <v>653</v>
      </c>
      <c r="E574">
        <v>53864377687</v>
      </c>
      <c r="F574">
        <v>635591</v>
      </c>
      <c r="G574">
        <v>49049986139</v>
      </c>
      <c r="H574" t="s">
        <v>104</v>
      </c>
      <c r="I574" s="36">
        <v>718.8</v>
      </c>
      <c r="J574" s="36">
        <v>718.8</v>
      </c>
      <c r="K574" s="85">
        <v>0</v>
      </c>
      <c r="L574" s="36">
        <v>59.9</v>
      </c>
      <c r="M574" s="36">
        <v>59.9</v>
      </c>
      <c r="N574" s="36">
        <v>0</v>
      </c>
      <c r="O574" s="36">
        <v>0</v>
      </c>
      <c r="P574" t="s">
        <v>497</v>
      </c>
      <c r="Q574" t="s">
        <v>498</v>
      </c>
      <c r="R574" t="s">
        <v>498</v>
      </c>
      <c r="S574" s="1">
        <v>46036</v>
      </c>
      <c r="T574" s="1">
        <v>46036</v>
      </c>
      <c r="V574" s="1">
        <v>46401</v>
      </c>
      <c r="W574" t="s">
        <v>38</v>
      </c>
      <c r="X574">
        <v>12</v>
      </c>
      <c r="Y574" t="s">
        <v>49</v>
      </c>
      <c r="AA574" t="s">
        <v>112</v>
      </c>
      <c r="AB574">
        <v>4</v>
      </c>
      <c r="AC574" t="s">
        <v>499</v>
      </c>
      <c r="AD574" t="s">
        <v>105</v>
      </c>
      <c r="AE574" t="s">
        <v>106</v>
      </c>
      <c r="AF574" t="s">
        <v>59</v>
      </c>
      <c r="AG574" t="str">
        <f t="shared" si="8"/>
        <v>CC 12x</v>
      </c>
      <c r="AH574" t="str">
        <f>IF(AND(SUMIF(E:E,E574,I:I)&gt;=400000,Q574="B2G"),"n","")</f>
        <v/>
      </c>
    </row>
    <row r="575" spans="1:34">
      <c r="A575">
        <v>2026</v>
      </c>
      <c r="B575">
        <v>1</v>
      </c>
      <c r="C575" s="83">
        <v>194065434380</v>
      </c>
      <c r="D575" t="s">
        <v>654</v>
      </c>
      <c r="E575">
        <v>53866684214</v>
      </c>
      <c r="F575">
        <v>635589</v>
      </c>
      <c r="G575">
        <v>49007692722</v>
      </c>
      <c r="H575" t="s">
        <v>35</v>
      </c>
      <c r="I575" s="36">
        <v>2874</v>
      </c>
      <c r="J575" s="36">
        <v>2874</v>
      </c>
      <c r="K575" s="85">
        <v>0</v>
      </c>
      <c r="L575" s="36">
        <v>239.5</v>
      </c>
      <c r="M575" s="36">
        <v>239.5</v>
      </c>
      <c r="N575" s="36">
        <v>0</v>
      </c>
      <c r="O575" s="36">
        <v>0</v>
      </c>
      <c r="P575" t="s">
        <v>299</v>
      </c>
      <c r="Q575" t="s">
        <v>300</v>
      </c>
      <c r="R575" t="s">
        <v>300</v>
      </c>
      <c r="S575" s="1">
        <v>46036</v>
      </c>
      <c r="T575" s="1">
        <v>46036</v>
      </c>
      <c r="V575" s="1">
        <v>46401</v>
      </c>
      <c r="W575" t="s">
        <v>38</v>
      </c>
      <c r="X575">
        <v>12</v>
      </c>
      <c r="Y575" t="s">
        <v>49</v>
      </c>
      <c r="AA575" t="s">
        <v>122</v>
      </c>
      <c r="AB575">
        <v>12</v>
      </c>
      <c r="AC575" t="s">
        <v>301</v>
      </c>
      <c r="AD575" t="s">
        <v>118</v>
      </c>
      <c r="AE575" t="s">
        <v>43</v>
      </c>
      <c r="AF575" t="s">
        <v>119</v>
      </c>
      <c r="AG575" t="str">
        <f t="shared" si="8"/>
        <v>Recorrente</v>
      </c>
      <c r="AH575" t="str">
        <f>IF(AND(SUMIF(E:E,E575,I:I)&gt;=400000,Q575="B2G"),"n","")</f>
        <v/>
      </c>
    </row>
    <row r="576" spans="1:34">
      <c r="A576">
        <v>2026</v>
      </c>
      <c r="B576">
        <v>1</v>
      </c>
      <c r="C576" s="83">
        <v>192677931426</v>
      </c>
      <c r="D576" t="s">
        <v>655</v>
      </c>
      <c r="E576">
        <v>53873800334</v>
      </c>
      <c r="F576">
        <v>635720</v>
      </c>
      <c r="G576">
        <v>49710234164</v>
      </c>
      <c r="H576" t="s">
        <v>35</v>
      </c>
      <c r="I576" s="36">
        <v>2586.6</v>
      </c>
      <c r="J576" s="36">
        <v>2586.6</v>
      </c>
      <c r="K576" s="85">
        <v>0</v>
      </c>
      <c r="L576" s="36">
        <v>215.55</v>
      </c>
      <c r="M576" s="36">
        <v>215.55</v>
      </c>
      <c r="N576" s="36">
        <v>0</v>
      </c>
      <c r="O576" s="36">
        <v>0</v>
      </c>
      <c r="P576" t="s">
        <v>313</v>
      </c>
      <c r="Q576" t="s">
        <v>314</v>
      </c>
      <c r="R576" t="s">
        <v>314</v>
      </c>
      <c r="S576" s="1">
        <v>46045</v>
      </c>
      <c r="T576" s="1">
        <v>46045</v>
      </c>
      <c r="V576" s="1">
        <v>46410</v>
      </c>
      <c r="W576" t="s">
        <v>38</v>
      </c>
      <c r="X576">
        <v>12</v>
      </c>
      <c r="Y576" t="s">
        <v>49</v>
      </c>
      <c r="AA576" t="s">
        <v>112</v>
      </c>
      <c r="AB576">
        <v>12</v>
      </c>
      <c r="AC576" t="s">
        <v>315</v>
      </c>
      <c r="AD576" t="s">
        <v>140</v>
      </c>
      <c r="AE576" t="s">
        <v>46</v>
      </c>
      <c r="AF576" t="s">
        <v>119</v>
      </c>
      <c r="AG576" t="str">
        <f t="shared" si="8"/>
        <v>CC 12x</v>
      </c>
      <c r="AH576" t="str">
        <f>IF(AND(SUMIF(E:E,E576,I:I)&gt;=400000,Q576="B2G"),"n","")</f>
        <v/>
      </c>
    </row>
    <row r="577" spans="1:34">
      <c r="A577">
        <v>2026</v>
      </c>
      <c r="B577">
        <v>1</v>
      </c>
      <c r="C577" s="83">
        <v>104257633360</v>
      </c>
      <c r="D577" t="s">
        <v>656</v>
      </c>
      <c r="E577">
        <v>53874645897</v>
      </c>
      <c r="F577">
        <v>635640</v>
      </c>
      <c r="G577">
        <v>49570257774</v>
      </c>
      <c r="H577" t="s">
        <v>35</v>
      </c>
      <c r="I577" s="36">
        <v>2586.6</v>
      </c>
      <c r="J577" s="36">
        <v>2586.6</v>
      </c>
      <c r="K577" s="85">
        <v>0</v>
      </c>
      <c r="L577" s="36">
        <v>215.55</v>
      </c>
      <c r="M577" s="36">
        <v>215.55</v>
      </c>
      <c r="N577" s="36">
        <v>0</v>
      </c>
      <c r="O577" s="36">
        <v>0</v>
      </c>
      <c r="P577" t="s">
        <v>313</v>
      </c>
      <c r="Q577" t="s">
        <v>314</v>
      </c>
      <c r="R577" t="s">
        <v>314</v>
      </c>
      <c r="S577" s="1">
        <v>46041</v>
      </c>
      <c r="T577" s="1">
        <v>46041</v>
      </c>
      <c r="V577" s="1">
        <v>46406</v>
      </c>
      <c r="W577" t="s">
        <v>38</v>
      </c>
      <c r="X577">
        <v>12</v>
      </c>
      <c r="Y577" t="s">
        <v>49</v>
      </c>
      <c r="AA577" t="s">
        <v>122</v>
      </c>
      <c r="AB577">
        <v>12</v>
      </c>
      <c r="AC577" t="s">
        <v>315</v>
      </c>
      <c r="AD577" t="s">
        <v>140</v>
      </c>
      <c r="AE577" t="s">
        <v>46</v>
      </c>
      <c r="AF577" t="s">
        <v>119</v>
      </c>
      <c r="AG577" t="str">
        <f t="shared" ref="AG577:AG640" si="9">IF(IFERROR(SEARCH("Recorrente",AA577),0)&gt;0,"Recorrente",IF(AB577=1,"À Vista",IF(AB577&lt;=3,"CC 3x",IF(AB577&lt;=12,"CC 12x",IF(AB577&gt;12,"Recorrente","")))))</f>
        <v>Recorrente</v>
      </c>
      <c r="AH577" t="str">
        <f>IF(AND(SUMIF(E:E,E577,I:I)&gt;=400000,Q577="B2G"),"n","")</f>
        <v/>
      </c>
    </row>
    <row r="578" spans="1:34">
      <c r="A578">
        <v>2026</v>
      </c>
      <c r="B578">
        <v>1</v>
      </c>
      <c r="C578" s="83">
        <v>193132488043</v>
      </c>
      <c r="D578" t="s">
        <v>657</v>
      </c>
      <c r="E578">
        <v>53878138750</v>
      </c>
      <c r="F578">
        <v>635615</v>
      </c>
      <c r="G578">
        <v>49068654213</v>
      </c>
      <c r="H578" t="s">
        <v>35</v>
      </c>
      <c r="I578" s="36">
        <v>7500</v>
      </c>
      <c r="J578" s="36">
        <v>7500</v>
      </c>
      <c r="K578" s="85">
        <v>0</v>
      </c>
      <c r="L578" s="36">
        <v>625</v>
      </c>
      <c r="M578" s="36">
        <v>625</v>
      </c>
      <c r="N578" s="36">
        <v>0</v>
      </c>
      <c r="O578" s="36">
        <v>0</v>
      </c>
      <c r="P578" t="s">
        <v>511</v>
      </c>
      <c r="Q578" t="s">
        <v>300</v>
      </c>
      <c r="R578" t="s">
        <v>300</v>
      </c>
      <c r="S578" s="1">
        <v>46038</v>
      </c>
      <c r="T578" s="1">
        <v>46038</v>
      </c>
      <c r="V578" s="1">
        <v>46403</v>
      </c>
      <c r="W578" t="s">
        <v>38</v>
      </c>
      <c r="X578">
        <v>12</v>
      </c>
      <c r="Y578" t="s">
        <v>49</v>
      </c>
      <c r="AA578" t="s">
        <v>122</v>
      </c>
      <c r="AB578">
        <v>12</v>
      </c>
      <c r="AC578" t="s">
        <v>301</v>
      </c>
      <c r="AD578" t="s">
        <v>134</v>
      </c>
      <c r="AE578" t="s">
        <v>135</v>
      </c>
      <c r="AF578" t="s">
        <v>44</v>
      </c>
      <c r="AG578" t="str">
        <f t="shared" si="9"/>
        <v>Recorrente</v>
      </c>
      <c r="AH578" t="str">
        <f>IF(AND(SUMIF(E:E,E578,I:I)&gt;=400000,Q578="B2G"),"n","")</f>
        <v/>
      </c>
    </row>
    <row r="579" spans="1:34">
      <c r="A579">
        <v>2026</v>
      </c>
      <c r="B579">
        <v>1</v>
      </c>
      <c r="C579" s="83">
        <v>98983961687</v>
      </c>
      <c r="D579" t="s">
        <v>658</v>
      </c>
      <c r="E579">
        <v>53879484501</v>
      </c>
      <c r="F579">
        <v>522925</v>
      </c>
      <c r="G579">
        <v>50262735764</v>
      </c>
      <c r="H579" t="s">
        <v>35</v>
      </c>
      <c r="I579" s="36">
        <v>6664.8</v>
      </c>
      <c r="J579" s="36">
        <v>6664.8</v>
      </c>
      <c r="K579" s="85">
        <v>0</v>
      </c>
      <c r="L579" s="36">
        <v>555.4</v>
      </c>
      <c r="M579" s="36">
        <v>0</v>
      </c>
      <c r="N579" s="36">
        <v>67.569999999999993</v>
      </c>
      <c r="O579" s="36">
        <v>487.83</v>
      </c>
      <c r="P579" t="s">
        <v>110</v>
      </c>
      <c r="Q579" t="s">
        <v>111</v>
      </c>
      <c r="R579" t="s">
        <v>111</v>
      </c>
      <c r="S579" s="1">
        <v>46051</v>
      </c>
      <c r="T579" s="1">
        <v>46051</v>
      </c>
      <c r="U579" s="1">
        <v>46052</v>
      </c>
      <c r="V579" s="1">
        <v>46417</v>
      </c>
      <c r="W579" t="s">
        <v>38</v>
      </c>
      <c r="X579">
        <v>12</v>
      </c>
      <c r="Y579" t="s">
        <v>49</v>
      </c>
      <c r="Z579" t="s">
        <v>81</v>
      </c>
      <c r="AA579" t="s">
        <v>112</v>
      </c>
      <c r="AB579">
        <v>12</v>
      </c>
      <c r="AC579" t="s">
        <v>113</v>
      </c>
      <c r="AD579" t="s">
        <v>134</v>
      </c>
      <c r="AE579" t="s">
        <v>135</v>
      </c>
      <c r="AF579" t="s">
        <v>44</v>
      </c>
      <c r="AG579" t="str">
        <f t="shared" si="9"/>
        <v>CC 12x</v>
      </c>
      <c r="AH579" t="str">
        <f>IF(AND(SUMIF(E:E,E579,I:I)&gt;=400000,Q579="B2G"),"n","")</f>
        <v/>
      </c>
    </row>
    <row r="580" spans="1:34">
      <c r="A580">
        <v>2026</v>
      </c>
      <c r="B580">
        <v>1</v>
      </c>
      <c r="C580" s="83">
        <v>192842623898</v>
      </c>
      <c r="D580" t="s">
        <v>659</v>
      </c>
      <c r="E580">
        <v>53881494616</v>
      </c>
      <c r="F580">
        <v>631964</v>
      </c>
      <c r="G580">
        <v>49362702500</v>
      </c>
      <c r="H580" t="s">
        <v>35</v>
      </c>
      <c r="I580" s="36">
        <v>2300.88</v>
      </c>
      <c r="J580" s="36">
        <v>3891</v>
      </c>
      <c r="K580" s="85">
        <v>0</v>
      </c>
      <c r="L580" s="36">
        <v>324.25</v>
      </c>
      <c r="M580" s="36">
        <v>0</v>
      </c>
      <c r="N580" s="36">
        <v>324.25</v>
      </c>
      <c r="O580" s="36">
        <v>0</v>
      </c>
      <c r="P580" t="s">
        <v>323</v>
      </c>
      <c r="Q580" t="s">
        <v>191</v>
      </c>
      <c r="R580" t="s">
        <v>191</v>
      </c>
      <c r="S580" s="1">
        <v>46038</v>
      </c>
      <c r="T580" s="1">
        <v>46038</v>
      </c>
      <c r="V580" s="1">
        <v>46254</v>
      </c>
      <c r="W580" t="s">
        <v>38</v>
      </c>
      <c r="X580">
        <v>7</v>
      </c>
      <c r="Y580" t="s">
        <v>49</v>
      </c>
      <c r="Z580" t="s">
        <v>324</v>
      </c>
      <c r="AA580" t="s">
        <v>122</v>
      </c>
      <c r="AB580">
        <v>7</v>
      </c>
      <c r="AC580" t="s">
        <v>192</v>
      </c>
      <c r="AD580" t="s">
        <v>134</v>
      </c>
      <c r="AE580" t="s">
        <v>135</v>
      </c>
      <c r="AF580" t="s">
        <v>44</v>
      </c>
      <c r="AG580" t="str">
        <f t="shared" si="9"/>
        <v>Recorrente</v>
      </c>
      <c r="AH580" t="str">
        <f>IF(AND(SUMIF(E:E,E580,I:I)&gt;=400000,Q580="B2G"),"n","")</f>
        <v/>
      </c>
    </row>
    <row r="581" spans="1:34">
      <c r="A581">
        <v>2026</v>
      </c>
      <c r="B581">
        <v>1</v>
      </c>
      <c r="C581" s="83">
        <v>107832318787</v>
      </c>
      <c r="D581" t="s">
        <v>660</v>
      </c>
      <c r="E581">
        <v>53885597863</v>
      </c>
      <c r="F581">
        <v>635813</v>
      </c>
      <c r="G581">
        <v>50276709542</v>
      </c>
      <c r="H581" t="s">
        <v>35</v>
      </c>
      <c r="I581" s="36">
        <v>4686.84</v>
      </c>
      <c r="J581" s="36">
        <v>4686.8999999999996</v>
      </c>
      <c r="K581" s="85">
        <v>0</v>
      </c>
      <c r="L581" s="36">
        <v>390.58</v>
      </c>
      <c r="M581" s="36">
        <v>390.58</v>
      </c>
      <c r="N581" s="36">
        <v>0</v>
      </c>
      <c r="O581" s="36">
        <v>0</v>
      </c>
      <c r="P581" t="s">
        <v>313</v>
      </c>
      <c r="Q581" t="s">
        <v>314</v>
      </c>
      <c r="R581" t="s">
        <v>314</v>
      </c>
      <c r="S581" s="1">
        <v>46052</v>
      </c>
      <c r="T581" s="1">
        <v>46052</v>
      </c>
      <c r="V581" s="1">
        <v>46417</v>
      </c>
      <c r="W581" t="s">
        <v>38</v>
      </c>
      <c r="X581">
        <v>12</v>
      </c>
      <c r="Y581" t="s">
        <v>49</v>
      </c>
      <c r="AA581" t="s">
        <v>122</v>
      </c>
      <c r="AB581">
        <v>12</v>
      </c>
      <c r="AC581" t="s">
        <v>315</v>
      </c>
      <c r="AD581" t="s">
        <v>138</v>
      </c>
      <c r="AE581" t="s">
        <v>135</v>
      </c>
      <c r="AF581" t="s">
        <v>119</v>
      </c>
      <c r="AG581" t="str">
        <f t="shared" si="9"/>
        <v>Recorrente</v>
      </c>
      <c r="AH581" t="str">
        <f>IF(AND(SUMIF(E:E,E581,I:I)&gt;=400000,Q581="B2G"),"n","")</f>
        <v/>
      </c>
    </row>
    <row r="582" spans="1:34">
      <c r="A582">
        <v>2026</v>
      </c>
      <c r="B582">
        <v>1</v>
      </c>
      <c r="C582" s="83">
        <v>19435566892</v>
      </c>
      <c r="D582" t="s">
        <v>661</v>
      </c>
      <c r="E582">
        <v>53886900852</v>
      </c>
      <c r="F582">
        <v>635608</v>
      </c>
      <c r="G582">
        <v>49239952141</v>
      </c>
      <c r="H582" t="s">
        <v>35</v>
      </c>
      <c r="I582" s="36">
        <v>3740.04</v>
      </c>
      <c r="J582" s="36">
        <v>1863.2</v>
      </c>
      <c r="K582" s="85">
        <v>1876.84</v>
      </c>
      <c r="L582" s="36">
        <v>155.27000000000001</v>
      </c>
      <c r="M582" s="36">
        <v>0</v>
      </c>
      <c r="N582" s="36">
        <v>26.15</v>
      </c>
      <c r="O582" s="36">
        <v>129.11350770000001</v>
      </c>
      <c r="P582" t="s">
        <v>127</v>
      </c>
      <c r="Q582" t="s">
        <v>111</v>
      </c>
      <c r="R582" t="s">
        <v>111</v>
      </c>
      <c r="S582" s="1">
        <v>46037</v>
      </c>
      <c r="T582" s="1">
        <v>46037</v>
      </c>
      <c r="V582" s="1">
        <v>46402</v>
      </c>
      <c r="W582" t="s">
        <v>38</v>
      </c>
      <c r="Y582" t="s">
        <v>49</v>
      </c>
      <c r="AA582" t="s">
        <v>117</v>
      </c>
      <c r="AB582">
        <v>1</v>
      </c>
      <c r="AC582" t="s">
        <v>113</v>
      </c>
      <c r="AD582" t="s">
        <v>85</v>
      </c>
      <c r="AE582" t="s">
        <v>46</v>
      </c>
      <c r="AF582" t="s">
        <v>44</v>
      </c>
      <c r="AG582" t="str">
        <f t="shared" si="9"/>
        <v>À Vista</v>
      </c>
      <c r="AH582" t="str">
        <f>IF(AND(SUMIF(E:E,E582,I:I)&gt;=400000,Q582="B2G"),"n","")</f>
        <v/>
      </c>
    </row>
    <row r="583" spans="1:34">
      <c r="A583">
        <v>2026</v>
      </c>
      <c r="B583">
        <v>1</v>
      </c>
      <c r="C583" s="83">
        <v>19435566892</v>
      </c>
      <c r="D583" t="s">
        <v>661</v>
      </c>
      <c r="E583">
        <v>53886900852</v>
      </c>
      <c r="F583">
        <v>635608</v>
      </c>
      <c r="G583">
        <v>49239952142</v>
      </c>
      <c r="H583" t="s">
        <v>35</v>
      </c>
      <c r="I583" s="36">
        <v>9356.0400000000009</v>
      </c>
      <c r="J583" s="36">
        <v>4660.8999999999996</v>
      </c>
      <c r="K583" s="85">
        <v>4695.1400000000003</v>
      </c>
      <c r="L583" s="36">
        <v>388.41</v>
      </c>
      <c r="M583" s="36">
        <v>0</v>
      </c>
      <c r="N583" s="36">
        <v>65.42</v>
      </c>
      <c r="O583" s="36">
        <v>322.98571959999998</v>
      </c>
      <c r="P583" t="s">
        <v>127</v>
      </c>
      <c r="Q583" t="s">
        <v>111</v>
      </c>
      <c r="R583" t="s">
        <v>111</v>
      </c>
      <c r="S583" s="1">
        <v>46037</v>
      </c>
      <c r="T583" s="1">
        <v>46037</v>
      </c>
      <c r="V583" s="1">
        <v>46402</v>
      </c>
      <c r="W583" t="s">
        <v>38</v>
      </c>
      <c r="Y583" t="s">
        <v>49</v>
      </c>
      <c r="AA583" t="s">
        <v>117</v>
      </c>
      <c r="AB583">
        <v>1</v>
      </c>
      <c r="AC583" t="s">
        <v>113</v>
      </c>
      <c r="AD583" t="s">
        <v>154</v>
      </c>
      <c r="AE583" t="s">
        <v>46</v>
      </c>
      <c r="AF583" t="s">
        <v>47</v>
      </c>
      <c r="AG583" t="str">
        <f t="shared" si="9"/>
        <v>À Vista</v>
      </c>
      <c r="AH583" t="str">
        <f>IF(AND(SUMIF(E:E,E583,I:I)&gt;=400000,Q583="B2G"),"n","")</f>
        <v/>
      </c>
    </row>
    <row r="584" spans="1:34">
      <c r="A584">
        <v>2026</v>
      </c>
      <c r="B584">
        <v>1</v>
      </c>
      <c r="C584" s="83">
        <v>19435566892</v>
      </c>
      <c r="D584" t="s">
        <v>661</v>
      </c>
      <c r="E584">
        <v>53886900852</v>
      </c>
      <c r="F584">
        <v>635608</v>
      </c>
      <c r="G584">
        <v>49239952143</v>
      </c>
      <c r="H584" t="s">
        <v>35</v>
      </c>
      <c r="I584" s="36">
        <v>2586.6</v>
      </c>
      <c r="J584" s="36">
        <v>1288.56</v>
      </c>
      <c r="K584" s="85">
        <v>1298.04</v>
      </c>
      <c r="L584" s="36">
        <v>107.38</v>
      </c>
      <c r="M584" s="36">
        <v>0</v>
      </c>
      <c r="N584" s="36">
        <v>18.09</v>
      </c>
      <c r="O584" s="36">
        <v>89.293066800000005</v>
      </c>
      <c r="P584" t="s">
        <v>127</v>
      </c>
      <c r="Q584" t="s">
        <v>111</v>
      </c>
      <c r="R584" t="s">
        <v>111</v>
      </c>
      <c r="S584" s="1">
        <v>46037</v>
      </c>
      <c r="T584" s="1">
        <v>46037</v>
      </c>
      <c r="V584" s="1">
        <v>46402</v>
      </c>
      <c r="W584" t="s">
        <v>38</v>
      </c>
      <c r="Y584" t="s">
        <v>49</v>
      </c>
      <c r="AA584" t="s">
        <v>117</v>
      </c>
      <c r="AB584">
        <v>1</v>
      </c>
      <c r="AC584" t="s">
        <v>113</v>
      </c>
      <c r="AD584" t="s">
        <v>140</v>
      </c>
      <c r="AE584" t="s">
        <v>46</v>
      </c>
      <c r="AF584" t="s">
        <v>119</v>
      </c>
      <c r="AG584" t="str">
        <f t="shared" si="9"/>
        <v>À Vista</v>
      </c>
      <c r="AH584" t="str">
        <f>IF(AND(SUMIF(E:E,E584,I:I)&gt;=400000,Q584="B2G"),"n","")</f>
        <v/>
      </c>
    </row>
    <row r="585" spans="1:34">
      <c r="A585">
        <v>2026</v>
      </c>
      <c r="B585">
        <v>1</v>
      </c>
      <c r="C585" s="83">
        <v>19435566892</v>
      </c>
      <c r="D585" t="s">
        <v>661</v>
      </c>
      <c r="E585">
        <v>53886900852</v>
      </c>
      <c r="F585">
        <v>635608</v>
      </c>
      <c r="G585">
        <v>49239952144</v>
      </c>
      <c r="H585" t="s">
        <v>35</v>
      </c>
      <c r="I585" s="36">
        <v>9356.0400000000009</v>
      </c>
      <c r="J585" s="36">
        <v>4660.8999999999996</v>
      </c>
      <c r="K585" s="85">
        <v>4695.1400000000003</v>
      </c>
      <c r="L585" s="36">
        <v>388.41</v>
      </c>
      <c r="M585" s="36">
        <v>0</v>
      </c>
      <c r="N585" s="36">
        <v>65.42</v>
      </c>
      <c r="O585" s="36">
        <v>322.98571959999998</v>
      </c>
      <c r="P585" t="s">
        <v>127</v>
      </c>
      <c r="Q585" t="s">
        <v>111</v>
      </c>
      <c r="R585" t="s">
        <v>111</v>
      </c>
      <c r="S585" s="1">
        <v>46037</v>
      </c>
      <c r="T585" s="1">
        <v>46037</v>
      </c>
      <c r="V585" s="1">
        <v>46402</v>
      </c>
      <c r="W585" t="s">
        <v>38</v>
      </c>
      <c r="Y585" t="s">
        <v>49</v>
      </c>
      <c r="AA585" t="s">
        <v>117</v>
      </c>
      <c r="AB585">
        <v>1</v>
      </c>
      <c r="AC585" t="s">
        <v>113</v>
      </c>
      <c r="AD585" t="s">
        <v>154</v>
      </c>
      <c r="AE585" t="s">
        <v>46</v>
      </c>
      <c r="AF585" t="s">
        <v>47</v>
      </c>
      <c r="AG585" t="str">
        <f t="shared" si="9"/>
        <v>À Vista</v>
      </c>
      <c r="AH585" t="str">
        <f>IF(AND(SUMIF(E:E,E585,I:I)&gt;=400000,Q585="B2G"),"n","")</f>
        <v/>
      </c>
    </row>
    <row r="586" spans="1:34">
      <c r="A586">
        <v>2026</v>
      </c>
      <c r="B586">
        <v>1</v>
      </c>
      <c r="C586" s="83">
        <v>19435566892</v>
      </c>
      <c r="D586" t="s">
        <v>661</v>
      </c>
      <c r="E586">
        <v>53886900852</v>
      </c>
      <c r="F586">
        <v>635608</v>
      </c>
      <c r="G586">
        <v>49239952145</v>
      </c>
      <c r="H586" t="s">
        <v>35</v>
      </c>
      <c r="I586" s="36">
        <v>1868.04</v>
      </c>
      <c r="J586" s="36">
        <v>930.63</v>
      </c>
      <c r="K586" s="85">
        <v>937.41</v>
      </c>
      <c r="L586" s="36">
        <v>77.55</v>
      </c>
      <c r="M586" s="36">
        <v>0</v>
      </c>
      <c r="N586" s="36">
        <v>13.06</v>
      </c>
      <c r="O586" s="36">
        <v>64.489437129999999</v>
      </c>
      <c r="P586" t="s">
        <v>127</v>
      </c>
      <c r="Q586" t="s">
        <v>111</v>
      </c>
      <c r="R586" t="s">
        <v>111</v>
      </c>
      <c r="S586" s="1">
        <v>46037</v>
      </c>
      <c r="T586" s="1">
        <v>46037</v>
      </c>
      <c r="V586" s="1">
        <v>46402</v>
      </c>
      <c r="W586" t="s">
        <v>38</v>
      </c>
      <c r="Y586" t="s">
        <v>49</v>
      </c>
      <c r="AA586" t="s">
        <v>117</v>
      </c>
      <c r="AB586">
        <v>1</v>
      </c>
      <c r="AC586" t="s">
        <v>113</v>
      </c>
      <c r="AD586" t="s">
        <v>140</v>
      </c>
      <c r="AE586" t="s">
        <v>46</v>
      </c>
      <c r="AF586" t="s">
        <v>119</v>
      </c>
      <c r="AG586" t="str">
        <f t="shared" si="9"/>
        <v>À Vista</v>
      </c>
      <c r="AH586" t="str">
        <f>IF(AND(SUMIF(E:E,E586,I:I)&gt;=400000,Q586="B2G"),"n","")</f>
        <v/>
      </c>
    </row>
    <row r="587" spans="1:34">
      <c r="A587">
        <v>2026</v>
      </c>
      <c r="B587">
        <v>1</v>
      </c>
      <c r="C587" s="83">
        <v>19435566892</v>
      </c>
      <c r="D587" t="s">
        <v>661</v>
      </c>
      <c r="E587">
        <v>53886900852</v>
      </c>
      <c r="F587">
        <v>635608</v>
      </c>
      <c r="G587">
        <v>49239952146</v>
      </c>
      <c r="H587" t="s">
        <v>35</v>
      </c>
      <c r="I587" s="36">
        <v>5178.6000000000004</v>
      </c>
      <c r="J587" s="36">
        <v>2579.81</v>
      </c>
      <c r="K587" s="85">
        <v>2598.79</v>
      </c>
      <c r="L587" s="36">
        <v>214.98</v>
      </c>
      <c r="M587" s="36">
        <v>0</v>
      </c>
      <c r="N587" s="36">
        <v>36.21</v>
      </c>
      <c r="O587" s="36">
        <v>178.77254919999999</v>
      </c>
      <c r="P587" t="s">
        <v>127</v>
      </c>
      <c r="Q587" t="s">
        <v>111</v>
      </c>
      <c r="R587" t="s">
        <v>111</v>
      </c>
      <c r="S587" s="1">
        <v>46037</v>
      </c>
      <c r="T587" s="1">
        <v>46037</v>
      </c>
      <c r="V587" s="1">
        <v>46402</v>
      </c>
      <c r="W587" t="s">
        <v>38</v>
      </c>
      <c r="Y587" t="s">
        <v>49</v>
      </c>
      <c r="AA587" t="s">
        <v>117</v>
      </c>
      <c r="AB587">
        <v>1</v>
      </c>
      <c r="AC587" t="s">
        <v>113</v>
      </c>
      <c r="AD587" t="s">
        <v>85</v>
      </c>
      <c r="AE587" t="s">
        <v>46</v>
      </c>
      <c r="AF587" t="s">
        <v>44</v>
      </c>
      <c r="AG587" t="str">
        <f t="shared" si="9"/>
        <v>À Vista</v>
      </c>
      <c r="AH587" t="str">
        <f>IF(AND(SUMIF(E:E,E587,I:I)&gt;=400000,Q587="B2G"),"n","")</f>
        <v/>
      </c>
    </row>
    <row r="588" spans="1:34">
      <c r="A588">
        <v>2026</v>
      </c>
      <c r="B588">
        <v>1</v>
      </c>
      <c r="C588" s="83">
        <v>190909384115</v>
      </c>
      <c r="D588" t="s">
        <v>662</v>
      </c>
      <c r="E588">
        <v>53886925603</v>
      </c>
      <c r="F588">
        <v>635599</v>
      </c>
      <c r="G588">
        <v>49141812531</v>
      </c>
      <c r="H588" t="s">
        <v>35</v>
      </c>
      <c r="I588" s="36">
        <v>2874</v>
      </c>
      <c r="J588" s="36">
        <v>2874</v>
      </c>
      <c r="K588" s="85">
        <v>0</v>
      </c>
      <c r="L588" s="36">
        <v>239.5</v>
      </c>
      <c r="M588" s="36">
        <v>239.5</v>
      </c>
      <c r="N588" s="36">
        <v>0</v>
      </c>
      <c r="O588" s="36">
        <v>0</v>
      </c>
      <c r="P588" t="s">
        <v>562</v>
      </c>
      <c r="Q588" t="s">
        <v>498</v>
      </c>
      <c r="R588" t="s">
        <v>498</v>
      </c>
      <c r="S588" s="1">
        <v>46037</v>
      </c>
      <c r="T588" s="1">
        <v>46037</v>
      </c>
      <c r="V588" s="1">
        <v>46402</v>
      </c>
      <c r="W588" t="s">
        <v>38</v>
      </c>
      <c r="X588">
        <v>12</v>
      </c>
      <c r="Y588" t="s">
        <v>49</v>
      </c>
      <c r="AA588" t="s">
        <v>112</v>
      </c>
      <c r="AB588">
        <v>7</v>
      </c>
      <c r="AC588" t="s">
        <v>499</v>
      </c>
      <c r="AD588" t="s">
        <v>140</v>
      </c>
      <c r="AE588" t="s">
        <v>46</v>
      </c>
      <c r="AF588" t="s">
        <v>119</v>
      </c>
      <c r="AG588" t="str">
        <f t="shared" si="9"/>
        <v>CC 12x</v>
      </c>
      <c r="AH588" t="str">
        <f>IF(AND(SUMIF(E:E,E588,I:I)&gt;=400000,Q588="B2G"),"n","")</f>
        <v/>
      </c>
    </row>
    <row r="589" spans="1:34">
      <c r="A589">
        <v>2026</v>
      </c>
      <c r="B589">
        <v>1</v>
      </c>
      <c r="C589" s="83">
        <v>93099525046</v>
      </c>
      <c r="D589" t="s">
        <v>663</v>
      </c>
      <c r="E589">
        <v>53886964245</v>
      </c>
      <c r="F589">
        <v>635580</v>
      </c>
      <c r="G589">
        <v>49007634813</v>
      </c>
      <c r="H589" t="s">
        <v>35</v>
      </c>
      <c r="I589" s="36">
        <v>2624.04</v>
      </c>
      <c r="J589" s="36">
        <v>2623.99</v>
      </c>
      <c r="K589" s="85">
        <v>0.05</v>
      </c>
      <c r="L589" s="36">
        <v>218.67</v>
      </c>
      <c r="M589" s="36">
        <v>218.67</v>
      </c>
      <c r="N589" s="36">
        <v>0</v>
      </c>
      <c r="O589" s="36">
        <v>0</v>
      </c>
      <c r="P589" t="s">
        <v>562</v>
      </c>
      <c r="Q589" t="s">
        <v>498</v>
      </c>
      <c r="R589" t="s">
        <v>498</v>
      </c>
      <c r="S589" s="1">
        <v>46036</v>
      </c>
      <c r="T589" s="1">
        <v>46036</v>
      </c>
      <c r="V589" s="1">
        <v>46401</v>
      </c>
      <c r="W589" t="s">
        <v>38</v>
      </c>
      <c r="X589">
        <v>12</v>
      </c>
      <c r="Y589" t="s">
        <v>49</v>
      </c>
      <c r="AA589" t="s">
        <v>112</v>
      </c>
      <c r="AB589">
        <v>12</v>
      </c>
      <c r="AC589" t="s">
        <v>499</v>
      </c>
      <c r="AD589" t="s">
        <v>118</v>
      </c>
      <c r="AE589" t="s">
        <v>43</v>
      </c>
      <c r="AF589" t="s">
        <v>119</v>
      </c>
      <c r="AG589" t="str">
        <f t="shared" si="9"/>
        <v>CC 12x</v>
      </c>
      <c r="AH589" t="str">
        <f>IF(AND(SUMIF(E:E,E589,I:I)&gt;=400000,Q589="B2G"),"n","")</f>
        <v/>
      </c>
    </row>
    <row r="590" spans="1:34">
      <c r="A590">
        <v>2026</v>
      </c>
      <c r="B590">
        <v>1</v>
      </c>
      <c r="C590" s="83">
        <v>193546980928</v>
      </c>
      <c r="D590" t="s">
        <v>664</v>
      </c>
      <c r="E590">
        <v>53886986790</v>
      </c>
      <c r="F590">
        <v>635600</v>
      </c>
      <c r="G590">
        <v>49128277401</v>
      </c>
      <c r="H590" t="s">
        <v>35</v>
      </c>
      <c r="I590" s="36">
        <v>5754</v>
      </c>
      <c r="J590" s="36">
        <v>5754</v>
      </c>
      <c r="K590" s="85">
        <v>0</v>
      </c>
      <c r="L590" s="36">
        <v>479.5</v>
      </c>
      <c r="M590" s="36">
        <v>479.5</v>
      </c>
      <c r="N590" s="36">
        <v>0</v>
      </c>
      <c r="O590" s="36">
        <v>0</v>
      </c>
      <c r="P590" t="s">
        <v>562</v>
      </c>
      <c r="Q590" t="s">
        <v>498</v>
      </c>
      <c r="R590" t="s">
        <v>498</v>
      </c>
      <c r="S590" s="1">
        <v>46037</v>
      </c>
      <c r="T590" s="1">
        <v>46037</v>
      </c>
      <c r="V590" s="1">
        <v>46402</v>
      </c>
      <c r="W590" t="s">
        <v>38</v>
      </c>
      <c r="X590">
        <v>12</v>
      </c>
      <c r="Y590" t="s">
        <v>49</v>
      </c>
      <c r="AA590" t="s">
        <v>112</v>
      </c>
      <c r="AB590">
        <v>12</v>
      </c>
      <c r="AC590" t="s">
        <v>499</v>
      </c>
      <c r="AD590" t="s">
        <v>85</v>
      </c>
      <c r="AE590" t="s">
        <v>46</v>
      </c>
      <c r="AF590" t="s">
        <v>44</v>
      </c>
      <c r="AG590" t="str">
        <f t="shared" si="9"/>
        <v>CC 12x</v>
      </c>
      <c r="AH590" t="str">
        <f>IF(AND(SUMIF(E:E,E590,I:I)&gt;=400000,Q590="B2G"),"n","")</f>
        <v/>
      </c>
    </row>
    <row r="591" spans="1:34">
      <c r="A591">
        <v>2026</v>
      </c>
      <c r="B591">
        <v>1</v>
      </c>
      <c r="C591" s="83">
        <v>196180274447</v>
      </c>
      <c r="D591" t="s">
        <v>665</v>
      </c>
      <c r="E591">
        <v>53886987867</v>
      </c>
      <c r="F591">
        <v>635602</v>
      </c>
      <c r="G591">
        <v>49141813765</v>
      </c>
      <c r="H591" t="s">
        <v>104</v>
      </c>
      <c r="I591" s="36">
        <v>646.91999999999996</v>
      </c>
      <c r="J591" s="36">
        <v>646.91999999999996</v>
      </c>
      <c r="K591" s="85">
        <v>0</v>
      </c>
      <c r="L591" s="36">
        <v>53.91</v>
      </c>
      <c r="M591" s="36">
        <v>53.91</v>
      </c>
      <c r="N591" s="36">
        <v>0</v>
      </c>
      <c r="O591" s="36">
        <v>0</v>
      </c>
      <c r="P591" t="s">
        <v>562</v>
      </c>
      <c r="Q591" t="s">
        <v>498</v>
      </c>
      <c r="R591" t="s">
        <v>498</v>
      </c>
      <c r="S591" s="1">
        <v>46037</v>
      </c>
      <c r="T591" s="1">
        <v>46037</v>
      </c>
      <c r="V591" s="1">
        <v>46402</v>
      </c>
      <c r="W591" t="s">
        <v>38</v>
      </c>
      <c r="X591">
        <v>12</v>
      </c>
      <c r="Y591" t="s">
        <v>49</v>
      </c>
      <c r="AA591" t="s">
        <v>40</v>
      </c>
      <c r="AB591">
        <v>1</v>
      </c>
      <c r="AC591" t="s">
        <v>499</v>
      </c>
      <c r="AD591" t="s">
        <v>105</v>
      </c>
      <c r="AE591" t="s">
        <v>106</v>
      </c>
      <c r="AF591" t="s">
        <v>59</v>
      </c>
      <c r="AG591" t="str">
        <f t="shared" si="9"/>
        <v>À Vista</v>
      </c>
      <c r="AH591" t="str">
        <f>IF(AND(SUMIF(E:E,E591,I:I)&gt;=400000,Q591="B2G"),"n","")</f>
        <v/>
      </c>
    </row>
    <row r="592" spans="1:34">
      <c r="A592">
        <v>2026</v>
      </c>
      <c r="B592">
        <v>1</v>
      </c>
      <c r="C592" s="83">
        <v>193122969119</v>
      </c>
      <c r="D592" t="s">
        <v>666</v>
      </c>
      <c r="E592">
        <v>53887214103</v>
      </c>
      <c r="F592">
        <v>635585</v>
      </c>
      <c r="G592">
        <v>49068669580</v>
      </c>
      <c r="H592" t="s">
        <v>35</v>
      </c>
      <c r="I592" s="36">
        <v>2874</v>
      </c>
      <c r="J592" s="36">
        <v>2874</v>
      </c>
      <c r="K592" s="85">
        <v>0</v>
      </c>
      <c r="L592" s="36">
        <v>239.5</v>
      </c>
      <c r="M592" s="36">
        <v>239.5</v>
      </c>
      <c r="N592" s="36">
        <v>0</v>
      </c>
      <c r="O592" s="36">
        <v>0</v>
      </c>
      <c r="P592" t="s">
        <v>562</v>
      </c>
      <c r="Q592" t="s">
        <v>498</v>
      </c>
      <c r="R592" t="s">
        <v>498</v>
      </c>
      <c r="S592" s="1">
        <v>46036</v>
      </c>
      <c r="T592" s="1">
        <v>46036</v>
      </c>
      <c r="V592" s="1">
        <v>46401</v>
      </c>
      <c r="W592" t="s">
        <v>38</v>
      </c>
      <c r="X592">
        <v>12</v>
      </c>
      <c r="Y592" t="s">
        <v>49</v>
      </c>
      <c r="AA592" t="s">
        <v>112</v>
      </c>
      <c r="AB592">
        <v>10</v>
      </c>
      <c r="AC592" t="s">
        <v>499</v>
      </c>
      <c r="AD592" t="s">
        <v>140</v>
      </c>
      <c r="AE592" t="s">
        <v>46</v>
      </c>
      <c r="AF592" t="s">
        <v>119</v>
      </c>
      <c r="AG592" t="str">
        <f t="shared" si="9"/>
        <v>CC 12x</v>
      </c>
      <c r="AH592" t="str">
        <f>IF(AND(SUMIF(E:E,E592,I:I)&gt;=400000,Q592="B2G"),"n","")</f>
        <v/>
      </c>
    </row>
    <row r="593" spans="1:34">
      <c r="A593">
        <v>2026</v>
      </c>
      <c r="B593">
        <v>1</v>
      </c>
      <c r="C593" s="83">
        <v>36651004323</v>
      </c>
      <c r="D593" t="s">
        <v>667</v>
      </c>
      <c r="E593">
        <v>53887214970</v>
      </c>
      <c r="F593">
        <v>632405</v>
      </c>
      <c r="G593">
        <v>49704336767</v>
      </c>
      <c r="H593" t="s">
        <v>35</v>
      </c>
      <c r="I593" s="36">
        <v>1701</v>
      </c>
      <c r="J593" s="36">
        <v>6567.78</v>
      </c>
      <c r="K593" s="85">
        <v>0</v>
      </c>
      <c r="L593" s="36">
        <v>547.32000000000005</v>
      </c>
      <c r="M593" s="36">
        <v>0</v>
      </c>
      <c r="N593" s="36">
        <v>547.32000000000005</v>
      </c>
      <c r="O593" s="36">
        <v>0</v>
      </c>
      <c r="P593" t="s">
        <v>668</v>
      </c>
      <c r="Q593" t="s">
        <v>191</v>
      </c>
      <c r="R593" t="s">
        <v>191</v>
      </c>
      <c r="S593" s="1">
        <v>46036</v>
      </c>
      <c r="T593" s="1">
        <v>46036</v>
      </c>
      <c r="V593" s="1">
        <v>46269</v>
      </c>
      <c r="W593" t="s">
        <v>38</v>
      </c>
      <c r="X593">
        <v>8</v>
      </c>
      <c r="Y593" t="s">
        <v>49</v>
      </c>
      <c r="Z593" t="s">
        <v>324</v>
      </c>
      <c r="AA593" t="s">
        <v>112</v>
      </c>
      <c r="AB593">
        <v>8</v>
      </c>
      <c r="AC593" t="s">
        <v>192</v>
      </c>
      <c r="AD593" t="s">
        <v>125</v>
      </c>
      <c r="AE593" t="s">
        <v>43</v>
      </c>
      <c r="AF593" t="s">
        <v>47</v>
      </c>
      <c r="AG593" t="str">
        <f t="shared" si="9"/>
        <v>CC 12x</v>
      </c>
      <c r="AH593" t="str">
        <f>IF(AND(SUMIF(E:E,E593,I:I)&gt;=400000,Q593="B2G"),"n","")</f>
        <v/>
      </c>
    </row>
    <row r="594" spans="1:34">
      <c r="A594">
        <v>2026</v>
      </c>
      <c r="B594">
        <v>1</v>
      </c>
      <c r="C594" s="83">
        <v>36651004323</v>
      </c>
      <c r="D594" t="s">
        <v>667</v>
      </c>
      <c r="E594">
        <v>53887214970</v>
      </c>
      <c r="F594">
        <v>632405</v>
      </c>
      <c r="G594">
        <v>49704336770</v>
      </c>
      <c r="H594" t="s">
        <v>35</v>
      </c>
      <c r="I594" s="36">
        <v>5325.72</v>
      </c>
      <c r="J594" s="36">
        <v>6567.78</v>
      </c>
      <c r="K594" s="85">
        <v>0</v>
      </c>
      <c r="L594" s="36">
        <v>547.32000000000005</v>
      </c>
      <c r="M594" s="36">
        <v>0</v>
      </c>
      <c r="N594" s="36">
        <v>547.32000000000005</v>
      </c>
      <c r="O594" s="36">
        <v>0</v>
      </c>
      <c r="P594" t="s">
        <v>668</v>
      </c>
      <c r="Q594" t="s">
        <v>191</v>
      </c>
      <c r="R594" t="s">
        <v>191</v>
      </c>
      <c r="S594" s="1">
        <v>46036</v>
      </c>
      <c r="T594" s="1">
        <v>46036</v>
      </c>
      <c r="V594" s="1">
        <v>46269</v>
      </c>
      <c r="W594" t="s">
        <v>38</v>
      </c>
      <c r="X594">
        <v>8</v>
      </c>
      <c r="Y594" t="s">
        <v>49</v>
      </c>
      <c r="Z594" t="s">
        <v>324</v>
      </c>
      <c r="AA594" t="s">
        <v>112</v>
      </c>
      <c r="AB594">
        <v>8</v>
      </c>
      <c r="AC594" t="s">
        <v>192</v>
      </c>
      <c r="AD594" t="s">
        <v>154</v>
      </c>
      <c r="AE594" t="s">
        <v>46</v>
      </c>
      <c r="AF594" t="s">
        <v>47</v>
      </c>
      <c r="AG594" t="str">
        <f t="shared" si="9"/>
        <v>CC 12x</v>
      </c>
      <c r="AH594" t="str">
        <f>IF(AND(SUMIF(E:E,E594,I:I)&gt;=400000,Q594="B2G"),"n","")</f>
        <v/>
      </c>
    </row>
    <row r="595" spans="1:34">
      <c r="A595">
        <v>2026</v>
      </c>
      <c r="B595">
        <v>1</v>
      </c>
      <c r="C595" s="83">
        <v>36651004323</v>
      </c>
      <c r="D595" t="s">
        <v>667</v>
      </c>
      <c r="E595">
        <v>53887214970</v>
      </c>
      <c r="F595">
        <v>632405</v>
      </c>
      <c r="G595">
        <v>49704336771</v>
      </c>
      <c r="H595" t="s">
        <v>35</v>
      </c>
      <c r="I595" s="36">
        <v>7832.28</v>
      </c>
      <c r="J595" s="36">
        <v>6567.78</v>
      </c>
      <c r="K595" s="85">
        <v>1264.5</v>
      </c>
      <c r="L595" s="36">
        <v>547.32000000000005</v>
      </c>
      <c r="M595" s="36">
        <v>0</v>
      </c>
      <c r="N595" s="36">
        <v>547.32000000000005</v>
      </c>
      <c r="O595" s="36">
        <v>0</v>
      </c>
      <c r="P595" t="s">
        <v>668</v>
      </c>
      <c r="Q595" t="s">
        <v>191</v>
      </c>
      <c r="R595" t="s">
        <v>191</v>
      </c>
      <c r="S595" s="1">
        <v>46036</v>
      </c>
      <c r="T595" s="1">
        <v>46036</v>
      </c>
      <c r="V595" s="1">
        <v>46269</v>
      </c>
      <c r="W595" t="s">
        <v>38</v>
      </c>
      <c r="X595">
        <v>8</v>
      </c>
      <c r="Y595" t="s">
        <v>49</v>
      </c>
      <c r="Z595" t="s">
        <v>324</v>
      </c>
      <c r="AA595" t="s">
        <v>112</v>
      </c>
      <c r="AB595">
        <v>8</v>
      </c>
      <c r="AC595" t="s">
        <v>192</v>
      </c>
      <c r="AD595" t="s">
        <v>351</v>
      </c>
      <c r="AE595" t="s">
        <v>95</v>
      </c>
      <c r="AF595" t="s">
        <v>96</v>
      </c>
      <c r="AG595" t="str">
        <f t="shared" si="9"/>
        <v>CC 12x</v>
      </c>
      <c r="AH595" t="str">
        <f>IF(AND(SUMIF(E:E,E595,I:I)&gt;=400000,Q595="B2G"),"n","")</f>
        <v/>
      </c>
    </row>
    <row r="596" spans="1:34">
      <c r="A596">
        <v>2026</v>
      </c>
      <c r="B596">
        <v>1</v>
      </c>
      <c r="C596" s="83">
        <v>36651004323</v>
      </c>
      <c r="D596" t="s">
        <v>667</v>
      </c>
      <c r="E596">
        <v>53887214970</v>
      </c>
      <c r="F596">
        <v>632405</v>
      </c>
      <c r="G596">
        <v>49704336772</v>
      </c>
      <c r="H596" t="s">
        <v>35</v>
      </c>
      <c r="I596" s="36">
        <v>1323.12</v>
      </c>
      <c r="J596" s="36">
        <v>6567.78</v>
      </c>
      <c r="K596" s="85">
        <v>0</v>
      </c>
      <c r="L596" s="36">
        <v>547.32000000000005</v>
      </c>
      <c r="M596" s="36">
        <v>0</v>
      </c>
      <c r="N596" s="36">
        <v>547.32000000000005</v>
      </c>
      <c r="O596" s="36">
        <v>0</v>
      </c>
      <c r="P596" t="s">
        <v>668</v>
      </c>
      <c r="Q596" t="s">
        <v>191</v>
      </c>
      <c r="R596" t="s">
        <v>191</v>
      </c>
      <c r="S596" s="1">
        <v>46036</v>
      </c>
      <c r="T596" s="1">
        <v>46036</v>
      </c>
      <c r="V596" s="1">
        <v>46269</v>
      </c>
      <c r="W596" t="s">
        <v>38</v>
      </c>
      <c r="X596">
        <v>8</v>
      </c>
      <c r="Y596" t="s">
        <v>49</v>
      </c>
      <c r="Z596" t="s">
        <v>324</v>
      </c>
      <c r="AA596" t="s">
        <v>112</v>
      </c>
      <c r="AB596">
        <v>8</v>
      </c>
      <c r="AC596" t="s">
        <v>192</v>
      </c>
      <c r="AD596" t="s">
        <v>256</v>
      </c>
      <c r="AE596" t="s">
        <v>257</v>
      </c>
      <c r="AF596" t="s">
        <v>59</v>
      </c>
      <c r="AG596" t="str">
        <f t="shared" si="9"/>
        <v>CC 12x</v>
      </c>
      <c r="AH596" t="str">
        <f>IF(AND(SUMIF(E:E,E596,I:I)&gt;=400000,Q596="B2G"),"n","")</f>
        <v/>
      </c>
    </row>
    <row r="597" spans="1:34">
      <c r="A597">
        <v>2026</v>
      </c>
      <c r="B597">
        <v>1</v>
      </c>
      <c r="C597" s="83">
        <v>197908789132</v>
      </c>
      <c r="D597" t="s">
        <v>669</v>
      </c>
      <c r="E597">
        <v>53894774060</v>
      </c>
      <c r="F597">
        <v>635628</v>
      </c>
      <c r="G597">
        <v>49362884659</v>
      </c>
      <c r="H597" t="s">
        <v>35</v>
      </c>
      <c r="I597" s="36">
        <v>2586.6</v>
      </c>
      <c r="J597" s="36">
        <v>2586.6</v>
      </c>
      <c r="K597" s="85">
        <v>0</v>
      </c>
      <c r="L597" s="36">
        <v>215.55</v>
      </c>
      <c r="M597" s="36">
        <v>215.55</v>
      </c>
      <c r="N597" s="36">
        <v>0</v>
      </c>
      <c r="O597" s="36">
        <v>0</v>
      </c>
      <c r="P597" t="s">
        <v>313</v>
      </c>
      <c r="Q597" t="s">
        <v>314</v>
      </c>
      <c r="R597" t="s">
        <v>314</v>
      </c>
      <c r="S597" s="1">
        <v>46038</v>
      </c>
      <c r="T597" s="1">
        <v>46038</v>
      </c>
      <c r="V597" s="1">
        <v>46403</v>
      </c>
      <c r="W597" t="s">
        <v>38</v>
      </c>
      <c r="X597">
        <v>12</v>
      </c>
      <c r="Y597" t="s">
        <v>49</v>
      </c>
      <c r="AA597" t="s">
        <v>122</v>
      </c>
      <c r="AB597">
        <v>12</v>
      </c>
      <c r="AC597" t="s">
        <v>315</v>
      </c>
      <c r="AD597" t="s">
        <v>140</v>
      </c>
      <c r="AE597" t="s">
        <v>46</v>
      </c>
      <c r="AF597" t="s">
        <v>119</v>
      </c>
      <c r="AG597" t="str">
        <f t="shared" si="9"/>
        <v>Recorrente</v>
      </c>
      <c r="AH597" t="str">
        <f>IF(AND(SUMIF(E:E,E597,I:I)&gt;=400000,Q597="B2G"),"n","")</f>
        <v/>
      </c>
    </row>
    <row r="598" spans="1:34">
      <c r="A598">
        <v>2026</v>
      </c>
      <c r="B598">
        <v>1</v>
      </c>
      <c r="C598" s="83">
        <v>193134116163</v>
      </c>
      <c r="D598" t="s">
        <v>670</v>
      </c>
      <c r="E598">
        <v>53897847150</v>
      </c>
      <c r="F598">
        <v>635598</v>
      </c>
      <c r="G598">
        <v>49154666820</v>
      </c>
      <c r="H598" t="s">
        <v>35</v>
      </c>
      <c r="I598" s="36">
        <v>2874</v>
      </c>
      <c r="J598" s="36">
        <v>2874</v>
      </c>
      <c r="K598" s="85">
        <v>0</v>
      </c>
      <c r="L598" s="36">
        <v>239.5</v>
      </c>
      <c r="M598" s="36">
        <v>239.5</v>
      </c>
      <c r="N598" s="36">
        <v>0</v>
      </c>
      <c r="O598" s="36">
        <v>0</v>
      </c>
      <c r="P598" t="s">
        <v>562</v>
      </c>
      <c r="Q598" t="s">
        <v>498</v>
      </c>
      <c r="R598" t="s">
        <v>498</v>
      </c>
      <c r="S598" s="1">
        <v>46037</v>
      </c>
      <c r="T598" s="1">
        <v>46037</v>
      </c>
      <c r="V598" s="1">
        <v>46402</v>
      </c>
      <c r="W598" t="s">
        <v>38</v>
      </c>
      <c r="X598">
        <v>12</v>
      </c>
      <c r="Y598" t="s">
        <v>49</v>
      </c>
      <c r="AA598" t="s">
        <v>112</v>
      </c>
      <c r="AB598">
        <v>12</v>
      </c>
      <c r="AC598" t="s">
        <v>499</v>
      </c>
      <c r="AD598" t="s">
        <v>118</v>
      </c>
      <c r="AE598" t="s">
        <v>43</v>
      </c>
      <c r="AF598" t="s">
        <v>119</v>
      </c>
      <c r="AG598" t="str">
        <f t="shared" si="9"/>
        <v>CC 12x</v>
      </c>
      <c r="AH598" t="str">
        <f>IF(AND(SUMIF(E:E,E598,I:I)&gt;=400000,Q598="B2G"),"n","")</f>
        <v/>
      </c>
    </row>
    <row r="599" spans="1:34">
      <c r="A599">
        <v>2026</v>
      </c>
      <c r="B599">
        <v>1</v>
      </c>
      <c r="C599" s="83">
        <v>144863494934</v>
      </c>
      <c r="D599" t="s">
        <v>671</v>
      </c>
      <c r="E599">
        <v>53928563634</v>
      </c>
      <c r="F599">
        <v>630040</v>
      </c>
      <c r="G599">
        <v>49268342588</v>
      </c>
      <c r="H599" t="s">
        <v>35</v>
      </c>
      <c r="I599" s="36">
        <v>877.44</v>
      </c>
      <c r="J599" s="36">
        <v>2305.8000000000002</v>
      </c>
      <c r="K599" s="85">
        <v>0</v>
      </c>
      <c r="L599" s="36">
        <v>192.15</v>
      </c>
      <c r="M599" s="36">
        <v>0</v>
      </c>
      <c r="N599" s="36">
        <v>192.15</v>
      </c>
      <c r="O599" s="36">
        <v>0</v>
      </c>
      <c r="P599" t="s">
        <v>323</v>
      </c>
      <c r="Q599" t="s">
        <v>191</v>
      </c>
      <c r="R599" t="s">
        <v>191</v>
      </c>
      <c r="S599" s="1">
        <v>46037</v>
      </c>
      <c r="T599" s="1">
        <v>46037</v>
      </c>
      <c r="V599" s="1">
        <v>46176</v>
      </c>
      <c r="W599" t="s">
        <v>38</v>
      </c>
      <c r="X599">
        <v>5</v>
      </c>
      <c r="Y599" t="s">
        <v>49</v>
      </c>
      <c r="Z599" t="s">
        <v>324</v>
      </c>
      <c r="AA599" t="s">
        <v>122</v>
      </c>
      <c r="AB599">
        <v>4</v>
      </c>
      <c r="AC599" t="s">
        <v>192</v>
      </c>
      <c r="AD599" t="s">
        <v>85</v>
      </c>
      <c r="AE599" t="s">
        <v>46</v>
      </c>
      <c r="AF599" t="s">
        <v>44</v>
      </c>
      <c r="AG599" t="str">
        <f t="shared" si="9"/>
        <v>Recorrente</v>
      </c>
      <c r="AH599" t="str">
        <f>IF(AND(SUMIF(E:E,E599,I:I)&gt;=400000,Q599="B2G"),"n","")</f>
        <v/>
      </c>
    </row>
    <row r="600" spans="1:34">
      <c r="A600">
        <v>2026</v>
      </c>
      <c r="B600">
        <v>1</v>
      </c>
      <c r="C600" s="83">
        <v>198639443065</v>
      </c>
      <c r="D600" t="s">
        <v>672</v>
      </c>
      <c r="E600">
        <v>53928645388</v>
      </c>
      <c r="F600">
        <v>635636</v>
      </c>
      <c r="G600">
        <v>49567986563</v>
      </c>
      <c r="H600" t="s">
        <v>35</v>
      </c>
      <c r="I600" s="36">
        <v>11023.68</v>
      </c>
      <c r="J600" s="36">
        <v>2157.19</v>
      </c>
      <c r="K600" s="85">
        <v>8866.49</v>
      </c>
      <c r="L600" s="36">
        <v>179.77</v>
      </c>
      <c r="M600" s="36">
        <v>0</v>
      </c>
      <c r="N600" s="36">
        <v>179.77</v>
      </c>
      <c r="O600" s="36">
        <v>0</v>
      </c>
      <c r="P600" t="s">
        <v>367</v>
      </c>
      <c r="Q600" t="s">
        <v>191</v>
      </c>
      <c r="R600" t="s">
        <v>191</v>
      </c>
      <c r="S600" s="1">
        <v>46041</v>
      </c>
      <c r="T600" s="1">
        <v>46041</v>
      </c>
      <c r="V600" s="1">
        <v>46771</v>
      </c>
      <c r="W600" t="s">
        <v>56</v>
      </c>
      <c r="Y600" t="s">
        <v>549</v>
      </c>
      <c r="AA600" t="s">
        <v>122</v>
      </c>
      <c r="AB600">
        <v>24</v>
      </c>
      <c r="AC600" t="s">
        <v>192</v>
      </c>
      <c r="AD600" t="s">
        <v>362</v>
      </c>
      <c r="AE600" t="s">
        <v>363</v>
      </c>
      <c r="AF600" t="s">
        <v>59</v>
      </c>
      <c r="AG600" t="str">
        <f t="shared" si="9"/>
        <v>Recorrente</v>
      </c>
      <c r="AH600" t="str">
        <f>IF(AND(SUMIF(E:E,E600,I:I)&gt;=400000,Q600="B2G"),"n","")</f>
        <v/>
      </c>
    </row>
    <row r="601" spans="1:34">
      <c r="A601">
        <v>2026</v>
      </c>
      <c r="B601">
        <v>1</v>
      </c>
      <c r="C601" s="83">
        <v>198639443065</v>
      </c>
      <c r="D601" t="s">
        <v>672</v>
      </c>
      <c r="E601">
        <v>53928645388</v>
      </c>
      <c r="F601">
        <v>635636</v>
      </c>
      <c r="G601">
        <v>49567986564</v>
      </c>
      <c r="H601" t="s">
        <v>35</v>
      </c>
      <c r="I601" s="36">
        <v>7999.92</v>
      </c>
      <c r="J601" s="36">
        <v>1565.47</v>
      </c>
      <c r="K601" s="85">
        <v>6434.45</v>
      </c>
      <c r="L601" s="36">
        <v>130.46</v>
      </c>
      <c r="M601" s="36">
        <v>0</v>
      </c>
      <c r="N601" s="36">
        <v>130.46</v>
      </c>
      <c r="O601" s="36">
        <v>0</v>
      </c>
      <c r="P601" t="s">
        <v>367</v>
      </c>
      <c r="Q601" t="s">
        <v>191</v>
      </c>
      <c r="R601" t="s">
        <v>191</v>
      </c>
      <c r="S601" s="1">
        <v>46041</v>
      </c>
      <c r="T601" s="1">
        <v>46041</v>
      </c>
      <c r="V601" s="1">
        <v>46771</v>
      </c>
      <c r="W601" t="s">
        <v>56</v>
      </c>
      <c r="Y601" t="s">
        <v>549</v>
      </c>
      <c r="AA601" t="s">
        <v>122</v>
      </c>
      <c r="AB601">
        <v>24</v>
      </c>
      <c r="AC601" t="s">
        <v>192</v>
      </c>
      <c r="AD601" t="s">
        <v>125</v>
      </c>
      <c r="AE601" t="s">
        <v>43</v>
      </c>
      <c r="AF601" t="s">
        <v>47</v>
      </c>
      <c r="AG601" t="str">
        <f t="shared" si="9"/>
        <v>Recorrente</v>
      </c>
      <c r="AH601" t="str">
        <f>IF(AND(SUMIF(E:E,E601,I:I)&gt;=400000,Q601="B2G"),"n","")</f>
        <v/>
      </c>
    </row>
    <row r="602" spans="1:34">
      <c r="A602">
        <v>2026</v>
      </c>
      <c r="B602">
        <v>1</v>
      </c>
      <c r="C602" s="83">
        <v>198639443065</v>
      </c>
      <c r="D602" t="s">
        <v>672</v>
      </c>
      <c r="E602">
        <v>53928645388</v>
      </c>
      <c r="F602">
        <v>635636</v>
      </c>
      <c r="G602">
        <v>49567986565</v>
      </c>
      <c r="H602" t="s">
        <v>35</v>
      </c>
      <c r="I602" s="36">
        <v>11023.68</v>
      </c>
      <c r="J602" s="36">
        <v>2157.19</v>
      </c>
      <c r="K602" s="85">
        <v>8866.49</v>
      </c>
      <c r="L602" s="36">
        <v>179.77</v>
      </c>
      <c r="M602" s="36">
        <v>0</v>
      </c>
      <c r="N602" s="36">
        <v>179.77</v>
      </c>
      <c r="O602" s="36">
        <v>0</v>
      </c>
      <c r="P602" t="s">
        <v>367</v>
      </c>
      <c r="Q602" t="s">
        <v>191</v>
      </c>
      <c r="R602" t="s">
        <v>191</v>
      </c>
      <c r="S602" s="1">
        <v>46041</v>
      </c>
      <c r="T602" s="1">
        <v>46041</v>
      </c>
      <c r="V602" s="1">
        <v>46771</v>
      </c>
      <c r="W602" t="s">
        <v>56</v>
      </c>
      <c r="Y602" t="s">
        <v>549</v>
      </c>
      <c r="AA602" t="s">
        <v>122</v>
      </c>
      <c r="AB602">
        <v>24</v>
      </c>
      <c r="AC602" t="s">
        <v>192</v>
      </c>
      <c r="AD602" t="s">
        <v>256</v>
      </c>
      <c r="AE602" t="s">
        <v>257</v>
      </c>
      <c r="AF602" t="s">
        <v>59</v>
      </c>
      <c r="AG602" t="str">
        <f t="shared" si="9"/>
        <v>Recorrente</v>
      </c>
      <c r="AH602" t="str">
        <f>IF(AND(SUMIF(E:E,E602,I:I)&gt;=400000,Q602="B2G"),"n","")</f>
        <v/>
      </c>
    </row>
    <row r="603" spans="1:34">
      <c r="A603">
        <v>2026</v>
      </c>
      <c r="B603">
        <v>1</v>
      </c>
      <c r="C603" s="83">
        <v>198639443065</v>
      </c>
      <c r="D603" t="s">
        <v>672</v>
      </c>
      <c r="E603">
        <v>53928645388</v>
      </c>
      <c r="F603">
        <v>635636</v>
      </c>
      <c r="G603">
        <v>49567986566</v>
      </c>
      <c r="H603" t="s">
        <v>35</v>
      </c>
      <c r="I603" s="36">
        <v>7999.92</v>
      </c>
      <c r="J603" s="36">
        <v>1565.47</v>
      </c>
      <c r="K603" s="85">
        <v>6434.45</v>
      </c>
      <c r="L603" s="36">
        <v>130.46</v>
      </c>
      <c r="M603" s="36">
        <v>0</v>
      </c>
      <c r="N603" s="36">
        <v>130.46</v>
      </c>
      <c r="O603" s="36">
        <v>0</v>
      </c>
      <c r="P603" t="s">
        <v>367</v>
      </c>
      <c r="Q603" t="s">
        <v>191</v>
      </c>
      <c r="R603" t="s">
        <v>191</v>
      </c>
      <c r="S603" s="1">
        <v>46041</v>
      </c>
      <c r="T603" s="1">
        <v>46041</v>
      </c>
      <c r="V603" s="1">
        <v>46771</v>
      </c>
      <c r="W603" t="s">
        <v>56</v>
      </c>
      <c r="Y603" t="s">
        <v>549</v>
      </c>
      <c r="AA603" t="s">
        <v>122</v>
      </c>
      <c r="AB603">
        <v>24</v>
      </c>
      <c r="AC603" t="s">
        <v>192</v>
      </c>
      <c r="AD603" t="s">
        <v>125</v>
      </c>
      <c r="AE603" t="s">
        <v>43</v>
      </c>
      <c r="AF603" t="s">
        <v>47</v>
      </c>
      <c r="AG603" t="str">
        <f t="shared" si="9"/>
        <v>Recorrente</v>
      </c>
      <c r="AH603" t="str">
        <f>IF(AND(SUMIF(E:E,E603,I:I)&gt;=400000,Q603="B2G"),"n","")</f>
        <v/>
      </c>
    </row>
    <row r="604" spans="1:34">
      <c r="A604">
        <v>2026</v>
      </c>
      <c r="B604">
        <v>1</v>
      </c>
      <c r="C604" s="83">
        <v>198639443065</v>
      </c>
      <c r="D604" t="s">
        <v>672</v>
      </c>
      <c r="E604">
        <v>53928645388</v>
      </c>
      <c r="F604">
        <v>635636</v>
      </c>
      <c r="G604">
        <v>49567986567</v>
      </c>
      <c r="H604" t="s">
        <v>35</v>
      </c>
      <c r="I604" s="36">
        <v>14774.4</v>
      </c>
      <c r="J604" s="36">
        <v>2891.12</v>
      </c>
      <c r="K604" s="85">
        <v>11883.28</v>
      </c>
      <c r="L604" s="36">
        <v>240.93</v>
      </c>
      <c r="M604" s="36">
        <v>0</v>
      </c>
      <c r="N604" s="36">
        <v>240.93</v>
      </c>
      <c r="O604" s="36">
        <v>0</v>
      </c>
      <c r="P604" t="s">
        <v>367</v>
      </c>
      <c r="Q604" t="s">
        <v>191</v>
      </c>
      <c r="R604" t="s">
        <v>191</v>
      </c>
      <c r="S604" s="1">
        <v>46041</v>
      </c>
      <c r="T604" s="1">
        <v>46041</v>
      </c>
      <c r="V604" s="1">
        <v>46771</v>
      </c>
      <c r="W604" t="s">
        <v>56</v>
      </c>
      <c r="Y604" t="s">
        <v>549</v>
      </c>
      <c r="AA604" t="s">
        <v>122</v>
      </c>
      <c r="AB604">
        <v>24</v>
      </c>
      <c r="AC604" t="s">
        <v>192</v>
      </c>
      <c r="AD604" t="s">
        <v>154</v>
      </c>
      <c r="AE604" t="s">
        <v>46</v>
      </c>
      <c r="AF604" t="s">
        <v>47</v>
      </c>
      <c r="AG604" t="str">
        <f t="shared" si="9"/>
        <v>Recorrente</v>
      </c>
      <c r="AH604" t="str">
        <f>IF(AND(SUMIF(E:E,E604,I:I)&gt;=400000,Q604="B2G"),"n","")</f>
        <v/>
      </c>
    </row>
    <row r="605" spans="1:34">
      <c r="A605">
        <v>2026</v>
      </c>
      <c r="B605">
        <v>1</v>
      </c>
      <c r="C605" s="83">
        <v>198639443065</v>
      </c>
      <c r="D605" t="s">
        <v>672</v>
      </c>
      <c r="E605">
        <v>53928645388</v>
      </c>
      <c r="F605">
        <v>635636</v>
      </c>
      <c r="G605">
        <v>49567986568</v>
      </c>
      <c r="H605" t="s">
        <v>673</v>
      </c>
      <c r="I605" s="36">
        <v>6000</v>
      </c>
      <c r="J605" s="36">
        <v>0</v>
      </c>
      <c r="K605" s="85">
        <v>0</v>
      </c>
      <c r="L605" s="36">
        <v>0</v>
      </c>
      <c r="M605" s="36">
        <v>0</v>
      </c>
      <c r="N605" s="36">
        <v>0</v>
      </c>
      <c r="O605" s="36">
        <v>0</v>
      </c>
      <c r="P605" t="s">
        <v>367</v>
      </c>
      <c r="Q605" t="s">
        <v>191</v>
      </c>
      <c r="R605" t="s">
        <v>191</v>
      </c>
      <c r="S605" s="1">
        <v>46041</v>
      </c>
      <c r="T605" s="1">
        <v>46041</v>
      </c>
      <c r="V605" s="1">
        <v>46771</v>
      </c>
      <c r="W605" t="s">
        <v>56</v>
      </c>
      <c r="Y605" t="s">
        <v>549</v>
      </c>
      <c r="AA605" t="s">
        <v>122</v>
      </c>
      <c r="AB605">
        <v>24</v>
      </c>
      <c r="AC605" t="s">
        <v>192</v>
      </c>
      <c r="AD605" t="s">
        <v>674</v>
      </c>
      <c r="AE605" t="s">
        <v>106</v>
      </c>
      <c r="AF605" t="s">
        <v>59</v>
      </c>
      <c r="AG605" t="str">
        <f t="shared" si="9"/>
        <v>Recorrente</v>
      </c>
      <c r="AH605" t="str">
        <f>IF(AND(SUMIF(E:E,E605,I:I)&gt;=400000,Q605="B2G"),"n","")</f>
        <v/>
      </c>
    </row>
    <row r="606" spans="1:34">
      <c r="A606">
        <v>2026</v>
      </c>
      <c r="B606">
        <v>1</v>
      </c>
      <c r="C606" s="83">
        <v>198639443065</v>
      </c>
      <c r="D606" t="s">
        <v>672</v>
      </c>
      <c r="E606">
        <v>53928645388</v>
      </c>
      <c r="F606">
        <v>635636</v>
      </c>
      <c r="G606">
        <v>49567986570</v>
      </c>
      <c r="H606" t="s">
        <v>35</v>
      </c>
      <c r="I606" s="36">
        <v>7999.92</v>
      </c>
      <c r="J606" s="36">
        <v>1565.47</v>
      </c>
      <c r="K606" s="85">
        <v>6434.45</v>
      </c>
      <c r="L606" s="36">
        <v>130.46</v>
      </c>
      <c r="M606" s="36">
        <v>0</v>
      </c>
      <c r="N606" s="36">
        <v>130.46</v>
      </c>
      <c r="O606" s="36">
        <v>0</v>
      </c>
      <c r="P606" t="s">
        <v>367</v>
      </c>
      <c r="Q606" t="s">
        <v>191</v>
      </c>
      <c r="R606" t="s">
        <v>191</v>
      </c>
      <c r="S606" s="1">
        <v>46041</v>
      </c>
      <c r="T606" s="1">
        <v>46041</v>
      </c>
      <c r="V606" s="1">
        <v>46771</v>
      </c>
      <c r="W606" t="s">
        <v>56</v>
      </c>
      <c r="Y606" t="s">
        <v>549</v>
      </c>
      <c r="AA606" t="s">
        <v>122</v>
      </c>
      <c r="AB606">
        <v>24</v>
      </c>
      <c r="AC606" t="s">
        <v>192</v>
      </c>
      <c r="AD606" t="s">
        <v>125</v>
      </c>
      <c r="AE606" t="s">
        <v>43</v>
      </c>
      <c r="AF606" t="s">
        <v>47</v>
      </c>
      <c r="AG606" t="str">
        <f t="shared" si="9"/>
        <v>Recorrente</v>
      </c>
      <c r="AH606" t="str">
        <f>IF(AND(SUMIF(E:E,E606,I:I)&gt;=400000,Q606="B2G"),"n","")</f>
        <v/>
      </c>
    </row>
    <row r="607" spans="1:34">
      <c r="A607">
        <v>2026</v>
      </c>
      <c r="B607">
        <v>1</v>
      </c>
      <c r="C607" s="83">
        <v>198639443065</v>
      </c>
      <c r="D607" t="s">
        <v>672</v>
      </c>
      <c r="E607">
        <v>53928645388</v>
      </c>
      <c r="F607">
        <v>635636</v>
      </c>
      <c r="G607">
        <v>49567986571</v>
      </c>
      <c r="H607" t="s">
        <v>35</v>
      </c>
      <c r="I607" s="36">
        <v>7999.92</v>
      </c>
      <c r="J607" s="36">
        <v>1565.47</v>
      </c>
      <c r="K607" s="85">
        <v>6434.45</v>
      </c>
      <c r="L607" s="36">
        <v>130.46</v>
      </c>
      <c r="M607" s="36">
        <v>0</v>
      </c>
      <c r="N607" s="36">
        <v>130.46</v>
      </c>
      <c r="O607" s="36">
        <v>0</v>
      </c>
      <c r="P607" t="s">
        <v>367</v>
      </c>
      <c r="Q607" t="s">
        <v>191</v>
      </c>
      <c r="R607" t="s">
        <v>191</v>
      </c>
      <c r="S607" s="1">
        <v>46041</v>
      </c>
      <c r="T607" s="1">
        <v>46041</v>
      </c>
      <c r="V607" s="1">
        <v>46771</v>
      </c>
      <c r="W607" t="s">
        <v>56</v>
      </c>
      <c r="Y607" t="s">
        <v>549</v>
      </c>
      <c r="AA607" t="s">
        <v>122</v>
      </c>
      <c r="AB607">
        <v>24</v>
      </c>
      <c r="AC607" t="s">
        <v>192</v>
      </c>
      <c r="AD607" t="s">
        <v>125</v>
      </c>
      <c r="AE607" t="s">
        <v>43</v>
      </c>
      <c r="AF607" t="s">
        <v>47</v>
      </c>
      <c r="AG607" t="str">
        <f t="shared" si="9"/>
        <v>Recorrente</v>
      </c>
      <c r="AH607" t="str">
        <f>IF(AND(SUMIF(E:E,E607,I:I)&gt;=400000,Q607="B2G"),"n","")</f>
        <v/>
      </c>
    </row>
    <row r="608" spans="1:34">
      <c r="A608">
        <v>2026</v>
      </c>
      <c r="B608">
        <v>1</v>
      </c>
      <c r="C608" s="83">
        <v>19435621229</v>
      </c>
      <c r="D608" t="s">
        <v>675</v>
      </c>
      <c r="E608">
        <v>53930258590</v>
      </c>
      <c r="F608">
        <v>635610</v>
      </c>
      <c r="G608">
        <v>49128771182</v>
      </c>
      <c r="H608" t="s">
        <v>35</v>
      </c>
      <c r="I608" s="36">
        <v>2442.84</v>
      </c>
      <c r="J608" s="36">
        <v>2442.9</v>
      </c>
      <c r="K608" s="85">
        <v>0</v>
      </c>
      <c r="L608" s="36">
        <v>203.58</v>
      </c>
      <c r="M608" s="36">
        <v>203.58</v>
      </c>
      <c r="N608" s="36">
        <v>0</v>
      </c>
      <c r="O608" s="36">
        <v>0</v>
      </c>
      <c r="P608" t="s">
        <v>313</v>
      </c>
      <c r="Q608" t="s">
        <v>314</v>
      </c>
      <c r="R608" t="s">
        <v>314</v>
      </c>
      <c r="S608" s="1">
        <v>46037</v>
      </c>
      <c r="T608" s="1">
        <v>46037</v>
      </c>
      <c r="V608" s="1">
        <v>46402</v>
      </c>
      <c r="W608" t="s">
        <v>38</v>
      </c>
      <c r="X608">
        <v>12</v>
      </c>
      <c r="Y608" t="s">
        <v>49</v>
      </c>
      <c r="AA608" t="s">
        <v>112</v>
      </c>
      <c r="AB608">
        <v>12</v>
      </c>
      <c r="AC608" t="s">
        <v>315</v>
      </c>
      <c r="AD608" t="s">
        <v>118</v>
      </c>
      <c r="AE608" t="s">
        <v>43</v>
      </c>
      <c r="AF608" t="s">
        <v>119</v>
      </c>
      <c r="AG608" t="str">
        <f t="shared" si="9"/>
        <v>CC 12x</v>
      </c>
      <c r="AH608" t="str">
        <f>IF(AND(SUMIF(E:E,E608,I:I)&gt;=400000,Q608="B2G"),"n","")</f>
        <v/>
      </c>
    </row>
    <row r="609" spans="1:34">
      <c r="A609">
        <v>2026</v>
      </c>
      <c r="B609">
        <v>1</v>
      </c>
      <c r="C609" s="83">
        <v>49194459202</v>
      </c>
      <c r="D609" t="s">
        <v>676</v>
      </c>
      <c r="E609">
        <v>53930582335</v>
      </c>
      <c r="F609">
        <v>635665</v>
      </c>
      <c r="G609">
        <v>49630980170</v>
      </c>
      <c r="H609" t="s">
        <v>35</v>
      </c>
      <c r="I609" s="36">
        <v>5754</v>
      </c>
      <c r="J609" s="36">
        <v>5754</v>
      </c>
      <c r="K609" s="85">
        <v>0</v>
      </c>
      <c r="L609" s="36">
        <v>479.5</v>
      </c>
      <c r="M609" s="36">
        <v>479.5</v>
      </c>
      <c r="N609" s="36">
        <v>0</v>
      </c>
      <c r="O609" s="36">
        <v>0</v>
      </c>
      <c r="P609" t="s">
        <v>361</v>
      </c>
      <c r="Q609" t="s">
        <v>91</v>
      </c>
      <c r="R609" t="s">
        <v>91</v>
      </c>
      <c r="S609" s="1">
        <v>46043</v>
      </c>
      <c r="T609" s="1">
        <v>46043</v>
      </c>
      <c r="V609" s="1">
        <v>46408</v>
      </c>
      <c r="W609" t="s">
        <v>38</v>
      </c>
      <c r="X609">
        <v>12</v>
      </c>
      <c r="Y609" t="s">
        <v>49</v>
      </c>
      <c r="AA609" t="s">
        <v>92</v>
      </c>
      <c r="AB609">
        <v>12</v>
      </c>
      <c r="AC609" t="s">
        <v>93</v>
      </c>
      <c r="AD609" t="s">
        <v>85</v>
      </c>
      <c r="AE609" t="s">
        <v>46</v>
      </c>
      <c r="AF609" t="s">
        <v>44</v>
      </c>
      <c r="AG609" t="str">
        <f t="shared" si="9"/>
        <v>Recorrente</v>
      </c>
      <c r="AH609" t="str">
        <f>IF(AND(SUMIF(E:E,E609,I:I)&gt;=400000,Q609="B2G"),"n","")</f>
        <v/>
      </c>
    </row>
    <row r="610" spans="1:34">
      <c r="A610">
        <v>2026</v>
      </c>
      <c r="B610">
        <v>1</v>
      </c>
      <c r="C610" s="83">
        <v>102886187665</v>
      </c>
      <c r="D610" t="s">
        <v>677</v>
      </c>
      <c r="E610">
        <v>53943450537</v>
      </c>
      <c r="F610">
        <v>635785</v>
      </c>
      <c r="G610">
        <v>50273572379</v>
      </c>
      <c r="H610" t="s">
        <v>35</v>
      </c>
      <c r="I610" s="36">
        <v>7675.2</v>
      </c>
      <c r="J610" s="36">
        <v>7675.2</v>
      </c>
      <c r="K610" s="85">
        <v>0</v>
      </c>
      <c r="L610" s="36">
        <v>639.6</v>
      </c>
      <c r="M610" s="36">
        <v>0</v>
      </c>
      <c r="N610" s="36">
        <v>215.12</v>
      </c>
      <c r="O610" s="36">
        <v>424.48</v>
      </c>
      <c r="P610" t="s">
        <v>469</v>
      </c>
      <c r="Q610" t="s">
        <v>191</v>
      </c>
      <c r="R610" t="s">
        <v>191</v>
      </c>
      <c r="S610" s="1">
        <v>46051</v>
      </c>
      <c r="T610" s="1">
        <v>46051</v>
      </c>
      <c r="U610" s="1">
        <v>46052</v>
      </c>
      <c r="V610" s="1">
        <v>46416</v>
      </c>
      <c r="W610" t="s">
        <v>38</v>
      </c>
      <c r="X610">
        <v>12</v>
      </c>
      <c r="Y610" t="s">
        <v>49</v>
      </c>
      <c r="AA610" t="s">
        <v>112</v>
      </c>
      <c r="AB610">
        <v>12</v>
      </c>
      <c r="AC610" t="s">
        <v>192</v>
      </c>
      <c r="AD610" t="s">
        <v>131</v>
      </c>
      <c r="AE610" t="s">
        <v>46</v>
      </c>
      <c r="AF610" t="s">
        <v>96</v>
      </c>
      <c r="AG610" t="str">
        <f t="shared" si="9"/>
        <v>CC 12x</v>
      </c>
      <c r="AH610" t="str">
        <f>IF(AND(SUMIF(E:E,E610,I:I)&gt;=400000,Q610="B2G"),"n","")</f>
        <v/>
      </c>
    </row>
    <row r="611" spans="1:34">
      <c r="A611">
        <v>2026</v>
      </c>
      <c r="B611">
        <v>1</v>
      </c>
      <c r="C611" s="83">
        <v>192814813593</v>
      </c>
      <c r="D611" t="s">
        <v>678</v>
      </c>
      <c r="E611">
        <v>53946456068</v>
      </c>
      <c r="F611">
        <v>635632</v>
      </c>
      <c r="G611">
        <v>49450849546</v>
      </c>
      <c r="H611" t="s">
        <v>35</v>
      </c>
      <c r="I611" s="36">
        <v>361</v>
      </c>
      <c r="J611" s="36">
        <v>4332</v>
      </c>
      <c r="K611" s="85">
        <v>0</v>
      </c>
      <c r="L611" s="36">
        <v>361</v>
      </c>
      <c r="M611" s="36">
        <v>361</v>
      </c>
      <c r="N611" s="36">
        <v>0</v>
      </c>
      <c r="O611" s="36">
        <v>0</v>
      </c>
      <c r="P611" t="s">
        <v>121</v>
      </c>
      <c r="Q611" t="s">
        <v>111</v>
      </c>
      <c r="R611" t="s">
        <v>111</v>
      </c>
      <c r="S611" s="1">
        <v>46041</v>
      </c>
      <c r="T611" s="1">
        <v>46041</v>
      </c>
      <c r="V611" s="1">
        <v>46072</v>
      </c>
      <c r="W611" t="s">
        <v>679</v>
      </c>
      <c r="X611">
        <v>1</v>
      </c>
      <c r="Y611" t="s">
        <v>49</v>
      </c>
      <c r="AA611" t="s">
        <v>112</v>
      </c>
      <c r="AB611">
        <v>1</v>
      </c>
      <c r="AC611" t="s">
        <v>113</v>
      </c>
      <c r="AD611" t="s">
        <v>140</v>
      </c>
      <c r="AE611" t="s">
        <v>46</v>
      </c>
      <c r="AF611" t="s">
        <v>119</v>
      </c>
      <c r="AG611" t="str">
        <f t="shared" si="9"/>
        <v>À Vista</v>
      </c>
      <c r="AH611" t="str">
        <f>IF(AND(SUMIF(E:E,E611,I:I)&gt;=400000,Q611="B2G"),"n","")</f>
        <v/>
      </c>
    </row>
    <row r="612" spans="1:34">
      <c r="A612">
        <v>2026</v>
      </c>
      <c r="B612">
        <v>1</v>
      </c>
      <c r="C612" s="83">
        <v>19485926708</v>
      </c>
      <c r="D612" t="s">
        <v>680</v>
      </c>
      <c r="E612">
        <v>53956383823</v>
      </c>
      <c r="F612">
        <v>636125</v>
      </c>
      <c r="G612">
        <v>50350801480</v>
      </c>
      <c r="H612" t="s">
        <v>35</v>
      </c>
      <c r="I612" s="36">
        <v>2899.5</v>
      </c>
      <c r="J612" s="36">
        <v>2899.5</v>
      </c>
      <c r="K612" s="85">
        <v>0</v>
      </c>
      <c r="L612" s="36">
        <v>241.625</v>
      </c>
      <c r="M612" s="36">
        <v>0</v>
      </c>
      <c r="N612" s="36">
        <v>0</v>
      </c>
      <c r="O612" s="36">
        <v>0</v>
      </c>
      <c r="P612" t="s">
        <v>69</v>
      </c>
      <c r="Q612" t="s">
        <v>37</v>
      </c>
      <c r="R612" t="s">
        <v>37</v>
      </c>
      <c r="S612" s="1">
        <v>46051</v>
      </c>
      <c r="T612" s="1">
        <v>46051</v>
      </c>
      <c r="W612" t="s">
        <v>38</v>
      </c>
      <c r="X612">
        <v>12</v>
      </c>
      <c r="Y612" t="s">
        <v>39</v>
      </c>
      <c r="AA612" t="s">
        <v>40</v>
      </c>
      <c r="AB612">
        <v>1</v>
      </c>
      <c r="AC612" t="s">
        <v>41</v>
      </c>
      <c r="AD612" t="s">
        <v>48</v>
      </c>
      <c r="AE612" t="s">
        <v>43</v>
      </c>
      <c r="AF612" t="s">
        <v>47</v>
      </c>
      <c r="AG612" t="str">
        <f t="shared" si="9"/>
        <v>À Vista</v>
      </c>
      <c r="AH612" t="str">
        <f>IF(AND(SUMIF(E:E,E612,I:I)&gt;=400000,Q612="B2G"),"n","")</f>
        <v/>
      </c>
    </row>
    <row r="613" spans="1:34">
      <c r="A613">
        <v>2026</v>
      </c>
      <c r="B613">
        <v>1</v>
      </c>
      <c r="C613" s="83">
        <v>19485926708</v>
      </c>
      <c r="D613" t="s">
        <v>680</v>
      </c>
      <c r="E613">
        <v>53956383823</v>
      </c>
      <c r="F613">
        <v>636125</v>
      </c>
      <c r="G613">
        <v>50350801480</v>
      </c>
      <c r="H613" t="s">
        <v>35</v>
      </c>
      <c r="I613" s="36">
        <v>2899.5</v>
      </c>
      <c r="J613" s="36">
        <v>2899.5</v>
      </c>
      <c r="K613" s="85">
        <v>0</v>
      </c>
      <c r="L613" s="36">
        <v>241.625</v>
      </c>
      <c r="M613" s="36">
        <v>0</v>
      </c>
      <c r="N613" s="36">
        <v>0</v>
      </c>
      <c r="O613" s="36">
        <v>0</v>
      </c>
      <c r="P613" t="s">
        <v>66</v>
      </c>
      <c r="Q613" t="s">
        <v>37</v>
      </c>
      <c r="R613" t="s">
        <v>37</v>
      </c>
      <c r="S613" s="1">
        <v>46051</v>
      </c>
      <c r="T613" s="1">
        <v>46051</v>
      </c>
      <c r="W613" t="s">
        <v>38</v>
      </c>
      <c r="X613">
        <v>12</v>
      </c>
      <c r="Y613" t="s">
        <v>39</v>
      </c>
      <c r="AA613" t="s">
        <v>40</v>
      </c>
      <c r="AB613">
        <v>1</v>
      </c>
      <c r="AC613" t="s">
        <v>41</v>
      </c>
      <c r="AD613" t="s">
        <v>48</v>
      </c>
      <c r="AE613" t="s">
        <v>43</v>
      </c>
      <c r="AF613" t="s">
        <v>47</v>
      </c>
      <c r="AG613" t="str">
        <f t="shared" si="9"/>
        <v>À Vista</v>
      </c>
      <c r="AH613" t="str">
        <f>IF(AND(SUMIF(E:E,E613,I:I)&gt;=400000,Q613="B2G"),"n","")</f>
        <v/>
      </c>
    </row>
    <row r="614" spans="1:34">
      <c r="A614">
        <v>2026</v>
      </c>
      <c r="B614">
        <v>1</v>
      </c>
      <c r="C614" s="83">
        <v>2113476</v>
      </c>
      <c r="D614" t="s">
        <v>681</v>
      </c>
      <c r="E614">
        <v>53974114732</v>
      </c>
      <c r="F614">
        <v>635596</v>
      </c>
      <c r="G614">
        <v>49007734359</v>
      </c>
      <c r="H614" t="s">
        <v>104</v>
      </c>
      <c r="I614" s="36">
        <v>718.8</v>
      </c>
      <c r="J614" s="36">
        <v>718.8</v>
      </c>
      <c r="K614" s="85">
        <v>0</v>
      </c>
      <c r="L614" s="36">
        <v>59.9</v>
      </c>
      <c r="M614" s="36">
        <v>59.9</v>
      </c>
      <c r="N614" s="36">
        <v>0</v>
      </c>
      <c r="O614" s="36">
        <v>0</v>
      </c>
      <c r="P614" t="s">
        <v>562</v>
      </c>
      <c r="Q614" t="s">
        <v>498</v>
      </c>
      <c r="R614" t="s">
        <v>498</v>
      </c>
      <c r="S614" s="1">
        <v>46037</v>
      </c>
      <c r="T614" s="1">
        <v>46037</v>
      </c>
      <c r="V614" s="1">
        <v>46402</v>
      </c>
      <c r="W614" t="s">
        <v>38</v>
      </c>
      <c r="X614">
        <v>12</v>
      </c>
      <c r="Y614" t="s">
        <v>49</v>
      </c>
      <c r="AA614" t="s">
        <v>112</v>
      </c>
      <c r="AB614">
        <v>5</v>
      </c>
      <c r="AC614" t="s">
        <v>499</v>
      </c>
      <c r="AD614" t="s">
        <v>105</v>
      </c>
      <c r="AE614" t="s">
        <v>106</v>
      </c>
      <c r="AF614" t="s">
        <v>59</v>
      </c>
      <c r="AG614" t="str">
        <f t="shared" si="9"/>
        <v>CC 12x</v>
      </c>
      <c r="AH614" t="str">
        <f>IF(AND(SUMIF(E:E,E614,I:I)&gt;=400000,Q614="B2G"),"n","")</f>
        <v/>
      </c>
    </row>
    <row r="615" spans="1:34">
      <c r="A615">
        <v>2026</v>
      </c>
      <c r="B615">
        <v>1</v>
      </c>
      <c r="C615" s="83">
        <v>193308781095</v>
      </c>
      <c r="D615" t="s">
        <v>682</v>
      </c>
      <c r="E615">
        <v>53974114908</v>
      </c>
      <c r="F615">
        <v>635597</v>
      </c>
      <c r="G615">
        <v>49128278151</v>
      </c>
      <c r="H615" t="s">
        <v>35</v>
      </c>
      <c r="I615" s="36">
        <v>2874</v>
      </c>
      <c r="J615" s="36">
        <v>2874</v>
      </c>
      <c r="K615" s="85">
        <v>0</v>
      </c>
      <c r="L615" s="36">
        <v>239.5</v>
      </c>
      <c r="M615" s="36">
        <v>239.5</v>
      </c>
      <c r="N615" s="36">
        <v>0</v>
      </c>
      <c r="O615" s="36">
        <v>0</v>
      </c>
      <c r="P615" t="s">
        <v>562</v>
      </c>
      <c r="Q615" t="s">
        <v>498</v>
      </c>
      <c r="R615" t="s">
        <v>498</v>
      </c>
      <c r="S615" s="1">
        <v>46037</v>
      </c>
      <c r="T615" s="1">
        <v>46037</v>
      </c>
      <c r="V615" s="1">
        <v>46402</v>
      </c>
      <c r="W615" t="s">
        <v>38</v>
      </c>
      <c r="X615">
        <v>12</v>
      </c>
      <c r="Y615" t="s">
        <v>49</v>
      </c>
      <c r="AA615" t="s">
        <v>112</v>
      </c>
      <c r="AB615">
        <v>12</v>
      </c>
      <c r="AC615" t="s">
        <v>499</v>
      </c>
      <c r="AD615" t="s">
        <v>140</v>
      </c>
      <c r="AE615" t="s">
        <v>46</v>
      </c>
      <c r="AF615" t="s">
        <v>119</v>
      </c>
      <c r="AG615" t="str">
        <f t="shared" si="9"/>
        <v>CC 12x</v>
      </c>
      <c r="AH615" t="str">
        <f>IF(AND(SUMIF(E:E,E615,I:I)&gt;=400000,Q615="B2G"),"n","")</f>
        <v/>
      </c>
    </row>
    <row r="616" spans="1:34">
      <c r="A616">
        <v>2026</v>
      </c>
      <c r="B616">
        <v>1</v>
      </c>
      <c r="C616" s="83">
        <v>19435586202</v>
      </c>
      <c r="D616" t="s">
        <v>683</v>
      </c>
      <c r="E616">
        <v>53974123599</v>
      </c>
      <c r="F616">
        <v>635621</v>
      </c>
      <c r="G616">
        <v>49321041991</v>
      </c>
      <c r="H616" t="s">
        <v>104</v>
      </c>
      <c r="I616" s="36">
        <v>30000</v>
      </c>
      <c r="J616" s="36">
        <v>0</v>
      </c>
      <c r="K616" s="85">
        <v>0</v>
      </c>
      <c r="L616" s="36">
        <v>0</v>
      </c>
      <c r="M616" s="36">
        <v>0</v>
      </c>
      <c r="N616" s="36">
        <v>0</v>
      </c>
      <c r="O616" s="36">
        <v>0</v>
      </c>
      <c r="P616" t="s">
        <v>684</v>
      </c>
      <c r="Q616" t="s">
        <v>79</v>
      </c>
      <c r="R616" t="s">
        <v>80</v>
      </c>
      <c r="S616" s="1">
        <v>46038</v>
      </c>
      <c r="T616" s="1">
        <v>46038</v>
      </c>
      <c r="V616" s="1">
        <v>46403</v>
      </c>
      <c r="W616" t="s">
        <v>38</v>
      </c>
      <c r="X616">
        <v>12</v>
      </c>
      <c r="Y616" t="s">
        <v>104</v>
      </c>
      <c r="AA616" t="s">
        <v>40</v>
      </c>
      <c r="AB616">
        <v>1</v>
      </c>
      <c r="AC616" t="s">
        <v>83</v>
      </c>
      <c r="AD616" t="s">
        <v>685</v>
      </c>
      <c r="AE616" t="s">
        <v>106</v>
      </c>
      <c r="AF616" t="s">
        <v>59</v>
      </c>
      <c r="AG616" t="str">
        <f t="shared" si="9"/>
        <v>À Vista</v>
      </c>
      <c r="AH616" t="str">
        <f>IF(AND(SUMIF(E:E,E616,I:I)&gt;=400000,Q616="B2G"),"n","")</f>
        <v/>
      </c>
    </row>
    <row r="617" spans="1:34">
      <c r="A617">
        <v>2026</v>
      </c>
      <c r="B617">
        <v>1</v>
      </c>
      <c r="C617" s="83">
        <v>2134774</v>
      </c>
      <c r="D617" t="s">
        <v>686</v>
      </c>
      <c r="E617">
        <v>53980474895</v>
      </c>
      <c r="F617">
        <v>537297</v>
      </c>
      <c r="G617">
        <v>50060429155</v>
      </c>
      <c r="H617" t="s">
        <v>35</v>
      </c>
      <c r="I617" s="36">
        <v>1071.8399999999999</v>
      </c>
      <c r="J617" s="36">
        <v>2737.9</v>
      </c>
      <c r="K617" s="85">
        <v>0</v>
      </c>
      <c r="L617" s="36">
        <v>228.16</v>
      </c>
      <c r="M617" s="36">
        <v>0</v>
      </c>
      <c r="N617" s="36">
        <v>228.16</v>
      </c>
      <c r="O617" s="36">
        <v>0</v>
      </c>
      <c r="P617" t="s">
        <v>469</v>
      </c>
      <c r="Q617" t="s">
        <v>191</v>
      </c>
      <c r="R617" t="s">
        <v>191</v>
      </c>
      <c r="S617" s="1">
        <v>46050</v>
      </c>
      <c r="T617" s="1">
        <v>46050</v>
      </c>
      <c r="V617" s="1">
        <v>46193</v>
      </c>
      <c r="W617" t="s">
        <v>56</v>
      </c>
      <c r="X617">
        <v>5</v>
      </c>
      <c r="Y617" t="s">
        <v>49</v>
      </c>
      <c r="Z617" t="s">
        <v>324</v>
      </c>
      <c r="AA617" t="s">
        <v>122</v>
      </c>
      <c r="AB617">
        <v>4</v>
      </c>
      <c r="AC617" t="s">
        <v>192</v>
      </c>
      <c r="AD617" t="s">
        <v>85</v>
      </c>
      <c r="AE617" t="s">
        <v>46</v>
      </c>
      <c r="AF617" t="s">
        <v>44</v>
      </c>
      <c r="AG617" t="str">
        <f t="shared" si="9"/>
        <v>Recorrente</v>
      </c>
      <c r="AH617" t="str">
        <f>IF(AND(SUMIF(E:E,E617,I:I)&gt;=400000,Q617="B2G"),"n","")</f>
        <v/>
      </c>
    </row>
    <row r="618" spans="1:34">
      <c r="A618">
        <v>2026</v>
      </c>
      <c r="B618">
        <v>1</v>
      </c>
      <c r="C618" s="83">
        <v>22662101768</v>
      </c>
      <c r="D618" t="s">
        <v>687</v>
      </c>
      <c r="E618">
        <v>53998856603</v>
      </c>
      <c r="F618">
        <v>635638</v>
      </c>
      <c r="G618">
        <v>49450866481</v>
      </c>
      <c r="H618" t="s">
        <v>35</v>
      </c>
      <c r="I618" s="36">
        <v>5514</v>
      </c>
      <c r="J618" s="36">
        <v>5514</v>
      </c>
      <c r="K618" s="85">
        <v>0</v>
      </c>
      <c r="L618" s="36">
        <v>459.5</v>
      </c>
      <c r="M618" s="36">
        <v>459.5</v>
      </c>
      <c r="N618" s="36">
        <v>0</v>
      </c>
      <c r="O618" s="36">
        <v>0</v>
      </c>
      <c r="P618" t="s">
        <v>129</v>
      </c>
      <c r="Q618" t="s">
        <v>91</v>
      </c>
      <c r="R618" t="s">
        <v>91</v>
      </c>
      <c r="S618" s="1">
        <v>46041</v>
      </c>
      <c r="T618" s="1">
        <v>46041</v>
      </c>
      <c r="V618" s="1">
        <v>46406</v>
      </c>
      <c r="W618" t="s">
        <v>38</v>
      </c>
      <c r="X618">
        <v>12</v>
      </c>
      <c r="Y618" t="s">
        <v>49</v>
      </c>
      <c r="AA618" t="s">
        <v>92</v>
      </c>
      <c r="AB618">
        <v>12</v>
      </c>
      <c r="AC618" t="s">
        <v>93</v>
      </c>
      <c r="AD618" t="s">
        <v>138</v>
      </c>
      <c r="AE618" t="s">
        <v>135</v>
      </c>
      <c r="AF618" t="s">
        <v>119</v>
      </c>
      <c r="AG618" t="str">
        <f t="shared" si="9"/>
        <v>Recorrente</v>
      </c>
      <c r="AH618" t="str">
        <f>IF(AND(SUMIF(E:E,E618,I:I)&gt;=400000,Q618="B2G"),"n","")</f>
        <v/>
      </c>
    </row>
    <row r="619" spans="1:34">
      <c r="A619">
        <v>2026</v>
      </c>
      <c r="B619">
        <v>1</v>
      </c>
      <c r="C619" s="83">
        <v>189414309970</v>
      </c>
      <c r="D619" t="s">
        <v>688</v>
      </c>
      <c r="E619">
        <v>53999740328</v>
      </c>
      <c r="F619">
        <v>635624</v>
      </c>
      <c r="G619">
        <v>49362707372</v>
      </c>
      <c r="H619" t="s">
        <v>35</v>
      </c>
      <c r="I619" s="36">
        <v>2529.12</v>
      </c>
      <c r="J619" s="36">
        <v>2529.12</v>
      </c>
      <c r="K619" s="85">
        <v>0</v>
      </c>
      <c r="L619" s="36">
        <v>210.76</v>
      </c>
      <c r="M619" s="36">
        <v>210.76</v>
      </c>
      <c r="N619" s="36">
        <v>0</v>
      </c>
      <c r="O619" s="36">
        <v>0</v>
      </c>
      <c r="P619" t="s">
        <v>299</v>
      </c>
      <c r="Q619" t="s">
        <v>300</v>
      </c>
      <c r="R619" t="s">
        <v>300</v>
      </c>
      <c r="S619" s="1">
        <v>46038</v>
      </c>
      <c r="T619" s="1">
        <v>46038</v>
      </c>
      <c r="V619" s="1">
        <v>46403</v>
      </c>
      <c r="W619" t="s">
        <v>38</v>
      </c>
      <c r="X619">
        <v>12</v>
      </c>
      <c r="Y619" t="s">
        <v>49</v>
      </c>
      <c r="AA619" t="s">
        <v>112</v>
      </c>
      <c r="AB619">
        <v>12</v>
      </c>
      <c r="AC619" t="s">
        <v>301</v>
      </c>
      <c r="AD619" t="s">
        <v>140</v>
      </c>
      <c r="AE619" t="s">
        <v>46</v>
      </c>
      <c r="AF619" t="s">
        <v>119</v>
      </c>
      <c r="AG619" t="str">
        <f t="shared" si="9"/>
        <v>CC 12x</v>
      </c>
      <c r="AH619" t="str">
        <f>IF(AND(SUMIF(E:E,E619,I:I)&gt;=400000,Q619="B2G"),"n","")</f>
        <v/>
      </c>
    </row>
    <row r="620" spans="1:34">
      <c r="A620">
        <v>2026</v>
      </c>
      <c r="B620">
        <v>1</v>
      </c>
      <c r="C620" s="83">
        <v>193867375131</v>
      </c>
      <c r="D620" t="s">
        <v>689</v>
      </c>
      <c r="E620">
        <v>54003649059</v>
      </c>
      <c r="F620">
        <v>635630</v>
      </c>
      <c r="G620">
        <v>49362709510</v>
      </c>
      <c r="H620" t="s">
        <v>35</v>
      </c>
      <c r="I620" s="36">
        <v>2586.6</v>
      </c>
      <c r="J620" s="36">
        <v>2586.6</v>
      </c>
      <c r="K620" s="85">
        <v>0</v>
      </c>
      <c r="L620" s="36">
        <v>215.55</v>
      </c>
      <c r="M620" s="36">
        <v>215.55</v>
      </c>
      <c r="N620" s="36">
        <v>0</v>
      </c>
      <c r="O620" s="36">
        <v>0</v>
      </c>
      <c r="P620" t="s">
        <v>511</v>
      </c>
      <c r="Q620" t="s">
        <v>300</v>
      </c>
      <c r="R620" t="s">
        <v>300</v>
      </c>
      <c r="S620" s="1">
        <v>46038</v>
      </c>
      <c r="T620" s="1">
        <v>46038</v>
      </c>
      <c r="V620" s="1">
        <v>46403</v>
      </c>
      <c r="W620" t="s">
        <v>38</v>
      </c>
      <c r="X620">
        <v>12</v>
      </c>
      <c r="Y620" t="s">
        <v>49</v>
      </c>
      <c r="AA620" t="s">
        <v>112</v>
      </c>
      <c r="AB620">
        <v>12</v>
      </c>
      <c r="AC620" t="s">
        <v>301</v>
      </c>
      <c r="AD620" t="s">
        <v>140</v>
      </c>
      <c r="AE620" t="s">
        <v>46</v>
      </c>
      <c r="AF620" t="s">
        <v>119</v>
      </c>
      <c r="AG620" t="str">
        <f t="shared" si="9"/>
        <v>CC 12x</v>
      </c>
      <c r="AH620" t="str">
        <f>IF(AND(SUMIF(E:E,E620,I:I)&gt;=400000,Q620="B2G"),"n","")</f>
        <v/>
      </c>
    </row>
    <row r="621" spans="1:34">
      <c r="A621">
        <v>2026</v>
      </c>
      <c r="B621">
        <v>1</v>
      </c>
      <c r="C621" s="83">
        <v>2124243</v>
      </c>
      <c r="D621" t="s">
        <v>690</v>
      </c>
      <c r="E621">
        <v>54003935614</v>
      </c>
      <c r="F621">
        <v>324590</v>
      </c>
      <c r="G621">
        <v>49362937993</v>
      </c>
      <c r="H621" t="s">
        <v>35</v>
      </c>
      <c r="I621" s="36">
        <v>10383.84</v>
      </c>
      <c r="J621" s="36">
        <v>3842.88</v>
      </c>
      <c r="K621" s="85">
        <v>6540.96</v>
      </c>
      <c r="L621" s="36">
        <v>320.24</v>
      </c>
      <c r="M621" s="36">
        <v>0</v>
      </c>
      <c r="N621" s="36">
        <v>320.24</v>
      </c>
      <c r="O621" s="36">
        <v>0</v>
      </c>
      <c r="P621" t="s">
        <v>323</v>
      </c>
      <c r="Q621" t="s">
        <v>191</v>
      </c>
      <c r="R621" t="s">
        <v>191</v>
      </c>
      <c r="S621" s="1">
        <v>46038</v>
      </c>
      <c r="T621" s="1">
        <v>46038</v>
      </c>
      <c r="V621" s="1">
        <v>47025</v>
      </c>
      <c r="W621" t="s">
        <v>691</v>
      </c>
      <c r="X621">
        <v>32</v>
      </c>
      <c r="Y621" t="s">
        <v>49</v>
      </c>
      <c r="Z621" t="s">
        <v>324</v>
      </c>
      <c r="AA621" t="s">
        <v>122</v>
      </c>
      <c r="AB621">
        <v>32</v>
      </c>
      <c r="AC621" t="s">
        <v>192</v>
      </c>
      <c r="AD621" t="s">
        <v>134</v>
      </c>
      <c r="AE621" t="s">
        <v>135</v>
      </c>
      <c r="AF621" t="s">
        <v>44</v>
      </c>
      <c r="AG621" t="str">
        <f t="shared" si="9"/>
        <v>Recorrente</v>
      </c>
      <c r="AH621" t="str">
        <f>IF(AND(SUMIF(E:E,E621,I:I)&gt;=400000,Q621="B2G"),"n","")</f>
        <v/>
      </c>
    </row>
    <row r="622" spans="1:34">
      <c r="A622">
        <v>2026</v>
      </c>
      <c r="B622">
        <v>1</v>
      </c>
      <c r="C622" s="83">
        <v>142739601326</v>
      </c>
      <c r="D622" t="s">
        <v>692</v>
      </c>
      <c r="E622">
        <v>54007560030</v>
      </c>
      <c r="F622">
        <v>635616</v>
      </c>
      <c r="G622">
        <v>49362566266</v>
      </c>
      <c r="H622" t="s">
        <v>35</v>
      </c>
      <c r="I622" s="36">
        <v>15948.96</v>
      </c>
      <c r="J622" s="36">
        <v>1875.24</v>
      </c>
      <c r="K622" s="85">
        <v>14073.72</v>
      </c>
      <c r="L622" s="36">
        <v>156.27000000000001</v>
      </c>
      <c r="M622" s="36">
        <v>0</v>
      </c>
      <c r="N622" s="36">
        <v>156.27000000000001</v>
      </c>
      <c r="O622" s="36">
        <v>0</v>
      </c>
      <c r="P622" t="s">
        <v>367</v>
      </c>
      <c r="Q622" t="s">
        <v>191</v>
      </c>
      <c r="R622" t="s">
        <v>191</v>
      </c>
      <c r="S622" s="1">
        <v>46038</v>
      </c>
      <c r="T622" s="1">
        <v>46038</v>
      </c>
      <c r="V622" s="1">
        <v>46768</v>
      </c>
      <c r="W622" t="s">
        <v>56</v>
      </c>
      <c r="Y622" t="s">
        <v>49</v>
      </c>
      <c r="AA622" t="s">
        <v>122</v>
      </c>
      <c r="AB622">
        <v>24</v>
      </c>
      <c r="AC622" t="s">
        <v>192</v>
      </c>
      <c r="AD622" t="s">
        <v>131</v>
      </c>
      <c r="AE622" t="s">
        <v>46</v>
      </c>
      <c r="AF622" t="s">
        <v>96</v>
      </c>
      <c r="AG622" t="str">
        <f t="shared" si="9"/>
        <v>Recorrente</v>
      </c>
      <c r="AH622" t="str">
        <f>IF(AND(SUMIF(E:E,E622,I:I)&gt;=400000,Q622="B2G"),"n","")</f>
        <v/>
      </c>
    </row>
    <row r="623" spans="1:34">
      <c r="A623">
        <v>2026</v>
      </c>
      <c r="B623">
        <v>1</v>
      </c>
      <c r="C623" s="83">
        <v>142739601326</v>
      </c>
      <c r="D623" t="s">
        <v>692</v>
      </c>
      <c r="E623">
        <v>54007560030</v>
      </c>
      <c r="F623">
        <v>635616</v>
      </c>
      <c r="G623">
        <v>49362566267</v>
      </c>
      <c r="H623" t="s">
        <v>35</v>
      </c>
      <c r="I623" s="36">
        <v>13888.8</v>
      </c>
      <c r="J623" s="36">
        <v>1633.02</v>
      </c>
      <c r="K623" s="85">
        <v>12255.78</v>
      </c>
      <c r="L623" s="36">
        <v>136.08000000000001</v>
      </c>
      <c r="M623" s="36">
        <v>0</v>
      </c>
      <c r="N623" s="36">
        <v>136.08000000000001</v>
      </c>
      <c r="O623" s="36">
        <v>0</v>
      </c>
      <c r="P623" t="s">
        <v>367</v>
      </c>
      <c r="Q623" t="s">
        <v>191</v>
      </c>
      <c r="R623" t="s">
        <v>191</v>
      </c>
      <c r="S623" s="1">
        <v>46038</v>
      </c>
      <c r="T623" s="1">
        <v>46038</v>
      </c>
      <c r="V623" s="1">
        <v>46768</v>
      </c>
      <c r="W623" t="s">
        <v>56</v>
      </c>
      <c r="Y623" t="s">
        <v>49</v>
      </c>
      <c r="AA623" t="s">
        <v>122</v>
      </c>
      <c r="AB623">
        <v>24</v>
      </c>
      <c r="AC623" t="s">
        <v>192</v>
      </c>
      <c r="AD623" t="s">
        <v>125</v>
      </c>
      <c r="AE623" t="s">
        <v>43</v>
      </c>
      <c r="AF623" t="s">
        <v>47</v>
      </c>
      <c r="AG623" t="str">
        <f t="shared" si="9"/>
        <v>Recorrente</v>
      </c>
      <c r="AH623" t="str">
        <f>IF(AND(SUMIF(E:E,E623,I:I)&gt;=400000,Q623="B2G"),"n","")</f>
        <v/>
      </c>
    </row>
    <row r="624" spans="1:34">
      <c r="A624">
        <v>2026</v>
      </c>
      <c r="B624">
        <v>1</v>
      </c>
      <c r="C624" s="83">
        <v>142739601326</v>
      </c>
      <c r="D624" t="s">
        <v>692</v>
      </c>
      <c r="E624">
        <v>54007560030</v>
      </c>
      <c r="F624">
        <v>635616</v>
      </c>
      <c r="G624">
        <v>49362566268</v>
      </c>
      <c r="H624" t="s">
        <v>35</v>
      </c>
      <c r="I624" s="36">
        <v>1592.88</v>
      </c>
      <c r="J624" s="36">
        <v>187.3</v>
      </c>
      <c r="K624" s="85">
        <v>1405.58</v>
      </c>
      <c r="L624" s="36">
        <v>15.61</v>
      </c>
      <c r="M624" s="36">
        <v>0</v>
      </c>
      <c r="N624" s="36">
        <v>15.61</v>
      </c>
      <c r="O624" s="36">
        <v>0</v>
      </c>
      <c r="P624" t="s">
        <v>367</v>
      </c>
      <c r="Q624" t="s">
        <v>191</v>
      </c>
      <c r="R624" t="s">
        <v>191</v>
      </c>
      <c r="S624" s="1">
        <v>46038</v>
      </c>
      <c r="T624" s="1">
        <v>46038</v>
      </c>
      <c r="V624" s="1">
        <v>46768</v>
      </c>
      <c r="W624" t="s">
        <v>56</v>
      </c>
      <c r="Y624" t="s">
        <v>49</v>
      </c>
      <c r="AA624" t="s">
        <v>122</v>
      </c>
      <c r="AB624">
        <v>24</v>
      </c>
      <c r="AC624" t="s">
        <v>192</v>
      </c>
      <c r="AD624" t="s">
        <v>243</v>
      </c>
      <c r="AE624" t="s">
        <v>95</v>
      </c>
      <c r="AF624" t="s">
        <v>244</v>
      </c>
      <c r="AG624" t="str">
        <f t="shared" si="9"/>
        <v>Recorrente</v>
      </c>
      <c r="AH624" t="str">
        <f>IF(AND(SUMIF(E:E,E624,I:I)&gt;=400000,Q624="B2G"),"n","")</f>
        <v/>
      </c>
    </row>
    <row r="625" spans="1:34">
      <c r="A625">
        <v>2026</v>
      </c>
      <c r="B625">
        <v>1</v>
      </c>
      <c r="C625" s="83">
        <v>142739601326</v>
      </c>
      <c r="D625" t="s">
        <v>692</v>
      </c>
      <c r="E625">
        <v>54007560030</v>
      </c>
      <c r="F625">
        <v>635616</v>
      </c>
      <c r="G625">
        <v>49362566269</v>
      </c>
      <c r="H625" t="s">
        <v>35</v>
      </c>
      <c r="I625" s="36">
        <v>13795.44</v>
      </c>
      <c r="J625" s="36">
        <v>1622.02</v>
      </c>
      <c r="K625" s="85">
        <v>12173.42</v>
      </c>
      <c r="L625" s="36">
        <v>135.16999999999999</v>
      </c>
      <c r="M625" s="36">
        <v>0</v>
      </c>
      <c r="N625" s="36">
        <v>135.16999999999999</v>
      </c>
      <c r="O625" s="36">
        <v>0</v>
      </c>
      <c r="P625" t="s">
        <v>367</v>
      </c>
      <c r="Q625" t="s">
        <v>191</v>
      </c>
      <c r="R625" t="s">
        <v>191</v>
      </c>
      <c r="S625" s="1">
        <v>46038</v>
      </c>
      <c r="T625" s="1">
        <v>46038</v>
      </c>
      <c r="V625" s="1">
        <v>46768</v>
      </c>
      <c r="W625" t="s">
        <v>56</v>
      </c>
      <c r="Y625" t="s">
        <v>49</v>
      </c>
      <c r="AA625" t="s">
        <v>122</v>
      </c>
      <c r="AB625">
        <v>24</v>
      </c>
      <c r="AC625" t="s">
        <v>192</v>
      </c>
      <c r="AD625" t="s">
        <v>125</v>
      </c>
      <c r="AE625" t="s">
        <v>43</v>
      </c>
      <c r="AF625" t="s">
        <v>47</v>
      </c>
      <c r="AG625" t="str">
        <f t="shared" si="9"/>
        <v>Recorrente</v>
      </c>
      <c r="AH625" t="str">
        <f>IF(AND(SUMIF(E:E,E625,I:I)&gt;=400000,Q625="B2G"),"n","")</f>
        <v/>
      </c>
    </row>
    <row r="626" spans="1:34">
      <c r="A626">
        <v>2026</v>
      </c>
      <c r="B626">
        <v>1</v>
      </c>
      <c r="C626" s="83">
        <v>19485504153</v>
      </c>
      <c r="D626" t="s">
        <v>693</v>
      </c>
      <c r="E626">
        <v>54016613913</v>
      </c>
      <c r="F626">
        <v>635758</v>
      </c>
      <c r="G626">
        <v>49949990480</v>
      </c>
      <c r="H626" t="s">
        <v>35</v>
      </c>
      <c r="I626" s="36">
        <v>8457.1200000000008</v>
      </c>
      <c r="J626" s="36">
        <v>8457.1200000000008</v>
      </c>
      <c r="K626" s="85">
        <v>0</v>
      </c>
      <c r="L626" s="36">
        <v>704.76</v>
      </c>
      <c r="M626" s="36">
        <v>704.76</v>
      </c>
      <c r="N626" s="36">
        <v>0</v>
      </c>
      <c r="O626" s="36">
        <v>0</v>
      </c>
      <c r="P626" t="s">
        <v>361</v>
      </c>
      <c r="Q626" t="s">
        <v>349</v>
      </c>
      <c r="R626" t="s">
        <v>349</v>
      </c>
      <c r="S626" s="1">
        <v>46049</v>
      </c>
      <c r="T626" s="1">
        <v>46049</v>
      </c>
      <c r="V626" s="1">
        <v>46414</v>
      </c>
      <c r="W626" t="s">
        <v>38</v>
      </c>
      <c r="X626">
        <v>12</v>
      </c>
      <c r="Y626" t="s">
        <v>49</v>
      </c>
      <c r="AA626" t="s">
        <v>82</v>
      </c>
      <c r="AB626">
        <v>1</v>
      </c>
      <c r="AC626" t="s">
        <v>350</v>
      </c>
      <c r="AD626" t="s">
        <v>84</v>
      </c>
      <c r="AE626" t="s">
        <v>43</v>
      </c>
      <c r="AF626" t="s">
        <v>44</v>
      </c>
      <c r="AG626" t="str">
        <f t="shared" si="9"/>
        <v>À Vista</v>
      </c>
      <c r="AH626" t="str">
        <f>IF(AND(SUMIF(E:E,E626,I:I)&gt;=400000,Q626="B2G"),"n","")</f>
        <v/>
      </c>
    </row>
    <row r="627" spans="1:34">
      <c r="A627">
        <v>2026</v>
      </c>
      <c r="B627">
        <v>1</v>
      </c>
      <c r="C627" s="83">
        <v>95557635729</v>
      </c>
      <c r="D627" t="s">
        <v>694</v>
      </c>
      <c r="E627">
        <v>54016793096</v>
      </c>
      <c r="F627">
        <v>626043</v>
      </c>
      <c r="G627">
        <v>49571742080</v>
      </c>
      <c r="H627" t="s">
        <v>35</v>
      </c>
      <c r="I627" s="36">
        <v>7553.4</v>
      </c>
      <c r="J627" s="36">
        <v>7553.4</v>
      </c>
      <c r="K627" s="85">
        <v>0</v>
      </c>
      <c r="L627" s="36">
        <v>629.45000000000005</v>
      </c>
      <c r="M627" s="36">
        <v>0</v>
      </c>
      <c r="N627" s="36">
        <v>135.30000000000001</v>
      </c>
      <c r="O627" s="36">
        <v>494.15</v>
      </c>
      <c r="P627" t="s">
        <v>162</v>
      </c>
      <c r="Q627" t="s">
        <v>111</v>
      </c>
      <c r="R627" t="s">
        <v>111</v>
      </c>
      <c r="S627" s="1">
        <v>46052</v>
      </c>
      <c r="T627" s="1">
        <v>46052</v>
      </c>
      <c r="U627" s="1">
        <v>46053</v>
      </c>
      <c r="V627" s="1">
        <v>46418</v>
      </c>
      <c r="W627" t="s">
        <v>38</v>
      </c>
      <c r="X627">
        <v>12</v>
      </c>
      <c r="Y627" t="s">
        <v>49</v>
      </c>
      <c r="Z627" t="s">
        <v>81</v>
      </c>
      <c r="AA627" t="s">
        <v>122</v>
      </c>
      <c r="AB627">
        <v>12</v>
      </c>
      <c r="AC627" t="s">
        <v>113</v>
      </c>
      <c r="AD627" t="s">
        <v>134</v>
      </c>
      <c r="AE627" t="s">
        <v>135</v>
      </c>
      <c r="AF627" t="s">
        <v>44</v>
      </c>
      <c r="AG627" t="str">
        <f t="shared" si="9"/>
        <v>Recorrente</v>
      </c>
      <c r="AH627" t="str">
        <f>IF(AND(SUMIF(E:E,E627,I:I)&gt;=400000,Q627="B2G"),"n","")</f>
        <v/>
      </c>
    </row>
    <row r="628" spans="1:34">
      <c r="A628">
        <v>2026</v>
      </c>
      <c r="B628">
        <v>1</v>
      </c>
      <c r="C628" s="83">
        <v>49068050987</v>
      </c>
      <c r="D628" t="s">
        <v>695</v>
      </c>
      <c r="E628">
        <v>54018629741</v>
      </c>
      <c r="F628">
        <v>635623</v>
      </c>
      <c r="G628">
        <v>49362871730</v>
      </c>
      <c r="H628" t="s">
        <v>35</v>
      </c>
      <c r="I628" s="36">
        <v>6163.32</v>
      </c>
      <c r="J628" s="36">
        <v>6163.38</v>
      </c>
      <c r="K628" s="85">
        <v>0</v>
      </c>
      <c r="L628" s="36">
        <v>513.62</v>
      </c>
      <c r="M628" s="36">
        <v>513.62</v>
      </c>
      <c r="N628" s="36">
        <v>0</v>
      </c>
      <c r="O628" s="36">
        <v>0</v>
      </c>
      <c r="P628" t="s">
        <v>361</v>
      </c>
      <c r="Q628" t="s">
        <v>349</v>
      </c>
      <c r="R628" t="s">
        <v>349</v>
      </c>
      <c r="S628" s="1">
        <v>46038</v>
      </c>
      <c r="T628" s="1">
        <v>46038</v>
      </c>
      <c r="V628" s="1">
        <v>46403</v>
      </c>
      <c r="W628" t="s">
        <v>38</v>
      </c>
      <c r="X628">
        <v>12</v>
      </c>
      <c r="Y628" t="s">
        <v>49</v>
      </c>
      <c r="AA628" t="s">
        <v>112</v>
      </c>
      <c r="AB628">
        <v>12</v>
      </c>
      <c r="AC628" t="s">
        <v>350</v>
      </c>
      <c r="AD628" t="s">
        <v>149</v>
      </c>
      <c r="AE628" t="s">
        <v>43</v>
      </c>
      <c r="AF628" t="s">
        <v>96</v>
      </c>
      <c r="AG628" t="str">
        <f t="shared" si="9"/>
        <v>CC 12x</v>
      </c>
      <c r="AH628" t="str">
        <f>IF(AND(SUMIF(E:E,E628,I:I)&gt;=400000,Q628="B2G"),"n","")</f>
        <v/>
      </c>
    </row>
    <row r="629" spans="1:34">
      <c r="A629">
        <v>2026</v>
      </c>
      <c r="B629">
        <v>1</v>
      </c>
      <c r="C629" s="83">
        <v>193511175181</v>
      </c>
      <c r="D629" t="s">
        <v>696</v>
      </c>
      <c r="E629">
        <v>54025105798</v>
      </c>
      <c r="F629">
        <v>635626</v>
      </c>
      <c r="G629">
        <v>49358494824</v>
      </c>
      <c r="H629" t="s">
        <v>35</v>
      </c>
      <c r="I629" s="36">
        <v>4885.68</v>
      </c>
      <c r="J629" s="36">
        <v>2442.9</v>
      </c>
      <c r="K629" s="85">
        <v>2442.7800000000002</v>
      </c>
      <c r="L629" s="36">
        <v>203.58</v>
      </c>
      <c r="M629" s="36">
        <v>203.58</v>
      </c>
      <c r="N629" s="36">
        <v>0</v>
      </c>
      <c r="O629" s="36">
        <v>0</v>
      </c>
      <c r="P629" t="s">
        <v>313</v>
      </c>
      <c r="Q629" t="s">
        <v>314</v>
      </c>
      <c r="R629" t="s">
        <v>314</v>
      </c>
      <c r="S629" s="1">
        <v>46038</v>
      </c>
      <c r="T629" s="1">
        <v>46038</v>
      </c>
      <c r="V629" s="1">
        <v>46768</v>
      </c>
      <c r="W629" t="s">
        <v>56</v>
      </c>
      <c r="X629">
        <v>24</v>
      </c>
      <c r="Y629" t="s">
        <v>49</v>
      </c>
      <c r="AA629" t="s">
        <v>122</v>
      </c>
      <c r="AB629">
        <v>24</v>
      </c>
      <c r="AC629" t="s">
        <v>315</v>
      </c>
      <c r="AD629" t="s">
        <v>140</v>
      </c>
      <c r="AE629" t="s">
        <v>46</v>
      </c>
      <c r="AF629" t="s">
        <v>119</v>
      </c>
      <c r="AG629" t="str">
        <f t="shared" si="9"/>
        <v>Recorrente</v>
      </c>
      <c r="AH629" t="str">
        <f>IF(AND(SUMIF(E:E,E629,I:I)&gt;=400000,Q629="B2G"),"n","")</f>
        <v/>
      </c>
    </row>
    <row r="630" spans="1:34">
      <c r="A630">
        <v>2026</v>
      </c>
      <c r="B630">
        <v>1</v>
      </c>
      <c r="C630" s="83">
        <v>49203753515</v>
      </c>
      <c r="D630" t="s">
        <v>697</v>
      </c>
      <c r="E630">
        <v>54027600774</v>
      </c>
      <c r="F630">
        <v>635618</v>
      </c>
      <c r="G630">
        <v>49270976025</v>
      </c>
      <c r="H630" t="s">
        <v>35</v>
      </c>
      <c r="I630" s="36">
        <v>2586.6</v>
      </c>
      <c r="J630" s="36">
        <v>2586.6</v>
      </c>
      <c r="K630" s="85">
        <v>0</v>
      </c>
      <c r="L630" s="36">
        <v>215.55</v>
      </c>
      <c r="M630" s="36">
        <v>215.55</v>
      </c>
      <c r="N630" s="36">
        <v>0</v>
      </c>
      <c r="O630" s="36">
        <v>0</v>
      </c>
      <c r="P630" t="s">
        <v>299</v>
      </c>
      <c r="Q630" t="s">
        <v>300</v>
      </c>
      <c r="R630" t="s">
        <v>300</v>
      </c>
      <c r="S630" s="1">
        <v>46038</v>
      </c>
      <c r="T630" s="1">
        <v>46038</v>
      </c>
      <c r="V630" s="1">
        <v>46403</v>
      </c>
      <c r="W630" t="s">
        <v>38</v>
      </c>
      <c r="X630">
        <v>12</v>
      </c>
      <c r="Y630" t="s">
        <v>49</v>
      </c>
      <c r="AA630" t="s">
        <v>112</v>
      </c>
      <c r="AB630">
        <v>12</v>
      </c>
      <c r="AC630" t="s">
        <v>301</v>
      </c>
      <c r="AD630" t="s">
        <v>118</v>
      </c>
      <c r="AE630" t="s">
        <v>43</v>
      </c>
      <c r="AF630" t="s">
        <v>119</v>
      </c>
      <c r="AG630" t="str">
        <f t="shared" si="9"/>
        <v>CC 12x</v>
      </c>
      <c r="AH630" t="str">
        <f>IF(AND(SUMIF(E:E,E630,I:I)&gt;=400000,Q630="B2G"),"n","")</f>
        <v/>
      </c>
    </row>
    <row r="631" spans="1:34">
      <c r="A631">
        <v>2026</v>
      </c>
      <c r="B631">
        <v>1</v>
      </c>
      <c r="C631" s="83">
        <v>179304294410</v>
      </c>
      <c r="D631" t="s">
        <v>698</v>
      </c>
      <c r="E631">
        <v>54028995074</v>
      </c>
      <c r="F631">
        <v>635613</v>
      </c>
      <c r="G631">
        <v>49295592120</v>
      </c>
      <c r="H631" t="s">
        <v>104</v>
      </c>
      <c r="I631" s="36">
        <v>1078.8</v>
      </c>
      <c r="J631" s="36">
        <v>1078.8</v>
      </c>
      <c r="K631" s="85">
        <v>0</v>
      </c>
      <c r="L631" s="36">
        <v>89.9</v>
      </c>
      <c r="M631" s="36">
        <v>89.9</v>
      </c>
      <c r="N631" s="36">
        <v>0</v>
      </c>
      <c r="O631" s="36">
        <v>0</v>
      </c>
      <c r="P631" t="s">
        <v>497</v>
      </c>
      <c r="Q631" t="s">
        <v>498</v>
      </c>
      <c r="R631" t="s">
        <v>498</v>
      </c>
      <c r="S631" s="1">
        <v>46037</v>
      </c>
      <c r="T631" s="1">
        <v>46037</v>
      </c>
      <c r="V631" s="1">
        <v>46402</v>
      </c>
      <c r="W631" t="s">
        <v>38</v>
      </c>
      <c r="X631">
        <v>12</v>
      </c>
      <c r="Y631" t="s">
        <v>49</v>
      </c>
      <c r="AA631" t="s">
        <v>112</v>
      </c>
      <c r="AB631">
        <v>12</v>
      </c>
      <c r="AC631" t="s">
        <v>499</v>
      </c>
      <c r="AD631" t="s">
        <v>699</v>
      </c>
      <c r="AE631" t="s">
        <v>106</v>
      </c>
      <c r="AF631" t="s">
        <v>59</v>
      </c>
      <c r="AG631" t="str">
        <f t="shared" si="9"/>
        <v>CC 12x</v>
      </c>
      <c r="AH631" t="str">
        <f>IF(AND(SUMIF(E:E,E631,I:I)&gt;=400000,Q631="B2G"),"n","")</f>
        <v/>
      </c>
    </row>
    <row r="632" spans="1:34">
      <c r="A632">
        <v>2026</v>
      </c>
      <c r="B632">
        <v>1</v>
      </c>
      <c r="C632" s="83">
        <v>97116500659</v>
      </c>
      <c r="D632" t="s">
        <v>700</v>
      </c>
      <c r="E632">
        <v>54047719734</v>
      </c>
      <c r="F632">
        <v>635650</v>
      </c>
      <c r="G632">
        <v>49624250119</v>
      </c>
      <c r="H632" t="s">
        <v>35</v>
      </c>
      <c r="I632" s="36">
        <v>2442.84</v>
      </c>
      <c r="J632" s="36">
        <v>2442.9</v>
      </c>
      <c r="K632" s="85">
        <v>0</v>
      </c>
      <c r="L632" s="36">
        <v>203.58</v>
      </c>
      <c r="M632" s="36">
        <v>203.58</v>
      </c>
      <c r="N632" s="36">
        <v>0</v>
      </c>
      <c r="O632" s="36">
        <v>0</v>
      </c>
      <c r="P632" t="s">
        <v>313</v>
      </c>
      <c r="Q632" t="s">
        <v>314</v>
      </c>
      <c r="R632" t="s">
        <v>314</v>
      </c>
      <c r="S632" s="1">
        <v>46042</v>
      </c>
      <c r="T632" s="1">
        <v>46042</v>
      </c>
      <c r="V632" s="1">
        <v>46407</v>
      </c>
      <c r="W632" t="s">
        <v>38</v>
      </c>
      <c r="X632">
        <v>12</v>
      </c>
      <c r="Y632" t="s">
        <v>49</v>
      </c>
      <c r="AA632" t="s">
        <v>112</v>
      </c>
      <c r="AB632">
        <v>12</v>
      </c>
      <c r="AC632" t="s">
        <v>315</v>
      </c>
      <c r="AD632" t="s">
        <v>118</v>
      </c>
      <c r="AE632" t="s">
        <v>43</v>
      </c>
      <c r="AF632" t="s">
        <v>119</v>
      </c>
      <c r="AG632" t="str">
        <f t="shared" si="9"/>
        <v>CC 12x</v>
      </c>
      <c r="AH632" t="str">
        <f>IF(AND(SUMIF(E:E,E632,I:I)&gt;=400000,Q632="B2G"),"n","")</f>
        <v/>
      </c>
    </row>
    <row r="633" spans="1:34">
      <c r="A633">
        <v>2026</v>
      </c>
      <c r="B633">
        <v>1</v>
      </c>
      <c r="C633" s="83">
        <v>49203757198</v>
      </c>
      <c r="D633" t="s">
        <v>701</v>
      </c>
      <c r="E633">
        <v>54052137235</v>
      </c>
      <c r="F633">
        <v>526018</v>
      </c>
      <c r="G633">
        <v>49709603191</v>
      </c>
      <c r="H633" t="s">
        <v>35</v>
      </c>
      <c r="I633" s="36">
        <v>11623.2</v>
      </c>
      <c r="J633" s="36">
        <v>11623.2</v>
      </c>
      <c r="K633" s="85">
        <v>0</v>
      </c>
      <c r="L633" s="36">
        <v>968.6</v>
      </c>
      <c r="M633" s="36">
        <v>0</v>
      </c>
      <c r="N633" s="36">
        <v>119.45</v>
      </c>
      <c r="O633" s="36">
        <v>849.15</v>
      </c>
      <c r="P633" t="s">
        <v>110</v>
      </c>
      <c r="Q633" t="s">
        <v>111</v>
      </c>
      <c r="R633" t="s">
        <v>111</v>
      </c>
      <c r="S633" s="1">
        <v>46050</v>
      </c>
      <c r="T633" s="1">
        <v>46050</v>
      </c>
      <c r="U633" s="1">
        <v>46052</v>
      </c>
      <c r="V633" s="1">
        <v>46417</v>
      </c>
      <c r="W633" t="s">
        <v>38</v>
      </c>
      <c r="X633">
        <v>12</v>
      </c>
      <c r="Y633" t="s">
        <v>49</v>
      </c>
      <c r="Z633" t="s">
        <v>81</v>
      </c>
      <c r="AA633" t="s">
        <v>92</v>
      </c>
      <c r="AB633">
        <v>12</v>
      </c>
      <c r="AC633" t="s">
        <v>113</v>
      </c>
      <c r="AD633" t="s">
        <v>154</v>
      </c>
      <c r="AE633" t="s">
        <v>46</v>
      </c>
      <c r="AF633" t="s">
        <v>47</v>
      </c>
      <c r="AG633" t="str">
        <f t="shared" si="9"/>
        <v>Recorrente</v>
      </c>
      <c r="AH633" t="str">
        <f>IF(AND(SUMIF(E:E,E633,I:I)&gt;=400000,Q633="B2G"),"n","")</f>
        <v/>
      </c>
    </row>
    <row r="634" spans="1:34">
      <c r="A634">
        <v>2026</v>
      </c>
      <c r="B634">
        <v>1</v>
      </c>
      <c r="C634" s="83">
        <v>19435564694</v>
      </c>
      <c r="D634" t="s">
        <v>702</v>
      </c>
      <c r="E634">
        <v>54061777520</v>
      </c>
      <c r="F634">
        <v>274201</v>
      </c>
      <c r="G634">
        <v>49270966965</v>
      </c>
      <c r="H634" t="s">
        <v>35</v>
      </c>
      <c r="I634" s="36">
        <v>4161.84</v>
      </c>
      <c r="J634" s="36">
        <v>4161.8599999999997</v>
      </c>
      <c r="K634" s="85">
        <v>0</v>
      </c>
      <c r="L634" s="36">
        <v>346.82</v>
      </c>
      <c r="M634" s="36">
        <v>346.82</v>
      </c>
      <c r="N634" s="36">
        <v>0</v>
      </c>
      <c r="O634" s="36">
        <v>0</v>
      </c>
      <c r="P634" t="s">
        <v>110</v>
      </c>
      <c r="Q634" t="s">
        <v>111</v>
      </c>
      <c r="R634" t="s">
        <v>111</v>
      </c>
      <c r="S634" s="1">
        <v>46038</v>
      </c>
      <c r="T634" s="1">
        <v>46038</v>
      </c>
      <c r="V634" s="1">
        <v>46418</v>
      </c>
      <c r="W634" t="s">
        <v>38</v>
      </c>
      <c r="X634">
        <v>12</v>
      </c>
      <c r="Y634" t="s">
        <v>49</v>
      </c>
      <c r="Z634" t="s">
        <v>76</v>
      </c>
      <c r="AA634" t="s">
        <v>122</v>
      </c>
      <c r="AB634">
        <v>12</v>
      </c>
      <c r="AC634" t="s">
        <v>113</v>
      </c>
      <c r="AD634" t="s">
        <v>163</v>
      </c>
      <c r="AE634" t="s">
        <v>43</v>
      </c>
      <c r="AF634" t="s">
        <v>96</v>
      </c>
      <c r="AG634" t="str">
        <f t="shared" si="9"/>
        <v>Recorrente</v>
      </c>
      <c r="AH634" t="str">
        <f>IF(AND(SUMIF(E:E,E634,I:I)&gt;=400000,Q634="B2G"),"n","")</f>
        <v/>
      </c>
    </row>
    <row r="635" spans="1:34">
      <c r="A635">
        <v>2026</v>
      </c>
      <c r="B635">
        <v>1</v>
      </c>
      <c r="C635" s="83">
        <v>19435481228</v>
      </c>
      <c r="D635" t="s">
        <v>703</v>
      </c>
      <c r="E635">
        <v>54061854378</v>
      </c>
      <c r="F635">
        <v>328310</v>
      </c>
      <c r="G635">
        <v>50274003459</v>
      </c>
      <c r="H635" t="s">
        <v>35</v>
      </c>
      <c r="I635" s="36">
        <v>5184</v>
      </c>
      <c r="J635" s="36">
        <v>5184</v>
      </c>
      <c r="K635" s="85">
        <v>0</v>
      </c>
      <c r="L635" s="36">
        <v>432</v>
      </c>
      <c r="M635" s="36">
        <v>0</v>
      </c>
      <c r="N635" s="36">
        <v>40.99</v>
      </c>
      <c r="O635" s="36">
        <v>391.01</v>
      </c>
      <c r="P635" t="s">
        <v>127</v>
      </c>
      <c r="Q635" t="s">
        <v>111</v>
      </c>
      <c r="R635" t="s">
        <v>111</v>
      </c>
      <c r="S635" s="1">
        <v>46050</v>
      </c>
      <c r="T635" s="1">
        <v>46050</v>
      </c>
      <c r="U635" s="1">
        <v>46039</v>
      </c>
      <c r="V635" s="1">
        <v>46415</v>
      </c>
      <c r="W635" t="s">
        <v>38</v>
      </c>
      <c r="X635">
        <v>12</v>
      </c>
      <c r="Y635" t="s">
        <v>49</v>
      </c>
      <c r="Z635" t="s">
        <v>81</v>
      </c>
      <c r="AA635" t="s">
        <v>122</v>
      </c>
      <c r="AB635">
        <v>12</v>
      </c>
      <c r="AC635" t="s">
        <v>113</v>
      </c>
      <c r="AD635" t="s">
        <v>85</v>
      </c>
      <c r="AE635" t="s">
        <v>46</v>
      </c>
      <c r="AF635" t="s">
        <v>44</v>
      </c>
      <c r="AG635" t="str">
        <f t="shared" si="9"/>
        <v>Recorrente</v>
      </c>
      <c r="AH635" t="str">
        <f>IF(AND(SUMIF(E:E,E635,I:I)&gt;=400000,Q635="B2G"),"n","")</f>
        <v/>
      </c>
    </row>
    <row r="636" spans="1:34">
      <c r="A636">
        <v>2026</v>
      </c>
      <c r="B636">
        <v>1</v>
      </c>
      <c r="C636" s="83">
        <v>25392085648</v>
      </c>
      <c r="D636" t="s">
        <v>704</v>
      </c>
      <c r="E636">
        <v>54078436886</v>
      </c>
      <c r="F636">
        <v>623204</v>
      </c>
      <c r="G636">
        <v>49362935434</v>
      </c>
      <c r="H636" t="s">
        <v>35</v>
      </c>
      <c r="I636" s="36">
        <v>4833</v>
      </c>
      <c r="J636" s="36">
        <v>4833</v>
      </c>
      <c r="K636" s="85">
        <v>0</v>
      </c>
      <c r="L636" s="36">
        <v>402.75</v>
      </c>
      <c r="M636" s="36">
        <v>402.75</v>
      </c>
      <c r="N636" s="36">
        <v>0</v>
      </c>
      <c r="O636" s="36">
        <v>0</v>
      </c>
      <c r="P636" t="s">
        <v>116</v>
      </c>
      <c r="Q636" t="s">
        <v>111</v>
      </c>
      <c r="R636" t="s">
        <v>111</v>
      </c>
      <c r="S636" s="1">
        <v>46038</v>
      </c>
      <c r="T636" s="1">
        <v>46038</v>
      </c>
      <c r="V636" s="1">
        <v>46418</v>
      </c>
      <c r="W636" t="s">
        <v>38</v>
      </c>
      <c r="X636">
        <v>12</v>
      </c>
      <c r="Y636" t="s">
        <v>49</v>
      </c>
      <c r="Z636" t="s">
        <v>81</v>
      </c>
      <c r="AA636" t="s">
        <v>122</v>
      </c>
      <c r="AB636">
        <v>12</v>
      </c>
      <c r="AC636" t="s">
        <v>113</v>
      </c>
      <c r="AD636" t="s">
        <v>256</v>
      </c>
      <c r="AE636" t="s">
        <v>257</v>
      </c>
      <c r="AF636" t="s">
        <v>59</v>
      </c>
      <c r="AG636" t="str">
        <f t="shared" si="9"/>
        <v>Recorrente</v>
      </c>
      <c r="AH636" t="str">
        <f>IF(AND(SUMIF(E:E,E636,I:I)&gt;=400000,Q636="B2G"),"n","")</f>
        <v/>
      </c>
    </row>
    <row r="637" spans="1:34">
      <c r="A637">
        <v>2026</v>
      </c>
      <c r="B637">
        <v>1</v>
      </c>
      <c r="C637" s="83">
        <v>117687758124</v>
      </c>
      <c r="D637" t="s">
        <v>705</v>
      </c>
      <c r="E637">
        <v>54079489045</v>
      </c>
      <c r="F637">
        <v>314276</v>
      </c>
      <c r="G637">
        <v>49552132449</v>
      </c>
      <c r="H637" t="s">
        <v>35</v>
      </c>
      <c r="I637" s="36">
        <v>1016.28</v>
      </c>
      <c r="J637" s="36">
        <v>3535.44</v>
      </c>
      <c r="K637" s="85">
        <v>0</v>
      </c>
      <c r="L637" s="36">
        <v>294.62</v>
      </c>
      <c r="M637" s="36">
        <v>0</v>
      </c>
      <c r="N637" s="36">
        <v>294.62</v>
      </c>
      <c r="O637" s="36">
        <v>0</v>
      </c>
      <c r="P637" t="s">
        <v>469</v>
      </c>
      <c r="Q637" t="s">
        <v>191</v>
      </c>
      <c r="R637" t="s">
        <v>191</v>
      </c>
      <c r="S637" s="1">
        <v>46041</v>
      </c>
      <c r="T637" s="1">
        <v>46041</v>
      </c>
      <c r="V637" s="1">
        <v>46146</v>
      </c>
      <c r="W637" t="s">
        <v>38</v>
      </c>
      <c r="X637">
        <v>4</v>
      </c>
      <c r="Y637" t="s">
        <v>49</v>
      </c>
      <c r="Z637" t="s">
        <v>324</v>
      </c>
      <c r="AA637" t="s">
        <v>112</v>
      </c>
      <c r="AB637">
        <v>4</v>
      </c>
      <c r="AC637" t="s">
        <v>192</v>
      </c>
      <c r="AD637" t="s">
        <v>134</v>
      </c>
      <c r="AE637" t="s">
        <v>135</v>
      </c>
      <c r="AF637" t="s">
        <v>44</v>
      </c>
      <c r="AG637" t="str">
        <f t="shared" si="9"/>
        <v>CC 12x</v>
      </c>
      <c r="AH637" t="str">
        <f>IF(AND(SUMIF(E:E,E637,I:I)&gt;=400000,Q637="B2G"),"n","")</f>
        <v/>
      </c>
    </row>
    <row r="638" spans="1:34">
      <c r="A638">
        <v>2026</v>
      </c>
      <c r="B638">
        <v>1</v>
      </c>
      <c r="C638" s="83">
        <v>195297712049</v>
      </c>
      <c r="D638" t="s">
        <v>706</v>
      </c>
      <c r="E638">
        <v>54103066526</v>
      </c>
      <c r="F638">
        <v>303466</v>
      </c>
      <c r="G638">
        <v>49877590341</v>
      </c>
      <c r="H638" t="s">
        <v>35</v>
      </c>
      <c r="I638" s="36">
        <v>6116.16</v>
      </c>
      <c r="J638" s="36">
        <v>6116.16</v>
      </c>
      <c r="K638" s="85">
        <v>0</v>
      </c>
      <c r="L638" s="36">
        <v>509.68</v>
      </c>
      <c r="M638" s="36">
        <v>0</v>
      </c>
      <c r="N638" s="36">
        <v>132.28</v>
      </c>
      <c r="O638" s="36">
        <v>377.4</v>
      </c>
      <c r="P638" t="s">
        <v>133</v>
      </c>
      <c r="Q638" t="s">
        <v>111</v>
      </c>
      <c r="R638" t="s">
        <v>111</v>
      </c>
      <c r="S638" s="1">
        <v>46048</v>
      </c>
      <c r="T638" s="1">
        <v>46048</v>
      </c>
      <c r="U638" s="1">
        <v>46039</v>
      </c>
      <c r="V638" s="1">
        <v>46413</v>
      </c>
      <c r="W638" t="s">
        <v>38</v>
      </c>
      <c r="X638">
        <v>12</v>
      </c>
      <c r="Y638" t="s">
        <v>49</v>
      </c>
      <c r="Z638" t="s">
        <v>81</v>
      </c>
      <c r="AA638" t="s">
        <v>117</v>
      </c>
      <c r="AB638">
        <v>1</v>
      </c>
      <c r="AC638" t="s">
        <v>113</v>
      </c>
      <c r="AD638" t="s">
        <v>131</v>
      </c>
      <c r="AE638" t="s">
        <v>46</v>
      </c>
      <c r="AF638" t="s">
        <v>96</v>
      </c>
      <c r="AG638" t="str">
        <f t="shared" si="9"/>
        <v>À Vista</v>
      </c>
      <c r="AH638" t="str">
        <f>IF(AND(SUMIF(E:E,E638,I:I)&gt;=400000,Q638="B2G"),"n","")</f>
        <v/>
      </c>
    </row>
    <row r="639" spans="1:34">
      <c r="A639">
        <v>2026</v>
      </c>
      <c r="B639">
        <v>1</v>
      </c>
      <c r="C639" s="83">
        <v>192714127933</v>
      </c>
      <c r="D639" t="s">
        <v>707</v>
      </c>
      <c r="E639">
        <v>54105500208</v>
      </c>
      <c r="F639">
        <v>635642</v>
      </c>
      <c r="G639">
        <v>49516759565</v>
      </c>
      <c r="H639" t="s">
        <v>35</v>
      </c>
      <c r="I639" s="36">
        <v>2901.84</v>
      </c>
      <c r="J639" s="36">
        <v>1627.37</v>
      </c>
      <c r="K639" s="85">
        <v>1274.47</v>
      </c>
      <c r="L639" s="36">
        <v>135.61000000000001</v>
      </c>
      <c r="M639" s="36">
        <v>0</v>
      </c>
      <c r="N639" s="36">
        <v>31.12</v>
      </c>
      <c r="O639" s="36">
        <v>104.4903927</v>
      </c>
      <c r="P639" t="s">
        <v>127</v>
      </c>
      <c r="Q639" t="s">
        <v>111</v>
      </c>
      <c r="R639" t="s">
        <v>111</v>
      </c>
      <c r="S639" s="1">
        <v>46041</v>
      </c>
      <c r="T639" s="1">
        <v>46041</v>
      </c>
      <c r="V639" s="1">
        <v>46406</v>
      </c>
      <c r="W639" t="s">
        <v>38</v>
      </c>
      <c r="Y639" t="s">
        <v>49</v>
      </c>
      <c r="AA639" t="s">
        <v>112</v>
      </c>
      <c r="AB639">
        <v>12</v>
      </c>
      <c r="AC639" t="s">
        <v>113</v>
      </c>
      <c r="AD639" t="s">
        <v>160</v>
      </c>
      <c r="AE639" t="s">
        <v>43</v>
      </c>
      <c r="AF639" t="s">
        <v>44</v>
      </c>
      <c r="AG639" t="str">
        <f t="shared" si="9"/>
        <v>CC 12x</v>
      </c>
      <c r="AH639" t="str">
        <f>IF(AND(SUMIF(E:E,E639,I:I)&gt;=400000,Q639="B2G"),"n","")</f>
        <v/>
      </c>
    </row>
    <row r="640" spans="1:34">
      <c r="A640">
        <v>2026</v>
      </c>
      <c r="B640">
        <v>1</v>
      </c>
      <c r="C640" s="83">
        <v>192714127933</v>
      </c>
      <c r="D640" t="s">
        <v>707</v>
      </c>
      <c r="E640">
        <v>54105500208</v>
      </c>
      <c r="F640">
        <v>635642</v>
      </c>
      <c r="G640">
        <v>49516759566</v>
      </c>
      <c r="H640" t="s">
        <v>35</v>
      </c>
      <c r="I640" s="36">
        <v>4098.3599999999997</v>
      </c>
      <c r="J640" s="36">
        <v>2298.4499999999998</v>
      </c>
      <c r="K640" s="85">
        <v>1799.91</v>
      </c>
      <c r="L640" s="36">
        <v>191.54</v>
      </c>
      <c r="M640" s="36">
        <v>0</v>
      </c>
      <c r="N640" s="36">
        <v>43.96</v>
      </c>
      <c r="O640" s="36">
        <v>147.57921450000001</v>
      </c>
      <c r="P640" t="s">
        <v>127</v>
      </c>
      <c r="Q640" t="s">
        <v>111</v>
      </c>
      <c r="R640" t="s">
        <v>111</v>
      </c>
      <c r="S640" s="1">
        <v>46041</v>
      </c>
      <c r="T640" s="1">
        <v>46041</v>
      </c>
      <c r="V640" s="1">
        <v>46406</v>
      </c>
      <c r="W640" t="s">
        <v>38</v>
      </c>
      <c r="Y640" t="s">
        <v>49</v>
      </c>
      <c r="AA640" t="s">
        <v>112</v>
      </c>
      <c r="AB640">
        <v>12</v>
      </c>
      <c r="AC640" t="s">
        <v>113</v>
      </c>
      <c r="AD640" t="s">
        <v>85</v>
      </c>
      <c r="AE640" t="s">
        <v>46</v>
      </c>
      <c r="AF640" t="s">
        <v>44</v>
      </c>
      <c r="AG640" t="str">
        <f t="shared" si="9"/>
        <v>CC 12x</v>
      </c>
      <c r="AH640" t="str">
        <f>IF(AND(SUMIF(E:E,E640,I:I)&gt;=400000,Q640="B2G"),"n","")</f>
        <v/>
      </c>
    </row>
    <row r="641" spans="1:34">
      <c r="A641">
        <v>2026</v>
      </c>
      <c r="B641">
        <v>1</v>
      </c>
      <c r="C641" s="83">
        <v>192714127933</v>
      </c>
      <c r="D641" t="s">
        <v>707</v>
      </c>
      <c r="E641">
        <v>54105500208</v>
      </c>
      <c r="F641">
        <v>635642</v>
      </c>
      <c r="G641">
        <v>49516759567</v>
      </c>
      <c r="H641" t="s">
        <v>35</v>
      </c>
      <c r="I641" s="36">
        <v>2901.84</v>
      </c>
      <c r="J641" s="36">
        <v>1627.37</v>
      </c>
      <c r="K641" s="85">
        <v>1274.47</v>
      </c>
      <c r="L641" s="36">
        <v>135.61000000000001</v>
      </c>
      <c r="M641" s="36">
        <v>0</v>
      </c>
      <c r="N641" s="36">
        <v>31.12</v>
      </c>
      <c r="O641" s="36">
        <v>104.4903927</v>
      </c>
      <c r="P641" t="s">
        <v>127</v>
      </c>
      <c r="Q641" t="s">
        <v>111</v>
      </c>
      <c r="R641" t="s">
        <v>111</v>
      </c>
      <c r="S641" s="1">
        <v>46041</v>
      </c>
      <c r="T641" s="1">
        <v>46041</v>
      </c>
      <c r="V641" s="1">
        <v>46406</v>
      </c>
      <c r="W641" t="s">
        <v>38</v>
      </c>
      <c r="Y641" t="s">
        <v>49</v>
      </c>
      <c r="AA641" t="s">
        <v>112</v>
      </c>
      <c r="AB641">
        <v>12</v>
      </c>
      <c r="AC641" t="s">
        <v>113</v>
      </c>
      <c r="AD641" t="s">
        <v>114</v>
      </c>
      <c r="AE641" t="s">
        <v>43</v>
      </c>
      <c r="AF641" t="s">
        <v>44</v>
      </c>
      <c r="AG641" t="str">
        <f t="shared" ref="AG641:AG704" si="10">IF(IFERROR(SEARCH("Recorrente",AA641),0)&gt;0,"Recorrente",IF(AB641=1,"À Vista",IF(AB641&lt;=3,"CC 3x",IF(AB641&lt;=12,"CC 12x",IF(AB641&gt;12,"Recorrente","")))))</f>
        <v>CC 12x</v>
      </c>
      <c r="AH641" t="str">
        <f>IF(AND(SUMIF(E:E,E641,I:I)&gt;=400000,Q641="B2G"),"n","")</f>
        <v/>
      </c>
    </row>
    <row r="642" spans="1:34">
      <c r="A642">
        <v>2026</v>
      </c>
      <c r="B642">
        <v>1</v>
      </c>
      <c r="C642" s="83">
        <v>49265180343</v>
      </c>
      <c r="D642" t="s">
        <v>708</v>
      </c>
      <c r="E642">
        <v>54105502329</v>
      </c>
      <c r="F642">
        <v>635663</v>
      </c>
      <c r="G642">
        <v>49631527312</v>
      </c>
      <c r="H642" t="s">
        <v>35</v>
      </c>
      <c r="I642" s="36">
        <v>9925.2000000000007</v>
      </c>
      <c r="J642" s="36">
        <v>7293.43</v>
      </c>
      <c r="K642" s="85">
        <v>2631.77</v>
      </c>
      <c r="L642" s="36">
        <v>607.79</v>
      </c>
      <c r="M642" s="36">
        <v>0</v>
      </c>
      <c r="N642" s="36">
        <v>452.78</v>
      </c>
      <c r="O642" s="36">
        <v>155.0045949</v>
      </c>
      <c r="P642" t="s">
        <v>162</v>
      </c>
      <c r="Q642" t="s">
        <v>111</v>
      </c>
      <c r="R642" t="s">
        <v>111</v>
      </c>
      <c r="S642" s="1">
        <v>46043</v>
      </c>
      <c r="T642" s="1">
        <v>46043</v>
      </c>
      <c r="V642" s="1">
        <v>46408</v>
      </c>
      <c r="W642" t="s">
        <v>38</v>
      </c>
      <c r="Y642" t="s">
        <v>49</v>
      </c>
      <c r="AA642" t="s">
        <v>122</v>
      </c>
      <c r="AB642">
        <v>12</v>
      </c>
      <c r="AC642" t="s">
        <v>113</v>
      </c>
      <c r="AD642" t="s">
        <v>138</v>
      </c>
      <c r="AE642" t="s">
        <v>135</v>
      </c>
      <c r="AF642" t="s">
        <v>119</v>
      </c>
      <c r="AG642" t="str">
        <f t="shared" si="10"/>
        <v>Recorrente</v>
      </c>
      <c r="AH642" t="str">
        <f>IF(AND(SUMIF(E:E,E642,I:I)&gt;=400000,Q642="B2G"),"n","")</f>
        <v/>
      </c>
    </row>
    <row r="643" spans="1:34">
      <c r="A643">
        <v>2026</v>
      </c>
      <c r="B643">
        <v>1</v>
      </c>
      <c r="C643" s="83">
        <v>49265180343</v>
      </c>
      <c r="D643" t="s">
        <v>708</v>
      </c>
      <c r="E643">
        <v>54105502329</v>
      </c>
      <c r="F643">
        <v>635663</v>
      </c>
      <c r="G643">
        <v>49631527313</v>
      </c>
      <c r="H643" t="s">
        <v>35</v>
      </c>
      <c r="I643" s="36">
        <v>7554.6</v>
      </c>
      <c r="J643" s="36">
        <v>5551.42</v>
      </c>
      <c r="K643" s="85">
        <v>2003.18</v>
      </c>
      <c r="L643" s="36">
        <v>462.62</v>
      </c>
      <c r="M643" s="36">
        <v>0</v>
      </c>
      <c r="N643" s="36">
        <v>344.64</v>
      </c>
      <c r="O643" s="36">
        <v>117.98227869999999</v>
      </c>
      <c r="P643" t="s">
        <v>162</v>
      </c>
      <c r="Q643" t="s">
        <v>111</v>
      </c>
      <c r="R643" t="s">
        <v>111</v>
      </c>
      <c r="S643" s="1">
        <v>46043</v>
      </c>
      <c r="T643" s="1">
        <v>46043</v>
      </c>
      <c r="V643" s="1">
        <v>46408</v>
      </c>
      <c r="W643" t="s">
        <v>38</v>
      </c>
      <c r="Y643" t="s">
        <v>49</v>
      </c>
      <c r="AA643" t="s">
        <v>122</v>
      </c>
      <c r="AB643">
        <v>12</v>
      </c>
      <c r="AC643" t="s">
        <v>113</v>
      </c>
      <c r="AD643" t="s">
        <v>94</v>
      </c>
      <c r="AE643" t="s">
        <v>95</v>
      </c>
      <c r="AF643" t="s">
        <v>96</v>
      </c>
      <c r="AG643" t="str">
        <f t="shared" si="10"/>
        <v>Recorrente</v>
      </c>
      <c r="AH643" t="str">
        <f>IF(AND(SUMIF(E:E,E643,I:I)&gt;=400000,Q643="B2G"),"n","")</f>
        <v/>
      </c>
    </row>
    <row r="644" spans="1:34">
      <c r="A644">
        <v>2026</v>
      </c>
      <c r="B644">
        <v>1</v>
      </c>
      <c r="C644" s="83">
        <v>49265180343</v>
      </c>
      <c r="D644" t="s">
        <v>708</v>
      </c>
      <c r="E644">
        <v>54105502329</v>
      </c>
      <c r="F644">
        <v>635663</v>
      </c>
      <c r="G644">
        <v>49631527314</v>
      </c>
      <c r="H644" t="s">
        <v>35</v>
      </c>
      <c r="I644" s="36">
        <v>970.92</v>
      </c>
      <c r="J644" s="36">
        <v>713.47</v>
      </c>
      <c r="K644" s="85">
        <v>257.45</v>
      </c>
      <c r="L644" s="36">
        <v>59.46</v>
      </c>
      <c r="M644" s="36">
        <v>0</v>
      </c>
      <c r="N644" s="36">
        <v>44.29</v>
      </c>
      <c r="O644" s="36">
        <v>15.16312632</v>
      </c>
      <c r="P644" t="s">
        <v>162</v>
      </c>
      <c r="Q644" t="s">
        <v>111</v>
      </c>
      <c r="R644" t="s">
        <v>111</v>
      </c>
      <c r="S644" s="1">
        <v>46043</v>
      </c>
      <c r="T644" s="1">
        <v>46043</v>
      </c>
      <c r="V644" s="1">
        <v>46408</v>
      </c>
      <c r="W644" t="s">
        <v>38</v>
      </c>
      <c r="Y644" t="s">
        <v>49</v>
      </c>
      <c r="AA644" t="s">
        <v>122</v>
      </c>
      <c r="AB644">
        <v>12</v>
      </c>
      <c r="AC644" t="s">
        <v>113</v>
      </c>
      <c r="AD644" t="s">
        <v>368</v>
      </c>
      <c r="AE644" t="s">
        <v>95</v>
      </c>
      <c r="AF644" t="s">
        <v>59</v>
      </c>
      <c r="AG644" t="str">
        <f t="shared" si="10"/>
        <v>Recorrente</v>
      </c>
      <c r="AH644" t="str">
        <f>IF(AND(SUMIF(E:E,E644,I:I)&gt;=400000,Q644="B2G"),"n","")</f>
        <v/>
      </c>
    </row>
    <row r="645" spans="1:34">
      <c r="A645">
        <v>2026</v>
      </c>
      <c r="B645">
        <v>1</v>
      </c>
      <c r="C645" s="83">
        <v>200487907655</v>
      </c>
      <c r="D645" t="s">
        <v>709</v>
      </c>
      <c r="E645">
        <v>54106899001</v>
      </c>
      <c r="F645">
        <v>326283</v>
      </c>
      <c r="G645">
        <v>49362879550</v>
      </c>
      <c r="H645" t="s">
        <v>35</v>
      </c>
      <c r="I645" s="36">
        <v>6696.36</v>
      </c>
      <c r="J645" s="36">
        <v>3650.76</v>
      </c>
      <c r="K645" s="85">
        <v>3045.6</v>
      </c>
      <c r="L645" s="36">
        <v>304.23</v>
      </c>
      <c r="M645" s="36">
        <v>0</v>
      </c>
      <c r="N645" s="36">
        <v>304.23</v>
      </c>
      <c r="O645" s="36">
        <v>0</v>
      </c>
      <c r="P645" t="s">
        <v>323</v>
      </c>
      <c r="Q645" t="s">
        <v>191</v>
      </c>
      <c r="R645" t="s">
        <v>191</v>
      </c>
      <c r="S645" s="1">
        <v>46038</v>
      </c>
      <c r="T645" s="1">
        <v>46038</v>
      </c>
      <c r="V645" s="1">
        <v>46708</v>
      </c>
      <c r="W645" t="s">
        <v>102</v>
      </c>
      <c r="X645">
        <v>22</v>
      </c>
      <c r="Y645" t="s">
        <v>49</v>
      </c>
      <c r="Z645" t="s">
        <v>324</v>
      </c>
      <c r="AA645" t="s">
        <v>122</v>
      </c>
      <c r="AB645">
        <v>21</v>
      </c>
      <c r="AC645" t="s">
        <v>192</v>
      </c>
      <c r="AD645" t="s">
        <v>131</v>
      </c>
      <c r="AE645" t="s">
        <v>46</v>
      </c>
      <c r="AF645" t="s">
        <v>96</v>
      </c>
      <c r="AG645" t="str">
        <f t="shared" si="10"/>
        <v>Recorrente</v>
      </c>
      <c r="AH645" t="str">
        <f>IF(AND(SUMIF(E:E,E645,I:I)&gt;=400000,Q645="B2G"),"n","")</f>
        <v/>
      </c>
    </row>
    <row r="646" spans="1:34">
      <c r="A646">
        <v>2026</v>
      </c>
      <c r="B646">
        <v>1</v>
      </c>
      <c r="C646" s="83">
        <v>19435393834</v>
      </c>
      <c r="D646" t="s">
        <v>710</v>
      </c>
      <c r="E646">
        <v>54115231079</v>
      </c>
      <c r="F646">
        <v>524591</v>
      </c>
      <c r="G646">
        <v>49667538579</v>
      </c>
      <c r="H646" t="s">
        <v>35</v>
      </c>
      <c r="I646" s="36">
        <v>3462.84</v>
      </c>
      <c r="J646" s="36">
        <v>3462.84</v>
      </c>
      <c r="K646" s="85">
        <v>0</v>
      </c>
      <c r="L646" s="36">
        <v>288.57</v>
      </c>
      <c r="M646" s="36">
        <v>0</v>
      </c>
      <c r="N646" s="36">
        <v>9.58</v>
      </c>
      <c r="O646" s="36">
        <v>279</v>
      </c>
      <c r="P646" t="s">
        <v>110</v>
      </c>
      <c r="Q646" t="s">
        <v>111</v>
      </c>
      <c r="R646" t="s">
        <v>111</v>
      </c>
      <c r="S646" s="1">
        <v>46049</v>
      </c>
      <c r="T646" s="1">
        <v>46049</v>
      </c>
      <c r="U646" s="1">
        <v>46049</v>
      </c>
      <c r="V646" s="1">
        <v>46414</v>
      </c>
      <c r="W646" t="s">
        <v>38</v>
      </c>
      <c r="X646">
        <v>12</v>
      </c>
      <c r="Y646" t="s">
        <v>49</v>
      </c>
      <c r="Z646" t="s">
        <v>81</v>
      </c>
      <c r="AA646" t="s">
        <v>112</v>
      </c>
      <c r="AB646">
        <v>12</v>
      </c>
      <c r="AC646" t="s">
        <v>113</v>
      </c>
      <c r="AD646" t="s">
        <v>160</v>
      </c>
      <c r="AE646" t="s">
        <v>43</v>
      </c>
      <c r="AF646" t="s">
        <v>44</v>
      </c>
      <c r="AG646" t="str">
        <f t="shared" si="10"/>
        <v>CC 12x</v>
      </c>
      <c r="AH646" t="str">
        <f>IF(AND(SUMIF(E:E,E646,I:I)&gt;=400000,Q646="B2G"),"n","")</f>
        <v/>
      </c>
    </row>
    <row r="647" spans="1:34">
      <c r="A647">
        <v>2026</v>
      </c>
      <c r="B647">
        <v>1</v>
      </c>
      <c r="C647" s="83">
        <v>20153363010</v>
      </c>
      <c r="D647" t="s">
        <v>711</v>
      </c>
      <c r="E647">
        <v>54127415079</v>
      </c>
      <c r="F647">
        <v>635722</v>
      </c>
      <c r="G647">
        <v>49755733092</v>
      </c>
      <c r="H647" t="s">
        <v>35</v>
      </c>
      <c r="I647" s="36">
        <v>3006.96</v>
      </c>
      <c r="J647" s="36">
        <v>897.76</v>
      </c>
      <c r="K647" s="85">
        <v>2109.1999999999998</v>
      </c>
      <c r="L647" s="36">
        <v>74.81</v>
      </c>
      <c r="M647" s="36">
        <v>0</v>
      </c>
      <c r="N647" s="36">
        <v>74.81</v>
      </c>
      <c r="O647" s="36">
        <v>0</v>
      </c>
      <c r="P647" t="s">
        <v>367</v>
      </c>
      <c r="Q647" t="s">
        <v>191</v>
      </c>
      <c r="R647" t="s">
        <v>191</v>
      </c>
      <c r="S647" s="1">
        <v>46045</v>
      </c>
      <c r="T647" s="1">
        <v>46045</v>
      </c>
      <c r="V647" s="1">
        <v>46410</v>
      </c>
      <c r="W647" t="s">
        <v>38</v>
      </c>
      <c r="Y647" t="s">
        <v>49</v>
      </c>
      <c r="AA647" t="s">
        <v>122</v>
      </c>
      <c r="AB647">
        <v>12</v>
      </c>
      <c r="AC647" t="s">
        <v>192</v>
      </c>
      <c r="AD647" t="s">
        <v>142</v>
      </c>
      <c r="AE647" t="s">
        <v>95</v>
      </c>
      <c r="AF647" t="s">
        <v>44</v>
      </c>
      <c r="AG647" t="str">
        <f t="shared" si="10"/>
        <v>Recorrente</v>
      </c>
      <c r="AH647" t="str">
        <f>IF(AND(SUMIF(E:E,E647,I:I)&gt;=400000,Q647="B2G"),"n","")</f>
        <v/>
      </c>
    </row>
    <row r="648" spans="1:34">
      <c r="A648">
        <v>2026</v>
      </c>
      <c r="B648">
        <v>1</v>
      </c>
      <c r="C648" s="83">
        <v>20153363010</v>
      </c>
      <c r="D648" t="s">
        <v>711</v>
      </c>
      <c r="E648">
        <v>54127415079</v>
      </c>
      <c r="F648">
        <v>635722</v>
      </c>
      <c r="G648">
        <v>49755733093</v>
      </c>
      <c r="H648" t="s">
        <v>35</v>
      </c>
      <c r="I648" s="36">
        <v>3067.2</v>
      </c>
      <c r="J648" s="36">
        <v>915.74</v>
      </c>
      <c r="K648" s="85">
        <v>2151.46</v>
      </c>
      <c r="L648" s="36">
        <v>76.31</v>
      </c>
      <c r="M648" s="36">
        <v>0</v>
      </c>
      <c r="N648" s="36">
        <v>76.31</v>
      </c>
      <c r="O648" s="36">
        <v>0</v>
      </c>
      <c r="P648" t="s">
        <v>367</v>
      </c>
      <c r="Q648" t="s">
        <v>191</v>
      </c>
      <c r="R648" t="s">
        <v>191</v>
      </c>
      <c r="S648" s="1">
        <v>46045</v>
      </c>
      <c r="T648" s="1">
        <v>46045</v>
      </c>
      <c r="V648" s="1">
        <v>46410</v>
      </c>
      <c r="W648" t="s">
        <v>38</v>
      </c>
      <c r="Y648" t="s">
        <v>49</v>
      </c>
      <c r="AA648" t="s">
        <v>122</v>
      </c>
      <c r="AB648">
        <v>12</v>
      </c>
      <c r="AC648" t="s">
        <v>192</v>
      </c>
      <c r="AD648" t="s">
        <v>142</v>
      </c>
      <c r="AE648" t="s">
        <v>95</v>
      </c>
      <c r="AF648" t="s">
        <v>44</v>
      </c>
      <c r="AG648" t="str">
        <f t="shared" si="10"/>
        <v>Recorrente</v>
      </c>
      <c r="AH648" t="str">
        <f>IF(AND(SUMIF(E:E,E648,I:I)&gt;=400000,Q648="B2G"),"n","")</f>
        <v/>
      </c>
    </row>
    <row r="649" spans="1:34">
      <c r="A649">
        <v>2026</v>
      </c>
      <c r="B649">
        <v>1</v>
      </c>
      <c r="C649" s="83">
        <v>20153363010</v>
      </c>
      <c r="D649" t="s">
        <v>711</v>
      </c>
      <c r="E649">
        <v>54127415079</v>
      </c>
      <c r="F649">
        <v>635722</v>
      </c>
      <c r="G649">
        <v>49755733094</v>
      </c>
      <c r="H649" t="s">
        <v>35</v>
      </c>
      <c r="I649" s="36">
        <v>3006.96</v>
      </c>
      <c r="J649" s="36">
        <v>897.76</v>
      </c>
      <c r="K649" s="85">
        <v>2109.1999999999998</v>
      </c>
      <c r="L649" s="36">
        <v>74.81</v>
      </c>
      <c r="M649" s="36">
        <v>0</v>
      </c>
      <c r="N649" s="36">
        <v>74.81</v>
      </c>
      <c r="O649" s="36">
        <v>0</v>
      </c>
      <c r="P649" t="s">
        <v>367</v>
      </c>
      <c r="Q649" t="s">
        <v>191</v>
      </c>
      <c r="R649" t="s">
        <v>191</v>
      </c>
      <c r="S649" s="1">
        <v>46045</v>
      </c>
      <c r="T649" s="1">
        <v>46045</v>
      </c>
      <c r="V649" s="1">
        <v>46410</v>
      </c>
      <c r="W649" t="s">
        <v>38</v>
      </c>
      <c r="Y649" t="s">
        <v>49</v>
      </c>
      <c r="AA649" t="s">
        <v>122</v>
      </c>
      <c r="AB649">
        <v>12</v>
      </c>
      <c r="AC649" t="s">
        <v>192</v>
      </c>
      <c r="AD649" t="s">
        <v>142</v>
      </c>
      <c r="AE649" t="s">
        <v>95</v>
      </c>
      <c r="AF649" t="s">
        <v>44</v>
      </c>
      <c r="AG649" t="str">
        <f t="shared" si="10"/>
        <v>Recorrente</v>
      </c>
      <c r="AH649" t="str">
        <f>IF(AND(SUMIF(E:E,E649,I:I)&gt;=400000,Q649="B2G"),"n","")</f>
        <v/>
      </c>
    </row>
    <row r="650" spans="1:34">
      <c r="A650">
        <v>2026</v>
      </c>
      <c r="B650">
        <v>1</v>
      </c>
      <c r="C650" s="83">
        <v>20153363010</v>
      </c>
      <c r="D650" t="s">
        <v>711</v>
      </c>
      <c r="E650">
        <v>54127415079</v>
      </c>
      <c r="F650">
        <v>635722</v>
      </c>
      <c r="G650">
        <v>49755733095</v>
      </c>
      <c r="H650" t="s">
        <v>35</v>
      </c>
      <c r="I650" s="36">
        <v>3006.96</v>
      </c>
      <c r="J650" s="36">
        <v>897.76</v>
      </c>
      <c r="K650" s="85">
        <v>2109.1999999999998</v>
      </c>
      <c r="L650" s="36">
        <v>74.81</v>
      </c>
      <c r="M650" s="36">
        <v>0</v>
      </c>
      <c r="N650" s="36">
        <v>74.81</v>
      </c>
      <c r="O650" s="36">
        <v>0</v>
      </c>
      <c r="P650" t="s">
        <v>367</v>
      </c>
      <c r="Q650" t="s">
        <v>191</v>
      </c>
      <c r="R650" t="s">
        <v>191</v>
      </c>
      <c r="S650" s="1">
        <v>46045</v>
      </c>
      <c r="T650" s="1">
        <v>46045</v>
      </c>
      <c r="V650" s="1">
        <v>46410</v>
      </c>
      <c r="W650" t="s">
        <v>38</v>
      </c>
      <c r="Y650" t="s">
        <v>49</v>
      </c>
      <c r="AA650" t="s">
        <v>122</v>
      </c>
      <c r="AB650">
        <v>12</v>
      </c>
      <c r="AC650" t="s">
        <v>192</v>
      </c>
      <c r="AD650" t="s">
        <v>142</v>
      </c>
      <c r="AE650" t="s">
        <v>95</v>
      </c>
      <c r="AF650" t="s">
        <v>44</v>
      </c>
      <c r="AG650" t="str">
        <f t="shared" si="10"/>
        <v>Recorrente</v>
      </c>
      <c r="AH650" t="str">
        <f>IF(AND(SUMIF(E:E,E650,I:I)&gt;=400000,Q650="B2G"),"n","")</f>
        <v/>
      </c>
    </row>
    <row r="651" spans="1:34">
      <c r="A651">
        <v>2026</v>
      </c>
      <c r="B651">
        <v>1</v>
      </c>
      <c r="C651" s="83">
        <v>95610040835</v>
      </c>
      <c r="D651" t="s">
        <v>712</v>
      </c>
      <c r="E651">
        <v>54186018329</v>
      </c>
      <c r="F651">
        <v>635833</v>
      </c>
      <c r="G651">
        <v>50425960541</v>
      </c>
      <c r="H651" t="s">
        <v>35</v>
      </c>
      <c r="I651" s="36">
        <v>5845.68</v>
      </c>
      <c r="J651" s="36">
        <v>5845.68</v>
      </c>
      <c r="K651" s="85">
        <v>0</v>
      </c>
      <c r="L651" s="36">
        <v>487.14</v>
      </c>
      <c r="M651" s="36">
        <v>0</v>
      </c>
      <c r="N651" s="36">
        <v>99.24</v>
      </c>
      <c r="O651" s="36">
        <v>387.9</v>
      </c>
      <c r="P651" t="s">
        <v>469</v>
      </c>
      <c r="Q651" t="s">
        <v>191</v>
      </c>
      <c r="R651" t="s">
        <v>191</v>
      </c>
      <c r="S651" s="1">
        <v>46052</v>
      </c>
      <c r="T651" s="1">
        <v>46052</v>
      </c>
      <c r="U651" s="1">
        <v>46053</v>
      </c>
      <c r="V651" s="1">
        <v>46417</v>
      </c>
      <c r="W651" t="s">
        <v>38</v>
      </c>
      <c r="X651">
        <v>12</v>
      </c>
      <c r="Y651" t="s">
        <v>49</v>
      </c>
      <c r="AA651" t="s">
        <v>122</v>
      </c>
      <c r="AB651">
        <v>12</v>
      </c>
      <c r="AC651" t="s">
        <v>192</v>
      </c>
      <c r="AD651" t="s">
        <v>149</v>
      </c>
      <c r="AE651" t="s">
        <v>43</v>
      </c>
      <c r="AF651" t="s">
        <v>96</v>
      </c>
      <c r="AG651" t="str">
        <f t="shared" si="10"/>
        <v>Recorrente</v>
      </c>
      <c r="AH651" t="str">
        <f>IF(AND(SUMIF(E:E,E651,I:I)&gt;=400000,Q651="B2G"),"n","")</f>
        <v/>
      </c>
    </row>
    <row r="652" spans="1:34">
      <c r="A652">
        <v>2026</v>
      </c>
      <c r="B652">
        <v>1</v>
      </c>
      <c r="C652" s="83">
        <v>162122428264</v>
      </c>
      <c r="D652" t="s">
        <v>713</v>
      </c>
      <c r="E652">
        <v>54187255120</v>
      </c>
      <c r="F652">
        <v>635649</v>
      </c>
      <c r="G652">
        <v>49624754250</v>
      </c>
      <c r="H652" t="s">
        <v>35</v>
      </c>
      <c r="I652" s="36">
        <v>4800</v>
      </c>
      <c r="J652" s="36">
        <v>4800</v>
      </c>
      <c r="K652" s="85">
        <v>0</v>
      </c>
      <c r="L652" s="36">
        <v>400</v>
      </c>
      <c r="M652" s="36">
        <v>400</v>
      </c>
      <c r="N652" s="36">
        <v>0</v>
      </c>
      <c r="O652" s="36">
        <v>0</v>
      </c>
      <c r="P652" t="s">
        <v>313</v>
      </c>
      <c r="Q652" t="s">
        <v>314</v>
      </c>
      <c r="R652" t="s">
        <v>314</v>
      </c>
      <c r="S652" s="1">
        <v>46042</v>
      </c>
      <c r="T652" s="1">
        <v>46042</v>
      </c>
      <c r="V652" s="1">
        <v>46407</v>
      </c>
      <c r="W652" t="s">
        <v>38</v>
      </c>
      <c r="X652">
        <v>12</v>
      </c>
      <c r="Y652" t="s">
        <v>49</v>
      </c>
      <c r="AA652" t="s">
        <v>122</v>
      </c>
      <c r="AB652">
        <v>12</v>
      </c>
      <c r="AC652" t="s">
        <v>315</v>
      </c>
      <c r="AD652" t="s">
        <v>85</v>
      </c>
      <c r="AE652" t="s">
        <v>46</v>
      </c>
      <c r="AF652" t="s">
        <v>44</v>
      </c>
      <c r="AG652" t="str">
        <f t="shared" si="10"/>
        <v>Recorrente</v>
      </c>
      <c r="AH652" t="str">
        <f>IF(AND(SUMIF(E:E,E652,I:I)&gt;=400000,Q652="B2G"),"n","")</f>
        <v/>
      </c>
    </row>
    <row r="653" spans="1:34">
      <c r="A653">
        <v>2026</v>
      </c>
      <c r="B653">
        <v>1</v>
      </c>
      <c r="C653" s="83">
        <v>19541804387</v>
      </c>
      <c r="D653" t="s">
        <v>714</v>
      </c>
      <c r="E653">
        <v>54190652942</v>
      </c>
      <c r="F653">
        <v>625677</v>
      </c>
      <c r="G653">
        <v>50351127164</v>
      </c>
      <c r="H653" t="s">
        <v>35</v>
      </c>
      <c r="I653" s="36">
        <v>2874</v>
      </c>
      <c r="J653" s="36">
        <v>2874</v>
      </c>
      <c r="K653" s="85">
        <v>0</v>
      </c>
      <c r="L653" s="36">
        <v>239.5</v>
      </c>
      <c r="M653" s="36">
        <v>0</v>
      </c>
      <c r="N653" s="36">
        <v>0.5</v>
      </c>
      <c r="O653" s="36">
        <v>239</v>
      </c>
      <c r="P653" t="s">
        <v>110</v>
      </c>
      <c r="Q653" t="s">
        <v>111</v>
      </c>
      <c r="R653" t="s">
        <v>111</v>
      </c>
      <c r="S653" s="1">
        <v>46052</v>
      </c>
      <c r="T653" s="1">
        <v>46052</v>
      </c>
      <c r="U653" s="1">
        <v>46042</v>
      </c>
      <c r="V653" s="1">
        <v>46417</v>
      </c>
      <c r="W653" t="s">
        <v>38</v>
      </c>
      <c r="X653">
        <v>12</v>
      </c>
      <c r="Y653" t="s">
        <v>49</v>
      </c>
      <c r="Z653" t="s">
        <v>81</v>
      </c>
      <c r="AA653" t="s">
        <v>112</v>
      </c>
      <c r="AB653">
        <v>12</v>
      </c>
      <c r="AC653" t="s">
        <v>113</v>
      </c>
      <c r="AD653" t="s">
        <v>140</v>
      </c>
      <c r="AE653" t="s">
        <v>46</v>
      </c>
      <c r="AF653" t="s">
        <v>119</v>
      </c>
      <c r="AG653" t="str">
        <f t="shared" si="10"/>
        <v>CC 12x</v>
      </c>
      <c r="AH653" t="str">
        <f>IF(AND(SUMIF(E:E,E653,I:I)&gt;=400000,Q653="B2G"),"n","")</f>
        <v/>
      </c>
    </row>
    <row r="654" spans="1:34">
      <c r="A654">
        <v>2026</v>
      </c>
      <c r="B654">
        <v>1</v>
      </c>
      <c r="C654" s="83">
        <v>49203771736</v>
      </c>
      <c r="D654" t="s">
        <v>715</v>
      </c>
      <c r="E654">
        <v>54190791802</v>
      </c>
      <c r="F654">
        <v>635634</v>
      </c>
      <c r="G654">
        <v>49552205065</v>
      </c>
      <c r="H654" t="s">
        <v>35</v>
      </c>
      <c r="I654" s="36">
        <v>2445</v>
      </c>
      <c r="J654" s="36">
        <v>2445</v>
      </c>
      <c r="K654" s="85">
        <v>0</v>
      </c>
      <c r="L654" s="36">
        <v>203.75</v>
      </c>
      <c r="M654" s="36">
        <v>203.75</v>
      </c>
      <c r="N654" s="36">
        <v>0</v>
      </c>
      <c r="O654" s="36">
        <v>0</v>
      </c>
      <c r="P654" t="s">
        <v>511</v>
      </c>
      <c r="Q654" t="s">
        <v>300</v>
      </c>
      <c r="R654" t="s">
        <v>300</v>
      </c>
      <c r="S654" s="1">
        <v>46041</v>
      </c>
      <c r="T654" s="1">
        <v>46041</v>
      </c>
      <c r="V654" s="1">
        <v>46406</v>
      </c>
      <c r="W654" t="s">
        <v>38</v>
      </c>
      <c r="X654">
        <v>12</v>
      </c>
      <c r="Y654" t="s">
        <v>49</v>
      </c>
      <c r="AA654" t="s">
        <v>117</v>
      </c>
      <c r="AB654">
        <v>1</v>
      </c>
      <c r="AC654" t="s">
        <v>301</v>
      </c>
      <c r="AD654" t="s">
        <v>140</v>
      </c>
      <c r="AE654" t="s">
        <v>46</v>
      </c>
      <c r="AF654" t="s">
        <v>119</v>
      </c>
      <c r="AG654" t="str">
        <f t="shared" si="10"/>
        <v>À Vista</v>
      </c>
      <c r="AH654" t="str">
        <f>IF(AND(SUMIF(E:E,E654,I:I)&gt;=400000,Q654="B2G"),"n","")</f>
        <v/>
      </c>
    </row>
    <row r="655" spans="1:34">
      <c r="A655">
        <v>2026</v>
      </c>
      <c r="B655">
        <v>1</v>
      </c>
      <c r="C655" s="83">
        <v>193989957655</v>
      </c>
      <c r="D655" t="s">
        <v>716</v>
      </c>
      <c r="E655">
        <v>54194196073</v>
      </c>
      <c r="F655">
        <v>635733</v>
      </c>
      <c r="G655">
        <v>49877541272</v>
      </c>
      <c r="H655" t="s">
        <v>35</v>
      </c>
      <c r="I655" s="36">
        <v>2544</v>
      </c>
      <c r="J655" s="36">
        <v>2544</v>
      </c>
      <c r="K655" s="85">
        <v>0</v>
      </c>
      <c r="L655" s="36">
        <v>212</v>
      </c>
      <c r="M655" s="36">
        <v>212</v>
      </c>
      <c r="N655" s="36">
        <v>0</v>
      </c>
      <c r="O655" s="36">
        <v>0</v>
      </c>
      <c r="P655" t="s">
        <v>511</v>
      </c>
      <c r="Q655" t="s">
        <v>300</v>
      </c>
      <c r="R655" t="s">
        <v>300</v>
      </c>
      <c r="S655" s="1">
        <v>46048</v>
      </c>
      <c r="T655" s="1">
        <v>46048</v>
      </c>
      <c r="V655" s="1">
        <v>46413</v>
      </c>
      <c r="W655" t="s">
        <v>38</v>
      </c>
      <c r="X655">
        <v>12</v>
      </c>
      <c r="Y655" t="s">
        <v>49</v>
      </c>
      <c r="AA655" t="s">
        <v>112</v>
      </c>
      <c r="AB655">
        <v>12</v>
      </c>
      <c r="AC655" t="s">
        <v>301</v>
      </c>
      <c r="AD655" t="s">
        <v>140</v>
      </c>
      <c r="AE655" t="s">
        <v>46</v>
      </c>
      <c r="AF655" t="s">
        <v>119</v>
      </c>
      <c r="AG655" t="str">
        <f t="shared" si="10"/>
        <v>CC 12x</v>
      </c>
      <c r="AH655" t="str">
        <f>IF(AND(SUMIF(E:E,E655,I:I)&gt;=400000,Q655="B2G"),"n","")</f>
        <v/>
      </c>
    </row>
    <row r="656" spans="1:34">
      <c r="A656">
        <v>2026</v>
      </c>
      <c r="B656">
        <v>1</v>
      </c>
      <c r="C656" s="83">
        <v>194696024227</v>
      </c>
      <c r="D656" t="s">
        <v>717</v>
      </c>
      <c r="E656">
        <v>54194625090</v>
      </c>
      <c r="F656">
        <v>635657</v>
      </c>
      <c r="G656">
        <v>49628549146</v>
      </c>
      <c r="H656" t="s">
        <v>35</v>
      </c>
      <c r="I656" s="36">
        <v>2395.08</v>
      </c>
      <c r="J656" s="36">
        <v>2395.08</v>
      </c>
      <c r="K656" s="85">
        <v>0</v>
      </c>
      <c r="L656" s="36">
        <v>199.59</v>
      </c>
      <c r="M656" s="36">
        <v>199.59</v>
      </c>
      <c r="N656" s="36">
        <v>0</v>
      </c>
      <c r="O656" s="36">
        <v>0</v>
      </c>
      <c r="P656" t="s">
        <v>511</v>
      </c>
      <c r="Q656" t="s">
        <v>300</v>
      </c>
      <c r="R656" t="s">
        <v>300</v>
      </c>
      <c r="S656" s="1">
        <v>46042</v>
      </c>
      <c r="T656" s="1">
        <v>46042</v>
      </c>
      <c r="V656" s="1">
        <v>46407</v>
      </c>
      <c r="W656" t="s">
        <v>38</v>
      </c>
      <c r="X656">
        <v>12</v>
      </c>
      <c r="Y656" t="s">
        <v>49</v>
      </c>
      <c r="AA656" t="s">
        <v>117</v>
      </c>
      <c r="AB656">
        <v>1</v>
      </c>
      <c r="AC656" t="s">
        <v>301</v>
      </c>
      <c r="AD656" t="s">
        <v>118</v>
      </c>
      <c r="AE656" t="s">
        <v>43</v>
      </c>
      <c r="AF656" t="s">
        <v>119</v>
      </c>
      <c r="AG656" t="str">
        <f t="shared" si="10"/>
        <v>À Vista</v>
      </c>
      <c r="AH656" t="str">
        <f>IF(AND(SUMIF(E:E,E656,I:I)&gt;=400000,Q656="B2G"),"n","")</f>
        <v/>
      </c>
    </row>
    <row r="657" spans="1:34">
      <c r="A657">
        <v>2026</v>
      </c>
      <c r="B657">
        <v>1</v>
      </c>
      <c r="C657" s="83">
        <v>19435672486</v>
      </c>
      <c r="D657" t="s">
        <v>718</v>
      </c>
      <c r="E657">
        <v>54195042336</v>
      </c>
      <c r="F657">
        <v>328248</v>
      </c>
      <c r="G657">
        <v>50350908263</v>
      </c>
      <c r="H657" t="s">
        <v>35</v>
      </c>
      <c r="I657" s="36">
        <v>4065</v>
      </c>
      <c r="J657" s="36">
        <v>4065</v>
      </c>
      <c r="K657" s="85">
        <v>0</v>
      </c>
      <c r="L657" s="36">
        <v>338.75</v>
      </c>
      <c r="M657" s="36">
        <v>0</v>
      </c>
      <c r="N657" s="36">
        <v>60.86</v>
      </c>
      <c r="O657" s="36">
        <v>277.89</v>
      </c>
      <c r="P657" t="s">
        <v>137</v>
      </c>
      <c r="Q657" t="s">
        <v>111</v>
      </c>
      <c r="R657" t="s">
        <v>111</v>
      </c>
      <c r="S657" s="1">
        <v>46052</v>
      </c>
      <c r="T657" s="1">
        <v>46052</v>
      </c>
      <c r="U657" s="1">
        <v>46052</v>
      </c>
      <c r="V657" s="1">
        <v>46417</v>
      </c>
      <c r="W657" t="s">
        <v>38</v>
      </c>
      <c r="X657">
        <v>12</v>
      </c>
      <c r="Y657" t="s">
        <v>49</v>
      </c>
      <c r="Z657" t="s">
        <v>81</v>
      </c>
      <c r="AA657" t="s">
        <v>122</v>
      </c>
      <c r="AB657">
        <v>12</v>
      </c>
      <c r="AC657" t="s">
        <v>113</v>
      </c>
      <c r="AD657" t="s">
        <v>84</v>
      </c>
      <c r="AE657" t="s">
        <v>43</v>
      </c>
      <c r="AF657" t="s">
        <v>44</v>
      </c>
      <c r="AG657" t="str">
        <f t="shared" si="10"/>
        <v>Recorrente</v>
      </c>
      <c r="AH657" t="str">
        <f>IF(AND(SUMIF(E:E,E657,I:I)&gt;=400000,Q657="B2G"),"n","")</f>
        <v/>
      </c>
    </row>
    <row r="658" spans="1:34">
      <c r="A658">
        <v>2026</v>
      </c>
      <c r="B658">
        <v>1</v>
      </c>
      <c r="C658" s="83">
        <v>2252488</v>
      </c>
      <c r="D658" t="s">
        <v>719</v>
      </c>
      <c r="E658">
        <v>54196892084</v>
      </c>
      <c r="F658">
        <v>635643</v>
      </c>
      <c r="G658">
        <v>49575563286</v>
      </c>
      <c r="H658" t="s">
        <v>35</v>
      </c>
      <c r="I658" s="36">
        <v>5063.5200000000004</v>
      </c>
      <c r="J658" s="36">
        <v>5063.5200000000004</v>
      </c>
      <c r="K658" s="85">
        <v>0</v>
      </c>
      <c r="L658" s="36">
        <v>421.96</v>
      </c>
      <c r="M658" s="36">
        <v>421.96</v>
      </c>
      <c r="N658" s="36">
        <v>0</v>
      </c>
      <c r="O658" s="36">
        <v>0</v>
      </c>
      <c r="P658" t="s">
        <v>506</v>
      </c>
      <c r="Q658" t="s">
        <v>300</v>
      </c>
      <c r="R658" t="s">
        <v>300</v>
      </c>
      <c r="S658" s="1">
        <v>46041</v>
      </c>
      <c r="T658" s="1">
        <v>46041</v>
      </c>
      <c r="V658" s="1">
        <v>46406</v>
      </c>
      <c r="W658" t="s">
        <v>38</v>
      </c>
      <c r="X658">
        <v>12</v>
      </c>
      <c r="Y658" t="s">
        <v>49</v>
      </c>
      <c r="AA658" t="s">
        <v>112</v>
      </c>
      <c r="AB658">
        <v>12</v>
      </c>
      <c r="AC658" t="s">
        <v>301</v>
      </c>
      <c r="AD658" t="s">
        <v>85</v>
      </c>
      <c r="AE658" t="s">
        <v>46</v>
      </c>
      <c r="AF658" t="s">
        <v>44</v>
      </c>
      <c r="AG658" t="str">
        <f t="shared" si="10"/>
        <v>CC 12x</v>
      </c>
      <c r="AH658" t="str">
        <f>IF(AND(SUMIF(E:E,E658,I:I)&gt;=400000,Q658="B2G"),"n","")</f>
        <v/>
      </c>
    </row>
    <row r="659" spans="1:34">
      <c r="A659">
        <v>2026</v>
      </c>
      <c r="B659">
        <v>1</v>
      </c>
      <c r="C659" s="83">
        <v>3237001</v>
      </c>
      <c r="D659" t="s">
        <v>720</v>
      </c>
      <c r="E659">
        <v>54205275239</v>
      </c>
      <c r="F659">
        <v>635641</v>
      </c>
      <c r="G659">
        <v>49450873919</v>
      </c>
      <c r="H659" t="s">
        <v>35</v>
      </c>
      <c r="I659" s="36">
        <v>2529.12</v>
      </c>
      <c r="J659" s="36">
        <v>2529.12</v>
      </c>
      <c r="K659" s="85">
        <v>0</v>
      </c>
      <c r="L659" s="36">
        <v>210.76</v>
      </c>
      <c r="M659" s="36">
        <v>210.76</v>
      </c>
      <c r="N659" s="36">
        <v>0</v>
      </c>
      <c r="O659" s="36">
        <v>0</v>
      </c>
      <c r="P659" t="s">
        <v>506</v>
      </c>
      <c r="Q659" t="s">
        <v>300</v>
      </c>
      <c r="R659" t="s">
        <v>300</v>
      </c>
      <c r="S659" s="1">
        <v>46041</v>
      </c>
      <c r="T659" s="1">
        <v>46041</v>
      </c>
      <c r="V659" s="1">
        <v>46406</v>
      </c>
      <c r="W659" t="s">
        <v>38</v>
      </c>
      <c r="X659">
        <v>12</v>
      </c>
      <c r="Y659" t="s">
        <v>49</v>
      </c>
      <c r="AA659" t="s">
        <v>112</v>
      </c>
      <c r="AB659">
        <v>12</v>
      </c>
      <c r="AC659" t="s">
        <v>301</v>
      </c>
      <c r="AD659" t="s">
        <v>118</v>
      </c>
      <c r="AE659" t="s">
        <v>43</v>
      </c>
      <c r="AF659" t="s">
        <v>119</v>
      </c>
      <c r="AG659" t="str">
        <f t="shared" si="10"/>
        <v>CC 12x</v>
      </c>
      <c r="AH659" t="str">
        <f>IF(AND(SUMIF(E:E,E659,I:I)&gt;=400000,Q659="B2G"),"n","")</f>
        <v/>
      </c>
    </row>
    <row r="660" spans="1:34">
      <c r="A660">
        <v>2026</v>
      </c>
      <c r="B660">
        <v>1</v>
      </c>
      <c r="C660" s="83">
        <v>2088346</v>
      </c>
      <c r="D660" t="s">
        <v>721</v>
      </c>
      <c r="E660">
        <v>54207128725</v>
      </c>
      <c r="F660">
        <v>635721</v>
      </c>
      <c r="G660">
        <v>49748854121</v>
      </c>
      <c r="H660" t="s">
        <v>35</v>
      </c>
      <c r="I660" s="36">
        <v>2586.6</v>
      </c>
      <c r="J660" s="36">
        <v>2586.6</v>
      </c>
      <c r="K660" s="85">
        <v>0</v>
      </c>
      <c r="L660" s="36">
        <v>215.55</v>
      </c>
      <c r="M660" s="36">
        <v>215.55</v>
      </c>
      <c r="N660" s="36">
        <v>0</v>
      </c>
      <c r="O660" s="36">
        <v>0</v>
      </c>
      <c r="P660" t="s">
        <v>313</v>
      </c>
      <c r="Q660" t="s">
        <v>314</v>
      </c>
      <c r="R660" t="s">
        <v>314</v>
      </c>
      <c r="S660" s="1">
        <v>46045</v>
      </c>
      <c r="T660" s="1">
        <v>46045</v>
      </c>
      <c r="V660" s="1">
        <v>46410</v>
      </c>
      <c r="W660" t="s">
        <v>38</v>
      </c>
      <c r="X660">
        <v>12</v>
      </c>
      <c r="Y660" t="s">
        <v>49</v>
      </c>
      <c r="AA660" t="s">
        <v>112</v>
      </c>
      <c r="AB660">
        <v>12</v>
      </c>
      <c r="AC660" t="s">
        <v>315</v>
      </c>
      <c r="AD660" t="s">
        <v>140</v>
      </c>
      <c r="AE660" t="s">
        <v>46</v>
      </c>
      <c r="AF660" t="s">
        <v>119</v>
      </c>
      <c r="AG660" t="str">
        <f t="shared" si="10"/>
        <v>CC 12x</v>
      </c>
      <c r="AH660" t="str">
        <f>IF(AND(SUMIF(E:E,E660,I:I)&gt;=400000,Q660="B2G"),"n","")</f>
        <v/>
      </c>
    </row>
    <row r="661" spans="1:34">
      <c r="A661">
        <v>2026</v>
      </c>
      <c r="B661">
        <v>1</v>
      </c>
      <c r="C661" s="83">
        <v>124489701999</v>
      </c>
      <c r="D661" t="s">
        <v>722</v>
      </c>
      <c r="E661">
        <v>54208662704</v>
      </c>
      <c r="F661">
        <v>635644</v>
      </c>
      <c r="G661">
        <v>49575563689</v>
      </c>
      <c r="H661" t="s">
        <v>35</v>
      </c>
      <c r="I661" s="36">
        <v>4962.6000000000004</v>
      </c>
      <c r="J661" s="36">
        <v>4962.6000000000004</v>
      </c>
      <c r="K661" s="85">
        <v>0</v>
      </c>
      <c r="L661" s="36">
        <v>413.55</v>
      </c>
      <c r="M661" s="36">
        <v>413.55</v>
      </c>
      <c r="N661" s="36">
        <v>0</v>
      </c>
      <c r="O661" s="36">
        <v>0</v>
      </c>
      <c r="P661" t="s">
        <v>313</v>
      </c>
      <c r="Q661" t="s">
        <v>314</v>
      </c>
      <c r="R661" t="s">
        <v>314</v>
      </c>
      <c r="S661" s="1">
        <v>46041</v>
      </c>
      <c r="T661" s="1">
        <v>46041</v>
      </c>
      <c r="V661" s="1">
        <v>46406</v>
      </c>
      <c r="W661" t="s">
        <v>38</v>
      </c>
      <c r="X661">
        <v>12</v>
      </c>
      <c r="Y661" t="s">
        <v>49</v>
      </c>
      <c r="AA661" t="s">
        <v>122</v>
      </c>
      <c r="AB661">
        <v>12</v>
      </c>
      <c r="AC661" t="s">
        <v>315</v>
      </c>
      <c r="AD661" t="s">
        <v>138</v>
      </c>
      <c r="AE661" t="s">
        <v>135</v>
      </c>
      <c r="AF661" t="s">
        <v>119</v>
      </c>
      <c r="AG661" t="str">
        <f t="shared" si="10"/>
        <v>Recorrente</v>
      </c>
      <c r="AH661" t="str">
        <f>IF(AND(SUMIF(E:E,E661,I:I)&gt;=400000,Q661="B2G"),"n","")</f>
        <v/>
      </c>
    </row>
    <row r="662" spans="1:34">
      <c r="A662">
        <v>2026</v>
      </c>
      <c r="B662">
        <v>1</v>
      </c>
      <c r="C662" s="83">
        <v>186930212911</v>
      </c>
      <c r="D662" t="s">
        <v>723</v>
      </c>
      <c r="E662">
        <v>54209258023</v>
      </c>
      <c r="F662">
        <v>635645</v>
      </c>
      <c r="G662">
        <v>49572645554</v>
      </c>
      <c r="H662" t="s">
        <v>35</v>
      </c>
      <c r="I662" s="36">
        <v>633</v>
      </c>
      <c r="J662" s="36">
        <v>7596</v>
      </c>
      <c r="K662" s="85">
        <v>0</v>
      </c>
      <c r="L662" s="36">
        <v>633</v>
      </c>
      <c r="M662" s="36">
        <v>633</v>
      </c>
      <c r="N662" s="36">
        <v>0</v>
      </c>
      <c r="O662" s="36">
        <v>0</v>
      </c>
      <c r="P662" t="s">
        <v>121</v>
      </c>
      <c r="Q662" t="s">
        <v>111</v>
      </c>
      <c r="R662" t="s">
        <v>111</v>
      </c>
      <c r="S662" s="1">
        <v>46042</v>
      </c>
      <c r="T662" s="1">
        <v>46042</v>
      </c>
      <c r="V662" s="1">
        <v>46073</v>
      </c>
      <c r="W662" t="s">
        <v>679</v>
      </c>
      <c r="X662">
        <v>1</v>
      </c>
      <c r="Y662" t="s">
        <v>49</v>
      </c>
      <c r="AA662" t="s">
        <v>112</v>
      </c>
      <c r="AB662">
        <v>1</v>
      </c>
      <c r="AC662" t="s">
        <v>113</v>
      </c>
      <c r="AD662" t="s">
        <v>84</v>
      </c>
      <c r="AE662" t="s">
        <v>43</v>
      </c>
      <c r="AF662" t="s">
        <v>44</v>
      </c>
      <c r="AG662" t="str">
        <f t="shared" si="10"/>
        <v>À Vista</v>
      </c>
      <c r="AH662" t="str">
        <f>IF(AND(SUMIF(E:E,E662,I:I)&gt;=400000,Q662="B2G"),"n","")</f>
        <v/>
      </c>
    </row>
    <row r="663" spans="1:34">
      <c r="A663">
        <v>2026</v>
      </c>
      <c r="B663">
        <v>1</v>
      </c>
      <c r="C663" s="83">
        <v>19435714922</v>
      </c>
      <c r="D663" t="s">
        <v>724</v>
      </c>
      <c r="E663">
        <v>54209632140</v>
      </c>
      <c r="F663">
        <v>608028</v>
      </c>
      <c r="G663">
        <v>49779102643</v>
      </c>
      <c r="H663" t="s">
        <v>35</v>
      </c>
      <c r="I663" s="36">
        <v>12234.84</v>
      </c>
      <c r="J663" s="36">
        <v>12234.84</v>
      </c>
      <c r="K663" s="85">
        <v>0</v>
      </c>
      <c r="L663" s="36">
        <v>1019.57</v>
      </c>
      <c r="M663" s="36">
        <v>0</v>
      </c>
      <c r="N663" s="36">
        <v>141.37</v>
      </c>
      <c r="O663" s="36">
        <v>878.21</v>
      </c>
      <c r="P663" t="s">
        <v>133</v>
      </c>
      <c r="Q663" t="s">
        <v>111</v>
      </c>
      <c r="R663" t="s">
        <v>111</v>
      </c>
      <c r="S663" s="1">
        <v>46048</v>
      </c>
      <c r="T663" s="1">
        <v>46048</v>
      </c>
      <c r="U663" s="1">
        <v>46047</v>
      </c>
      <c r="V663" s="1">
        <v>46412</v>
      </c>
      <c r="W663" t="s">
        <v>38</v>
      </c>
      <c r="X663">
        <v>12</v>
      </c>
      <c r="Y663" t="s">
        <v>49</v>
      </c>
      <c r="Z663" t="s">
        <v>81</v>
      </c>
      <c r="AA663" t="s">
        <v>122</v>
      </c>
      <c r="AB663">
        <v>12</v>
      </c>
      <c r="AC663" t="s">
        <v>113</v>
      </c>
      <c r="AD663" t="s">
        <v>154</v>
      </c>
      <c r="AE663" t="s">
        <v>46</v>
      </c>
      <c r="AF663" t="s">
        <v>47</v>
      </c>
      <c r="AG663" t="str">
        <f t="shared" si="10"/>
        <v>Recorrente</v>
      </c>
      <c r="AH663" t="str">
        <f>IF(AND(SUMIF(E:E,E663,I:I)&gt;=400000,Q663="B2G"),"n","")</f>
        <v/>
      </c>
    </row>
    <row r="664" spans="1:34">
      <c r="A664">
        <v>2026</v>
      </c>
      <c r="B664">
        <v>1</v>
      </c>
      <c r="C664" s="83">
        <v>194406355461</v>
      </c>
      <c r="D664" t="s">
        <v>725</v>
      </c>
      <c r="E664">
        <v>54211718962</v>
      </c>
      <c r="F664">
        <v>635696</v>
      </c>
      <c r="G664">
        <v>49713514936</v>
      </c>
      <c r="H664" t="s">
        <v>35</v>
      </c>
      <c r="I664" s="36">
        <v>8634.6</v>
      </c>
      <c r="J664" s="36">
        <v>8634.6</v>
      </c>
      <c r="K664" s="85">
        <v>0</v>
      </c>
      <c r="L664" s="36">
        <v>719.55</v>
      </c>
      <c r="M664" s="36">
        <v>719.55</v>
      </c>
      <c r="N664" s="36">
        <v>0</v>
      </c>
      <c r="O664" s="36">
        <v>0</v>
      </c>
      <c r="P664" t="s">
        <v>313</v>
      </c>
      <c r="Q664" t="s">
        <v>314</v>
      </c>
      <c r="R664" t="s">
        <v>314</v>
      </c>
      <c r="S664" s="1">
        <v>46044</v>
      </c>
      <c r="T664" s="1">
        <v>46044</v>
      </c>
      <c r="V664" s="1">
        <v>46409</v>
      </c>
      <c r="W664" t="s">
        <v>38</v>
      </c>
      <c r="X664">
        <v>12</v>
      </c>
      <c r="Y664" t="s">
        <v>49</v>
      </c>
      <c r="AA664" t="s">
        <v>122</v>
      </c>
      <c r="AB664">
        <v>12</v>
      </c>
      <c r="AC664" t="s">
        <v>315</v>
      </c>
      <c r="AD664" t="s">
        <v>131</v>
      </c>
      <c r="AE664" t="s">
        <v>46</v>
      </c>
      <c r="AF664" t="s">
        <v>96</v>
      </c>
      <c r="AG664" t="str">
        <f t="shared" si="10"/>
        <v>Recorrente</v>
      </c>
      <c r="AH664" t="str">
        <f>IF(AND(SUMIF(E:E,E664,I:I)&gt;=400000,Q664="B2G"),"n","")</f>
        <v/>
      </c>
    </row>
    <row r="665" spans="1:34">
      <c r="A665">
        <v>2026</v>
      </c>
      <c r="B665">
        <v>1</v>
      </c>
      <c r="C665" s="83">
        <v>152701285888</v>
      </c>
      <c r="D665" t="s">
        <v>726</v>
      </c>
      <c r="E665">
        <v>54213163692</v>
      </c>
      <c r="F665">
        <v>635676</v>
      </c>
      <c r="G665">
        <v>49682020926</v>
      </c>
      <c r="H665" t="s">
        <v>35</v>
      </c>
      <c r="I665" s="36">
        <v>4530.6000000000004</v>
      </c>
      <c r="J665" s="36">
        <v>4530.6000000000004</v>
      </c>
      <c r="K665" s="85">
        <v>0</v>
      </c>
      <c r="L665" s="36">
        <v>377.55</v>
      </c>
      <c r="M665" s="36">
        <v>377.55</v>
      </c>
      <c r="N665" s="36">
        <v>0</v>
      </c>
      <c r="O665" s="36">
        <v>0</v>
      </c>
      <c r="P665" t="s">
        <v>313</v>
      </c>
      <c r="Q665" t="s">
        <v>314</v>
      </c>
      <c r="R665" t="s">
        <v>314</v>
      </c>
      <c r="S665" s="1">
        <v>46044</v>
      </c>
      <c r="T665" s="1">
        <v>46044</v>
      </c>
      <c r="V665" s="1">
        <v>46409</v>
      </c>
      <c r="W665" t="s">
        <v>38</v>
      </c>
      <c r="X665">
        <v>12</v>
      </c>
      <c r="Y665" t="s">
        <v>49</v>
      </c>
      <c r="AA665" t="s">
        <v>122</v>
      </c>
      <c r="AB665">
        <v>12</v>
      </c>
      <c r="AC665" t="s">
        <v>315</v>
      </c>
      <c r="AD665" t="s">
        <v>84</v>
      </c>
      <c r="AE665" t="s">
        <v>43</v>
      </c>
      <c r="AF665" t="s">
        <v>44</v>
      </c>
      <c r="AG665" t="str">
        <f t="shared" si="10"/>
        <v>Recorrente</v>
      </c>
      <c r="AH665" t="str">
        <f>IF(AND(SUMIF(E:E,E665,I:I)&gt;=400000,Q665="B2G"),"n","")</f>
        <v/>
      </c>
    </row>
    <row r="666" spans="1:34">
      <c r="A666">
        <v>2026</v>
      </c>
      <c r="B666">
        <v>1</v>
      </c>
      <c r="C666" s="83">
        <v>2071745</v>
      </c>
      <c r="D666" t="s">
        <v>727</v>
      </c>
      <c r="E666">
        <v>54214796579</v>
      </c>
      <c r="F666">
        <v>635849</v>
      </c>
      <c r="G666">
        <v>50513978940</v>
      </c>
      <c r="H666" t="s">
        <v>35</v>
      </c>
      <c r="I666" s="36">
        <v>9240</v>
      </c>
      <c r="J666" s="36">
        <v>4620</v>
      </c>
      <c r="K666" s="85">
        <v>4620</v>
      </c>
      <c r="L666" s="36">
        <v>385</v>
      </c>
      <c r="M666" s="36">
        <v>385</v>
      </c>
      <c r="N666" s="36">
        <v>0</v>
      </c>
      <c r="O666" s="36">
        <v>0</v>
      </c>
      <c r="P666" t="s">
        <v>313</v>
      </c>
      <c r="Q666" t="s">
        <v>314</v>
      </c>
      <c r="R666" t="s">
        <v>314</v>
      </c>
      <c r="S666" s="1">
        <v>46052</v>
      </c>
      <c r="T666" s="1">
        <v>46052</v>
      </c>
      <c r="V666" s="1">
        <v>46782</v>
      </c>
      <c r="W666" t="s">
        <v>56</v>
      </c>
      <c r="X666">
        <v>24</v>
      </c>
      <c r="Y666" t="s">
        <v>49</v>
      </c>
      <c r="AA666" t="s">
        <v>122</v>
      </c>
      <c r="AB666">
        <v>24</v>
      </c>
      <c r="AC666" t="s">
        <v>315</v>
      </c>
      <c r="AD666" t="s">
        <v>85</v>
      </c>
      <c r="AE666" t="s">
        <v>46</v>
      </c>
      <c r="AF666" t="s">
        <v>44</v>
      </c>
      <c r="AG666" t="str">
        <f t="shared" si="10"/>
        <v>Recorrente</v>
      </c>
      <c r="AH666" t="str">
        <f>IF(AND(SUMIF(E:E,E666,I:I)&gt;=400000,Q666="B2G"),"n","")</f>
        <v/>
      </c>
    </row>
    <row r="667" spans="1:34">
      <c r="A667">
        <v>2026</v>
      </c>
      <c r="B667">
        <v>1</v>
      </c>
      <c r="C667" s="83">
        <v>194939481496</v>
      </c>
      <c r="D667" t="s">
        <v>728</v>
      </c>
      <c r="E667">
        <v>54215394705</v>
      </c>
      <c r="F667">
        <v>635668</v>
      </c>
      <c r="G667">
        <v>49608446065</v>
      </c>
      <c r="H667" t="s">
        <v>35</v>
      </c>
      <c r="I667" s="36">
        <v>2529.12</v>
      </c>
      <c r="J667" s="36">
        <v>2529.12</v>
      </c>
      <c r="K667" s="85">
        <v>0</v>
      </c>
      <c r="L667" s="36">
        <v>210.76</v>
      </c>
      <c r="M667" s="36">
        <v>210.76</v>
      </c>
      <c r="N667" s="36">
        <v>0</v>
      </c>
      <c r="O667" s="36">
        <v>0</v>
      </c>
      <c r="P667" t="s">
        <v>506</v>
      </c>
      <c r="Q667" t="s">
        <v>300</v>
      </c>
      <c r="R667" t="s">
        <v>300</v>
      </c>
      <c r="S667" s="1">
        <v>46043</v>
      </c>
      <c r="T667" s="1">
        <v>46043</v>
      </c>
      <c r="V667" s="1">
        <v>46408</v>
      </c>
      <c r="W667" t="s">
        <v>38</v>
      </c>
      <c r="X667">
        <v>12</v>
      </c>
      <c r="Y667" t="s">
        <v>49</v>
      </c>
      <c r="AA667" t="s">
        <v>112</v>
      </c>
      <c r="AB667">
        <v>12</v>
      </c>
      <c r="AC667" t="s">
        <v>301</v>
      </c>
      <c r="AD667" t="s">
        <v>140</v>
      </c>
      <c r="AE667" t="s">
        <v>46</v>
      </c>
      <c r="AF667" t="s">
        <v>119</v>
      </c>
      <c r="AG667" t="str">
        <f t="shared" si="10"/>
        <v>CC 12x</v>
      </c>
      <c r="AH667" t="str">
        <f>IF(AND(SUMIF(E:E,E667,I:I)&gt;=400000,Q667="B2G"),"n","")</f>
        <v/>
      </c>
    </row>
    <row r="668" spans="1:34">
      <c r="A668">
        <v>2026</v>
      </c>
      <c r="B668">
        <v>1</v>
      </c>
      <c r="C668" s="83">
        <v>19435442787</v>
      </c>
      <c r="D668" t="s">
        <v>729</v>
      </c>
      <c r="E668">
        <v>54220381064</v>
      </c>
      <c r="F668">
        <v>525319</v>
      </c>
      <c r="G668">
        <v>50599264057</v>
      </c>
      <c r="H668" t="s">
        <v>35</v>
      </c>
      <c r="I668" s="36">
        <v>4065</v>
      </c>
      <c r="J668" s="36">
        <v>4065</v>
      </c>
      <c r="K668" s="85">
        <v>0</v>
      </c>
      <c r="L668" s="36">
        <v>338.75</v>
      </c>
      <c r="M668" s="36">
        <v>0</v>
      </c>
      <c r="N668" s="36">
        <v>35.32</v>
      </c>
      <c r="O668" s="36">
        <v>303.43</v>
      </c>
      <c r="P668" t="s">
        <v>110</v>
      </c>
      <c r="Q668" t="s">
        <v>111</v>
      </c>
      <c r="R668" t="s">
        <v>111</v>
      </c>
      <c r="S668" s="1">
        <v>46053</v>
      </c>
      <c r="T668" s="1">
        <v>46053</v>
      </c>
      <c r="U668" s="1">
        <v>46042</v>
      </c>
      <c r="V668" s="1">
        <v>46418</v>
      </c>
      <c r="W668" t="s">
        <v>38</v>
      </c>
      <c r="X668">
        <v>12</v>
      </c>
      <c r="Y668" t="s">
        <v>49</v>
      </c>
      <c r="Z668" t="s">
        <v>81</v>
      </c>
      <c r="AA668" t="s">
        <v>112</v>
      </c>
      <c r="AB668">
        <v>12</v>
      </c>
      <c r="AC668" t="s">
        <v>113</v>
      </c>
      <c r="AD668" t="s">
        <v>85</v>
      </c>
      <c r="AE668" t="s">
        <v>46</v>
      </c>
      <c r="AF668" t="s">
        <v>44</v>
      </c>
      <c r="AG668" t="str">
        <f t="shared" si="10"/>
        <v>CC 12x</v>
      </c>
      <c r="AH668" t="str">
        <f>IF(AND(SUMIF(E:E,E668,I:I)&gt;=400000,Q668="B2G"),"n","")</f>
        <v/>
      </c>
    </row>
    <row r="669" spans="1:34">
      <c r="A669">
        <v>2026</v>
      </c>
      <c r="B669">
        <v>1</v>
      </c>
      <c r="C669" s="83">
        <v>2066344</v>
      </c>
      <c r="D669" t="s">
        <v>730</v>
      </c>
      <c r="E669">
        <v>54228438100</v>
      </c>
      <c r="F669">
        <v>635706</v>
      </c>
      <c r="G669">
        <v>49754315034</v>
      </c>
      <c r="H669" t="s">
        <v>35</v>
      </c>
      <c r="I669" s="36">
        <v>2874</v>
      </c>
      <c r="J669" s="36">
        <v>2874</v>
      </c>
      <c r="K669" s="85">
        <v>0</v>
      </c>
      <c r="L669" s="36">
        <v>239.5</v>
      </c>
      <c r="M669" s="36">
        <v>239.5</v>
      </c>
      <c r="N669" s="36">
        <v>0</v>
      </c>
      <c r="O669" s="36">
        <v>0</v>
      </c>
      <c r="P669" t="s">
        <v>506</v>
      </c>
      <c r="Q669" t="s">
        <v>300</v>
      </c>
      <c r="R669" t="s">
        <v>300</v>
      </c>
      <c r="S669" s="1">
        <v>46045</v>
      </c>
      <c r="T669" s="1">
        <v>46045</v>
      </c>
      <c r="V669" s="1">
        <v>46410</v>
      </c>
      <c r="W669" t="s">
        <v>38</v>
      </c>
      <c r="X669">
        <v>12</v>
      </c>
      <c r="Y669" t="s">
        <v>49</v>
      </c>
      <c r="AA669" t="s">
        <v>122</v>
      </c>
      <c r="AB669">
        <v>12</v>
      </c>
      <c r="AC669" t="s">
        <v>301</v>
      </c>
      <c r="AD669" t="s">
        <v>118</v>
      </c>
      <c r="AE669" t="s">
        <v>43</v>
      </c>
      <c r="AF669" t="s">
        <v>119</v>
      </c>
      <c r="AG669" t="str">
        <f t="shared" si="10"/>
        <v>Recorrente</v>
      </c>
      <c r="AH669" t="str">
        <f>IF(AND(SUMIF(E:E,E669,I:I)&gt;=400000,Q669="B2G"),"n","")</f>
        <v/>
      </c>
    </row>
    <row r="670" spans="1:34">
      <c r="A670">
        <v>2026</v>
      </c>
      <c r="B670">
        <v>1</v>
      </c>
      <c r="C670" s="83">
        <v>192141401402</v>
      </c>
      <c r="D670" t="s">
        <v>731</v>
      </c>
      <c r="E670">
        <v>54238056748</v>
      </c>
      <c r="F670">
        <v>320026</v>
      </c>
      <c r="G670">
        <v>49631973498</v>
      </c>
      <c r="H670" t="s">
        <v>35</v>
      </c>
      <c r="I670" s="36">
        <v>2066.7600000000002</v>
      </c>
      <c r="J670" s="36">
        <v>4313.88</v>
      </c>
      <c r="K670" s="85">
        <v>0</v>
      </c>
      <c r="L670" s="36">
        <v>359.49</v>
      </c>
      <c r="M670" s="36">
        <v>0</v>
      </c>
      <c r="N670" s="36">
        <v>359.49</v>
      </c>
      <c r="O670" s="36">
        <v>0</v>
      </c>
      <c r="P670" t="s">
        <v>367</v>
      </c>
      <c r="Q670" t="s">
        <v>191</v>
      </c>
      <c r="R670" t="s">
        <v>191</v>
      </c>
      <c r="S670" s="1">
        <v>46042</v>
      </c>
      <c r="T670" s="1">
        <v>46042</v>
      </c>
      <c r="V670" s="1">
        <v>46217</v>
      </c>
      <c r="W670" t="s">
        <v>38</v>
      </c>
      <c r="X670">
        <v>6</v>
      </c>
      <c r="Y670" t="s">
        <v>49</v>
      </c>
      <c r="Z670" t="s">
        <v>324</v>
      </c>
      <c r="AA670" t="s">
        <v>117</v>
      </c>
      <c r="AB670">
        <v>1</v>
      </c>
      <c r="AC670" t="s">
        <v>192</v>
      </c>
      <c r="AD670" t="s">
        <v>288</v>
      </c>
      <c r="AE670" t="s">
        <v>289</v>
      </c>
      <c r="AF670" t="s">
        <v>59</v>
      </c>
      <c r="AG670" t="str">
        <f t="shared" si="10"/>
        <v>À Vista</v>
      </c>
      <c r="AH670" t="str">
        <f>IF(AND(SUMIF(E:E,E670,I:I)&gt;=400000,Q670="B2G"),"n","")</f>
        <v/>
      </c>
    </row>
    <row r="671" spans="1:34">
      <c r="A671">
        <v>2026</v>
      </c>
      <c r="B671">
        <v>1</v>
      </c>
      <c r="C671" s="83">
        <v>92405253547</v>
      </c>
      <c r="D671" t="s">
        <v>732</v>
      </c>
      <c r="E671">
        <v>54241496729</v>
      </c>
      <c r="F671">
        <v>625792</v>
      </c>
      <c r="G671">
        <v>49779082363</v>
      </c>
      <c r="H671" t="s">
        <v>35</v>
      </c>
      <c r="I671" s="36">
        <v>1939.92</v>
      </c>
      <c r="J671" s="36">
        <v>1939.92</v>
      </c>
      <c r="K671" s="85">
        <v>0</v>
      </c>
      <c r="L671" s="36">
        <v>161.66</v>
      </c>
      <c r="M671" s="36">
        <v>0</v>
      </c>
      <c r="N671" s="36">
        <v>30.26</v>
      </c>
      <c r="O671" s="36">
        <v>131.4</v>
      </c>
      <c r="P671" t="s">
        <v>116</v>
      </c>
      <c r="Q671" t="s">
        <v>111</v>
      </c>
      <c r="R671" t="s">
        <v>111</v>
      </c>
      <c r="S671" s="1">
        <v>46050</v>
      </c>
      <c r="T671" s="1">
        <v>46050</v>
      </c>
      <c r="U671" s="1">
        <v>46044</v>
      </c>
      <c r="V671" s="1">
        <v>46415</v>
      </c>
      <c r="W671" t="s">
        <v>38</v>
      </c>
      <c r="X671">
        <v>12</v>
      </c>
      <c r="Y671" t="s">
        <v>49</v>
      </c>
      <c r="Z671" t="s">
        <v>81</v>
      </c>
      <c r="AA671" t="s">
        <v>112</v>
      </c>
      <c r="AB671">
        <v>12</v>
      </c>
      <c r="AC671" t="s">
        <v>113</v>
      </c>
      <c r="AD671" t="s">
        <v>118</v>
      </c>
      <c r="AE671" t="s">
        <v>43</v>
      </c>
      <c r="AF671" t="s">
        <v>119</v>
      </c>
      <c r="AG671" t="str">
        <f t="shared" si="10"/>
        <v>CC 12x</v>
      </c>
      <c r="AH671" t="str">
        <f>IF(AND(SUMIF(E:E,E671,I:I)&gt;=400000,Q671="B2G"),"n","")</f>
        <v/>
      </c>
    </row>
    <row r="672" spans="1:34">
      <c r="A672">
        <v>2026</v>
      </c>
      <c r="B672">
        <v>1</v>
      </c>
      <c r="C672" s="83">
        <v>195755574847</v>
      </c>
      <c r="D672" t="s">
        <v>733</v>
      </c>
      <c r="E672">
        <v>54245573509</v>
      </c>
      <c r="F672">
        <v>635660</v>
      </c>
      <c r="G672">
        <v>49592216178</v>
      </c>
      <c r="H672" t="s">
        <v>35</v>
      </c>
      <c r="I672" s="36">
        <v>2874</v>
      </c>
      <c r="J672" s="36">
        <v>2874</v>
      </c>
      <c r="K672" s="85">
        <v>0</v>
      </c>
      <c r="L672" s="36">
        <v>239.5</v>
      </c>
      <c r="M672" s="36">
        <v>239.5</v>
      </c>
      <c r="N672" s="36">
        <v>0</v>
      </c>
      <c r="O672" s="36">
        <v>0</v>
      </c>
      <c r="P672" t="s">
        <v>511</v>
      </c>
      <c r="Q672" t="s">
        <v>300</v>
      </c>
      <c r="R672" t="s">
        <v>300</v>
      </c>
      <c r="S672" s="1">
        <v>46042</v>
      </c>
      <c r="T672" s="1">
        <v>46042</v>
      </c>
      <c r="V672" s="1">
        <v>46407</v>
      </c>
      <c r="W672" t="s">
        <v>38</v>
      </c>
      <c r="X672">
        <v>12</v>
      </c>
      <c r="Y672" t="s">
        <v>49</v>
      </c>
      <c r="AA672" t="s">
        <v>122</v>
      </c>
      <c r="AB672">
        <v>12</v>
      </c>
      <c r="AC672" t="s">
        <v>301</v>
      </c>
      <c r="AD672" t="s">
        <v>140</v>
      </c>
      <c r="AE672" t="s">
        <v>46</v>
      </c>
      <c r="AF672" t="s">
        <v>119</v>
      </c>
      <c r="AG672" t="str">
        <f t="shared" si="10"/>
        <v>Recorrente</v>
      </c>
      <c r="AH672" t="str">
        <f>IF(AND(SUMIF(E:E,E672,I:I)&gt;=400000,Q672="B2G"),"n","")</f>
        <v/>
      </c>
    </row>
    <row r="673" spans="1:34">
      <c r="A673">
        <v>2026</v>
      </c>
      <c r="B673">
        <v>1</v>
      </c>
      <c r="C673" s="83">
        <v>194447304454</v>
      </c>
      <c r="D673" t="s">
        <v>734</v>
      </c>
      <c r="E673">
        <v>54248237947</v>
      </c>
      <c r="F673">
        <v>635651</v>
      </c>
      <c r="G673">
        <v>49626165156</v>
      </c>
      <c r="H673" t="s">
        <v>35</v>
      </c>
      <c r="I673" s="36">
        <v>2241.7199999999998</v>
      </c>
      <c r="J673" s="36">
        <v>2241.7199999999998</v>
      </c>
      <c r="K673" s="85">
        <v>0</v>
      </c>
      <c r="L673" s="36">
        <v>186.81</v>
      </c>
      <c r="M673" s="36">
        <v>186.81</v>
      </c>
      <c r="N673" s="36">
        <v>0</v>
      </c>
      <c r="O673" s="36">
        <v>0</v>
      </c>
      <c r="P673" t="s">
        <v>506</v>
      </c>
      <c r="Q673" t="s">
        <v>300</v>
      </c>
      <c r="R673" t="s">
        <v>300</v>
      </c>
      <c r="S673" s="1">
        <v>46042</v>
      </c>
      <c r="T673" s="1">
        <v>46042</v>
      </c>
      <c r="V673" s="1">
        <v>46407</v>
      </c>
      <c r="W673" t="s">
        <v>38</v>
      </c>
      <c r="X673">
        <v>12</v>
      </c>
      <c r="Y673" t="s">
        <v>49</v>
      </c>
      <c r="AA673" t="s">
        <v>117</v>
      </c>
      <c r="AB673">
        <v>1</v>
      </c>
      <c r="AC673" t="s">
        <v>301</v>
      </c>
      <c r="AD673" t="s">
        <v>140</v>
      </c>
      <c r="AE673" t="s">
        <v>46</v>
      </c>
      <c r="AF673" t="s">
        <v>119</v>
      </c>
      <c r="AG673" t="str">
        <f t="shared" si="10"/>
        <v>À Vista</v>
      </c>
      <c r="AH673" t="str">
        <f>IF(AND(SUMIF(E:E,E673,I:I)&gt;=400000,Q673="B2G"),"n","")</f>
        <v/>
      </c>
    </row>
    <row r="674" spans="1:34">
      <c r="A674">
        <v>2026</v>
      </c>
      <c r="B674">
        <v>1</v>
      </c>
      <c r="C674" s="83">
        <v>104420862751</v>
      </c>
      <c r="D674" t="s">
        <v>735</v>
      </c>
      <c r="E674">
        <v>54252115071</v>
      </c>
      <c r="F674">
        <v>625831</v>
      </c>
      <c r="G674">
        <v>50045819761</v>
      </c>
      <c r="H674" t="s">
        <v>35</v>
      </c>
      <c r="I674" s="36">
        <v>2999.04</v>
      </c>
      <c r="J674" s="36">
        <v>2999.04</v>
      </c>
      <c r="K674" s="85">
        <v>0</v>
      </c>
      <c r="L674" s="36">
        <v>249.92</v>
      </c>
      <c r="M674" s="36">
        <v>0</v>
      </c>
      <c r="N674" s="36">
        <v>33.25</v>
      </c>
      <c r="O674" s="36">
        <v>216.67</v>
      </c>
      <c r="P674" t="s">
        <v>127</v>
      </c>
      <c r="Q674" t="s">
        <v>111</v>
      </c>
      <c r="R674" t="s">
        <v>111</v>
      </c>
      <c r="S674" s="1">
        <v>46049</v>
      </c>
      <c r="T674" s="1">
        <v>46049</v>
      </c>
      <c r="U674" s="1">
        <v>46045</v>
      </c>
      <c r="V674" s="1">
        <v>46410</v>
      </c>
      <c r="W674" t="s">
        <v>38</v>
      </c>
      <c r="X674">
        <v>12</v>
      </c>
      <c r="Y674" t="s">
        <v>49</v>
      </c>
      <c r="Z674" t="s">
        <v>81</v>
      </c>
      <c r="AA674" t="s">
        <v>117</v>
      </c>
      <c r="AB674">
        <v>1</v>
      </c>
      <c r="AC674" t="s">
        <v>113</v>
      </c>
      <c r="AD674" t="s">
        <v>160</v>
      </c>
      <c r="AE674" t="s">
        <v>43</v>
      </c>
      <c r="AF674" t="s">
        <v>44</v>
      </c>
      <c r="AG674" t="str">
        <f t="shared" si="10"/>
        <v>À Vista</v>
      </c>
      <c r="AH674" t="str">
        <f>IF(AND(SUMIF(E:E,E674,I:I)&gt;=400000,Q674="B2G"),"n","")</f>
        <v/>
      </c>
    </row>
    <row r="675" spans="1:34">
      <c r="A675">
        <v>2026</v>
      </c>
      <c r="B675">
        <v>1</v>
      </c>
      <c r="C675" s="83">
        <v>101831755433</v>
      </c>
      <c r="D675" t="s">
        <v>736</v>
      </c>
      <c r="E675">
        <v>54255100855</v>
      </c>
      <c r="F675">
        <v>635655</v>
      </c>
      <c r="G675">
        <v>49631527014</v>
      </c>
      <c r="H675" t="s">
        <v>35</v>
      </c>
      <c r="I675" s="36">
        <v>11044.92</v>
      </c>
      <c r="J675" s="36">
        <v>11044.94</v>
      </c>
      <c r="K675" s="85">
        <v>0</v>
      </c>
      <c r="L675" s="36">
        <v>920.41</v>
      </c>
      <c r="M675" s="36">
        <v>920.41</v>
      </c>
      <c r="N675" s="36">
        <v>0</v>
      </c>
      <c r="O675" s="36">
        <v>0</v>
      </c>
      <c r="P675" t="s">
        <v>506</v>
      </c>
      <c r="Q675" t="s">
        <v>300</v>
      </c>
      <c r="R675" t="s">
        <v>300</v>
      </c>
      <c r="S675" s="1">
        <v>46042</v>
      </c>
      <c r="T675" s="1">
        <v>46042</v>
      </c>
      <c r="V675" s="1">
        <v>46407</v>
      </c>
      <c r="W675" t="s">
        <v>38</v>
      </c>
      <c r="X675">
        <v>12</v>
      </c>
      <c r="Y675" t="s">
        <v>49</v>
      </c>
      <c r="AA675" t="s">
        <v>112</v>
      </c>
      <c r="AB675">
        <v>12</v>
      </c>
      <c r="AC675" t="s">
        <v>301</v>
      </c>
      <c r="AD675" t="s">
        <v>146</v>
      </c>
      <c r="AE675" t="s">
        <v>135</v>
      </c>
      <c r="AF675" t="s">
        <v>96</v>
      </c>
      <c r="AG675" t="str">
        <f t="shared" si="10"/>
        <v>CC 12x</v>
      </c>
      <c r="AH675" t="str">
        <f>IF(AND(SUMIF(E:E,E675,I:I)&gt;=400000,Q675="B2G"),"n","")</f>
        <v/>
      </c>
    </row>
    <row r="676" spans="1:34">
      <c r="A676">
        <v>2026</v>
      </c>
      <c r="B676">
        <v>1</v>
      </c>
      <c r="C676" s="83">
        <v>139931012996</v>
      </c>
      <c r="D676" t="s">
        <v>737</v>
      </c>
      <c r="E676">
        <v>54256099976</v>
      </c>
      <c r="F676">
        <v>635646</v>
      </c>
      <c r="G676">
        <v>49622351234</v>
      </c>
      <c r="H676" t="s">
        <v>35</v>
      </c>
      <c r="I676" s="36">
        <v>5754</v>
      </c>
      <c r="J676" s="36">
        <v>5754</v>
      </c>
      <c r="K676" s="85">
        <v>0</v>
      </c>
      <c r="L676" s="36">
        <v>479.5</v>
      </c>
      <c r="M676" s="36">
        <v>479.5</v>
      </c>
      <c r="N676" s="36">
        <v>0</v>
      </c>
      <c r="O676" s="36">
        <v>0</v>
      </c>
      <c r="P676" t="s">
        <v>511</v>
      </c>
      <c r="Q676" t="s">
        <v>300</v>
      </c>
      <c r="R676" t="s">
        <v>300</v>
      </c>
      <c r="S676" s="1">
        <v>46042</v>
      </c>
      <c r="T676" s="1">
        <v>46042</v>
      </c>
      <c r="V676" s="1">
        <v>46407</v>
      </c>
      <c r="W676" t="s">
        <v>38</v>
      </c>
      <c r="X676">
        <v>12</v>
      </c>
      <c r="Y676" t="s">
        <v>49</v>
      </c>
      <c r="AA676" t="s">
        <v>122</v>
      </c>
      <c r="AB676">
        <v>12</v>
      </c>
      <c r="AC676" t="s">
        <v>301</v>
      </c>
      <c r="AD676" t="s">
        <v>85</v>
      </c>
      <c r="AE676" t="s">
        <v>46</v>
      </c>
      <c r="AF676" t="s">
        <v>44</v>
      </c>
      <c r="AG676" t="str">
        <f t="shared" si="10"/>
        <v>Recorrente</v>
      </c>
      <c r="AH676" t="str">
        <f>IF(AND(SUMIF(E:E,E676,I:I)&gt;=400000,Q676="B2G"),"n","")</f>
        <v/>
      </c>
    </row>
    <row r="677" spans="1:34">
      <c r="A677">
        <v>2026</v>
      </c>
      <c r="B677">
        <v>1</v>
      </c>
      <c r="C677" s="83">
        <v>141751928640</v>
      </c>
      <c r="D677" t="s">
        <v>738</v>
      </c>
      <c r="E677">
        <v>54256416392</v>
      </c>
      <c r="F677">
        <v>631332</v>
      </c>
      <c r="G677">
        <v>49626170279</v>
      </c>
      <c r="H677" t="s">
        <v>35</v>
      </c>
      <c r="I677" s="36">
        <v>1409.16</v>
      </c>
      <c r="J677" s="36">
        <v>2737.92</v>
      </c>
      <c r="K677" s="85">
        <v>0</v>
      </c>
      <c r="L677" s="36">
        <v>228.16</v>
      </c>
      <c r="M677" s="36">
        <v>0</v>
      </c>
      <c r="N677" s="36">
        <v>228.16</v>
      </c>
      <c r="O677" s="36">
        <v>0</v>
      </c>
      <c r="P677" t="s">
        <v>323</v>
      </c>
      <c r="Q677" t="s">
        <v>191</v>
      </c>
      <c r="R677" t="s">
        <v>191</v>
      </c>
      <c r="S677" s="1">
        <v>46042</v>
      </c>
      <c r="T677" s="1">
        <v>46042</v>
      </c>
      <c r="V677" s="1">
        <v>46230</v>
      </c>
      <c r="W677" t="s">
        <v>38</v>
      </c>
      <c r="X677">
        <v>6</v>
      </c>
      <c r="Y677" t="s">
        <v>49</v>
      </c>
      <c r="Z677" t="s">
        <v>324</v>
      </c>
      <c r="AA677" t="s">
        <v>112</v>
      </c>
      <c r="AB677">
        <v>6</v>
      </c>
      <c r="AC677" t="s">
        <v>192</v>
      </c>
      <c r="AD677" t="s">
        <v>85</v>
      </c>
      <c r="AE677" t="s">
        <v>46</v>
      </c>
      <c r="AF677" t="s">
        <v>44</v>
      </c>
      <c r="AG677" t="str">
        <f t="shared" si="10"/>
        <v>CC 12x</v>
      </c>
      <c r="AH677" t="str">
        <f>IF(AND(SUMIF(E:E,E677,I:I)&gt;=400000,Q677="B2G"),"n","")</f>
        <v/>
      </c>
    </row>
    <row r="678" spans="1:34">
      <c r="A678">
        <v>2026</v>
      </c>
      <c r="B678">
        <v>1</v>
      </c>
      <c r="C678" s="83">
        <v>194705781630</v>
      </c>
      <c r="D678" t="s">
        <v>739</v>
      </c>
      <c r="E678">
        <v>54259006285</v>
      </c>
      <c r="F678">
        <v>635656</v>
      </c>
      <c r="G678">
        <v>49634703798</v>
      </c>
      <c r="H678" t="s">
        <v>35</v>
      </c>
      <c r="I678" s="36">
        <v>2874</v>
      </c>
      <c r="J678" s="36">
        <v>2874</v>
      </c>
      <c r="K678" s="85">
        <v>0</v>
      </c>
      <c r="L678" s="36">
        <v>239.5</v>
      </c>
      <c r="M678" s="36">
        <v>239.5</v>
      </c>
      <c r="N678" s="36">
        <v>0</v>
      </c>
      <c r="O678" s="36">
        <v>0</v>
      </c>
      <c r="P678" t="s">
        <v>497</v>
      </c>
      <c r="Q678" t="s">
        <v>498</v>
      </c>
      <c r="R678" t="s">
        <v>498</v>
      </c>
      <c r="S678" s="1">
        <v>46042</v>
      </c>
      <c r="T678" s="1">
        <v>46042</v>
      </c>
      <c r="V678" s="1">
        <v>46407</v>
      </c>
      <c r="W678" t="s">
        <v>38</v>
      </c>
      <c r="X678">
        <v>12</v>
      </c>
      <c r="Y678" t="s">
        <v>49</v>
      </c>
      <c r="AA678" t="s">
        <v>117</v>
      </c>
      <c r="AB678">
        <v>1</v>
      </c>
      <c r="AC678" t="s">
        <v>499</v>
      </c>
      <c r="AD678" t="s">
        <v>140</v>
      </c>
      <c r="AE678" t="s">
        <v>46</v>
      </c>
      <c r="AF678" t="s">
        <v>119</v>
      </c>
      <c r="AG678" t="str">
        <f t="shared" si="10"/>
        <v>À Vista</v>
      </c>
      <c r="AH678" t="str">
        <f>IF(AND(SUMIF(E:E,E678,I:I)&gt;=400000,Q678="B2G"),"n","")</f>
        <v/>
      </c>
    </row>
    <row r="679" spans="1:34">
      <c r="A679">
        <v>2026</v>
      </c>
      <c r="B679">
        <v>1</v>
      </c>
      <c r="C679" s="83">
        <v>2070999</v>
      </c>
      <c r="D679" t="s">
        <v>740</v>
      </c>
      <c r="E679">
        <v>54259492190</v>
      </c>
      <c r="F679">
        <v>324476</v>
      </c>
      <c r="G679">
        <v>49624747025</v>
      </c>
      <c r="H679" t="s">
        <v>35</v>
      </c>
      <c r="I679" s="36">
        <v>2567.04</v>
      </c>
      <c r="J679" s="36">
        <v>3843</v>
      </c>
      <c r="K679" s="85">
        <v>0</v>
      </c>
      <c r="L679" s="36">
        <v>320.25</v>
      </c>
      <c r="M679" s="36">
        <v>0</v>
      </c>
      <c r="N679" s="36">
        <v>320.25</v>
      </c>
      <c r="O679" s="36">
        <v>0</v>
      </c>
      <c r="P679" t="s">
        <v>469</v>
      </c>
      <c r="Q679" t="s">
        <v>191</v>
      </c>
      <c r="R679" t="s">
        <v>191</v>
      </c>
      <c r="S679" s="1">
        <v>46042</v>
      </c>
      <c r="T679" s="1">
        <v>46042</v>
      </c>
      <c r="V679" s="1">
        <v>46286</v>
      </c>
      <c r="W679" t="s">
        <v>38</v>
      </c>
      <c r="X679">
        <v>8</v>
      </c>
      <c r="Y679" t="s">
        <v>49</v>
      </c>
      <c r="Z679" t="s">
        <v>324</v>
      </c>
      <c r="AA679" t="s">
        <v>122</v>
      </c>
      <c r="AB679">
        <v>8</v>
      </c>
      <c r="AC679" t="s">
        <v>192</v>
      </c>
      <c r="AD679" t="s">
        <v>134</v>
      </c>
      <c r="AE679" t="s">
        <v>135</v>
      </c>
      <c r="AF679" t="s">
        <v>44</v>
      </c>
      <c r="AG679" t="str">
        <f t="shared" si="10"/>
        <v>Recorrente</v>
      </c>
      <c r="AH679" t="str">
        <f>IF(AND(SUMIF(E:E,E679,I:I)&gt;=400000,Q679="B2G"),"n","")</f>
        <v/>
      </c>
    </row>
    <row r="680" spans="1:34">
      <c r="A680">
        <v>2026</v>
      </c>
      <c r="B680">
        <v>1</v>
      </c>
      <c r="C680" s="83">
        <v>182483633782</v>
      </c>
      <c r="D680" t="s">
        <v>741</v>
      </c>
      <c r="E680">
        <v>54259767432</v>
      </c>
      <c r="F680">
        <v>625755</v>
      </c>
      <c r="G680">
        <v>49949728586</v>
      </c>
      <c r="H680" t="s">
        <v>35</v>
      </c>
      <c r="I680" s="36">
        <v>4308</v>
      </c>
      <c r="J680" s="36">
        <v>4308</v>
      </c>
      <c r="K680" s="85">
        <v>0</v>
      </c>
      <c r="L680" s="36">
        <v>359</v>
      </c>
      <c r="M680" s="36">
        <v>0</v>
      </c>
      <c r="N680" s="36">
        <v>20.38</v>
      </c>
      <c r="O680" s="36">
        <v>338.62</v>
      </c>
      <c r="P680" t="s">
        <v>127</v>
      </c>
      <c r="Q680" t="s">
        <v>111</v>
      </c>
      <c r="R680" t="s">
        <v>111</v>
      </c>
      <c r="S680" s="1">
        <v>46049</v>
      </c>
      <c r="T680" s="1">
        <v>46049</v>
      </c>
      <c r="U680" s="1">
        <v>46043</v>
      </c>
      <c r="V680" s="1">
        <v>46414</v>
      </c>
      <c r="W680" t="s">
        <v>38</v>
      </c>
      <c r="X680">
        <v>12</v>
      </c>
      <c r="Y680" t="s">
        <v>49</v>
      </c>
      <c r="Z680" t="s">
        <v>81</v>
      </c>
      <c r="AA680" t="s">
        <v>122</v>
      </c>
      <c r="AB680">
        <v>12</v>
      </c>
      <c r="AC680" t="s">
        <v>113</v>
      </c>
      <c r="AD680" t="s">
        <v>84</v>
      </c>
      <c r="AE680" t="s">
        <v>43</v>
      </c>
      <c r="AF680" t="s">
        <v>44</v>
      </c>
      <c r="AG680" t="str">
        <f t="shared" si="10"/>
        <v>Recorrente</v>
      </c>
      <c r="AH680" t="str">
        <f>IF(AND(SUMIF(E:E,E680,I:I)&gt;=400000,Q680="B2G"),"n","")</f>
        <v/>
      </c>
    </row>
    <row r="681" spans="1:34">
      <c r="A681">
        <v>2026</v>
      </c>
      <c r="B681">
        <v>1</v>
      </c>
      <c r="C681" s="83">
        <v>2139231</v>
      </c>
      <c r="D681" t="s">
        <v>742</v>
      </c>
      <c r="E681">
        <v>54260601450</v>
      </c>
      <c r="F681">
        <v>625645</v>
      </c>
      <c r="G681">
        <v>49944535560</v>
      </c>
      <c r="H681" t="s">
        <v>35</v>
      </c>
      <c r="I681" s="36">
        <v>5293.44</v>
      </c>
      <c r="J681" s="36">
        <v>5293.44</v>
      </c>
      <c r="K681" s="85">
        <v>0</v>
      </c>
      <c r="L681" s="36">
        <v>441.12</v>
      </c>
      <c r="M681" s="36">
        <v>0</v>
      </c>
      <c r="N681" s="36">
        <v>31.92</v>
      </c>
      <c r="O681" s="36">
        <v>409.2</v>
      </c>
      <c r="P681" t="s">
        <v>162</v>
      </c>
      <c r="Q681" t="s">
        <v>111</v>
      </c>
      <c r="R681" t="s">
        <v>111</v>
      </c>
      <c r="S681" s="1">
        <v>46048</v>
      </c>
      <c r="T681" s="1">
        <v>46048</v>
      </c>
      <c r="U681" s="1">
        <v>46039</v>
      </c>
      <c r="V681" s="1">
        <v>46413</v>
      </c>
      <c r="W681" t="s">
        <v>38</v>
      </c>
      <c r="X681">
        <v>12</v>
      </c>
      <c r="Y681" t="s">
        <v>49</v>
      </c>
      <c r="Z681" t="s">
        <v>81</v>
      </c>
      <c r="AA681" t="s">
        <v>112</v>
      </c>
      <c r="AB681">
        <v>12</v>
      </c>
      <c r="AC681" t="s">
        <v>113</v>
      </c>
      <c r="AD681" t="s">
        <v>138</v>
      </c>
      <c r="AE681" t="s">
        <v>135</v>
      </c>
      <c r="AF681" t="s">
        <v>119</v>
      </c>
      <c r="AG681" t="str">
        <f t="shared" si="10"/>
        <v>CC 12x</v>
      </c>
      <c r="AH681" t="str">
        <f>IF(AND(SUMIF(E:E,E681,I:I)&gt;=400000,Q681="B2G"),"n","")</f>
        <v/>
      </c>
    </row>
    <row r="682" spans="1:34">
      <c r="A682">
        <v>2026</v>
      </c>
      <c r="B682">
        <v>1</v>
      </c>
      <c r="C682" s="83">
        <v>120430448764</v>
      </c>
      <c r="D682" t="s">
        <v>743</v>
      </c>
      <c r="E682">
        <v>54260941497</v>
      </c>
      <c r="F682">
        <v>314834</v>
      </c>
      <c r="G682">
        <v>49631140267</v>
      </c>
      <c r="H682" t="s">
        <v>35</v>
      </c>
      <c r="I682" s="36">
        <v>511.8</v>
      </c>
      <c r="J682" s="36">
        <v>1254.5999999999999</v>
      </c>
      <c r="K682" s="85">
        <v>0</v>
      </c>
      <c r="L682" s="36">
        <v>104.55</v>
      </c>
      <c r="M682" s="36">
        <v>0</v>
      </c>
      <c r="N682" s="36">
        <v>104.55</v>
      </c>
      <c r="O682" s="36">
        <v>0</v>
      </c>
      <c r="P682" t="s">
        <v>323</v>
      </c>
      <c r="Q682" t="s">
        <v>191</v>
      </c>
      <c r="R682" t="s">
        <v>191</v>
      </c>
      <c r="S682" s="1">
        <v>46042</v>
      </c>
      <c r="T682" s="1">
        <v>46042</v>
      </c>
      <c r="V682" s="1">
        <v>46191</v>
      </c>
      <c r="W682" t="s">
        <v>38</v>
      </c>
      <c r="X682">
        <v>5</v>
      </c>
      <c r="Y682" t="s">
        <v>49</v>
      </c>
      <c r="Z682" t="s">
        <v>324</v>
      </c>
      <c r="AA682" t="s">
        <v>122</v>
      </c>
      <c r="AB682">
        <v>4</v>
      </c>
      <c r="AC682" t="s">
        <v>192</v>
      </c>
      <c r="AD682" t="s">
        <v>149</v>
      </c>
      <c r="AE682" t="s">
        <v>43</v>
      </c>
      <c r="AF682" t="s">
        <v>96</v>
      </c>
      <c r="AG682" t="str">
        <f t="shared" si="10"/>
        <v>Recorrente</v>
      </c>
      <c r="AH682" t="str">
        <f>IF(AND(SUMIF(E:E,E682,I:I)&gt;=400000,Q682="B2G"),"n","")</f>
        <v/>
      </c>
    </row>
    <row r="683" spans="1:34">
      <c r="A683">
        <v>2026</v>
      </c>
      <c r="B683">
        <v>1</v>
      </c>
      <c r="C683" s="83">
        <v>2136453</v>
      </c>
      <c r="D683" t="s">
        <v>744</v>
      </c>
      <c r="E683">
        <v>54265309615</v>
      </c>
      <c r="F683">
        <v>635679</v>
      </c>
      <c r="G683">
        <v>49704413739</v>
      </c>
      <c r="H683" t="s">
        <v>35</v>
      </c>
      <c r="I683" s="36">
        <v>5238.24</v>
      </c>
      <c r="J683" s="36">
        <v>5238.3</v>
      </c>
      <c r="K683" s="85">
        <v>0</v>
      </c>
      <c r="L683" s="36">
        <v>436.53</v>
      </c>
      <c r="M683" s="36">
        <v>436.53</v>
      </c>
      <c r="N683" s="36">
        <v>0</v>
      </c>
      <c r="O683" s="36">
        <v>0</v>
      </c>
      <c r="P683" t="s">
        <v>506</v>
      </c>
      <c r="Q683" t="s">
        <v>300</v>
      </c>
      <c r="R683" t="s">
        <v>300</v>
      </c>
      <c r="S683" s="1">
        <v>46044</v>
      </c>
      <c r="T683" s="1">
        <v>46044</v>
      </c>
      <c r="V683" s="1">
        <v>46409</v>
      </c>
      <c r="W683" t="s">
        <v>38</v>
      </c>
      <c r="X683">
        <v>12</v>
      </c>
      <c r="Y683" t="s">
        <v>49</v>
      </c>
      <c r="AA683" t="s">
        <v>122</v>
      </c>
      <c r="AB683">
        <v>12</v>
      </c>
      <c r="AC683" t="s">
        <v>301</v>
      </c>
      <c r="AD683" t="s">
        <v>138</v>
      </c>
      <c r="AE683" t="s">
        <v>135</v>
      </c>
      <c r="AF683" t="s">
        <v>119</v>
      </c>
      <c r="AG683" t="str">
        <f t="shared" si="10"/>
        <v>Recorrente</v>
      </c>
      <c r="AH683" t="str">
        <f>IF(AND(SUMIF(E:E,E683,I:I)&gt;=400000,Q683="B2G"),"n","")</f>
        <v/>
      </c>
    </row>
    <row r="684" spans="1:34">
      <c r="A684">
        <v>2026</v>
      </c>
      <c r="B684">
        <v>1</v>
      </c>
      <c r="C684" s="83">
        <v>49203796394</v>
      </c>
      <c r="D684" t="s">
        <v>745</v>
      </c>
      <c r="E684">
        <v>54266952046</v>
      </c>
      <c r="F684">
        <v>635686</v>
      </c>
      <c r="G684">
        <v>49673206962</v>
      </c>
      <c r="H684" t="s">
        <v>35</v>
      </c>
      <c r="I684" s="36">
        <v>6032.52</v>
      </c>
      <c r="J684" s="36">
        <v>6032.56</v>
      </c>
      <c r="K684" s="85">
        <v>0</v>
      </c>
      <c r="L684" s="36">
        <v>502.71</v>
      </c>
      <c r="M684" s="36">
        <v>502.71</v>
      </c>
      <c r="N684" s="36">
        <v>0</v>
      </c>
      <c r="O684" s="36">
        <v>0</v>
      </c>
      <c r="P684" t="s">
        <v>501</v>
      </c>
      <c r="Q684" t="s">
        <v>314</v>
      </c>
      <c r="R684" t="s">
        <v>314</v>
      </c>
      <c r="S684" s="1">
        <v>46044</v>
      </c>
      <c r="T684" s="1">
        <v>46044</v>
      </c>
      <c r="V684" s="1">
        <v>46409</v>
      </c>
      <c r="W684" t="s">
        <v>38</v>
      </c>
      <c r="X684">
        <v>12</v>
      </c>
      <c r="Y684" t="s">
        <v>49</v>
      </c>
      <c r="AA684" t="s">
        <v>117</v>
      </c>
      <c r="AB684">
        <v>1</v>
      </c>
      <c r="AC684" t="s">
        <v>315</v>
      </c>
      <c r="AD684" t="s">
        <v>125</v>
      </c>
      <c r="AE684" t="s">
        <v>43</v>
      </c>
      <c r="AF684" t="s">
        <v>47</v>
      </c>
      <c r="AG684" t="str">
        <f t="shared" si="10"/>
        <v>À Vista</v>
      </c>
      <c r="AH684" t="str">
        <f>IF(AND(SUMIF(E:E,E684,I:I)&gt;=400000,Q684="B2G"),"n","")</f>
        <v/>
      </c>
    </row>
    <row r="685" spans="1:34">
      <c r="A685">
        <v>2026</v>
      </c>
      <c r="B685">
        <v>1</v>
      </c>
      <c r="C685" s="83">
        <v>19435702558</v>
      </c>
      <c r="D685" t="s">
        <v>746</v>
      </c>
      <c r="E685">
        <v>54267210008</v>
      </c>
      <c r="F685">
        <v>635659</v>
      </c>
      <c r="G685">
        <v>49631517975</v>
      </c>
      <c r="H685" t="s">
        <v>35</v>
      </c>
      <c r="I685" s="36">
        <v>6327.96</v>
      </c>
      <c r="J685" s="36">
        <v>3373.45</v>
      </c>
      <c r="K685" s="85">
        <v>2954.51</v>
      </c>
      <c r="L685" s="36">
        <v>281.12</v>
      </c>
      <c r="M685" s="36">
        <v>0</v>
      </c>
      <c r="N685" s="36">
        <v>29.98</v>
      </c>
      <c r="O685" s="36">
        <v>251.1382673</v>
      </c>
      <c r="P685" t="s">
        <v>127</v>
      </c>
      <c r="Q685" t="s">
        <v>111</v>
      </c>
      <c r="R685" t="s">
        <v>111</v>
      </c>
      <c r="S685" s="1">
        <v>46042</v>
      </c>
      <c r="T685" s="1">
        <v>46042</v>
      </c>
      <c r="V685" s="1">
        <v>46407</v>
      </c>
      <c r="W685" t="s">
        <v>38</v>
      </c>
      <c r="Y685" t="s">
        <v>49</v>
      </c>
      <c r="AA685" t="s">
        <v>122</v>
      </c>
      <c r="AB685">
        <v>12</v>
      </c>
      <c r="AC685" t="s">
        <v>113</v>
      </c>
      <c r="AD685" t="s">
        <v>125</v>
      </c>
      <c r="AE685" t="s">
        <v>43</v>
      </c>
      <c r="AF685" t="s">
        <v>47</v>
      </c>
      <c r="AG685" t="str">
        <f t="shared" si="10"/>
        <v>Recorrente</v>
      </c>
      <c r="AH685" t="str">
        <f>IF(AND(SUMIF(E:E,E685,I:I)&gt;=400000,Q685="B2G"),"n","")</f>
        <v/>
      </c>
    </row>
    <row r="686" spans="1:34">
      <c r="A686">
        <v>2026</v>
      </c>
      <c r="B686">
        <v>1</v>
      </c>
      <c r="C686" s="83">
        <v>19435702558</v>
      </c>
      <c r="D686" t="s">
        <v>746</v>
      </c>
      <c r="E686">
        <v>54267210008</v>
      </c>
      <c r="F686">
        <v>635659</v>
      </c>
      <c r="G686">
        <v>49631517976</v>
      </c>
      <c r="H686" t="s">
        <v>35</v>
      </c>
      <c r="I686" s="36">
        <v>4184.04</v>
      </c>
      <c r="J686" s="36">
        <v>2230.5100000000002</v>
      </c>
      <c r="K686" s="85">
        <v>1953.53</v>
      </c>
      <c r="L686" s="36">
        <v>185.88</v>
      </c>
      <c r="M686" s="36">
        <v>0</v>
      </c>
      <c r="N686" s="36">
        <v>19.82</v>
      </c>
      <c r="O686" s="36">
        <v>166.0517327</v>
      </c>
      <c r="P686" t="s">
        <v>127</v>
      </c>
      <c r="Q686" t="s">
        <v>111</v>
      </c>
      <c r="R686" t="s">
        <v>111</v>
      </c>
      <c r="S686" s="1">
        <v>46042</v>
      </c>
      <c r="T686" s="1">
        <v>46042</v>
      </c>
      <c r="V686" s="1">
        <v>46407</v>
      </c>
      <c r="W686" t="s">
        <v>38</v>
      </c>
      <c r="Y686" t="s">
        <v>49</v>
      </c>
      <c r="AA686" t="s">
        <v>122</v>
      </c>
      <c r="AB686">
        <v>12</v>
      </c>
      <c r="AC686" t="s">
        <v>113</v>
      </c>
      <c r="AD686" t="s">
        <v>229</v>
      </c>
      <c r="AE686" t="s">
        <v>43</v>
      </c>
      <c r="AF686" t="s">
        <v>96</v>
      </c>
      <c r="AG686" t="str">
        <f t="shared" si="10"/>
        <v>Recorrente</v>
      </c>
      <c r="AH686" t="str">
        <f>IF(AND(SUMIF(E:E,E686,I:I)&gt;=400000,Q686="B2G"),"n","")</f>
        <v/>
      </c>
    </row>
    <row r="687" spans="1:34">
      <c r="A687">
        <v>2026</v>
      </c>
      <c r="B687">
        <v>1</v>
      </c>
      <c r="C687" s="83">
        <v>2071241</v>
      </c>
      <c r="D687" t="s">
        <v>747</v>
      </c>
      <c r="E687">
        <v>54274675541</v>
      </c>
      <c r="F687">
        <v>635727</v>
      </c>
      <c r="G687">
        <v>49708073884</v>
      </c>
      <c r="H687" t="s">
        <v>35</v>
      </c>
      <c r="I687" s="36">
        <v>4453.5600000000004</v>
      </c>
      <c r="J687" s="36">
        <v>4453.6000000000004</v>
      </c>
      <c r="K687" s="85">
        <v>0</v>
      </c>
      <c r="L687" s="36">
        <v>371.13</v>
      </c>
      <c r="M687" s="36">
        <v>371.13</v>
      </c>
      <c r="N687" s="36">
        <v>0</v>
      </c>
      <c r="O687" s="36">
        <v>0</v>
      </c>
      <c r="P687" t="s">
        <v>501</v>
      </c>
      <c r="Q687" t="s">
        <v>314</v>
      </c>
      <c r="R687" t="s">
        <v>314</v>
      </c>
      <c r="S687" s="1">
        <v>46046</v>
      </c>
      <c r="T687" s="1">
        <v>46046</v>
      </c>
      <c r="V687" s="1">
        <v>46411</v>
      </c>
      <c r="W687" t="s">
        <v>38</v>
      </c>
      <c r="X687">
        <v>12</v>
      </c>
      <c r="Y687" t="s">
        <v>49</v>
      </c>
      <c r="AA687" t="s">
        <v>112</v>
      </c>
      <c r="AB687">
        <v>1</v>
      </c>
      <c r="AC687" t="s">
        <v>315</v>
      </c>
      <c r="AD687" t="s">
        <v>85</v>
      </c>
      <c r="AE687" t="s">
        <v>46</v>
      </c>
      <c r="AF687" t="s">
        <v>44</v>
      </c>
      <c r="AG687" t="str">
        <f t="shared" si="10"/>
        <v>À Vista</v>
      </c>
      <c r="AH687" t="str">
        <f>IF(AND(SUMIF(E:E,E687,I:I)&gt;=400000,Q687="B2G"),"n","")</f>
        <v/>
      </c>
    </row>
    <row r="688" spans="1:34">
      <c r="A688">
        <v>2026</v>
      </c>
      <c r="B688">
        <v>1</v>
      </c>
      <c r="C688" s="83">
        <v>2071116</v>
      </c>
      <c r="D688" t="s">
        <v>748</v>
      </c>
      <c r="E688">
        <v>54276115255</v>
      </c>
      <c r="F688">
        <v>635704</v>
      </c>
      <c r="G688">
        <v>49748874159</v>
      </c>
      <c r="H688" t="s">
        <v>35</v>
      </c>
      <c r="I688" s="36">
        <v>2400</v>
      </c>
      <c r="J688" s="36">
        <v>2400</v>
      </c>
      <c r="K688" s="85">
        <v>0</v>
      </c>
      <c r="L688" s="36">
        <v>200</v>
      </c>
      <c r="M688" s="36">
        <v>200</v>
      </c>
      <c r="N688" s="36">
        <v>0</v>
      </c>
      <c r="O688" s="36">
        <v>0</v>
      </c>
      <c r="P688" t="s">
        <v>313</v>
      </c>
      <c r="Q688" t="s">
        <v>314</v>
      </c>
      <c r="R688" t="s">
        <v>314</v>
      </c>
      <c r="S688" s="1">
        <v>46045</v>
      </c>
      <c r="T688" s="1">
        <v>46045</v>
      </c>
      <c r="V688" s="1">
        <v>46410</v>
      </c>
      <c r="W688" t="s">
        <v>38</v>
      </c>
      <c r="X688">
        <v>12</v>
      </c>
      <c r="Y688" t="s">
        <v>49</v>
      </c>
      <c r="AA688" t="s">
        <v>112</v>
      </c>
      <c r="AB688">
        <v>12</v>
      </c>
      <c r="AC688" t="s">
        <v>315</v>
      </c>
      <c r="AD688" t="s">
        <v>118</v>
      </c>
      <c r="AE688" t="s">
        <v>43</v>
      </c>
      <c r="AF688" t="s">
        <v>119</v>
      </c>
      <c r="AG688" t="str">
        <f t="shared" si="10"/>
        <v>CC 12x</v>
      </c>
      <c r="AH688" t="str">
        <f>IF(AND(SUMIF(E:E,E688,I:I)&gt;=400000,Q688="B2G"),"n","")</f>
        <v/>
      </c>
    </row>
    <row r="689" spans="1:34">
      <c r="A689">
        <v>2026</v>
      </c>
      <c r="B689">
        <v>1</v>
      </c>
      <c r="C689" s="83">
        <v>19485589856</v>
      </c>
      <c r="D689" t="s">
        <v>749</v>
      </c>
      <c r="E689">
        <v>54285733671</v>
      </c>
      <c r="F689">
        <v>635673</v>
      </c>
      <c r="G689">
        <v>49678844297</v>
      </c>
      <c r="H689" t="s">
        <v>35</v>
      </c>
      <c r="I689" s="36">
        <v>2640</v>
      </c>
      <c r="J689" s="36">
        <v>2640</v>
      </c>
      <c r="K689" s="85">
        <v>0</v>
      </c>
      <c r="L689" s="36">
        <v>220</v>
      </c>
      <c r="M689" s="36">
        <v>220</v>
      </c>
      <c r="N689" s="36">
        <v>0</v>
      </c>
      <c r="O689" s="36">
        <v>0</v>
      </c>
      <c r="P689" t="s">
        <v>511</v>
      </c>
      <c r="Q689" t="s">
        <v>300</v>
      </c>
      <c r="R689" t="s">
        <v>300</v>
      </c>
      <c r="S689" s="1">
        <v>46043</v>
      </c>
      <c r="T689" s="1">
        <v>46043</v>
      </c>
      <c r="V689" s="1">
        <v>46408</v>
      </c>
      <c r="W689" t="s">
        <v>38</v>
      </c>
      <c r="X689">
        <v>12</v>
      </c>
      <c r="Y689" t="s">
        <v>49</v>
      </c>
      <c r="AA689" t="s">
        <v>112</v>
      </c>
      <c r="AB689">
        <v>12</v>
      </c>
      <c r="AC689" t="s">
        <v>301</v>
      </c>
      <c r="AD689" t="s">
        <v>140</v>
      </c>
      <c r="AE689" t="s">
        <v>46</v>
      </c>
      <c r="AF689" t="s">
        <v>119</v>
      </c>
      <c r="AG689" t="str">
        <f t="shared" si="10"/>
        <v>CC 12x</v>
      </c>
      <c r="AH689" t="str">
        <f>IF(AND(SUMIF(E:E,E689,I:I)&gt;=400000,Q689="B2G"),"n","")</f>
        <v/>
      </c>
    </row>
    <row r="690" spans="1:34">
      <c r="A690">
        <v>2026</v>
      </c>
      <c r="B690">
        <v>1</v>
      </c>
      <c r="C690" s="83">
        <v>123721612547</v>
      </c>
      <c r="D690" t="s">
        <v>750</v>
      </c>
      <c r="E690">
        <v>54285926166</v>
      </c>
      <c r="F690">
        <v>625774</v>
      </c>
      <c r="G690">
        <v>50350923091</v>
      </c>
      <c r="H690" t="s">
        <v>35</v>
      </c>
      <c r="I690" s="36">
        <v>2460</v>
      </c>
      <c r="J690" s="36">
        <v>2460</v>
      </c>
      <c r="K690" s="85">
        <v>0</v>
      </c>
      <c r="L690" s="36">
        <v>205</v>
      </c>
      <c r="M690" s="36">
        <v>0</v>
      </c>
      <c r="N690" s="36">
        <v>4.24</v>
      </c>
      <c r="O690" s="36">
        <v>200.76</v>
      </c>
      <c r="P690" t="s">
        <v>127</v>
      </c>
      <c r="Q690" t="s">
        <v>111</v>
      </c>
      <c r="R690" t="s">
        <v>111</v>
      </c>
      <c r="S690" s="1">
        <v>46052</v>
      </c>
      <c r="T690" s="1">
        <v>46052</v>
      </c>
      <c r="U690" s="1">
        <v>46043</v>
      </c>
      <c r="V690" s="1">
        <v>46417</v>
      </c>
      <c r="W690" t="s">
        <v>38</v>
      </c>
      <c r="X690">
        <v>12</v>
      </c>
      <c r="Y690" t="s">
        <v>49</v>
      </c>
      <c r="Z690" t="s">
        <v>76</v>
      </c>
      <c r="AA690" t="s">
        <v>112</v>
      </c>
      <c r="AB690">
        <v>12</v>
      </c>
      <c r="AC690" t="s">
        <v>113</v>
      </c>
      <c r="AD690" t="s">
        <v>140</v>
      </c>
      <c r="AE690" t="s">
        <v>46</v>
      </c>
      <c r="AF690" t="s">
        <v>119</v>
      </c>
      <c r="AG690" t="str">
        <f t="shared" si="10"/>
        <v>CC 12x</v>
      </c>
      <c r="AH690" t="str">
        <f>IF(AND(SUMIF(E:E,E690,I:I)&gt;=400000,Q690="B2G"),"n","")</f>
        <v/>
      </c>
    </row>
    <row r="691" spans="1:34">
      <c r="A691">
        <v>2026</v>
      </c>
      <c r="B691">
        <v>1</v>
      </c>
      <c r="C691" s="83">
        <v>195480295208</v>
      </c>
      <c r="D691" t="s">
        <v>751</v>
      </c>
      <c r="E691">
        <v>54286690344</v>
      </c>
      <c r="F691">
        <v>635694</v>
      </c>
      <c r="G691">
        <v>49724523581</v>
      </c>
      <c r="H691" t="s">
        <v>35</v>
      </c>
      <c r="I691" s="36">
        <v>2874</v>
      </c>
      <c r="J691" s="36">
        <v>2874</v>
      </c>
      <c r="K691" s="85">
        <v>0</v>
      </c>
      <c r="L691" s="36">
        <v>239.5</v>
      </c>
      <c r="M691" s="36">
        <v>239.5</v>
      </c>
      <c r="N691" s="36">
        <v>0</v>
      </c>
      <c r="O691" s="36">
        <v>0</v>
      </c>
      <c r="P691" t="s">
        <v>497</v>
      </c>
      <c r="Q691" t="s">
        <v>498</v>
      </c>
      <c r="R691" t="s">
        <v>498</v>
      </c>
      <c r="S691" s="1">
        <v>46044</v>
      </c>
      <c r="T691" s="1">
        <v>46044</v>
      </c>
      <c r="V691" s="1">
        <v>46409</v>
      </c>
      <c r="W691" t="s">
        <v>38</v>
      </c>
      <c r="X691">
        <v>12</v>
      </c>
      <c r="Y691" t="s">
        <v>49</v>
      </c>
      <c r="AA691" t="s">
        <v>112</v>
      </c>
      <c r="AB691">
        <v>12</v>
      </c>
      <c r="AC691" t="s">
        <v>499</v>
      </c>
      <c r="AD691" t="s">
        <v>140</v>
      </c>
      <c r="AE691" t="s">
        <v>46</v>
      </c>
      <c r="AF691" t="s">
        <v>119</v>
      </c>
      <c r="AG691" t="str">
        <f t="shared" si="10"/>
        <v>CC 12x</v>
      </c>
      <c r="AH691" t="str">
        <f>IF(AND(SUMIF(E:E,E691,I:I)&gt;=400000,Q691="B2G"),"n","")</f>
        <v/>
      </c>
    </row>
    <row r="692" spans="1:34">
      <c r="A692">
        <v>2026</v>
      </c>
      <c r="B692">
        <v>1</v>
      </c>
      <c r="C692" s="83">
        <v>19485926939</v>
      </c>
      <c r="D692" t="s">
        <v>752</v>
      </c>
      <c r="E692">
        <v>54289612606</v>
      </c>
      <c r="F692">
        <v>631419</v>
      </c>
      <c r="G692">
        <v>49674942297</v>
      </c>
      <c r="H692" t="s">
        <v>35</v>
      </c>
      <c r="I692" s="36">
        <v>621.36</v>
      </c>
      <c r="J692" s="36">
        <v>1200.8399999999999</v>
      </c>
      <c r="K692" s="85">
        <v>0</v>
      </c>
      <c r="L692" s="36">
        <v>100.07</v>
      </c>
      <c r="M692" s="36">
        <v>0</v>
      </c>
      <c r="N692" s="36">
        <v>100.07</v>
      </c>
      <c r="O692" s="36">
        <v>0</v>
      </c>
      <c r="P692" t="s">
        <v>520</v>
      </c>
      <c r="Q692" t="s">
        <v>191</v>
      </c>
      <c r="R692" t="s">
        <v>191</v>
      </c>
      <c r="S692" s="1">
        <v>46043</v>
      </c>
      <c r="T692" s="1">
        <v>46043</v>
      </c>
      <c r="V692" s="1">
        <v>46232</v>
      </c>
      <c r="W692" t="s">
        <v>38</v>
      </c>
      <c r="X692">
        <v>6</v>
      </c>
      <c r="Y692" t="s">
        <v>49</v>
      </c>
      <c r="Z692" t="s">
        <v>324</v>
      </c>
      <c r="AA692" t="s">
        <v>122</v>
      </c>
      <c r="AB692">
        <v>6</v>
      </c>
      <c r="AC692" t="s">
        <v>192</v>
      </c>
      <c r="AD692" t="s">
        <v>149</v>
      </c>
      <c r="AE692" t="s">
        <v>43</v>
      </c>
      <c r="AF692" t="s">
        <v>96</v>
      </c>
      <c r="AG692" t="str">
        <f t="shared" si="10"/>
        <v>Recorrente</v>
      </c>
      <c r="AH692" t="str">
        <f>IF(AND(SUMIF(E:E,E692,I:I)&gt;=400000,Q692="B2G"),"n","")</f>
        <v/>
      </c>
    </row>
    <row r="693" spans="1:34">
      <c r="A693">
        <v>2026</v>
      </c>
      <c r="B693">
        <v>1</v>
      </c>
      <c r="C693" s="83">
        <v>47176466523</v>
      </c>
      <c r="D693" t="s">
        <v>753</v>
      </c>
      <c r="E693">
        <v>54298223151</v>
      </c>
      <c r="F693">
        <v>635667</v>
      </c>
      <c r="G693">
        <v>49677662784</v>
      </c>
      <c r="H693" t="s">
        <v>35</v>
      </c>
      <c r="I693" s="36">
        <v>7675.2</v>
      </c>
      <c r="J693" s="36">
        <v>7675.2</v>
      </c>
      <c r="K693" s="85">
        <v>0</v>
      </c>
      <c r="L693" s="36">
        <v>639.6</v>
      </c>
      <c r="M693" s="36">
        <v>0</v>
      </c>
      <c r="N693" s="36">
        <v>639.6</v>
      </c>
      <c r="O693" s="36">
        <v>0</v>
      </c>
      <c r="P693" t="s">
        <v>190</v>
      </c>
      <c r="Q693" t="s">
        <v>191</v>
      </c>
      <c r="R693" t="s">
        <v>191</v>
      </c>
      <c r="S693" s="1">
        <v>46043</v>
      </c>
      <c r="T693" s="1">
        <v>46043</v>
      </c>
      <c r="V693" s="1">
        <v>46408</v>
      </c>
      <c r="W693" t="s">
        <v>38</v>
      </c>
      <c r="X693">
        <v>12</v>
      </c>
      <c r="Y693" t="s">
        <v>49</v>
      </c>
      <c r="AA693" t="s">
        <v>122</v>
      </c>
      <c r="AB693">
        <v>12</v>
      </c>
      <c r="AC693" t="s">
        <v>192</v>
      </c>
      <c r="AD693" t="s">
        <v>131</v>
      </c>
      <c r="AE693" t="s">
        <v>46</v>
      </c>
      <c r="AF693" t="s">
        <v>96</v>
      </c>
      <c r="AG693" t="str">
        <f t="shared" si="10"/>
        <v>Recorrente</v>
      </c>
      <c r="AH693" t="str">
        <f>IF(AND(SUMIF(E:E,E693,I:I)&gt;=400000,Q693="B2G"),"n","")</f>
        <v/>
      </c>
    </row>
    <row r="694" spans="1:34">
      <c r="A694">
        <v>2026</v>
      </c>
      <c r="B694">
        <v>1</v>
      </c>
      <c r="C694" s="83">
        <v>49265314467</v>
      </c>
      <c r="D694" t="s">
        <v>754</v>
      </c>
      <c r="E694">
        <v>54308603813</v>
      </c>
      <c r="F694">
        <v>635777</v>
      </c>
      <c r="G694">
        <v>50053571979</v>
      </c>
      <c r="H694" t="s">
        <v>35</v>
      </c>
      <c r="I694" s="36">
        <v>5034</v>
      </c>
      <c r="J694" s="36">
        <v>5034</v>
      </c>
      <c r="K694" s="85">
        <v>0</v>
      </c>
      <c r="L694" s="36">
        <v>419.5</v>
      </c>
      <c r="M694" s="36">
        <v>419.5</v>
      </c>
      <c r="N694" s="36">
        <v>0</v>
      </c>
      <c r="O694" s="36">
        <v>0</v>
      </c>
      <c r="P694" t="s">
        <v>361</v>
      </c>
      <c r="Q694" t="s">
        <v>349</v>
      </c>
      <c r="R694" t="s">
        <v>349</v>
      </c>
      <c r="S694" s="1">
        <v>46050</v>
      </c>
      <c r="T694" s="1">
        <v>46050</v>
      </c>
      <c r="V694" s="1">
        <v>46415</v>
      </c>
      <c r="W694" t="s">
        <v>38</v>
      </c>
      <c r="X694">
        <v>12</v>
      </c>
      <c r="Y694" t="s">
        <v>49</v>
      </c>
      <c r="AA694" t="s">
        <v>122</v>
      </c>
      <c r="AB694">
        <v>12</v>
      </c>
      <c r="AC694" t="s">
        <v>350</v>
      </c>
      <c r="AD694" t="s">
        <v>84</v>
      </c>
      <c r="AE694" t="s">
        <v>43</v>
      </c>
      <c r="AF694" t="s">
        <v>44</v>
      </c>
      <c r="AG694" t="str">
        <f t="shared" si="10"/>
        <v>Recorrente</v>
      </c>
      <c r="AH694" t="str">
        <f>IF(AND(SUMIF(E:E,E694,I:I)&gt;=400000,Q694="B2G"),"n","")</f>
        <v/>
      </c>
    </row>
    <row r="695" spans="1:34">
      <c r="A695">
        <v>2026</v>
      </c>
      <c r="B695">
        <v>1</v>
      </c>
      <c r="C695" s="83">
        <v>49265314467</v>
      </c>
      <c r="D695" t="s">
        <v>754</v>
      </c>
      <c r="E695">
        <v>54308603813</v>
      </c>
      <c r="F695">
        <v>635777</v>
      </c>
      <c r="G695">
        <v>50053571980</v>
      </c>
      <c r="H695" t="s">
        <v>35</v>
      </c>
      <c r="I695" s="36">
        <v>5754</v>
      </c>
      <c r="J695" s="36">
        <v>5754</v>
      </c>
      <c r="K695" s="85">
        <v>0</v>
      </c>
      <c r="L695" s="36">
        <v>479.5</v>
      </c>
      <c r="M695" s="36">
        <v>479.5</v>
      </c>
      <c r="N695" s="36">
        <v>0</v>
      </c>
      <c r="O695" s="36">
        <v>0</v>
      </c>
      <c r="P695" t="s">
        <v>361</v>
      </c>
      <c r="Q695" t="s">
        <v>349</v>
      </c>
      <c r="R695" t="s">
        <v>349</v>
      </c>
      <c r="S695" s="1">
        <v>46050</v>
      </c>
      <c r="T695" s="1">
        <v>46050</v>
      </c>
      <c r="V695" s="1">
        <v>46415</v>
      </c>
      <c r="W695" t="s">
        <v>38</v>
      </c>
      <c r="X695">
        <v>12</v>
      </c>
      <c r="Y695" t="s">
        <v>49</v>
      </c>
      <c r="AA695" t="s">
        <v>122</v>
      </c>
      <c r="AB695">
        <v>12</v>
      </c>
      <c r="AC695" t="s">
        <v>350</v>
      </c>
      <c r="AD695" t="s">
        <v>85</v>
      </c>
      <c r="AE695" t="s">
        <v>46</v>
      </c>
      <c r="AF695" t="s">
        <v>44</v>
      </c>
      <c r="AG695" t="str">
        <f t="shared" si="10"/>
        <v>Recorrente</v>
      </c>
      <c r="AH695" t="str">
        <f>IF(AND(SUMIF(E:E,E695,I:I)&gt;=400000,Q695="B2G"),"n","")</f>
        <v/>
      </c>
    </row>
    <row r="696" spans="1:34">
      <c r="A696">
        <v>2026</v>
      </c>
      <c r="B696">
        <v>1</v>
      </c>
      <c r="C696" s="83">
        <v>179381120788</v>
      </c>
      <c r="D696" t="s">
        <v>755</v>
      </c>
      <c r="E696">
        <v>54311547008</v>
      </c>
      <c r="F696">
        <v>635664</v>
      </c>
      <c r="G696">
        <v>49672863905</v>
      </c>
      <c r="H696" t="s">
        <v>35</v>
      </c>
      <c r="I696" s="36">
        <v>5754</v>
      </c>
      <c r="J696" s="36">
        <v>5754</v>
      </c>
      <c r="K696" s="85">
        <v>0</v>
      </c>
      <c r="L696" s="36">
        <v>479.5</v>
      </c>
      <c r="M696" s="36">
        <v>479.5</v>
      </c>
      <c r="N696" s="36">
        <v>0</v>
      </c>
      <c r="O696" s="36">
        <v>0</v>
      </c>
      <c r="P696" t="s">
        <v>299</v>
      </c>
      <c r="Q696" t="s">
        <v>300</v>
      </c>
      <c r="R696" t="s">
        <v>300</v>
      </c>
      <c r="S696" s="1">
        <v>46043</v>
      </c>
      <c r="T696" s="1">
        <v>46043</v>
      </c>
      <c r="V696" s="1">
        <v>46408</v>
      </c>
      <c r="W696" t="s">
        <v>38</v>
      </c>
      <c r="X696">
        <v>12</v>
      </c>
      <c r="Y696" t="s">
        <v>49</v>
      </c>
      <c r="AA696" t="s">
        <v>112</v>
      </c>
      <c r="AB696">
        <v>12</v>
      </c>
      <c r="AC696" t="s">
        <v>301</v>
      </c>
      <c r="AD696" t="s">
        <v>85</v>
      </c>
      <c r="AE696" t="s">
        <v>46</v>
      </c>
      <c r="AF696" t="s">
        <v>44</v>
      </c>
      <c r="AG696" t="str">
        <f t="shared" si="10"/>
        <v>CC 12x</v>
      </c>
      <c r="AH696" t="str">
        <f>IF(AND(SUMIF(E:E,E696,I:I)&gt;=400000,Q696="B2G"),"n","")</f>
        <v/>
      </c>
    </row>
    <row r="697" spans="1:34">
      <c r="A697">
        <v>2026</v>
      </c>
      <c r="B697">
        <v>1</v>
      </c>
      <c r="C697" s="83">
        <v>195026985131</v>
      </c>
      <c r="D697" t="s">
        <v>756</v>
      </c>
      <c r="E697">
        <v>54313196419</v>
      </c>
      <c r="F697">
        <v>635829</v>
      </c>
      <c r="G697">
        <v>50425097747</v>
      </c>
      <c r="H697" t="s">
        <v>35</v>
      </c>
      <c r="I697" s="36">
        <v>2874</v>
      </c>
      <c r="J697" s="36">
        <v>2874</v>
      </c>
      <c r="K697" s="85">
        <v>0</v>
      </c>
      <c r="L697" s="36">
        <v>239.5</v>
      </c>
      <c r="M697" s="36">
        <v>239.5</v>
      </c>
      <c r="N697" s="36">
        <v>0</v>
      </c>
      <c r="O697" s="36">
        <v>0</v>
      </c>
      <c r="P697" t="s">
        <v>511</v>
      </c>
      <c r="Q697" t="s">
        <v>300</v>
      </c>
      <c r="R697" t="s">
        <v>300</v>
      </c>
      <c r="S697" s="1">
        <v>46052</v>
      </c>
      <c r="T697" s="1">
        <v>46052</v>
      </c>
      <c r="V697" s="1">
        <v>46417</v>
      </c>
      <c r="W697" t="s">
        <v>38</v>
      </c>
      <c r="X697">
        <v>12</v>
      </c>
      <c r="Y697" t="s">
        <v>49</v>
      </c>
      <c r="AA697" t="s">
        <v>122</v>
      </c>
      <c r="AB697">
        <v>12</v>
      </c>
      <c r="AC697" t="s">
        <v>301</v>
      </c>
      <c r="AD697" t="s">
        <v>118</v>
      </c>
      <c r="AE697" t="s">
        <v>43</v>
      </c>
      <c r="AF697" t="s">
        <v>119</v>
      </c>
      <c r="AG697" t="str">
        <f t="shared" si="10"/>
        <v>Recorrente</v>
      </c>
      <c r="AH697" t="str">
        <f>IF(AND(SUMIF(E:E,E697,I:I)&gt;=400000,Q697="B2G"),"n","")</f>
        <v/>
      </c>
    </row>
    <row r="698" spans="1:34">
      <c r="A698">
        <v>2026</v>
      </c>
      <c r="B698">
        <v>1</v>
      </c>
      <c r="C698" s="83">
        <v>19435665043</v>
      </c>
      <c r="D698" t="s">
        <v>757</v>
      </c>
      <c r="E698">
        <v>54315478457</v>
      </c>
      <c r="F698">
        <v>635702</v>
      </c>
      <c r="G698">
        <v>49737018448</v>
      </c>
      <c r="H698" t="s">
        <v>35</v>
      </c>
      <c r="I698" s="36">
        <v>4315.4399999999996</v>
      </c>
      <c r="J698" s="36">
        <v>4315.5</v>
      </c>
      <c r="K698" s="85">
        <v>0</v>
      </c>
      <c r="L698" s="36">
        <v>359.63</v>
      </c>
      <c r="M698" s="36">
        <v>0</v>
      </c>
      <c r="N698" s="36">
        <v>359.63</v>
      </c>
      <c r="O698" s="36">
        <v>0</v>
      </c>
      <c r="P698" t="s">
        <v>520</v>
      </c>
      <c r="Q698" t="s">
        <v>191</v>
      </c>
      <c r="R698" t="s">
        <v>191</v>
      </c>
      <c r="S698" s="1">
        <v>46045</v>
      </c>
      <c r="T698" s="1">
        <v>46045</v>
      </c>
      <c r="V698" s="1">
        <v>46410</v>
      </c>
      <c r="W698" t="s">
        <v>38</v>
      </c>
      <c r="X698">
        <v>12</v>
      </c>
      <c r="Y698" t="s">
        <v>49</v>
      </c>
      <c r="AA698" t="s">
        <v>122</v>
      </c>
      <c r="AB698">
        <v>12</v>
      </c>
      <c r="AC698" t="s">
        <v>192</v>
      </c>
      <c r="AD698" t="s">
        <v>85</v>
      </c>
      <c r="AE698" t="s">
        <v>46</v>
      </c>
      <c r="AF698" t="s">
        <v>44</v>
      </c>
      <c r="AG698" t="str">
        <f t="shared" si="10"/>
        <v>Recorrente</v>
      </c>
      <c r="AH698" t="str">
        <f>IF(AND(SUMIF(E:E,E698,I:I)&gt;=400000,Q698="B2G"),"n","")</f>
        <v/>
      </c>
    </row>
    <row r="699" spans="1:34">
      <c r="A699">
        <v>2026</v>
      </c>
      <c r="B699">
        <v>1</v>
      </c>
      <c r="C699" s="83">
        <v>49405061743</v>
      </c>
      <c r="D699" t="s">
        <v>758</v>
      </c>
      <c r="E699">
        <v>54316519706</v>
      </c>
      <c r="F699">
        <v>635669</v>
      </c>
      <c r="G699">
        <v>49677959504</v>
      </c>
      <c r="H699" t="s">
        <v>35</v>
      </c>
      <c r="I699" s="36">
        <v>2529.12</v>
      </c>
      <c r="J699" s="36">
        <v>2529.12</v>
      </c>
      <c r="K699" s="85">
        <v>0</v>
      </c>
      <c r="L699" s="36">
        <v>210.76</v>
      </c>
      <c r="M699" s="36">
        <v>210.76</v>
      </c>
      <c r="N699" s="36">
        <v>0</v>
      </c>
      <c r="O699" s="36">
        <v>0</v>
      </c>
      <c r="P699" t="s">
        <v>506</v>
      </c>
      <c r="Q699" t="s">
        <v>300</v>
      </c>
      <c r="R699" t="s">
        <v>300</v>
      </c>
      <c r="S699" s="1">
        <v>46043</v>
      </c>
      <c r="T699" s="1">
        <v>46043</v>
      </c>
      <c r="V699" s="1">
        <v>46408</v>
      </c>
      <c r="W699" t="s">
        <v>38</v>
      </c>
      <c r="X699">
        <v>12</v>
      </c>
      <c r="Y699" t="s">
        <v>49</v>
      </c>
      <c r="AA699" t="s">
        <v>112</v>
      </c>
      <c r="AB699">
        <v>12</v>
      </c>
      <c r="AC699" t="s">
        <v>301</v>
      </c>
      <c r="AD699" t="s">
        <v>140</v>
      </c>
      <c r="AE699" t="s">
        <v>46</v>
      </c>
      <c r="AF699" t="s">
        <v>119</v>
      </c>
      <c r="AG699" t="str">
        <f t="shared" si="10"/>
        <v>CC 12x</v>
      </c>
      <c r="AH699" t="str">
        <f>IF(AND(SUMIF(E:E,E699,I:I)&gt;=400000,Q699="B2G"),"n","")</f>
        <v/>
      </c>
    </row>
    <row r="700" spans="1:34">
      <c r="A700">
        <v>2026</v>
      </c>
      <c r="B700">
        <v>1</v>
      </c>
      <c r="C700" s="83">
        <v>92095800171</v>
      </c>
      <c r="D700" t="s">
        <v>759</v>
      </c>
      <c r="E700">
        <v>54316856721</v>
      </c>
      <c r="F700">
        <v>303339</v>
      </c>
      <c r="G700">
        <v>49847022658</v>
      </c>
      <c r="H700" t="s">
        <v>35</v>
      </c>
      <c r="I700" s="36">
        <v>3120</v>
      </c>
      <c r="J700" s="36">
        <v>3120</v>
      </c>
      <c r="K700" s="85">
        <v>0</v>
      </c>
      <c r="L700" s="36">
        <v>260</v>
      </c>
      <c r="M700" s="36">
        <v>0</v>
      </c>
      <c r="N700" s="36">
        <v>46.56</v>
      </c>
      <c r="O700" s="36">
        <v>213.44</v>
      </c>
      <c r="P700" t="s">
        <v>127</v>
      </c>
      <c r="Q700" t="s">
        <v>111</v>
      </c>
      <c r="R700" t="s">
        <v>111</v>
      </c>
      <c r="S700" s="1">
        <v>46048</v>
      </c>
      <c r="T700" s="1">
        <v>46048</v>
      </c>
      <c r="U700" s="1">
        <v>46053</v>
      </c>
      <c r="V700" s="1">
        <v>46418</v>
      </c>
      <c r="W700" t="s">
        <v>38</v>
      </c>
      <c r="X700">
        <v>12</v>
      </c>
      <c r="Y700" t="s">
        <v>49</v>
      </c>
      <c r="Z700" t="s">
        <v>81</v>
      </c>
      <c r="AA700" t="s">
        <v>112</v>
      </c>
      <c r="AB700">
        <v>12</v>
      </c>
      <c r="AC700" t="s">
        <v>113</v>
      </c>
      <c r="AD700" t="s">
        <v>160</v>
      </c>
      <c r="AE700" t="s">
        <v>43</v>
      </c>
      <c r="AF700" t="s">
        <v>44</v>
      </c>
      <c r="AG700" t="str">
        <f t="shared" si="10"/>
        <v>CC 12x</v>
      </c>
      <c r="AH700" t="str">
        <f>IF(AND(SUMIF(E:E,E700,I:I)&gt;=400000,Q700="B2G"),"n","")</f>
        <v/>
      </c>
    </row>
    <row r="701" spans="1:34">
      <c r="A701">
        <v>2026</v>
      </c>
      <c r="B701">
        <v>1</v>
      </c>
      <c r="C701" s="83">
        <v>184418366527</v>
      </c>
      <c r="D701" t="s">
        <v>760</v>
      </c>
      <c r="E701">
        <v>54318538897</v>
      </c>
      <c r="F701">
        <v>635671</v>
      </c>
      <c r="G701">
        <v>49681980786</v>
      </c>
      <c r="H701" t="s">
        <v>35</v>
      </c>
      <c r="I701" s="36">
        <v>2874</v>
      </c>
      <c r="J701" s="36">
        <v>2874</v>
      </c>
      <c r="K701" s="85">
        <v>0</v>
      </c>
      <c r="L701" s="36">
        <v>239.5</v>
      </c>
      <c r="M701" s="36">
        <v>239.5</v>
      </c>
      <c r="N701" s="36">
        <v>0</v>
      </c>
      <c r="O701" s="36">
        <v>0</v>
      </c>
      <c r="P701" t="s">
        <v>511</v>
      </c>
      <c r="Q701" t="s">
        <v>300</v>
      </c>
      <c r="R701" t="s">
        <v>300</v>
      </c>
      <c r="S701" s="1">
        <v>46043</v>
      </c>
      <c r="T701" s="1">
        <v>46043</v>
      </c>
      <c r="V701" s="1">
        <v>46408</v>
      </c>
      <c r="W701" t="s">
        <v>38</v>
      </c>
      <c r="X701">
        <v>12</v>
      </c>
      <c r="Y701" t="s">
        <v>49</v>
      </c>
      <c r="AA701" t="s">
        <v>122</v>
      </c>
      <c r="AB701">
        <v>12</v>
      </c>
      <c r="AC701" t="s">
        <v>301</v>
      </c>
      <c r="AD701" t="s">
        <v>118</v>
      </c>
      <c r="AE701" t="s">
        <v>43</v>
      </c>
      <c r="AF701" t="s">
        <v>119</v>
      </c>
      <c r="AG701" t="str">
        <f t="shared" si="10"/>
        <v>Recorrente</v>
      </c>
      <c r="AH701" t="str">
        <f>IF(AND(SUMIF(E:E,E701,I:I)&gt;=400000,Q701="B2G"),"n","")</f>
        <v/>
      </c>
    </row>
    <row r="702" spans="1:34">
      <c r="A702">
        <v>2026</v>
      </c>
      <c r="B702">
        <v>1</v>
      </c>
      <c r="C702" s="83">
        <v>19435468682</v>
      </c>
      <c r="D702" t="s">
        <v>761</v>
      </c>
      <c r="E702">
        <v>54319914512</v>
      </c>
      <c r="F702">
        <v>635693</v>
      </c>
      <c r="G702">
        <v>49713806634</v>
      </c>
      <c r="H702" t="s">
        <v>35</v>
      </c>
      <c r="I702" s="36">
        <v>5436</v>
      </c>
      <c r="J702" s="36">
        <v>5436</v>
      </c>
      <c r="K702" s="85">
        <v>0</v>
      </c>
      <c r="L702" s="36">
        <v>453</v>
      </c>
      <c r="M702" s="36">
        <v>453</v>
      </c>
      <c r="N702" s="36">
        <v>0</v>
      </c>
      <c r="O702" s="36">
        <v>0</v>
      </c>
      <c r="P702" t="s">
        <v>78</v>
      </c>
      <c r="Q702" t="s">
        <v>79</v>
      </c>
      <c r="R702" t="s">
        <v>80</v>
      </c>
      <c r="S702" s="1">
        <v>46044</v>
      </c>
      <c r="T702" s="1">
        <v>46044</v>
      </c>
      <c r="V702" s="1">
        <v>46409</v>
      </c>
      <c r="W702" t="s">
        <v>38</v>
      </c>
      <c r="X702">
        <v>12</v>
      </c>
      <c r="Y702" t="s">
        <v>49</v>
      </c>
      <c r="AA702" t="s">
        <v>112</v>
      </c>
      <c r="AB702">
        <v>12</v>
      </c>
      <c r="AC702" t="s">
        <v>83</v>
      </c>
      <c r="AD702" t="s">
        <v>54</v>
      </c>
      <c r="AE702" t="s">
        <v>46</v>
      </c>
      <c r="AF702" t="s">
        <v>44</v>
      </c>
      <c r="AG702" t="str">
        <f t="shared" si="10"/>
        <v>CC 12x</v>
      </c>
      <c r="AH702" t="str">
        <f>IF(AND(SUMIF(E:E,E702,I:I)&gt;=400000,Q702="B2G"),"n","")</f>
        <v/>
      </c>
    </row>
    <row r="703" spans="1:34">
      <c r="A703">
        <v>2026</v>
      </c>
      <c r="B703">
        <v>1</v>
      </c>
      <c r="C703" s="83">
        <v>19435659088</v>
      </c>
      <c r="D703" t="s">
        <v>762</v>
      </c>
      <c r="E703">
        <v>54320527212</v>
      </c>
      <c r="F703">
        <v>635705</v>
      </c>
      <c r="G703">
        <v>49749312945</v>
      </c>
      <c r="H703" t="s">
        <v>35</v>
      </c>
      <c r="I703" s="36">
        <v>7195.44</v>
      </c>
      <c r="J703" s="36">
        <v>7195.5</v>
      </c>
      <c r="K703" s="85">
        <v>0</v>
      </c>
      <c r="L703" s="36">
        <v>599.63</v>
      </c>
      <c r="M703" s="36">
        <v>0</v>
      </c>
      <c r="N703" s="36">
        <v>599.63</v>
      </c>
      <c r="O703" s="36">
        <v>0</v>
      </c>
      <c r="P703" t="s">
        <v>367</v>
      </c>
      <c r="Q703" t="s">
        <v>191</v>
      </c>
      <c r="R703" t="s">
        <v>191</v>
      </c>
      <c r="S703" s="1">
        <v>46045</v>
      </c>
      <c r="T703" s="1">
        <v>46045</v>
      </c>
      <c r="V703" s="1">
        <v>46410</v>
      </c>
      <c r="W703" t="s">
        <v>38</v>
      </c>
      <c r="X703">
        <v>12</v>
      </c>
      <c r="Y703" t="s">
        <v>49</v>
      </c>
      <c r="AA703" t="s">
        <v>122</v>
      </c>
      <c r="AB703">
        <v>12</v>
      </c>
      <c r="AC703" t="s">
        <v>192</v>
      </c>
      <c r="AD703" t="s">
        <v>131</v>
      </c>
      <c r="AE703" t="s">
        <v>46</v>
      </c>
      <c r="AF703" t="s">
        <v>96</v>
      </c>
      <c r="AG703" t="str">
        <f t="shared" si="10"/>
        <v>Recorrente</v>
      </c>
      <c r="AH703" t="str">
        <f>IF(AND(SUMIF(E:E,E703,I:I)&gt;=400000,Q703="B2G"),"n","")</f>
        <v/>
      </c>
    </row>
    <row r="704" spans="1:34">
      <c r="A704">
        <v>2026</v>
      </c>
      <c r="B704">
        <v>1</v>
      </c>
      <c r="C704" s="83">
        <v>181792004001</v>
      </c>
      <c r="D704" t="s">
        <v>763</v>
      </c>
      <c r="E704">
        <v>54320625733</v>
      </c>
      <c r="F704">
        <v>635728</v>
      </c>
      <c r="G704">
        <v>49779080551</v>
      </c>
      <c r="H704" t="s">
        <v>35</v>
      </c>
      <c r="I704" s="36">
        <v>4700.04</v>
      </c>
      <c r="J704" s="36">
        <v>4700.04</v>
      </c>
      <c r="K704" s="85">
        <v>0</v>
      </c>
      <c r="L704" s="36">
        <v>391.67</v>
      </c>
      <c r="M704" s="36">
        <v>391.67</v>
      </c>
      <c r="N704" s="36">
        <v>0</v>
      </c>
      <c r="O704" s="36">
        <v>0</v>
      </c>
      <c r="P704" t="s">
        <v>313</v>
      </c>
      <c r="Q704" t="s">
        <v>314</v>
      </c>
      <c r="R704" t="s">
        <v>314</v>
      </c>
      <c r="S704" s="1">
        <v>46048</v>
      </c>
      <c r="T704" s="1">
        <v>46048</v>
      </c>
      <c r="V704" s="1">
        <v>46413</v>
      </c>
      <c r="W704" t="s">
        <v>38</v>
      </c>
      <c r="X704">
        <v>12</v>
      </c>
      <c r="Y704" t="s">
        <v>49</v>
      </c>
      <c r="AA704" t="s">
        <v>112</v>
      </c>
      <c r="AB704">
        <v>3</v>
      </c>
      <c r="AC704" t="s">
        <v>315</v>
      </c>
      <c r="AD704" t="s">
        <v>85</v>
      </c>
      <c r="AE704" t="s">
        <v>46</v>
      </c>
      <c r="AF704" t="s">
        <v>44</v>
      </c>
      <c r="AG704" t="str">
        <f t="shared" si="10"/>
        <v>CC 3x</v>
      </c>
      <c r="AH704" t="str">
        <f>IF(AND(SUMIF(E:E,E704,I:I)&gt;=400000,Q704="B2G"),"n","")</f>
        <v/>
      </c>
    </row>
    <row r="705" spans="1:34">
      <c r="A705">
        <v>2026</v>
      </c>
      <c r="B705">
        <v>1</v>
      </c>
      <c r="C705" s="83">
        <v>134550962829</v>
      </c>
      <c r="D705" t="s">
        <v>764</v>
      </c>
      <c r="E705">
        <v>54328228778</v>
      </c>
      <c r="F705">
        <v>635707</v>
      </c>
      <c r="G705">
        <v>49747179008</v>
      </c>
      <c r="H705" t="s">
        <v>35</v>
      </c>
      <c r="I705" s="36">
        <v>2529.12</v>
      </c>
      <c r="J705" s="36">
        <v>2529.12</v>
      </c>
      <c r="K705" s="85">
        <v>0</v>
      </c>
      <c r="L705" s="36">
        <v>210.76</v>
      </c>
      <c r="M705" s="36">
        <v>210.76</v>
      </c>
      <c r="N705" s="36">
        <v>0</v>
      </c>
      <c r="O705" s="36">
        <v>0</v>
      </c>
      <c r="P705" t="s">
        <v>506</v>
      </c>
      <c r="Q705" t="s">
        <v>300</v>
      </c>
      <c r="R705" t="s">
        <v>300</v>
      </c>
      <c r="S705" s="1">
        <v>46045</v>
      </c>
      <c r="T705" s="1">
        <v>46045</v>
      </c>
      <c r="V705" s="1">
        <v>46410</v>
      </c>
      <c r="W705" t="s">
        <v>38</v>
      </c>
      <c r="X705">
        <v>12</v>
      </c>
      <c r="Y705" t="s">
        <v>49</v>
      </c>
      <c r="AA705" t="s">
        <v>112</v>
      </c>
      <c r="AB705">
        <v>12</v>
      </c>
      <c r="AC705" t="s">
        <v>301</v>
      </c>
      <c r="AD705" t="s">
        <v>118</v>
      </c>
      <c r="AE705" t="s">
        <v>43</v>
      </c>
      <c r="AF705" t="s">
        <v>119</v>
      </c>
      <c r="AG705" t="str">
        <f t="shared" ref="AG705:AG768" si="11">IF(IFERROR(SEARCH("Recorrente",AA705),0)&gt;0,"Recorrente",IF(AB705=1,"À Vista",IF(AB705&lt;=3,"CC 3x",IF(AB705&lt;=12,"CC 12x",IF(AB705&gt;12,"Recorrente","")))))</f>
        <v>CC 12x</v>
      </c>
      <c r="AH705" t="str">
        <f>IF(AND(SUMIF(E:E,E705,I:I)&gt;=400000,Q705="B2G"),"n","")</f>
        <v/>
      </c>
    </row>
    <row r="706" spans="1:34">
      <c r="A706">
        <v>2026</v>
      </c>
      <c r="B706">
        <v>1</v>
      </c>
      <c r="C706" s="83">
        <v>2086841</v>
      </c>
      <c r="D706" t="s">
        <v>765</v>
      </c>
      <c r="E706">
        <v>54332321120</v>
      </c>
      <c r="F706">
        <v>328233</v>
      </c>
      <c r="G706">
        <v>49949883538</v>
      </c>
      <c r="H706" t="s">
        <v>35</v>
      </c>
      <c r="I706" s="36">
        <v>5034</v>
      </c>
      <c r="J706" s="36">
        <v>5034</v>
      </c>
      <c r="K706" s="85">
        <v>0</v>
      </c>
      <c r="L706" s="36">
        <v>419.5</v>
      </c>
      <c r="M706" s="36">
        <v>0</v>
      </c>
      <c r="N706" s="36">
        <v>49.84</v>
      </c>
      <c r="O706" s="36">
        <v>370</v>
      </c>
      <c r="P706" t="s">
        <v>137</v>
      </c>
      <c r="Q706" t="s">
        <v>111</v>
      </c>
      <c r="R706" t="s">
        <v>111</v>
      </c>
      <c r="S706" s="1">
        <v>46049</v>
      </c>
      <c r="T706" s="1">
        <v>46049</v>
      </c>
      <c r="U706" s="1">
        <v>46045</v>
      </c>
      <c r="V706" s="1">
        <v>46410</v>
      </c>
      <c r="W706" t="s">
        <v>38</v>
      </c>
      <c r="X706">
        <v>12</v>
      </c>
      <c r="Y706" t="s">
        <v>49</v>
      </c>
      <c r="Z706" t="s">
        <v>81</v>
      </c>
      <c r="AA706" t="s">
        <v>122</v>
      </c>
      <c r="AB706">
        <v>12</v>
      </c>
      <c r="AC706" t="s">
        <v>113</v>
      </c>
      <c r="AD706" t="s">
        <v>84</v>
      </c>
      <c r="AE706" t="s">
        <v>43</v>
      </c>
      <c r="AF706" t="s">
        <v>44</v>
      </c>
      <c r="AG706" t="str">
        <f t="shared" si="11"/>
        <v>Recorrente</v>
      </c>
      <c r="AH706" t="str">
        <f>IF(AND(SUMIF(E:E,E706,I:I)&gt;=400000,Q706="B2G"),"n","")</f>
        <v/>
      </c>
    </row>
    <row r="707" spans="1:34">
      <c r="A707">
        <v>2026</v>
      </c>
      <c r="B707">
        <v>1</v>
      </c>
      <c r="C707" s="83">
        <v>2238154</v>
      </c>
      <c r="D707" t="s">
        <v>766</v>
      </c>
      <c r="E707">
        <v>54341930798</v>
      </c>
      <c r="F707">
        <v>635677</v>
      </c>
      <c r="G707">
        <v>49706358345</v>
      </c>
      <c r="H707" t="s">
        <v>35</v>
      </c>
      <c r="I707" s="36">
        <v>2529.12</v>
      </c>
      <c r="J707" s="36">
        <v>2529.12</v>
      </c>
      <c r="K707" s="85">
        <v>0</v>
      </c>
      <c r="L707" s="36">
        <v>210.76</v>
      </c>
      <c r="M707" s="36">
        <v>210.76</v>
      </c>
      <c r="N707" s="36">
        <v>0</v>
      </c>
      <c r="O707" s="36">
        <v>0</v>
      </c>
      <c r="P707" t="s">
        <v>506</v>
      </c>
      <c r="Q707" t="s">
        <v>300</v>
      </c>
      <c r="R707" t="s">
        <v>300</v>
      </c>
      <c r="S707" s="1">
        <v>46044</v>
      </c>
      <c r="T707" s="1">
        <v>46044</v>
      </c>
      <c r="V707" s="1">
        <v>46409</v>
      </c>
      <c r="W707" t="s">
        <v>38</v>
      </c>
      <c r="X707">
        <v>12</v>
      </c>
      <c r="Y707" t="s">
        <v>49</v>
      </c>
      <c r="AA707" t="s">
        <v>112</v>
      </c>
      <c r="AB707">
        <v>12</v>
      </c>
      <c r="AC707" t="s">
        <v>301</v>
      </c>
      <c r="AD707" t="s">
        <v>118</v>
      </c>
      <c r="AE707" t="s">
        <v>43</v>
      </c>
      <c r="AF707" t="s">
        <v>119</v>
      </c>
      <c r="AG707" t="str">
        <f t="shared" si="11"/>
        <v>CC 12x</v>
      </c>
      <c r="AH707" t="str">
        <f>IF(AND(SUMIF(E:E,E707,I:I)&gt;=400000,Q707="B2G"),"n","")</f>
        <v/>
      </c>
    </row>
    <row r="708" spans="1:34">
      <c r="A708">
        <v>2026</v>
      </c>
      <c r="B708">
        <v>1</v>
      </c>
      <c r="C708" s="83">
        <v>19485527553</v>
      </c>
      <c r="D708" t="s">
        <v>767</v>
      </c>
      <c r="E708">
        <v>54349158507</v>
      </c>
      <c r="F708">
        <v>635697</v>
      </c>
      <c r="G708">
        <v>49714863225</v>
      </c>
      <c r="H708" t="s">
        <v>35</v>
      </c>
      <c r="I708" s="36">
        <v>18000.12</v>
      </c>
      <c r="J708" s="36">
        <v>12286.53</v>
      </c>
      <c r="K708" s="85">
        <v>5713.59</v>
      </c>
      <c r="L708" s="36">
        <v>1023.88</v>
      </c>
      <c r="M708" s="36">
        <v>0</v>
      </c>
      <c r="N708" s="36">
        <v>1023.88</v>
      </c>
      <c r="O708" s="36">
        <v>0</v>
      </c>
      <c r="P708" t="s">
        <v>190</v>
      </c>
      <c r="Q708" t="s">
        <v>191</v>
      </c>
      <c r="R708" t="s">
        <v>191</v>
      </c>
      <c r="S708" s="1">
        <v>46045</v>
      </c>
      <c r="T708" s="1">
        <v>46045</v>
      </c>
      <c r="V708" s="1">
        <v>46410</v>
      </c>
      <c r="W708" t="s">
        <v>38</v>
      </c>
      <c r="Y708" t="s">
        <v>49</v>
      </c>
      <c r="AA708" t="s">
        <v>112</v>
      </c>
      <c r="AB708">
        <v>12</v>
      </c>
      <c r="AC708" t="s">
        <v>192</v>
      </c>
      <c r="AD708" t="s">
        <v>94</v>
      </c>
      <c r="AE708" t="s">
        <v>95</v>
      </c>
      <c r="AF708" t="s">
        <v>96</v>
      </c>
      <c r="AG708" t="str">
        <f t="shared" si="11"/>
        <v>CC 12x</v>
      </c>
      <c r="AH708" t="str">
        <f>IF(AND(SUMIF(E:E,E708,I:I)&gt;=400000,Q708="B2G"),"n","")</f>
        <v/>
      </c>
    </row>
    <row r="709" spans="1:34">
      <c r="A709">
        <v>2026</v>
      </c>
      <c r="B709">
        <v>1</v>
      </c>
      <c r="C709" s="83">
        <v>121106690661</v>
      </c>
      <c r="D709" t="s">
        <v>768</v>
      </c>
      <c r="E709">
        <v>54349374295</v>
      </c>
      <c r="F709">
        <v>635680</v>
      </c>
      <c r="G709">
        <v>49713513651</v>
      </c>
      <c r="H709" t="s">
        <v>35</v>
      </c>
      <c r="I709" s="36">
        <v>2874</v>
      </c>
      <c r="J709" s="36">
        <v>503.38</v>
      </c>
      <c r="K709" s="85">
        <v>2370.62</v>
      </c>
      <c r="L709" s="36">
        <v>41.95</v>
      </c>
      <c r="M709" s="36">
        <v>0</v>
      </c>
      <c r="N709" s="36">
        <v>41.95</v>
      </c>
      <c r="O709" s="36">
        <v>0</v>
      </c>
      <c r="P709" t="s">
        <v>323</v>
      </c>
      <c r="Q709" t="s">
        <v>191</v>
      </c>
      <c r="R709" t="s">
        <v>191</v>
      </c>
      <c r="S709" s="1">
        <v>46044</v>
      </c>
      <c r="T709" s="1">
        <v>46044</v>
      </c>
      <c r="V709" s="1">
        <v>46409</v>
      </c>
      <c r="W709" t="s">
        <v>38</v>
      </c>
      <c r="Y709" t="s">
        <v>49</v>
      </c>
      <c r="AA709" t="s">
        <v>122</v>
      </c>
      <c r="AB709">
        <v>12</v>
      </c>
      <c r="AC709" t="s">
        <v>192</v>
      </c>
      <c r="AD709" t="s">
        <v>140</v>
      </c>
      <c r="AE709" t="s">
        <v>46</v>
      </c>
      <c r="AF709" t="s">
        <v>119</v>
      </c>
      <c r="AG709" t="str">
        <f t="shared" si="11"/>
        <v>Recorrente</v>
      </c>
      <c r="AH709" t="str">
        <f>IF(AND(SUMIF(E:E,E709,I:I)&gt;=400000,Q709="B2G"),"n","")</f>
        <v/>
      </c>
    </row>
    <row r="710" spans="1:34">
      <c r="A710">
        <v>2026</v>
      </c>
      <c r="B710">
        <v>1</v>
      </c>
      <c r="C710" s="83">
        <v>121106690661</v>
      </c>
      <c r="D710" t="s">
        <v>768</v>
      </c>
      <c r="E710">
        <v>54349374295</v>
      </c>
      <c r="F710">
        <v>635680</v>
      </c>
      <c r="G710">
        <v>49713513652</v>
      </c>
      <c r="H710" t="s">
        <v>35</v>
      </c>
      <c r="I710" s="36">
        <v>603</v>
      </c>
      <c r="J710" s="36">
        <v>105.62</v>
      </c>
      <c r="K710" s="85">
        <v>497.38</v>
      </c>
      <c r="L710" s="36">
        <v>8.8000000000000007</v>
      </c>
      <c r="M710" s="36">
        <v>0</v>
      </c>
      <c r="N710" s="36">
        <v>8.8000000000000007</v>
      </c>
      <c r="O710" s="36">
        <v>0</v>
      </c>
      <c r="P710" t="s">
        <v>323</v>
      </c>
      <c r="Q710" t="s">
        <v>191</v>
      </c>
      <c r="R710" t="s">
        <v>191</v>
      </c>
      <c r="S710" s="1">
        <v>46044</v>
      </c>
      <c r="T710" s="1">
        <v>46044</v>
      </c>
      <c r="V710" s="1">
        <v>46409</v>
      </c>
      <c r="W710" t="s">
        <v>38</v>
      </c>
      <c r="Y710" t="s">
        <v>49</v>
      </c>
      <c r="AA710" t="s">
        <v>122</v>
      </c>
      <c r="AB710">
        <v>12</v>
      </c>
      <c r="AC710" t="s">
        <v>192</v>
      </c>
      <c r="AD710" t="s">
        <v>243</v>
      </c>
      <c r="AE710" t="s">
        <v>95</v>
      </c>
      <c r="AF710" t="s">
        <v>244</v>
      </c>
      <c r="AG710" t="str">
        <f t="shared" si="11"/>
        <v>Recorrente</v>
      </c>
      <c r="AH710" t="str">
        <f>IF(AND(SUMIF(E:E,E710,I:I)&gt;=400000,Q710="B2G"),"n","")</f>
        <v/>
      </c>
    </row>
    <row r="711" spans="1:34">
      <c r="A711">
        <v>2026</v>
      </c>
      <c r="B711">
        <v>1</v>
      </c>
      <c r="C711" s="83">
        <v>195281666582</v>
      </c>
      <c r="D711" t="s">
        <v>769</v>
      </c>
      <c r="E711">
        <v>54349999025</v>
      </c>
      <c r="F711">
        <v>539415</v>
      </c>
      <c r="G711">
        <v>49737015203</v>
      </c>
      <c r="H711" t="s">
        <v>35</v>
      </c>
      <c r="I711" s="36">
        <v>466.08</v>
      </c>
      <c r="J711" s="36">
        <v>1077.48</v>
      </c>
      <c r="K711" s="85">
        <v>0</v>
      </c>
      <c r="L711" s="36">
        <v>89.79</v>
      </c>
      <c r="M711" s="36">
        <v>0</v>
      </c>
      <c r="N711" s="36">
        <v>89.79</v>
      </c>
      <c r="O711" s="36">
        <v>0</v>
      </c>
      <c r="P711" t="s">
        <v>323</v>
      </c>
      <c r="Q711" t="s">
        <v>191</v>
      </c>
      <c r="R711" t="s">
        <v>191</v>
      </c>
      <c r="S711" s="1">
        <v>46045</v>
      </c>
      <c r="T711" s="1">
        <v>46045</v>
      </c>
      <c r="V711" s="1">
        <v>46203</v>
      </c>
      <c r="W711" t="s">
        <v>38</v>
      </c>
      <c r="X711">
        <v>5</v>
      </c>
      <c r="Y711" t="s">
        <v>49</v>
      </c>
      <c r="Z711" t="s">
        <v>324</v>
      </c>
      <c r="AA711" t="s">
        <v>112</v>
      </c>
      <c r="AB711">
        <v>5</v>
      </c>
      <c r="AC711" t="s">
        <v>192</v>
      </c>
      <c r="AD711" t="s">
        <v>163</v>
      </c>
      <c r="AE711" t="s">
        <v>43</v>
      </c>
      <c r="AF711" t="s">
        <v>96</v>
      </c>
      <c r="AG711" t="str">
        <f t="shared" si="11"/>
        <v>CC 12x</v>
      </c>
      <c r="AH711" t="str">
        <f>IF(AND(SUMIF(E:E,E711,I:I)&gt;=400000,Q711="B2G"),"n","")</f>
        <v/>
      </c>
    </row>
    <row r="712" spans="1:34">
      <c r="A712">
        <v>2026</v>
      </c>
      <c r="B712">
        <v>1</v>
      </c>
      <c r="C712" s="83">
        <v>19435418268</v>
      </c>
      <c r="D712" t="s">
        <v>770</v>
      </c>
      <c r="E712">
        <v>54350026627</v>
      </c>
      <c r="F712">
        <v>635683</v>
      </c>
      <c r="G712">
        <v>49708150895</v>
      </c>
      <c r="H712" t="s">
        <v>35</v>
      </c>
      <c r="I712" s="36">
        <v>5514</v>
      </c>
      <c r="J712" s="36">
        <v>5514</v>
      </c>
      <c r="K712" s="85">
        <v>0</v>
      </c>
      <c r="L712" s="36">
        <v>459.5</v>
      </c>
      <c r="M712" s="36">
        <v>459.5</v>
      </c>
      <c r="N712" s="36">
        <v>0</v>
      </c>
      <c r="O712" s="36">
        <v>0</v>
      </c>
      <c r="P712" t="s">
        <v>129</v>
      </c>
      <c r="Q712" t="s">
        <v>91</v>
      </c>
      <c r="R712" t="s">
        <v>91</v>
      </c>
      <c r="S712" s="1">
        <v>46044</v>
      </c>
      <c r="T712" s="1">
        <v>46044</v>
      </c>
      <c r="V712" s="1">
        <v>46409</v>
      </c>
      <c r="W712" t="s">
        <v>38</v>
      </c>
      <c r="X712">
        <v>12</v>
      </c>
      <c r="Y712" t="s">
        <v>49</v>
      </c>
      <c r="AA712" t="s">
        <v>92</v>
      </c>
      <c r="AB712">
        <v>12</v>
      </c>
      <c r="AC712" t="s">
        <v>93</v>
      </c>
      <c r="AD712" t="s">
        <v>138</v>
      </c>
      <c r="AE712" t="s">
        <v>135</v>
      </c>
      <c r="AF712" t="s">
        <v>119</v>
      </c>
      <c r="AG712" t="str">
        <f t="shared" si="11"/>
        <v>Recorrente</v>
      </c>
      <c r="AH712" t="str">
        <f>IF(AND(SUMIF(E:E,E712,I:I)&gt;=400000,Q712="B2G"),"n","")</f>
        <v/>
      </c>
    </row>
    <row r="713" spans="1:34">
      <c r="A713">
        <v>2026</v>
      </c>
      <c r="B713">
        <v>1</v>
      </c>
      <c r="C713" s="83">
        <v>124882337463</v>
      </c>
      <c r="D713" t="s">
        <v>771</v>
      </c>
      <c r="E713">
        <v>54350319106</v>
      </c>
      <c r="F713">
        <v>304228</v>
      </c>
      <c r="G713">
        <v>49949652343</v>
      </c>
      <c r="H713" t="s">
        <v>35</v>
      </c>
      <c r="I713" s="36">
        <v>3952.8</v>
      </c>
      <c r="J713" s="36">
        <v>3952.8</v>
      </c>
      <c r="K713" s="85">
        <v>0</v>
      </c>
      <c r="L713" s="36">
        <v>329.4</v>
      </c>
      <c r="M713" s="36">
        <v>0</v>
      </c>
      <c r="N713" s="36">
        <v>15.1</v>
      </c>
      <c r="O713" s="36">
        <v>314.3</v>
      </c>
      <c r="P713" t="s">
        <v>116</v>
      </c>
      <c r="Q713" t="s">
        <v>111</v>
      </c>
      <c r="R713" t="s">
        <v>111</v>
      </c>
      <c r="S713" s="1">
        <v>46052</v>
      </c>
      <c r="T713" s="1">
        <v>46052</v>
      </c>
      <c r="U713" s="1">
        <v>46052</v>
      </c>
      <c r="V713" s="1">
        <v>46417</v>
      </c>
      <c r="W713" t="s">
        <v>38</v>
      </c>
      <c r="X713">
        <v>12</v>
      </c>
      <c r="Y713" t="s">
        <v>49</v>
      </c>
      <c r="Z713" t="s">
        <v>81</v>
      </c>
      <c r="AA713" t="s">
        <v>112</v>
      </c>
      <c r="AB713">
        <v>12</v>
      </c>
      <c r="AC713" t="s">
        <v>113</v>
      </c>
      <c r="AD713" t="s">
        <v>85</v>
      </c>
      <c r="AE713" t="s">
        <v>46</v>
      </c>
      <c r="AF713" t="s">
        <v>44</v>
      </c>
      <c r="AG713" t="str">
        <f t="shared" si="11"/>
        <v>CC 12x</v>
      </c>
      <c r="AH713" t="str">
        <f>IF(AND(SUMIF(E:E,E713,I:I)&gt;=400000,Q713="B2G"),"n","")</f>
        <v/>
      </c>
    </row>
    <row r="714" spans="1:34">
      <c r="A714">
        <v>2026</v>
      </c>
      <c r="B714">
        <v>1</v>
      </c>
      <c r="C714" s="83">
        <v>195480541311</v>
      </c>
      <c r="D714" t="s">
        <v>772</v>
      </c>
      <c r="E714">
        <v>54350323302</v>
      </c>
      <c r="F714">
        <v>635685</v>
      </c>
      <c r="G714">
        <v>49712574720</v>
      </c>
      <c r="H714" t="s">
        <v>104</v>
      </c>
      <c r="I714" s="36">
        <v>718.8</v>
      </c>
      <c r="J714" s="36">
        <v>718.8</v>
      </c>
      <c r="K714" s="85">
        <v>0</v>
      </c>
      <c r="L714" s="36">
        <v>59.9</v>
      </c>
      <c r="M714" s="36">
        <v>59.9</v>
      </c>
      <c r="N714" s="36">
        <v>0</v>
      </c>
      <c r="O714" s="36">
        <v>0</v>
      </c>
      <c r="P714" t="s">
        <v>497</v>
      </c>
      <c r="Q714" t="s">
        <v>498</v>
      </c>
      <c r="R714" t="s">
        <v>498</v>
      </c>
      <c r="S714" s="1">
        <v>46044</v>
      </c>
      <c r="T714" s="1">
        <v>46044</v>
      </c>
      <c r="V714" s="1">
        <v>46409</v>
      </c>
      <c r="W714" t="s">
        <v>38</v>
      </c>
      <c r="X714">
        <v>12</v>
      </c>
      <c r="Y714" t="s">
        <v>49</v>
      </c>
      <c r="AA714" t="s">
        <v>117</v>
      </c>
      <c r="AB714">
        <v>1</v>
      </c>
      <c r="AC714" t="s">
        <v>499</v>
      </c>
      <c r="AD714" t="s">
        <v>105</v>
      </c>
      <c r="AE714" t="s">
        <v>106</v>
      </c>
      <c r="AF714" t="s">
        <v>59</v>
      </c>
      <c r="AG714" t="str">
        <f t="shared" si="11"/>
        <v>À Vista</v>
      </c>
      <c r="AH714" t="str">
        <f>IF(AND(SUMIF(E:E,E714,I:I)&gt;=400000,Q714="B2G"),"n","")</f>
        <v/>
      </c>
    </row>
    <row r="715" spans="1:34">
      <c r="A715">
        <v>2026</v>
      </c>
      <c r="B715">
        <v>1</v>
      </c>
      <c r="C715" s="83">
        <v>50164823967</v>
      </c>
      <c r="D715" t="s">
        <v>773</v>
      </c>
      <c r="E715">
        <v>54352687413</v>
      </c>
      <c r="F715">
        <v>635810</v>
      </c>
      <c r="G715">
        <v>50274424960</v>
      </c>
      <c r="H715" t="s">
        <v>35</v>
      </c>
      <c r="I715" s="36">
        <v>3912</v>
      </c>
      <c r="J715" s="36">
        <v>3912</v>
      </c>
      <c r="K715" s="85">
        <v>0</v>
      </c>
      <c r="L715" s="36">
        <v>326</v>
      </c>
      <c r="M715" s="36">
        <v>326</v>
      </c>
      <c r="N715" s="36">
        <v>0</v>
      </c>
      <c r="O715" s="36">
        <v>0</v>
      </c>
      <c r="P715" t="s">
        <v>511</v>
      </c>
      <c r="Q715" t="s">
        <v>300</v>
      </c>
      <c r="R715" t="s">
        <v>300</v>
      </c>
      <c r="S715" s="1">
        <v>46051</v>
      </c>
      <c r="T715" s="1">
        <v>46051</v>
      </c>
      <c r="V715" s="1">
        <v>46416</v>
      </c>
      <c r="W715" t="s">
        <v>38</v>
      </c>
      <c r="X715">
        <v>12</v>
      </c>
      <c r="Y715" t="s">
        <v>49</v>
      </c>
      <c r="AA715" t="s">
        <v>122</v>
      </c>
      <c r="AB715">
        <v>12</v>
      </c>
      <c r="AC715" t="s">
        <v>301</v>
      </c>
      <c r="AD715" t="s">
        <v>160</v>
      </c>
      <c r="AE715" t="s">
        <v>43</v>
      </c>
      <c r="AF715" t="s">
        <v>44</v>
      </c>
      <c r="AG715" t="str">
        <f t="shared" si="11"/>
        <v>Recorrente</v>
      </c>
      <c r="AH715" t="str">
        <f>IF(AND(SUMIF(E:E,E715,I:I)&gt;=400000,Q715="B2G"),"n","")</f>
        <v/>
      </c>
    </row>
    <row r="716" spans="1:34">
      <c r="A716">
        <v>2026</v>
      </c>
      <c r="B716">
        <v>1</v>
      </c>
      <c r="C716" s="83">
        <v>48918594178</v>
      </c>
      <c r="D716" t="s">
        <v>774</v>
      </c>
      <c r="E716">
        <v>54353800866</v>
      </c>
      <c r="F716">
        <v>635695</v>
      </c>
      <c r="G716">
        <v>49708166019</v>
      </c>
      <c r="H716" t="s">
        <v>35</v>
      </c>
      <c r="I716" s="36">
        <v>2224.8000000000002</v>
      </c>
      <c r="J716" s="36">
        <v>2224.7800000000002</v>
      </c>
      <c r="K716" s="85">
        <v>0.02</v>
      </c>
      <c r="L716" s="36">
        <v>185.4</v>
      </c>
      <c r="M716" s="36">
        <v>185.4</v>
      </c>
      <c r="N716" s="36">
        <v>0</v>
      </c>
      <c r="O716" s="36">
        <v>0</v>
      </c>
      <c r="P716" t="s">
        <v>361</v>
      </c>
      <c r="Q716" t="s">
        <v>349</v>
      </c>
      <c r="R716" t="s">
        <v>349</v>
      </c>
      <c r="S716" s="1">
        <v>46044</v>
      </c>
      <c r="T716" s="1">
        <v>46044</v>
      </c>
      <c r="V716" s="1">
        <v>46409</v>
      </c>
      <c r="W716" t="s">
        <v>38</v>
      </c>
      <c r="X716">
        <v>12</v>
      </c>
      <c r="Y716" t="s">
        <v>49</v>
      </c>
      <c r="AA716" t="s">
        <v>122</v>
      </c>
      <c r="AB716">
        <v>12</v>
      </c>
      <c r="AC716" t="s">
        <v>350</v>
      </c>
      <c r="AD716" t="s">
        <v>84</v>
      </c>
      <c r="AE716" t="s">
        <v>43</v>
      </c>
      <c r="AF716" t="s">
        <v>44</v>
      </c>
      <c r="AG716" t="str">
        <f t="shared" si="11"/>
        <v>Recorrente</v>
      </c>
      <c r="AH716" t="str">
        <f>IF(AND(SUMIF(E:E,E716,I:I)&gt;=400000,Q716="B2G"),"n","")</f>
        <v/>
      </c>
    </row>
    <row r="717" spans="1:34">
      <c r="A717">
        <v>2026</v>
      </c>
      <c r="B717">
        <v>1</v>
      </c>
      <c r="C717" s="83">
        <v>48918594178</v>
      </c>
      <c r="D717" t="s">
        <v>774</v>
      </c>
      <c r="E717">
        <v>54353800866</v>
      </c>
      <c r="F717">
        <v>635695</v>
      </c>
      <c r="G717">
        <v>49708166019</v>
      </c>
      <c r="H717" t="s">
        <v>35</v>
      </c>
      <c r="I717" s="36">
        <v>2224.8000000000002</v>
      </c>
      <c r="J717" s="36">
        <v>2224.7800000000002</v>
      </c>
      <c r="K717" s="85">
        <v>0.02</v>
      </c>
      <c r="L717" s="36">
        <v>185.4</v>
      </c>
      <c r="M717" s="36">
        <v>185.4</v>
      </c>
      <c r="N717" s="36">
        <v>0</v>
      </c>
      <c r="O717" s="36">
        <v>0</v>
      </c>
      <c r="P717" t="s">
        <v>511</v>
      </c>
      <c r="Q717" t="s">
        <v>349</v>
      </c>
      <c r="R717" t="s">
        <v>349</v>
      </c>
      <c r="S717" s="1">
        <v>46044</v>
      </c>
      <c r="T717" s="1">
        <v>46044</v>
      </c>
      <c r="V717" s="1">
        <v>46409</v>
      </c>
      <c r="W717" t="s">
        <v>38</v>
      </c>
      <c r="X717">
        <v>12</v>
      </c>
      <c r="Y717" t="s">
        <v>49</v>
      </c>
      <c r="AA717" t="s">
        <v>122</v>
      </c>
      <c r="AB717">
        <v>12</v>
      </c>
      <c r="AC717" t="s">
        <v>350</v>
      </c>
      <c r="AD717" t="s">
        <v>84</v>
      </c>
      <c r="AE717" t="s">
        <v>43</v>
      </c>
      <c r="AF717" t="s">
        <v>44</v>
      </c>
      <c r="AG717" t="str">
        <f t="shared" si="11"/>
        <v>Recorrente</v>
      </c>
      <c r="AH717" t="str">
        <f>IF(AND(SUMIF(E:E,E717,I:I)&gt;=400000,Q717="B2G"),"n","")</f>
        <v/>
      </c>
    </row>
    <row r="718" spans="1:34">
      <c r="A718">
        <v>2026</v>
      </c>
      <c r="B718">
        <v>1</v>
      </c>
      <c r="C718" s="83">
        <v>48918594178</v>
      </c>
      <c r="D718" t="s">
        <v>774</v>
      </c>
      <c r="E718">
        <v>54353800866</v>
      </c>
      <c r="F718">
        <v>635695</v>
      </c>
      <c r="G718">
        <v>49708166020</v>
      </c>
      <c r="H718" t="s">
        <v>35</v>
      </c>
      <c r="I718" s="36">
        <v>2542.98</v>
      </c>
      <c r="J718" s="36">
        <v>2542.98</v>
      </c>
      <c r="K718" s="85">
        <v>0</v>
      </c>
      <c r="L718" s="36">
        <v>211.92</v>
      </c>
      <c r="M718" s="36">
        <v>211.92</v>
      </c>
      <c r="N718" s="36">
        <v>0</v>
      </c>
      <c r="O718" s="36">
        <v>0</v>
      </c>
      <c r="P718" t="s">
        <v>361</v>
      </c>
      <c r="Q718" t="s">
        <v>349</v>
      </c>
      <c r="R718" t="s">
        <v>349</v>
      </c>
      <c r="S718" s="1">
        <v>46044</v>
      </c>
      <c r="T718" s="1">
        <v>46044</v>
      </c>
      <c r="V718" s="1">
        <v>46409</v>
      </c>
      <c r="W718" t="s">
        <v>38</v>
      </c>
      <c r="X718">
        <v>12</v>
      </c>
      <c r="Y718" t="s">
        <v>49</v>
      </c>
      <c r="AA718" t="s">
        <v>122</v>
      </c>
      <c r="AB718">
        <v>12</v>
      </c>
      <c r="AC718" t="s">
        <v>350</v>
      </c>
      <c r="AD718" t="s">
        <v>85</v>
      </c>
      <c r="AE718" t="s">
        <v>46</v>
      </c>
      <c r="AF718" t="s">
        <v>44</v>
      </c>
      <c r="AG718" t="str">
        <f t="shared" si="11"/>
        <v>Recorrente</v>
      </c>
      <c r="AH718" t="str">
        <f>IF(AND(SUMIF(E:E,E718,I:I)&gt;=400000,Q718="B2G"),"n","")</f>
        <v/>
      </c>
    </row>
    <row r="719" spans="1:34">
      <c r="A719">
        <v>2026</v>
      </c>
      <c r="B719">
        <v>1</v>
      </c>
      <c r="C719" s="83">
        <v>48918594178</v>
      </c>
      <c r="D719" t="s">
        <v>774</v>
      </c>
      <c r="E719">
        <v>54353800866</v>
      </c>
      <c r="F719">
        <v>635695</v>
      </c>
      <c r="G719">
        <v>49708166020</v>
      </c>
      <c r="H719" t="s">
        <v>35</v>
      </c>
      <c r="I719" s="36">
        <v>2542.98</v>
      </c>
      <c r="J719" s="36">
        <v>2542.98</v>
      </c>
      <c r="K719" s="85">
        <v>0</v>
      </c>
      <c r="L719" s="36">
        <v>211.92</v>
      </c>
      <c r="M719" s="36">
        <v>211.92</v>
      </c>
      <c r="N719" s="36">
        <v>0</v>
      </c>
      <c r="O719" s="36">
        <v>0</v>
      </c>
      <c r="P719" t="s">
        <v>511</v>
      </c>
      <c r="Q719" t="s">
        <v>349</v>
      </c>
      <c r="R719" t="s">
        <v>349</v>
      </c>
      <c r="S719" s="1">
        <v>46044</v>
      </c>
      <c r="T719" s="1">
        <v>46044</v>
      </c>
      <c r="V719" s="1">
        <v>46409</v>
      </c>
      <c r="W719" t="s">
        <v>38</v>
      </c>
      <c r="X719">
        <v>12</v>
      </c>
      <c r="Y719" t="s">
        <v>49</v>
      </c>
      <c r="AA719" t="s">
        <v>122</v>
      </c>
      <c r="AB719">
        <v>12</v>
      </c>
      <c r="AC719" t="s">
        <v>350</v>
      </c>
      <c r="AD719" t="s">
        <v>85</v>
      </c>
      <c r="AE719" t="s">
        <v>46</v>
      </c>
      <c r="AF719" t="s">
        <v>44</v>
      </c>
      <c r="AG719" t="str">
        <f t="shared" si="11"/>
        <v>Recorrente</v>
      </c>
      <c r="AH719" t="str">
        <f>IF(AND(SUMIF(E:E,E719,I:I)&gt;=400000,Q719="B2G"),"n","")</f>
        <v/>
      </c>
    </row>
    <row r="720" spans="1:34">
      <c r="A720">
        <v>2026</v>
      </c>
      <c r="B720">
        <v>1</v>
      </c>
      <c r="C720" s="83">
        <v>183984417423</v>
      </c>
      <c r="D720" t="s">
        <v>775</v>
      </c>
      <c r="E720">
        <v>54355085879</v>
      </c>
      <c r="F720">
        <v>635719</v>
      </c>
      <c r="G720">
        <v>49720328109</v>
      </c>
      <c r="H720" t="s">
        <v>35</v>
      </c>
      <c r="I720" s="36">
        <v>2628</v>
      </c>
      <c r="J720" s="36">
        <v>2628</v>
      </c>
      <c r="K720" s="85">
        <v>0</v>
      </c>
      <c r="L720" s="36">
        <v>219</v>
      </c>
      <c r="M720" s="36">
        <v>219</v>
      </c>
      <c r="N720" s="36">
        <v>0</v>
      </c>
      <c r="O720" s="36">
        <v>0</v>
      </c>
      <c r="P720" t="s">
        <v>511</v>
      </c>
      <c r="Q720" t="s">
        <v>300</v>
      </c>
      <c r="R720" t="s">
        <v>300</v>
      </c>
      <c r="S720" s="1">
        <v>46045</v>
      </c>
      <c r="T720" s="1">
        <v>46045</v>
      </c>
      <c r="V720" s="1">
        <v>46410</v>
      </c>
      <c r="W720" t="s">
        <v>38</v>
      </c>
      <c r="X720">
        <v>12</v>
      </c>
      <c r="Y720" t="s">
        <v>49</v>
      </c>
      <c r="AA720" t="s">
        <v>112</v>
      </c>
      <c r="AB720">
        <v>12</v>
      </c>
      <c r="AC720" t="s">
        <v>301</v>
      </c>
      <c r="AD720" t="s">
        <v>118</v>
      </c>
      <c r="AE720" t="s">
        <v>43</v>
      </c>
      <c r="AF720" t="s">
        <v>119</v>
      </c>
      <c r="AG720" t="str">
        <f t="shared" si="11"/>
        <v>CC 12x</v>
      </c>
      <c r="AH720" t="str">
        <f>IF(AND(SUMIF(E:E,E720,I:I)&gt;=400000,Q720="B2G"),"n","")</f>
        <v/>
      </c>
    </row>
    <row r="721" spans="1:34">
      <c r="A721">
        <v>2026</v>
      </c>
      <c r="B721">
        <v>1</v>
      </c>
      <c r="C721" s="83">
        <v>165996808836</v>
      </c>
      <c r="D721" t="s">
        <v>776</v>
      </c>
      <c r="E721">
        <v>54365225133</v>
      </c>
      <c r="F721">
        <v>625793</v>
      </c>
      <c r="G721">
        <v>49944781482</v>
      </c>
      <c r="H721" t="s">
        <v>35</v>
      </c>
      <c r="I721" s="36">
        <v>4686.84</v>
      </c>
      <c r="J721" s="36">
        <v>4686.84</v>
      </c>
      <c r="K721" s="85">
        <v>0</v>
      </c>
      <c r="L721" s="36">
        <v>390.57</v>
      </c>
      <c r="M721" s="36">
        <v>0</v>
      </c>
      <c r="N721" s="36">
        <v>24.83</v>
      </c>
      <c r="O721" s="36">
        <v>365.75</v>
      </c>
      <c r="P721" t="s">
        <v>133</v>
      </c>
      <c r="Q721" t="s">
        <v>111</v>
      </c>
      <c r="R721" t="s">
        <v>111</v>
      </c>
      <c r="S721" s="1">
        <v>46048</v>
      </c>
      <c r="T721" s="1">
        <v>46048</v>
      </c>
      <c r="U721" s="1">
        <v>46044</v>
      </c>
      <c r="V721" s="1">
        <v>46409</v>
      </c>
      <c r="W721" t="s">
        <v>38</v>
      </c>
      <c r="X721">
        <v>12</v>
      </c>
      <c r="Y721" t="s">
        <v>49</v>
      </c>
      <c r="Z721" t="s">
        <v>81</v>
      </c>
      <c r="AA721" t="s">
        <v>122</v>
      </c>
      <c r="AB721">
        <v>12</v>
      </c>
      <c r="AC721" t="s">
        <v>113</v>
      </c>
      <c r="AD721" t="s">
        <v>138</v>
      </c>
      <c r="AE721" t="s">
        <v>135</v>
      </c>
      <c r="AF721" t="s">
        <v>119</v>
      </c>
      <c r="AG721" t="str">
        <f t="shared" si="11"/>
        <v>Recorrente</v>
      </c>
      <c r="AH721" t="str">
        <f>IF(AND(SUMIF(E:E,E721,I:I)&gt;=400000,Q721="B2G"),"n","")</f>
        <v/>
      </c>
    </row>
    <row r="722" spans="1:34">
      <c r="A722">
        <v>2026</v>
      </c>
      <c r="B722">
        <v>1</v>
      </c>
      <c r="C722" s="83">
        <v>49485491319</v>
      </c>
      <c r="D722" t="s">
        <v>777</v>
      </c>
      <c r="E722">
        <v>54379673677</v>
      </c>
      <c r="F722">
        <v>635723</v>
      </c>
      <c r="G722">
        <v>49778603957</v>
      </c>
      <c r="H722" t="s">
        <v>35</v>
      </c>
      <c r="I722" s="36">
        <v>2640</v>
      </c>
      <c r="J722" s="36">
        <v>2640</v>
      </c>
      <c r="K722" s="85">
        <v>0</v>
      </c>
      <c r="L722" s="36">
        <v>220</v>
      </c>
      <c r="M722" s="36">
        <v>220</v>
      </c>
      <c r="N722" s="36">
        <v>0</v>
      </c>
      <c r="O722" s="36">
        <v>0</v>
      </c>
      <c r="P722" t="s">
        <v>511</v>
      </c>
      <c r="Q722" t="s">
        <v>300</v>
      </c>
      <c r="R722" t="s">
        <v>300</v>
      </c>
      <c r="S722" s="1">
        <v>46045</v>
      </c>
      <c r="T722" s="1">
        <v>46045</v>
      </c>
      <c r="V722" s="1">
        <v>46410</v>
      </c>
      <c r="W722" t="s">
        <v>38</v>
      </c>
      <c r="X722">
        <v>12</v>
      </c>
      <c r="Y722" t="s">
        <v>49</v>
      </c>
      <c r="AA722" t="s">
        <v>112</v>
      </c>
      <c r="AB722">
        <v>12</v>
      </c>
      <c r="AC722" t="s">
        <v>301</v>
      </c>
      <c r="AD722" t="s">
        <v>118</v>
      </c>
      <c r="AE722" t="s">
        <v>43</v>
      </c>
      <c r="AF722" t="s">
        <v>119</v>
      </c>
      <c r="AG722" t="str">
        <f t="shared" si="11"/>
        <v>CC 12x</v>
      </c>
      <c r="AH722" t="str">
        <f>IF(AND(SUMIF(E:E,E722,I:I)&gt;=400000,Q722="B2G"),"n","")</f>
        <v/>
      </c>
    </row>
    <row r="723" spans="1:34">
      <c r="A723">
        <v>2026</v>
      </c>
      <c r="B723">
        <v>1</v>
      </c>
      <c r="C723" s="83">
        <v>19435672386</v>
      </c>
      <c r="D723" t="s">
        <v>596</v>
      </c>
      <c r="E723">
        <v>54387617699</v>
      </c>
      <c r="F723">
        <v>635703</v>
      </c>
      <c r="G723">
        <v>49746841485</v>
      </c>
      <c r="H723" t="s">
        <v>35</v>
      </c>
      <c r="I723" s="36">
        <v>8418.6</v>
      </c>
      <c r="J723" s="36">
        <v>3527.76</v>
      </c>
      <c r="K723" s="85">
        <v>4890.84</v>
      </c>
      <c r="L723" s="36">
        <v>293.98</v>
      </c>
      <c r="M723" s="36">
        <v>0</v>
      </c>
      <c r="N723" s="36">
        <v>293.98</v>
      </c>
      <c r="O723" s="36">
        <v>0</v>
      </c>
      <c r="P723" t="s">
        <v>367</v>
      </c>
      <c r="Q723" t="s">
        <v>191</v>
      </c>
      <c r="R723" t="s">
        <v>191</v>
      </c>
      <c r="S723" s="1">
        <v>46045</v>
      </c>
      <c r="T723" s="1">
        <v>46045</v>
      </c>
      <c r="V723" s="1">
        <v>46410</v>
      </c>
      <c r="W723" t="s">
        <v>38</v>
      </c>
      <c r="Y723" t="s">
        <v>49</v>
      </c>
      <c r="AA723" t="s">
        <v>122</v>
      </c>
      <c r="AB723">
        <v>12</v>
      </c>
      <c r="AC723" t="s">
        <v>192</v>
      </c>
      <c r="AD723" t="s">
        <v>134</v>
      </c>
      <c r="AE723" t="s">
        <v>135</v>
      </c>
      <c r="AF723" t="s">
        <v>44</v>
      </c>
      <c r="AG723" t="str">
        <f t="shared" si="11"/>
        <v>Recorrente</v>
      </c>
      <c r="AH723" t="str">
        <f>IF(AND(SUMIF(E:E,E723,I:I)&gt;=400000,Q723="B2G"),"n","")</f>
        <v/>
      </c>
    </row>
    <row r="724" spans="1:34">
      <c r="A724">
        <v>2026</v>
      </c>
      <c r="B724">
        <v>1</v>
      </c>
      <c r="C724" s="83">
        <v>2083355</v>
      </c>
      <c r="D724" t="s">
        <v>778</v>
      </c>
      <c r="E724">
        <v>54391868782</v>
      </c>
      <c r="F724">
        <v>635700</v>
      </c>
      <c r="G724">
        <v>49745924493</v>
      </c>
      <c r="H724" t="s">
        <v>35</v>
      </c>
      <c r="I724" s="36">
        <v>2874</v>
      </c>
      <c r="J724" s="36">
        <v>2874</v>
      </c>
      <c r="K724" s="85">
        <v>0</v>
      </c>
      <c r="L724" s="36">
        <v>239.5</v>
      </c>
      <c r="M724" s="36">
        <v>239.5</v>
      </c>
      <c r="N724" s="36">
        <v>0</v>
      </c>
      <c r="O724" s="36">
        <v>0</v>
      </c>
      <c r="P724" t="s">
        <v>497</v>
      </c>
      <c r="Q724" t="s">
        <v>498</v>
      </c>
      <c r="R724" t="s">
        <v>498</v>
      </c>
      <c r="S724" s="1">
        <v>46045</v>
      </c>
      <c r="T724" s="1">
        <v>46045</v>
      </c>
      <c r="V724" s="1">
        <v>46410</v>
      </c>
      <c r="W724" t="s">
        <v>38</v>
      </c>
      <c r="X724">
        <v>12</v>
      </c>
      <c r="Y724" t="s">
        <v>49</v>
      </c>
      <c r="AA724" t="s">
        <v>112</v>
      </c>
      <c r="AB724">
        <v>12</v>
      </c>
      <c r="AC724" t="s">
        <v>499</v>
      </c>
      <c r="AD724" t="s">
        <v>140</v>
      </c>
      <c r="AE724" t="s">
        <v>46</v>
      </c>
      <c r="AF724" t="s">
        <v>119</v>
      </c>
      <c r="AG724" t="str">
        <f t="shared" si="11"/>
        <v>CC 12x</v>
      </c>
      <c r="AH724" t="str">
        <f>IF(AND(SUMIF(E:E,E724,I:I)&gt;=400000,Q724="B2G"),"n","")</f>
        <v/>
      </c>
    </row>
    <row r="725" spans="1:34">
      <c r="A725">
        <v>2026</v>
      </c>
      <c r="B725">
        <v>1</v>
      </c>
      <c r="C725" s="83">
        <v>22397007229</v>
      </c>
      <c r="D725" t="s">
        <v>779</v>
      </c>
      <c r="E725">
        <v>54392489338</v>
      </c>
      <c r="F725">
        <v>635725</v>
      </c>
      <c r="G725">
        <v>49755429175</v>
      </c>
      <c r="H725" t="s">
        <v>35</v>
      </c>
      <c r="I725" s="36">
        <v>2874</v>
      </c>
      <c r="J725" s="36">
        <v>2874</v>
      </c>
      <c r="K725" s="85">
        <v>0</v>
      </c>
      <c r="L725" s="36">
        <v>239.5</v>
      </c>
      <c r="M725" s="36">
        <v>239.5</v>
      </c>
      <c r="N725" s="36">
        <v>0</v>
      </c>
      <c r="O725" s="36">
        <v>0</v>
      </c>
      <c r="P725" t="s">
        <v>511</v>
      </c>
      <c r="Q725" t="s">
        <v>300</v>
      </c>
      <c r="R725" t="s">
        <v>300</v>
      </c>
      <c r="S725" s="1">
        <v>46045</v>
      </c>
      <c r="T725" s="1">
        <v>46045</v>
      </c>
      <c r="V725" s="1">
        <v>46410</v>
      </c>
      <c r="W725" t="s">
        <v>38</v>
      </c>
      <c r="X725">
        <v>12</v>
      </c>
      <c r="Y725" t="s">
        <v>49</v>
      </c>
      <c r="AA725" t="s">
        <v>122</v>
      </c>
      <c r="AB725">
        <v>12</v>
      </c>
      <c r="AC725" t="s">
        <v>301</v>
      </c>
      <c r="AD725" t="s">
        <v>140</v>
      </c>
      <c r="AE725" t="s">
        <v>46</v>
      </c>
      <c r="AF725" t="s">
        <v>119</v>
      </c>
      <c r="AG725" t="str">
        <f t="shared" si="11"/>
        <v>Recorrente</v>
      </c>
      <c r="AH725" t="str">
        <f>IF(AND(SUMIF(E:E,E725,I:I)&gt;=400000,Q725="B2G"),"n","")</f>
        <v/>
      </c>
    </row>
    <row r="726" spans="1:34">
      <c r="A726">
        <v>2026</v>
      </c>
      <c r="B726">
        <v>1</v>
      </c>
      <c r="C726" s="83">
        <v>2135317</v>
      </c>
      <c r="D726" t="s">
        <v>615</v>
      </c>
      <c r="E726">
        <v>54394277668</v>
      </c>
      <c r="F726">
        <v>635648</v>
      </c>
      <c r="G726">
        <v>49737019806</v>
      </c>
      <c r="H726" t="s">
        <v>35</v>
      </c>
      <c r="I726" s="36">
        <v>3427.56</v>
      </c>
      <c r="J726" s="36">
        <v>3458.52</v>
      </c>
      <c r="K726" s="85">
        <v>0</v>
      </c>
      <c r="L726" s="36">
        <v>288.20999999999998</v>
      </c>
      <c r="M726" s="36">
        <v>0</v>
      </c>
      <c r="N726" s="36">
        <v>288.20999999999998</v>
      </c>
      <c r="O726" s="36">
        <v>0</v>
      </c>
      <c r="P726" t="s">
        <v>313</v>
      </c>
      <c r="Q726" t="s">
        <v>314</v>
      </c>
      <c r="R726" t="s">
        <v>314</v>
      </c>
      <c r="S726" s="1">
        <v>46045</v>
      </c>
      <c r="T726" s="1">
        <v>46045</v>
      </c>
      <c r="V726" s="1">
        <v>46407</v>
      </c>
      <c r="W726" t="s">
        <v>38</v>
      </c>
      <c r="X726">
        <v>12</v>
      </c>
      <c r="Y726" t="s">
        <v>49</v>
      </c>
      <c r="Z726" t="s">
        <v>324</v>
      </c>
      <c r="AA726" t="s">
        <v>122</v>
      </c>
      <c r="AB726">
        <v>11</v>
      </c>
      <c r="AC726" t="s">
        <v>315</v>
      </c>
      <c r="AD726" t="s">
        <v>134</v>
      </c>
      <c r="AE726" t="s">
        <v>135</v>
      </c>
      <c r="AF726" t="s">
        <v>44</v>
      </c>
      <c r="AG726" t="str">
        <f t="shared" si="11"/>
        <v>Recorrente</v>
      </c>
      <c r="AH726" t="str">
        <f>IF(AND(SUMIF(E:E,E726,I:I)&gt;=400000,Q726="B2G"),"n","")</f>
        <v/>
      </c>
    </row>
    <row r="727" spans="1:34">
      <c r="A727">
        <v>2026</v>
      </c>
      <c r="B727">
        <v>1</v>
      </c>
      <c r="C727" s="83">
        <v>19541077557</v>
      </c>
      <c r="D727" t="s">
        <v>780</v>
      </c>
      <c r="E727">
        <v>54396589178</v>
      </c>
      <c r="F727">
        <v>625858</v>
      </c>
      <c r="G727">
        <v>49779101791</v>
      </c>
      <c r="H727" t="s">
        <v>35</v>
      </c>
      <c r="I727" s="36">
        <v>5465.16</v>
      </c>
      <c r="J727" s="36">
        <v>2730.96</v>
      </c>
      <c r="K727" s="85">
        <v>2734.2</v>
      </c>
      <c r="L727" s="36">
        <v>227.58</v>
      </c>
      <c r="M727" s="36">
        <v>0</v>
      </c>
      <c r="N727" s="36">
        <v>227.58</v>
      </c>
      <c r="O727" s="36">
        <v>0</v>
      </c>
      <c r="P727" t="s">
        <v>367</v>
      </c>
      <c r="Q727" t="s">
        <v>191</v>
      </c>
      <c r="R727" t="s">
        <v>191</v>
      </c>
      <c r="S727" s="1">
        <v>46045</v>
      </c>
      <c r="T727" s="1">
        <v>46045</v>
      </c>
      <c r="V727" s="1">
        <v>46776</v>
      </c>
      <c r="W727" t="s">
        <v>102</v>
      </c>
      <c r="X727">
        <v>24</v>
      </c>
      <c r="Y727" t="s">
        <v>49</v>
      </c>
      <c r="Z727" t="s">
        <v>324</v>
      </c>
      <c r="AA727" t="s">
        <v>122</v>
      </c>
      <c r="AB727">
        <v>23</v>
      </c>
      <c r="AC727" t="s">
        <v>192</v>
      </c>
      <c r="AD727" t="s">
        <v>118</v>
      </c>
      <c r="AE727" t="s">
        <v>43</v>
      </c>
      <c r="AF727" t="s">
        <v>119</v>
      </c>
      <c r="AG727" t="str">
        <f t="shared" si="11"/>
        <v>Recorrente</v>
      </c>
      <c r="AH727" t="str">
        <f>IF(AND(SUMIF(E:E,E727,I:I)&gt;=400000,Q727="B2G"),"n","")</f>
        <v/>
      </c>
    </row>
    <row r="728" spans="1:34">
      <c r="A728">
        <v>2026</v>
      </c>
      <c r="B728">
        <v>1</v>
      </c>
      <c r="C728" s="83">
        <v>19541077557</v>
      </c>
      <c r="D728" t="s">
        <v>780</v>
      </c>
      <c r="E728">
        <v>54396589178</v>
      </c>
      <c r="F728">
        <v>625858</v>
      </c>
      <c r="G728">
        <v>49779101793</v>
      </c>
      <c r="H728" t="s">
        <v>35</v>
      </c>
      <c r="I728" s="36">
        <v>5465.16</v>
      </c>
      <c r="J728" s="36">
        <v>2730.96</v>
      </c>
      <c r="K728" s="85">
        <v>2734.2</v>
      </c>
      <c r="L728" s="36">
        <v>227.58</v>
      </c>
      <c r="M728" s="36">
        <v>0</v>
      </c>
      <c r="N728" s="36">
        <v>227.58</v>
      </c>
      <c r="O728" s="36">
        <v>0</v>
      </c>
      <c r="P728" t="s">
        <v>367</v>
      </c>
      <c r="Q728" t="s">
        <v>191</v>
      </c>
      <c r="R728" t="s">
        <v>191</v>
      </c>
      <c r="S728" s="1">
        <v>46045</v>
      </c>
      <c r="T728" s="1">
        <v>46045</v>
      </c>
      <c r="V728" s="1">
        <v>46776</v>
      </c>
      <c r="W728" t="s">
        <v>102</v>
      </c>
      <c r="X728">
        <v>24</v>
      </c>
      <c r="Y728" t="s">
        <v>49</v>
      </c>
      <c r="Z728" t="s">
        <v>324</v>
      </c>
      <c r="AA728" t="s">
        <v>122</v>
      </c>
      <c r="AB728">
        <v>23</v>
      </c>
      <c r="AC728" t="s">
        <v>192</v>
      </c>
      <c r="AD728" t="s">
        <v>140</v>
      </c>
      <c r="AE728" t="s">
        <v>46</v>
      </c>
      <c r="AF728" t="s">
        <v>119</v>
      </c>
      <c r="AG728" t="str">
        <f t="shared" si="11"/>
        <v>Recorrente</v>
      </c>
      <c r="AH728" t="str">
        <f>IF(AND(SUMIF(E:E,E728,I:I)&gt;=400000,Q728="B2G"),"n","")</f>
        <v/>
      </c>
    </row>
    <row r="729" spans="1:34">
      <c r="A729">
        <v>2026</v>
      </c>
      <c r="B729">
        <v>1</v>
      </c>
      <c r="C729" s="83">
        <v>2076964</v>
      </c>
      <c r="D729" t="s">
        <v>781</v>
      </c>
      <c r="E729">
        <v>54396725626</v>
      </c>
      <c r="F729">
        <v>635712</v>
      </c>
      <c r="G729">
        <v>49778541437</v>
      </c>
      <c r="H729" t="s">
        <v>35</v>
      </c>
      <c r="I729" s="36">
        <v>10145.76</v>
      </c>
      <c r="J729" s="36">
        <v>5072.88</v>
      </c>
      <c r="K729" s="85">
        <v>5072.88</v>
      </c>
      <c r="L729" s="36">
        <v>422.74</v>
      </c>
      <c r="M729" s="36">
        <v>422.74</v>
      </c>
      <c r="N729" s="36">
        <v>0</v>
      </c>
      <c r="O729" s="36">
        <v>0</v>
      </c>
      <c r="P729" t="s">
        <v>299</v>
      </c>
      <c r="Q729" t="s">
        <v>300</v>
      </c>
      <c r="R729" t="s">
        <v>300</v>
      </c>
      <c r="S729" s="1">
        <v>46045</v>
      </c>
      <c r="T729" s="1">
        <v>46045</v>
      </c>
      <c r="V729" s="1">
        <v>46775</v>
      </c>
      <c r="W729" t="s">
        <v>56</v>
      </c>
      <c r="X729">
        <v>24</v>
      </c>
      <c r="Y729" t="s">
        <v>49</v>
      </c>
      <c r="AA729" t="s">
        <v>122</v>
      </c>
      <c r="AB729">
        <v>24</v>
      </c>
      <c r="AC729" t="s">
        <v>301</v>
      </c>
      <c r="AD729" t="s">
        <v>138</v>
      </c>
      <c r="AE729" t="s">
        <v>135</v>
      </c>
      <c r="AF729" t="s">
        <v>119</v>
      </c>
      <c r="AG729" t="str">
        <f t="shared" si="11"/>
        <v>Recorrente</v>
      </c>
      <c r="AH729" t="str">
        <f>IF(AND(SUMIF(E:E,E729,I:I)&gt;=400000,Q729="B2G"),"n","")</f>
        <v/>
      </c>
    </row>
    <row r="730" spans="1:34">
      <c r="A730">
        <v>2026</v>
      </c>
      <c r="B730">
        <v>1</v>
      </c>
      <c r="C730" s="83">
        <v>2083565</v>
      </c>
      <c r="D730" t="s">
        <v>782</v>
      </c>
      <c r="E730">
        <v>54415086469</v>
      </c>
      <c r="F730">
        <v>303822</v>
      </c>
      <c r="G730">
        <v>49778589623</v>
      </c>
      <c r="H730" t="s">
        <v>35</v>
      </c>
      <c r="I730" s="36">
        <v>4406.6400000000003</v>
      </c>
      <c r="J730" s="36">
        <v>4406.6400000000003</v>
      </c>
      <c r="K730" s="85">
        <v>0</v>
      </c>
      <c r="L730" s="36">
        <v>367.22</v>
      </c>
      <c r="M730" s="36">
        <v>0</v>
      </c>
      <c r="N730" s="36">
        <v>367.22</v>
      </c>
      <c r="O730" s="36">
        <v>0</v>
      </c>
      <c r="P730" t="s">
        <v>110</v>
      </c>
      <c r="Q730" t="s">
        <v>111</v>
      </c>
      <c r="R730" t="s">
        <v>111</v>
      </c>
      <c r="S730" s="1">
        <v>46048</v>
      </c>
      <c r="T730" s="1">
        <v>46048</v>
      </c>
      <c r="U730" s="1">
        <v>46045</v>
      </c>
      <c r="V730" s="1">
        <v>46410</v>
      </c>
      <c r="W730" t="s">
        <v>38</v>
      </c>
      <c r="X730">
        <v>12</v>
      </c>
      <c r="Y730" t="s">
        <v>49</v>
      </c>
      <c r="Z730" t="s">
        <v>76</v>
      </c>
      <c r="AA730" t="s">
        <v>122</v>
      </c>
      <c r="AB730">
        <v>12</v>
      </c>
      <c r="AC730" t="s">
        <v>113</v>
      </c>
      <c r="AD730" t="s">
        <v>163</v>
      </c>
      <c r="AE730" t="s">
        <v>43</v>
      </c>
      <c r="AF730" t="s">
        <v>96</v>
      </c>
      <c r="AG730" t="str">
        <f t="shared" si="11"/>
        <v>Recorrente</v>
      </c>
      <c r="AH730" t="str">
        <f>IF(AND(SUMIF(E:E,E730,I:I)&gt;=400000,Q730="B2G"),"n","")</f>
        <v/>
      </c>
    </row>
    <row r="731" spans="1:34">
      <c r="A731">
        <v>2026</v>
      </c>
      <c r="B731">
        <v>1</v>
      </c>
      <c r="C731" s="83">
        <v>19485949226</v>
      </c>
      <c r="D731" t="s">
        <v>783</v>
      </c>
      <c r="E731">
        <v>54427613078</v>
      </c>
      <c r="F731">
        <v>635855</v>
      </c>
      <c r="G731">
        <v>50350841971</v>
      </c>
      <c r="H731" t="s">
        <v>35</v>
      </c>
      <c r="I731" s="36">
        <v>7748.52</v>
      </c>
      <c r="J731" s="36">
        <v>1520.5</v>
      </c>
      <c r="K731" s="85">
        <v>6228.02</v>
      </c>
      <c r="L731" s="36">
        <v>126.71</v>
      </c>
      <c r="M731" s="36">
        <v>0</v>
      </c>
      <c r="N731" s="36">
        <v>126.71</v>
      </c>
      <c r="O731" s="36">
        <v>0</v>
      </c>
      <c r="P731" t="s">
        <v>190</v>
      </c>
      <c r="Q731" t="s">
        <v>191</v>
      </c>
      <c r="R731" t="s">
        <v>191</v>
      </c>
      <c r="S731" s="1">
        <v>46053</v>
      </c>
      <c r="T731" s="1">
        <v>46053</v>
      </c>
      <c r="V731" s="1">
        <v>46418</v>
      </c>
      <c r="W731" t="s">
        <v>38</v>
      </c>
      <c r="Y731" t="s">
        <v>49</v>
      </c>
      <c r="AA731" t="s">
        <v>92</v>
      </c>
      <c r="AB731">
        <v>12</v>
      </c>
      <c r="AC731" t="s">
        <v>192</v>
      </c>
      <c r="AD731" t="s">
        <v>94</v>
      </c>
      <c r="AE731" t="s">
        <v>95</v>
      </c>
      <c r="AF731" t="s">
        <v>96</v>
      </c>
      <c r="AG731" t="str">
        <f t="shared" si="11"/>
        <v>Recorrente</v>
      </c>
      <c r="AH731" t="str">
        <f>IF(AND(SUMIF(E:E,E731,I:I)&gt;=400000,Q731="B2G"),"n","")</f>
        <v/>
      </c>
    </row>
    <row r="732" spans="1:34">
      <c r="A732">
        <v>2026</v>
      </c>
      <c r="B732">
        <v>1</v>
      </c>
      <c r="C732" s="83">
        <v>19485949226</v>
      </c>
      <c r="D732" t="s">
        <v>783</v>
      </c>
      <c r="E732">
        <v>54427613078</v>
      </c>
      <c r="F732">
        <v>635855</v>
      </c>
      <c r="G732">
        <v>50350841972</v>
      </c>
      <c r="H732" t="s">
        <v>35</v>
      </c>
      <c r="I732" s="36">
        <v>7748.52</v>
      </c>
      <c r="J732" s="36">
        <v>1520.5</v>
      </c>
      <c r="K732" s="85">
        <v>6228.02</v>
      </c>
      <c r="L732" s="36">
        <v>126.71</v>
      </c>
      <c r="M732" s="36">
        <v>0</v>
      </c>
      <c r="N732" s="36">
        <v>126.71</v>
      </c>
      <c r="O732" s="36">
        <v>0</v>
      </c>
      <c r="P732" t="s">
        <v>190</v>
      </c>
      <c r="Q732" t="s">
        <v>191</v>
      </c>
      <c r="R732" t="s">
        <v>191</v>
      </c>
      <c r="S732" s="1">
        <v>46053</v>
      </c>
      <c r="T732" s="1">
        <v>46053</v>
      </c>
      <c r="V732" s="1">
        <v>46418</v>
      </c>
      <c r="W732" t="s">
        <v>38</v>
      </c>
      <c r="Y732" t="s">
        <v>49</v>
      </c>
      <c r="AA732" t="s">
        <v>92</v>
      </c>
      <c r="AB732">
        <v>12</v>
      </c>
      <c r="AC732" t="s">
        <v>192</v>
      </c>
      <c r="AD732" t="s">
        <v>94</v>
      </c>
      <c r="AE732" t="s">
        <v>95</v>
      </c>
      <c r="AF732" t="s">
        <v>96</v>
      </c>
      <c r="AG732" t="str">
        <f t="shared" si="11"/>
        <v>Recorrente</v>
      </c>
      <c r="AH732" t="str">
        <f>IF(AND(SUMIF(E:E,E732,I:I)&gt;=400000,Q732="B2G"),"n","")</f>
        <v/>
      </c>
    </row>
    <row r="733" spans="1:34">
      <c r="A733">
        <v>2026</v>
      </c>
      <c r="B733">
        <v>1</v>
      </c>
      <c r="C733" s="83">
        <v>19485949226</v>
      </c>
      <c r="D733" t="s">
        <v>783</v>
      </c>
      <c r="E733">
        <v>54427613078</v>
      </c>
      <c r="F733">
        <v>635855</v>
      </c>
      <c r="G733">
        <v>50350841973</v>
      </c>
      <c r="H733" t="s">
        <v>35</v>
      </c>
      <c r="I733" s="36">
        <v>7748.52</v>
      </c>
      <c r="J733" s="36">
        <v>1520.5</v>
      </c>
      <c r="K733" s="85">
        <v>6228.02</v>
      </c>
      <c r="L733" s="36">
        <v>126.71</v>
      </c>
      <c r="M733" s="36">
        <v>0</v>
      </c>
      <c r="N733" s="36">
        <v>126.71</v>
      </c>
      <c r="O733" s="36">
        <v>0</v>
      </c>
      <c r="P733" t="s">
        <v>190</v>
      </c>
      <c r="Q733" t="s">
        <v>191</v>
      </c>
      <c r="R733" t="s">
        <v>191</v>
      </c>
      <c r="S733" s="1">
        <v>46053</v>
      </c>
      <c r="T733" s="1">
        <v>46053</v>
      </c>
      <c r="V733" s="1">
        <v>46418</v>
      </c>
      <c r="W733" t="s">
        <v>38</v>
      </c>
      <c r="Y733" t="s">
        <v>49</v>
      </c>
      <c r="AA733" t="s">
        <v>92</v>
      </c>
      <c r="AB733">
        <v>12</v>
      </c>
      <c r="AC733" t="s">
        <v>192</v>
      </c>
      <c r="AD733" t="s">
        <v>94</v>
      </c>
      <c r="AE733" t="s">
        <v>95</v>
      </c>
      <c r="AF733" t="s">
        <v>96</v>
      </c>
      <c r="AG733" t="str">
        <f t="shared" si="11"/>
        <v>Recorrente</v>
      </c>
      <c r="AH733" t="str">
        <f>IF(AND(SUMIF(E:E,E733,I:I)&gt;=400000,Q733="B2G"),"n","")</f>
        <v/>
      </c>
    </row>
    <row r="734" spans="1:34">
      <c r="A734">
        <v>2026</v>
      </c>
      <c r="B734">
        <v>1</v>
      </c>
      <c r="C734" s="83">
        <v>2077041</v>
      </c>
      <c r="D734" t="s">
        <v>784</v>
      </c>
      <c r="E734">
        <v>54432452188</v>
      </c>
      <c r="F734">
        <v>635735</v>
      </c>
      <c r="G734">
        <v>49944714035</v>
      </c>
      <c r="H734" t="s">
        <v>35</v>
      </c>
      <c r="I734" s="36">
        <v>4962.6000000000004</v>
      </c>
      <c r="J734" s="36">
        <v>4962.6000000000004</v>
      </c>
      <c r="K734" s="85">
        <v>0</v>
      </c>
      <c r="L734" s="36">
        <v>413.55</v>
      </c>
      <c r="M734" s="36">
        <v>413.55</v>
      </c>
      <c r="N734" s="36">
        <v>0</v>
      </c>
      <c r="O734" s="36">
        <v>0</v>
      </c>
      <c r="P734" t="s">
        <v>299</v>
      </c>
      <c r="Q734" t="s">
        <v>300</v>
      </c>
      <c r="R734" t="s">
        <v>300</v>
      </c>
      <c r="S734" s="1">
        <v>46048</v>
      </c>
      <c r="T734" s="1">
        <v>46048</v>
      </c>
      <c r="V734" s="1">
        <v>46413</v>
      </c>
      <c r="W734" t="s">
        <v>38</v>
      </c>
      <c r="X734">
        <v>12</v>
      </c>
      <c r="Y734" t="s">
        <v>49</v>
      </c>
      <c r="AA734" t="s">
        <v>122</v>
      </c>
      <c r="AB734">
        <v>12</v>
      </c>
      <c r="AC734" t="s">
        <v>301</v>
      </c>
      <c r="AD734" t="s">
        <v>138</v>
      </c>
      <c r="AE734" t="s">
        <v>135</v>
      </c>
      <c r="AF734" t="s">
        <v>119</v>
      </c>
      <c r="AG734" t="str">
        <f t="shared" si="11"/>
        <v>Recorrente</v>
      </c>
      <c r="AH734" t="str">
        <f>IF(AND(SUMIF(E:E,E734,I:I)&gt;=400000,Q734="B2G"),"n","")</f>
        <v/>
      </c>
    </row>
    <row r="735" spans="1:34">
      <c r="A735">
        <v>2026</v>
      </c>
      <c r="B735">
        <v>1</v>
      </c>
      <c r="C735" s="83">
        <v>50163328839</v>
      </c>
      <c r="D735" t="s">
        <v>785</v>
      </c>
      <c r="E735">
        <v>54432753735</v>
      </c>
      <c r="F735">
        <v>635815</v>
      </c>
      <c r="G735">
        <v>50351148425</v>
      </c>
      <c r="H735" t="s">
        <v>35</v>
      </c>
      <c r="I735" s="36">
        <v>4530.6000000000004</v>
      </c>
      <c r="J735" s="36">
        <v>4530.6000000000004</v>
      </c>
      <c r="K735" s="85">
        <v>0</v>
      </c>
      <c r="L735" s="36">
        <v>377.55</v>
      </c>
      <c r="M735" s="36">
        <v>377.55</v>
      </c>
      <c r="N735" s="36">
        <v>0</v>
      </c>
      <c r="O735" s="36">
        <v>0</v>
      </c>
      <c r="P735" t="s">
        <v>299</v>
      </c>
      <c r="Q735" t="s">
        <v>300</v>
      </c>
      <c r="R735" t="s">
        <v>300</v>
      </c>
      <c r="S735" s="1">
        <v>46052</v>
      </c>
      <c r="T735" s="1">
        <v>46052</v>
      </c>
      <c r="V735" s="1">
        <v>46417</v>
      </c>
      <c r="W735" t="s">
        <v>38</v>
      </c>
      <c r="X735">
        <v>12</v>
      </c>
      <c r="Y735" t="s">
        <v>49</v>
      </c>
      <c r="AA735" t="s">
        <v>122</v>
      </c>
      <c r="AB735">
        <v>12</v>
      </c>
      <c r="AC735" t="s">
        <v>301</v>
      </c>
      <c r="AD735" t="s">
        <v>84</v>
      </c>
      <c r="AE735" t="s">
        <v>43</v>
      </c>
      <c r="AF735" t="s">
        <v>44</v>
      </c>
      <c r="AG735" t="str">
        <f t="shared" si="11"/>
        <v>Recorrente</v>
      </c>
      <c r="AH735" t="str">
        <f>IF(AND(SUMIF(E:E,E735,I:I)&gt;=400000,Q735="B2G"),"n","")</f>
        <v/>
      </c>
    </row>
    <row r="736" spans="1:34">
      <c r="A736">
        <v>2026</v>
      </c>
      <c r="B736">
        <v>1</v>
      </c>
      <c r="C736" s="83">
        <v>2069465</v>
      </c>
      <c r="D736" t="s">
        <v>786</v>
      </c>
      <c r="E736">
        <v>54435751330</v>
      </c>
      <c r="F736">
        <v>607904</v>
      </c>
      <c r="G736">
        <v>49755714987</v>
      </c>
      <c r="H736" t="s">
        <v>35</v>
      </c>
      <c r="I736" s="36">
        <v>4074</v>
      </c>
      <c r="J736" s="36">
        <v>4074</v>
      </c>
      <c r="K736" s="85">
        <v>0</v>
      </c>
      <c r="L736" s="36">
        <v>339.5</v>
      </c>
      <c r="M736" s="36">
        <v>0</v>
      </c>
      <c r="N736" s="36">
        <v>60.5</v>
      </c>
      <c r="O736" s="36">
        <v>279</v>
      </c>
      <c r="P736" t="s">
        <v>127</v>
      </c>
      <c r="Q736" t="s">
        <v>111</v>
      </c>
      <c r="R736" t="s">
        <v>111</v>
      </c>
      <c r="S736" s="1">
        <v>46048</v>
      </c>
      <c r="T736" s="1">
        <v>46048</v>
      </c>
      <c r="U736" s="1">
        <v>46045</v>
      </c>
      <c r="V736" s="1">
        <v>46410</v>
      </c>
      <c r="W736" t="s">
        <v>38</v>
      </c>
      <c r="X736">
        <v>12</v>
      </c>
      <c r="Y736" t="s">
        <v>49</v>
      </c>
      <c r="Z736" t="s">
        <v>81</v>
      </c>
      <c r="AA736" t="s">
        <v>122</v>
      </c>
      <c r="AB736">
        <v>12</v>
      </c>
      <c r="AC736" t="s">
        <v>113</v>
      </c>
      <c r="AD736" t="s">
        <v>160</v>
      </c>
      <c r="AE736" t="s">
        <v>43</v>
      </c>
      <c r="AF736" t="s">
        <v>44</v>
      </c>
      <c r="AG736" t="str">
        <f t="shared" si="11"/>
        <v>Recorrente</v>
      </c>
      <c r="AH736" t="str">
        <f>IF(AND(SUMIF(E:E,E736,I:I)&gt;=400000,Q736="B2G"),"n","")</f>
        <v/>
      </c>
    </row>
    <row r="737" spans="1:34">
      <c r="A737">
        <v>2026</v>
      </c>
      <c r="B737">
        <v>1</v>
      </c>
      <c r="C737" s="83">
        <v>19485910926</v>
      </c>
      <c r="D737" t="s">
        <v>787</v>
      </c>
      <c r="E737">
        <v>54436189070</v>
      </c>
      <c r="F737">
        <v>635731</v>
      </c>
      <c r="G737">
        <v>49755717777</v>
      </c>
      <c r="H737" t="s">
        <v>35</v>
      </c>
      <c r="I737" s="36">
        <v>9773.4</v>
      </c>
      <c r="J737" s="36">
        <v>9773.4</v>
      </c>
      <c r="K737" s="85">
        <v>0</v>
      </c>
      <c r="L737" s="36">
        <v>814.45</v>
      </c>
      <c r="M737" s="36">
        <v>0</v>
      </c>
      <c r="N737" s="36">
        <v>814.45</v>
      </c>
      <c r="O737" s="36">
        <v>0</v>
      </c>
      <c r="P737" t="s">
        <v>520</v>
      </c>
      <c r="Q737" t="s">
        <v>191</v>
      </c>
      <c r="R737" t="s">
        <v>191</v>
      </c>
      <c r="S737" s="1">
        <v>46048</v>
      </c>
      <c r="T737" s="1">
        <v>46048</v>
      </c>
      <c r="V737" s="1">
        <v>46413</v>
      </c>
      <c r="W737" t="s">
        <v>38</v>
      </c>
      <c r="X737">
        <v>12</v>
      </c>
      <c r="Y737" t="s">
        <v>49</v>
      </c>
      <c r="AA737" t="s">
        <v>122</v>
      </c>
      <c r="AB737">
        <v>12</v>
      </c>
      <c r="AC737" t="s">
        <v>192</v>
      </c>
      <c r="AD737" t="s">
        <v>362</v>
      </c>
      <c r="AE737" t="s">
        <v>363</v>
      </c>
      <c r="AF737" t="s">
        <v>59</v>
      </c>
      <c r="AG737" t="str">
        <f t="shared" si="11"/>
        <v>Recorrente</v>
      </c>
      <c r="AH737" t="str">
        <f>IF(AND(SUMIF(E:E,E737,I:I)&gt;=400000,Q737="B2G"),"n","")</f>
        <v/>
      </c>
    </row>
    <row r="738" spans="1:34">
      <c r="A738">
        <v>2026</v>
      </c>
      <c r="B738">
        <v>1</v>
      </c>
      <c r="C738" s="83">
        <v>2140674</v>
      </c>
      <c r="D738" t="s">
        <v>788</v>
      </c>
      <c r="E738">
        <v>54442785864</v>
      </c>
      <c r="F738">
        <v>524671</v>
      </c>
      <c r="G738">
        <v>49944711517</v>
      </c>
      <c r="H738" t="s">
        <v>35</v>
      </c>
      <c r="I738" s="36">
        <v>4646.3999999999996</v>
      </c>
      <c r="J738" s="36">
        <v>4646.3999999999996</v>
      </c>
      <c r="K738" s="85">
        <v>0</v>
      </c>
      <c r="L738" s="36">
        <v>387.2</v>
      </c>
      <c r="M738" s="36">
        <v>0</v>
      </c>
      <c r="N738" s="36">
        <v>60.98</v>
      </c>
      <c r="O738" s="36">
        <v>326.22000000000003</v>
      </c>
      <c r="P738" t="s">
        <v>137</v>
      </c>
      <c r="Q738" t="s">
        <v>111</v>
      </c>
      <c r="R738" t="s">
        <v>111</v>
      </c>
      <c r="S738" s="1">
        <v>46049</v>
      </c>
      <c r="T738" s="1">
        <v>46049</v>
      </c>
      <c r="U738" s="1">
        <v>46046</v>
      </c>
      <c r="V738" s="1">
        <v>46411</v>
      </c>
      <c r="W738" t="s">
        <v>38</v>
      </c>
      <c r="X738">
        <v>12</v>
      </c>
      <c r="Y738" t="s">
        <v>49</v>
      </c>
      <c r="Z738" t="s">
        <v>81</v>
      </c>
      <c r="AA738" t="s">
        <v>122</v>
      </c>
      <c r="AB738">
        <v>12</v>
      </c>
      <c r="AC738" t="s">
        <v>113</v>
      </c>
      <c r="AD738" t="s">
        <v>85</v>
      </c>
      <c r="AE738" t="s">
        <v>46</v>
      </c>
      <c r="AF738" t="s">
        <v>44</v>
      </c>
      <c r="AG738" t="str">
        <f t="shared" si="11"/>
        <v>Recorrente</v>
      </c>
      <c r="AH738" t="str">
        <f>IF(AND(SUMIF(E:E,E738,I:I)&gt;=400000,Q738="B2G"),"n","")</f>
        <v/>
      </c>
    </row>
    <row r="739" spans="1:34">
      <c r="A739">
        <v>2026</v>
      </c>
      <c r="B739">
        <v>1</v>
      </c>
      <c r="C739" s="83">
        <v>2091438</v>
      </c>
      <c r="D739" t="s">
        <v>789</v>
      </c>
      <c r="E739">
        <v>54446471289</v>
      </c>
      <c r="F739">
        <v>607981</v>
      </c>
      <c r="G739">
        <v>50425403518</v>
      </c>
      <c r="H739" t="s">
        <v>35</v>
      </c>
      <c r="I739" s="36">
        <v>4401.84</v>
      </c>
      <c r="J739" s="36">
        <v>4401.84</v>
      </c>
      <c r="K739" s="85">
        <v>0</v>
      </c>
      <c r="L739" s="36">
        <v>366.82</v>
      </c>
      <c r="M739" s="36">
        <v>0</v>
      </c>
      <c r="N739" s="36">
        <v>63.27</v>
      </c>
      <c r="O739" s="36">
        <v>303.55</v>
      </c>
      <c r="P739" t="s">
        <v>110</v>
      </c>
      <c r="Q739" t="s">
        <v>111</v>
      </c>
      <c r="R739" t="s">
        <v>111</v>
      </c>
      <c r="S739" s="1">
        <v>46052</v>
      </c>
      <c r="T739" s="1">
        <v>46052</v>
      </c>
      <c r="U739" s="1">
        <v>46047</v>
      </c>
      <c r="V739" s="1">
        <v>46417</v>
      </c>
      <c r="W739" t="s">
        <v>38</v>
      </c>
      <c r="X739">
        <v>12</v>
      </c>
      <c r="Y739" t="s">
        <v>49</v>
      </c>
      <c r="Z739" t="s">
        <v>81</v>
      </c>
      <c r="AA739" t="s">
        <v>112</v>
      </c>
      <c r="AB739">
        <v>12</v>
      </c>
      <c r="AC739" t="s">
        <v>113</v>
      </c>
      <c r="AD739" t="s">
        <v>85</v>
      </c>
      <c r="AE739" t="s">
        <v>46</v>
      </c>
      <c r="AF739" t="s">
        <v>44</v>
      </c>
      <c r="AG739" t="str">
        <f t="shared" si="11"/>
        <v>CC 12x</v>
      </c>
      <c r="AH739" t="str">
        <f>IF(AND(SUMIF(E:E,E739,I:I)&gt;=400000,Q739="B2G"),"n","")</f>
        <v/>
      </c>
    </row>
    <row r="740" spans="1:34">
      <c r="A740">
        <v>2026</v>
      </c>
      <c r="B740">
        <v>1</v>
      </c>
      <c r="C740" s="83">
        <v>195616411178</v>
      </c>
      <c r="D740" t="s">
        <v>790</v>
      </c>
      <c r="E740">
        <v>54446966595</v>
      </c>
      <c r="F740">
        <v>635726</v>
      </c>
      <c r="G740">
        <v>49814035074</v>
      </c>
      <c r="H740" t="s">
        <v>104</v>
      </c>
      <c r="I740" s="36">
        <v>718.8</v>
      </c>
      <c r="J740" s="36">
        <v>718.8</v>
      </c>
      <c r="K740" s="85">
        <v>0</v>
      </c>
      <c r="L740" s="36">
        <v>59.9</v>
      </c>
      <c r="M740" s="36">
        <v>59.9</v>
      </c>
      <c r="N740" s="36">
        <v>0</v>
      </c>
      <c r="O740" s="36">
        <v>0</v>
      </c>
      <c r="P740" t="s">
        <v>497</v>
      </c>
      <c r="Q740" t="s">
        <v>498</v>
      </c>
      <c r="R740" t="s">
        <v>498</v>
      </c>
      <c r="S740" s="1">
        <v>46045</v>
      </c>
      <c r="T740" s="1">
        <v>46045</v>
      </c>
      <c r="V740" s="1">
        <v>46410</v>
      </c>
      <c r="W740" t="s">
        <v>38</v>
      </c>
      <c r="X740">
        <v>12</v>
      </c>
      <c r="Y740" t="s">
        <v>49</v>
      </c>
      <c r="AA740" t="s">
        <v>112</v>
      </c>
      <c r="AB740">
        <v>12</v>
      </c>
      <c r="AC740" t="s">
        <v>499</v>
      </c>
      <c r="AD740" t="s">
        <v>105</v>
      </c>
      <c r="AE740" t="s">
        <v>106</v>
      </c>
      <c r="AF740" t="s">
        <v>59</v>
      </c>
      <c r="AG740" t="str">
        <f t="shared" si="11"/>
        <v>CC 12x</v>
      </c>
      <c r="AH740" t="str">
        <f>IF(AND(SUMIF(E:E,E740,I:I)&gt;=400000,Q740="B2G"),"n","")</f>
        <v/>
      </c>
    </row>
    <row r="741" spans="1:34">
      <c r="A741">
        <v>2026</v>
      </c>
      <c r="B741">
        <v>1</v>
      </c>
      <c r="C741" s="83">
        <v>2091566</v>
      </c>
      <c r="D741" t="s">
        <v>791</v>
      </c>
      <c r="E741">
        <v>54456165037</v>
      </c>
      <c r="F741">
        <v>304086</v>
      </c>
      <c r="G741">
        <v>49822919261</v>
      </c>
      <c r="H741" t="s">
        <v>35</v>
      </c>
      <c r="I741" s="36">
        <v>2586.6</v>
      </c>
      <c r="J741" s="36">
        <v>2586.6</v>
      </c>
      <c r="K741" s="85">
        <v>0</v>
      </c>
      <c r="L741" s="36">
        <v>215.55</v>
      </c>
      <c r="M741" s="36">
        <v>0</v>
      </c>
      <c r="N741" s="36">
        <v>28.3</v>
      </c>
      <c r="O741" s="36">
        <v>187.25</v>
      </c>
      <c r="P741" t="s">
        <v>127</v>
      </c>
      <c r="Q741" t="s">
        <v>111</v>
      </c>
      <c r="R741" t="s">
        <v>111</v>
      </c>
      <c r="S741" s="1">
        <v>46048</v>
      </c>
      <c r="T741" s="1">
        <v>46048</v>
      </c>
      <c r="U741" s="1">
        <v>46047</v>
      </c>
      <c r="V741" s="1">
        <v>46412</v>
      </c>
      <c r="W741" t="s">
        <v>38</v>
      </c>
      <c r="X741">
        <v>12</v>
      </c>
      <c r="Y741" t="s">
        <v>49</v>
      </c>
      <c r="Z741" t="s">
        <v>81</v>
      </c>
      <c r="AA741" t="s">
        <v>112</v>
      </c>
      <c r="AB741">
        <v>12</v>
      </c>
      <c r="AC741" t="s">
        <v>113</v>
      </c>
      <c r="AD741" t="s">
        <v>118</v>
      </c>
      <c r="AE741" t="s">
        <v>43</v>
      </c>
      <c r="AF741" t="s">
        <v>119</v>
      </c>
      <c r="AG741" t="str">
        <f t="shared" si="11"/>
        <v>CC 12x</v>
      </c>
      <c r="AH741" t="str">
        <f>IF(AND(SUMIF(E:E,E741,I:I)&gt;=400000,Q741="B2G"),"n","")</f>
        <v/>
      </c>
    </row>
    <row r="742" spans="1:34">
      <c r="A742">
        <v>2026</v>
      </c>
      <c r="B742">
        <v>1</v>
      </c>
      <c r="C742" s="83">
        <v>101199074072</v>
      </c>
      <c r="D742" t="s">
        <v>792</v>
      </c>
      <c r="E742">
        <v>54459252231</v>
      </c>
      <c r="F742">
        <v>303950</v>
      </c>
      <c r="G742">
        <v>49949975729</v>
      </c>
      <c r="H742" t="s">
        <v>35</v>
      </c>
      <c r="I742" s="36">
        <v>2320.8000000000002</v>
      </c>
      <c r="J742" s="36">
        <v>2320.8000000000002</v>
      </c>
      <c r="K742" s="85">
        <v>0</v>
      </c>
      <c r="L742" s="36">
        <v>193.4</v>
      </c>
      <c r="M742" s="36">
        <v>0</v>
      </c>
      <c r="N742" s="36">
        <v>16.559999999999999</v>
      </c>
      <c r="O742" s="36">
        <v>176.84</v>
      </c>
      <c r="P742" t="s">
        <v>116</v>
      </c>
      <c r="Q742" t="s">
        <v>111</v>
      </c>
      <c r="R742" t="s">
        <v>111</v>
      </c>
      <c r="S742" s="1">
        <v>46049</v>
      </c>
      <c r="T742" s="1">
        <v>46049</v>
      </c>
      <c r="U742" s="1">
        <v>46047</v>
      </c>
      <c r="V742" s="1">
        <v>46412</v>
      </c>
      <c r="W742" t="s">
        <v>38</v>
      </c>
      <c r="X742">
        <v>12</v>
      </c>
      <c r="Y742" t="s">
        <v>49</v>
      </c>
      <c r="Z742" t="s">
        <v>81</v>
      </c>
      <c r="AA742" t="s">
        <v>122</v>
      </c>
      <c r="AB742">
        <v>12</v>
      </c>
      <c r="AC742" t="s">
        <v>113</v>
      </c>
      <c r="AD742" t="s">
        <v>118</v>
      </c>
      <c r="AE742" t="s">
        <v>43</v>
      </c>
      <c r="AF742" t="s">
        <v>119</v>
      </c>
      <c r="AG742" t="str">
        <f t="shared" si="11"/>
        <v>Recorrente</v>
      </c>
      <c r="AH742" t="str">
        <f>IF(AND(SUMIF(E:E,E742,I:I)&gt;=400000,Q742="B2G"),"n","")</f>
        <v/>
      </c>
    </row>
    <row r="743" spans="1:34">
      <c r="A743">
        <v>2026</v>
      </c>
      <c r="B743">
        <v>1</v>
      </c>
      <c r="C743" s="83">
        <v>2131126</v>
      </c>
      <c r="D743" t="s">
        <v>303</v>
      </c>
      <c r="E743">
        <v>54485714270</v>
      </c>
      <c r="F743">
        <v>304145</v>
      </c>
      <c r="G743">
        <v>49944466521</v>
      </c>
      <c r="H743" t="s">
        <v>35</v>
      </c>
      <c r="I743" s="36">
        <v>5178.6000000000004</v>
      </c>
      <c r="J743" s="36">
        <v>5178.6000000000004</v>
      </c>
      <c r="K743" s="85">
        <v>0</v>
      </c>
      <c r="L743" s="36">
        <v>431.55</v>
      </c>
      <c r="M743" s="36">
        <v>0</v>
      </c>
      <c r="N743" s="36">
        <v>46.5</v>
      </c>
      <c r="O743" s="36">
        <v>385.05</v>
      </c>
      <c r="P743" t="s">
        <v>133</v>
      </c>
      <c r="Q743" t="s">
        <v>111</v>
      </c>
      <c r="R743" t="s">
        <v>111</v>
      </c>
      <c r="S743" s="1">
        <v>46048</v>
      </c>
      <c r="T743" s="1">
        <v>46048</v>
      </c>
      <c r="U743" s="1">
        <v>46047</v>
      </c>
      <c r="V743" s="1">
        <v>46412</v>
      </c>
      <c r="W743" t="s">
        <v>38</v>
      </c>
      <c r="X743">
        <v>12</v>
      </c>
      <c r="Y743" t="s">
        <v>49</v>
      </c>
      <c r="Z743" t="s">
        <v>81</v>
      </c>
      <c r="AA743" t="s">
        <v>122</v>
      </c>
      <c r="AB743">
        <v>12</v>
      </c>
      <c r="AC743" t="s">
        <v>113</v>
      </c>
      <c r="AD743" t="s">
        <v>85</v>
      </c>
      <c r="AE743" t="s">
        <v>46</v>
      </c>
      <c r="AF743" t="s">
        <v>44</v>
      </c>
      <c r="AG743" t="str">
        <f t="shared" si="11"/>
        <v>Recorrente</v>
      </c>
      <c r="AH743" t="str">
        <f>IF(AND(SUMIF(E:E,E743,I:I)&gt;=400000,Q743="B2G"),"n","")</f>
        <v/>
      </c>
    </row>
    <row r="744" spans="1:34">
      <c r="A744">
        <v>2026</v>
      </c>
      <c r="B744">
        <v>1</v>
      </c>
      <c r="C744" s="83">
        <v>123051105130</v>
      </c>
      <c r="D744" t="s">
        <v>793</v>
      </c>
      <c r="E744">
        <v>54488064406</v>
      </c>
      <c r="F744">
        <v>625835</v>
      </c>
      <c r="G744">
        <v>49779085570</v>
      </c>
      <c r="H744" t="s">
        <v>35</v>
      </c>
      <c r="I744" s="36">
        <v>10075.799999999999</v>
      </c>
      <c r="J744" s="36">
        <v>10075.799999999999</v>
      </c>
      <c r="K744" s="85">
        <v>0</v>
      </c>
      <c r="L744" s="36">
        <v>839.65</v>
      </c>
      <c r="M744" s="36">
        <v>0</v>
      </c>
      <c r="N744" s="36">
        <v>140.35</v>
      </c>
      <c r="O744" s="36">
        <v>699.3</v>
      </c>
      <c r="P744" t="s">
        <v>121</v>
      </c>
      <c r="Q744" t="s">
        <v>111</v>
      </c>
      <c r="R744" t="s">
        <v>111</v>
      </c>
      <c r="S744" s="1">
        <v>46048</v>
      </c>
      <c r="T744" s="1">
        <v>46048</v>
      </c>
      <c r="U744" s="1">
        <v>46045</v>
      </c>
      <c r="V744" s="1">
        <v>46410</v>
      </c>
      <c r="W744" t="s">
        <v>38</v>
      </c>
      <c r="X744">
        <v>12</v>
      </c>
      <c r="Y744" t="s">
        <v>49</v>
      </c>
      <c r="Z744" t="s">
        <v>81</v>
      </c>
      <c r="AA744" t="s">
        <v>112</v>
      </c>
      <c r="AB744">
        <v>12</v>
      </c>
      <c r="AC744" t="s">
        <v>113</v>
      </c>
      <c r="AD744" t="s">
        <v>154</v>
      </c>
      <c r="AE744" t="s">
        <v>46</v>
      </c>
      <c r="AF744" t="s">
        <v>47</v>
      </c>
      <c r="AG744" t="str">
        <f t="shared" si="11"/>
        <v>CC 12x</v>
      </c>
      <c r="AH744" t="str">
        <f>IF(AND(SUMIF(E:E,E744,I:I)&gt;=400000,Q744="B2G"),"n","")</f>
        <v/>
      </c>
    </row>
    <row r="745" spans="1:34">
      <c r="A745">
        <v>2026</v>
      </c>
      <c r="B745">
        <v>1</v>
      </c>
      <c r="C745" s="83">
        <v>123051105130</v>
      </c>
      <c r="D745" t="s">
        <v>793</v>
      </c>
      <c r="E745">
        <v>54488064406</v>
      </c>
      <c r="F745">
        <v>625835</v>
      </c>
      <c r="G745">
        <v>49779085571</v>
      </c>
      <c r="H745" t="s">
        <v>35</v>
      </c>
      <c r="I745" s="36">
        <v>10075.799999999999</v>
      </c>
      <c r="J745" s="36">
        <v>10075.799999999999</v>
      </c>
      <c r="K745" s="85">
        <v>0</v>
      </c>
      <c r="L745" s="36">
        <v>839.65</v>
      </c>
      <c r="M745" s="36">
        <v>0</v>
      </c>
      <c r="N745" s="36">
        <v>140.35</v>
      </c>
      <c r="O745" s="36">
        <v>699.3</v>
      </c>
      <c r="P745" t="s">
        <v>121</v>
      </c>
      <c r="Q745" t="s">
        <v>111</v>
      </c>
      <c r="R745" t="s">
        <v>111</v>
      </c>
      <c r="S745" s="1">
        <v>46048</v>
      </c>
      <c r="T745" s="1">
        <v>46048</v>
      </c>
      <c r="U745" s="1">
        <v>46045</v>
      </c>
      <c r="V745" s="1">
        <v>46410</v>
      </c>
      <c r="W745" t="s">
        <v>38</v>
      </c>
      <c r="X745">
        <v>12</v>
      </c>
      <c r="Y745" t="s">
        <v>49</v>
      </c>
      <c r="Z745" t="s">
        <v>81</v>
      </c>
      <c r="AA745" t="s">
        <v>112</v>
      </c>
      <c r="AB745">
        <v>12</v>
      </c>
      <c r="AC745" t="s">
        <v>113</v>
      </c>
      <c r="AD745" t="s">
        <v>154</v>
      </c>
      <c r="AE745" t="s">
        <v>46</v>
      </c>
      <c r="AF745" t="s">
        <v>47</v>
      </c>
      <c r="AG745" t="str">
        <f t="shared" si="11"/>
        <v>CC 12x</v>
      </c>
      <c r="AH745" t="str">
        <f>IF(AND(SUMIF(E:E,E745,I:I)&gt;=400000,Q745="B2G"),"n","")</f>
        <v/>
      </c>
    </row>
    <row r="746" spans="1:34">
      <c r="A746">
        <v>2026</v>
      </c>
      <c r="B746">
        <v>1</v>
      </c>
      <c r="C746" s="83">
        <v>196250257945</v>
      </c>
      <c r="D746" t="s">
        <v>794</v>
      </c>
      <c r="E746">
        <v>54492595805</v>
      </c>
      <c r="F746">
        <v>608036</v>
      </c>
      <c r="G746">
        <v>49944816302</v>
      </c>
      <c r="H746" t="s">
        <v>35</v>
      </c>
      <c r="I746" s="36">
        <v>4646.3999999999996</v>
      </c>
      <c r="J746" s="36">
        <v>4646.3999999999996</v>
      </c>
      <c r="K746" s="85">
        <v>0</v>
      </c>
      <c r="L746" s="36">
        <v>387.2</v>
      </c>
      <c r="M746" s="36">
        <v>0</v>
      </c>
      <c r="N746" s="36">
        <v>54.85</v>
      </c>
      <c r="O746" s="36">
        <v>332.35</v>
      </c>
      <c r="P746" t="s">
        <v>137</v>
      </c>
      <c r="Q746" t="s">
        <v>111</v>
      </c>
      <c r="R746" t="s">
        <v>111</v>
      </c>
      <c r="S746" s="1">
        <v>46049</v>
      </c>
      <c r="T746" s="1">
        <v>46049</v>
      </c>
      <c r="U746" s="1">
        <v>46047</v>
      </c>
      <c r="V746" s="1">
        <v>46412</v>
      </c>
      <c r="W746" t="s">
        <v>38</v>
      </c>
      <c r="X746">
        <v>12</v>
      </c>
      <c r="Y746" t="s">
        <v>49</v>
      </c>
      <c r="Z746" t="s">
        <v>81</v>
      </c>
      <c r="AA746" t="s">
        <v>122</v>
      </c>
      <c r="AB746">
        <v>12</v>
      </c>
      <c r="AC746" t="s">
        <v>113</v>
      </c>
      <c r="AD746" t="s">
        <v>85</v>
      </c>
      <c r="AE746" t="s">
        <v>46</v>
      </c>
      <c r="AF746" t="s">
        <v>44</v>
      </c>
      <c r="AG746" t="str">
        <f t="shared" si="11"/>
        <v>Recorrente</v>
      </c>
      <c r="AH746" t="str">
        <f>IF(AND(SUMIF(E:E,E746,I:I)&gt;=400000,Q746="B2G"),"n","")</f>
        <v/>
      </c>
    </row>
    <row r="747" spans="1:34">
      <c r="A747">
        <v>2026</v>
      </c>
      <c r="B747">
        <v>1</v>
      </c>
      <c r="C747" s="83">
        <v>49740022046</v>
      </c>
      <c r="D747" t="s">
        <v>795</v>
      </c>
      <c r="E747">
        <v>54492627472</v>
      </c>
      <c r="F747">
        <v>635763</v>
      </c>
      <c r="G747">
        <v>50059477911</v>
      </c>
      <c r="H747" t="s">
        <v>35</v>
      </c>
      <c r="I747" s="36">
        <v>10166.4</v>
      </c>
      <c r="J747" s="36">
        <v>6586.86</v>
      </c>
      <c r="K747" s="85">
        <v>3579.54</v>
      </c>
      <c r="L747" s="36">
        <v>548.91</v>
      </c>
      <c r="M747" s="36">
        <v>0</v>
      </c>
      <c r="N747" s="36">
        <v>548.91</v>
      </c>
      <c r="O747" s="36">
        <v>0</v>
      </c>
      <c r="P747" t="s">
        <v>323</v>
      </c>
      <c r="Q747" t="s">
        <v>191</v>
      </c>
      <c r="R747" t="s">
        <v>191</v>
      </c>
      <c r="S747" s="1">
        <v>46049</v>
      </c>
      <c r="T747" s="1">
        <v>46049</v>
      </c>
      <c r="V747" s="1">
        <v>46414</v>
      </c>
      <c r="W747" t="s">
        <v>38</v>
      </c>
      <c r="Y747" t="s">
        <v>49</v>
      </c>
      <c r="AA747" t="s">
        <v>122</v>
      </c>
      <c r="AB747">
        <v>12</v>
      </c>
      <c r="AC747" t="s">
        <v>192</v>
      </c>
      <c r="AD747" t="s">
        <v>351</v>
      </c>
      <c r="AE747" t="s">
        <v>95</v>
      </c>
      <c r="AF747" t="s">
        <v>96</v>
      </c>
      <c r="AG747" t="str">
        <f t="shared" si="11"/>
        <v>Recorrente</v>
      </c>
      <c r="AH747" t="str">
        <f>IF(AND(SUMIF(E:E,E747,I:I)&gt;=400000,Q747="B2G"),"n","")</f>
        <v/>
      </c>
    </row>
    <row r="748" spans="1:34">
      <c r="A748">
        <v>2026</v>
      </c>
      <c r="B748">
        <v>1</v>
      </c>
      <c r="C748" s="83">
        <v>49740022046</v>
      </c>
      <c r="D748" t="s">
        <v>795</v>
      </c>
      <c r="E748">
        <v>54492627472</v>
      </c>
      <c r="F748">
        <v>635763</v>
      </c>
      <c r="G748">
        <v>50059477912</v>
      </c>
      <c r="H748" t="s">
        <v>35</v>
      </c>
      <c r="I748" s="36">
        <v>24757.68</v>
      </c>
      <c r="J748" s="36">
        <v>16040.63</v>
      </c>
      <c r="K748" s="85">
        <v>8717.0499999999993</v>
      </c>
      <c r="L748" s="36">
        <v>1336.72</v>
      </c>
      <c r="M748" s="36">
        <v>0</v>
      </c>
      <c r="N748" s="36">
        <v>1336.72</v>
      </c>
      <c r="O748" s="36">
        <v>0</v>
      </c>
      <c r="P748" t="s">
        <v>323</v>
      </c>
      <c r="Q748" t="s">
        <v>191</v>
      </c>
      <c r="R748" t="s">
        <v>191</v>
      </c>
      <c r="S748" s="1">
        <v>46049</v>
      </c>
      <c r="T748" s="1">
        <v>46049</v>
      </c>
      <c r="V748" s="1">
        <v>46414</v>
      </c>
      <c r="W748" t="s">
        <v>38</v>
      </c>
      <c r="Y748" t="s">
        <v>49</v>
      </c>
      <c r="AA748" t="s">
        <v>122</v>
      </c>
      <c r="AB748">
        <v>12</v>
      </c>
      <c r="AC748" t="s">
        <v>192</v>
      </c>
      <c r="AD748" t="s">
        <v>154</v>
      </c>
      <c r="AE748" t="s">
        <v>46</v>
      </c>
      <c r="AF748" t="s">
        <v>47</v>
      </c>
      <c r="AG748" t="str">
        <f t="shared" si="11"/>
        <v>Recorrente</v>
      </c>
      <c r="AH748" t="str">
        <f>IF(AND(SUMIF(E:E,E748,I:I)&gt;=400000,Q748="B2G"),"n","")</f>
        <v/>
      </c>
    </row>
    <row r="749" spans="1:34">
      <c r="A749">
        <v>2026</v>
      </c>
      <c r="B749">
        <v>1</v>
      </c>
      <c r="C749" s="83">
        <v>49740022046</v>
      </c>
      <c r="D749" t="s">
        <v>795</v>
      </c>
      <c r="E749">
        <v>54492627472</v>
      </c>
      <c r="F749">
        <v>635763</v>
      </c>
      <c r="G749">
        <v>50059477913</v>
      </c>
      <c r="H749" t="s">
        <v>35</v>
      </c>
      <c r="I749" s="36">
        <v>13405.68</v>
      </c>
      <c r="J749" s="36">
        <v>8685.61</v>
      </c>
      <c r="K749" s="85">
        <v>4720.07</v>
      </c>
      <c r="L749" s="36">
        <v>723.8</v>
      </c>
      <c r="M749" s="36">
        <v>0</v>
      </c>
      <c r="N749" s="36">
        <v>723.8</v>
      </c>
      <c r="O749" s="36">
        <v>0</v>
      </c>
      <c r="P749" t="s">
        <v>323</v>
      </c>
      <c r="Q749" t="s">
        <v>191</v>
      </c>
      <c r="R749" t="s">
        <v>191</v>
      </c>
      <c r="S749" s="1">
        <v>46049</v>
      </c>
      <c r="T749" s="1">
        <v>46049</v>
      </c>
      <c r="V749" s="1">
        <v>46414</v>
      </c>
      <c r="W749" t="s">
        <v>38</v>
      </c>
      <c r="Y749" t="s">
        <v>49</v>
      </c>
      <c r="AA749" t="s">
        <v>122</v>
      </c>
      <c r="AB749">
        <v>12</v>
      </c>
      <c r="AC749" t="s">
        <v>192</v>
      </c>
      <c r="AD749" t="s">
        <v>125</v>
      </c>
      <c r="AE749" t="s">
        <v>43</v>
      </c>
      <c r="AF749" t="s">
        <v>47</v>
      </c>
      <c r="AG749" t="str">
        <f t="shared" si="11"/>
        <v>Recorrente</v>
      </c>
      <c r="AH749" t="str">
        <f>IF(AND(SUMIF(E:E,E749,I:I)&gt;=400000,Q749="B2G"),"n","")</f>
        <v/>
      </c>
    </row>
    <row r="750" spans="1:34">
      <c r="A750">
        <v>2026</v>
      </c>
      <c r="B750">
        <v>1</v>
      </c>
      <c r="C750" s="83">
        <v>49740022046</v>
      </c>
      <c r="D750" t="s">
        <v>795</v>
      </c>
      <c r="E750">
        <v>54492627472</v>
      </c>
      <c r="F750">
        <v>635763</v>
      </c>
      <c r="G750">
        <v>50059477914</v>
      </c>
      <c r="H750" t="s">
        <v>35</v>
      </c>
      <c r="I750" s="36">
        <v>3490.44</v>
      </c>
      <c r="J750" s="36">
        <v>2261.5100000000002</v>
      </c>
      <c r="K750" s="85">
        <v>1228.93</v>
      </c>
      <c r="L750" s="36">
        <v>188.46</v>
      </c>
      <c r="M750" s="36">
        <v>0</v>
      </c>
      <c r="N750" s="36">
        <v>188.46</v>
      </c>
      <c r="O750" s="36">
        <v>0</v>
      </c>
      <c r="P750" t="s">
        <v>323</v>
      </c>
      <c r="Q750" t="s">
        <v>191</v>
      </c>
      <c r="R750" t="s">
        <v>191</v>
      </c>
      <c r="S750" s="1">
        <v>46049</v>
      </c>
      <c r="T750" s="1">
        <v>46049</v>
      </c>
      <c r="V750" s="1">
        <v>46414</v>
      </c>
      <c r="W750" t="s">
        <v>38</v>
      </c>
      <c r="Y750" t="s">
        <v>49</v>
      </c>
      <c r="AA750" t="s">
        <v>122</v>
      </c>
      <c r="AB750">
        <v>12</v>
      </c>
      <c r="AC750" t="s">
        <v>192</v>
      </c>
      <c r="AD750" t="s">
        <v>256</v>
      </c>
      <c r="AE750" t="s">
        <v>257</v>
      </c>
      <c r="AF750" t="s">
        <v>59</v>
      </c>
      <c r="AG750" t="str">
        <f t="shared" si="11"/>
        <v>Recorrente</v>
      </c>
      <c r="AH750" t="str">
        <f>IF(AND(SUMIF(E:E,E750,I:I)&gt;=400000,Q750="B2G"),"n","")</f>
        <v/>
      </c>
    </row>
    <row r="751" spans="1:34">
      <c r="A751">
        <v>2026</v>
      </c>
      <c r="B751">
        <v>1</v>
      </c>
      <c r="C751" s="83">
        <v>116683683856</v>
      </c>
      <c r="D751" t="s">
        <v>796</v>
      </c>
      <c r="E751">
        <v>54515511901</v>
      </c>
      <c r="F751">
        <v>635766</v>
      </c>
      <c r="G751">
        <v>50060361328</v>
      </c>
      <c r="H751" t="s">
        <v>35</v>
      </c>
      <c r="I751" s="36">
        <v>2874</v>
      </c>
      <c r="J751" s="36">
        <v>2874</v>
      </c>
      <c r="K751" s="85">
        <v>0</v>
      </c>
      <c r="L751" s="36">
        <v>239.5</v>
      </c>
      <c r="M751" s="36">
        <v>239.5</v>
      </c>
      <c r="N751" s="36">
        <v>0</v>
      </c>
      <c r="O751" s="36">
        <v>0</v>
      </c>
      <c r="P751" t="s">
        <v>506</v>
      </c>
      <c r="Q751" t="s">
        <v>300</v>
      </c>
      <c r="R751" t="s">
        <v>300</v>
      </c>
      <c r="S751" s="1">
        <v>46048</v>
      </c>
      <c r="T751" s="1">
        <v>46048</v>
      </c>
      <c r="V751" s="1">
        <v>46413</v>
      </c>
      <c r="W751" t="s">
        <v>38</v>
      </c>
      <c r="X751">
        <v>12</v>
      </c>
      <c r="Y751" t="s">
        <v>49</v>
      </c>
      <c r="AA751" t="s">
        <v>122</v>
      </c>
      <c r="AB751">
        <v>12</v>
      </c>
      <c r="AC751" t="s">
        <v>301</v>
      </c>
      <c r="AD751" t="s">
        <v>140</v>
      </c>
      <c r="AE751" t="s">
        <v>46</v>
      </c>
      <c r="AF751" t="s">
        <v>119</v>
      </c>
      <c r="AG751" t="str">
        <f t="shared" si="11"/>
        <v>Recorrente</v>
      </c>
      <c r="AH751" t="str">
        <f>IF(AND(SUMIF(E:E,E751,I:I)&gt;=400000,Q751="B2G"),"n","")</f>
        <v/>
      </c>
    </row>
    <row r="752" spans="1:34">
      <c r="A752">
        <v>2026</v>
      </c>
      <c r="B752">
        <v>1</v>
      </c>
      <c r="C752" s="83">
        <v>2062101</v>
      </c>
      <c r="D752" t="s">
        <v>797</v>
      </c>
      <c r="E752">
        <v>54560068674</v>
      </c>
      <c r="F752">
        <v>635729</v>
      </c>
      <c r="G752">
        <v>49940866055</v>
      </c>
      <c r="H752" t="s">
        <v>104</v>
      </c>
      <c r="I752" s="36">
        <v>718.8</v>
      </c>
      <c r="J752" s="36">
        <v>718.8</v>
      </c>
      <c r="K752" s="85">
        <v>0</v>
      </c>
      <c r="L752" s="36">
        <v>59.9</v>
      </c>
      <c r="M752" s="36">
        <v>59.9</v>
      </c>
      <c r="N752" s="36">
        <v>0</v>
      </c>
      <c r="O752" s="36">
        <v>0</v>
      </c>
      <c r="P752" t="s">
        <v>497</v>
      </c>
      <c r="Q752" t="s">
        <v>498</v>
      </c>
      <c r="R752" t="s">
        <v>498</v>
      </c>
      <c r="S752" s="1">
        <v>46048</v>
      </c>
      <c r="T752" s="1">
        <v>46048</v>
      </c>
      <c r="V752" s="1">
        <v>46413</v>
      </c>
      <c r="W752" t="s">
        <v>38</v>
      </c>
      <c r="X752">
        <v>12</v>
      </c>
      <c r="Y752" t="s">
        <v>49</v>
      </c>
      <c r="AA752" t="s">
        <v>112</v>
      </c>
      <c r="AB752">
        <v>12</v>
      </c>
      <c r="AC752" t="s">
        <v>499</v>
      </c>
      <c r="AD752" t="s">
        <v>105</v>
      </c>
      <c r="AE752" t="s">
        <v>106</v>
      </c>
      <c r="AF752" t="s">
        <v>59</v>
      </c>
      <c r="AG752" t="str">
        <f t="shared" si="11"/>
        <v>CC 12x</v>
      </c>
      <c r="AH752" t="str">
        <f>IF(AND(SUMIF(E:E,E752,I:I)&gt;=400000,Q752="B2G"),"n","")</f>
        <v/>
      </c>
    </row>
    <row r="753" spans="1:34">
      <c r="A753">
        <v>2026</v>
      </c>
      <c r="B753">
        <v>1</v>
      </c>
      <c r="C753" s="83">
        <v>196198297973</v>
      </c>
      <c r="D753" t="s">
        <v>798</v>
      </c>
      <c r="E753">
        <v>54596941907</v>
      </c>
      <c r="F753">
        <v>635745</v>
      </c>
      <c r="G753">
        <v>49949959084</v>
      </c>
      <c r="H753" t="s">
        <v>35</v>
      </c>
      <c r="I753" s="36">
        <v>5292</v>
      </c>
      <c r="J753" s="36">
        <v>5292</v>
      </c>
      <c r="K753" s="85">
        <v>0</v>
      </c>
      <c r="L753" s="36">
        <v>441</v>
      </c>
      <c r="M753" s="36">
        <v>441</v>
      </c>
      <c r="N753" s="36">
        <v>0</v>
      </c>
      <c r="O753" s="36">
        <v>0</v>
      </c>
      <c r="P753" t="s">
        <v>511</v>
      </c>
      <c r="Q753" t="s">
        <v>300</v>
      </c>
      <c r="R753" t="s">
        <v>300</v>
      </c>
      <c r="S753" s="1">
        <v>46048</v>
      </c>
      <c r="T753" s="1">
        <v>46048</v>
      </c>
      <c r="V753" s="1">
        <v>46413</v>
      </c>
      <c r="W753" t="s">
        <v>38</v>
      </c>
      <c r="X753">
        <v>12</v>
      </c>
      <c r="Y753" t="s">
        <v>49</v>
      </c>
      <c r="AA753" t="s">
        <v>122</v>
      </c>
      <c r="AB753">
        <v>12</v>
      </c>
      <c r="AC753" t="s">
        <v>301</v>
      </c>
      <c r="AD753" t="s">
        <v>138</v>
      </c>
      <c r="AE753" t="s">
        <v>135</v>
      </c>
      <c r="AF753" t="s">
        <v>119</v>
      </c>
      <c r="AG753" t="str">
        <f t="shared" si="11"/>
        <v>Recorrente</v>
      </c>
      <c r="AH753" t="str">
        <f>IF(AND(SUMIF(E:E,E753,I:I)&gt;=400000,Q753="B2G"),"n","")</f>
        <v/>
      </c>
    </row>
    <row r="754" spans="1:34">
      <c r="A754">
        <v>2026</v>
      </c>
      <c r="B754">
        <v>1</v>
      </c>
      <c r="C754" s="83">
        <v>166689275273</v>
      </c>
      <c r="D754" t="s">
        <v>799</v>
      </c>
      <c r="E754">
        <v>54600461154</v>
      </c>
      <c r="F754">
        <v>635738</v>
      </c>
      <c r="G754">
        <v>49949841435</v>
      </c>
      <c r="H754" t="s">
        <v>35</v>
      </c>
      <c r="I754" s="36">
        <v>3600.24</v>
      </c>
      <c r="J754" s="36">
        <v>3600.19</v>
      </c>
      <c r="K754" s="85">
        <v>0.05</v>
      </c>
      <c r="L754" s="36">
        <v>300.02</v>
      </c>
      <c r="M754" s="36">
        <v>300.02</v>
      </c>
      <c r="N754" s="36">
        <v>0</v>
      </c>
      <c r="O754" s="36">
        <v>0</v>
      </c>
      <c r="P754" t="s">
        <v>299</v>
      </c>
      <c r="Q754" t="s">
        <v>300</v>
      </c>
      <c r="R754" t="s">
        <v>300</v>
      </c>
      <c r="S754" s="1">
        <v>46048</v>
      </c>
      <c r="T754" s="1">
        <v>46048</v>
      </c>
      <c r="V754" s="1">
        <v>46413</v>
      </c>
      <c r="W754" t="s">
        <v>38</v>
      </c>
      <c r="X754">
        <v>12</v>
      </c>
      <c r="Y754" t="s">
        <v>49</v>
      </c>
      <c r="AA754" t="s">
        <v>112</v>
      </c>
      <c r="AB754">
        <v>12</v>
      </c>
      <c r="AC754" t="s">
        <v>301</v>
      </c>
      <c r="AD754" t="s">
        <v>160</v>
      </c>
      <c r="AE754" t="s">
        <v>43</v>
      </c>
      <c r="AF754" t="s">
        <v>44</v>
      </c>
      <c r="AG754" t="str">
        <f t="shared" si="11"/>
        <v>CC 12x</v>
      </c>
      <c r="AH754" t="str">
        <f>IF(AND(SUMIF(E:E,E754,I:I)&gt;=400000,Q754="B2G"),"n","")</f>
        <v/>
      </c>
    </row>
    <row r="755" spans="1:34">
      <c r="A755">
        <v>2026</v>
      </c>
      <c r="B755">
        <v>1</v>
      </c>
      <c r="C755" s="83">
        <v>30340234601</v>
      </c>
      <c r="D755" t="s">
        <v>800</v>
      </c>
      <c r="E755">
        <v>54601088418</v>
      </c>
      <c r="F755">
        <v>635730</v>
      </c>
      <c r="G755">
        <v>49779079995</v>
      </c>
      <c r="H755" t="s">
        <v>673</v>
      </c>
      <c r="I755" s="36">
        <v>6000</v>
      </c>
      <c r="J755" s="36">
        <v>0</v>
      </c>
      <c r="K755" s="85">
        <v>0</v>
      </c>
      <c r="L755" s="36">
        <v>0</v>
      </c>
      <c r="M755" s="36">
        <v>0</v>
      </c>
      <c r="N755" s="36">
        <v>0</v>
      </c>
      <c r="O755" s="36">
        <v>0</v>
      </c>
      <c r="P755" t="s">
        <v>469</v>
      </c>
      <c r="Q755" t="s">
        <v>191</v>
      </c>
      <c r="R755" t="s">
        <v>191</v>
      </c>
      <c r="S755" s="1">
        <v>46048</v>
      </c>
      <c r="T755" s="1">
        <v>46048</v>
      </c>
      <c r="V755" s="1">
        <v>46778</v>
      </c>
      <c r="W755" t="s">
        <v>56</v>
      </c>
      <c r="Y755" t="s">
        <v>49</v>
      </c>
      <c r="AA755" t="s">
        <v>122</v>
      </c>
      <c r="AB755">
        <v>24</v>
      </c>
      <c r="AC755" t="s">
        <v>192</v>
      </c>
      <c r="AD755" t="s">
        <v>674</v>
      </c>
      <c r="AE755" t="s">
        <v>106</v>
      </c>
      <c r="AF755" t="s">
        <v>59</v>
      </c>
      <c r="AG755" t="str">
        <f t="shared" si="11"/>
        <v>Recorrente</v>
      </c>
      <c r="AH755" t="str">
        <f>IF(AND(SUMIF(E:E,E755,I:I)&gt;=400000,Q755="B2G"),"n","")</f>
        <v/>
      </c>
    </row>
    <row r="756" spans="1:34">
      <c r="A756">
        <v>2026</v>
      </c>
      <c r="B756">
        <v>1</v>
      </c>
      <c r="C756" s="83">
        <v>30340234601</v>
      </c>
      <c r="D756" t="s">
        <v>800</v>
      </c>
      <c r="E756">
        <v>54601088418</v>
      </c>
      <c r="F756">
        <v>635730</v>
      </c>
      <c r="G756">
        <v>49779079996</v>
      </c>
      <c r="H756" t="s">
        <v>35</v>
      </c>
      <c r="I756" s="36">
        <v>5884.56</v>
      </c>
      <c r="J756" s="36">
        <v>1530.79</v>
      </c>
      <c r="K756" s="85">
        <v>4353.7700000000004</v>
      </c>
      <c r="L756" s="36">
        <v>127.57</v>
      </c>
      <c r="M756" s="36">
        <v>0</v>
      </c>
      <c r="N756" s="36">
        <v>55.25</v>
      </c>
      <c r="O756" s="36">
        <v>72.312552170000004</v>
      </c>
      <c r="P756" t="s">
        <v>469</v>
      </c>
      <c r="Q756" t="s">
        <v>191</v>
      </c>
      <c r="R756" t="s">
        <v>191</v>
      </c>
      <c r="S756" s="1">
        <v>46048</v>
      </c>
      <c r="T756" s="1">
        <v>46048</v>
      </c>
      <c r="V756" s="1">
        <v>46778</v>
      </c>
      <c r="W756" t="s">
        <v>56</v>
      </c>
      <c r="Y756" t="s">
        <v>49</v>
      </c>
      <c r="AA756" t="s">
        <v>122</v>
      </c>
      <c r="AB756">
        <v>24</v>
      </c>
      <c r="AC756" t="s">
        <v>192</v>
      </c>
      <c r="AD756" t="s">
        <v>362</v>
      </c>
      <c r="AE756" t="s">
        <v>363</v>
      </c>
      <c r="AF756" t="s">
        <v>59</v>
      </c>
      <c r="AG756" t="str">
        <f t="shared" si="11"/>
        <v>Recorrente</v>
      </c>
      <c r="AH756" t="str">
        <f>IF(AND(SUMIF(E:E,E756,I:I)&gt;=400000,Q756="B2G"),"n","")</f>
        <v/>
      </c>
    </row>
    <row r="757" spans="1:34">
      <c r="A757">
        <v>2026</v>
      </c>
      <c r="B757">
        <v>1</v>
      </c>
      <c r="C757" s="83">
        <v>30340234601</v>
      </c>
      <c r="D757" t="s">
        <v>800</v>
      </c>
      <c r="E757">
        <v>54601088418</v>
      </c>
      <c r="F757">
        <v>635730</v>
      </c>
      <c r="G757">
        <v>49779079997</v>
      </c>
      <c r="H757" t="s">
        <v>35</v>
      </c>
      <c r="I757" s="36">
        <v>39433.919999999998</v>
      </c>
      <c r="J757" s="36">
        <v>10257.99</v>
      </c>
      <c r="K757" s="85">
        <v>29175.93</v>
      </c>
      <c r="L757" s="36">
        <v>854.83</v>
      </c>
      <c r="M757" s="36">
        <v>0</v>
      </c>
      <c r="N757" s="36">
        <v>370.26</v>
      </c>
      <c r="O757" s="36">
        <v>484.57489570000001</v>
      </c>
      <c r="P757" t="s">
        <v>469</v>
      </c>
      <c r="Q757" t="s">
        <v>191</v>
      </c>
      <c r="R757" t="s">
        <v>191</v>
      </c>
      <c r="S757" s="1">
        <v>46048</v>
      </c>
      <c r="T757" s="1">
        <v>46048</v>
      </c>
      <c r="V757" s="1">
        <v>46778</v>
      </c>
      <c r="W757" t="s">
        <v>56</v>
      </c>
      <c r="Y757" t="s">
        <v>49</v>
      </c>
      <c r="AA757" t="s">
        <v>122</v>
      </c>
      <c r="AB757">
        <v>24</v>
      </c>
      <c r="AC757" t="s">
        <v>192</v>
      </c>
      <c r="AD757" t="s">
        <v>154</v>
      </c>
      <c r="AE757" t="s">
        <v>46</v>
      </c>
      <c r="AF757" t="s">
        <v>47</v>
      </c>
      <c r="AG757" t="str">
        <f t="shared" si="11"/>
        <v>Recorrente</v>
      </c>
      <c r="AH757" t="str">
        <f>IF(AND(SUMIF(E:E,E757,I:I)&gt;=400000,Q757="B2G"),"n","")</f>
        <v/>
      </c>
    </row>
    <row r="758" spans="1:34">
      <c r="A758">
        <v>2026</v>
      </c>
      <c r="B758">
        <v>1</v>
      </c>
      <c r="C758" s="83">
        <v>30340234601</v>
      </c>
      <c r="D758" t="s">
        <v>800</v>
      </c>
      <c r="E758">
        <v>54601088418</v>
      </c>
      <c r="F758">
        <v>635730</v>
      </c>
      <c r="G758">
        <v>49779079998</v>
      </c>
      <c r="H758" t="s">
        <v>35</v>
      </c>
      <c r="I758" s="36">
        <v>5884.56</v>
      </c>
      <c r="J758" s="36">
        <v>1530.79</v>
      </c>
      <c r="K758" s="85">
        <v>4353.7700000000004</v>
      </c>
      <c r="L758" s="36">
        <v>127.57</v>
      </c>
      <c r="M758" s="36">
        <v>0</v>
      </c>
      <c r="N758" s="36">
        <v>55.25</v>
      </c>
      <c r="O758" s="36">
        <v>72.312552170000004</v>
      </c>
      <c r="P758" t="s">
        <v>469</v>
      </c>
      <c r="Q758" t="s">
        <v>191</v>
      </c>
      <c r="R758" t="s">
        <v>191</v>
      </c>
      <c r="S758" s="1">
        <v>46048</v>
      </c>
      <c r="T758" s="1">
        <v>46048</v>
      </c>
      <c r="V758" s="1">
        <v>46778</v>
      </c>
      <c r="W758" t="s">
        <v>56</v>
      </c>
      <c r="Y758" t="s">
        <v>49</v>
      </c>
      <c r="AA758" t="s">
        <v>122</v>
      </c>
      <c r="AB758">
        <v>24</v>
      </c>
      <c r="AC758" t="s">
        <v>192</v>
      </c>
      <c r="AD758" t="s">
        <v>256</v>
      </c>
      <c r="AE758" t="s">
        <v>257</v>
      </c>
      <c r="AF758" t="s">
        <v>59</v>
      </c>
      <c r="AG758" t="str">
        <f t="shared" si="11"/>
        <v>Recorrente</v>
      </c>
      <c r="AH758" t="str">
        <f>IF(AND(SUMIF(E:E,E758,I:I)&gt;=400000,Q758="B2G"),"n","")</f>
        <v/>
      </c>
    </row>
    <row r="759" spans="1:34">
      <c r="A759">
        <v>2026</v>
      </c>
      <c r="B759">
        <v>1</v>
      </c>
      <c r="C759" s="83">
        <v>196192854887</v>
      </c>
      <c r="D759" t="s">
        <v>801</v>
      </c>
      <c r="E759">
        <v>54601808483</v>
      </c>
      <c r="F759">
        <v>633627</v>
      </c>
      <c r="G759">
        <v>49949837894</v>
      </c>
      <c r="H759" t="s">
        <v>35</v>
      </c>
      <c r="I759" s="36">
        <v>1763.4</v>
      </c>
      <c r="J759" s="36">
        <v>2376.84</v>
      </c>
      <c r="K759" s="85">
        <v>0</v>
      </c>
      <c r="L759" s="36">
        <v>198.07</v>
      </c>
      <c r="M759" s="36">
        <v>0</v>
      </c>
      <c r="N759" s="36">
        <v>198.07</v>
      </c>
      <c r="O759" s="36">
        <v>0</v>
      </c>
      <c r="P759" t="s">
        <v>469</v>
      </c>
      <c r="Q759" t="s">
        <v>191</v>
      </c>
      <c r="R759" t="s">
        <v>191</v>
      </c>
      <c r="S759" s="1">
        <v>46048</v>
      </c>
      <c r="T759" s="1">
        <v>46048</v>
      </c>
      <c r="V759" s="1">
        <v>46319</v>
      </c>
      <c r="W759" t="s">
        <v>38</v>
      </c>
      <c r="X759">
        <v>9</v>
      </c>
      <c r="Y759" t="s">
        <v>49</v>
      </c>
      <c r="Z759" t="s">
        <v>324</v>
      </c>
      <c r="AA759" t="s">
        <v>112</v>
      </c>
      <c r="AB759">
        <v>10</v>
      </c>
      <c r="AC759" t="s">
        <v>192</v>
      </c>
      <c r="AD759" t="s">
        <v>138</v>
      </c>
      <c r="AE759" t="s">
        <v>135</v>
      </c>
      <c r="AF759" t="s">
        <v>119</v>
      </c>
      <c r="AG759" t="str">
        <f t="shared" si="11"/>
        <v>CC 12x</v>
      </c>
      <c r="AH759" t="str">
        <f>IF(AND(SUMIF(E:E,E759,I:I)&gt;=400000,Q759="B2G"),"n","")</f>
        <v/>
      </c>
    </row>
    <row r="760" spans="1:34">
      <c r="A760">
        <v>2026</v>
      </c>
      <c r="B760">
        <v>1</v>
      </c>
      <c r="C760" s="83">
        <v>195669870961</v>
      </c>
      <c r="D760" t="s">
        <v>802</v>
      </c>
      <c r="E760">
        <v>54602459682</v>
      </c>
      <c r="F760">
        <v>635746</v>
      </c>
      <c r="G760">
        <v>49949660308</v>
      </c>
      <c r="H760" t="s">
        <v>35</v>
      </c>
      <c r="I760" s="36">
        <v>3308.4</v>
      </c>
      <c r="J760" s="36">
        <v>3308.4</v>
      </c>
      <c r="K760" s="85">
        <v>0</v>
      </c>
      <c r="L760" s="36">
        <v>275.7</v>
      </c>
      <c r="M760" s="36">
        <v>275.7</v>
      </c>
      <c r="N760" s="36">
        <v>0</v>
      </c>
      <c r="O760" s="36">
        <v>0</v>
      </c>
      <c r="P760" t="s">
        <v>299</v>
      </c>
      <c r="Q760" t="s">
        <v>300</v>
      </c>
      <c r="R760" t="s">
        <v>80</v>
      </c>
      <c r="S760" s="1">
        <v>46049</v>
      </c>
      <c r="T760" s="1">
        <v>46049</v>
      </c>
      <c r="V760" s="1">
        <v>46414</v>
      </c>
      <c r="W760" t="s">
        <v>38</v>
      </c>
      <c r="X760">
        <v>12</v>
      </c>
      <c r="Y760" t="s">
        <v>49</v>
      </c>
      <c r="AA760" t="s">
        <v>122</v>
      </c>
      <c r="AB760">
        <v>12</v>
      </c>
      <c r="AC760" t="s">
        <v>495</v>
      </c>
      <c r="AD760" t="s">
        <v>138</v>
      </c>
      <c r="AE760" t="s">
        <v>135</v>
      </c>
      <c r="AF760" t="s">
        <v>119</v>
      </c>
      <c r="AG760" t="str">
        <f t="shared" si="11"/>
        <v>Recorrente</v>
      </c>
      <c r="AH760" t="str">
        <f>IF(AND(SUMIF(E:E,E760,I:I)&gt;=400000,Q760="B2G"),"n","")</f>
        <v/>
      </c>
    </row>
    <row r="761" spans="1:34">
      <c r="A761">
        <v>2026</v>
      </c>
      <c r="B761">
        <v>1</v>
      </c>
      <c r="C761" s="83">
        <v>2066222</v>
      </c>
      <c r="D761" t="s">
        <v>803</v>
      </c>
      <c r="E761">
        <v>54606099277</v>
      </c>
      <c r="F761">
        <v>635844</v>
      </c>
      <c r="G761">
        <v>50352556899</v>
      </c>
      <c r="H761" t="s">
        <v>35</v>
      </c>
      <c r="I761" s="36">
        <v>6835.68</v>
      </c>
      <c r="J761" s="36">
        <v>6835.73</v>
      </c>
      <c r="K761" s="85">
        <v>0</v>
      </c>
      <c r="L761" s="36">
        <v>569.64</v>
      </c>
      <c r="M761" s="36">
        <v>0</v>
      </c>
      <c r="N761" s="36">
        <v>123.37</v>
      </c>
      <c r="O761" s="36">
        <v>446.27</v>
      </c>
      <c r="P761" t="s">
        <v>804</v>
      </c>
      <c r="Q761" t="s">
        <v>191</v>
      </c>
      <c r="R761" t="s">
        <v>191</v>
      </c>
      <c r="S761" s="1">
        <v>46052</v>
      </c>
      <c r="T761" s="1">
        <v>46052</v>
      </c>
      <c r="U761" s="1">
        <v>46048</v>
      </c>
      <c r="V761" s="1">
        <v>46417</v>
      </c>
      <c r="W761" t="s">
        <v>38</v>
      </c>
      <c r="X761">
        <v>12</v>
      </c>
      <c r="Y761" t="s">
        <v>49</v>
      </c>
      <c r="AA761" t="s">
        <v>112</v>
      </c>
      <c r="AB761">
        <v>12</v>
      </c>
      <c r="AC761" t="s">
        <v>192</v>
      </c>
      <c r="AD761" t="s">
        <v>131</v>
      </c>
      <c r="AE761" t="s">
        <v>46</v>
      </c>
      <c r="AF761" t="s">
        <v>96</v>
      </c>
      <c r="AG761" t="str">
        <f t="shared" si="11"/>
        <v>CC 12x</v>
      </c>
      <c r="AH761" t="str">
        <f>IF(AND(SUMIF(E:E,E761,I:I)&gt;=400000,Q761="B2G"),"n","")</f>
        <v/>
      </c>
    </row>
    <row r="762" spans="1:34">
      <c r="A762">
        <v>2026</v>
      </c>
      <c r="B762">
        <v>1</v>
      </c>
      <c r="C762" s="83">
        <v>19435493634</v>
      </c>
      <c r="D762" t="s">
        <v>805</v>
      </c>
      <c r="E762">
        <v>54616108148</v>
      </c>
      <c r="F762">
        <v>623618</v>
      </c>
      <c r="G762">
        <v>49944533270</v>
      </c>
      <c r="H762" t="s">
        <v>35</v>
      </c>
      <c r="I762" s="36">
        <v>2442.84</v>
      </c>
      <c r="J762" s="36">
        <v>2442.9</v>
      </c>
      <c r="K762" s="85">
        <v>0</v>
      </c>
      <c r="L762" s="36">
        <v>203.58</v>
      </c>
      <c r="M762" s="36">
        <v>203.58</v>
      </c>
      <c r="N762" s="36">
        <v>0</v>
      </c>
      <c r="O762" s="36">
        <v>0</v>
      </c>
      <c r="P762" t="s">
        <v>110</v>
      </c>
      <c r="Q762" t="s">
        <v>111</v>
      </c>
      <c r="R762" t="s">
        <v>111</v>
      </c>
      <c r="S762" s="1">
        <v>46052</v>
      </c>
      <c r="T762" s="1">
        <v>46052</v>
      </c>
      <c r="V762" s="1">
        <v>46418</v>
      </c>
      <c r="W762" t="s">
        <v>38</v>
      </c>
      <c r="X762">
        <v>12</v>
      </c>
      <c r="Y762" t="s">
        <v>49</v>
      </c>
      <c r="Z762" t="s">
        <v>76</v>
      </c>
      <c r="AA762" t="s">
        <v>122</v>
      </c>
      <c r="AB762">
        <v>12</v>
      </c>
      <c r="AC762" t="s">
        <v>113</v>
      </c>
      <c r="AD762" t="s">
        <v>140</v>
      </c>
      <c r="AE762" t="s">
        <v>46</v>
      </c>
      <c r="AF762" t="s">
        <v>119</v>
      </c>
      <c r="AG762" t="str">
        <f t="shared" si="11"/>
        <v>Recorrente</v>
      </c>
      <c r="AH762" t="str">
        <f>IF(AND(SUMIF(E:E,E762,I:I)&gt;=400000,Q762="B2G"),"n","")</f>
        <v/>
      </c>
    </row>
    <row r="763" spans="1:34">
      <c r="A763">
        <v>2026</v>
      </c>
      <c r="B763">
        <v>1</v>
      </c>
      <c r="C763" s="83">
        <v>19435493634</v>
      </c>
      <c r="D763" t="s">
        <v>805</v>
      </c>
      <c r="E763">
        <v>54616108148</v>
      </c>
      <c r="F763">
        <v>623618</v>
      </c>
      <c r="G763">
        <v>49944533271</v>
      </c>
      <c r="H763" t="s">
        <v>35</v>
      </c>
      <c r="I763" s="36">
        <v>3462.84</v>
      </c>
      <c r="J763" s="36">
        <v>3462.9</v>
      </c>
      <c r="K763" s="85">
        <v>0</v>
      </c>
      <c r="L763" s="36">
        <v>288.58</v>
      </c>
      <c r="M763" s="36">
        <v>288.58</v>
      </c>
      <c r="N763" s="36">
        <v>0</v>
      </c>
      <c r="O763" s="36">
        <v>0</v>
      </c>
      <c r="P763" t="s">
        <v>110</v>
      </c>
      <c r="Q763" t="s">
        <v>111</v>
      </c>
      <c r="R763" t="s">
        <v>111</v>
      </c>
      <c r="S763" s="1">
        <v>46052</v>
      </c>
      <c r="T763" s="1">
        <v>46052</v>
      </c>
      <c r="V763" s="1">
        <v>46418</v>
      </c>
      <c r="W763" t="s">
        <v>38</v>
      </c>
      <c r="X763">
        <v>12</v>
      </c>
      <c r="Y763" t="s">
        <v>49</v>
      </c>
      <c r="Z763" t="s">
        <v>76</v>
      </c>
      <c r="AA763" t="s">
        <v>122</v>
      </c>
      <c r="AB763">
        <v>12</v>
      </c>
      <c r="AC763" t="s">
        <v>113</v>
      </c>
      <c r="AD763" t="s">
        <v>160</v>
      </c>
      <c r="AE763" t="s">
        <v>43</v>
      </c>
      <c r="AF763" t="s">
        <v>44</v>
      </c>
      <c r="AG763" t="str">
        <f t="shared" si="11"/>
        <v>Recorrente</v>
      </c>
      <c r="AH763" t="str">
        <f>IF(AND(SUMIF(E:E,E763,I:I)&gt;=400000,Q763="B2G"),"n","")</f>
        <v/>
      </c>
    </row>
    <row r="764" spans="1:34">
      <c r="A764">
        <v>2026</v>
      </c>
      <c r="B764">
        <v>1</v>
      </c>
      <c r="C764" s="83">
        <v>114195912270</v>
      </c>
      <c r="D764" t="s">
        <v>806</v>
      </c>
      <c r="E764">
        <v>54618731138</v>
      </c>
      <c r="F764">
        <v>628757</v>
      </c>
      <c r="G764">
        <v>50351027044</v>
      </c>
      <c r="H764" t="s">
        <v>35</v>
      </c>
      <c r="I764" s="36">
        <v>599.64</v>
      </c>
      <c r="J764" s="36">
        <v>2882.04</v>
      </c>
      <c r="K764" s="85">
        <v>0</v>
      </c>
      <c r="L764" s="36">
        <v>240.17</v>
      </c>
      <c r="M764" s="36">
        <v>0</v>
      </c>
      <c r="N764" s="36">
        <v>240.17</v>
      </c>
      <c r="O764" s="36">
        <v>0</v>
      </c>
      <c r="P764" t="s">
        <v>804</v>
      </c>
      <c r="Q764" t="s">
        <v>191</v>
      </c>
      <c r="R764" t="s">
        <v>191</v>
      </c>
      <c r="S764" s="1">
        <v>46053</v>
      </c>
      <c r="T764" s="1">
        <v>46053</v>
      </c>
      <c r="V764" s="1">
        <v>46128</v>
      </c>
      <c r="W764" t="s">
        <v>38</v>
      </c>
      <c r="X764">
        <v>3</v>
      </c>
      <c r="Y764" t="s">
        <v>49</v>
      </c>
      <c r="Z764" t="s">
        <v>324</v>
      </c>
      <c r="AA764" t="s">
        <v>117</v>
      </c>
      <c r="AB764">
        <v>1</v>
      </c>
      <c r="AC764" t="s">
        <v>192</v>
      </c>
      <c r="AD764" t="s">
        <v>85</v>
      </c>
      <c r="AE764" t="s">
        <v>46</v>
      </c>
      <c r="AF764" t="s">
        <v>44</v>
      </c>
      <c r="AG764" t="str">
        <f t="shared" si="11"/>
        <v>À Vista</v>
      </c>
      <c r="AH764" t="str">
        <f>IF(AND(SUMIF(E:E,E764,I:I)&gt;=400000,Q764="B2G"),"n","")</f>
        <v/>
      </c>
    </row>
    <row r="765" spans="1:34">
      <c r="A765">
        <v>2026</v>
      </c>
      <c r="B765">
        <v>1</v>
      </c>
      <c r="C765" s="83">
        <v>2069042</v>
      </c>
      <c r="D765" t="s">
        <v>807</v>
      </c>
      <c r="E765">
        <v>54622781332</v>
      </c>
      <c r="F765">
        <v>623569</v>
      </c>
      <c r="G765">
        <v>50351044178</v>
      </c>
      <c r="H765" t="s">
        <v>35</v>
      </c>
      <c r="I765" s="36">
        <v>2136.36</v>
      </c>
      <c r="J765" s="36">
        <v>2738.04</v>
      </c>
      <c r="K765" s="85">
        <v>0</v>
      </c>
      <c r="L765" s="36">
        <v>228.17</v>
      </c>
      <c r="M765" s="36">
        <v>0</v>
      </c>
      <c r="N765" s="36">
        <v>228.17</v>
      </c>
      <c r="O765" s="36">
        <v>0</v>
      </c>
      <c r="P765" t="s">
        <v>469</v>
      </c>
      <c r="Q765" t="s">
        <v>191</v>
      </c>
      <c r="R765" t="s">
        <v>191</v>
      </c>
      <c r="S765" s="1">
        <v>46052</v>
      </c>
      <c r="T765" s="1">
        <v>46052</v>
      </c>
      <c r="V765" s="1">
        <v>46337</v>
      </c>
      <c r="W765" t="s">
        <v>38</v>
      </c>
      <c r="X765">
        <v>10</v>
      </c>
      <c r="Y765" t="s">
        <v>49</v>
      </c>
      <c r="Z765" t="s">
        <v>324</v>
      </c>
      <c r="AA765" t="s">
        <v>122</v>
      </c>
      <c r="AB765">
        <v>9</v>
      </c>
      <c r="AC765" t="s">
        <v>192</v>
      </c>
      <c r="AD765" t="s">
        <v>85</v>
      </c>
      <c r="AE765" t="s">
        <v>46</v>
      </c>
      <c r="AF765" t="s">
        <v>44</v>
      </c>
      <c r="AG765" t="str">
        <f t="shared" si="11"/>
        <v>Recorrente</v>
      </c>
      <c r="AH765" t="str">
        <f>IF(AND(SUMIF(E:E,E765,I:I)&gt;=400000,Q765="B2G"),"n","")</f>
        <v/>
      </c>
    </row>
    <row r="766" spans="1:34">
      <c r="A766">
        <v>2026</v>
      </c>
      <c r="B766">
        <v>1</v>
      </c>
      <c r="C766" s="83">
        <v>2086241</v>
      </c>
      <c r="D766" t="s">
        <v>808</v>
      </c>
      <c r="E766">
        <v>54625629525</v>
      </c>
      <c r="F766">
        <v>328329</v>
      </c>
      <c r="G766">
        <v>50425100124</v>
      </c>
      <c r="H766" t="s">
        <v>35</v>
      </c>
      <c r="I766" s="36">
        <v>2730.24</v>
      </c>
      <c r="J766" s="36">
        <v>2730.24</v>
      </c>
      <c r="K766" s="85">
        <v>0</v>
      </c>
      <c r="L766" s="36">
        <v>227.52</v>
      </c>
      <c r="M766" s="36">
        <v>0</v>
      </c>
      <c r="N766" s="36">
        <v>0</v>
      </c>
      <c r="O766" s="36">
        <v>227.52500000000001</v>
      </c>
      <c r="P766" t="s">
        <v>162</v>
      </c>
      <c r="Q766" t="s">
        <v>111</v>
      </c>
      <c r="R766" t="s">
        <v>111</v>
      </c>
      <c r="S766" s="1">
        <v>46052</v>
      </c>
      <c r="T766" s="1">
        <v>46052</v>
      </c>
      <c r="U766" s="1">
        <v>46048</v>
      </c>
      <c r="V766" s="1">
        <v>46413</v>
      </c>
      <c r="W766" t="s">
        <v>38</v>
      </c>
      <c r="X766">
        <v>12</v>
      </c>
      <c r="Y766" t="s">
        <v>49</v>
      </c>
      <c r="Z766" t="s">
        <v>81</v>
      </c>
      <c r="AA766" t="s">
        <v>112</v>
      </c>
      <c r="AB766">
        <v>12</v>
      </c>
      <c r="AC766" t="s">
        <v>113</v>
      </c>
      <c r="AD766" t="s">
        <v>140</v>
      </c>
      <c r="AE766" t="s">
        <v>46</v>
      </c>
      <c r="AF766" t="s">
        <v>119</v>
      </c>
      <c r="AG766" t="str">
        <f t="shared" si="11"/>
        <v>CC 12x</v>
      </c>
      <c r="AH766" t="str">
        <f>IF(AND(SUMIF(E:E,E766,I:I)&gt;=400000,Q766="B2G"),"n","")</f>
        <v/>
      </c>
    </row>
    <row r="767" spans="1:34">
      <c r="A767">
        <v>2026</v>
      </c>
      <c r="B767">
        <v>1</v>
      </c>
      <c r="C767" s="83">
        <v>19435715129</v>
      </c>
      <c r="D767" t="s">
        <v>809</v>
      </c>
      <c r="E767">
        <v>54626394501</v>
      </c>
      <c r="F767">
        <v>635790</v>
      </c>
      <c r="G767">
        <v>50276708110</v>
      </c>
      <c r="H767" t="s">
        <v>35</v>
      </c>
      <c r="I767" s="36">
        <v>23382</v>
      </c>
      <c r="J767" s="36">
        <v>23382</v>
      </c>
      <c r="K767" s="85">
        <v>0</v>
      </c>
      <c r="L767" s="36">
        <v>1948.5</v>
      </c>
      <c r="M767" s="36">
        <v>1948.5</v>
      </c>
      <c r="N767" s="36">
        <v>0</v>
      </c>
      <c r="O767" s="36">
        <v>0</v>
      </c>
      <c r="P767" t="s">
        <v>348</v>
      </c>
      <c r="Q767" t="s">
        <v>349</v>
      </c>
      <c r="R767" t="s">
        <v>349</v>
      </c>
      <c r="S767" s="1">
        <v>46051</v>
      </c>
      <c r="T767" s="1">
        <v>46051</v>
      </c>
      <c r="V767" s="1">
        <v>46416</v>
      </c>
      <c r="W767" t="s">
        <v>38</v>
      </c>
      <c r="X767">
        <v>12</v>
      </c>
      <c r="Y767" t="s">
        <v>49</v>
      </c>
      <c r="AA767" t="s">
        <v>92</v>
      </c>
      <c r="AB767">
        <v>12</v>
      </c>
      <c r="AC767" t="s">
        <v>350</v>
      </c>
      <c r="AD767" t="s">
        <v>125</v>
      </c>
      <c r="AE767" t="s">
        <v>43</v>
      </c>
      <c r="AF767" t="s">
        <v>47</v>
      </c>
      <c r="AG767" t="str">
        <f t="shared" si="11"/>
        <v>Recorrente</v>
      </c>
      <c r="AH767" t="str">
        <f>IF(AND(SUMIF(E:E,E767,I:I)&gt;=400000,Q767="B2G"),"n","")</f>
        <v/>
      </c>
    </row>
    <row r="768" spans="1:34">
      <c r="A768">
        <v>2026</v>
      </c>
      <c r="B768">
        <v>1</v>
      </c>
      <c r="C768" s="83">
        <v>196426176422</v>
      </c>
      <c r="D768" t="s">
        <v>810</v>
      </c>
      <c r="E768">
        <v>54627322884</v>
      </c>
      <c r="F768">
        <v>635742</v>
      </c>
      <c r="G768">
        <v>49944663206</v>
      </c>
      <c r="H768" t="s">
        <v>35</v>
      </c>
      <c r="I768" s="36">
        <v>2224.44</v>
      </c>
      <c r="J768" s="36">
        <v>2224.48</v>
      </c>
      <c r="K768" s="85">
        <v>0</v>
      </c>
      <c r="L768" s="36">
        <v>185.37</v>
      </c>
      <c r="M768" s="36">
        <v>185.37</v>
      </c>
      <c r="N768" s="36">
        <v>0</v>
      </c>
      <c r="O768" s="36">
        <v>0</v>
      </c>
      <c r="P768" t="s">
        <v>501</v>
      </c>
      <c r="Q768" t="s">
        <v>314</v>
      </c>
      <c r="R768" t="s">
        <v>314</v>
      </c>
      <c r="S768" s="1">
        <v>46048</v>
      </c>
      <c r="T768" s="1">
        <v>46048</v>
      </c>
      <c r="V768" s="1">
        <v>46413</v>
      </c>
      <c r="W768" t="s">
        <v>38</v>
      </c>
      <c r="X768">
        <v>12</v>
      </c>
      <c r="Y768" t="s">
        <v>49</v>
      </c>
      <c r="AA768" t="s">
        <v>117</v>
      </c>
      <c r="AB768">
        <v>1</v>
      </c>
      <c r="AC768" t="s">
        <v>315</v>
      </c>
      <c r="AD768" t="s">
        <v>118</v>
      </c>
      <c r="AE768" t="s">
        <v>43</v>
      </c>
      <c r="AF768" t="s">
        <v>119</v>
      </c>
      <c r="AG768" t="str">
        <f t="shared" si="11"/>
        <v>À Vista</v>
      </c>
      <c r="AH768" t="str">
        <f>IF(AND(SUMIF(E:E,E768,I:I)&gt;=400000,Q768="B2G"),"n","")</f>
        <v/>
      </c>
    </row>
    <row r="769" spans="1:34">
      <c r="A769">
        <v>2026</v>
      </c>
      <c r="B769">
        <v>1</v>
      </c>
      <c r="C769" s="83">
        <v>154015710864</v>
      </c>
      <c r="D769" t="s">
        <v>811</v>
      </c>
      <c r="E769">
        <v>54632171145</v>
      </c>
      <c r="F769">
        <v>635739</v>
      </c>
      <c r="G769">
        <v>49949659038</v>
      </c>
      <c r="H769" t="s">
        <v>35</v>
      </c>
      <c r="I769" s="36">
        <v>4603.2</v>
      </c>
      <c r="J769" s="36">
        <v>4603.2</v>
      </c>
      <c r="K769" s="85">
        <v>0</v>
      </c>
      <c r="L769" s="36">
        <v>383.6</v>
      </c>
      <c r="M769" s="36">
        <v>383.6</v>
      </c>
      <c r="N769" s="36">
        <v>0</v>
      </c>
      <c r="O769" s="36">
        <v>0</v>
      </c>
      <c r="P769" t="s">
        <v>506</v>
      </c>
      <c r="Q769" t="s">
        <v>300</v>
      </c>
      <c r="R769" t="s">
        <v>300</v>
      </c>
      <c r="S769" s="1">
        <v>46048</v>
      </c>
      <c r="T769" s="1">
        <v>46048</v>
      </c>
      <c r="V769" s="1">
        <v>46413</v>
      </c>
      <c r="W769" t="s">
        <v>38</v>
      </c>
      <c r="X769">
        <v>12</v>
      </c>
      <c r="Y769" t="s">
        <v>49</v>
      </c>
      <c r="AA769" t="s">
        <v>122</v>
      </c>
      <c r="AB769">
        <v>12</v>
      </c>
      <c r="AC769" t="s">
        <v>301</v>
      </c>
      <c r="AD769" t="s">
        <v>85</v>
      </c>
      <c r="AE769" t="s">
        <v>46</v>
      </c>
      <c r="AF769" t="s">
        <v>44</v>
      </c>
      <c r="AG769" t="str">
        <f t="shared" ref="AG769:AG832" si="12">IF(IFERROR(SEARCH("Recorrente",AA769),0)&gt;0,"Recorrente",IF(AB769=1,"À Vista",IF(AB769&lt;=3,"CC 3x",IF(AB769&lt;=12,"CC 12x",IF(AB769&gt;12,"Recorrente","")))))</f>
        <v>Recorrente</v>
      </c>
      <c r="AH769" t="str">
        <f>IF(AND(SUMIF(E:E,E769,I:I)&gt;=400000,Q769="B2G"),"n","")</f>
        <v/>
      </c>
    </row>
    <row r="770" spans="1:34">
      <c r="A770">
        <v>2026</v>
      </c>
      <c r="B770">
        <v>1</v>
      </c>
      <c r="C770" s="83">
        <v>2075263</v>
      </c>
      <c r="D770" t="s">
        <v>812</v>
      </c>
      <c r="E770">
        <v>54634552465</v>
      </c>
      <c r="F770">
        <v>635751</v>
      </c>
      <c r="G770">
        <v>50045807742</v>
      </c>
      <c r="H770" t="s">
        <v>35</v>
      </c>
      <c r="I770" s="36">
        <v>4025.52</v>
      </c>
      <c r="J770" s="36">
        <v>4025.54</v>
      </c>
      <c r="K770" s="85">
        <v>0</v>
      </c>
      <c r="L770" s="36">
        <v>335.46</v>
      </c>
      <c r="M770" s="36">
        <v>0</v>
      </c>
      <c r="N770" s="36">
        <v>335.46</v>
      </c>
      <c r="O770" s="36">
        <v>0</v>
      </c>
      <c r="P770" t="s">
        <v>367</v>
      </c>
      <c r="Q770" t="s">
        <v>191</v>
      </c>
      <c r="R770" t="s">
        <v>191</v>
      </c>
      <c r="S770" s="1">
        <v>46049</v>
      </c>
      <c r="T770" s="1">
        <v>46049</v>
      </c>
      <c r="V770" s="1">
        <v>46414</v>
      </c>
      <c r="W770" t="s">
        <v>38</v>
      </c>
      <c r="X770">
        <v>12</v>
      </c>
      <c r="Y770" t="s">
        <v>49</v>
      </c>
      <c r="AA770" t="s">
        <v>112</v>
      </c>
      <c r="AB770">
        <v>12</v>
      </c>
      <c r="AC770" t="s">
        <v>192</v>
      </c>
      <c r="AD770" t="s">
        <v>84</v>
      </c>
      <c r="AE770" t="s">
        <v>43</v>
      </c>
      <c r="AF770" t="s">
        <v>44</v>
      </c>
      <c r="AG770" t="str">
        <f t="shared" si="12"/>
        <v>CC 12x</v>
      </c>
      <c r="AH770" t="str">
        <f>IF(AND(SUMIF(E:E,E770,I:I)&gt;=400000,Q770="B2G"),"n","")</f>
        <v/>
      </c>
    </row>
    <row r="771" spans="1:34">
      <c r="A771">
        <v>2026</v>
      </c>
      <c r="B771">
        <v>1</v>
      </c>
      <c r="C771" s="83">
        <v>2067243</v>
      </c>
      <c r="D771" t="s">
        <v>813</v>
      </c>
      <c r="E771">
        <v>54635115127</v>
      </c>
      <c r="F771">
        <v>635741</v>
      </c>
      <c r="G771">
        <v>49958703641</v>
      </c>
      <c r="H771" t="s">
        <v>35</v>
      </c>
      <c r="I771" s="36">
        <v>2874</v>
      </c>
      <c r="J771" s="36">
        <v>2874</v>
      </c>
      <c r="K771" s="85">
        <v>0</v>
      </c>
      <c r="L771" s="36">
        <v>239.5</v>
      </c>
      <c r="M771" s="36">
        <v>239.5</v>
      </c>
      <c r="N771" s="36">
        <v>0</v>
      </c>
      <c r="O771" s="36">
        <v>0</v>
      </c>
      <c r="P771" t="s">
        <v>497</v>
      </c>
      <c r="Q771" t="s">
        <v>498</v>
      </c>
      <c r="R771" t="s">
        <v>498</v>
      </c>
      <c r="S771" s="1">
        <v>46048</v>
      </c>
      <c r="T771" s="1">
        <v>46048</v>
      </c>
      <c r="V771" s="1">
        <v>46413</v>
      </c>
      <c r="W771" t="s">
        <v>38</v>
      </c>
      <c r="X771">
        <v>12</v>
      </c>
      <c r="Y771" t="s">
        <v>49</v>
      </c>
      <c r="AA771" t="s">
        <v>117</v>
      </c>
      <c r="AB771">
        <v>1</v>
      </c>
      <c r="AC771" t="s">
        <v>499</v>
      </c>
      <c r="AD771" t="s">
        <v>140</v>
      </c>
      <c r="AE771" t="s">
        <v>46</v>
      </c>
      <c r="AF771" t="s">
        <v>119</v>
      </c>
      <c r="AG771" t="str">
        <f t="shared" si="12"/>
        <v>À Vista</v>
      </c>
      <c r="AH771" t="str">
        <f>IF(AND(SUMIF(E:E,E771,I:I)&gt;=400000,Q771="B2G"),"n","")</f>
        <v/>
      </c>
    </row>
    <row r="772" spans="1:34">
      <c r="A772">
        <v>2026</v>
      </c>
      <c r="B772">
        <v>1</v>
      </c>
      <c r="C772" s="83">
        <v>198633562041</v>
      </c>
      <c r="D772" t="s">
        <v>814</v>
      </c>
      <c r="E772">
        <v>54635161951</v>
      </c>
      <c r="F772">
        <v>635748</v>
      </c>
      <c r="G772">
        <v>49944818857</v>
      </c>
      <c r="H772" t="s">
        <v>35</v>
      </c>
      <c r="I772" s="36">
        <v>3812.4</v>
      </c>
      <c r="J772" s="36">
        <v>3812.4</v>
      </c>
      <c r="K772" s="85">
        <v>0</v>
      </c>
      <c r="L772" s="36">
        <v>317.7</v>
      </c>
      <c r="M772" s="36">
        <v>317.7</v>
      </c>
      <c r="N772" s="36">
        <v>0</v>
      </c>
      <c r="O772" s="36">
        <v>0</v>
      </c>
      <c r="P772" t="s">
        <v>299</v>
      </c>
      <c r="Q772" t="s">
        <v>300</v>
      </c>
      <c r="R772" t="s">
        <v>80</v>
      </c>
      <c r="S772" s="1">
        <v>46049</v>
      </c>
      <c r="T772" s="1">
        <v>46049</v>
      </c>
      <c r="V772" s="1">
        <v>46414</v>
      </c>
      <c r="W772" t="s">
        <v>38</v>
      </c>
      <c r="X772">
        <v>12</v>
      </c>
      <c r="Y772" t="s">
        <v>49</v>
      </c>
      <c r="AA772" t="s">
        <v>112</v>
      </c>
      <c r="AB772">
        <v>12</v>
      </c>
      <c r="AC772" t="s">
        <v>495</v>
      </c>
      <c r="AD772" t="s">
        <v>149</v>
      </c>
      <c r="AE772" t="s">
        <v>43</v>
      </c>
      <c r="AF772" t="s">
        <v>96</v>
      </c>
      <c r="AG772" t="str">
        <f t="shared" si="12"/>
        <v>CC 12x</v>
      </c>
      <c r="AH772" t="str">
        <f>IF(AND(SUMIF(E:E,E772,I:I)&gt;=400000,Q772="B2G"),"n","")</f>
        <v/>
      </c>
    </row>
    <row r="773" spans="1:34">
      <c r="A773">
        <v>2026</v>
      </c>
      <c r="B773">
        <v>1</v>
      </c>
      <c r="C773" s="83">
        <v>173860901284</v>
      </c>
      <c r="D773" t="s">
        <v>815</v>
      </c>
      <c r="E773">
        <v>54635646075</v>
      </c>
      <c r="F773">
        <v>635759</v>
      </c>
      <c r="G773">
        <v>49949941359</v>
      </c>
      <c r="H773" t="s">
        <v>35</v>
      </c>
      <c r="I773" s="36">
        <v>4962.6000000000004</v>
      </c>
      <c r="J773" s="36">
        <v>4962.6000000000004</v>
      </c>
      <c r="K773" s="85">
        <v>0</v>
      </c>
      <c r="L773" s="36">
        <v>413.55</v>
      </c>
      <c r="M773" s="36">
        <v>413.55</v>
      </c>
      <c r="N773" s="36">
        <v>0</v>
      </c>
      <c r="O773" s="36">
        <v>0</v>
      </c>
      <c r="P773" t="s">
        <v>299</v>
      </c>
      <c r="Q773" t="s">
        <v>300</v>
      </c>
      <c r="R773" t="s">
        <v>300</v>
      </c>
      <c r="S773" s="1">
        <v>46049</v>
      </c>
      <c r="T773" s="1">
        <v>46049</v>
      </c>
      <c r="V773" s="1">
        <v>46414</v>
      </c>
      <c r="W773" t="s">
        <v>38</v>
      </c>
      <c r="X773">
        <v>12</v>
      </c>
      <c r="Y773" t="s">
        <v>49</v>
      </c>
      <c r="AA773" t="s">
        <v>112</v>
      </c>
      <c r="AB773">
        <v>12</v>
      </c>
      <c r="AC773" t="s">
        <v>301</v>
      </c>
      <c r="AD773" t="s">
        <v>138</v>
      </c>
      <c r="AE773" t="s">
        <v>135</v>
      </c>
      <c r="AF773" t="s">
        <v>119</v>
      </c>
      <c r="AG773" t="str">
        <f t="shared" si="12"/>
        <v>CC 12x</v>
      </c>
      <c r="AH773" t="str">
        <f>IF(AND(SUMIF(E:E,E773,I:I)&gt;=400000,Q773="B2G"),"n","")</f>
        <v/>
      </c>
    </row>
    <row r="774" spans="1:34">
      <c r="A774">
        <v>2026</v>
      </c>
      <c r="B774">
        <v>1</v>
      </c>
      <c r="C774" s="83">
        <v>196244040840</v>
      </c>
      <c r="D774" t="s">
        <v>816</v>
      </c>
      <c r="E774">
        <v>54637331811</v>
      </c>
      <c r="F774">
        <v>303785</v>
      </c>
      <c r="G774">
        <v>49949988892</v>
      </c>
      <c r="H774" t="s">
        <v>35</v>
      </c>
      <c r="I774" s="36">
        <v>3851.04</v>
      </c>
      <c r="J774" s="36">
        <v>3851.04</v>
      </c>
      <c r="K774" s="85">
        <v>0</v>
      </c>
      <c r="L774" s="36">
        <v>320.92</v>
      </c>
      <c r="M774" s="36">
        <v>320.92</v>
      </c>
      <c r="N774" s="36">
        <v>0</v>
      </c>
      <c r="O774" s="36">
        <v>0</v>
      </c>
      <c r="P774" t="s">
        <v>162</v>
      </c>
      <c r="Q774" t="s">
        <v>111</v>
      </c>
      <c r="R774" t="s">
        <v>111</v>
      </c>
      <c r="S774" s="1">
        <v>46049</v>
      </c>
      <c r="T774" s="1">
        <v>46049</v>
      </c>
      <c r="U774" s="1">
        <v>46046</v>
      </c>
      <c r="V774" s="1">
        <v>46411</v>
      </c>
      <c r="W774" t="s">
        <v>38</v>
      </c>
      <c r="X774">
        <v>12</v>
      </c>
      <c r="Y774" t="s">
        <v>49</v>
      </c>
      <c r="Z774" t="s">
        <v>81</v>
      </c>
      <c r="AA774" t="s">
        <v>112</v>
      </c>
      <c r="AB774">
        <v>3</v>
      </c>
      <c r="AC774" t="s">
        <v>113</v>
      </c>
      <c r="AD774" t="s">
        <v>84</v>
      </c>
      <c r="AE774" t="s">
        <v>43</v>
      </c>
      <c r="AF774" t="s">
        <v>44</v>
      </c>
      <c r="AG774" t="str">
        <f t="shared" si="12"/>
        <v>CC 3x</v>
      </c>
      <c r="AH774" t="str">
        <f>IF(AND(SUMIF(E:E,E774,I:I)&gt;=400000,Q774="B2G"),"n","")</f>
        <v/>
      </c>
    </row>
    <row r="775" spans="1:34">
      <c r="A775">
        <v>2026</v>
      </c>
      <c r="B775">
        <v>1</v>
      </c>
      <c r="C775" s="83">
        <v>2139856</v>
      </c>
      <c r="D775" t="s">
        <v>817</v>
      </c>
      <c r="E775">
        <v>54641368580</v>
      </c>
      <c r="F775">
        <v>635836</v>
      </c>
      <c r="G775">
        <v>50352766873</v>
      </c>
      <c r="H775" t="s">
        <v>35</v>
      </c>
      <c r="I775" s="36">
        <v>2874</v>
      </c>
      <c r="J775" s="36">
        <v>2874</v>
      </c>
      <c r="K775" s="85">
        <v>0</v>
      </c>
      <c r="L775" s="36">
        <v>239.5</v>
      </c>
      <c r="M775" s="36">
        <v>239.5</v>
      </c>
      <c r="N775" s="36">
        <v>0</v>
      </c>
      <c r="O775" s="36">
        <v>0</v>
      </c>
      <c r="P775" t="s">
        <v>506</v>
      </c>
      <c r="Q775" t="s">
        <v>300</v>
      </c>
      <c r="R775" t="s">
        <v>300</v>
      </c>
      <c r="S775" s="1">
        <v>46052</v>
      </c>
      <c r="T775" s="1">
        <v>46052</v>
      </c>
      <c r="V775" s="1">
        <v>46417</v>
      </c>
      <c r="W775" t="s">
        <v>38</v>
      </c>
      <c r="X775">
        <v>12</v>
      </c>
      <c r="Y775" t="s">
        <v>49</v>
      </c>
      <c r="AA775" t="s">
        <v>122</v>
      </c>
      <c r="AB775">
        <v>12</v>
      </c>
      <c r="AC775" t="s">
        <v>301</v>
      </c>
      <c r="AD775" t="s">
        <v>140</v>
      </c>
      <c r="AE775" t="s">
        <v>46</v>
      </c>
      <c r="AF775" t="s">
        <v>119</v>
      </c>
      <c r="AG775" t="str">
        <f t="shared" si="12"/>
        <v>Recorrente</v>
      </c>
      <c r="AH775" t="str">
        <f>IF(AND(SUMIF(E:E,E775,I:I)&gt;=400000,Q775="B2G"),"n","")</f>
        <v/>
      </c>
    </row>
    <row r="776" spans="1:34">
      <c r="A776">
        <v>2026</v>
      </c>
      <c r="B776">
        <v>1</v>
      </c>
      <c r="C776" s="83">
        <v>95746158472</v>
      </c>
      <c r="D776" t="s">
        <v>818</v>
      </c>
      <c r="E776">
        <v>54647248746</v>
      </c>
      <c r="F776">
        <v>625945</v>
      </c>
      <c r="G776">
        <v>50060360301</v>
      </c>
      <c r="H776" t="s">
        <v>35</v>
      </c>
      <c r="I776" s="36">
        <v>2328</v>
      </c>
      <c r="J776" s="36">
        <v>2328</v>
      </c>
      <c r="K776" s="85">
        <v>0</v>
      </c>
      <c r="L776" s="36">
        <v>194</v>
      </c>
      <c r="M776" s="36">
        <v>0</v>
      </c>
      <c r="N776" s="36">
        <v>0</v>
      </c>
      <c r="O776" s="36">
        <v>194.002185</v>
      </c>
      <c r="P776" t="s">
        <v>116</v>
      </c>
      <c r="Q776" t="s">
        <v>111</v>
      </c>
      <c r="R776" t="s">
        <v>111</v>
      </c>
      <c r="S776" s="1">
        <v>46050</v>
      </c>
      <c r="T776" s="1">
        <v>46050</v>
      </c>
      <c r="U776" s="1">
        <v>46050</v>
      </c>
      <c r="V776" s="1">
        <v>46415</v>
      </c>
      <c r="W776" t="s">
        <v>38</v>
      </c>
      <c r="X776">
        <v>12</v>
      </c>
      <c r="Y776" t="s">
        <v>49</v>
      </c>
      <c r="Z776" t="s">
        <v>81</v>
      </c>
      <c r="AA776" t="s">
        <v>112</v>
      </c>
      <c r="AB776">
        <v>12</v>
      </c>
      <c r="AC776" t="s">
        <v>113</v>
      </c>
      <c r="AD776" t="s">
        <v>140</v>
      </c>
      <c r="AE776" t="s">
        <v>46</v>
      </c>
      <c r="AF776" t="s">
        <v>119</v>
      </c>
      <c r="AG776" t="str">
        <f t="shared" si="12"/>
        <v>CC 12x</v>
      </c>
      <c r="AH776" t="str">
        <f>IF(AND(SUMIF(E:E,E776,I:I)&gt;=400000,Q776="B2G"),"n","")</f>
        <v/>
      </c>
    </row>
    <row r="777" spans="1:34">
      <c r="A777">
        <v>2026</v>
      </c>
      <c r="B777">
        <v>1</v>
      </c>
      <c r="C777" s="83">
        <v>2122286</v>
      </c>
      <c r="D777" t="s">
        <v>819</v>
      </c>
      <c r="E777">
        <v>54648269488</v>
      </c>
      <c r="F777">
        <v>635743</v>
      </c>
      <c r="G777">
        <v>49944664614</v>
      </c>
      <c r="H777" t="s">
        <v>35</v>
      </c>
      <c r="I777" s="36">
        <v>3666.6</v>
      </c>
      <c r="J777" s="36">
        <v>3666.6</v>
      </c>
      <c r="K777" s="85">
        <v>0</v>
      </c>
      <c r="L777" s="36">
        <v>305.55</v>
      </c>
      <c r="M777" s="36">
        <v>305.55</v>
      </c>
      <c r="N777" s="36">
        <v>0</v>
      </c>
      <c r="O777" s="36">
        <v>0</v>
      </c>
      <c r="P777" t="s">
        <v>313</v>
      </c>
      <c r="Q777" t="s">
        <v>314</v>
      </c>
      <c r="R777" t="s">
        <v>314</v>
      </c>
      <c r="S777" s="1">
        <v>46048</v>
      </c>
      <c r="T777" s="1">
        <v>46048</v>
      </c>
      <c r="V777" s="1">
        <v>46413</v>
      </c>
      <c r="W777" t="s">
        <v>38</v>
      </c>
      <c r="X777">
        <v>12</v>
      </c>
      <c r="Y777" t="s">
        <v>49</v>
      </c>
      <c r="AA777" t="s">
        <v>122</v>
      </c>
      <c r="AB777">
        <v>12</v>
      </c>
      <c r="AC777" t="s">
        <v>315</v>
      </c>
      <c r="AD777" t="s">
        <v>160</v>
      </c>
      <c r="AE777" t="s">
        <v>43</v>
      </c>
      <c r="AF777" t="s">
        <v>44</v>
      </c>
      <c r="AG777" t="str">
        <f t="shared" si="12"/>
        <v>Recorrente</v>
      </c>
      <c r="AH777" t="str">
        <f>IF(AND(SUMIF(E:E,E777,I:I)&gt;=400000,Q777="B2G"),"n","")</f>
        <v/>
      </c>
    </row>
    <row r="778" spans="1:34">
      <c r="A778">
        <v>2026</v>
      </c>
      <c r="B778">
        <v>1</v>
      </c>
      <c r="C778" s="83">
        <v>2128669</v>
      </c>
      <c r="D778" t="s">
        <v>820</v>
      </c>
      <c r="E778">
        <v>54648757763</v>
      </c>
      <c r="F778">
        <v>504513</v>
      </c>
      <c r="G778">
        <v>50060032573</v>
      </c>
      <c r="H778" t="s">
        <v>35</v>
      </c>
      <c r="I778" s="36">
        <v>2759.04</v>
      </c>
      <c r="J778" s="36">
        <v>2759.04</v>
      </c>
      <c r="K778" s="85">
        <v>0</v>
      </c>
      <c r="L778" s="36">
        <v>229.92</v>
      </c>
      <c r="M778" s="36">
        <v>0</v>
      </c>
      <c r="N778" s="36">
        <v>0.92</v>
      </c>
      <c r="O778" s="36">
        <v>229</v>
      </c>
      <c r="P778" t="s">
        <v>162</v>
      </c>
      <c r="Q778" t="s">
        <v>111</v>
      </c>
      <c r="R778" t="s">
        <v>111</v>
      </c>
      <c r="S778" s="1">
        <v>46049</v>
      </c>
      <c r="T778" s="1">
        <v>46049</v>
      </c>
      <c r="U778" s="1">
        <v>46048</v>
      </c>
      <c r="V778" s="1">
        <v>46413</v>
      </c>
      <c r="W778" t="s">
        <v>38</v>
      </c>
      <c r="X778">
        <v>12</v>
      </c>
      <c r="Y778" t="s">
        <v>49</v>
      </c>
      <c r="Z778" t="s">
        <v>81</v>
      </c>
      <c r="AA778" t="s">
        <v>112</v>
      </c>
      <c r="AB778">
        <v>12</v>
      </c>
      <c r="AC778" t="s">
        <v>113</v>
      </c>
      <c r="AD778" t="s">
        <v>118</v>
      </c>
      <c r="AE778" t="s">
        <v>43</v>
      </c>
      <c r="AF778" t="s">
        <v>119</v>
      </c>
      <c r="AG778" t="str">
        <f t="shared" si="12"/>
        <v>CC 12x</v>
      </c>
      <c r="AH778" t="str">
        <f>IF(AND(SUMIF(E:E,E778,I:I)&gt;=400000,Q778="B2G"),"n","")</f>
        <v/>
      </c>
    </row>
    <row r="779" spans="1:34">
      <c r="A779">
        <v>2026</v>
      </c>
      <c r="B779">
        <v>1</v>
      </c>
      <c r="C779" s="83">
        <v>2128669</v>
      </c>
      <c r="D779" t="s">
        <v>820</v>
      </c>
      <c r="E779">
        <v>54648757763</v>
      </c>
      <c r="F779">
        <v>504513</v>
      </c>
      <c r="G779">
        <v>50060032574</v>
      </c>
      <c r="H779" t="s">
        <v>35</v>
      </c>
      <c r="I779" s="36">
        <v>2759.04</v>
      </c>
      <c r="J779" s="36">
        <v>2759.04</v>
      </c>
      <c r="K779" s="85">
        <v>0</v>
      </c>
      <c r="L779" s="36">
        <v>229.92</v>
      </c>
      <c r="M779" s="36">
        <v>0</v>
      </c>
      <c r="N779" s="36">
        <v>0.92</v>
      </c>
      <c r="O779" s="36">
        <v>229</v>
      </c>
      <c r="P779" t="s">
        <v>162</v>
      </c>
      <c r="Q779" t="s">
        <v>111</v>
      </c>
      <c r="R779" t="s">
        <v>111</v>
      </c>
      <c r="S779" s="1">
        <v>46049</v>
      </c>
      <c r="T779" s="1">
        <v>46049</v>
      </c>
      <c r="U779" s="1">
        <v>46048</v>
      </c>
      <c r="V779" s="1">
        <v>46413</v>
      </c>
      <c r="W779" t="s">
        <v>38</v>
      </c>
      <c r="X779">
        <v>12</v>
      </c>
      <c r="Y779" t="s">
        <v>49</v>
      </c>
      <c r="Z779" t="s">
        <v>81</v>
      </c>
      <c r="AA779" t="s">
        <v>112</v>
      </c>
      <c r="AB779">
        <v>12</v>
      </c>
      <c r="AC779" t="s">
        <v>113</v>
      </c>
      <c r="AD779" t="s">
        <v>140</v>
      </c>
      <c r="AE779" t="s">
        <v>46</v>
      </c>
      <c r="AF779" t="s">
        <v>119</v>
      </c>
      <c r="AG779" t="str">
        <f t="shared" si="12"/>
        <v>CC 12x</v>
      </c>
      <c r="AH779" t="str">
        <f>IF(AND(SUMIF(E:E,E779,I:I)&gt;=400000,Q779="B2G"),"n","")</f>
        <v/>
      </c>
    </row>
    <row r="780" spans="1:34">
      <c r="A780">
        <v>2026</v>
      </c>
      <c r="B780">
        <v>1</v>
      </c>
      <c r="C780" s="83">
        <v>92889564815</v>
      </c>
      <c r="D780" t="s">
        <v>821</v>
      </c>
      <c r="E780">
        <v>54652370196</v>
      </c>
      <c r="F780">
        <v>304037</v>
      </c>
      <c r="G780">
        <v>50273663667</v>
      </c>
      <c r="H780" t="s">
        <v>35</v>
      </c>
      <c r="I780" s="36">
        <v>3468</v>
      </c>
      <c r="J780" s="36">
        <v>3468</v>
      </c>
      <c r="K780" s="85">
        <v>0</v>
      </c>
      <c r="L780" s="36">
        <v>289</v>
      </c>
      <c r="M780" s="36">
        <v>0</v>
      </c>
      <c r="N780" s="36">
        <v>37.9</v>
      </c>
      <c r="O780" s="36">
        <v>251.1</v>
      </c>
      <c r="P780" t="s">
        <v>127</v>
      </c>
      <c r="Q780" t="s">
        <v>111</v>
      </c>
      <c r="R780" t="s">
        <v>111</v>
      </c>
      <c r="S780" s="1">
        <v>46052</v>
      </c>
      <c r="T780" s="1">
        <v>46052</v>
      </c>
      <c r="U780" s="1">
        <v>46048</v>
      </c>
      <c r="V780" s="1">
        <v>46413</v>
      </c>
      <c r="W780" t="s">
        <v>38</v>
      </c>
      <c r="X780">
        <v>12</v>
      </c>
      <c r="Y780" t="s">
        <v>49</v>
      </c>
      <c r="Z780" t="s">
        <v>81</v>
      </c>
      <c r="AA780" t="s">
        <v>122</v>
      </c>
      <c r="AB780">
        <v>12</v>
      </c>
      <c r="AC780" t="s">
        <v>113</v>
      </c>
      <c r="AD780" t="s">
        <v>114</v>
      </c>
      <c r="AE780" t="s">
        <v>43</v>
      </c>
      <c r="AF780" t="s">
        <v>44</v>
      </c>
      <c r="AG780" t="str">
        <f t="shared" si="12"/>
        <v>Recorrente</v>
      </c>
      <c r="AH780" t="str">
        <f>IF(AND(SUMIF(E:E,E780,I:I)&gt;=400000,Q780="B2G"),"n","")</f>
        <v/>
      </c>
    </row>
    <row r="781" spans="1:34">
      <c r="A781">
        <v>2026</v>
      </c>
      <c r="B781">
        <v>1</v>
      </c>
      <c r="C781" s="83">
        <v>200494554701</v>
      </c>
      <c r="D781" t="s">
        <v>822</v>
      </c>
      <c r="E781">
        <v>54694106550</v>
      </c>
      <c r="F781">
        <v>512977</v>
      </c>
      <c r="G781">
        <v>50273332129</v>
      </c>
      <c r="H781" t="s">
        <v>35</v>
      </c>
      <c r="I781" s="36">
        <v>563.16</v>
      </c>
      <c r="J781" s="36">
        <v>1318.56</v>
      </c>
      <c r="K781" s="85">
        <v>0</v>
      </c>
      <c r="L781" s="36">
        <v>109.88</v>
      </c>
      <c r="M781" s="36">
        <v>0</v>
      </c>
      <c r="N781" s="36">
        <v>109.88</v>
      </c>
      <c r="O781" s="36">
        <v>0</v>
      </c>
      <c r="P781" t="s">
        <v>323</v>
      </c>
      <c r="Q781" t="s">
        <v>191</v>
      </c>
      <c r="R781" t="s">
        <v>191</v>
      </c>
      <c r="S781" s="1">
        <v>46050</v>
      </c>
      <c r="T781" s="1">
        <v>46050</v>
      </c>
      <c r="V781" s="1">
        <v>46206</v>
      </c>
      <c r="W781" t="s">
        <v>38</v>
      </c>
      <c r="X781">
        <v>6</v>
      </c>
      <c r="Y781" t="s">
        <v>49</v>
      </c>
      <c r="Z781" t="s">
        <v>324</v>
      </c>
      <c r="AA781" t="s">
        <v>112</v>
      </c>
      <c r="AB781">
        <v>5</v>
      </c>
      <c r="AC781" t="s">
        <v>192</v>
      </c>
      <c r="AD781" t="s">
        <v>149</v>
      </c>
      <c r="AE781" t="s">
        <v>43</v>
      </c>
      <c r="AF781" t="s">
        <v>96</v>
      </c>
      <c r="AG781" t="str">
        <f t="shared" si="12"/>
        <v>CC 12x</v>
      </c>
      <c r="AH781" t="str">
        <f>IF(AND(SUMIF(E:E,E781,I:I)&gt;=400000,Q781="B2G"),"n","")</f>
        <v/>
      </c>
    </row>
    <row r="782" spans="1:34">
      <c r="A782">
        <v>2026</v>
      </c>
      <c r="B782">
        <v>1</v>
      </c>
      <c r="C782" s="83">
        <v>196438010216</v>
      </c>
      <c r="D782" t="s">
        <v>823</v>
      </c>
      <c r="E782">
        <v>54697364737</v>
      </c>
      <c r="F782">
        <v>624390</v>
      </c>
      <c r="G782">
        <v>50060362272</v>
      </c>
      <c r="H782" t="s">
        <v>35</v>
      </c>
      <c r="I782" s="36">
        <v>4065</v>
      </c>
      <c r="J782" s="36">
        <v>4065.01</v>
      </c>
      <c r="K782" s="85">
        <v>0</v>
      </c>
      <c r="L782" s="36">
        <v>338.75</v>
      </c>
      <c r="M782" s="36">
        <v>338.75</v>
      </c>
      <c r="N782" s="36">
        <v>0</v>
      </c>
      <c r="O782" s="36">
        <v>0</v>
      </c>
      <c r="P782" t="s">
        <v>137</v>
      </c>
      <c r="Q782" t="s">
        <v>111</v>
      </c>
      <c r="R782" t="s">
        <v>111</v>
      </c>
      <c r="S782" s="1">
        <v>46050</v>
      </c>
      <c r="T782" s="1">
        <v>46050</v>
      </c>
      <c r="V782" s="1">
        <v>46415</v>
      </c>
      <c r="W782" t="s">
        <v>38</v>
      </c>
      <c r="X782">
        <v>12</v>
      </c>
      <c r="Y782" t="s">
        <v>49</v>
      </c>
      <c r="Z782" t="s">
        <v>81</v>
      </c>
      <c r="AA782" t="s">
        <v>122</v>
      </c>
      <c r="AB782">
        <v>12</v>
      </c>
      <c r="AC782" t="s">
        <v>113</v>
      </c>
      <c r="AD782" t="s">
        <v>84</v>
      </c>
      <c r="AE782" t="s">
        <v>43</v>
      </c>
      <c r="AF782" t="s">
        <v>44</v>
      </c>
      <c r="AG782" t="str">
        <f t="shared" si="12"/>
        <v>Recorrente</v>
      </c>
      <c r="AH782" t="str">
        <f>IF(AND(SUMIF(E:E,E782,I:I)&gt;=400000,Q782="B2G"),"n","")</f>
        <v/>
      </c>
    </row>
    <row r="783" spans="1:34">
      <c r="A783">
        <v>2026</v>
      </c>
      <c r="B783">
        <v>1</v>
      </c>
      <c r="C783" s="83">
        <v>195283261604</v>
      </c>
      <c r="D783" t="s">
        <v>824</v>
      </c>
      <c r="E783">
        <v>54722408234</v>
      </c>
      <c r="F783">
        <v>635760</v>
      </c>
      <c r="G783">
        <v>49949997149</v>
      </c>
      <c r="H783" t="s">
        <v>35</v>
      </c>
      <c r="I783" s="36">
        <v>2637.6</v>
      </c>
      <c r="J783" s="36">
        <v>2637.6</v>
      </c>
      <c r="K783" s="85">
        <v>0</v>
      </c>
      <c r="L783" s="36">
        <v>219.8</v>
      </c>
      <c r="M783" s="36">
        <v>219.8</v>
      </c>
      <c r="N783" s="36">
        <v>0</v>
      </c>
      <c r="O783" s="36">
        <v>0</v>
      </c>
      <c r="P783" t="s">
        <v>511</v>
      </c>
      <c r="Q783" t="s">
        <v>300</v>
      </c>
      <c r="R783" t="s">
        <v>300</v>
      </c>
      <c r="S783" s="1">
        <v>46049</v>
      </c>
      <c r="T783" s="1">
        <v>46049</v>
      </c>
      <c r="V783" s="1">
        <v>46414</v>
      </c>
      <c r="W783" t="s">
        <v>38</v>
      </c>
      <c r="X783">
        <v>12</v>
      </c>
      <c r="Y783" t="s">
        <v>49</v>
      </c>
      <c r="AA783" t="s">
        <v>112</v>
      </c>
      <c r="AB783">
        <v>12</v>
      </c>
      <c r="AC783" t="s">
        <v>301</v>
      </c>
      <c r="AD783" t="s">
        <v>118</v>
      </c>
      <c r="AE783" t="s">
        <v>43</v>
      </c>
      <c r="AF783" t="s">
        <v>119</v>
      </c>
      <c r="AG783" t="str">
        <f t="shared" si="12"/>
        <v>CC 12x</v>
      </c>
      <c r="AH783" t="str">
        <f>IF(AND(SUMIF(E:E,E783,I:I)&gt;=400000,Q783="B2G"),"n","")</f>
        <v/>
      </c>
    </row>
    <row r="784" spans="1:34">
      <c r="A784">
        <v>2026</v>
      </c>
      <c r="B784">
        <v>1</v>
      </c>
      <c r="C784" s="83">
        <v>2135680</v>
      </c>
      <c r="D784" t="s">
        <v>825</v>
      </c>
      <c r="E784">
        <v>54736755608</v>
      </c>
      <c r="F784">
        <v>635816</v>
      </c>
      <c r="G784">
        <v>50350845461</v>
      </c>
      <c r="H784" t="s">
        <v>35</v>
      </c>
      <c r="I784" s="36">
        <v>2471.64</v>
      </c>
      <c r="J784" s="36">
        <v>2471.64</v>
      </c>
      <c r="K784" s="85">
        <v>0</v>
      </c>
      <c r="L784" s="36">
        <v>205.97</v>
      </c>
      <c r="M784" s="36">
        <v>0</v>
      </c>
      <c r="N784" s="36">
        <v>99.29</v>
      </c>
      <c r="O784" s="36">
        <v>106.67949040000001</v>
      </c>
      <c r="P784" t="s">
        <v>804</v>
      </c>
      <c r="Q784" t="s">
        <v>191</v>
      </c>
      <c r="R784" t="s">
        <v>191</v>
      </c>
      <c r="S784" s="1">
        <v>46052</v>
      </c>
      <c r="T784" s="1">
        <v>46052</v>
      </c>
      <c r="V784" s="1">
        <v>46417</v>
      </c>
      <c r="W784" t="s">
        <v>38</v>
      </c>
      <c r="Y784" t="s">
        <v>49</v>
      </c>
      <c r="AA784" t="s">
        <v>122</v>
      </c>
      <c r="AB784">
        <v>12</v>
      </c>
      <c r="AC784" t="s">
        <v>192</v>
      </c>
      <c r="AD784" t="s">
        <v>118</v>
      </c>
      <c r="AE784" t="s">
        <v>43</v>
      </c>
      <c r="AF784" t="s">
        <v>119</v>
      </c>
      <c r="AG784" t="str">
        <f t="shared" si="12"/>
        <v>Recorrente</v>
      </c>
      <c r="AH784" t="str">
        <f>IF(AND(SUMIF(E:E,E784,I:I)&gt;=400000,Q784="B2G"),"n","")</f>
        <v/>
      </c>
    </row>
    <row r="785" spans="1:34">
      <c r="A785">
        <v>2026</v>
      </c>
      <c r="B785">
        <v>1</v>
      </c>
      <c r="C785" s="83">
        <v>2135680</v>
      </c>
      <c r="D785" t="s">
        <v>825</v>
      </c>
      <c r="E785">
        <v>54736755608</v>
      </c>
      <c r="F785">
        <v>635816</v>
      </c>
      <c r="G785">
        <v>50350845462</v>
      </c>
      <c r="H785" t="s">
        <v>35</v>
      </c>
      <c r="I785" s="36">
        <v>5400.84</v>
      </c>
      <c r="J785" s="36">
        <v>5400.9</v>
      </c>
      <c r="K785" s="85">
        <v>0</v>
      </c>
      <c r="L785" s="36">
        <v>450.08</v>
      </c>
      <c r="M785" s="36">
        <v>0</v>
      </c>
      <c r="N785" s="36">
        <v>216.96</v>
      </c>
      <c r="O785" s="36">
        <v>233.1105096</v>
      </c>
      <c r="P785" t="s">
        <v>804</v>
      </c>
      <c r="Q785" t="s">
        <v>191</v>
      </c>
      <c r="R785" t="s">
        <v>191</v>
      </c>
      <c r="S785" s="1">
        <v>46052</v>
      </c>
      <c r="T785" s="1">
        <v>46052</v>
      </c>
      <c r="V785" s="1">
        <v>46417</v>
      </c>
      <c r="W785" t="s">
        <v>38</v>
      </c>
      <c r="Y785" t="s">
        <v>49</v>
      </c>
      <c r="AA785" t="s">
        <v>122</v>
      </c>
      <c r="AB785">
        <v>12</v>
      </c>
      <c r="AC785" t="s">
        <v>192</v>
      </c>
      <c r="AD785" t="s">
        <v>149</v>
      </c>
      <c r="AE785" t="s">
        <v>43</v>
      </c>
      <c r="AF785" t="s">
        <v>96</v>
      </c>
      <c r="AG785" t="str">
        <f t="shared" si="12"/>
        <v>Recorrente</v>
      </c>
      <c r="AH785" t="str">
        <f>IF(AND(SUMIF(E:E,E785,I:I)&gt;=400000,Q785="B2G"),"n","")</f>
        <v/>
      </c>
    </row>
    <row r="786" spans="1:34">
      <c r="A786">
        <v>2026</v>
      </c>
      <c r="B786">
        <v>1</v>
      </c>
      <c r="C786" s="83">
        <v>23568604753</v>
      </c>
      <c r="D786" t="s">
        <v>826</v>
      </c>
      <c r="E786">
        <v>54740119906</v>
      </c>
      <c r="F786">
        <v>624333</v>
      </c>
      <c r="G786">
        <v>50060029010</v>
      </c>
      <c r="H786" t="s">
        <v>35</v>
      </c>
      <c r="I786" s="36">
        <v>5100</v>
      </c>
      <c r="J786" s="36">
        <v>5099.97</v>
      </c>
      <c r="K786" s="85">
        <v>0.03</v>
      </c>
      <c r="L786" s="36">
        <v>425</v>
      </c>
      <c r="M786" s="36">
        <v>425</v>
      </c>
      <c r="N786" s="36">
        <v>0</v>
      </c>
      <c r="O786" s="36">
        <v>0</v>
      </c>
      <c r="P786" t="s">
        <v>110</v>
      </c>
      <c r="Q786" t="s">
        <v>111</v>
      </c>
      <c r="R786" t="s">
        <v>111</v>
      </c>
      <c r="S786" s="1">
        <v>46051</v>
      </c>
      <c r="T786" s="1">
        <v>46051</v>
      </c>
      <c r="V786" s="1">
        <v>46416</v>
      </c>
      <c r="W786" t="s">
        <v>38</v>
      </c>
      <c r="X786">
        <v>12</v>
      </c>
      <c r="Y786" t="s">
        <v>49</v>
      </c>
      <c r="Z786" t="s">
        <v>81</v>
      </c>
      <c r="AA786" t="s">
        <v>40</v>
      </c>
      <c r="AB786">
        <v>1</v>
      </c>
      <c r="AC786" t="s">
        <v>113</v>
      </c>
      <c r="AD786" t="s">
        <v>174</v>
      </c>
      <c r="AE786" t="s">
        <v>43</v>
      </c>
      <c r="AF786" t="s">
        <v>47</v>
      </c>
      <c r="AG786" t="str">
        <f t="shared" si="12"/>
        <v>À Vista</v>
      </c>
      <c r="AH786" t="str">
        <f>IF(AND(SUMIF(E:E,E786,I:I)&gt;=400000,Q786="B2G"),"n","")</f>
        <v/>
      </c>
    </row>
    <row r="787" spans="1:34">
      <c r="A787">
        <v>2026</v>
      </c>
      <c r="B787">
        <v>1</v>
      </c>
      <c r="C787" s="83">
        <v>19485563717</v>
      </c>
      <c r="D787" t="s">
        <v>827</v>
      </c>
      <c r="E787">
        <v>54744460594</v>
      </c>
      <c r="F787">
        <v>503386</v>
      </c>
      <c r="G787">
        <v>50159285573</v>
      </c>
      <c r="H787" t="s">
        <v>35</v>
      </c>
      <c r="I787" s="36">
        <v>10169.64</v>
      </c>
      <c r="J787" s="36">
        <v>10169.64</v>
      </c>
      <c r="K787" s="85">
        <v>0</v>
      </c>
      <c r="L787" s="36">
        <v>847.47</v>
      </c>
      <c r="M787" s="36">
        <v>847.47</v>
      </c>
      <c r="N787" s="36">
        <v>0</v>
      </c>
      <c r="O787" s="36">
        <v>0</v>
      </c>
      <c r="P787" t="s">
        <v>162</v>
      </c>
      <c r="Q787" t="s">
        <v>111</v>
      </c>
      <c r="R787" t="s">
        <v>111</v>
      </c>
      <c r="S787" s="1">
        <v>46050</v>
      </c>
      <c r="T787" s="1">
        <v>46050</v>
      </c>
      <c r="V787" s="1">
        <v>46418</v>
      </c>
      <c r="W787" t="s">
        <v>38</v>
      </c>
      <c r="X787">
        <v>12</v>
      </c>
      <c r="Y787" t="s">
        <v>49</v>
      </c>
      <c r="Z787" t="s">
        <v>81</v>
      </c>
      <c r="AA787" t="s">
        <v>122</v>
      </c>
      <c r="AB787">
        <v>12</v>
      </c>
      <c r="AC787" t="s">
        <v>113</v>
      </c>
      <c r="AD787" t="s">
        <v>146</v>
      </c>
      <c r="AE787" t="s">
        <v>135</v>
      </c>
      <c r="AF787" t="s">
        <v>96</v>
      </c>
      <c r="AG787" t="str">
        <f t="shared" si="12"/>
        <v>Recorrente</v>
      </c>
      <c r="AH787" t="str">
        <f>IF(AND(SUMIF(E:E,E787,I:I)&gt;=400000,Q787="B2G"),"n","")</f>
        <v/>
      </c>
    </row>
    <row r="788" spans="1:34">
      <c r="A788">
        <v>2026</v>
      </c>
      <c r="B788">
        <v>1</v>
      </c>
      <c r="C788" s="83">
        <v>200494554701</v>
      </c>
      <c r="D788" t="s">
        <v>822</v>
      </c>
      <c r="E788">
        <v>54770113075</v>
      </c>
      <c r="F788">
        <v>538020</v>
      </c>
      <c r="G788">
        <v>50274135950</v>
      </c>
      <c r="H788" t="s">
        <v>35</v>
      </c>
      <c r="I788" s="36">
        <v>512.64</v>
      </c>
      <c r="J788" s="36">
        <v>1318.68</v>
      </c>
      <c r="K788" s="85">
        <v>0</v>
      </c>
      <c r="L788" s="36">
        <v>109.89</v>
      </c>
      <c r="M788" s="36">
        <v>0</v>
      </c>
      <c r="N788" s="36">
        <v>109.89</v>
      </c>
      <c r="O788" s="36">
        <v>0</v>
      </c>
      <c r="P788" t="s">
        <v>323</v>
      </c>
      <c r="Q788" t="s">
        <v>191</v>
      </c>
      <c r="R788" t="s">
        <v>191</v>
      </c>
      <c r="S788" s="1">
        <v>46050</v>
      </c>
      <c r="T788" s="1">
        <v>46050</v>
      </c>
      <c r="V788" s="1">
        <v>46192</v>
      </c>
      <c r="W788" t="s">
        <v>38</v>
      </c>
      <c r="X788">
        <v>5</v>
      </c>
      <c r="Y788" t="s">
        <v>49</v>
      </c>
      <c r="Z788" t="s">
        <v>324</v>
      </c>
      <c r="AA788" t="s">
        <v>112</v>
      </c>
      <c r="AB788">
        <v>5</v>
      </c>
      <c r="AC788" t="s">
        <v>192</v>
      </c>
      <c r="AD788" t="s">
        <v>149</v>
      </c>
      <c r="AE788" t="s">
        <v>43</v>
      </c>
      <c r="AF788" t="s">
        <v>96</v>
      </c>
      <c r="AG788" t="str">
        <f t="shared" si="12"/>
        <v>CC 12x</v>
      </c>
      <c r="AH788" t="str">
        <f>IF(AND(SUMIF(E:E,E788,I:I)&gt;=400000,Q788="B2G"),"n","")</f>
        <v/>
      </c>
    </row>
    <row r="789" spans="1:34">
      <c r="A789">
        <v>2026</v>
      </c>
      <c r="B789">
        <v>1</v>
      </c>
      <c r="C789" s="83">
        <v>196199501904</v>
      </c>
      <c r="D789" t="s">
        <v>828</v>
      </c>
      <c r="E789">
        <v>54778223895</v>
      </c>
      <c r="F789">
        <v>635764</v>
      </c>
      <c r="G789">
        <v>50159139875</v>
      </c>
      <c r="H789" t="s">
        <v>35</v>
      </c>
      <c r="I789" s="36">
        <v>2874</v>
      </c>
      <c r="J789" s="36">
        <v>2874</v>
      </c>
      <c r="K789" s="85">
        <v>0</v>
      </c>
      <c r="L789" s="36">
        <v>239.5</v>
      </c>
      <c r="M789" s="36">
        <v>239.5</v>
      </c>
      <c r="N789" s="36">
        <v>0</v>
      </c>
      <c r="O789" s="36">
        <v>0</v>
      </c>
      <c r="P789" t="s">
        <v>829</v>
      </c>
      <c r="Q789" t="s">
        <v>300</v>
      </c>
      <c r="R789" t="s">
        <v>300</v>
      </c>
      <c r="S789" s="1">
        <v>46049</v>
      </c>
      <c r="T789" s="1">
        <v>46049</v>
      </c>
      <c r="V789" s="1">
        <v>46414</v>
      </c>
      <c r="W789" t="s">
        <v>38</v>
      </c>
      <c r="X789">
        <v>12</v>
      </c>
      <c r="Y789" t="s">
        <v>49</v>
      </c>
      <c r="AA789" t="s">
        <v>122</v>
      </c>
      <c r="AB789">
        <v>12</v>
      </c>
      <c r="AC789" t="s">
        <v>301</v>
      </c>
      <c r="AD789" t="s">
        <v>140</v>
      </c>
      <c r="AE789" t="s">
        <v>46</v>
      </c>
      <c r="AF789" t="s">
        <v>119</v>
      </c>
      <c r="AG789" t="str">
        <f t="shared" si="12"/>
        <v>Recorrente</v>
      </c>
      <c r="AH789" t="str">
        <f>IF(AND(SUMIF(E:E,E789,I:I)&gt;=400000,Q789="B2G"),"n","")</f>
        <v/>
      </c>
    </row>
    <row r="790" spans="1:34">
      <c r="A790">
        <v>2026</v>
      </c>
      <c r="B790">
        <v>1</v>
      </c>
      <c r="C790" s="83">
        <v>2095084</v>
      </c>
      <c r="D790" t="s">
        <v>830</v>
      </c>
      <c r="E790">
        <v>54782114584</v>
      </c>
      <c r="F790">
        <v>635794</v>
      </c>
      <c r="G790">
        <v>50276710731</v>
      </c>
      <c r="H790" t="s">
        <v>35</v>
      </c>
      <c r="I790" s="36">
        <v>2874</v>
      </c>
      <c r="J790" s="36">
        <v>2874</v>
      </c>
      <c r="K790" s="85">
        <v>0</v>
      </c>
      <c r="L790" s="36">
        <v>239.5</v>
      </c>
      <c r="M790" s="36">
        <v>239.5</v>
      </c>
      <c r="N790" s="36">
        <v>0</v>
      </c>
      <c r="O790" s="36">
        <v>0</v>
      </c>
      <c r="P790" t="s">
        <v>506</v>
      </c>
      <c r="Q790" t="s">
        <v>300</v>
      </c>
      <c r="R790" t="s">
        <v>300</v>
      </c>
      <c r="S790" s="1">
        <v>46051</v>
      </c>
      <c r="T790" s="1">
        <v>46051</v>
      </c>
      <c r="V790" s="1">
        <v>46416</v>
      </c>
      <c r="W790" t="s">
        <v>38</v>
      </c>
      <c r="X790">
        <v>12</v>
      </c>
      <c r="Y790" t="s">
        <v>49</v>
      </c>
      <c r="AA790" t="s">
        <v>122</v>
      </c>
      <c r="AB790">
        <v>12</v>
      </c>
      <c r="AC790" t="s">
        <v>301</v>
      </c>
      <c r="AD790" t="s">
        <v>140</v>
      </c>
      <c r="AE790" t="s">
        <v>46</v>
      </c>
      <c r="AF790" t="s">
        <v>119</v>
      </c>
      <c r="AG790" t="str">
        <f t="shared" si="12"/>
        <v>Recorrente</v>
      </c>
      <c r="AH790" t="str">
        <f>IF(AND(SUMIF(E:E,E790,I:I)&gt;=400000,Q790="B2G"),"n","")</f>
        <v/>
      </c>
    </row>
    <row r="791" spans="1:34">
      <c r="A791">
        <v>2026</v>
      </c>
      <c r="B791">
        <v>1</v>
      </c>
      <c r="C791" s="83">
        <v>196894862682</v>
      </c>
      <c r="D791" t="s">
        <v>831</v>
      </c>
      <c r="E791">
        <v>54785048668</v>
      </c>
      <c r="F791">
        <v>635793</v>
      </c>
      <c r="G791">
        <v>50276768635</v>
      </c>
      <c r="H791" t="s">
        <v>35</v>
      </c>
      <c r="I791" s="36">
        <v>2874</v>
      </c>
      <c r="J791" s="36">
        <v>2874</v>
      </c>
      <c r="K791" s="85">
        <v>0</v>
      </c>
      <c r="L791" s="36">
        <v>239.5</v>
      </c>
      <c r="M791" s="36">
        <v>239.5</v>
      </c>
      <c r="N791" s="36">
        <v>0</v>
      </c>
      <c r="O791" s="36">
        <v>0</v>
      </c>
      <c r="P791" t="s">
        <v>506</v>
      </c>
      <c r="Q791" t="s">
        <v>300</v>
      </c>
      <c r="R791" t="s">
        <v>300</v>
      </c>
      <c r="S791" s="1">
        <v>46051</v>
      </c>
      <c r="T791" s="1">
        <v>46051</v>
      </c>
      <c r="V791" s="1">
        <v>46416</v>
      </c>
      <c r="W791" t="s">
        <v>38</v>
      </c>
      <c r="X791">
        <v>12</v>
      </c>
      <c r="Y791" t="s">
        <v>49</v>
      </c>
      <c r="AA791" t="s">
        <v>122</v>
      </c>
      <c r="AB791">
        <v>12</v>
      </c>
      <c r="AC791" t="s">
        <v>301</v>
      </c>
      <c r="AD791" t="s">
        <v>118</v>
      </c>
      <c r="AE791" t="s">
        <v>43</v>
      </c>
      <c r="AF791" t="s">
        <v>119</v>
      </c>
      <c r="AG791" t="str">
        <f t="shared" si="12"/>
        <v>Recorrente</v>
      </c>
      <c r="AH791" t="str">
        <f>IF(AND(SUMIF(E:E,E791,I:I)&gt;=400000,Q791="B2G"),"n","")</f>
        <v/>
      </c>
    </row>
    <row r="792" spans="1:34">
      <c r="A792">
        <v>2026</v>
      </c>
      <c r="B792">
        <v>1</v>
      </c>
      <c r="C792" s="83">
        <v>20945186682</v>
      </c>
      <c r="D792" t="s">
        <v>832</v>
      </c>
      <c r="E792">
        <v>54785597991</v>
      </c>
      <c r="F792">
        <v>630117</v>
      </c>
      <c r="G792">
        <v>50352490611</v>
      </c>
      <c r="H792" t="s">
        <v>35</v>
      </c>
      <c r="I792" s="36">
        <v>1893.12</v>
      </c>
      <c r="J792" s="36">
        <v>5402.46</v>
      </c>
      <c r="K792" s="85">
        <v>0</v>
      </c>
      <c r="L792" s="36">
        <v>450.21</v>
      </c>
      <c r="M792" s="36">
        <v>0</v>
      </c>
      <c r="N792" s="36">
        <v>450.21</v>
      </c>
      <c r="O792" s="36">
        <v>0</v>
      </c>
      <c r="P792" t="s">
        <v>190</v>
      </c>
      <c r="Q792" t="s">
        <v>191</v>
      </c>
      <c r="R792" t="s">
        <v>191</v>
      </c>
      <c r="S792" s="1">
        <v>46051</v>
      </c>
      <c r="T792" s="1">
        <v>46051</v>
      </c>
      <c r="V792" s="1">
        <v>46179</v>
      </c>
      <c r="W792" t="s">
        <v>38</v>
      </c>
      <c r="X792">
        <v>5</v>
      </c>
      <c r="Y792" t="s">
        <v>49</v>
      </c>
      <c r="Z792" t="s">
        <v>324</v>
      </c>
      <c r="AA792" t="s">
        <v>92</v>
      </c>
      <c r="AB792">
        <v>4</v>
      </c>
      <c r="AC792" t="s">
        <v>192</v>
      </c>
      <c r="AD792" t="s">
        <v>833</v>
      </c>
      <c r="AE792" t="s">
        <v>58</v>
      </c>
      <c r="AF792" t="s">
        <v>59</v>
      </c>
      <c r="AG792" t="str">
        <f t="shared" si="12"/>
        <v>Recorrente</v>
      </c>
      <c r="AH792" t="str">
        <f>IF(AND(SUMIF(E:E,E792,I:I)&gt;=400000,Q792="B2G"),"n","")</f>
        <v/>
      </c>
    </row>
    <row r="793" spans="1:34">
      <c r="A793">
        <v>2026</v>
      </c>
      <c r="B793">
        <v>1</v>
      </c>
      <c r="C793" s="83">
        <v>20945186682</v>
      </c>
      <c r="D793" t="s">
        <v>832</v>
      </c>
      <c r="E793">
        <v>54785597991</v>
      </c>
      <c r="F793">
        <v>630117</v>
      </c>
      <c r="G793">
        <v>50352490612</v>
      </c>
      <c r="H793" t="s">
        <v>35</v>
      </c>
      <c r="I793" s="36">
        <v>1893.12</v>
      </c>
      <c r="J793" s="36">
        <v>5402.46</v>
      </c>
      <c r="K793" s="85">
        <v>0</v>
      </c>
      <c r="L793" s="36">
        <v>450.21</v>
      </c>
      <c r="M793" s="36">
        <v>0</v>
      </c>
      <c r="N793" s="36">
        <v>450.21</v>
      </c>
      <c r="O793" s="36">
        <v>0</v>
      </c>
      <c r="P793" t="s">
        <v>190</v>
      </c>
      <c r="Q793" t="s">
        <v>191</v>
      </c>
      <c r="R793" t="s">
        <v>191</v>
      </c>
      <c r="S793" s="1">
        <v>46051</v>
      </c>
      <c r="T793" s="1">
        <v>46051</v>
      </c>
      <c r="V793" s="1">
        <v>46179</v>
      </c>
      <c r="W793" t="s">
        <v>38</v>
      </c>
      <c r="X793">
        <v>5</v>
      </c>
      <c r="Y793" t="s">
        <v>49</v>
      </c>
      <c r="Z793" t="s">
        <v>324</v>
      </c>
      <c r="AA793" t="s">
        <v>92</v>
      </c>
      <c r="AB793">
        <v>4</v>
      </c>
      <c r="AC793" t="s">
        <v>192</v>
      </c>
      <c r="AD793" t="s">
        <v>833</v>
      </c>
      <c r="AE793" t="s">
        <v>58</v>
      </c>
      <c r="AF793" t="s">
        <v>59</v>
      </c>
      <c r="AG793" t="str">
        <f t="shared" si="12"/>
        <v>Recorrente</v>
      </c>
      <c r="AH793" t="str">
        <f>IF(AND(SUMIF(E:E,E793,I:I)&gt;=400000,Q793="B2G"),"n","")</f>
        <v/>
      </c>
    </row>
    <row r="794" spans="1:34">
      <c r="A794">
        <v>2026</v>
      </c>
      <c r="B794">
        <v>1</v>
      </c>
      <c r="C794" s="83">
        <v>75903865607</v>
      </c>
      <c r="D794" t="s">
        <v>834</v>
      </c>
      <c r="E794">
        <v>54789981305</v>
      </c>
      <c r="F794">
        <v>626063</v>
      </c>
      <c r="G794">
        <v>50159351457</v>
      </c>
      <c r="H794" t="s">
        <v>35</v>
      </c>
      <c r="I794" s="36">
        <v>5178.6000000000004</v>
      </c>
      <c r="J794" s="36">
        <v>5178.6000000000004</v>
      </c>
      <c r="K794" s="85">
        <v>0</v>
      </c>
      <c r="L794" s="36">
        <v>431.55</v>
      </c>
      <c r="M794" s="36">
        <v>0</v>
      </c>
      <c r="N794" s="36">
        <v>31.55</v>
      </c>
      <c r="O794" s="36">
        <v>400</v>
      </c>
      <c r="P794" t="s">
        <v>162</v>
      </c>
      <c r="Q794" t="s">
        <v>111</v>
      </c>
      <c r="R794" t="s">
        <v>111</v>
      </c>
      <c r="S794" s="1">
        <v>46051</v>
      </c>
      <c r="T794" s="1">
        <v>46051</v>
      </c>
      <c r="U794" s="1">
        <v>46053</v>
      </c>
      <c r="V794" s="1">
        <v>46418</v>
      </c>
      <c r="W794" t="s">
        <v>38</v>
      </c>
      <c r="X794">
        <v>12</v>
      </c>
      <c r="Y794" t="s">
        <v>49</v>
      </c>
      <c r="Z794" t="s">
        <v>81</v>
      </c>
      <c r="AA794" t="s">
        <v>112</v>
      </c>
      <c r="AB794">
        <v>1</v>
      </c>
      <c r="AC794" t="s">
        <v>113</v>
      </c>
      <c r="AD794" t="s">
        <v>85</v>
      </c>
      <c r="AE794" t="s">
        <v>46</v>
      </c>
      <c r="AF794" t="s">
        <v>44</v>
      </c>
      <c r="AG794" t="str">
        <f t="shared" si="12"/>
        <v>À Vista</v>
      </c>
      <c r="AH794" t="str">
        <f>IF(AND(SUMIF(E:E,E794,I:I)&gt;=400000,Q794="B2G"),"n","")</f>
        <v/>
      </c>
    </row>
    <row r="795" spans="1:34">
      <c r="A795">
        <v>2026</v>
      </c>
      <c r="B795">
        <v>1</v>
      </c>
      <c r="C795" s="83">
        <v>19435413327</v>
      </c>
      <c r="D795" t="s">
        <v>835</v>
      </c>
      <c r="E795">
        <v>54790931853</v>
      </c>
      <c r="F795">
        <v>635773</v>
      </c>
      <c r="G795">
        <v>50110485561</v>
      </c>
      <c r="H795" t="s">
        <v>104</v>
      </c>
      <c r="I795" s="36">
        <v>718.8</v>
      </c>
      <c r="J795" s="36">
        <v>718.8</v>
      </c>
      <c r="K795" s="85">
        <v>0</v>
      </c>
      <c r="L795" s="36">
        <v>59.9</v>
      </c>
      <c r="M795" s="36">
        <v>59.9</v>
      </c>
      <c r="N795" s="36">
        <v>0</v>
      </c>
      <c r="O795" s="36">
        <v>0</v>
      </c>
      <c r="P795" t="s">
        <v>497</v>
      </c>
      <c r="Q795" t="s">
        <v>498</v>
      </c>
      <c r="R795" t="s">
        <v>498</v>
      </c>
      <c r="S795" s="1">
        <v>46050</v>
      </c>
      <c r="T795" s="1">
        <v>46050</v>
      </c>
      <c r="V795" s="1">
        <v>46415</v>
      </c>
      <c r="W795" t="s">
        <v>38</v>
      </c>
      <c r="X795">
        <v>12</v>
      </c>
      <c r="Y795" t="s">
        <v>49</v>
      </c>
      <c r="AA795" t="s">
        <v>117</v>
      </c>
      <c r="AB795">
        <v>1</v>
      </c>
      <c r="AC795" t="s">
        <v>499</v>
      </c>
      <c r="AD795" t="s">
        <v>105</v>
      </c>
      <c r="AE795" t="s">
        <v>106</v>
      </c>
      <c r="AF795" t="s">
        <v>59</v>
      </c>
      <c r="AG795" t="str">
        <f t="shared" si="12"/>
        <v>À Vista</v>
      </c>
      <c r="AH795" t="str">
        <f>IF(AND(SUMIF(E:E,E795,I:I)&gt;=400000,Q795="B2G"),"n","")</f>
        <v/>
      </c>
    </row>
    <row r="796" spans="1:34">
      <c r="A796">
        <v>2026</v>
      </c>
      <c r="B796">
        <v>1</v>
      </c>
      <c r="C796" s="83">
        <v>91564309829</v>
      </c>
      <c r="D796" t="s">
        <v>836</v>
      </c>
      <c r="E796">
        <v>54790943539</v>
      </c>
      <c r="F796">
        <v>626074</v>
      </c>
      <c r="G796">
        <v>50425584760</v>
      </c>
      <c r="H796" t="s">
        <v>35</v>
      </c>
      <c r="I796" s="36">
        <v>2379.7199999999998</v>
      </c>
      <c r="J796" s="36">
        <v>2379.7199999999998</v>
      </c>
      <c r="K796" s="85">
        <v>0</v>
      </c>
      <c r="L796" s="36">
        <v>198.31</v>
      </c>
      <c r="M796" s="36">
        <v>0</v>
      </c>
      <c r="N796" s="36">
        <v>3.31</v>
      </c>
      <c r="O796" s="36">
        <v>195</v>
      </c>
      <c r="P796" t="s">
        <v>137</v>
      </c>
      <c r="Q796" t="s">
        <v>111</v>
      </c>
      <c r="R796" t="s">
        <v>111</v>
      </c>
      <c r="S796" s="1">
        <v>46052</v>
      </c>
      <c r="T796" s="1">
        <v>46052</v>
      </c>
      <c r="U796" s="1">
        <v>46053</v>
      </c>
      <c r="V796" s="1">
        <v>46418</v>
      </c>
      <c r="W796" t="s">
        <v>38</v>
      </c>
      <c r="X796">
        <v>12</v>
      </c>
      <c r="Y796" t="s">
        <v>49</v>
      </c>
      <c r="Z796" t="s">
        <v>81</v>
      </c>
      <c r="AA796" t="s">
        <v>122</v>
      </c>
      <c r="AB796">
        <v>12</v>
      </c>
      <c r="AC796" t="s">
        <v>113</v>
      </c>
      <c r="AD796" t="s">
        <v>118</v>
      </c>
      <c r="AE796" t="s">
        <v>43</v>
      </c>
      <c r="AF796" t="s">
        <v>119</v>
      </c>
      <c r="AG796" t="str">
        <f t="shared" si="12"/>
        <v>Recorrente</v>
      </c>
      <c r="AH796" t="str">
        <f>IF(AND(SUMIF(E:E,E796,I:I)&gt;=400000,Q796="B2G"),"n","")</f>
        <v/>
      </c>
    </row>
    <row r="797" spans="1:34">
      <c r="A797">
        <v>2026</v>
      </c>
      <c r="B797">
        <v>1</v>
      </c>
      <c r="C797" s="83">
        <v>114438384493</v>
      </c>
      <c r="D797" t="s">
        <v>837</v>
      </c>
      <c r="E797">
        <v>54791069255</v>
      </c>
      <c r="F797">
        <v>628792</v>
      </c>
      <c r="G797">
        <v>50267656353</v>
      </c>
      <c r="H797" t="s">
        <v>35</v>
      </c>
      <c r="I797" s="36">
        <v>697.44</v>
      </c>
      <c r="J797" s="36">
        <v>3266.04</v>
      </c>
      <c r="K797" s="85">
        <v>0</v>
      </c>
      <c r="L797" s="36">
        <v>272.17</v>
      </c>
      <c r="M797" s="36">
        <v>0</v>
      </c>
      <c r="N797" s="36">
        <v>272.17</v>
      </c>
      <c r="O797" s="36">
        <v>0</v>
      </c>
      <c r="P797" t="s">
        <v>804</v>
      </c>
      <c r="Q797" t="s">
        <v>191</v>
      </c>
      <c r="R797" t="s">
        <v>191</v>
      </c>
      <c r="S797" s="1">
        <v>46050</v>
      </c>
      <c r="T797" s="1">
        <v>46050</v>
      </c>
      <c r="V797" s="1">
        <v>46128</v>
      </c>
      <c r="W797" t="s">
        <v>38</v>
      </c>
      <c r="X797">
        <v>3</v>
      </c>
      <c r="Y797" t="s">
        <v>49</v>
      </c>
      <c r="Z797" t="s">
        <v>324</v>
      </c>
      <c r="AA797" t="s">
        <v>122</v>
      </c>
      <c r="AB797">
        <v>2</v>
      </c>
      <c r="AC797" t="s">
        <v>192</v>
      </c>
      <c r="AD797" t="s">
        <v>134</v>
      </c>
      <c r="AE797" t="s">
        <v>135</v>
      </c>
      <c r="AF797" t="s">
        <v>44</v>
      </c>
      <c r="AG797" t="str">
        <f t="shared" si="12"/>
        <v>Recorrente</v>
      </c>
      <c r="AH797" t="str">
        <f>IF(AND(SUMIF(E:E,E797,I:I)&gt;=400000,Q797="B2G"),"n","")</f>
        <v/>
      </c>
    </row>
    <row r="798" spans="1:34">
      <c r="A798">
        <v>2026</v>
      </c>
      <c r="B798">
        <v>1</v>
      </c>
      <c r="C798" s="83">
        <v>19435650120</v>
      </c>
      <c r="D798" t="s">
        <v>838</v>
      </c>
      <c r="E798">
        <v>54795883662</v>
      </c>
      <c r="F798">
        <v>635839</v>
      </c>
      <c r="G798">
        <v>50352667793</v>
      </c>
      <c r="H798" t="s">
        <v>35</v>
      </c>
      <c r="I798" s="36">
        <v>7699.92</v>
      </c>
      <c r="J798" s="36">
        <v>3850</v>
      </c>
      <c r="K798" s="85">
        <v>3849.92</v>
      </c>
      <c r="L798" s="36">
        <v>320.83</v>
      </c>
      <c r="M798" s="36">
        <v>320.83</v>
      </c>
      <c r="N798" s="36">
        <v>0</v>
      </c>
      <c r="O798" s="36">
        <v>0</v>
      </c>
      <c r="P798" t="s">
        <v>313</v>
      </c>
      <c r="Q798" t="s">
        <v>314</v>
      </c>
      <c r="R798" t="s">
        <v>314</v>
      </c>
      <c r="S798" s="1">
        <v>46052</v>
      </c>
      <c r="T798" s="1">
        <v>46052</v>
      </c>
      <c r="V798" s="1">
        <v>46782</v>
      </c>
      <c r="W798" t="s">
        <v>56</v>
      </c>
      <c r="X798">
        <v>24</v>
      </c>
      <c r="Y798" t="s">
        <v>49</v>
      </c>
      <c r="AA798" t="s">
        <v>117</v>
      </c>
      <c r="AB798">
        <v>1</v>
      </c>
      <c r="AC798" t="s">
        <v>315</v>
      </c>
      <c r="AD798" t="s">
        <v>84</v>
      </c>
      <c r="AE798" t="s">
        <v>43</v>
      </c>
      <c r="AF798" t="s">
        <v>44</v>
      </c>
      <c r="AG798" t="str">
        <f t="shared" si="12"/>
        <v>À Vista</v>
      </c>
      <c r="AH798" t="str">
        <f>IF(AND(SUMIF(E:E,E798,I:I)&gt;=400000,Q798="B2G"),"n","")</f>
        <v/>
      </c>
    </row>
    <row r="799" spans="1:34">
      <c r="A799">
        <v>2026</v>
      </c>
      <c r="B799">
        <v>1</v>
      </c>
      <c r="C799" s="83">
        <v>21728613559</v>
      </c>
      <c r="D799" t="s">
        <v>839</v>
      </c>
      <c r="E799">
        <v>54797736485</v>
      </c>
      <c r="F799">
        <v>635783</v>
      </c>
      <c r="G799">
        <v>50274317986</v>
      </c>
      <c r="H799" t="s">
        <v>35</v>
      </c>
      <c r="I799" s="36">
        <v>10119.120000000001</v>
      </c>
      <c r="J799" s="36">
        <v>10119.129999999999</v>
      </c>
      <c r="K799" s="85">
        <v>0</v>
      </c>
      <c r="L799" s="36">
        <v>843.26</v>
      </c>
      <c r="M799" s="36">
        <v>0</v>
      </c>
      <c r="N799" s="36">
        <v>183.28</v>
      </c>
      <c r="O799" s="36">
        <v>659.98310560000004</v>
      </c>
      <c r="P799" t="s">
        <v>520</v>
      </c>
      <c r="Q799" t="s">
        <v>191</v>
      </c>
      <c r="R799" t="s">
        <v>191</v>
      </c>
      <c r="S799" s="1">
        <v>46050</v>
      </c>
      <c r="T799" s="1">
        <v>46050</v>
      </c>
      <c r="V799" s="1">
        <v>46415</v>
      </c>
      <c r="W799" t="s">
        <v>38</v>
      </c>
      <c r="Y799" t="s">
        <v>49</v>
      </c>
      <c r="AA799" t="s">
        <v>117</v>
      </c>
      <c r="AB799">
        <v>1</v>
      </c>
      <c r="AC799" t="s">
        <v>192</v>
      </c>
      <c r="AD799" t="s">
        <v>351</v>
      </c>
      <c r="AE799" t="s">
        <v>95</v>
      </c>
      <c r="AF799" t="s">
        <v>96</v>
      </c>
      <c r="AG799" t="str">
        <f t="shared" si="12"/>
        <v>À Vista</v>
      </c>
      <c r="AH799" t="str">
        <f>IF(AND(SUMIF(E:E,E799,I:I)&gt;=400000,Q799="B2G"),"n","")</f>
        <v/>
      </c>
    </row>
    <row r="800" spans="1:34">
      <c r="A800">
        <v>2026</v>
      </c>
      <c r="B800">
        <v>1</v>
      </c>
      <c r="C800" s="83">
        <v>21728613559</v>
      </c>
      <c r="D800" t="s">
        <v>839</v>
      </c>
      <c r="E800">
        <v>54797736485</v>
      </c>
      <c r="F800">
        <v>635783</v>
      </c>
      <c r="G800">
        <v>50274317987</v>
      </c>
      <c r="H800" t="s">
        <v>35</v>
      </c>
      <c r="I800" s="36">
        <v>859.08</v>
      </c>
      <c r="J800" s="36">
        <v>859.03</v>
      </c>
      <c r="K800" s="85">
        <v>0.05</v>
      </c>
      <c r="L800" s="36">
        <v>71.59</v>
      </c>
      <c r="M800" s="36">
        <v>0</v>
      </c>
      <c r="N800" s="36">
        <v>15.56</v>
      </c>
      <c r="O800" s="36">
        <v>56.026894419999998</v>
      </c>
      <c r="P800" t="s">
        <v>520</v>
      </c>
      <c r="Q800" t="s">
        <v>191</v>
      </c>
      <c r="R800" t="s">
        <v>191</v>
      </c>
      <c r="S800" s="1">
        <v>46050</v>
      </c>
      <c r="T800" s="1">
        <v>46050</v>
      </c>
      <c r="V800" s="1">
        <v>46415</v>
      </c>
      <c r="W800" t="s">
        <v>38</v>
      </c>
      <c r="Y800" t="s">
        <v>49</v>
      </c>
      <c r="AA800" t="s">
        <v>117</v>
      </c>
      <c r="AB800">
        <v>1</v>
      </c>
      <c r="AC800" t="s">
        <v>192</v>
      </c>
      <c r="AD800" t="s">
        <v>368</v>
      </c>
      <c r="AE800" t="s">
        <v>95</v>
      </c>
      <c r="AF800" t="s">
        <v>59</v>
      </c>
      <c r="AG800" t="str">
        <f t="shared" si="12"/>
        <v>À Vista</v>
      </c>
      <c r="AH800" t="str">
        <f>IF(AND(SUMIF(E:E,E800,I:I)&gt;=400000,Q800="B2G"),"n","")</f>
        <v/>
      </c>
    </row>
    <row r="801" spans="1:34">
      <c r="A801">
        <v>2026</v>
      </c>
      <c r="B801">
        <v>1</v>
      </c>
      <c r="C801" s="83">
        <v>196413115286</v>
      </c>
      <c r="D801" t="s">
        <v>840</v>
      </c>
      <c r="E801">
        <v>54830458372</v>
      </c>
      <c r="F801">
        <v>635787</v>
      </c>
      <c r="G801">
        <v>50273695085</v>
      </c>
      <c r="H801" t="s">
        <v>35</v>
      </c>
      <c r="I801" s="36">
        <v>2483.16</v>
      </c>
      <c r="J801" s="36">
        <v>2483.14</v>
      </c>
      <c r="K801" s="85">
        <v>0.02</v>
      </c>
      <c r="L801" s="36">
        <v>206.93</v>
      </c>
      <c r="M801" s="36">
        <v>206.93</v>
      </c>
      <c r="N801" s="36">
        <v>0</v>
      </c>
      <c r="O801" s="36">
        <v>0</v>
      </c>
      <c r="P801" t="s">
        <v>501</v>
      </c>
      <c r="Q801" t="s">
        <v>314</v>
      </c>
      <c r="R801" t="s">
        <v>314</v>
      </c>
      <c r="S801" s="1">
        <v>46051</v>
      </c>
      <c r="T801" s="1">
        <v>46051</v>
      </c>
      <c r="V801" s="1">
        <v>46416</v>
      </c>
      <c r="W801" t="s">
        <v>38</v>
      </c>
      <c r="X801">
        <v>12</v>
      </c>
      <c r="Y801" t="s">
        <v>49</v>
      </c>
      <c r="AA801" t="s">
        <v>112</v>
      </c>
      <c r="AB801">
        <v>12</v>
      </c>
      <c r="AC801" t="s">
        <v>315</v>
      </c>
      <c r="AD801" t="s">
        <v>140</v>
      </c>
      <c r="AE801" t="s">
        <v>46</v>
      </c>
      <c r="AF801" t="s">
        <v>119</v>
      </c>
      <c r="AG801" t="str">
        <f t="shared" si="12"/>
        <v>CC 12x</v>
      </c>
      <c r="AH801" t="str">
        <f>IF(AND(SUMIF(E:E,E801,I:I)&gt;=400000,Q801="B2G"),"n","")</f>
        <v/>
      </c>
    </row>
    <row r="802" spans="1:34">
      <c r="A802">
        <v>2026</v>
      </c>
      <c r="B802">
        <v>1</v>
      </c>
      <c r="C802" s="83">
        <v>1618700</v>
      </c>
      <c r="D802" t="s">
        <v>841</v>
      </c>
      <c r="E802">
        <v>54832174224</v>
      </c>
      <c r="F802">
        <v>635856</v>
      </c>
      <c r="G802">
        <v>50276835738</v>
      </c>
      <c r="H802" t="s">
        <v>35</v>
      </c>
      <c r="I802" s="36">
        <v>2874</v>
      </c>
      <c r="J802" s="36">
        <v>2874</v>
      </c>
      <c r="K802" s="85">
        <v>0</v>
      </c>
      <c r="L802" s="36">
        <v>239.5</v>
      </c>
      <c r="M802" s="36">
        <v>239.5</v>
      </c>
      <c r="N802" s="36">
        <v>0</v>
      </c>
      <c r="O802" s="36">
        <v>0</v>
      </c>
      <c r="P802" t="s">
        <v>829</v>
      </c>
      <c r="Q802" t="s">
        <v>300</v>
      </c>
      <c r="R802" t="s">
        <v>300</v>
      </c>
      <c r="S802" s="1">
        <v>46053</v>
      </c>
      <c r="T802" s="1">
        <v>46053</v>
      </c>
      <c r="V802" s="1">
        <v>46418</v>
      </c>
      <c r="W802" t="s">
        <v>38</v>
      </c>
      <c r="X802">
        <v>12</v>
      </c>
      <c r="Y802" t="s">
        <v>49</v>
      </c>
      <c r="AA802" t="s">
        <v>122</v>
      </c>
      <c r="AB802">
        <v>12</v>
      </c>
      <c r="AC802" t="s">
        <v>301</v>
      </c>
      <c r="AD802" t="s">
        <v>140</v>
      </c>
      <c r="AE802" t="s">
        <v>46</v>
      </c>
      <c r="AF802" t="s">
        <v>119</v>
      </c>
      <c r="AG802" t="str">
        <f t="shared" si="12"/>
        <v>Recorrente</v>
      </c>
      <c r="AH802" t="str">
        <f>IF(AND(SUMIF(E:E,E802,I:I)&gt;=400000,Q802="B2G"),"n","")</f>
        <v/>
      </c>
    </row>
    <row r="803" spans="1:34">
      <c r="A803">
        <v>2026</v>
      </c>
      <c r="B803">
        <v>1</v>
      </c>
      <c r="C803" s="83">
        <v>20945246488</v>
      </c>
      <c r="D803" t="s">
        <v>842</v>
      </c>
      <c r="E803">
        <v>54836913179</v>
      </c>
      <c r="F803">
        <v>635796</v>
      </c>
      <c r="G803">
        <v>50274431011</v>
      </c>
      <c r="H803" t="s">
        <v>35</v>
      </c>
      <c r="I803" s="36">
        <v>2586.6</v>
      </c>
      <c r="J803" s="36">
        <v>2586.6</v>
      </c>
      <c r="K803" s="85">
        <v>0</v>
      </c>
      <c r="L803" s="36">
        <v>215.55</v>
      </c>
      <c r="M803" s="36">
        <v>215.55</v>
      </c>
      <c r="N803" s="36">
        <v>0</v>
      </c>
      <c r="O803" s="36">
        <v>0</v>
      </c>
      <c r="P803" t="s">
        <v>129</v>
      </c>
      <c r="Q803" t="s">
        <v>91</v>
      </c>
      <c r="R803" t="s">
        <v>91</v>
      </c>
      <c r="S803" s="1">
        <v>46051</v>
      </c>
      <c r="T803" s="1">
        <v>46051</v>
      </c>
      <c r="V803" s="1">
        <v>46416</v>
      </c>
      <c r="W803" t="s">
        <v>38</v>
      </c>
      <c r="X803">
        <v>12</v>
      </c>
      <c r="Y803" t="s">
        <v>49</v>
      </c>
      <c r="AA803" t="s">
        <v>112</v>
      </c>
      <c r="AB803">
        <v>1</v>
      </c>
      <c r="AC803" t="s">
        <v>93</v>
      </c>
      <c r="AD803" t="s">
        <v>118</v>
      </c>
      <c r="AE803" t="s">
        <v>43</v>
      </c>
      <c r="AF803" t="s">
        <v>119</v>
      </c>
      <c r="AG803" t="str">
        <f t="shared" si="12"/>
        <v>À Vista</v>
      </c>
      <c r="AH803" t="str">
        <f>IF(AND(SUMIF(E:E,E803,I:I)&gt;=400000,Q803="B2G"),"n","")</f>
        <v/>
      </c>
    </row>
    <row r="804" spans="1:34">
      <c r="A804">
        <v>2026</v>
      </c>
      <c r="B804">
        <v>1</v>
      </c>
      <c r="C804" s="83">
        <v>144905705134</v>
      </c>
      <c r="D804" t="s">
        <v>843</v>
      </c>
      <c r="E804">
        <v>54840253196</v>
      </c>
      <c r="F804">
        <v>625908</v>
      </c>
      <c r="G804">
        <v>50274464083</v>
      </c>
      <c r="H804" t="s">
        <v>35</v>
      </c>
      <c r="I804" s="36">
        <v>2155.44</v>
      </c>
      <c r="J804" s="36">
        <v>2155.44</v>
      </c>
      <c r="K804" s="85">
        <v>0</v>
      </c>
      <c r="L804" s="36">
        <v>179.62</v>
      </c>
      <c r="M804" s="36">
        <v>0</v>
      </c>
      <c r="N804" s="36">
        <v>26.33</v>
      </c>
      <c r="O804" s="36">
        <v>153.30000000000001</v>
      </c>
      <c r="P804" t="s">
        <v>127</v>
      </c>
      <c r="Q804" t="s">
        <v>111</v>
      </c>
      <c r="R804" t="s">
        <v>111</v>
      </c>
      <c r="S804" s="1">
        <v>46051</v>
      </c>
      <c r="T804" s="1">
        <v>46051</v>
      </c>
      <c r="U804" s="1">
        <v>46049</v>
      </c>
      <c r="V804" s="1">
        <v>46414</v>
      </c>
      <c r="W804" t="s">
        <v>38</v>
      </c>
      <c r="X804">
        <v>12</v>
      </c>
      <c r="Y804" t="s">
        <v>49</v>
      </c>
      <c r="Z804" t="s">
        <v>81</v>
      </c>
      <c r="AA804" t="s">
        <v>117</v>
      </c>
      <c r="AB804">
        <v>1</v>
      </c>
      <c r="AC804" t="s">
        <v>113</v>
      </c>
      <c r="AD804" t="s">
        <v>118</v>
      </c>
      <c r="AE804" t="s">
        <v>43</v>
      </c>
      <c r="AF804" t="s">
        <v>119</v>
      </c>
      <c r="AG804" t="str">
        <f t="shared" si="12"/>
        <v>À Vista</v>
      </c>
      <c r="AH804" t="str">
        <f>IF(AND(SUMIF(E:E,E804,I:I)&gt;=400000,Q804="B2G"),"n","")</f>
        <v/>
      </c>
    </row>
    <row r="805" spans="1:34">
      <c r="A805">
        <v>2026</v>
      </c>
      <c r="B805">
        <v>1</v>
      </c>
      <c r="C805" s="83">
        <v>2278614</v>
      </c>
      <c r="D805" t="s">
        <v>844</v>
      </c>
      <c r="E805">
        <v>54842930103</v>
      </c>
      <c r="F805">
        <v>626055</v>
      </c>
      <c r="G805">
        <v>50273324717</v>
      </c>
      <c r="H805" t="s">
        <v>35</v>
      </c>
      <c r="I805" s="36">
        <v>6547.8</v>
      </c>
      <c r="J805" s="36">
        <v>6547.8</v>
      </c>
      <c r="K805" s="85">
        <v>0</v>
      </c>
      <c r="L805" s="36">
        <v>545.65</v>
      </c>
      <c r="M805" s="36">
        <v>0</v>
      </c>
      <c r="N805" s="36">
        <v>221.15</v>
      </c>
      <c r="O805" s="36">
        <v>324.5</v>
      </c>
      <c r="P805" t="s">
        <v>137</v>
      </c>
      <c r="Q805" t="s">
        <v>111</v>
      </c>
      <c r="R805" t="s">
        <v>111</v>
      </c>
      <c r="S805" s="1">
        <v>46050</v>
      </c>
      <c r="T805" s="1">
        <v>46050</v>
      </c>
      <c r="U805" s="1">
        <v>46053</v>
      </c>
      <c r="V805" s="1">
        <v>46418</v>
      </c>
      <c r="W805" t="s">
        <v>38</v>
      </c>
      <c r="X805">
        <v>12</v>
      </c>
      <c r="Y805" t="s">
        <v>49</v>
      </c>
      <c r="Z805" t="s">
        <v>81</v>
      </c>
      <c r="AA805" t="s">
        <v>122</v>
      </c>
      <c r="AB805">
        <v>12</v>
      </c>
      <c r="AC805" t="s">
        <v>113</v>
      </c>
      <c r="AD805" t="s">
        <v>134</v>
      </c>
      <c r="AE805" t="s">
        <v>135</v>
      </c>
      <c r="AF805" t="s">
        <v>44</v>
      </c>
      <c r="AG805" t="str">
        <f t="shared" si="12"/>
        <v>Recorrente</v>
      </c>
      <c r="AH805" t="str">
        <f>IF(AND(SUMIF(E:E,E805,I:I)&gt;=400000,Q805="B2G"),"n","")</f>
        <v/>
      </c>
    </row>
    <row r="806" spans="1:34">
      <c r="A806">
        <v>2026</v>
      </c>
      <c r="B806">
        <v>1</v>
      </c>
      <c r="C806" s="83">
        <v>94996485258</v>
      </c>
      <c r="D806" t="s">
        <v>845</v>
      </c>
      <c r="E806">
        <v>54931465857</v>
      </c>
      <c r="F806">
        <v>626058</v>
      </c>
      <c r="G806">
        <v>50276841077</v>
      </c>
      <c r="H806" t="s">
        <v>35</v>
      </c>
      <c r="I806" s="36">
        <v>4218.24</v>
      </c>
      <c r="J806" s="36">
        <v>4218.24</v>
      </c>
      <c r="K806" s="85">
        <v>0</v>
      </c>
      <c r="L806" s="36">
        <v>351.52</v>
      </c>
      <c r="M806" s="36">
        <v>0</v>
      </c>
      <c r="N806" s="36">
        <v>0</v>
      </c>
      <c r="O806" s="36">
        <v>351.52209499999998</v>
      </c>
      <c r="P806" t="s">
        <v>116</v>
      </c>
      <c r="Q806" t="s">
        <v>111</v>
      </c>
      <c r="R806" t="s">
        <v>111</v>
      </c>
      <c r="S806" s="1">
        <v>46051</v>
      </c>
      <c r="T806" s="1">
        <v>46051</v>
      </c>
      <c r="U806" s="1">
        <v>46053</v>
      </c>
      <c r="V806" s="1">
        <v>46418</v>
      </c>
      <c r="W806" t="s">
        <v>38</v>
      </c>
      <c r="X806">
        <v>12</v>
      </c>
      <c r="Y806" t="s">
        <v>49</v>
      </c>
      <c r="Z806" t="s">
        <v>81</v>
      </c>
      <c r="AA806" t="s">
        <v>112</v>
      </c>
      <c r="AB806">
        <v>12</v>
      </c>
      <c r="AC806" t="s">
        <v>113</v>
      </c>
      <c r="AD806" t="s">
        <v>138</v>
      </c>
      <c r="AE806" t="s">
        <v>135</v>
      </c>
      <c r="AF806" t="s">
        <v>119</v>
      </c>
      <c r="AG806" t="str">
        <f t="shared" si="12"/>
        <v>CC 12x</v>
      </c>
      <c r="AH806" t="str">
        <f>IF(AND(SUMIF(E:E,E806,I:I)&gt;=400000,Q806="B2G"),"n","")</f>
        <v/>
      </c>
    </row>
    <row r="807" spans="1:34">
      <c r="A807">
        <v>2026</v>
      </c>
      <c r="B807">
        <v>1</v>
      </c>
      <c r="C807" s="83">
        <v>17482461282</v>
      </c>
      <c r="D807" t="s">
        <v>846</v>
      </c>
      <c r="E807">
        <v>54931899925</v>
      </c>
      <c r="F807">
        <v>625893</v>
      </c>
      <c r="G807">
        <v>50267712846</v>
      </c>
      <c r="H807" t="s">
        <v>35</v>
      </c>
      <c r="I807" s="36">
        <v>2047.68</v>
      </c>
      <c r="J807" s="36">
        <v>2047.68</v>
      </c>
      <c r="K807" s="85">
        <v>0</v>
      </c>
      <c r="L807" s="36">
        <v>170.64</v>
      </c>
      <c r="M807" s="36">
        <v>0</v>
      </c>
      <c r="N807" s="36">
        <v>27.24</v>
      </c>
      <c r="O807" s="36">
        <v>143.4</v>
      </c>
      <c r="P807" t="s">
        <v>116</v>
      </c>
      <c r="Q807" t="s">
        <v>111</v>
      </c>
      <c r="R807" t="s">
        <v>111</v>
      </c>
      <c r="S807" s="1">
        <v>46050</v>
      </c>
      <c r="T807" s="1">
        <v>46050</v>
      </c>
      <c r="U807" s="1">
        <v>46049</v>
      </c>
      <c r="V807" s="1">
        <v>46414</v>
      </c>
      <c r="W807" t="s">
        <v>38</v>
      </c>
      <c r="X807">
        <v>12</v>
      </c>
      <c r="Y807" t="s">
        <v>49</v>
      </c>
      <c r="Z807" t="s">
        <v>81</v>
      </c>
      <c r="AA807" t="s">
        <v>122</v>
      </c>
      <c r="AB807">
        <v>12</v>
      </c>
      <c r="AC807" t="s">
        <v>113</v>
      </c>
      <c r="AD807" t="s">
        <v>140</v>
      </c>
      <c r="AE807" t="s">
        <v>46</v>
      </c>
      <c r="AF807" t="s">
        <v>119</v>
      </c>
      <c r="AG807" t="str">
        <f t="shared" si="12"/>
        <v>Recorrente</v>
      </c>
      <c r="AH807" t="str">
        <f>IF(AND(SUMIF(E:E,E807,I:I)&gt;=400000,Q807="B2G"),"n","")</f>
        <v/>
      </c>
    </row>
    <row r="808" spans="1:34">
      <c r="A808">
        <v>2026</v>
      </c>
      <c r="B808">
        <v>1</v>
      </c>
      <c r="C808" s="83">
        <v>186922810780</v>
      </c>
      <c r="D808" t="s">
        <v>847</v>
      </c>
      <c r="E808">
        <v>54956251943</v>
      </c>
      <c r="F808">
        <v>326422</v>
      </c>
      <c r="G808">
        <v>50426148400</v>
      </c>
      <c r="H808" t="s">
        <v>35</v>
      </c>
      <c r="I808" s="36">
        <v>8154.84</v>
      </c>
      <c r="J808" s="36">
        <v>8154.9</v>
      </c>
      <c r="K808" s="85">
        <v>0</v>
      </c>
      <c r="L808" s="36">
        <v>679.58</v>
      </c>
      <c r="M808" s="36">
        <v>679.58</v>
      </c>
      <c r="N808" s="36">
        <v>0</v>
      </c>
      <c r="O808" s="36">
        <v>0</v>
      </c>
      <c r="P808" t="s">
        <v>121</v>
      </c>
      <c r="Q808" t="s">
        <v>111</v>
      </c>
      <c r="R808" t="s">
        <v>111</v>
      </c>
      <c r="S808" s="1">
        <v>46052</v>
      </c>
      <c r="T808" s="1">
        <v>46052</v>
      </c>
      <c r="V808" s="1">
        <v>46418</v>
      </c>
      <c r="W808" t="s">
        <v>38</v>
      </c>
      <c r="X808">
        <v>12</v>
      </c>
      <c r="Y808" t="s">
        <v>49</v>
      </c>
      <c r="Z808" t="s">
        <v>76</v>
      </c>
      <c r="AA808" t="s">
        <v>122</v>
      </c>
      <c r="AB808">
        <v>12</v>
      </c>
      <c r="AC808" t="s">
        <v>113</v>
      </c>
      <c r="AD808" t="s">
        <v>131</v>
      </c>
      <c r="AE808" t="s">
        <v>46</v>
      </c>
      <c r="AF808" t="s">
        <v>96</v>
      </c>
      <c r="AG808" t="str">
        <f t="shared" si="12"/>
        <v>Recorrente</v>
      </c>
      <c r="AH808" t="str">
        <f>IF(AND(SUMIF(E:E,E808,I:I)&gt;=400000,Q808="B2G"),"n","")</f>
        <v/>
      </c>
    </row>
    <row r="809" spans="1:34">
      <c r="A809">
        <v>2026</v>
      </c>
      <c r="B809">
        <v>1</v>
      </c>
      <c r="C809" s="83">
        <v>19485560204</v>
      </c>
      <c r="D809" t="s">
        <v>848</v>
      </c>
      <c r="E809">
        <v>54962000673</v>
      </c>
      <c r="F809">
        <v>512241</v>
      </c>
      <c r="G809">
        <v>50352673649</v>
      </c>
      <c r="H809" t="s">
        <v>35</v>
      </c>
      <c r="I809" s="36">
        <v>6293.64</v>
      </c>
      <c r="J809" s="36">
        <v>6293.64</v>
      </c>
      <c r="K809" s="85">
        <v>0</v>
      </c>
      <c r="L809" s="36">
        <v>524.47</v>
      </c>
      <c r="M809" s="36">
        <v>0</v>
      </c>
      <c r="N809" s="36">
        <v>71.47</v>
      </c>
      <c r="O809" s="36">
        <v>453</v>
      </c>
      <c r="P809" t="s">
        <v>137</v>
      </c>
      <c r="Q809" t="s">
        <v>111</v>
      </c>
      <c r="R809" t="s">
        <v>111</v>
      </c>
      <c r="S809" s="1">
        <v>46052</v>
      </c>
      <c r="T809" s="1">
        <v>46052</v>
      </c>
      <c r="U809" s="1">
        <v>46053</v>
      </c>
      <c r="V809" s="1">
        <v>46418</v>
      </c>
      <c r="W809" t="s">
        <v>38</v>
      </c>
      <c r="X809">
        <v>12</v>
      </c>
      <c r="Y809" t="s">
        <v>49</v>
      </c>
      <c r="Z809" t="s">
        <v>81</v>
      </c>
      <c r="AA809" t="s">
        <v>122</v>
      </c>
      <c r="AB809">
        <v>12</v>
      </c>
      <c r="AC809" t="s">
        <v>113</v>
      </c>
      <c r="AD809" t="s">
        <v>125</v>
      </c>
      <c r="AE809" t="s">
        <v>43</v>
      </c>
      <c r="AF809" t="s">
        <v>47</v>
      </c>
      <c r="AG809" t="str">
        <f t="shared" si="12"/>
        <v>Recorrente</v>
      </c>
      <c r="AH809" t="str">
        <f>IF(AND(SUMIF(E:E,E809,I:I)&gt;=400000,Q809="B2G"),"n","")</f>
        <v/>
      </c>
    </row>
    <row r="810" spans="1:34">
      <c r="A810">
        <v>2026</v>
      </c>
      <c r="B810">
        <v>1</v>
      </c>
      <c r="C810" s="83">
        <v>19485560204</v>
      </c>
      <c r="D810" t="s">
        <v>848</v>
      </c>
      <c r="E810">
        <v>54962000673</v>
      </c>
      <c r="F810">
        <v>512241</v>
      </c>
      <c r="G810">
        <v>50352673650</v>
      </c>
      <c r="H810" t="s">
        <v>35</v>
      </c>
      <c r="I810" s="36">
        <v>6293.64</v>
      </c>
      <c r="J810" s="36">
        <v>6293.64</v>
      </c>
      <c r="K810" s="85">
        <v>0</v>
      </c>
      <c r="L810" s="36">
        <v>524.47</v>
      </c>
      <c r="M810" s="36">
        <v>0</v>
      </c>
      <c r="N810" s="36">
        <v>71.47</v>
      </c>
      <c r="O810" s="36">
        <v>453</v>
      </c>
      <c r="P810" t="s">
        <v>137</v>
      </c>
      <c r="Q810" t="s">
        <v>111</v>
      </c>
      <c r="R810" t="s">
        <v>111</v>
      </c>
      <c r="S810" s="1">
        <v>46052</v>
      </c>
      <c r="T810" s="1">
        <v>46052</v>
      </c>
      <c r="U810" s="1">
        <v>46053</v>
      </c>
      <c r="V810" s="1">
        <v>46418</v>
      </c>
      <c r="W810" t="s">
        <v>38</v>
      </c>
      <c r="X810">
        <v>12</v>
      </c>
      <c r="Y810" t="s">
        <v>49</v>
      </c>
      <c r="Z810" t="s">
        <v>81</v>
      </c>
      <c r="AA810" t="s">
        <v>122</v>
      </c>
      <c r="AB810">
        <v>12</v>
      </c>
      <c r="AC810" t="s">
        <v>113</v>
      </c>
      <c r="AD810" t="s">
        <v>125</v>
      </c>
      <c r="AE810" t="s">
        <v>43</v>
      </c>
      <c r="AF810" t="s">
        <v>47</v>
      </c>
      <c r="AG810" t="str">
        <f t="shared" si="12"/>
        <v>Recorrente</v>
      </c>
      <c r="AH810" t="str">
        <f>IF(AND(SUMIF(E:E,E810,I:I)&gt;=400000,Q810="B2G"),"n","")</f>
        <v/>
      </c>
    </row>
    <row r="811" spans="1:34">
      <c r="A811">
        <v>2026</v>
      </c>
      <c r="B811">
        <v>1</v>
      </c>
      <c r="C811" s="83">
        <v>19485971637</v>
      </c>
      <c r="D811" t="s">
        <v>849</v>
      </c>
      <c r="E811">
        <v>54962135833</v>
      </c>
      <c r="F811">
        <v>635791</v>
      </c>
      <c r="G811">
        <v>50273661985</v>
      </c>
      <c r="H811" t="s">
        <v>35</v>
      </c>
      <c r="I811" s="36">
        <v>4278.84</v>
      </c>
      <c r="J811" s="36">
        <v>4278.8999999999996</v>
      </c>
      <c r="K811" s="85">
        <v>0</v>
      </c>
      <c r="L811" s="36">
        <v>356.58</v>
      </c>
      <c r="M811" s="36">
        <v>0</v>
      </c>
      <c r="N811" s="36">
        <v>356.58</v>
      </c>
      <c r="O811" s="36">
        <v>0</v>
      </c>
      <c r="P811" t="s">
        <v>190</v>
      </c>
      <c r="Q811" t="s">
        <v>191</v>
      </c>
      <c r="R811" t="s">
        <v>191</v>
      </c>
      <c r="S811" s="1">
        <v>46051</v>
      </c>
      <c r="T811" s="1">
        <v>46051</v>
      </c>
      <c r="V811" s="1">
        <v>46416</v>
      </c>
      <c r="W811" t="s">
        <v>38</v>
      </c>
      <c r="X811">
        <v>12</v>
      </c>
      <c r="Y811" t="s">
        <v>49</v>
      </c>
      <c r="AA811" t="s">
        <v>122</v>
      </c>
      <c r="AB811">
        <v>12</v>
      </c>
      <c r="AC811" t="s">
        <v>192</v>
      </c>
      <c r="AD811" t="s">
        <v>84</v>
      </c>
      <c r="AE811" t="s">
        <v>43</v>
      </c>
      <c r="AF811" t="s">
        <v>44</v>
      </c>
      <c r="AG811" t="str">
        <f t="shared" si="12"/>
        <v>Recorrente</v>
      </c>
      <c r="AH811" t="str">
        <f>IF(AND(SUMIF(E:E,E811,I:I)&gt;=400000,Q811="B2G"),"n","")</f>
        <v/>
      </c>
    </row>
    <row r="812" spans="1:34">
      <c r="A812">
        <v>2026</v>
      </c>
      <c r="B812">
        <v>1</v>
      </c>
      <c r="C812" s="83">
        <v>154320588378</v>
      </c>
      <c r="D812" t="s">
        <v>850</v>
      </c>
      <c r="E812">
        <v>54962268975</v>
      </c>
      <c r="F812">
        <v>625940</v>
      </c>
      <c r="G812">
        <v>50507433354</v>
      </c>
      <c r="H812" t="s">
        <v>35</v>
      </c>
      <c r="I812" s="36">
        <v>4065</v>
      </c>
      <c r="J812" s="36">
        <v>4065</v>
      </c>
      <c r="K812" s="85">
        <v>0</v>
      </c>
      <c r="L812" s="36">
        <v>338.75</v>
      </c>
      <c r="M812" s="36">
        <v>0</v>
      </c>
      <c r="N812" s="36">
        <v>18.850000000000001</v>
      </c>
      <c r="O812" s="36">
        <v>319.89999999999998</v>
      </c>
      <c r="P812" t="s">
        <v>162</v>
      </c>
      <c r="Q812" t="s">
        <v>111</v>
      </c>
      <c r="R812" t="s">
        <v>111</v>
      </c>
      <c r="S812" s="1">
        <v>46053</v>
      </c>
      <c r="T812" s="1">
        <v>46053</v>
      </c>
      <c r="U812" s="1">
        <v>46050</v>
      </c>
      <c r="V812" s="1">
        <v>46415</v>
      </c>
      <c r="W812" t="s">
        <v>38</v>
      </c>
      <c r="X812">
        <v>12</v>
      </c>
      <c r="Y812" t="s">
        <v>49</v>
      </c>
      <c r="Z812" t="s">
        <v>81</v>
      </c>
      <c r="AA812" t="s">
        <v>122</v>
      </c>
      <c r="AB812">
        <v>12</v>
      </c>
      <c r="AC812" t="s">
        <v>113</v>
      </c>
      <c r="AD812" t="s">
        <v>84</v>
      </c>
      <c r="AE812" t="s">
        <v>43</v>
      </c>
      <c r="AF812" t="s">
        <v>44</v>
      </c>
      <c r="AG812" t="str">
        <f t="shared" si="12"/>
        <v>Recorrente</v>
      </c>
      <c r="AH812" t="str">
        <f>IF(AND(SUMIF(E:E,E812,I:I)&gt;=400000,Q812="B2G"),"n","")</f>
        <v/>
      </c>
    </row>
    <row r="813" spans="1:34">
      <c r="A813">
        <v>2026</v>
      </c>
      <c r="B813">
        <v>1</v>
      </c>
      <c r="C813" s="83">
        <v>179002720580</v>
      </c>
      <c r="D813" t="s">
        <v>851</v>
      </c>
      <c r="E813">
        <v>54966270123</v>
      </c>
      <c r="F813">
        <v>635804</v>
      </c>
      <c r="G813">
        <v>50350995034</v>
      </c>
      <c r="H813" t="s">
        <v>35</v>
      </c>
      <c r="I813" s="36">
        <v>3585.12</v>
      </c>
      <c r="J813" s="36">
        <v>3585.12</v>
      </c>
      <c r="K813" s="85">
        <v>0</v>
      </c>
      <c r="L813" s="36">
        <v>298.76</v>
      </c>
      <c r="M813" s="36">
        <v>298.76</v>
      </c>
      <c r="N813" s="36">
        <v>0</v>
      </c>
      <c r="O813" s="36">
        <v>0</v>
      </c>
      <c r="P813" t="s">
        <v>506</v>
      </c>
      <c r="Q813" t="s">
        <v>300</v>
      </c>
      <c r="R813" t="s">
        <v>300</v>
      </c>
      <c r="S813" s="1">
        <v>46051</v>
      </c>
      <c r="T813" s="1">
        <v>46051</v>
      </c>
      <c r="V813" s="1">
        <v>46416</v>
      </c>
      <c r="W813" t="s">
        <v>38</v>
      </c>
      <c r="X813">
        <v>12</v>
      </c>
      <c r="Y813" t="s">
        <v>49</v>
      </c>
      <c r="AA813" t="s">
        <v>112</v>
      </c>
      <c r="AB813">
        <v>12</v>
      </c>
      <c r="AC813" t="s">
        <v>301</v>
      </c>
      <c r="AD813" t="s">
        <v>160</v>
      </c>
      <c r="AE813" t="s">
        <v>43</v>
      </c>
      <c r="AF813" t="s">
        <v>44</v>
      </c>
      <c r="AG813" t="str">
        <f t="shared" si="12"/>
        <v>CC 12x</v>
      </c>
      <c r="AH813" t="str">
        <f>IF(AND(SUMIF(E:E,E813,I:I)&gt;=400000,Q813="B2G"),"n","")</f>
        <v/>
      </c>
    </row>
    <row r="814" spans="1:34">
      <c r="A814">
        <v>2026</v>
      </c>
      <c r="B814">
        <v>1</v>
      </c>
      <c r="C814" s="83">
        <v>2099449</v>
      </c>
      <c r="D814" t="s">
        <v>852</v>
      </c>
      <c r="E814">
        <v>54968674055</v>
      </c>
      <c r="F814">
        <v>303347</v>
      </c>
      <c r="G814">
        <v>50351058606</v>
      </c>
      <c r="H814" t="s">
        <v>35</v>
      </c>
      <c r="I814" s="36">
        <v>4318.92</v>
      </c>
      <c r="J814" s="36">
        <v>4318.92</v>
      </c>
      <c r="K814" s="85">
        <v>0</v>
      </c>
      <c r="L814" s="36">
        <v>359.91</v>
      </c>
      <c r="M814" s="36">
        <v>0</v>
      </c>
      <c r="N814" s="36">
        <v>19.91</v>
      </c>
      <c r="O814" s="36">
        <v>340</v>
      </c>
      <c r="P814" t="s">
        <v>133</v>
      </c>
      <c r="Q814" t="s">
        <v>111</v>
      </c>
      <c r="R814" t="s">
        <v>111</v>
      </c>
      <c r="S814" s="1">
        <v>46052</v>
      </c>
      <c r="T814" s="1">
        <v>46052</v>
      </c>
      <c r="U814" s="1">
        <v>46050</v>
      </c>
      <c r="V814" s="1">
        <v>46415</v>
      </c>
      <c r="W814" t="s">
        <v>38</v>
      </c>
      <c r="X814">
        <v>12</v>
      </c>
      <c r="Y814" t="s">
        <v>49</v>
      </c>
      <c r="Z814" t="s">
        <v>81</v>
      </c>
      <c r="AA814" t="s">
        <v>112</v>
      </c>
      <c r="AB814">
        <v>12</v>
      </c>
      <c r="AC814" t="s">
        <v>113</v>
      </c>
      <c r="AD814" t="s">
        <v>85</v>
      </c>
      <c r="AE814" t="s">
        <v>46</v>
      </c>
      <c r="AF814" t="s">
        <v>44</v>
      </c>
      <c r="AG814" t="str">
        <f t="shared" si="12"/>
        <v>CC 12x</v>
      </c>
      <c r="AH814" t="str">
        <f>IF(AND(SUMIF(E:E,E814,I:I)&gt;=400000,Q814="B2G"),"n","")</f>
        <v/>
      </c>
    </row>
    <row r="815" spans="1:34">
      <c r="A815">
        <v>2026</v>
      </c>
      <c r="B815">
        <v>1</v>
      </c>
      <c r="C815" s="83">
        <v>30481772807</v>
      </c>
      <c r="D815" t="s">
        <v>853</v>
      </c>
      <c r="E815">
        <v>54969472871</v>
      </c>
      <c r="F815">
        <v>627621</v>
      </c>
      <c r="G815">
        <v>50352673840</v>
      </c>
      <c r="H815" t="s">
        <v>35</v>
      </c>
      <c r="I815" s="36">
        <v>402.36</v>
      </c>
      <c r="J815" s="36">
        <v>2881.8</v>
      </c>
      <c r="K815" s="85">
        <v>0</v>
      </c>
      <c r="L815" s="36">
        <v>240.15</v>
      </c>
      <c r="M815" s="36">
        <v>0</v>
      </c>
      <c r="N815" s="36">
        <v>240.15</v>
      </c>
      <c r="O815" s="36">
        <v>0</v>
      </c>
      <c r="P815" t="s">
        <v>520</v>
      </c>
      <c r="Q815" t="s">
        <v>191</v>
      </c>
      <c r="R815" t="s">
        <v>191</v>
      </c>
      <c r="S815" s="1">
        <v>46051</v>
      </c>
      <c r="T815" s="1">
        <v>46051</v>
      </c>
      <c r="V815" s="1">
        <v>46102</v>
      </c>
      <c r="W815" t="s">
        <v>38</v>
      </c>
      <c r="X815">
        <v>2</v>
      </c>
      <c r="Y815" t="s">
        <v>49</v>
      </c>
      <c r="Z815" t="s">
        <v>324</v>
      </c>
      <c r="AA815" t="s">
        <v>112</v>
      </c>
      <c r="AB815">
        <v>1</v>
      </c>
      <c r="AC815" t="s">
        <v>192</v>
      </c>
      <c r="AD815" t="s">
        <v>85</v>
      </c>
      <c r="AE815" t="s">
        <v>46</v>
      </c>
      <c r="AF815" t="s">
        <v>44</v>
      </c>
      <c r="AG815" t="str">
        <f t="shared" si="12"/>
        <v>À Vista</v>
      </c>
      <c r="AH815" t="str">
        <f>IF(AND(SUMIF(E:E,E815,I:I)&gt;=400000,Q815="B2G"),"n","")</f>
        <v/>
      </c>
    </row>
    <row r="816" spans="1:34">
      <c r="A816">
        <v>2026</v>
      </c>
      <c r="B816">
        <v>1</v>
      </c>
      <c r="C816" s="83">
        <v>20945150600</v>
      </c>
      <c r="D816" t="s">
        <v>854</v>
      </c>
      <c r="E816">
        <v>54970562699</v>
      </c>
      <c r="F816">
        <v>625974</v>
      </c>
      <c r="G816">
        <v>50276788513</v>
      </c>
      <c r="H816" t="s">
        <v>35</v>
      </c>
      <c r="I816" s="36">
        <v>4161.84</v>
      </c>
      <c r="J816" s="36">
        <v>4161.84</v>
      </c>
      <c r="K816" s="85">
        <v>0</v>
      </c>
      <c r="L816" s="36">
        <v>346.82</v>
      </c>
      <c r="M816" s="36">
        <v>0</v>
      </c>
      <c r="N816" s="36">
        <v>23.72</v>
      </c>
      <c r="O816" s="36">
        <v>323.10000000000002</v>
      </c>
      <c r="P816" t="s">
        <v>137</v>
      </c>
      <c r="Q816" t="s">
        <v>111</v>
      </c>
      <c r="R816" t="s">
        <v>111</v>
      </c>
      <c r="S816" s="1">
        <v>46051</v>
      </c>
      <c r="T816" s="1">
        <v>46051</v>
      </c>
      <c r="U816" s="1">
        <v>46051</v>
      </c>
      <c r="V816" s="1">
        <v>46416</v>
      </c>
      <c r="W816" t="s">
        <v>38</v>
      </c>
      <c r="X816">
        <v>12</v>
      </c>
      <c r="Y816" t="s">
        <v>49</v>
      </c>
      <c r="Z816" t="s">
        <v>81</v>
      </c>
      <c r="AA816" t="s">
        <v>122</v>
      </c>
      <c r="AB816">
        <v>12</v>
      </c>
      <c r="AC816" t="s">
        <v>113</v>
      </c>
      <c r="AD816" t="s">
        <v>163</v>
      </c>
      <c r="AE816" t="s">
        <v>43</v>
      </c>
      <c r="AF816" t="s">
        <v>96</v>
      </c>
      <c r="AG816" t="str">
        <f t="shared" si="12"/>
        <v>Recorrente</v>
      </c>
      <c r="AH816" t="str">
        <f>IF(AND(SUMIF(E:E,E816,I:I)&gt;=400000,Q816="B2G"),"n","")</f>
        <v/>
      </c>
    </row>
    <row r="817" spans="1:34">
      <c r="A817">
        <v>2026</v>
      </c>
      <c r="B817">
        <v>1</v>
      </c>
      <c r="C817" s="83">
        <v>20945150600</v>
      </c>
      <c r="D817" t="s">
        <v>854</v>
      </c>
      <c r="E817">
        <v>54970562699</v>
      </c>
      <c r="F817">
        <v>625974</v>
      </c>
      <c r="G817">
        <v>50276788514</v>
      </c>
      <c r="H817" t="s">
        <v>35</v>
      </c>
      <c r="I817" s="36">
        <v>4161.84</v>
      </c>
      <c r="J817" s="36">
        <v>4161.84</v>
      </c>
      <c r="K817" s="85">
        <v>0</v>
      </c>
      <c r="L817" s="36">
        <v>346.82</v>
      </c>
      <c r="M817" s="36">
        <v>0</v>
      </c>
      <c r="N817" s="36">
        <v>23.72</v>
      </c>
      <c r="O817" s="36">
        <v>323.10000000000002</v>
      </c>
      <c r="P817" t="s">
        <v>137</v>
      </c>
      <c r="Q817" t="s">
        <v>111</v>
      </c>
      <c r="R817" t="s">
        <v>111</v>
      </c>
      <c r="S817" s="1">
        <v>46051</v>
      </c>
      <c r="T817" s="1">
        <v>46051</v>
      </c>
      <c r="U817" s="1">
        <v>46051</v>
      </c>
      <c r="V817" s="1">
        <v>46416</v>
      </c>
      <c r="W817" t="s">
        <v>38</v>
      </c>
      <c r="X817">
        <v>12</v>
      </c>
      <c r="Y817" t="s">
        <v>49</v>
      </c>
      <c r="Z817" t="s">
        <v>81</v>
      </c>
      <c r="AA817" t="s">
        <v>122</v>
      </c>
      <c r="AB817">
        <v>12</v>
      </c>
      <c r="AC817" t="s">
        <v>113</v>
      </c>
      <c r="AD817" t="s">
        <v>163</v>
      </c>
      <c r="AE817" t="s">
        <v>43</v>
      </c>
      <c r="AF817" t="s">
        <v>96</v>
      </c>
      <c r="AG817" t="str">
        <f t="shared" si="12"/>
        <v>Recorrente</v>
      </c>
      <c r="AH817" t="str">
        <f>IF(AND(SUMIF(E:E,E817,I:I)&gt;=400000,Q817="B2G"),"n","")</f>
        <v/>
      </c>
    </row>
    <row r="818" spans="1:34">
      <c r="A818">
        <v>2026</v>
      </c>
      <c r="B818">
        <v>1</v>
      </c>
      <c r="C818" s="83">
        <v>84185349134</v>
      </c>
      <c r="D818" t="s">
        <v>456</v>
      </c>
      <c r="E818">
        <v>54973653858</v>
      </c>
      <c r="F818">
        <v>625026</v>
      </c>
      <c r="G818">
        <v>50352615021</v>
      </c>
      <c r="H818" t="s">
        <v>35</v>
      </c>
      <c r="I818" s="36">
        <v>2556.48</v>
      </c>
      <c r="J818" s="36">
        <v>2882.16</v>
      </c>
      <c r="K818" s="85">
        <v>0</v>
      </c>
      <c r="L818" s="36">
        <v>240.18</v>
      </c>
      <c r="M818" s="36">
        <v>0</v>
      </c>
      <c r="N818" s="36">
        <v>240.18</v>
      </c>
      <c r="O818" s="36">
        <v>0</v>
      </c>
      <c r="P818" t="s">
        <v>323</v>
      </c>
      <c r="Q818" t="s">
        <v>191</v>
      </c>
      <c r="R818" t="s">
        <v>191</v>
      </c>
      <c r="S818" s="1">
        <v>46051</v>
      </c>
      <c r="T818" s="1">
        <v>46051</v>
      </c>
      <c r="V818" s="1">
        <v>46375</v>
      </c>
      <c r="W818" t="s">
        <v>38</v>
      </c>
      <c r="X818">
        <v>11</v>
      </c>
      <c r="Y818" t="s">
        <v>49</v>
      </c>
      <c r="Z818" t="s">
        <v>324</v>
      </c>
      <c r="AA818" t="s">
        <v>122</v>
      </c>
      <c r="AB818">
        <v>10</v>
      </c>
      <c r="AC818" t="s">
        <v>192</v>
      </c>
      <c r="AD818" t="s">
        <v>85</v>
      </c>
      <c r="AE818" t="s">
        <v>46</v>
      </c>
      <c r="AF818" t="s">
        <v>44</v>
      </c>
      <c r="AG818" t="str">
        <f t="shared" si="12"/>
        <v>Recorrente</v>
      </c>
      <c r="AH818" t="str">
        <f>IF(AND(SUMIF(E:E,E818,I:I)&gt;=400000,Q818="B2G"),"n","")</f>
        <v/>
      </c>
    </row>
    <row r="819" spans="1:34">
      <c r="A819">
        <v>2026</v>
      </c>
      <c r="B819">
        <v>1</v>
      </c>
      <c r="C819" s="83">
        <v>50163196431</v>
      </c>
      <c r="D819" t="s">
        <v>855</v>
      </c>
      <c r="E819">
        <v>54974143542</v>
      </c>
      <c r="F819">
        <v>635854</v>
      </c>
      <c r="G819">
        <v>50518136487</v>
      </c>
      <c r="H819" t="s">
        <v>35</v>
      </c>
      <c r="I819" s="36">
        <v>1900.32</v>
      </c>
      <c r="J819" s="36">
        <v>1900.29</v>
      </c>
      <c r="K819" s="85">
        <v>0.03</v>
      </c>
      <c r="L819" s="36">
        <v>158.36000000000001</v>
      </c>
      <c r="M819" s="36">
        <v>0</v>
      </c>
      <c r="N819" s="36">
        <v>158.36000000000001</v>
      </c>
      <c r="O819" s="36">
        <v>0</v>
      </c>
      <c r="P819" t="s">
        <v>804</v>
      </c>
      <c r="Q819" t="s">
        <v>191</v>
      </c>
      <c r="R819" t="s">
        <v>191</v>
      </c>
      <c r="S819" s="1">
        <v>46052</v>
      </c>
      <c r="T819" s="1">
        <v>46052</v>
      </c>
      <c r="V819" s="1">
        <v>46417</v>
      </c>
      <c r="W819" t="s">
        <v>38</v>
      </c>
      <c r="X819">
        <v>12</v>
      </c>
      <c r="Y819" t="s">
        <v>49</v>
      </c>
      <c r="AA819" t="s">
        <v>112</v>
      </c>
      <c r="AB819">
        <v>12</v>
      </c>
      <c r="AC819" t="s">
        <v>192</v>
      </c>
      <c r="AD819" t="s">
        <v>118</v>
      </c>
      <c r="AE819" t="s">
        <v>43</v>
      </c>
      <c r="AF819" t="s">
        <v>119</v>
      </c>
      <c r="AG819" t="str">
        <f t="shared" si="12"/>
        <v>CC 12x</v>
      </c>
      <c r="AH819" t="str">
        <f>IF(AND(SUMIF(E:E,E819,I:I)&gt;=400000,Q819="B2G"),"n","")</f>
        <v/>
      </c>
    </row>
    <row r="820" spans="1:34">
      <c r="A820">
        <v>2026</v>
      </c>
      <c r="B820">
        <v>1</v>
      </c>
      <c r="C820" s="83">
        <v>181718633606</v>
      </c>
      <c r="D820" t="s">
        <v>856</v>
      </c>
      <c r="E820">
        <v>54976216093</v>
      </c>
      <c r="F820">
        <v>635784</v>
      </c>
      <c r="G820">
        <v>50279958350</v>
      </c>
      <c r="H820" t="s">
        <v>35</v>
      </c>
      <c r="I820" s="36">
        <v>2874</v>
      </c>
      <c r="J820" s="36">
        <v>2874</v>
      </c>
      <c r="K820" s="85">
        <v>0</v>
      </c>
      <c r="L820" s="36">
        <v>239.5</v>
      </c>
      <c r="M820" s="36">
        <v>239.5</v>
      </c>
      <c r="N820" s="36">
        <v>0</v>
      </c>
      <c r="O820" s="36">
        <v>0</v>
      </c>
      <c r="P820" t="s">
        <v>497</v>
      </c>
      <c r="Q820" t="s">
        <v>498</v>
      </c>
      <c r="R820" t="s">
        <v>498</v>
      </c>
      <c r="S820" s="1">
        <v>46050</v>
      </c>
      <c r="T820" s="1">
        <v>46050</v>
      </c>
      <c r="V820" s="1">
        <v>46415</v>
      </c>
      <c r="W820" t="s">
        <v>38</v>
      </c>
      <c r="X820">
        <v>12</v>
      </c>
      <c r="Y820" t="s">
        <v>49</v>
      </c>
      <c r="AA820" t="s">
        <v>112</v>
      </c>
      <c r="AB820">
        <v>10</v>
      </c>
      <c r="AC820" t="s">
        <v>499</v>
      </c>
      <c r="AD820" t="s">
        <v>140</v>
      </c>
      <c r="AE820" t="s">
        <v>46</v>
      </c>
      <c r="AF820" t="s">
        <v>119</v>
      </c>
      <c r="AG820" t="str">
        <f t="shared" si="12"/>
        <v>CC 12x</v>
      </c>
      <c r="AH820" t="str">
        <f>IF(AND(SUMIF(E:E,E820,I:I)&gt;=400000,Q820="B2G"),"n","")</f>
        <v/>
      </c>
    </row>
    <row r="821" spans="1:34">
      <c r="A821">
        <v>2026</v>
      </c>
      <c r="B821">
        <v>1</v>
      </c>
      <c r="C821" s="83">
        <v>2090375</v>
      </c>
      <c r="D821" t="s">
        <v>857</v>
      </c>
      <c r="E821">
        <v>54979606648</v>
      </c>
      <c r="F821">
        <v>626019</v>
      </c>
      <c r="G821">
        <v>50352906783</v>
      </c>
      <c r="H821" t="s">
        <v>35</v>
      </c>
      <c r="I821" s="36">
        <v>6360.6</v>
      </c>
      <c r="J821" s="36">
        <v>6360.6</v>
      </c>
      <c r="K821" s="85">
        <v>0</v>
      </c>
      <c r="L821" s="36">
        <v>530.04999999999995</v>
      </c>
      <c r="M821" s="36">
        <v>0</v>
      </c>
      <c r="N821" s="36">
        <v>61.15</v>
      </c>
      <c r="O821" s="36">
        <v>468.9</v>
      </c>
      <c r="P821" t="s">
        <v>137</v>
      </c>
      <c r="Q821" t="s">
        <v>111</v>
      </c>
      <c r="R821" t="s">
        <v>111</v>
      </c>
      <c r="S821" s="1">
        <v>46052</v>
      </c>
      <c r="T821" s="1">
        <v>46052</v>
      </c>
      <c r="U821" s="1">
        <v>46052</v>
      </c>
      <c r="V821" s="1">
        <v>46417</v>
      </c>
      <c r="W821" t="s">
        <v>38</v>
      </c>
      <c r="X821">
        <v>12</v>
      </c>
      <c r="Y821" t="s">
        <v>49</v>
      </c>
      <c r="Z821" t="s">
        <v>81</v>
      </c>
      <c r="AA821" t="s">
        <v>117</v>
      </c>
      <c r="AB821">
        <v>1</v>
      </c>
      <c r="AC821" t="s">
        <v>113</v>
      </c>
      <c r="AD821" t="s">
        <v>134</v>
      </c>
      <c r="AE821" t="s">
        <v>135</v>
      </c>
      <c r="AF821" t="s">
        <v>44</v>
      </c>
      <c r="AG821" t="str">
        <f t="shared" si="12"/>
        <v>À Vista</v>
      </c>
      <c r="AH821" t="str">
        <f>IF(AND(SUMIF(E:E,E821,I:I)&gt;=400000,Q821="B2G"),"n","")</f>
        <v/>
      </c>
    </row>
    <row r="822" spans="1:34">
      <c r="A822">
        <v>2026</v>
      </c>
      <c r="B822">
        <v>1</v>
      </c>
      <c r="C822" s="83">
        <v>144539212610</v>
      </c>
      <c r="D822" t="s">
        <v>858</v>
      </c>
      <c r="E822">
        <v>54979815582</v>
      </c>
      <c r="F822">
        <v>635801</v>
      </c>
      <c r="G822">
        <v>50276785286</v>
      </c>
      <c r="H822" t="s">
        <v>35</v>
      </c>
      <c r="I822" s="36">
        <v>2874</v>
      </c>
      <c r="J822" s="36">
        <v>2874</v>
      </c>
      <c r="K822" s="85">
        <v>0</v>
      </c>
      <c r="L822" s="36">
        <v>239.5</v>
      </c>
      <c r="M822" s="36">
        <v>239.5</v>
      </c>
      <c r="N822" s="36">
        <v>0</v>
      </c>
      <c r="O822" s="36">
        <v>0</v>
      </c>
      <c r="P822" t="s">
        <v>506</v>
      </c>
      <c r="Q822" t="s">
        <v>300</v>
      </c>
      <c r="R822" t="s">
        <v>300</v>
      </c>
      <c r="S822" s="1">
        <v>46051</v>
      </c>
      <c r="T822" s="1">
        <v>46051</v>
      </c>
      <c r="V822" s="1">
        <v>46416</v>
      </c>
      <c r="W822" t="s">
        <v>38</v>
      </c>
      <c r="X822">
        <v>12</v>
      </c>
      <c r="Y822" t="s">
        <v>49</v>
      </c>
      <c r="AA822" t="s">
        <v>122</v>
      </c>
      <c r="AB822">
        <v>12</v>
      </c>
      <c r="AC822" t="s">
        <v>301</v>
      </c>
      <c r="AD822" t="s">
        <v>140</v>
      </c>
      <c r="AE822" t="s">
        <v>46</v>
      </c>
      <c r="AF822" t="s">
        <v>119</v>
      </c>
      <c r="AG822" t="str">
        <f t="shared" si="12"/>
        <v>Recorrente</v>
      </c>
      <c r="AH822" t="str">
        <f>IF(AND(SUMIF(E:E,E822,I:I)&gt;=400000,Q822="B2G"),"n","")</f>
        <v/>
      </c>
    </row>
    <row r="823" spans="1:34">
      <c r="A823">
        <v>2026</v>
      </c>
      <c r="B823">
        <v>1</v>
      </c>
      <c r="C823" s="83">
        <v>2095551</v>
      </c>
      <c r="D823" t="s">
        <v>859</v>
      </c>
      <c r="E823">
        <v>54984600709</v>
      </c>
      <c r="F823">
        <v>526058</v>
      </c>
      <c r="G823">
        <v>50276847509</v>
      </c>
      <c r="H823" t="s">
        <v>35</v>
      </c>
      <c r="I823" s="36">
        <v>3876.12</v>
      </c>
      <c r="J823" s="36">
        <v>3876.12</v>
      </c>
      <c r="K823" s="85">
        <v>0</v>
      </c>
      <c r="L823" s="36">
        <v>323.01</v>
      </c>
      <c r="M823" s="36">
        <v>0</v>
      </c>
      <c r="N823" s="36">
        <v>40.18</v>
      </c>
      <c r="O823" s="36">
        <v>282.83999999999997</v>
      </c>
      <c r="P823" t="s">
        <v>121</v>
      </c>
      <c r="Q823" t="s">
        <v>111</v>
      </c>
      <c r="R823" t="s">
        <v>111</v>
      </c>
      <c r="S823" s="1">
        <v>46052</v>
      </c>
      <c r="T823" s="1">
        <v>46052</v>
      </c>
      <c r="U823" s="1">
        <v>46052</v>
      </c>
      <c r="V823" s="1">
        <v>46417</v>
      </c>
      <c r="W823" t="s">
        <v>38</v>
      </c>
      <c r="X823">
        <v>12</v>
      </c>
      <c r="Y823" t="s">
        <v>49</v>
      </c>
      <c r="Z823" t="s">
        <v>81</v>
      </c>
      <c r="AA823" t="s">
        <v>112</v>
      </c>
      <c r="AB823">
        <v>12</v>
      </c>
      <c r="AC823" t="s">
        <v>113</v>
      </c>
      <c r="AD823" t="s">
        <v>84</v>
      </c>
      <c r="AE823" t="s">
        <v>43</v>
      </c>
      <c r="AF823" t="s">
        <v>44</v>
      </c>
      <c r="AG823" t="str">
        <f t="shared" si="12"/>
        <v>CC 12x</v>
      </c>
      <c r="AH823" t="str">
        <f>IF(AND(SUMIF(E:E,E823,I:I)&gt;=400000,Q823="B2G"),"n","")</f>
        <v/>
      </c>
    </row>
    <row r="824" spans="1:34">
      <c r="A824">
        <v>2026</v>
      </c>
      <c r="B824">
        <v>1</v>
      </c>
      <c r="C824" s="83">
        <v>2069852</v>
      </c>
      <c r="D824" t="s">
        <v>860</v>
      </c>
      <c r="E824">
        <v>54985059143</v>
      </c>
      <c r="F824">
        <v>635852</v>
      </c>
      <c r="G824">
        <v>50513985975</v>
      </c>
      <c r="H824" t="s">
        <v>35</v>
      </c>
      <c r="I824" s="36">
        <v>2586.6</v>
      </c>
      <c r="J824" s="36">
        <v>2586.6</v>
      </c>
      <c r="K824" s="85">
        <v>0</v>
      </c>
      <c r="L824" s="36">
        <v>215.55</v>
      </c>
      <c r="M824" s="36">
        <v>215.55</v>
      </c>
      <c r="N824" s="36">
        <v>0</v>
      </c>
      <c r="O824" s="36">
        <v>0</v>
      </c>
      <c r="P824" t="s">
        <v>313</v>
      </c>
      <c r="Q824" t="s">
        <v>314</v>
      </c>
      <c r="R824" t="s">
        <v>314</v>
      </c>
      <c r="S824" s="1">
        <v>46052</v>
      </c>
      <c r="T824" s="1">
        <v>46052</v>
      </c>
      <c r="V824" s="1">
        <v>46417</v>
      </c>
      <c r="W824" t="s">
        <v>38</v>
      </c>
      <c r="X824">
        <v>12</v>
      </c>
      <c r="Y824" t="s">
        <v>49</v>
      </c>
      <c r="AA824" t="s">
        <v>112</v>
      </c>
      <c r="AB824">
        <v>12</v>
      </c>
      <c r="AC824" t="s">
        <v>315</v>
      </c>
      <c r="AD824" t="s">
        <v>140</v>
      </c>
      <c r="AE824" t="s">
        <v>46</v>
      </c>
      <c r="AF824" t="s">
        <v>119</v>
      </c>
      <c r="AG824" t="str">
        <f t="shared" si="12"/>
        <v>CC 12x</v>
      </c>
      <c r="AH824" t="str">
        <f>IF(AND(SUMIF(E:E,E824,I:I)&gt;=400000,Q824="B2G"),"n","")</f>
        <v/>
      </c>
    </row>
    <row r="825" spans="1:34">
      <c r="A825">
        <v>2026</v>
      </c>
      <c r="B825">
        <v>1</v>
      </c>
      <c r="C825" s="83">
        <v>2128943</v>
      </c>
      <c r="D825" t="s">
        <v>861</v>
      </c>
      <c r="E825">
        <v>54986103443</v>
      </c>
      <c r="F825">
        <v>526273</v>
      </c>
      <c r="G825">
        <v>50274470950</v>
      </c>
      <c r="H825" t="s">
        <v>35</v>
      </c>
      <c r="I825" s="36">
        <v>2640</v>
      </c>
      <c r="J825" s="36">
        <v>2640</v>
      </c>
      <c r="K825" s="85">
        <v>0</v>
      </c>
      <c r="L825" s="36">
        <v>220</v>
      </c>
      <c r="M825" s="36">
        <v>0</v>
      </c>
      <c r="N825" s="36">
        <v>0</v>
      </c>
      <c r="O825" s="36">
        <v>219.99991</v>
      </c>
      <c r="P825" t="s">
        <v>137</v>
      </c>
      <c r="Q825" t="s">
        <v>111</v>
      </c>
      <c r="R825" t="s">
        <v>111</v>
      </c>
      <c r="S825" s="1">
        <v>46051</v>
      </c>
      <c r="T825" s="1">
        <v>46051</v>
      </c>
      <c r="U825" s="1">
        <v>46053</v>
      </c>
      <c r="V825" s="1">
        <v>46418</v>
      </c>
      <c r="W825" t="s">
        <v>38</v>
      </c>
      <c r="X825">
        <v>12</v>
      </c>
      <c r="Y825" t="s">
        <v>49</v>
      </c>
      <c r="Z825" t="s">
        <v>81</v>
      </c>
      <c r="AA825" t="s">
        <v>122</v>
      </c>
      <c r="AB825">
        <v>12</v>
      </c>
      <c r="AC825" t="s">
        <v>113</v>
      </c>
      <c r="AD825" t="s">
        <v>140</v>
      </c>
      <c r="AE825" t="s">
        <v>46</v>
      </c>
      <c r="AF825" t="s">
        <v>119</v>
      </c>
      <c r="AG825" t="str">
        <f t="shared" si="12"/>
        <v>Recorrente</v>
      </c>
      <c r="AH825" t="str">
        <f>IF(AND(SUMIF(E:E,E825,I:I)&gt;=400000,Q825="B2G"),"n","")</f>
        <v/>
      </c>
    </row>
    <row r="826" spans="1:34">
      <c r="A826">
        <v>2026</v>
      </c>
      <c r="B826">
        <v>1</v>
      </c>
      <c r="C826" s="83">
        <v>197442023296</v>
      </c>
      <c r="D826" t="s">
        <v>862</v>
      </c>
      <c r="E826">
        <v>54986297479</v>
      </c>
      <c r="F826">
        <v>635789</v>
      </c>
      <c r="G826">
        <v>50274588949</v>
      </c>
      <c r="H826" t="s">
        <v>35</v>
      </c>
      <c r="I826" s="36">
        <v>5514</v>
      </c>
      <c r="J826" s="36">
        <v>5514</v>
      </c>
      <c r="K826" s="85">
        <v>0</v>
      </c>
      <c r="L826" s="36">
        <v>459.5</v>
      </c>
      <c r="M826" s="36">
        <v>459.5</v>
      </c>
      <c r="N826" s="36">
        <v>0</v>
      </c>
      <c r="O826" s="36">
        <v>0</v>
      </c>
      <c r="P826" t="s">
        <v>511</v>
      </c>
      <c r="Q826" t="s">
        <v>300</v>
      </c>
      <c r="R826" t="s">
        <v>300</v>
      </c>
      <c r="S826" s="1">
        <v>46051</v>
      </c>
      <c r="T826" s="1">
        <v>46051</v>
      </c>
      <c r="V826" s="1">
        <v>46416</v>
      </c>
      <c r="W826" t="s">
        <v>38</v>
      </c>
      <c r="X826">
        <v>12</v>
      </c>
      <c r="Y826" t="s">
        <v>49</v>
      </c>
      <c r="AA826" t="s">
        <v>122</v>
      </c>
      <c r="AB826">
        <v>12</v>
      </c>
      <c r="AC826" t="s">
        <v>301</v>
      </c>
      <c r="AD826" t="s">
        <v>138</v>
      </c>
      <c r="AE826" t="s">
        <v>135</v>
      </c>
      <c r="AF826" t="s">
        <v>119</v>
      </c>
      <c r="AG826" t="str">
        <f t="shared" si="12"/>
        <v>Recorrente</v>
      </c>
      <c r="AH826" t="str">
        <f>IF(AND(SUMIF(E:E,E826,I:I)&gt;=400000,Q826="B2G"),"n","")</f>
        <v/>
      </c>
    </row>
    <row r="827" spans="1:34">
      <c r="A827">
        <v>2026</v>
      </c>
      <c r="B827">
        <v>1</v>
      </c>
      <c r="C827" s="83">
        <v>197535859859</v>
      </c>
      <c r="D827" t="s">
        <v>863</v>
      </c>
      <c r="E827">
        <v>54987976069</v>
      </c>
      <c r="F827">
        <v>635782</v>
      </c>
      <c r="G827">
        <v>50311568501</v>
      </c>
      <c r="H827" t="s">
        <v>35</v>
      </c>
      <c r="I827" s="36">
        <v>2874</v>
      </c>
      <c r="J827" s="36">
        <v>2874</v>
      </c>
      <c r="K827" s="85">
        <v>0</v>
      </c>
      <c r="L827" s="36">
        <v>239.5</v>
      </c>
      <c r="M827" s="36">
        <v>239.5</v>
      </c>
      <c r="N827" s="36">
        <v>0</v>
      </c>
      <c r="O827" s="36">
        <v>0</v>
      </c>
      <c r="P827" t="s">
        <v>497</v>
      </c>
      <c r="Q827" t="s">
        <v>498</v>
      </c>
      <c r="R827" t="s">
        <v>498</v>
      </c>
      <c r="S827" s="1">
        <v>46050</v>
      </c>
      <c r="T827" s="1">
        <v>46050</v>
      </c>
      <c r="V827" s="1">
        <v>46415</v>
      </c>
      <c r="W827" t="s">
        <v>38</v>
      </c>
      <c r="X827">
        <v>12</v>
      </c>
      <c r="Y827" t="s">
        <v>49</v>
      </c>
      <c r="AA827" t="s">
        <v>112</v>
      </c>
      <c r="AB827">
        <v>12</v>
      </c>
      <c r="AC827" t="s">
        <v>499</v>
      </c>
      <c r="AD827" t="s">
        <v>140</v>
      </c>
      <c r="AE827" t="s">
        <v>46</v>
      </c>
      <c r="AF827" t="s">
        <v>119</v>
      </c>
      <c r="AG827" t="str">
        <f t="shared" si="12"/>
        <v>CC 12x</v>
      </c>
      <c r="AH827" t="str">
        <f>IF(AND(SUMIF(E:E,E827,I:I)&gt;=400000,Q827="B2G"),"n","")</f>
        <v/>
      </c>
    </row>
    <row r="828" spans="1:34">
      <c r="A828">
        <v>2026</v>
      </c>
      <c r="B828">
        <v>1</v>
      </c>
      <c r="C828" s="83">
        <v>166760746497</v>
      </c>
      <c r="D828" t="s">
        <v>864</v>
      </c>
      <c r="E828">
        <v>54989830026</v>
      </c>
      <c r="F828">
        <v>635781</v>
      </c>
      <c r="G828">
        <v>50274627237</v>
      </c>
      <c r="H828" t="s">
        <v>35</v>
      </c>
      <c r="I828" s="36">
        <v>4411.2</v>
      </c>
      <c r="J828" s="36">
        <v>4411.2</v>
      </c>
      <c r="K828" s="85">
        <v>0</v>
      </c>
      <c r="L828" s="36">
        <v>367.6</v>
      </c>
      <c r="M828" s="36">
        <v>367.6</v>
      </c>
      <c r="N828" s="36">
        <v>0</v>
      </c>
      <c r="O828" s="36">
        <v>0</v>
      </c>
      <c r="P828" t="s">
        <v>829</v>
      </c>
      <c r="Q828" t="s">
        <v>300</v>
      </c>
      <c r="R828" t="s">
        <v>300</v>
      </c>
      <c r="S828" s="1">
        <v>46050</v>
      </c>
      <c r="T828" s="1">
        <v>46050</v>
      </c>
      <c r="V828" s="1">
        <v>46415</v>
      </c>
      <c r="W828" t="s">
        <v>38</v>
      </c>
      <c r="X828">
        <v>12</v>
      </c>
      <c r="Y828" t="s">
        <v>49</v>
      </c>
      <c r="AA828" t="s">
        <v>122</v>
      </c>
      <c r="AB828">
        <v>12</v>
      </c>
      <c r="AC828" t="s">
        <v>301</v>
      </c>
      <c r="AD828" t="s">
        <v>138</v>
      </c>
      <c r="AE828" t="s">
        <v>135</v>
      </c>
      <c r="AF828" t="s">
        <v>119</v>
      </c>
      <c r="AG828" t="str">
        <f t="shared" si="12"/>
        <v>Recorrente</v>
      </c>
      <c r="AH828" t="str">
        <f>IF(AND(SUMIF(E:E,E828,I:I)&gt;=400000,Q828="B2G"),"n","")</f>
        <v/>
      </c>
    </row>
    <row r="829" spans="1:34">
      <c r="A829">
        <v>2026</v>
      </c>
      <c r="B829">
        <v>1</v>
      </c>
      <c r="C829" s="83">
        <v>22488898075</v>
      </c>
      <c r="D829" t="s">
        <v>865</v>
      </c>
      <c r="E829">
        <v>54990139549</v>
      </c>
      <c r="F829">
        <v>635780</v>
      </c>
      <c r="G829">
        <v>50276683375</v>
      </c>
      <c r="H829" t="s">
        <v>35</v>
      </c>
      <c r="I829" s="36">
        <v>5183.16</v>
      </c>
      <c r="J829" s="36">
        <v>5183.16</v>
      </c>
      <c r="K829" s="85">
        <v>0</v>
      </c>
      <c r="L829" s="36">
        <v>431.93</v>
      </c>
      <c r="M829" s="36">
        <v>431.93</v>
      </c>
      <c r="N829" s="36">
        <v>0</v>
      </c>
      <c r="O829" s="36">
        <v>0</v>
      </c>
      <c r="P829" t="s">
        <v>511</v>
      </c>
      <c r="Q829" t="s">
        <v>300</v>
      </c>
      <c r="R829" t="s">
        <v>300</v>
      </c>
      <c r="S829" s="1">
        <v>46050</v>
      </c>
      <c r="T829" s="1">
        <v>46050</v>
      </c>
      <c r="V829" s="1">
        <v>46415</v>
      </c>
      <c r="W829" t="s">
        <v>38</v>
      </c>
      <c r="X829">
        <v>12</v>
      </c>
      <c r="Y829" t="s">
        <v>49</v>
      </c>
      <c r="AA829" t="s">
        <v>112</v>
      </c>
      <c r="AB829">
        <v>12</v>
      </c>
      <c r="AC829" t="s">
        <v>301</v>
      </c>
      <c r="AD829" t="s">
        <v>138</v>
      </c>
      <c r="AE829" t="s">
        <v>135</v>
      </c>
      <c r="AF829" t="s">
        <v>119</v>
      </c>
      <c r="AG829" t="str">
        <f t="shared" si="12"/>
        <v>CC 12x</v>
      </c>
      <c r="AH829" t="str">
        <f>IF(AND(SUMIF(E:E,E829,I:I)&gt;=400000,Q829="B2G"),"n","")</f>
        <v/>
      </c>
    </row>
    <row r="830" spans="1:34">
      <c r="A830">
        <v>2026</v>
      </c>
      <c r="B830">
        <v>1</v>
      </c>
      <c r="C830" s="83">
        <v>144057391172</v>
      </c>
      <c r="D830" t="s">
        <v>866</v>
      </c>
      <c r="E830">
        <v>54993675840</v>
      </c>
      <c r="F830">
        <v>625992</v>
      </c>
      <c r="G830">
        <v>50425647488</v>
      </c>
      <c r="H830" t="s">
        <v>35</v>
      </c>
      <c r="I830" s="36">
        <v>3775.44</v>
      </c>
      <c r="J830" s="36">
        <v>3775.44</v>
      </c>
      <c r="K830" s="85">
        <v>0</v>
      </c>
      <c r="L830" s="36">
        <v>314.62</v>
      </c>
      <c r="M830" s="36">
        <v>0</v>
      </c>
      <c r="N830" s="36">
        <v>50.48</v>
      </c>
      <c r="O830" s="36">
        <v>264.14999999999998</v>
      </c>
      <c r="P830" t="s">
        <v>133</v>
      </c>
      <c r="Q830" t="s">
        <v>111</v>
      </c>
      <c r="R830" t="s">
        <v>111</v>
      </c>
      <c r="S830" s="1">
        <v>46052</v>
      </c>
      <c r="T830" s="1">
        <v>46052</v>
      </c>
      <c r="U830" s="1">
        <v>46052</v>
      </c>
      <c r="V830" s="1">
        <v>46417</v>
      </c>
      <c r="W830" t="s">
        <v>38</v>
      </c>
      <c r="X830">
        <v>12</v>
      </c>
      <c r="Y830" t="s">
        <v>49</v>
      </c>
      <c r="Z830" t="s">
        <v>81</v>
      </c>
      <c r="AA830" t="s">
        <v>112</v>
      </c>
      <c r="AB830">
        <v>1</v>
      </c>
      <c r="AC830" t="s">
        <v>113</v>
      </c>
      <c r="AD830" t="s">
        <v>84</v>
      </c>
      <c r="AE830" t="s">
        <v>43</v>
      </c>
      <c r="AF830" t="s">
        <v>44</v>
      </c>
      <c r="AG830" t="str">
        <f t="shared" si="12"/>
        <v>À Vista</v>
      </c>
      <c r="AH830" t="str">
        <f>IF(AND(SUMIF(E:E,E830,I:I)&gt;=400000,Q830="B2G"),"n","")</f>
        <v/>
      </c>
    </row>
    <row r="831" spans="1:34">
      <c r="A831">
        <v>2026</v>
      </c>
      <c r="B831">
        <v>1</v>
      </c>
      <c r="C831" s="83">
        <v>19699734559</v>
      </c>
      <c r="D831" t="s">
        <v>867</v>
      </c>
      <c r="E831">
        <v>54993988723</v>
      </c>
      <c r="F831">
        <v>304146</v>
      </c>
      <c r="G831">
        <v>50352888630</v>
      </c>
      <c r="H831" t="s">
        <v>35</v>
      </c>
      <c r="I831" s="36">
        <v>6999</v>
      </c>
      <c r="J831" s="36">
        <v>6999</v>
      </c>
      <c r="K831" s="85">
        <v>0</v>
      </c>
      <c r="L831" s="36">
        <v>583.25</v>
      </c>
      <c r="M831" s="36">
        <v>0</v>
      </c>
      <c r="N831" s="36">
        <v>80.05</v>
      </c>
      <c r="O831" s="36">
        <v>503.2</v>
      </c>
      <c r="P831" t="s">
        <v>127</v>
      </c>
      <c r="Q831" t="s">
        <v>111</v>
      </c>
      <c r="R831" t="s">
        <v>111</v>
      </c>
      <c r="S831" s="1">
        <v>46052</v>
      </c>
      <c r="T831" s="1">
        <v>46052</v>
      </c>
      <c r="U831" s="1">
        <v>46052</v>
      </c>
      <c r="V831" s="1">
        <v>46417</v>
      </c>
      <c r="W831" t="s">
        <v>38</v>
      </c>
      <c r="X831">
        <v>12</v>
      </c>
      <c r="Y831" t="s">
        <v>49</v>
      </c>
      <c r="Z831" t="s">
        <v>81</v>
      </c>
      <c r="AA831" t="s">
        <v>117</v>
      </c>
      <c r="AB831">
        <v>1</v>
      </c>
      <c r="AC831" t="s">
        <v>113</v>
      </c>
      <c r="AD831" t="s">
        <v>131</v>
      </c>
      <c r="AE831" t="s">
        <v>46</v>
      </c>
      <c r="AF831" t="s">
        <v>96</v>
      </c>
      <c r="AG831" t="str">
        <f t="shared" si="12"/>
        <v>À Vista</v>
      </c>
      <c r="AH831" t="str">
        <f>IF(AND(SUMIF(E:E,E831,I:I)&gt;=400000,Q831="B2G"),"n","")</f>
        <v/>
      </c>
    </row>
    <row r="832" spans="1:34">
      <c r="A832">
        <v>2026</v>
      </c>
      <c r="B832">
        <v>1</v>
      </c>
      <c r="C832" s="83">
        <v>196714009090</v>
      </c>
      <c r="D832" t="s">
        <v>868</v>
      </c>
      <c r="E832">
        <v>54994568581</v>
      </c>
      <c r="F832">
        <v>635828</v>
      </c>
      <c r="G832">
        <v>50350809628</v>
      </c>
      <c r="H832" t="s">
        <v>35</v>
      </c>
      <c r="I832" s="36">
        <v>19188</v>
      </c>
      <c r="J832" s="36">
        <v>5553</v>
      </c>
      <c r="K832" s="85">
        <v>13635</v>
      </c>
      <c r="L832" s="36">
        <v>462.75</v>
      </c>
      <c r="M832" s="36">
        <v>0</v>
      </c>
      <c r="N832" s="36">
        <v>462.75</v>
      </c>
      <c r="O832" s="36">
        <v>0</v>
      </c>
      <c r="P832" t="s">
        <v>367</v>
      </c>
      <c r="Q832" t="s">
        <v>191</v>
      </c>
      <c r="R832" t="s">
        <v>191</v>
      </c>
      <c r="S832" s="1">
        <v>46052</v>
      </c>
      <c r="T832" s="1">
        <v>46052</v>
      </c>
      <c r="V832" s="1">
        <v>46782</v>
      </c>
      <c r="W832" t="s">
        <v>56</v>
      </c>
      <c r="Y832" t="s">
        <v>49</v>
      </c>
      <c r="AA832" t="s">
        <v>122</v>
      </c>
      <c r="AB832">
        <v>24</v>
      </c>
      <c r="AC832" t="s">
        <v>192</v>
      </c>
      <c r="AD832" t="s">
        <v>131</v>
      </c>
      <c r="AE832" t="s">
        <v>46</v>
      </c>
      <c r="AF832" t="s">
        <v>96</v>
      </c>
      <c r="AG832" t="str">
        <f t="shared" si="12"/>
        <v>Recorrente</v>
      </c>
      <c r="AH832" t="str">
        <f>IF(AND(SUMIF(E:E,E832,I:I)&gt;=400000,Q832="B2G"),"n","")</f>
        <v/>
      </c>
    </row>
    <row r="833" spans="1:34">
      <c r="A833">
        <v>2026</v>
      </c>
      <c r="B833">
        <v>1</v>
      </c>
      <c r="C833" s="83">
        <v>2116488</v>
      </c>
      <c r="D833" t="s">
        <v>869</v>
      </c>
      <c r="E833">
        <v>54994888211</v>
      </c>
      <c r="F833">
        <v>625948</v>
      </c>
      <c r="G833">
        <v>50352898127</v>
      </c>
      <c r="H833" t="s">
        <v>35</v>
      </c>
      <c r="I833" s="36">
        <v>3116.64</v>
      </c>
      <c r="J833" s="36">
        <v>3116.64</v>
      </c>
      <c r="K833" s="85">
        <v>0</v>
      </c>
      <c r="L833" s="36">
        <v>259.72000000000003</v>
      </c>
      <c r="M833" s="36">
        <v>0</v>
      </c>
      <c r="N833" s="36">
        <v>11.72</v>
      </c>
      <c r="O833" s="36">
        <v>248</v>
      </c>
      <c r="P833" t="s">
        <v>116</v>
      </c>
      <c r="Q833" t="s">
        <v>111</v>
      </c>
      <c r="R833" t="s">
        <v>111</v>
      </c>
      <c r="S833" s="1">
        <v>46052</v>
      </c>
      <c r="T833" s="1">
        <v>46052</v>
      </c>
      <c r="U833" s="1">
        <v>46050</v>
      </c>
      <c r="V833" s="1">
        <v>46415</v>
      </c>
      <c r="W833" t="s">
        <v>38</v>
      </c>
      <c r="X833">
        <v>12</v>
      </c>
      <c r="Y833" t="s">
        <v>49</v>
      </c>
      <c r="Z833" t="s">
        <v>81</v>
      </c>
      <c r="AA833" t="s">
        <v>112</v>
      </c>
      <c r="AB833">
        <v>12</v>
      </c>
      <c r="AC833" t="s">
        <v>113</v>
      </c>
      <c r="AD833" t="s">
        <v>114</v>
      </c>
      <c r="AE833" t="s">
        <v>43</v>
      </c>
      <c r="AF833" t="s">
        <v>44</v>
      </c>
      <c r="AG833" t="str">
        <f t="shared" ref="AG833:AG867" si="13">IF(IFERROR(SEARCH("Recorrente",AA833),0)&gt;0,"Recorrente",IF(AB833=1,"À Vista",IF(AB833&lt;=3,"CC 3x",IF(AB833&lt;=12,"CC 12x",IF(AB833&gt;12,"Recorrente","")))))</f>
        <v>CC 12x</v>
      </c>
      <c r="AH833" t="str">
        <f>IF(AND(SUMIF(E:E,E833,I:I)&gt;=400000,Q833="B2G"),"n","")</f>
        <v/>
      </c>
    </row>
    <row r="834" spans="1:34">
      <c r="A834">
        <v>2026</v>
      </c>
      <c r="B834">
        <v>1</v>
      </c>
      <c r="C834" s="83">
        <v>19435611481</v>
      </c>
      <c r="D834" t="s">
        <v>870</v>
      </c>
      <c r="E834">
        <v>55029215307</v>
      </c>
      <c r="F834">
        <v>608327</v>
      </c>
      <c r="G834">
        <v>50352765251</v>
      </c>
      <c r="H834" t="s">
        <v>35</v>
      </c>
      <c r="I834" s="36">
        <v>8418.6</v>
      </c>
      <c r="J834" s="36">
        <v>8418.6</v>
      </c>
      <c r="K834" s="85">
        <v>0</v>
      </c>
      <c r="L834" s="36">
        <v>701.55</v>
      </c>
      <c r="M834" s="36">
        <v>0</v>
      </c>
      <c r="N834" s="36">
        <v>157.88999999999999</v>
      </c>
      <c r="O834" s="36">
        <v>543.66434779999997</v>
      </c>
      <c r="P834" t="s">
        <v>133</v>
      </c>
      <c r="Q834" t="s">
        <v>111</v>
      </c>
      <c r="R834" t="s">
        <v>111</v>
      </c>
      <c r="S834" s="1">
        <v>46052</v>
      </c>
      <c r="T834" s="1">
        <v>46052</v>
      </c>
      <c r="U834" s="1">
        <v>46052</v>
      </c>
      <c r="V834" s="1">
        <v>46417</v>
      </c>
      <c r="W834" t="s">
        <v>38</v>
      </c>
      <c r="X834">
        <v>12</v>
      </c>
      <c r="Y834" t="s">
        <v>49</v>
      </c>
      <c r="Z834" t="s">
        <v>81</v>
      </c>
      <c r="AA834" t="s">
        <v>122</v>
      </c>
      <c r="AB834">
        <v>12</v>
      </c>
      <c r="AC834" t="s">
        <v>113</v>
      </c>
      <c r="AD834" t="s">
        <v>134</v>
      </c>
      <c r="AE834" t="s">
        <v>135</v>
      </c>
      <c r="AF834" t="s">
        <v>44</v>
      </c>
      <c r="AG834" t="str">
        <f t="shared" si="13"/>
        <v>Recorrente</v>
      </c>
      <c r="AH834" t="str">
        <f>IF(AND(SUMIF(E:E,E834,I:I)&gt;=400000,Q834="B2G"),"n","")</f>
        <v/>
      </c>
    </row>
    <row r="835" spans="1:34">
      <c r="A835">
        <v>2026</v>
      </c>
      <c r="B835">
        <v>1</v>
      </c>
      <c r="C835" s="83">
        <v>2069000</v>
      </c>
      <c r="D835" t="s">
        <v>871</v>
      </c>
      <c r="E835">
        <v>55031231823</v>
      </c>
      <c r="F835">
        <v>327708</v>
      </c>
      <c r="G835">
        <v>50351116556</v>
      </c>
      <c r="H835" t="s">
        <v>35</v>
      </c>
      <c r="I835" s="36">
        <v>3300</v>
      </c>
      <c r="J835" s="36">
        <v>3300</v>
      </c>
      <c r="K835" s="85">
        <v>0</v>
      </c>
      <c r="L835" s="36">
        <v>275</v>
      </c>
      <c r="M835" s="36">
        <v>275</v>
      </c>
      <c r="N835" s="36">
        <v>0</v>
      </c>
      <c r="O835" s="36">
        <v>0</v>
      </c>
      <c r="P835" t="s">
        <v>121</v>
      </c>
      <c r="Q835" t="s">
        <v>111</v>
      </c>
      <c r="R835" t="s">
        <v>111</v>
      </c>
      <c r="S835" s="1">
        <v>46052</v>
      </c>
      <c r="T835" s="1">
        <v>46052</v>
      </c>
      <c r="V835" s="1">
        <v>46418</v>
      </c>
      <c r="W835" t="s">
        <v>38</v>
      </c>
      <c r="X835">
        <v>12</v>
      </c>
      <c r="Y835" t="s">
        <v>49</v>
      </c>
      <c r="Z835" t="s">
        <v>81</v>
      </c>
      <c r="AA835" t="s">
        <v>122</v>
      </c>
      <c r="AB835">
        <v>12</v>
      </c>
      <c r="AC835" t="s">
        <v>113</v>
      </c>
      <c r="AD835" t="s">
        <v>160</v>
      </c>
      <c r="AE835" t="s">
        <v>43</v>
      </c>
      <c r="AF835" t="s">
        <v>44</v>
      </c>
      <c r="AG835" t="str">
        <f t="shared" si="13"/>
        <v>Recorrente</v>
      </c>
      <c r="AH835" t="str">
        <f>IF(AND(SUMIF(E:E,E835,I:I)&gt;=400000,Q835="B2G"),"n","")</f>
        <v/>
      </c>
    </row>
    <row r="836" spans="1:34">
      <c r="A836">
        <v>2026</v>
      </c>
      <c r="B836">
        <v>1</v>
      </c>
      <c r="C836" s="83">
        <v>197268171566</v>
      </c>
      <c r="D836" t="s">
        <v>872</v>
      </c>
      <c r="E836">
        <v>55032795941</v>
      </c>
      <c r="F836">
        <v>635805</v>
      </c>
      <c r="G836">
        <v>50352730454</v>
      </c>
      <c r="H836" t="s">
        <v>35</v>
      </c>
      <c r="I836" s="36">
        <v>2874</v>
      </c>
      <c r="J836" s="36">
        <v>2874</v>
      </c>
      <c r="K836" s="85">
        <v>0</v>
      </c>
      <c r="L836" s="36">
        <v>239.5</v>
      </c>
      <c r="M836" s="36">
        <v>239.5</v>
      </c>
      <c r="N836" s="36">
        <v>0</v>
      </c>
      <c r="O836" s="36">
        <v>0</v>
      </c>
      <c r="P836" t="s">
        <v>511</v>
      </c>
      <c r="Q836" t="s">
        <v>300</v>
      </c>
      <c r="R836" t="s">
        <v>300</v>
      </c>
      <c r="S836" s="1">
        <v>46051</v>
      </c>
      <c r="T836" s="1">
        <v>46051</v>
      </c>
      <c r="V836" s="1">
        <v>46416</v>
      </c>
      <c r="W836" t="s">
        <v>38</v>
      </c>
      <c r="X836">
        <v>12</v>
      </c>
      <c r="Y836" t="s">
        <v>49</v>
      </c>
      <c r="AA836" t="s">
        <v>122</v>
      </c>
      <c r="AB836">
        <v>12</v>
      </c>
      <c r="AC836" t="s">
        <v>301</v>
      </c>
      <c r="AD836" t="s">
        <v>140</v>
      </c>
      <c r="AE836" t="s">
        <v>46</v>
      </c>
      <c r="AF836" t="s">
        <v>119</v>
      </c>
      <c r="AG836" t="str">
        <f t="shared" si="13"/>
        <v>Recorrente</v>
      </c>
      <c r="AH836" t="str">
        <f>IF(AND(SUMIF(E:E,E836,I:I)&gt;=400000,Q836="B2G"),"n","")</f>
        <v/>
      </c>
    </row>
    <row r="837" spans="1:34">
      <c r="A837">
        <v>2026</v>
      </c>
      <c r="B837">
        <v>1</v>
      </c>
      <c r="C837" s="83">
        <v>19435413413</v>
      </c>
      <c r="D837" t="s">
        <v>873</v>
      </c>
      <c r="E837">
        <v>55035073908</v>
      </c>
      <c r="F837">
        <v>625959</v>
      </c>
      <c r="G837">
        <v>50425101092</v>
      </c>
      <c r="H837" t="s">
        <v>35</v>
      </c>
      <c r="I837" s="36">
        <v>5466.24</v>
      </c>
      <c r="J837" s="36">
        <v>5466.3</v>
      </c>
      <c r="K837" s="85">
        <v>0</v>
      </c>
      <c r="L837" s="36">
        <v>455.53</v>
      </c>
      <c r="M837" s="36">
        <v>455.53</v>
      </c>
      <c r="N837" s="36">
        <v>0</v>
      </c>
      <c r="O837" s="36">
        <v>0</v>
      </c>
      <c r="P837" t="s">
        <v>137</v>
      </c>
      <c r="Q837" t="s">
        <v>111</v>
      </c>
      <c r="R837" t="s">
        <v>111</v>
      </c>
      <c r="S837" s="1">
        <v>46052</v>
      </c>
      <c r="T837" s="1">
        <v>46052</v>
      </c>
      <c r="V837" s="1">
        <v>46416</v>
      </c>
      <c r="W837" t="s">
        <v>38</v>
      </c>
      <c r="X837">
        <v>12</v>
      </c>
      <c r="Y837" t="s">
        <v>49</v>
      </c>
      <c r="Z837" t="s">
        <v>81</v>
      </c>
      <c r="AA837" t="s">
        <v>122</v>
      </c>
      <c r="AB837">
        <v>12</v>
      </c>
      <c r="AC837" t="s">
        <v>113</v>
      </c>
      <c r="AD837" t="s">
        <v>85</v>
      </c>
      <c r="AE837" t="s">
        <v>46</v>
      </c>
      <c r="AF837" t="s">
        <v>44</v>
      </c>
      <c r="AG837" t="str">
        <f t="shared" si="13"/>
        <v>Recorrente</v>
      </c>
      <c r="AH837" t="str">
        <f>IF(AND(SUMIF(E:E,E837,I:I)&gt;=400000,Q837="B2G"),"n","")</f>
        <v/>
      </c>
    </row>
    <row r="838" spans="1:34">
      <c r="A838">
        <v>2026</v>
      </c>
      <c r="B838">
        <v>1</v>
      </c>
      <c r="C838" s="83">
        <v>200887980822</v>
      </c>
      <c r="D838" t="s">
        <v>874</v>
      </c>
      <c r="E838">
        <v>55036130452</v>
      </c>
      <c r="F838">
        <v>608215</v>
      </c>
      <c r="G838">
        <v>50426087292</v>
      </c>
      <c r="H838" t="s">
        <v>35</v>
      </c>
      <c r="I838" s="36">
        <v>4452.6000000000004</v>
      </c>
      <c r="J838" s="36">
        <v>4452.6000000000004</v>
      </c>
      <c r="K838" s="85">
        <v>0</v>
      </c>
      <c r="L838" s="36">
        <v>371.05</v>
      </c>
      <c r="M838" s="36">
        <v>0</v>
      </c>
      <c r="N838" s="36">
        <v>20.55</v>
      </c>
      <c r="O838" s="36">
        <v>350.5</v>
      </c>
      <c r="P838" t="s">
        <v>137</v>
      </c>
      <c r="Q838" t="s">
        <v>111</v>
      </c>
      <c r="R838" t="s">
        <v>111</v>
      </c>
      <c r="S838" s="1">
        <v>46052</v>
      </c>
      <c r="T838" s="1">
        <v>46052</v>
      </c>
      <c r="U838" s="1">
        <v>46051</v>
      </c>
      <c r="V838" s="1">
        <v>46416</v>
      </c>
      <c r="W838" t="s">
        <v>38</v>
      </c>
      <c r="X838">
        <v>12</v>
      </c>
      <c r="Y838" t="s">
        <v>49</v>
      </c>
      <c r="Z838" t="s">
        <v>81</v>
      </c>
      <c r="AA838" t="s">
        <v>122</v>
      </c>
      <c r="AB838">
        <v>12</v>
      </c>
      <c r="AC838" t="s">
        <v>113</v>
      </c>
      <c r="AD838" t="s">
        <v>138</v>
      </c>
      <c r="AE838" t="s">
        <v>135</v>
      </c>
      <c r="AF838" t="s">
        <v>119</v>
      </c>
      <c r="AG838" t="str">
        <f t="shared" si="13"/>
        <v>Recorrente</v>
      </c>
      <c r="AH838" t="str">
        <f>IF(AND(SUMIF(E:E,E838,I:I)&gt;=400000,Q838="B2G"),"n","")</f>
        <v/>
      </c>
    </row>
    <row r="839" spans="1:34">
      <c r="A839">
        <v>2026</v>
      </c>
      <c r="B839">
        <v>1</v>
      </c>
      <c r="C839" s="83">
        <v>127417450556</v>
      </c>
      <c r="D839" t="s">
        <v>875</v>
      </c>
      <c r="E839">
        <v>55040551026</v>
      </c>
      <c r="F839">
        <v>635831</v>
      </c>
      <c r="G839">
        <v>50425957816</v>
      </c>
      <c r="H839" t="s">
        <v>35</v>
      </c>
      <c r="I839" s="36">
        <v>2470.08</v>
      </c>
      <c r="J839" s="36">
        <v>2470.08</v>
      </c>
      <c r="K839" s="85">
        <v>0</v>
      </c>
      <c r="L839" s="36">
        <v>205.84</v>
      </c>
      <c r="M839" s="36">
        <v>205.84</v>
      </c>
      <c r="N839" s="36">
        <v>0</v>
      </c>
      <c r="O839" s="36">
        <v>0</v>
      </c>
      <c r="P839" t="s">
        <v>511</v>
      </c>
      <c r="Q839" t="s">
        <v>300</v>
      </c>
      <c r="R839" t="s">
        <v>300</v>
      </c>
      <c r="S839" s="1">
        <v>46052</v>
      </c>
      <c r="T839" s="1">
        <v>46052</v>
      </c>
      <c r="V839" s="1">
        <v>46417</v>
      </c>
      <c r="W839" t="s">
        <v>38</v>
      </c>
      <c r="X839">
        <v>12</v>
      </c>
      <c r="Y839" t="s">
        <v>49</v>
      </c>
      <c r="AA839" t="s">
        <v>117</v>
      </c>
      <c r="AB839">
        <v>1</v>
      </c>
      <c r="AC839" t="s">
        <v>301</v>
      </c>
      <c r="AD839" t="s">
        <v>140</v>
      </c>
      <c r="AE839" t="s">
        <v>46</v>
      </c>
      <c r="AF839" t="s">
        <v>119</v>
      </c>
      <c r="AG839" t="str">
        <f t="shared" si="13"/>
        <v>À Vista</v>
      </c>
      <c r="AH839" t="str">
        <f>IF(AND(SUMIF(E:E,E839,I:I)&gt;=400000,Q839="B2G"),"n","")</f>
        <v/>
      </c>
    </row>
    <row r="840" spans="1:34">
      <c r="A840">
        <v>2026</v>
      </c>
      <c r="B840">
        <v>1</v>
      </c>
      <c r="C840" s="83">
        <v>2121079</v>
      </c>
      <c r="D840" t="s">
        <v>876</v>
      </c>
      <c r="E840">
        <v>55041469079</v>
      </c>
      <c r="F840">
        <v>325913</v>
      </c>
      <c r="G840">
        <v>50425781624</v>
      </c>
      <c r="H840" t="s">
        <v>35</v>
      </c>
      <c r="I840" s="36">
        <v>2059.44</v>
      </c>
      <c r="J840" s="36">
        <v>2882.16</v>
      </c>
      <c r="K840" s="85">
        <v>0</v>
      </c>
      <c r="L840" s="36">
        <v>240.18</v>
      </c>
      <c r="M840" s="36">
        <v>0</v>
      </c>
      <c r="N840" s="36">
        <v>240.18</v>
      </c>
      <c r="O840" s="36">
        <v>0</v>
      </c>
      <c r="P840" t="s">
        <v>804</v>
      </c>
      <c r="Q840" t="s">
        <v>191</v>
      </c>
      <c r="R840" t="s">
        <v>191</v>
      </c>
      <c r="S840" s="1">
        <v>46052</v>
      </c>
      <c r="T840" s="1">
        <v>46052</v>
      </c>
      <c r="V840" s="1">
        <v>46313</v>
      </c>
      <c r="W840" t="s">
        <v>38</v>
      </c>
      <c r="X840">
        <v>9</v>
      </c>
      <c r="Y840" t="s">
        <v>49</v>
      </c>
      <c r="Z840" t="s">
        <v>324</v>
      </c>
      <c r="AA840" t="s">
        <v>122</v>
      </c>
      <c r="AB840">
        <v>8</v>
      </c>
      <c r="AC840" t="s">
        <v>192</v>
      </c>
      <c r="AD840" t="s">
        <v>85</v>
      </c>
      <c r="AE840" t="s">
        <v>46</v>
      </c>
      <c r="AF840" t="s">
        <v>44</v>
      </c>
      <c r="AG840" t="str">
        <f t="shared" si="13"/>
        <v>Recorrente</v>
      </c>
      <c r="AH840" t="str">
        <f>IF(AND(SUMIF(E:E,E840,I:I)&gt;=400000,Q840="B2G"),"n","")</f>
        <v/>
      </c>
    </row>
    <row r="841" spans="1:34">
      <c r="A841">
        <v>2026</v>
      </c>
      <c r="B841">
        <v>1</v>
      </c>
      <c r="C841" s="83">
        <v>136879087138</v>
      </c>
      <c r="D841" t="s">
        <v>877</v>
      </c>
      <c r="E841">
        <v>55041710669</v>
      </c>
      <c r="F841">
        <v>635814</v>
      </c>
      <c r="G841">
        <v>50351149591</v>
      </c>
      <c r="H841" t="s">
        <v>35</v>
      </c>
      <c r="I841" s="36">
        <v>18712.080000000002</v>
      </c>
      <c r="J841" s="36">
        <v>4449.8999999999996</v>
      </c>
      <c r="K841" s="85">
        <v>14262.18</v>
      </c>
      <c r="L841" s="36">
        <v>370.83</v>
      </c>
      <c r="M841" s="36">
        <v>0</v>
      </c>
      <c r="N841" s="36">
        <v>370.83</v>
      </c>
      <c r="O841" s="36">
        <v>0</v>
      </c>
      <c r="P841" t="s">
        <v>367</v>
      </c>
      <c r="Q841" t="s">
        <v>191</v>
      </c>
      <c r="R841" t="s">
        <v>191</v>
      </c>
      <c r="S841" s="1">
        <v>46052</v>
      </c>
      <c r="T841" s="1">
        <v>46052</v>
      </c>
      <c r="V841" s="1">
        <v>46782</v>
      </c>
      <c r="W841" t="s">
        <v>56</v>
      </c>
      <c r="Y841" t="s">
        <v>49</v>
      </c>
      <c r="AA841" t="s">
        <v>122</v>
      </c>
      <c r="AB841">
        <v>24</v>
      </c>
      <c r="AC841" t="s">
        <v>192</v>
      </c>
      <c r="AD841" t="s">
        <v>154</v>
      </c>
      <c r="AE841" t="s">
        <v>46</v>
      </c>
      <c r="AF841" t="s">
        <v>47</v>
      </c>
      <c r="AG841" t="str">
        <f t="shared" si="13"/>
        <v>Recorrente</v>
      </c>
      <c r="AH841" t="str">
        <f>IF(AND(SUMIF(E:E,E841,I:I)&gt;=400000,Q841="B2G"),"n","")</f>
        <v/>
      </c>
    </row>
    <row r="842" spans="1:34">
      <c r="A842">
        <v>2026</v>
      </c>
      <c r="B842">
        <v>1</v>
      </c>
      <c r="C842" s="83">
        <v>50163320390</v>
      </c>
      <c r="D842" t="s">
        <v>878</v>
      </c>
      <c r="E842">
        <v>55042441371</v>
      </c>
      <c r="F842">
        <v>635819</v>
      </c>
      <c r="G842">
        <v>50351030603</v>
      </c>
      <c r="H842" t="s">
        <v>35</v>
      </c>
      <c r="I842" s="36">
        <v>4530.6000000000004</v>
      </c>
      <c r="J842" s="36">
        <v>4530.6000000000004</v>
      </c>
      <c r="K842" s="85">
        <v>0</v>
      </c>
      <c r="L842" s="36">
        <v>377.55</v>
      </c>
      <c r="M842" s="36">
        <v>377.55</v>
      </c>
      <c r="N842" s="36">
        <v>0</v>
      </c>
      <c r="O842" s="36">
        <v>0</v>
      </c>
      <c r="P842" t="s">
        <v>129</v>
      </c>
      <c r="Q842" t="s">
        <v>91</v>
      </c>
      <c r="R842" t="s">
        <v>91</v>
      </c>
      <c r="S842" s="1">
        <v>46052</v>
      </c>
      <c r="T842" s="1">
        <v>46052</v>
      </c>
      <c r="V842" s="1">
        <v>46417</v>
      </c>
      <c r="W842" t="s">
        <v>38</v>
      </c>
      <c r="X842">
        <v>12</v>
      </c>
      <c r="Y842" t="s">
        <v>49</v>
      </c>
      <c r="AA842" t="s">
        <v>117</v>
      </c>
      <c r="AB842">
        <v>1</v>
      </c>
      <c r="AC842" t="s">
        <v>93</v>
      </c>
      <c r="AD842" t="s">
        <v>84</v>
      </c>
      <c r="AE842" t="s">
        <v>43</v>
      </c>
      <c r="AF842" t="s">
        <v>44</v>
      </c>
      <c r="AG842" t="str">
        <f t="shared" si="13"/>
        <v>À Vista</v>
      </c>
      <c r="AH842" t="str">
        <f>IF(AND(SUMIF(E:E,E842,I:I)&gt;=400000,Q842="B2G"),"n","")</f>
        <v/>
      </c>
    </row>
    <row r="843" spans="1:34">
      <c r="A843">
        <v>2026</v>
      </c>
      <c r="B843">
        <v>1</v>
      </c>
      <c r="C843" s="83">
        <v>2082603</v>
      </c>
      <c r="D843" t="s">
        <v>879</v>
      </c>
      <c r="E843">
        <v>55044500070</v>
      </c>
      <c r="F843">
        <v>635821</v>
      </c>
      <c r="G843">
        <v>50351033770</v>
      </c>
      <c r="H843" t="s">
        <v>35</v>
      </c>
      <c r="I843" s="36">
        <v>2628</v>
      </c>
      <c r="J843" s="36">
        <v>2628</v>
      </c>
      <c r="K843" s="85">
        <v>0</v>
      </c>
      <c r="L843" s="36">
        <v>219</v>
      </c>
      <c r="M843" s="36">
        <v>219</v>
      </c>
      <c r="N843" s="36">
        <v>0</v>
      </c>
      <c r="O843" s="36">
        <v>0</v>
      </c>
      <c r="P843" t="s">
        <v>511</v>
      </c>
      <c r="Q843" t="s">
        <v>300</v>
      </c>
      <c r="R843" t="s">
        <v>300</v>
      </c>
      <c r="S843" s="1">
        <v>46052</v>
      </c>
      <c r="T843" s="1">
        <v>46052</v>
      </c>
      <c r="V843" s="1">
        <v>46417</v>
      </c>
      <c r="W843" t="s">
        <v>38</v>
      </c>
      <c r="X843">
        <v>12</v>
      </c>
      <c r="Y843" t="s">
        <v>49</v>
      </c>
      <c r="AA843" t="s">
        <v>112</v>
      </c>
      <c r="AB843">
        <v>12</v>
      </c>
      <c r="AC843" t="s">
        <v>301</v>
      </c>
      <c r="AD843" t="s">
        <v>140</v>
      </c>
      <c r="AE843" t="s">
        <v>46</v>
      </c>
      <c r="AF843" t="s">
        <v>119</v>
      </c>
      <c r="AG843" t="str">
        <f t="shared" si="13"/>
        <v>CC 12x</v>
      </c>
      <c r="AH843" t="str">
        <f>IF(AND(SUMIF(E:E,E843,I:I)&gt;=400000,Q843="B2G"),"n","")</f>
        <v/>
      </c>
    </row>
    <row r="844" spans="1:34">
      <c r="A844">
        <v>2026</v>
      </c>
      <c r="B844">
        <v>1</v>
      </c>
      <c r="C844" s="83">
        <v>130444869152</v>
      </c>
      <c r="D844" t="s">
        <v>880</v>
      </c>
      <c r="E844">
        <v>55050942339</v>
      </c>
      <c r="F844">
        <v>608296</v>
      </c>
      <c r="G844">
        <v>50350844321</v>
      </c>
      <c r="H844" t="s">
        <v>35</v>
      </c>
      <c r="I844" s="36">
        <v>4174.8</v>
      </c>
      <c r="J844" s="36">
        <v>4174.8</v>
      </c>
      <c r="K844" s="85">
        <v>0</v>
      </c>
      <c r="L844" s="36">
        <v>347.9</v>
      </c>
      <c r="M844" s="36">
        <v>0</v>
      </c>
      <c r="N844" s="36">
        <v>19.579999999999998</v>
      </c>
      <c r="O844" s="36">
        <v>328.32</v>
      </c>
      <c r="P844" t="s">
        <v>116</v>
      </c>
      <c r="Q844" t="s">
        <v>111</v>
      </c>
      <c r="R844" t="s">
        <v>111</v>
      </c>
      <c r="S844" s="1">
        <v>46052</v>
      </c>
      <c r="T844" s="1">
        <v>46052</v>
      </c>
      <c r="U844" s="1">
        <v>46051</v>
      </c>
      <c r="V844" s="1">
        <v>46416</v>
      </c>
      <c r="W844" t="s">
        <v>38</v>
      </c>
      <c r="X844">
        <v>12</v>
      </c>
      <c r="Y844" t="s">
        <v>49</v>
      </c>
      <c r="Z844" t="s">
        <v>81</v>
      </c>
      <c r="AA844" t="s">
        <v>112</v>
      </c>
      <c r="AB844">
        <v>12</v>
      </c>
      <c r="AC844" t="s">
        <v>113</v>
      </c>
      <c r="AD844" t="s">
        <v>229</v>
      </c>
      <c r="AE844" t="s">
        <v>43</v>
      </c>
      <c r="AF844" t="s">
        <v>96</v>
      </c>
      <c r="AG844" t="str">
        <f t="shared" si="13"/>
        <v>CC 12x</v>
      </c>
      <c r="AH844" t="str">
        <f>IF(AND(SUMIF(E:E,E844,I:I)&gt;=400000,Q844="B2G"),"n","")</f>
        <v/>
      </c>
    </row>
    <row r="845" spans="1:34">
      <c r="A845">
        <v>2026</v>
      </c>
      <c r="B845">
        <v>1</v>
      </c>
      <c r="C845" s="83">
        <v>152062340205</v>
      </c>
      <c r="D845" t="s">
        <v>881</v>
      </c>
      <c r="E845">
        <v>55052026407</v>
      </c>
      <c r="F845">
        <v>608227</v>
      </c>
      <c r="G845">
        <v>50518716206</v>
      </c>
      <c r="H845" t="s">
        <v>35</v>
      </c>
      <c r="I845" s="36">
        <v>4452.6000000000004</v>
      </c>
      <c r="J845" s="36">
        <v>4452.6000000000004</v>
      </c>
      <c r="K845" s="85">
        <v>0</v>
      </c>
      <c r="L845" s="36">
        <v>371.05</v>
      </c>
      <c r="M845" s="36">
        <v>0</v>
      </c>
      <c r="N845" s="36">
        <v>20.55</v>
      </c>
      <c r="O845" s="36">
        <v>350.5</v>
      </c>
      <c r="P845" t="s">
        <v>162</v>
      </c>
      <c r="Q845" t="s">
        <v>111</v>
      </c>
      <c r="R845" t="s">
        <v>111</v>
      </c>
      <c r="S845" s="1">
        <v>46053</v>
      </c>
      <c r="T845" s="1">
        <v>46053</v>
      </c>
      <c r="U845" s="1">
        <v>46051</v>
      </c>
      <c r="V845" s="1">
        <v>46416</v>
      </c>
      <c r="W845" t="s">
        <v>38</v>
      </c>
      <c r="X845">
        <v>12</v>
      </c>
      <c r="Y845" t="s">
        <v>49</v>
      </c>
      <c r="Z845" t="s">
        <v>81</v>
      </c>
      <c r="AA845" t="s">
        <v>122</v>
      </c>
      <c r="AB845">
        <v>12</v>
      </c>
      <c r="AC845" t="s">
        <v>113</v>
      </c>
      <c r="AD845" t="s">
        <v>138</v>
      </c>
      <c r="AE845" t="s">
        <v>135</v>
      </c>
      <c r="AF845" t="s">
        <v>119</v>
      </c>
      <c r="AG845" t="str">
        <f t="shared" si="13"/>
        <v>Recorrente</v>
      </c>
      <c r="AH845" t="str">
        <f>IF(AND(SUMIF(E:E,E845,I:I)&gt;=400000,Q845="B2G"),"n","")</f>
        <v/>
      </c>
    </row>
    <row r="846" spans="1:34">
      <c r="A846">
        <v>2026</v>
      </c>
      <c r="B846">
        <v>1</v>
      </c>
      <c r="C846" s="83">
        <v>174880251575</v>
      </c>
      <c r="D846" t="s">
        <v>882</v>
      </c>
      <c r="E846">
        <v>55053091749</v>
      </c>
      <c r="F846">
        <v>635806</v>
      </c>
      <c r="G846">
        <v>50350875263</v>
      </c>
      <c r="H846" t="s">
        <v>35</v>
      </c>
      <c r="I846" s="36">
        <v>13249.68</v>
      </c>
      <c r="J846" s="36">
        <v>6624.9</v>
      </c>
      <c r="K846" s="85">
        <v>6624.78</v>
      </c>
      <c r="L846" s="36">
        <v>552.08000000000004</v>
      </c>
      <c r="M846" s="36">
        <v>0</v>
      </c>
      <c r="N846" s="36">
        <v>172.77</v>
      </c>
      <c r="O846" s="36">
        <v>379.31</v>
      </c>
      <c r="P846" t="s">
        <v>367</v>
      </c>
      <c r="Q846" t="s">
        <v>191</v>
      </c>
      <c r="R846" t="s">
        <v>191</v>
      </c>
      <c r="S846" s="1">
        <v>46051</v>
      </c>
      <c r="T846" s="1">
        <v>46051</v>
      </c>
      <c r="V846" s="1">
        <v>46781</v>
      </c>
      <c r="W846" t="s">
        <v>56</v>
      </c>
      <c r="Y846" t="s">
        <v>49</v>
      </c>
      <c r="AA846" t="s">
        <v>122</v>
      </c>
      <c r="AB846">
        <v>24</v>
      </c>
      <c r="AC846" t="s">
        <v>192</v>
      </c>
      <c r="AD846" t="s">
        <v>125</v>
      </c>
      <c r="AE846" t="s">
        <v>43</v>
      </c>
      <c r="AF846" t="s">
        <v>47</v>
      </c>
      <c r="AG846" t="str">
        <f t="shared" si="13"/>
        <v>Recorrente</v>
      </c>
      <c r="AH846" t="str">
        <f>IF(AND(SUMIF(E:E,E846,I:I)&gt;=400000,Q846="B2G"),"n","")</f>
        <v/>
      </c>
    </row>
    <row r="847" spans="1:34">
      <c r="A847">
        <v>2026</v>
      </c>
      <c r="B847">
        <v>1</v>
      </c>
      <c r="C847" s="83">
        <v>193868734295</v>
      </c>
      <c r="D847" t="s">
        <v>883</v>
      </c>
      <c r="E847">
        <v>55054326933</v>
      </c>
      <c r="F847">
        <v>635825</v>
      </c>
      <c r="G847">
        <v>50351039824</v>
      </c>
      <c r="H847" t="s">
        <v>35</v>
      </c>
      <c r="I847" s="36">
        <v>2400.12</v>
      </c>
      <c r="J847" s="36">
        <v>2400.08</v>
      </c>
      <c r="K847" s="85">
        <v>0.04</v>
      </c>
      <c r="L847" s="36">
        <v>200.01</v>
      </c>
      <c r="M847" s="36">
        <v>200.01</v>
      </c>
      <c r="N847" s="36">
        <v>0</v>
      </c>
      <c r="O847" s="36">
        <v>0</v>
      </c>
      <c r="P847" t="s">
        <v>829</v>
      </c>
      <c r="Q847" t="s">
        <v>300</v>
      </c>
      <c r="R847" t="s">
        <v>300</v>
      </c>
      <c r="S847" s="1">
        <v>46052</v>
      </c>
      <c r="T847" s="1">
        <v>46052</v>
      </c>
      <c r="V847" s="1">
        <v>46417</v>
      </c>
      <c r="W847" t="s">
        <v>38</v>
      </c>
      <c r="X847">
        <v>12</v>
      </c>
      <c r="Y847" t="s">
        <v>49</v>
      </c>
      <c r="AA847" t="s">
        <v>117</v>
      </c>
      <c r="AB847">
        <v>1</v>
      </c>
      <c r="AC847" t="s">
        <v>301</v>
      </c>
      <c r="AD847" t="s">
        <v>140</v>
      </c>
      <c r="AE847" t="s">
        <v>46</v>
      </c>
      <c r="AF847" t="s">
        <v>119</v>
      </c>
      <c r="AG847" t="str">
        <f t="shared" si="13"/>
        <v>À Vista</v>
      </c>
      <c r="AH847" t="str">
        <f>IF(AND(SUMIF(E:E,E847,I:I)&gt;=400000,Q847="B2G"),"n","")</f>
        <v/>
      </c>
    </row>
    <row r="848" spans="1:34">
      <c r="A848">
        <v>2026</v>
      </c>
      <c r="B848">
        <v>1</v>
      </c>
      <c r="C848" s="83">
        <v>196620285731</v>
      </c>
      <c r="D848" t="s">
        <v>884</v>
      </c>
      <c r="E848">
        <v>55062419862</v>
      </c>
      <c r="F848">
        <v>635809</v>
      </c>
      <c r="G848">
        <v>50352745521</v>
      </c>
      <c r="H848" t="s">
        <v>35</v>
      </c>
      <c r="I848" s="36">
        <v>2874</v>
      </c>
      <c r="J848" s="36">
        <v>2874</v>
      </c>
      <c r="K848" s="85">
        <v>0</v>
      </c>
      <c r="L848" s="36">
        <v>239.5</v>
      </c>
      <c r="M848" s="36">
        <v>239.5</v>
      </c>
      <c r="N848" s="36">
        <v>0</v>
      </c>
      <c r="O848" s="36">
        <v>0</v>
      </c>
      <c r="P848" t="s">
        <v>511</v>
      </c>
      <c r="Q848" t="s">
        <v>300</v>
      </c>
      <c r="R848" t="s">
        <v>300</v>
      </c>
      <c r="S848" s="1">
        <v>46051</v>
      </c>
      <c r="T848" s="1">
        <v>46051</v>
      </c>
      <c r="V848" s="1">
        <v>46416</v>
      </c>
      <c r="W848" t="s">
        <v>38</v>
      </c>
      <c r="X848">
        <v>12</v>
      </c>
      <c r="Y848" t="s">
        <v>49</v>
      </c>
      <c r="AA848" t="s">
        <v>122</v>
      </c>
      <c r="AB848">
        <v>12</v>
      </c>
      <c r="AC848" t="s">
        <v>301</v>
      </c>
      <c r="AD848" t="s">
        <v>118</v>
      </c>
      <c r="AE848" t="s">
        <v>43</v>
      </c>
      <c r="AF848" t="s">
        <v>119</v>
      </c>
      <c r="AG848" t="str">
        <f t="shared" si="13"/>
        <v>Recorrente</v>
      </c>
      <c r="AH848" t="str">
        <f>IF(AND(SUMIF(E:E,E848,I:I)&gt;=400000,Q848="B2G"),"n","")</f>
        <v/>
      </c>
    </row>
    <row r="849" spans="1:34">
      <c r="A849">
        <v>2026</v>
      </c>
      <c r="B849">
        <v>1</v>
      </c>
      <c r="C849" s="83">
        <v>197514379870</v>
      </c>
      <c r="D849" t="s">
        <v>885</v>
      </c>
      <c r="E849">
        <v>55066118467</v>
      </c>
      <c r="F849">
        <v>635827</v>
      </c>
      <c r="G849">
        <v>50352776517</v>
      </c>
      <c r="H849" t="s">
        <v>35</v>
      </c>
      <c r="I849" s="36">
        <v>2470.08</v>
      </c>
      <c r="J849" s="36">
        <v>2470.08</v>
      </c>
      <c r="K849" s="85">
        <v>0</v>
      </c>
      <c r="L849" s="36">
        <v>205.84</v>
      </c>
      <c r="M849" s="36">
        <v>205.84</v>
      </c>
      <c r="N849" s="36">
        <v>0</v>
      </c>
      <c r="O849" s="36">
        <v>0</v>
      </c>
      <c r="P849" t="s">
        <v>511</v>
      </c>
      <c r="Q849" t="s">
        <v>300</v>
      </c>
      <c r="R849" t="s">
        <v>300</v>
      </c>
      <c r="S849" s="1">
        <v>46052</v>
      </c>
      <c r="T849" s="1">
        <v>46052</v>
      </c>
      <c r="V849" s="1">
        <v>46417</v>
      </c>
      <c r="W849" t="s">
        <v>38</v>
      </c>
      <c r="X849">
        <v>12</v>
      </c>
      <c r="Y849" t="s">
        <v>49</v>
      </c>
      <c r="AA849" t="s">
        <v>117</v>
      </c>
      <c r="AB849">
        <v>1</v>
      </c>
      <c r="AC849" t="s">
        <v>301</v>
      </c>
      <c r="AD849" t="s">
        <v>118</v>
      </c>
      <c r="AE849" t="s">
        <v>43</v>
      </c>
      <c r="AF849" t="s">
        <v>119</v>
      </c>
      <c r="AG849" t="str">
        <f t="shared" si="13"/>
        <v>À Vista</v>
      </c>
      <c r="AH849" t="str">
        <f>IF(AND(SUMIF(E:E,E849,I:I)&gt;=400000,Q849="B2G"),"n","")</f>
        <v/>
      </c>
    </row>
    <row r="850" spans="1:34">
      <c r="A850">
        <v>2026</v>
      </c>
      <c r="B850">
        <v>1</v>
      </c>
      <c r="C850" s="83">
        <v>196660362107</v>
      </c>
      <c r="D850" t="s">
        <v>886</v>
      </c>
      <c r="E850">
        <v>55067211379</v>
      </c>
      <c r="F850">
        <v>635845</v>
      </c>
      <c r="G850">
        <v>50351134246</v>
      </c>
      <c r="H850" t="s">
        <v>35</v>
      </c>
      <c r="I850" s="36">
        <v>2375.04</v>
      </c>
      <c r="J850" s="36">
        <v>2375.04</v>
      </c>
      <c r="K850" s="85">
        <v>0</v>
      </c>
      <c r="L850" s="36">
        <v>197.92</v>
      </c>
      <c r="M850" s="36">
        <v>197.92</v>
      </c>
      <c r="N850" s="36">
        <v>0</v>
      </c>
      <c r="O850" s="36">
        <v>0</v>
      </c>
      <c r="P850" t="s">
        <v>511</v>
      </c>
      <c r="Q850" t="s">
        <v>300</v>
      </c>
      <c r="R850" t="s">
        <v>300</v>
      </c>
      <c r="S850" s="1">
        <v>46052</v>
      </c>
      <c r="T850" s="1">
        <v>46052</v>
      </c>
      <c r="V850" s="1">
        <v>46417</v>
      </c>
      <c r="W850" t="s">
        <v>38</v>
      </c>
      <c r="X850">
        <v>12</v>
      </c>
      <c r="Y850" t="s">
        <v>49</v>
      </c>
      <c r="AA850" t="s">
        <v>117</v>
      </c>
      <c r="AB850">
        <v>1</v>
      </c>
      <c r="AC850" t="s">
        <v>301</v>
      </c>
      <c r="AD850" t="s">
        <v>140</v>
      </c>
      <c r="AE850" t="s">
        <v>46</v>
      </c>
      <c r="AF850" t="s">
        <v>119</v>
      </c>
      <c r="AG850" t="str">
        <f t="shared" si="13"/>
        <v>À Vista</v>
      </c>
      <c r="AH850" t="str">
        <f>IF(AND(SUMIF(E:E,E850,I:I)&gt;=400000,Q850="B2G"),"n","")</f>
        <v/>
      </c>
    </row>
    <row r="851" spans="1:34">
      <c r="A851">
        <v>2026</v>
      </c>
      <c r="B851">
        <v>1</v>
      </c>
      <c r="C851" s="83">
        <v>197561081452</v>
      </c>
      <c r="D851" t="s">
        <v>887</v>
      </c>
      <c r="E851">
        <v>55067661130</v>
      </c>
      <c r="F851">
        <v>635842</v>
      </c>
      <c r="G851">
        <v>50438300968</v>
      </c>
      <c r="H851" t="s">
        <v>35</v>
      </c>
      <c r="I851" s="36">
        <v>2442.84</v>
      </c>
      <c r="J851" s="36">
        <v>2442.9</v>
      </c>
      <c r="K851" s="85">
        <v>0</v>
      </c>
      <c r="L851" s="36">
        <v>203.58</v>
      </c>
      <c r="M851" s="36">
        <v>203.58</v>
      </c>
      <c r="N851" s="36">
        <v>0</v>
      </c>
      <c r="O851" s="36">
        <v>0</v>
      </c>
      <c r="P851" t="s">
        <v>313</v>
      </c>
      <c r="Q851" t="s">
        <v>314</v>
      </c>
      <c r="R851" t="s">
        <v>314</v>
      </c>
      <c r="S851" s="1">
        <v>46052</v>
      </c>
      <c r="T851" s="1">
        <v>46052</v>
      </c>
      <c r="V851" s="1">
        <v>46417</v>
      </c>
      <c r="W851" t="s">
        <v>38</v>
      </c>
      <c r="X851">
        <v>12</v>
      </c>
      <c r="Y851" t="s">
        <v>49</v>
      </c>
      <c r="AA851" t="s">
        <v>112</v>
      </c>
      <c r="AB851">
        <v>12</v>
      </c>
      <c r="AC851" t="s">
        <v>315</v>
      </c>
      <c r="AD851" t="s">
        <v>140</v>
      </c>
      <c r="AE851" t="s">
        <v>46</v>
      </c>
      <c r="AF851" t="s">
        <v>119</v>
      </c>
      <c r="AG851" t="str">
        <f t="shared" si="13"/>
        <v>CC 12x</v>
      </c>
      <c r="AH851" t="str">
        <f>IF(AND(SUMIF(E:E,E851,I:I)&gt;=400000,Q851="B2G"),"n","")</f>
        <v/>
      </c>
    </row>
    <row r="852" spans="1:34">
      <c r="A852">
        <v>2026</v>
      </c>
      <c r="B852">
        <v>1</v>
      </c>
      <c r="C852" s="83">
        <v>50165132350</v>
      </c>
      <c r="D852" t="s">
        <v>888</v>
      </c>
      <c r="E852">
        <v>55067662915</v>
      </c>
      <c r="F852">
        <v>635802</v>
      </c>
      <c r="G852">
        <v>50351057683</v>
      </c>
      <c r="H852" t="s">
        <v>35</v>
      </c>
      <c r="I852" s="36">
        <v>2874</v>
      </c>
      <c r="J852" s="36">
        <v>2874</v>
      </c>
      <c r="K852" s="85">
        <v>0</v>
      </c>
      <c r="L852" s="36">
        <v>239.5</v>
      </c>
      <c r="M852" s="36">
        <v>239.5</v>
      </c>
      <c r="N852" s="36">
        <v>0</v>
      </c>
      <c r="O852" s="36">
        <v>0</v>
      </c>
      <c r="P852" t="s">
        <v>361</v>
      </c>
      <c r="Q852" t="s">
        <v>349</v>
      </c>
      <c r="R852" t="s">
        <v>349</v>
      </c>
      <c r="S852" s="1">
        <v>46051</v>
      </c>
      <c r="T852" s="1">
        <v>46051</v>
      </c>
      <c r="V852" s="1">
        <v>46416</v>
      </c>
      <c r="W852" t="s">
        <v>38</v>
      </c>
      <c r="X852">
        <v>12</v>
      </c>
      <c r="Y852" t="s">
        <v>49</v>
      </c>
      <c r="AA852" t="s">
        <v>92</v>
      </c>
      <c r="AB852">
        <v>12</v>
      </c>
      <c r="AC852" t="s">
        <v>350</v>
      </c>
      <c r="AD852" t="s">
        <v>140</v>
      </c>
      <c r="AE852" t="s">
        <v>46</v>
      </c>
      <c r="AF852" t="s">
        <v>119</v>
      </c>
      <c r="AG852" t="str">
        <f t="shared" si="13"/>
        <v>Recorrente</v>
      </c>
      <c r="AH852" t="str">
        <f>IF(AND(SUMIF(E:E,E852,I:I)&gt;=400000,Q852="B2G"),"n","")</f>
        <v/>
      </c>
    </row>
    <row r="853" spans="1:34">
      <c r="A853">
        <v>2026</v>
      </c>
      <c r="B853">
        <v>1</v>
      </c>
      <c r="C853" s="83">
        <v>101393757742</v>
      </c>
      <c r="D853" t="s">
        <v>889</v>
      </c>
      <c r="E853">
        <v>55071718582</v>
      </c>
      <c r="F853">
        <v>635817</v>
      </c>
      <c r="G853">
        <v>50414474010</v>
      </c>
      <c r="H853" t="s">
        <v>35</v>
      </c>
      <c r="I853" s="36">
        <v>2874</v>
      </c>
      <c r="J853" s="36">
        <v>2874</v>
      </c>
      <c r="K853" s="85">
        <v>0</v>
      </c>
      <c r="L853" s="36">
        <v>239.5</v>
      </c>
      <c r="M853" s="36">
        <v>239.5</v>
      </c>
      <c r="N853" s="36">
        <v>0</v>
      </c>
      <c r="O853" s="36">
        <v>0</v>
      </c>
      <c r="P853" t="s">
        <v>497</v>
      </c>
      <c r="Q853" t="s">
        <v>498</v>
      </c>
      <c r="R853" t="s">
        <v>498</v>
      </c>
      <c r="S853" s="1">
        <v>46052</v>
      </c>
      <c r="T853" s="1">
        <v>46052</v>
      </c>
      <c r="V853" s="1">
        <v>46417</v>
      </c>
      <c r="W853" t="s">
        <v>38</v>
      </c>
      <c r="X853">
        <v>12</v>
      </c>
      <c r="Y853" t="s">
        <v>49</v>
      </c>
      <c r="AA853" t="s">
        <v>117</v>
      </c>
      <c r="AB853">
        <v>1</v>
      </c>
      <c r="AC853" t="s">
        <v>499</v>
      </c>
      <c r="AD853" t="s">
        <v>118</v>
      </c>
      <c r="AE853" t="s">
        <v>43</v>
      </c>
      <c r="AF853" t="s">
        <v>119</v>
      </c>
      <c r="AG853" t="str">
        <f t="shared" si="13"/>
        <v>À Vista</v>
      </c>
      <c r="AH853" t="str">
        <f>IF(AND(SUMIF(E:E,E853,I:I)&gt;=400000,Q853="B2G"),"n","")</f>
        <v/>
      </c>
    </row>
    <row r="854" spans="1:34">
      <c r="A854">
        <v>2026</v>
      </c>
      <c r="B854">
        <v>1</v>
      </c>
      <c r="C854" s="83">
        <v>197278160749</v>
      </c>
      <c r="D854" t="s">
        <v>890</v>
      </c>
      <c r="E854">
        <v>55072183916</v>
      </c>
      <c r="F854">
        <v>635820</v>
      </c>
      <c r="G854">
        <v>50352771740</v>
      </c>
      <c r="H854" t="s">
        <v>35</v>
      </c>
      <c r="I854" s="36">
        <v>2529.12</v>
      </c>
      <c r="J854" s="36">
        <v>2529.12</v>
      </c>
      <c r="K854" s="85">
        <v>0</v>
      </c>
      <c r="L854" s="36">
        <v>210.76</v>
      </c>
      <c r="M854" s="36">
        <v>210.76</v>
      </c>
      <c r="N854" s="36">
        <v>0</v>
      </c>
      <c r="O854" s="36">
        <v>0</v>
      </c>
      <c r="P854" t="s">
        <v>299</v>
      </c>
      <c r="Q854" t="s">
        <v>300</v>
      </c>
      <c r="R854" t="s">
        <v>300</v>
      </c>
      <c r="S854" s="1">
        <v>46052</v>
      </c>
      <c r="T854" s="1">
        <v>46052</v>
      </c>
      <c r="V854" s="1">
        <v>46417</v>
      </c>
      <c r="W854" t="s">
        <v>38</v>
      </c>
      <c r="X854">
        <v>12</v>
      </c>
      <c r="Y854" t="s">
        <v>49</v>
      </c>
      <c r="AA854" t="s">
        <v>112</v>
      </c>
      <c r="AB854">
        <v>12</v>
      </c>
      <c r="AC854" t="s">
        <v>301</v>
      </c>
      <c r="AD854" t="s">
        <v>140</v>
      </c>
      <c r="AE854" t="s">
        <v>46</v>
      </c>
      <c r="AF854" t="s">
        <v>119</v>
      </c>
      <c r="AG854" t="str">
        <f t="shared" si="13"/>
        <v>CC 12x</v>
      </c>
      <c r="AH854" t="str">
        <f>IF(AND(SUMIF(E:E,E854,I:I)&gt;=400000,Q854="B2G"),"n","")</f>
        <v/>
      </c>
    </row>
    <row r="855" spans="1:34">
      <c r="A855">
        <v>2026</v>
      </c>
      <c r="B855">
        <v>1</v>
      </c>
      <c r="C855" s="83">
        <v>98689643048</v>
      </c>
      <c r="D855" t="s">
        <v>891</v>
      </c>
      <c r="E855">
        <v>55082451477</v>
      </c>
      <c r="F855">
        <v>635823</v>
      </c>
      <c r="G855">
        <v>50425898875</v>
      </c>
      <c r="H855" t="s">
        <v>35</v>
      </c>
      <c r="I855" s="36">
        <v>4074</v>
      </c>
      <c r="J855" s="36">
        <v>4074</v>
      </c>
      <c r="K855" s="85">
        <v>0</v>
      </c>
      <c r="L855" s="36">
        <v>339.5</v>
      </c>
      <c r="M855" s="36">
        <v>339.5</v>
      </c>
      <c r="N855" s="36">
        <v>0</v>
      </c>
      <c r="O855" s="36">
        <v>0</v>
      </c>
      <c r="P855" t="s">
        <v>829</v>
      </c>
      <c r="Q855" t="s">
        <v>300</v>
      </c>
      <c r="R855" t="s">
        <v>300</v>
      </c>
      <c r="S855" s="1">
        <v>46052</v>
      </c>
      <c r="T855" s="1">
        <v>46052</v>
      </c>
      <c r="V855" s="1">
        <v>46417</v>
      </c>
      <c r="W855" t="s">
        <v>38</v>
      </c>
      <c r="X855">
        <v>12</v>
      </c>
      <c r="Y855" t="s">
        <v>49</v>
      </c>
      <c r="AA855" t="s">
        <v>122</v>
      </c>
      <c r="AB855">
        <v>12</v>
      </c>
      <c r="AC855" t="s">
        <v>301</v>
      </c>
      <c r="AD855" t="s">
        <v>160</v>
      </c>
      <c r="AE855" t="s">
        <v>43</v>
      </c>
      <c r="AF855" t="s">
        <v>44</v>
      </c>
      <c r="AG855" t="str">
        <f t="shared" si="13"/>
        <v>Recorrente</v>
      </c>
      <c r="AH855" t="str">
        <f>IF(AND(SUMIF(E:E,E855,I:I)&gt;=400000,Q855="B2G"),"n","")</f>
        <v/>
      </c>
    </row>
    <row r="856" spans="1:34">
      <c r="A856">
        <v>2026</v>
      </c>
      <c r="B856">
        <v>1</v>
      </c>
      <c r="C856" s="83">
        <v>19699665316</v>
      </c>
      <c r="D856" t="s">
        <v>892</v>
      </c>
      <c r="E856">
        <v>55103814995</v>
      </c>
      <c r="F856">
        <v>635840</v>
      </c>
      <c r="G856">
        <v>50426153071</v>
      </c>
      <c r="H856" t="s">
        <v>35</v>
      </c>
      <c r="I856" s="36">
        <v>2874</v>
      </c>
      <c r="J856" s="36">
        <v>2874</v>
      </c>
      <c r="K856" s="85">
        <v>0</v>
      </c>
      <c r="L856" s="36">
        <v>239.5</v>
      </c>
      <c r="M856" s="36">
        <v>0</v>
      </c>
      <c r="N856" s="36">
        <v>239.5</v>
      </c>
      <c r="O856" s="36">
        <v>0</v>
      </c>
      <c r="P856" t="s">
        <v>520</v>
      </c>
      <c r="Q856" t="s">
        <v>191</v>
      </c>
      <c r="R856" t="s">
        <v>191</v>
      </c>
      <c r="S856" s="1">
        <v>46052</v>
      </c>
      <c r="T856" s="1">
        <v>46052</v>
      </c>
      <c r="V856" s="1">
        <v>46417</v>
      </c>
      <c r="W856" t="s">
        <v>38</v>
      </c>
      <c r="X856">
        <v>12</v>
      </c>
      <c r="Y856" t="s">
        <v>49</v>
      </c>
      <c r="AA856" t="s">
        <v>122</v>
      </c>
      <c r="AB856">
        <v>12</v>
      </c>
      <c r="AC856" t="s">
        <v>192</v>
      </c>
      <c r="AD856" t="s">
        <v>118</v>
      </c>
      <c r="AE856" t="s">
        <v>43</v>
      </c>
      <c r="AF856" t="s">
        <v>119</v>
      </c>
      <c r="AG856" t="str">
        <f t="shared" si="13"/>
        <v>Recorrente</v>
      </c>
      <c r="AH856" t="str">
        <f>IF(AND(SUMIF(E:E,E856,I:I)&gt;=400000,Q856="B2G"),"n","")</f>
        <v/>
      </c>
    </row>
    <row r="857" spans="1:34">
      <c r="A857">
        <v>2026</v>
      </c>
      <c r="B857">
        <v>1</v>
      </c>
      <c r="C857" s="83">
        <v>183352041364</v>
      </c>
      <c r="D857" t="s">
        <v>893</v>
      </c>
      <c r="E857">
        <v>55104429659</v>
      </c>
      <c r="F857">
        <v>635830</v>
      </c>
      <c r="G857">
        <v>50350925186</v>
      </c>
      <c r="H857" t="s">
        <v>35</v>
      </c>
      <c r="I857" s="36">
        <v>4107.72</v>
      </c>
      <c r="J857" s="36">
        <v>4107.74</v>
      </c>
      <c r="K857" s="85">
        <v>0</v>
      </c>
      <c r="L857" s="36">
        <v>342.31</v>
      </c>
      <c r="M857" s="36">
        <v>342.31</v>
      </c>
      <c r="N857" s="36">
        <v>0</v>
      </c>
      <c r="O857" s="36">
        <v>0</v>
      </c>
      <c r="P857" t="s">
        <v>501</v>
      </c>
      <c r="Q857" t="s">
        <v>314</v>
      </c>
      <c r="R857" t="s">
        <v>314</v>
      </c>
      <c r="S857" s="1">
        <v>46052</v>
      </c>
      <c r="T857" s="1">
        <v>46052</v>
      </c>
      <c r="V857" s="1">
        <v>46417</v>
      </c>
      <c r="W857" t="s">
        <v>38</v>
      </c>
      <c r="X857">
        <v>12</v>
      </c>
      <c r="Y857" t="s">
        <v>49</v>
      </c>
      <c r="AA857" t="s">
        <v>112</v>
      </c>
      <c r="AB857">
        <v>12</v>
      </c>
      <c r="AC857" t="s">
        <v>315</v>
      </c>
      <c r="AD857" t="s">
        <v>84</v>
      </c>
      <c r="AE857" t="s">
        <v>43</v>
      </c>
      <c r="AF857" t="s">
        <v>44</v>
      </c>
      <c r="AG857" t="str">
        <f t="shared" si="13"/>
        <v>CC 12x</v>
      </c>
      <c r="AH857" t="str">
        <f>IF(AND(SUMIF(E:E,E857,I:I)&gt;=400000,Q857="B2G"),"n","")</f>
        <v/>
      </c>
    </row>
    <row r="858" spans="1:34">
      <c r="A858">
        <v>2026</v>
      </c>
      <c r="B858">
        <v>1</v>
      </c>
      <c r="C858" s="83">
        <v>123666781714</v>
      </c>
      <c r="D858" t="s">
        <v>894</v>
      </c>
      <c r="E858">
        <v>55113586743</v>
      </c>
      <c r="F858">
        <v>635841</v>
      </c>
      <c r="G858">
        <v>50425528996</v>
      </c>
      <c r="H858" t="s">
        <v>35</v>
      </c>
      <c r="I858" s="36">
        <v>633</v>
      </c>
      <c r="J858" s="36">
        <v>7596</v>
      </c>
      <c r="K858" s="85">
        <v>0</v>
      </c>
      <c r="L858" s="36">
        <v>633</v>
      </c>
      <c r="M858" s="36">
        <v>633</v>
      </c>
      <c r="N858" s="36">
        <v>0</v>
      </c>
      <c r="O858" s="36">
        <v>0</v>
      </c>
      <c r="P858" t="s">
        <v>121</v>
      </c>
      <c r="Q858" t="s">
        <v>111</v>
      </c>
      <c r="R858" t="s">
        <v>111</v>
      </c>
      <c r="S858" s="1">
        <v>46052</v>
      </c>
      <c r="T858" s="1">
        <v>46052</v>
      </c>
      <c r="V858" s="1">
        <v>46083</v>
      </c>
      <c r="W858" t="s">
        <v>679</v>
      </c>
      <c r="X858">
        <v>2</v>
      </c>
      <c r="Y858" t="s">
        <v>49</v>
      </c>
      <c r="AA858" t="s">
        <v>112</v>
      </c>
      <c r="AB858">
        <v>1</v>
      </c>
      <c r="AC858" t="s">
        <v>113</v>
      </c>
      <c r="AD858" t="s">
        <v>84</v>
      </c>
      <c r="AE858" t="s">
        <v>43</v>
      </c>
      <c r="AF858" t="s">
        <v>44</v>
      </c>
      <c r="AG858" t="str">
        <f t="shared" si="13"/>
        <v>À Vista</v>
      </c>
      <c r="AH858" t="str">
        <f>IF(AND(SUMIF(E:E,E858,I:I)&gt;=400000,Q858="B2G"),"n","")</f>
        <v/>
      </c>
    </row>
    <row r="859" spans="1:34">
      <c r="A859">
        <v>2026</v>
      </c>
      <c r="B859">
        <v>1</v>
      </c>
      <c r="C859" s="83">
        <v>43141979246</v>
      </c>
      <c r="D859" t="s">
        <v>895</v>
      </c>
      <c r="E859">
        <v>55114891797</v>
      </c>
      <c r="F859">
        <v>634280</v>
      </c>
      <c r="G859">
        <v>50425906013</v>
      </c>
      <c r="H859" t="s">
        <v>35</v>
      </c>
      <c r="I859" s="36">
        <v>2738.52</v>
      </c>
      <c r="J859" s="36">
        <v>0.12</v>
      </c>
      <c r="K859" s="85">
        <v>2738.4</v>
      </c>
      <c r="L859" s="36">
        <v>304.23</v>
      </c>
      <c r="M859" s="36">
        <v>0</v>
      </c>
      <c r="N859" s="36">
        <v>0</v>
      </c>
      <c r="O859" s="36">
        <v>304.23</v>
      </c>
      <c r="P859" t="s">
        <v>367</v>
      </c>
      <c r="Q859" t="s">
        <v>191</v>
      </c>
      <c r="R859" t="s">
        <v>191</v>
      </c>
      <c r="S859" s="1">
        <v>46052</v>
      </c>
      <c r="T859" s="1">
        <v>46052</v>
      </c>
      <c r="V859" s="1">
        <v>46326</v>
      </c>
      <c r="W859" t="s">
        <v>38</v>
      </c>
      <c r="X859">
        <v>9</v>
      </c>
      <c r="Y859" t="s">
        <v>49</v>
      </c>
      <c r="Z859" t="s">
        <v>324</v>
      </c>
      <c r="AA859" t="s">
        <v>92</v>
      </c>
      <c r="AB859">
        <v>8</v>
      </c>
      <c r="AC859" t="s">
        <v>192</v>
      </c>
      <c r="AD859" t="s">
        <v>131</v>
      </c>
      <c r="AE859" t="s">
        <v>46</v>
      </c>
      <c r="AF859" t="s">
        <v>96</v>
      </c>
      <c r="AG859" t="str">
        <f t="shared" si="13"/>
        <v>Recorrente</v>
      </c>
      <c r="AH859" t="str">
        <f>IF(AND(SUMIF(E:E,E859,I:I)&gt;=400000,Q859="B2G"),"n","")</f>
        <v/>
      </c>
    </row>
    <row r="860" spans="1:34">
      <c r="A860">
        <v>2026</v>
      </c>
      <c r="B860">
        <v>1</v>
      </c>
      <c r="C860" s="83">
        <v>34380801347</v>
      </c>
      <c r="D860" t="s">
        <v>896</v>
      </c>
      <c r="E860">
        <v>55130253995</v>
      </c>
      <c r="F860">
        <v>608300</v>
      </c>
      <c r="G860">
        <v>50425964917</v>
      </c>
      <c r="H860" t="s">
        <v>35</v>
      </c>
      <c r="I860" s="36">
        <v>5688.48</v>
      </c>
      <c r="J860" s="36">
        <v>5688.48</v>
      </c>
      <c r="K860" s="85">
        <v>0</v>
      </c>
      <c r="L860" s="36">
        <v>474.04</v>
      </c>
      <c r="M860" s="36">
        <v>0</v>
      </c>
      <c r="N860" s="36">
        <v>24.94</v>
      </c>
      <c r="O860" s="36">
        <v>449.1</v>
      </c>
      <c r="P860" t="s">
        <v>127</v>
      </c>
      <c r="Q860" t="s">
        <v>111</v>
      </c>
      <c r="R860" t="s">
        <v>111</v>
      </c>
      <c r="S860" s="1">
        <v>46052</v>
      </c>
      <c r="T860" s="1">
        <v>46052</v>
      </c>
      <c r="U860" s="1">
        <v>46051</v>
      </c>
      <c r="V860" s="1">
        <v>46416</v>
      </c>
      <c r="W860" t="s">
        <v>38</v>
      </c>
      <c r="X860">
        <v>12</v>
      </c>
      <c r="Y860" t="s">
        <v>49</v>
      </c>
      <c r="Z860" t="s">
        <v>81</v>
      </c>
      <c r="AA860" t="s">
        <v>112</v>
      </c>
      <c r="AB860">
        <v>12</v>
      </c>
      <c r="AC860" t="s">
        <v>113</v>
      </c>
      <c r="AD860" t="s">
        <v>149</v>
      </c>
      <c r="AE860" t="s">
        <v>43</v>
      </c>
      <c r="AF860" t="s">
        <v>96</v>
      </c>
      <c r="AG860" t="str">
        <f t="shared" si="13"/>
        <v>CC 12x</v>
      </c>
      <c r="AH860" t="str">
        <f>IF(AND(SUMIF(E:E,E860,I:I)&gt;=400000,Q860="B2G"),"n","")</f>
        <v/>
      </c>
    </row>
    <row r="861" spans="1:34">
      <c r="A861">
        <v>2026</v>
      </c>
      <c r="B861">
        <v>1</v>
      </c>
      <c r="C861" s="83">
        <v>130473626264</v>
      </c>
      <c r="D861" t="s">
        <v>897</v>
      </c>
      <c r="E861">
        <v>55130721645</v>
      </c>
      <c r="F861">
        <v>635850</v>
      </c>
      <c r="G861">
        <v>50514042418</v>
      </c>
      <c r="H861" t="s">
        <v>35</v>
      </c>
      <c r="I861" s="36">
        <v>4560</v>
      </c>
      <c r="J861" s="36">
        <v>4559.99</v>
      </c>
      <c r="K861" s="85">
        <v>0.01</v>
      </c>
      <c r="L861" s="36">
        <v>380</v>
      </c>
      <c r="M861" s="36">
        <v>380</v>
      </c>
      <c r="N861" s="36">
        <v>0</v>
      </c>
      <c r="O861" s="36">
        <v>0</v>
      </c>
      <c r="P861" t="s">
        <v>501</v>
      </c>
      <c r="Q861" t="s">
        <v>314</v>
      </c>
      <c r="R861" t="s">
        <v>314</v>
      </c>
      <c r="S861" s="1">
        <v>46052</v>
      </c>
      <c r="T861" s="1">
        <v>46052</v>
      </c>
      <c r="V861" s="1">
        <v>46417</v>
      </c>
      <c r="W861" t="s">
        <v>38</v>
      </c>
      <c r="X861">
        <v>12</v>
      </c>
      <c r="Y861" t="s">
        <v>49</v>
      </c>
      <c r="AA861" t="s">
        <v>112</v>
      </c>
      <c r="AB861">
        <v>12</v>
      </c>
      <c r="AC861" t="s">
        <v>315</v>
      </c>
      <c r="AD861" t="s">
        <v>85</v>
      </c>
      <c r="AE861" t="s">
        <v>46</v>
      </c>
      <c r="AF861" t="s">
        <v>44</v>
      </c>
      <c r="AG861" t="str">
        <f t="shared" si="13"/>
        <v>CC 12x</v>
      </c>
      <c r="AH861" t="str">
        <f>IF(AND(SUMIF(E:E,E861,I:I)&gt;=400000,Q861="B2G"),"n","")</f>
        <v/>
      </c>
    </row>
    <row r="862" spans="1:34">
      <c r="A862">
        <v>2026</v>
      </c>
      <c r="B862">
        <v>1</v>
      </c>
      <c r="C862" s="83">
        <v>192306575997</v>
      </c>
      <c r="D862" t="s">
        <v>898</v>
      </c>
      <c r="E862">
        <v>55131494840</v>
      </c>
      <c r="F862">
        <v>635843</v>
      </c>
      <c r="G862">
        <v>50426032399</v>
      </c>
      <c r="H862" t="s">
        <v>35</v>
      </c>
      <c r="I862" s="36">
        <v>4962.6000000000004</v>
      </c>
      <c r="J862" s="36">
        <v>4962.6000000000004</v>
      </c>
      <c r="K862" s="85">
        <v>0</v>
      </c>
      <c r="L862" s="36">
        <v>413.55</v>
      </c>
      <c r="M862" s="36">
        <v>413.55</v>
      </c>
      <c r="N862" s="36">
        <v>0</v>
      </c>
      <c r="O862" s="36">
        <v>0</v>
      </c>
      <c r="P862" t="s">
        <v>511</v>
      </c>
      <c r="Q862" t="s">
        <v>300</v>
      </c>
      <c r="R862" t="s">
        <v>300</v>
      </c>
      <c r="S862" s="1">
        <v>46052</v>
      </c>
      <c r="T862" s="1">
        <v>46052</v>
      </c>
      <c r="V862" s="1">
        <v>46417</v>
      </c>
      <c r="W862" t="s">
        <v>38</v>
      </c>
      <c r="X862">
        <v>12</v>
      </c>
      <c r="Y862" t="s">
        <v>49</v>
      </c>
      <c r="AA862" t="s">
        <v>112</v>
      </c>
      <c r="AB862">
        <v>12</v>
      </c>
      <c r="AC862" t="s">
        <v>301</v>
      </c>
      <c r="AD862" t="s">
        <v>138</v>
      </c>
      <c r="AE862" t="s">
        <v>135</v>
      </c>
      <c r="AF862" t="s">
        <v>119</v>
      </c>
      <c r="AG862" t="str">
        <f t="shared" si="13"/>
        <v>CC 12x</v>
      </c>
      <c r="AH862" t="str">
        <f>IF(AND(SUMIF(E:E,E862,I:I)&gt;=400000,Q862="B2G"),"n","")</f>
        <v/>
      </c>
    </row>
    <row r="863" spans="1:34">
      <c r="A863">
        <v>2026</v>
      </c>
      <c r="B863">
        <v>1</v>
      </c>
      <c r="C863" s="83">
        <v>2136428</v>
      </c>
      <c r="D863" t="s">
        <v>295</v>
      </c>
      <c r="E863">
        <v>55133399084</v>
      </c>
      <c r="F863">
        <v>628965</v>
      </c>
      <c r="G863">
        <v>50438300534</v>
      </c>
      <c r="H863" t="s">
        <v>35</v>
      </c>
      <c r="I863" s="36">
        <v>662.76</v>
      </c>
      <c r="J863" s="36">
        <v>2882.04</v>
      </c>
      <c r="K863" s="85">
        <v>0</v>
      </c>
      <c r="L863" s="36">
        <v>240.17</v>
      </c>
      <c r="M863" s="36">
        <v>0</v>
      </c>
      <c r="N863" s="36">
        <v>240.17</v>
      </c>
      <c r="O863" s="36">
        <v>0</v>
      </c>
      <c r="P863" t="s">
        <v>804</v>
      </c>
      <c r="Q863" t="s">
        <v>191</v>
      </c>
      <c r="R863" t="s">
        <v>191</v>
      </c>
      <c r="S863" s="1">
        <v>46052</v>
      </c>
      <c r="T863" s="1">
        <v>46052</v>
      </c>
      <c r="V863" s="1">
        <v>46136</v>
      </c>
      <c r="W863" t="s">
        <v>38</v>
      </c>
      <c r="X863">
        <v>3</v>
      </c>
      <c r="Y863" t="s">
        <v>49</v>
      </c>
      <c r="Z863" t="s">
        <v>324</v>
      </c>
      <c r="AA863" t="s">
        <v>122</v>
      </c>
      <c r="AB863">
        <v>2</v>
      </c>
      <c r="AC863" t="s">
        <v>192</v>
      </c>
      <c r="AD863" t="s">
        <v>85</v>
      </c>
      <c r="AE863" t="s">
        <v>46</v>
      </c>
      <c r="AF863" t="s">
        <v>44</v>
      </c>
      <c r="AG863" t="str">
        <f t="shared" si="13"/>
        <v>Recorrente</v>
      </c>
      <c r="AH863" t="str">
        <f>IF(AND(SUMIF(E:E,E863,I:I)&gt;=400000,Q863="B2G"),"n","")</f>
        <v/>
      </c>
    </row>
    <row r="864" spans="1:34">
      <c r="A864">
        <v>2026</v>
      </c>
      <c r="B864">
        <v>1</v>
      </c>
      <c r="C864" s="83">
        <v>50330019077</v>
      </c>
      <c r="D864" t="s">
        <v>899</v>
      </c>
      <c r="E864">
        <v>55148853848</v>
      </c>
      <c r="F864">
        <v>635857</v>
      </c>
      <c r="G864">
        <v>50507433732</v>
      </c>
      <c r="H864" t="s">
        <v>35</v>
      </c>
      <c r="I864" s="36">
        <v>3859.8</v>
      </c>
      <c r="J864" s="36">
        <v>3859.8</v>
      </c>
      <c r="K864" s="85">
        <v>0</v>
      </c>
      <c r="L864" s="36">
        <v>321.64999999999998</v>
      </c>
      <c r="M864" s="36">
        <v>0</v>
      </c>
      <c r="N864" s="36">
        <v>321.64999999999998</v>
      </c>
      <c r="O864" s="36">
        <v>0</v>
      </c>
      <c r="P864" t="s">
        <v>190</v>
      </c>
      <c r="Q864" t="s">
        <v>191</v>
      </c>
      <c r="R864" t="s">
        <v>191</v>
      </c>
      <c r="S864" s="1">
        <v>46053</v>
      </c>
      <c r="T864" s="1">
        <v>46053</v>
      </c>
      <c r="V864" s="1">
        <v>46418</v>
      </c>
      <c r="W864" t="s">
        <v>38</v>
      </c>
      <c r="X864">
        <v>12</v>
      </c>
      <c r="Y864" t="s">
        <v>49</v>
      </c>
      <c r="AA864" t="s">
        <v>122</v>
      </c>
      <c r="AB864">
        <v>12</v>
      </c>
      <c r="AC864" t="s">
        <v>192</v>
      </c>
      <c r="AD864" t="s">
        <v>138</v>
      </c>
      <c r="AE864" t="s">
        <v>135</v>
      </c>
      <c r="AF864" t="s">
        <v>119</v>
      </c>
      <c r="AG864" t="str">
        <f t="shared" si="13"/>
        <v>Recorrente</v>
      </c>
      <c r="AH864" t="str">
        <f>IF(AND(SUMIF(E:E,E864,I:I)&gt;=400000,Q864="B2G"),"n","")</f>
        <v/>
      </c>
    </row>
    <row r="865" spans="1:34">
      <c r="A865">
        <v>2026</v>
      </c>
      <c r="B865">
        <v>1</v>
      </c>
      <c r="C865" s="83">
        <v>198013173267</v>
      </c>
      <c r="D865" t="s">
        <v>900</v>
      </c>
      <c r="E865">
        <v>55153042063</v>
      </c>
      <c r="F865">
        <v>635837</v>
      </c>
      <c r="G865">
        <v>50437982524</v>
      </c>
      <c r="H865" t="s">
        <v>104</v>
      </c>
      <c r="I865" s="36">
        <v>718.8</v>
      </c>
      <c r="J865" s="36">
        <v>718.8</v>
      </c>
      <c r="K865" s="85">
        <v>0</v>
      </c>
      <c r="L865" s="36">
        <v>59.9</v>
      </c>
      <c r="M865" s="36">
        <v>59.9</v>
      </c>
      <c r="N865" s="36">
        <v>0</v>
      </c>
      <c r="O865" s="36">
        <v>0</v>
      </c>
      <c r="P865" t="s">
        <v>497</v>
      </c>
      <c r="Q865" t="s">
        <v>498</v>
      </c>
      <c r="R865" t="s">
        <v>498</v>
      </c>
      <c r="S865" s="1">
        <v>46052</v>
      </c>
      <c r="T865" s="1">
        <v>46052</v>
      </c>
      <c r="V865" s="1">
        <v>46417</v>
      </c>
      <c r="W865" t="s">
        <v>38</v>
      </c>
      <c r="X865">
        <v>12</v>
      </c>
      <c r="Y865" t="s">
        <v>49</v>
      </c>
      <c r="AA865" t="s">
        <v>117</v>
      </c>
      <c r="AB865">
        <v>1</v>
      </c>
      <c r="AC865" t="s">
        <v>499</v>
      </c>
      <c r="AD865" t="s">
        <v>105</v>
      </c>
      <c r="AE865" t="s">
        <v>106</v>
      </c>
      <c r="AF865" t="s">
        <v>59</v>
      </c>
      <c r="AG865" t="str">
        <f t="shared" si="13"/>
        <v>À Vista</v>
      </c>
      <c r="AH865" t="str">
        <f>IF(AND(SUMIF(E:E,E865,I:I)&gt;=400000,Q865="B2G"),"n","")</f>
        <v/>
      </c>
    </row>
    <row r="866" spans="1:34">
      <c r="A866">
        <v>2026</v>
      </c>
      <c r="B866">
        <v>1</v>
      </c>
      <c r="C866" s="83">
        <v>198138817159</v>
      </c>
      <c r="D866" t="s">
        <v>901</v>
      </c>
      <c r="E866">
        <v>55228453912</v>
      </c>
      <c r="F866">
        <v>635853</v>
      </c>
      <c r="G866">
        <v>50526388002</v>
      </c>
      <c r="H866" t="s">
        <v>35</v>
      </c>
      <c r="I866" s="36">
        <v>2874</v>
      </c>
      <c r="J866" s="36">
        <v>2874</v>
      </c>
      <c r="K866" s="85">
        <v>0</v>
      </c>
      <c r="L866" s="36">
        <v>239.5</v>
      </c>
      <c r="M866" s="36">
        <v>239.5</v>
      </c>
      <c r="N866" s="36">
        <v>0</v>
      </c>
      <c r="O866" s="36">
        <v>0</v>
      </c>
      <c r="P866" t="s">
        <v>497</v>
      </c>
      <c r="Q866" t="s">
        <v>498</v>
      </c>
      <c r="R866" t="s">
        <v>498</v>
      </c>
      <c r="S866" s="1">
        <v>46052</v>
      </c>
      <c r="T866" s="1">
        <v>46052</v>
      </c>
      <c r="V866" s="1">
        <v>46417</v>
      </c>
      <c r="W866" t="s">
        <v>38</v>
      </c>
      <c r="X866">
        <v>12</v>
      </c>
      <c r="Y866" t="s">
        <v>49</v>
      </c>
      <c r="AA866" t="s">
        <v>112</v>
      </c>
      <c r="AB866">
        <v>12</v>
      </c>
      <c r="AC866" t="s">
        <v>499</v>
      </c>
      <c r="AD866" t="s">
        <v>118</v>
      </c>
      <c r="AE866" t="s">
        <v>43</v>
      </c>
      <c r="AF866" t="s">
        <v>119</v>
      </c>
      <c r="AG866" t="str">
        <f t="shared" si="13"/>
        <v>CC 12x</v>
      </c>
      <c r="AH866" t="str">
        <f>IF(AND(SUMIF(E:E,E866,I:I)&gt;=400000,Q866="B2G"),"n","")</f>
        <v/>
      </c>
    </row>
    <row r="867" spans="1:34">
      <c r="A867">
        <v>2026</v>
      </c>
      <c r="B867">
        <v>1</v>
      </c>
      <c r="C867" s="83">
        <v>19486023982</v>
      </c>
      <c r="D867" t="s">
        <v>902</v>
      </c>
      <c r="E867">
        <v>55261273362</v>
      </c>
      <c r="F867">
        <v>303515</v>
      </c>
      <c r="G867">
        <v>50599264415</v>
      </c>
      <c r="H867" t="s">
        <v>35</v>
      </c>
      <c r="I867" s="36">
        <v>5178.6000000000004</v>
      </c>
      <c r="J867" s="36">
        <v>5178.6000000000004</v>
      </c>
      <c r="K867" s="85">
        <v>0</v>
      </c>
      <c r="L867" s="36">
        <v>431.55</v>
      </c>
      <c r="M867" s="36">
        <v>431.55</v>
      </c>
      <c r="N867" s="36">
        <v>0</v>
      </c>
      <c r="O867" s="36">
        <v>0</v>
      </c>
      <c r="P867" t="s">
        <v>116</v>
      </c>
      <c r="Q867" t="s">
        <v>111</v>
      </c>
      <c r="R867" t="s">
        <v>111</v>
      </c>
      <c r="S867" s="1">
        <v>46053</v>
      </c>
      <c r="T867" s="1">
        <v>46053</v>
      </c>
      <c r="V867" s="1">
        <v>46418</v>
      </c>
      <c r="W867" t="s">
        <v>38</v>
      </c>
      <c r="X867">
        <v>12</v>
      </c>
      <c r="Y867" t="s">
        <v>49</v>
      </c>
      <c r="Z867" t="s">
        <v>81</v>
      </c>
      <c r="AA867" t="s">
        <v>122</v>
      </c>
      <c r="AB867">
        <v>12</v>
      </c>
      <c r="AC867" t="s">
        <v>113</v>
      </c>
      <c r="AD867" t="s">
        <v>85</v>
      </c>
      <c r="AE867" t="s">
        <v>46</v>
      </c>
      <c r="AF867" t="s">
        <v>44</v>
      </c>
      <c r="AG867" t="str">
        <f t="shared" si="13"/>
        <v>Recorrente</v>
      </c>
      <c r="AH867" t="str">
        <f>IF(AND(SUMIF(E:E,E867,I:I)&gt;=400000,Q867="B2G"),"n","")</f>
        <v/>
      </c>
    </row>
    <row r="868" spans="1:34">
      <c r="A868" s="84">
        <v>2026</v>
      </c>
      <c r="B868">
        <v>2</v>
      </c>
      <c r="C868" s="83">
        <v>100271429993</v>
      </c>
      <c r="D868" t="s">
        <v>903</v>
      </c>
      <c r="E868">
        <v>56877446509</v>
      </c>
      <c r="F868">
        <v>626900</v>
      </c>
      <c r="G868">
        <v>52355168079</v>
      </c>
      <c r="H868" t="s">
        <v>35</v>
      </c>
      <c r="I868" s="36">
        <v>5083.2</v>
      </c>
      <c r="J868" s="36">
        <v>5083.2</v>
      </c>
      <c r="K868" s="85">
        <v>0</v>
      </c>
      <c r="L868" s="36">
        <v>423.6</v>
      </c>
      <c r="M868" s="36">
        <v>0</v>
      </c>
      <c r="N868" s="36">
        <v>24.4</v>
      </c>
      <c r="O868" s="36">
        <v>399.2</v>
      </c>
      <c r="P868" t="s">
        <v>520</v>
      </c>
      <c r="Q868" t="s">
        <v>111</v>
      </c>
      <c r="R868" t="s">
        <v>111</v>
      </c>
      <c r="S868" s="1">
        <v>46080</v>
      </c>
      <c r="T868" s="1">
        <v>46080</v>
      </c>
      <c r="U868" s="1">
        <v>46078</v>
      </c>
      <c r="V868" s="1">
        <v>46445</v>
      </c>
      <c r="W868" t="s">
        <v>38</v>
      </c>
      <c r="X868">
        <v>12</v>
      </c>
      <c r="Y868" t="s">
        <v>49</v>
      </c>
      <c r="Z868" t="s">
        <v>81</v>
      </c>
      <c r="AA868" t="s">
        <v>122</v>
      </c>
      <c r="AB868">
        <v>12</v>
      </c>
      <c r="AC868" t="s">
        <v>113</v>
      </c>
      <c r="AD868" t="s">
        <v>149</v>
      </c>
      <c r="AE868" t="s">
        <v>43</v>
      </c>
      <c r="AF868" t="s">
        <v>96</v>
      </c>
      <c r="AG868" t="str">
        <f t="shared" ref="AG868:AG875" si="14">IF(IFERROR(SEARCH("Recorrente",AA868),0)&gt;0,"Recorrente",IF(AB868=1,"À Vista",IF(AB868&lt;=3,"CC 3x",IF(AB868&lt;=12,"CC 12x",IF(AB868&gt;12,"Recorrente","")))))</f>
        <v>Recorrente</v>
      </c>
      <c r="AH868" t="str">
        <f>IF(AND(SUMIF(E:E,E868,I:I)&gt;=400000,Q868="B2G"),"n","")</f>
        <v/>
      </c>
    </row>
    <row r="869" spans="1:34">
      <c r="A869">
        <v>2026</v>
      </c>
      <c r="B869">
        <v>2</v>
      </c>
      <c r="C869" s="83">
        <v>100311273380</v>
      </c>
      <c r="D869" t="s">
        <v>904</v>
      </c>
      <c r="E869">
        <v>53715158854</v>
      </c>
      <c r="F869">
        <v>627018</v>
      </c>
      <c r="G869">
        <v>48899479847</v>
      </c>
      <c r="H869" t="s">
        <v>35</v>
      </c>
      <c r="I869" s="36">
        <v>2874</v>
      </c>
      <c r="J869" s="36">
        <v>2874</v>
      </c>
      <c r="K869" s="85">
        <v>0</v>
      </c>
      <c r="L869" s="36">
        <v>239.5</v>
      </c>
      <c r="M869" s="36">
        <v>0</v>
      </c>
      <c r="N869" s="36">
        <v>36.35</v>
      </c>
      <c r="O869" s="36">
        <v>203.15</v>
      </c>
      <c r="P869" t="s">
        <v>165</v>
      </c>
      <c r="Q869" t="s">
        <v>166</v>
      </c>
      <c r="R869" t="s">
        <v>166</v>
      </c>
      <c r="S869" s="1">
        <v>46077</v>
      </c>
      <c r="T869" s="1">
        <v>46077</v>
      </c>
      <c r="U869" s="1">
        <v>46080</v>
      </c>
      <c r="V869" s="1">
        <v>46445</v>
      </c>
      <c r="W869" t="s">
        <v>38</v>
      </c>
      <c r="X869">
        <v>12</v>
      </c>
      <c r="Y869" t="s">
        <v>49</v>
      </c>
      <c r="Z869" t="s">
        <v>81</v>
      </c>
      <c r="AA869" t="s">
        <v>112</v>
      </c>
      <c r="AB869">
        <v>12</v>
      </c>
      <c r="AC869" t="s">
        <v>166</v>
      </c>
      <c r="AD869" t="s">
        <v>140</v>
      </c>
      <c r="AE869" t="s">
        <v>46</v>
      </c>
      <c r="AF869" t="s">
        <v>119</v>
      </c>
      <c r="AG869" t="str">
        <f t="shared" si="14"/>
        <v>CC 12x</v>
      </c>
      <c r="AH869" t="str">
        <f>IF(AND(SUMIF(E:E,E869,I:I)&gt;=400000,Q869="B2G"),"n","")</f>
        <v/>
      </c>
    </row>
    <row r="870" spans="1:34">
      <c r="A870">
        <v>2026</v>
      </c>
      <c r="B870">
        <v>2</v>
      </c>
      <c r="C870" s="83">
        <v>100348664956</v>
      </c>
      <c r="D870" t="s">
        <v>905</v>
      </c>
      <c r="E870">
        <v>54375790600</v>
      </c>
      <c r="F870">
        <v>626761</v>
      </c>
      <c r="G870">
        <v>51943200351</v>
      </c>
      <c r="H870" t="s">
        <v>35</v>
      </c>
      <c r="I870" s="36">
        <v>2874</v>
      </c>
      <c r="J870" s="36">
        <v>2874</v>
      </c>
      <c r="K870" s="85">
        <v>0</v>
      </c>
      <c r="L870" s="36">
        <v>239.5</v>
      </c>
      <c r="M870" s="36">
        <v>0</v>
      </c>
      <c r="N870" s="36">
        <v>19.27</v>
      </c>
      <c r="O870" s="36">
        <v>220.23</v>
      </c>
      <c r="P870" t="s">
        <v>110</v>
      </c>
      <c r="Q870" t="s">
        <v>111</v>
      </c>
      <c r="R870" t="s">
        <v>111</v>
      </c>
      <c r="S870" s="1">
        <v>46073</v>
      </c>
      <c r="T870" s="1">
        <v>46073</v>
      </c>
      <c r="U870" s="1">
        <v>46073</v>
      </c>
      <c r="V870" s="1">
        <v>46438</v>
      </c>
      <c r="W870" t="s">
        <v>38</v>
      </c>
      <c r="X870">
        <v>12</v>
      </c>
      <c r="Y870" t="s">
        <v>49</v>
      </c>
      <c r="Z870" t="s">
        <v>81</v>
      </c>
      <c r="AA870" t="s">
        <v>112</v>
      </c>
      <c r="AB870">
        <v>12</v>
      </c>
      <c r="AC870" t="s">
        <v>113</v>
      </c>
      <c r="AD870" t="s">
        <v>118</v>
      </c>
      <c r="AE870" t="s">
        <v>43</v>
      </c>
      <c r="AF870" t="s">
        <v>119</v>
      </c>
      <c r="AG870" t="str">
        <f t="shared" si="14"/>
        <v>CC 12x</v>
      </c>
      <c r="AH870" t="str">
        <f>IF(AND(SUMIF(E:E,E870,I:I)&gt;=400000,Q870="B2G"),"n","")</f>
        <v/>
      </c>
    </row>
    <row r="871" spans="1:34">
      <c r="A871">
        <v>2026</v>
      </c>
      <c r="B871">
        <v>2</v>
      </c>
      <c r="C871" s="83">
        <v>100550968472</v>
      </c>
      <c r="D871" t="s">
        <v>906</v>
      </c>
      <c r="E871">
        <v>55383073377</v>
      </c>
      <c r="F871">
        <v>635923</v>
      </c>
      <c r="G871">
        <v>50777857335</v>
      </c>
      <c r="H871" t="s">
        <v>35</v>
      </c>
      <c r="I871" s="36">
        <v>2615.2800000000002</v>
      </c>
      <c r="J871" s="36">
        <v>2615.34</v>
      </c>
      <c r="K871" s="85">
        <v>0</v>
      </c>
      <c r="L871" s="36">
        <v>217.94499999999999</v>
      </c>
      <c r="M871" s="36">
        <v>217.94499999999999</v>
      </c>
      <c r="N871" s="36">
        <v>0</v>
      </c>
      <c r="O871" s="36">
        <v>0</v>
      </c>
      <c r="P871" t="s">
        <v>506</v>
      </c>
      <c r="Q871" t="s">
        <v>300</v>
      </c>
      <c r="R871" t="s">
        <v>300</v>
      </c>
      <c r="S871" s="1">
        <v>46057</v>
      </c>
      <c r="T871" s="1">
        <v>46057</v>
      </c>
      <c r="V871" s="1">
        <v>46422</v>
      </c>
      <c r="W871" t="s">
        <v>38</v>
      </c>
      <c r="X871">
        <v>12</v>
      </c>
      <c r="Y871" t="s">
        <v>49</v>
      </c>
      <c r="AA871" t="s">
        <v>112</v>
      </c>
      <c r="AB871">
        <v>12</v>
      </c>
      <c r="AC871" t="s">
        <v>301</v>
      </c>
      <c r="AD871" t="s">
        <v>140</v>
      </c>
      <c r="AE871" t="s">
        <v>46</v>
      </c>
      <c r="AF871" t="s">
        <v>119</v>
      </c>
      <c r="AG871" t="str">
        <f t="shared" si="14"/>
        <v>CC 12x</v>
      </c>
      <c r="AH871" t="str">
        <f>IF(AND(SUMIF(E:E,E871,I:I)&gt;=400000,Q871="B2G"),"n","")</f>
        <v/>
      </c>
    </row>
    <row r="872" spans="1:34">
      <c r="A872">
        <v>2026</v>
      </c>
      <c r="B872">
        <v>2</v>
      </c>
      <c r="C872" s="83">
        <v>100551235866</v>
      </c>
      <c r="D872" t="s">
        <v>907</v>
      </c>
      <c r="E872">
        <v>53474841379</v>
      </c>
      <c r="F872">
        <v>625323</v>
      </c>
      <c r="G872">
        <v>48671100673</v>
      </c>
      <c r="H872" t="s">
        <v>35</v>
      </c>
      <c r="I872" s="36">
        <v>4161.84</v>
      </c>
      <c r="J872" s="36">
        <v>4161.84</v>
      </c>
      <c r="K872" s="85">
        <v>0</v>
      </c>
      <c r="L872" s="36">
        <v>346.82</v>
      </c>
      <c r="M872" s="36">
        <v>0</v>
      </c>
      <c r="N872" s="36">
        <v>34.32</v>
      </c>
      <c r="O872" s="36">
        <v>312.5</v>
      </c>
      <c r="P872" t="s">
        <v>162</v>
      </c>
      <c r="Q872" t="s">
        <v>111</v>
      </c>
      <c r="R872" t="s">
        <v>111</v>
      </c>
      <c r="S872" s="1">
        <v>46031</v>
      </c>
      <c r="T872" s="1">
        <v>46054</v>
      </c>
      <c r="U872" s="1">
        <v>46030</v>
      </c>
      <c r="V872" s="1">
        <v>46396</v>
      </c>
      <c r="W872" t="s">
        <v>38</v>
      </c>
      <c r="X872">
        <v>12</v>
      </c>
      <c r="Y872" t="s">
        <v>49</v>
      </c>
      <c r="Z872" t="s">
        <v>81</v>
      </c>
      <c r="AA872" t="s">
        <v>122</v>
      </c>
      <c r="AB872">
        <v>12</v>
      </c>
      <c r="AC872" t="s">
        <v>113</v>
      </c>
      <c r="AD872" t="s">
        <v>229</v>
      </c>
      <c r="AE872" t="s">
        <v>43</v>
      </c>
      <c r="AF872" t="s">
        <v>96</v>
      </c>
      <c r="AG872" t="str">
        <f t="shared" si="14"/>
        <v>Recorrente</v>
      </c>
      <c r="AH872" t="str">
        <f>IF(AND(SUMIF(E:E,E872,I:I)&gt;=400000,Q872="B2G"),"n","")</f>
        <v/>
      </c>
    </row>
    <row r="873" spans="1:34">
      <c r="A873">
        <v>2026</v>
      </c>
      <c r="B873">
        <v>2</v>
      </c>
      <c r="C873" s="83">
        <v>100644164405</v>
      </c>
      <c r="D873" t="s">
        <v>908</v>
      </c>
      <c r="E873">
        <v>54797570966</v>
      </c>
      <c r="F873">
        <v>609849</v>
      </c>
      <c r="G873">
        <v>51427338343</v>
      </c>
      <c r="H873" t="s">
        <v>35</v>
      </c>
      <c r="I873" s="36">
        <v>3586.68</v>
      </c>
      <c r="J873" s="36">
        <v>3586.68</v>
      </c>
      <c r="K873" s="85">
        <v>0</v>
      </c>
      <c r="L873" s="36">
        <v>298.89</v>
      </c>
      <c r="M873" s="36">
        <v>0</v>
      </c>
      <c r="N873" s="36">
        <v>66.69</v>
      </c>
      <c r="O873" s="36">
        <v>232.2</v>
      </c>
      <c r="P873" t="s">
        <v>162</v>
      </c>
      <c r="Q873" t="s">
        <v>111</v>
      </c>
      <c r="R873" t="s">
        <v>111</v>
      </c>
      <c r="S873" s="1">
        <v>46072</v>
      </c>
      <c r="T873" s="1">
        <v>46072</v>
      </c>
      <c r="U873" s="1">
        <v>46076</v>
      </c>
      <c r="V873" s="1">
        <v>46441</v>
      </c>
      <c r="W873" t="s">
        <v>38</v>
      </c>
      <c r="X873">
        <v>12</v>
      </c>
      <c r="Y873" t="s">
        <v>49</v>
      </c>
      <c r="Z873" t="s">
        <v>81</v>
      </c>
      <c r="AA873" t="s">
        <v>122</v>
      </c>
      <c r="AB873">
        <v>12</v>
      </c>
      <c r="AC873" t="s">
        <v>113</v>
      </c>
      <c r="AD873" t="s">
        <v>84</v>
      </c>
      <c r="AE873" t="s">
        <v>43</v>
      </c>
      <c r="AF873" t="s">
        <v>44</v>
      </c>
      <c r="AG873" t="str">
        <f t="shared" si="14"/>
        <v>Recorrente</v>
      </c>
      <c r="AH873" t="str">
        <f>IF(AND(SUMIF(E:E,E873,I:I)&gt;=400000,Q873="B2G"),"n","")</f>
        <v/>
      </c>
    </row>
    <row r="874" spans="1:34">
      <c r="A874">
        <v>2026</v>
      </c>
      <c r="B874">
        <v>2</v>
      </c>
      <c r="C874" s="83">
        <v>100922957216</v>
      </c>
      <c r="D874" t="s">
        <v>909</v>
      </c>
      <c r="E874">
        <v>53709186858</v>
      </c>
      <c r="F874">
        <v>610325</v>
      </c>
      <c r="G874">
        <v>48973846109</v>
      </c>
      <c r="H874" t="s">
        <v>35</v>
      </c>
      <c r="I874" s="36">
        <v>7015.44</v>
      </c>
      <c r="J874" s="36">
        <v>7015.44</v>
      </c>
      <c r="K874" s="85">
        <v>0</v>
      </c>
      <c r="L874" s="36">
        <v>584.62</v>
      </c>
      <c r="M874" s="36">
        <v>0</v>
      </c>
      <c r="N874" s="36">
        <v>92.454999999999998</v>
      </c>
      <c r="O874" s="36">
        <v>492.17</v>
      </c>
      <c r="P874" t="s">
        <v>165</v>
      </c>
      <c r="Q874" t="s">
        <v>166</v>
      </c>
      <c r="R874" t="s">
        <v>166</v>
      </c>
      <c r="S874" s="1">
        <v>46077</v>
      </c>
      <c r="T874" s="1">
        <v>46077</v>
      </c>
      <c r="U874" s="1">
        <v>46081</v>
      </c>
      <c r="V874" s="1">
        <v>46446</v>
      </c>
      <c r="W874" t="s">
        <v>38</v>
      </c>
      <c r="X874">
        <v>12</v>
      </c>
      <c r="Y874" t="s">
        <v>49</v>
      </c>
      <c r="Z874" t="s">
        <v>81</v>
      </c>
      <c r="AA874" t="s">
        <v>122</v>
      </c>
      <c r="AB874">
        <v>12</v>
      </c>
      <c r="AC874" t="s">
        <v>166</v>
      </c>
      <c r="AD874" t="s">
        <v>134</v>
      </c>
      <c r="AE874" t="s">
        <v>135</v>
      </c>
      <c r="AF874" t="s">
        <v>44</v>
      </c>
      <c r="AG874" t="str">
        <f t="shared" si="14"/>
        <v>Recorrente</v>
      </c>
      <c r="AH874" t="str">
        <f>IF(AND(SUMIF(E:E,E874,I:I)&gt;=400000,Q874="B2G"),"n","")</f>
        <v/>
      </c>
    </row>
    <row r="875" spans="1:34">
      <c r="A875">
        <v>2026</v>
      </c>
      <c r="B875">
        <v>2</v>
      </c>
      <c r="C875" s="83">
        <v>101156022952</v>
      </c>
      <c r="D875" t="s">
        <v>910</v>
      </c>
      <c r="E875">
        <v>53549859234</v>
      </c>
      <c r="F875">
        <v>626807</v>
      </c>
      <c r="G875">
        <v>48705604750</v>
      </c>
      <c r="H875" t="s">
        <v>35</v>
      </c>
      <c r="I875" s="36">
        <v>5154</v>
      </c>
      <c r="J875" s="36">
        <v>5154</v>
      </c>
      <c r="K875" s="85">
        <v>0</v>
      </c>
      <c r="L875" s="36">
        <v>429.5</v>
      </c>
      <c r="M875" s="36">
        <v>0</v>
      </c>
      <c r="N875" s="36">
        <v>78.989999999999995</v>
      </c>
      <c r="O875" s="36">
        <v>350.51</v>
      </c>
      <c r="P875" t="s">
        <v>165</v>
      </c>
      <c r="Q875" t="s">
        <v>166</v>
      </c>
      <c r="R875" t="s">
        <v>166</v>
      </c>
      <c r="S875" s="1">
        <v>46077</v>
      </c>
      <c r="T875" s="1">
        <v>46077</v>
      </c>
      <c r="U875" s="1">
        <v>46077</v>
      </c>
      <c r="V875" s="1">
        <v>46442</v>
      </c>
      <c r="W875" t="s">
        <v>38</v>
      </c>
      <c r="X875">
        <v>12</v>
      </c>
      <c r="Y875" t="s">
        <v>49</v>
      </c>
      <c r="Z875" t="s">
        <v>81</v>
      </c>
      <c r="AA875" t="s">
        <v>112</v>
      </c>
      <c r="AB875">
        <v>12</v>
      </c>
      <c r="AC875" t="s">
        <v>166</v>
      </c>
      <c r="AD875" t="s">
        <v>229</v>
      </c>
      <c r="AE875" t="s">
        <v>43</v>
      </c>
      <c r="AF875" t="s">
        <v>96</v>
      </c>
      <c r="AG875" t="str">
        <f t="shared" si="14"/>
        <v>CC 12x</v>
      </c>
      <c r="AH875" t="str">
        <f>IF(AND(SUMIF(E:E,E875,I:I)&gt;=400000,Q875="B2G"),"n","")</f>
        <v/>
      </c>
    </row>
    <row r="876" spans="1:34">
      <c r="A876">
        <v>2026</v>
      </c>
      <c r="B876">
        <v>2</v>
      </c>
      <c r="C876" s="83">
        <v>101710501944</v>
      </c>
      <c r="D876" t="s">
        <v>911</v>
      </c>
      <c r="E876">
        <v>53397357872</v>
      </c>
      <c r="F876">
        <v>626799</v>
      </c>
      <c r="G876">
        <v>48603836684</v>
      </c>
      <c r="H876" t="s">
        <v>35</v>
      </c>
      <c r="I876" s="36">
        <v>2874</v>
      </c>
      <c r="J876" s="36">
        <v>2874</v>
      </c>
      <c r="K876" s="85">
        <v>0</v>
      </c>
      <c r="L876" s="36">
        <v>239.5</v>
      </c>
      <c r="M876" s="36">
        <v>0</v>
      </c>
      <c r="N876" s="36">
        <v>0.5</v>
      </c>
      <c r="O876" s="36">
        <v>239</v>
      </c>
      <c r="P876" t="s">
        <v>165</v>
      </c>
      <c r="Q876" t="s">
        <v>166</v>
      </c>
      <c r="R876" t="s">
        <v>166</v>
      </c>
      <c r="S876" s="1">
        <v>46076</v>
      </c>
      <c r="T876" s="1">
        <v>46076</v>
      </c>
      <c r="U876" s="1">
        <v>46076</v>
      </c>
      <c r="V876" s="1">
        <v>46441</v>
      </c>
      <c r="W876" t="s">
        <v>38</v>
      </c>
      <c r="X876">
        <v>12</v>
      </c>
      <c r="Y876" t="s">
        <v>49</v>
      </c>
      <c r="Z876" t="s">
        <v>81</v>
      </c>
      <c r="AA876" t="s">
        <v>112</v>
      </c>
      <c r="AB876">
        <v>12</v>
      </c>
      <c r="AC876" t="s">
        <v>166</v>
      </c>
      <c r="AD876" t="s">
        <v>118</v>
      </c>
      <c r="AE876" t="s">
        <v>43</v>
      </c>
      <c r="AF876" t="s">
        <v>119</v>
      </c>
      <c r="AG876" t="str">
        <f t="shared" ref="AG876:AG939" si="15">IF(IFERROR(SEARCH("Recorrente",AA876),0)&gt;0,"Recorrente",IF(AB876=1,"À Vista",IF(AB876&lt;=3,"CC 3x",IF(AB876&lt;=12,"CC 12x",IF(AB876&gt;12,"Recorrente","")))))</f>
        <v>CC 12x</v>
      </c>
      <c r="AH876" t="str">
        <f>IF(AND(SUMIF(E:E,E876,I:I)&gt;=400000,Q876="B2G"),"n","")</f>
        <v/>
      </c>
    </row>
    <row r="877" spans="1:34">
      <c r="A877">
        <v>2026</v>
      </c>
      <c r="B877">
        <v>2</v>
      </c>
      <c r="C877" s="83">
        <v>101812525938</v>
      </c>
      <c r="D877" t="s">
        <v>912</v>
      </c>
      <c r="E877">
        <v>56952947613</v>
      </c>
      <c r="F877">
        <v>528544</v>
      </c>
      <c r="G877">
        <v>52402065330</v>
      </c>
      <c r="H877" t="s">
        <v>35</v>
      </c>
      <c r="I877" s="36">
        <v>4315.4399999999996</v>
      </c>
      <c r="J877" s="36">
        <v>4315.4399999999996</v>
      </c>
      <c r="K877" s="85">
        <v>0</v>
      </c>
      <c r="L877" s="36">
        <v>359.62</v>
      </c>
      <c r="M877" s="36">
        <v>0</v>
      </c>
      <c r="N877" s="36">
        <v>72.204999999999998</v>
      </c>
      <c r="O877" s="36">
        <v>287.42</v>
      </c>
      <c r="P877" t="s">
        <v>469</v>
      </c>
      <c r="Q877" t="s">
        <v>111</v>
      </c>
      <c r="R877" t="s">
        <v>111</v>
      </c>
      <c r="S877" s="1">
        <v>46080</v>
      </c>
      <c r="T877" s="1">
        <v>46080</v>
      </c>
      <c r="U877" s="1">
        <v>46080</v>
      </c>
      <c r="V877" s="1">
        <v>46448</v>
      </c>
      <c r="W877" t="s">
        <v>38</v>
      </c>
      <c r="X877">
        <v>13</v>
      </c>
      <c r="Y877" t="s">
        <v>49</v>
      </c>
      <c r="Z877" t="s">
        <v>81</v>
      </c>
      <c r="AA877" t="s">
        <v>112</v>
      </c>
      <c r="AB877">
        <v>12</v>
      </c>
      <c r="AC877" t="s">
        <v>113</v>
      </c>
      <c r="AD877" t="s">
        <v>85</v>
      </c>
      <c r="AE877" t="s">
        <v>46</v>
      </c>
      <c r="AF877" t="s">
        <v>44</v>
      </c>
      <c r="AG877" t="str">
        <f t="shared" si="15"/>
        <v>CC 12x</v>
      </c>
      <c r="AH877" t="str">
        <f>IF(AND(SUMIF(E:E,E877,I:I)&gt;=400000,Q877="B2G"),"n","")</f>
        <v/>
      </c>
    </row>
    <row r="878" spans="1:34">
      <c r="A878">
        <v>2026</v>
      </c>
      <c r="B878">
        <v>2</v>
      </c>
      <c r="C878" s="83">
        <v>101813091594</v>
      </c>
      <c r="D878" t="s">
        <v>913</v>
      </c>
      <c r="E878">
        <v>53714954675</v>
      </c>
      <c r="F878">
        <v>506253</v>
      </c>
      <c r="G878">
        <v>48830394183</v>
      </c>
      <c r="H878" t="s">
        <v>35</v>
      </c>
      <c r="I878" s="36">
        <v>7974</v>
      </c>
      <c r="J878" s="36">
        <v>7974</v>
      </c>
      <c r="K878" s="85">
        <v>0</v>
      </c>
      <c r="L878" s="36">
        <v>664.5</v>
      </c>
      <c r="M878" s="36">
        <v>0</v>
      </c>
      <c r="N878" s="36">
        <v>55.5</v>
      </c>
      <c r="O878" s="36">
        <v>609</v>
      </c>
      <c r="P878" t="s">
        <v>165</v>
      </c>
      <c r="Q878" t="s">
        <v>166</v>
      </c>
      <c r="R878" t="s">
        <v>166</v>
      </c>
      <c r="S878" s="1">
        <v>46077</v>
      </c>
      <c r="T878" s="1">
        <v>46077</v>
      </c>
      <c r="U878" s="1">
        <v>46080</v>
      </c>
      <c r="V878" s="1">
        <v>46445</v>
      </c>
      <c r="W878" t="s">
        <v>38</v>
      </c>
      <c r="X878">
        <v>12</v>
      </c>
      <c r="Y878" t="s">
        <v>49</v>
      </c>
      <c r="Z878" t="s">
        <v>81</v>
      </c>
      <c r="AA878" t="s">
        <v>122</v>
      </c>
      <c r="AB878">
        <v>12</v>
      </c>
      <c r="AC878" t="s">
        <v>166</v>
      </c>
      <c r="AD878" t="s">
        <v>131</v>
      </c>
      <c r="AE878" t="s">
        <v>46</v>
      </c>
      <c r="AF878" t="s">
        <v>96</v>
      </c>
      <c r="AG878" t="str">
        <f t="shared" si="15"/>
        <v>Recorrente</v>
      </c>
      <c r="AH878" t="str">
        <f>IF(AND(SUMIF(E:E,E878,I:I)&gt;=400000,Q878="B2G"),"n","")</f>
        <v/>
      </c>
    </row>
    <row r="879" spans="1:34">
      <c r="A879">
        <v>2026</v>
      </c>
      <c r="B879">
        <v>2</v>
      </c>
      <c r="C879" s="83">
        <v>101813091594</v>
      </c>
      <c r="D879" t="s">
        <v>913</v>
      </c>
      <c r="E879">
        <v>53714954675</v>
      </c>
      <c r="F879">
        <v>506253</v>
      </c>
      <c r="G879">
        <v>48899231928</v>
      </c>
      <c r="H879" t="s">
        <v>35</v>
      </c>
      <c r="I879" s="36">
        <v>7974</v>
      </c>
      <c r="J879" s="36">
        <v>7974</v>
      </c>
      <c r="K879" s="85">
        <v>0</v>
      </c>
      <c r="L879" s="36">
        <v>664.5</v>
      </c>
      <c r="M879" s="36">
        <v>0</v>
      </c>
      <c r="N879" s="36">
        <v>55.5</v>
      </c>
      <c r="O879" s="36">
        <v>609</v>
      </c>
      <c r="P879" t="s">
        <v>165</v>
      </c>
      <c r="Q879" t="s">
        <v>166</v>
      </c>
      <c r="R879" t="s">
        <v>166</v>
      </c>
      <c r="S879" s="1">
        <v>46077</v>
      </c>
      <c r="T879" s="1">
        <v>46077</v>
      </c>
      <c r="U879" s="1">
        <v>46080</v>
      </c>
      <c r="V879" s="1">
        <v>46445</v>
      </c>
      <c r="W879" t="s">
        <v>38</v>
      </c>
      <c r="X879">
        <v>12</v>
      </c>
      <c r="Y879" t="s">
        <v>49</v>
      </c>
      <c r="Z879" t="s">
        <v>81</v>
      </c>
      <c r="AA879" t="s">
        <v>122</v>
      </c>
      <c r="AB879">
        <v>12</v>
      </c>
      <c r="AC879" t="s">
        <v>166</v>
      </c>
      <c r="AD879" t="s">
        <v>149</v>
      </c>
      <c r="AE879" t="s">
        <v>43</v>
      </c>
      <c r="AF879" t="s">
        <v>96</v>
      </c>
      <c r="AG879" t="str">
        <f t="shared" si="15"/>
        <v>Recorrente</v>
      </c>
      <c r="AH879" t="str">
        <f>IF(AND(SUMIF(E:E,E879,I:I)&gt;=400000,Q879="B2G"),"n","")</f>
        <v/>
      </c>
    </row>
    <row r="880" spans="1:34">
      <c r="A880">
        <v>2026</v>
      </c>
      <c r="B880">
        <v>2</v>
      </c>
      <c r="C880" s="83">
        <v>101871190689</v>
      </c>
      <c r="D880" t="s">
        <v>914</v>
      </c>
      <c r="E880">
        <v>53672790633</v>
      </c>
      <c r="F880">
        <v>303956</v>
      </c>
      <c r="G880">
        <v>49608453901</v>
      </c>
      <c r="H880" t="s">
        <v>35</v>
      </c>
      <c r="I880" s="36">
        <v>6778.2</v>
      </c>
      <c r="J880" s="36">
        <v>6778.2</v>
      </c>
      <c r="K880" s="85">
        <v>0</v>
      </c>
      <c r="L880" s="36">
        <v>564.85</v>
      </c>
      <c r="M880" s="36">
        <v>0</v>
      </c>
      <c r="N880" s="36">
        <v>78.846249999999998</v>
      </c>
      <c r="O880" s="36">
        <v>486</v>
      </c>
      <c r="P880" t="s">
        <v>137</v>
      </c>
      <c r="Q880" t="s">
        <v>111</v>
      </c>
      <c r="R880" t="s">
        <v>111</v>
      </c>
      <c r="S880" s="1">
        <v>46043</v>
      </c>
      <c r="T880" s="1">
        <v>46054</v>
      </c>
      <c r="U880" s="1">
        <v>46047</v>
      </c>
      <c r="V880" s="1">
        <v>46412</v>
      </c>
      <c r="W880" t="s">
        <v>38</v>
      </c>
      <c r="X880">
        <v>12</v>
      </c>
      <c r="Y880" t="s">
        <v>49</v>
      </c>
      <c r="Z880" t="s">
        <v>81</v>
      </c>
      <c r="AA880" t="s">
        <v>122</v>
      </c>
      <c r="AB880">
        <v>12</v>
      </c>
      <c r="AC880" t="s">
        <v>113</v>
      </c>
      <c r="AD880" t="s">
        <v>94</v>
      </c>
      <c r="AE880" t="s">
        <v>95</v>
      </c>
      <c r="AF880" t="s">
        <v>96</v>
      </c>
      <c r="AG880" t="str">
        <f t="shared" si="15"/>
        <v>Recorrente</v>
      </c>
      <c r="AH880" t="str">
        <f>IF(AND(SUMIF(E:E,E880,I:I)&gt;=400000,Q880="B2G"),"n","")</f>
        <v/>
      </c>
    </row>
    <row r="881" spans="1:34">
      <c r="A881">
        <v>2026</v>
      </c>
      <c r="B881">
        <v>2</v>
      </c>
      <c r="C881" s="83">
        <v>101986117174</v>
      </c>
      <c r="D881" t="s">
        <v>915</v>
      </c>
      <c r="E881">
        <v>53571340619</v>
      </c>
      <c r="F881">
        <v>626868</v>
      </c>
      <c r="G881">
        <v>48784859262</v>
      </c>
      <c r="H881" t="s">
        <v>35</v>
      </c>
      <c r="I881" s="36">
        <v>2586.6</v>
      </c>
      <c r="J881" s="36">
        <v>2586.6</v>
      </c>
      <c r="K881" s="85">
        <v>0</v>
      </c>
      <c r="L881" s="36">
        <v>215.55</v>
      </c>
      <c r="M881" s="36">
        <v>0</v>
      </c>
      <c r="N881" s="36">
        <v>24.35</v>
      </c>
      <c r="O881" s="36">
        <v>191.2</v>
      </c>
      <c r="P881" t="s">
        <v>165</v>
      </c>
      <c r="Q881" t="s">
        <v>166</v>
      </c>
      <c r="R881" t="s">
        <v>166</v>
      </c>
      <c r="S881" s="1">
        <v>46077</v>
      </c>
      <c r="T881" s="1">
        <v>46077</v>
      </c>
      <c r="U881" s="1">
        <v>46078</v>
      </c>
      <c r="V881" s="1">
        <v>46443</v>
      </c>
      <c r="W881" t="s">
        <v>38</v>
      </c>
      <c r="X881">
        <v>12</v>
      </c>
      <c r="Y881" t="s">
        <v>49</v>
      </c>
      <c r="Z881" t="s">
        <v>81</v>
      </c>
      <c r="AA881" t="s">
        <v>122</v>
      </c>
      <c r="AB881">
        <v>12</v>
      </c>
      <c r="AC881" t="s">
        <v>166</v>
      </c>
      <c r="AD881" t="s">
        <v>118</v>
      </c>
      <c r="AE881" t="s">
        <v>43</v>
      </c>
      <c r="AF881" t="s">
        <v>119</v>
      </c>
      <c r="AG881" t="str">
        <f t="shared" si="15"/>
        <v>Recorrente</v>
      </c>
      <c r="AH881" t="str">
        <f>IF(AND(SUMIF(E:E,E881,I:I)&gt;=400000,Q881="B2G"),"n","")</f>
        <v/>
      </c>
    </row>
    <row r="882" spans="1:34">
      <c r="A882">
        <v>2026</v>
      </c>
      <c r="B882">
        <v>2</v>
      </c>
      <c r="C882" s="83">
        <v>102019591998</v>
      </c>
      <c r="D882" t="s">
        <v>916</v>
      </c>
      <c r="E882">
        <v>53630475659</v>
      </c>
      <c r="F882">
        <v>626991</v>
      </c>
      <c r="G882">
        <v>48819833249</v>
      </c>
      <c r="H882" t="s">
        <v>35</v>
      </c>
      <c r="I882" s="36">
        <v>2874</v>
      </c>
      <c r="J882" s="36">
        <v>2874</v>
      </c>
      <c r="K882" s="85">
        <v>0</v>
      </c>
      <c r="L882" s="36">
        <v>239.5</v>
      </c>
      <c r="M882" s="36">
        <v>0</v>
      </c>
      <c r="N882" s="36">
        <v>19.27</v>
      </c>
      <c r="O882" s="36">
        <v>220.23</v>
      </c>
      <c r="P882" t="s">
        <v>165</v>
      </c>
      <c r="Q882" t="s">
        <v>166</v>
      </c>
      <c r="R882" t="s">
        <v>166</v>
      </c>
      <c r="S882" s="1">
        <v>46077</v>
      </c>
      <c r="T882" s="1">
        <v>46077</v>
      </c>
      <c r="U882" s="1">
        <v>46079</v>
      </c>
      <c r="V882" s="1">
        <v>46444</v>
      </c>
      <c r="W882" t="s">
        <v>38</v>
      </c>
      <c r="X882">
        <v>12</v>
      </c>
      <c r="Y882" t="s">
        <v>49</v>
      </c>
      <c r="Z882" t="s">
        <v>81</v>
      </c>
      <c r="AA882" t="s">
        <v>112</v>
      </c>
      <c r="AB882">
        <v>12</v>
      </c>
      <c r="AC882" t="s">
        <v>166</v>
      </c>
      <c r="AD882" t="s">
        <v>118</v>
      </c>
      <c r="AE882" t="s">
        <v>43</v>
      </c>
      <c r="AF882" t="s">
        <v>119</v>
      </c>
      <c r="AG882" t="str">
        <f t="shared" si="15"/>
        <v>CC 12x</v>
      </c>
      <c r="AH882" t="str">
        <f>IF(AND(SUMIF(E:E,E882,I:I)&gt;=400000,Q882="B2G"),"n","")</f>
        <v/>
      </c>
    </row>
    <row r="883" spans="1:34">
      <c r="A883">
        <v>2026</v>
      </c>
      <c r="B883">
        <v>2</v>
      </c>
      <c r="C883" s="83">
        <v>102020877452</v>
      </c>
      <c r="D883" t="s">
        <v>917</v>
      </c>
      <c r="E883">
        <v>56946500155</v>
      </c>
      <c r="F883">
        <v>627019</v>
      </c>
      <c r="G883">
        <v>52162731522</v>
      </c>
      <c r="H883" t="s">
        <v>35</v>
      </c>
      <c r="I883" s="36">
        <v>4638.6000000000004</v>
      </c>
      <c r="J883" s="36">
        <v>4638.6000000000004</v>
      </c>
      <c r="K883" s="85">
        <v>0</v>
      </c>
      <c r="L883" s="36">
        <v>386.55</v>
      </c>
      <c r="M883" s="36">
        <v>0</v>
      </c>
      <c r="N883" s="36">
        <v>18.55</v>
      </c>
      <c r="O883" s="36">
        <v>368</v>
      </c>
      <c r="P883" t="s">
        <v>137</v>
      </c>
      <c r="Q883" t="s">
        <v>111</v>
      </c>
      <c r="R883" t="s">
        <v>111</v>
      </c>
      <c r="S883" s="1">
        <v>46077</v>
      </c>
      <c r="T883" s="1">
        <v>46077</v>
      </c>
      <c r="U883" s="1">
        <v>46080</v>
      </c>
      <c r="V883" s="1">
        <v>46445</v>
      </c>
      <c r="W883" t="s">
        <v>38</v>
      </c>
      <c r="X883">
        <v>12</v>
      </c>
      <c r="Y883" t="s">
        <v>49</v>
      </c>
      <c r="Z883" t="s">
        <v>81</v>
      </c>
      <c r="AA883" t="s">
        <v>112</v>
      </c>
      <c r="AB883">
        <v>12</v>
      </c>
      <c r="AC883" t="s">
        <v>113</v>
      </c>
      <c r="AD883" t="s">
        <v>229</v>
      </c>
      <c r="AE883" t="s">
        <v>43</v>
      </c>
      <c r="AF883" t="s">
        <v>96</v>
      </c>
      <c r="AG883" t="str">
        <f t="shared" si="15"/>
        <v>CC 12x</v>
      </c>
      <c r="AH883" t="str">
        <f>IF(AND(SUMIF(E:E,E883,I:I)&gt;=400000,Q883="B2G"),"n","")</f>
        <v/>
      </c>
    </row>
    <row r="884" spans="1:34">
      <c r="A884">
        <v>2026</v>
      </c>
      <c r="B884">
        <v>2</v>
      </c>
      <c r="C884" s="83">
        <v>102387142520</v>
      </c>
      <c r="D884" t="s">
        <v>918</v>
      </c>
      <c r="E884">
        <v>53768667231</v>
      </c>
      <c r="F884">
        <v>627056</v>
      </c>
      <c r="G884">
        <v>48970712862</v>
      </c>
      <c r="H884" t="s">
        <v>35</v>
      </c>
      <c r="I884" s="36">
        <v>4962.6000000000004</v>
      </c>
      <c r="J884" s="36">
        <v>4962.6000000000004</v>
      </c>
      <c r="K884" s="85">
        <v>0</v>
      </c>
      <c r="L884" s="36">
        <v>413.55</v>
      </c>
      <c r="M884" s="36">
        <v>0</v>
      </c>
      <c r="N884" s="36">
        <v>48.9</v>
      </c>
      <c r="O884" s="36">
        <v>364.65</v>
      </c>
      <c r="P884" t="s">
        <v>165</v>
      </c>
      <c r="Q884" t="s">
        <v>166</v>
      </c>
      <c r="R884" t="s">
        <v>166</v>
      </c>
      <c r="S884" s="1">
        <v>46077</v>
      </c>
      <c r="T884" s="1">
        <v>46077</v>
      </c>
      <c r="U884" s="1">
        <v>46081</v>
      </c>
      <c r="V884" s="1">
        <v>46446</v>
      </c>
      <c r="W884" t="s">
        <v>38</v>
      </c>
      <c r="X884">
        <v>12</v>
      </c>
      <c r="Y884" t="s">
        <v>49</v>
      </c>
      <c r="Z884" t="s">
        <v>81</v>
      </c>
      <c r="AA884" t="s">
        <v>122</v>
      </c>
      <c r="AB884">
        <v>12</v>
      </c>
      <c r="AC884" t="s">
        <v>166</v>
      </c>
      <c r="AD884" t="s">
        <v>138</v>
      </c>
      <c r="AE884" t="s">
        <v>135</v>
      </c>
      <c r="AF884" t="s">
        <v>119</v>
      </c>
      <c r="AG884" t="str">
        <f t="shared" si="15"/>
        <v>Recorrente</v>
      </c>
      <c r="AH884" t="str">
        <f>IF(AND(SUMIF(E:E,E884,I:I)&gt;=400000,Q884="B2G"),"n","")</f>
        <v/>
      </c>
    </row>
    <row r="885" spans="1:34">
      <c r="A885">
        <v>2026</v>
      </c>
      <c r="B885">
        <v>2</v>
      </c>
      <c r="C885" s="83">
        <v>102555943717</v>
      </c>
      <c r="D885" t="s">
        <v>919</v>
      </c>
      <c r="E885">
        <v>53132011314</v>
      </c>
      <c r="F885">
        <v>626625</v>
      </c>
      <c r="G885">
        <v>51460625235</v>
      </c>
      <c r="H885" t="s">
        <v>35</v>
      </c>
      <c r="I885" s="36">
        <v>2685</v>
      </c>
      <c r="J885" s="36">
        <v>2685</v>
      </c>
      <c r="K885" s="85">
        <v>0</v>
      </c>
      <c r="L885" s="36">
        <v>223.75</v>
      </c>
      <c r="M885" s="36">
        <v>0</v>
      </c>
      <c r="N885" s="36">
        <v>0</v>
      </c>
      <c r="O885" s="36">
        <v>223.75048000000001</v>
      </c>
      <c r="P885" t="s">
        <v>110</v>
      </c>
      <c r="Q885" t="s">
        <v>111</v>
      </c>
      <c r="R885" t="s">
        <v>111</v>
      </c>
      <c r="S885" s="1">
        <v>46066</v>
      </c>
      <c r="T885" s="1">
        <v>46066</v>
      </c>
      <c r="U885" s="1">
        <v>46070</v>
      </c>
      <c r="V885" s="1">
        <v>46435</v>
      </c>
      <c r="W885" t="s">
        <v>38</v>
      </c>
      <c r="X885">
        <v>12</v>
      </c>
      <c r="Y885" t="s">
        <v>49</v>
      </c>
      <c r="Z885" t="s">
        <v>76</v>
      </c>
      <c r="AA885" t="s">
        <v>112</v>
      </c>
      <c r="AB885">
        <v>12</v>
      </c>
      <c r="AC885" t="s">
        <v>113</v>
      </c>
      <c r="AD885" t="s">
        <v>140</v>
      </c>
      <c r="AE885" t="s">
        <v>46</v>
      </c>
      <c r="AF885" t="s">
        <v>119</v>
      </c>
      <c r="AG885" t="str">
        <f t="shared" si="15"/>
        <v>CC 12x</v>
      </c>
      <c r="AH885" t="str">
        <f>IF(AND(SUMIF(E:E,E885,I:I)&gt;=400000,Q885="B2G"),"n","")</f>
        <v/>
      </c>
    </row>
    <row r="886" spans="1:34">
      <c r="A886">
        <v>2026</v>
      </c>
      <c r="B886">
        <v>2</v>
      </c>
      <c r="C886" s="83">
        <v>102668762505</v>
      </c>
      <c r="D886" t="s">
        <v>920</v>
      </c>
      <c r="E886">
        <v>53629705520</v>
      </c>
      <c r="F886">
        <v>609993</v>
      </c>
      <c r="G886">
        <v>48819150401</v>
      </c>
      <c r="H886" t="s">
        <v>35</v>
      </c>
      <c r="I886" s="36">
        <v>2874</v>
      </c>
      <c r="J886" s="36">
        <v>2874</v>
      </c>
      <c r="K886" s="85">
        <v>0</v>
      </c>
      <c r="L886" s="36">
        <v>239.5</v>
      </c>
      <c r="M886" s="36">
        <v>0</v>
      </c>
      <c r="N886" s="36">
        <v>42.4</v>
      </c>
      <c r="O886" s="36">
        <v>197.1</v>
      </c>
      <c r="P886" t="s">
        <v>165</v>
      </c>
      <c r="Q886" t="s">
        <v>166</v>
      </c>
      <c r="R886" t="s">
        <v>166</v>
      </c>
      <c r="S886" s="1">
        <v>46077</v>
      </c>
      <c r="T886" s="1">
        <v>46077</v>
      </c>
      <c r="U886" s="1">
        <v>46079</v>
      </c>
      <c r="V886" s="1">
        <v>46444</v>
      </c>
      <c r="W886" t="s">
        <v>38</v>
      </c>
      <c r="X886">
        <v>12</v>
      </c>
      <c r="Y886" t="s">
        <v>49</v>
      </c>
      <c r="Z886" t="s">
        <v>81</v>
      </c>
      <c r="AA886" t="s">
        <v>122</v>
      </c>
      <c r="AB886">
        <v>12</v>
      </c>
      <c r="AC886" t="s">
        <v>166</v>
      </c>
      <c r="AD886" t="s">
        <v>118</v>
      </c>
      <c r="AE886" t="s">
        <v>43</v>
      </c>
      <c r="AF886" t="s">
        <v>119</v>
      </c>
      <c r="AG886" t="str">
        <f t="shared" si="15"/>
        <v>Recorrente</v>
      </c>
      <c r="AH886" t="str">
        <f>IF(AND(SUMIF(E:E,E886,I:I)&gt;=400000,Q886="B2G"),"n","")</f>
        <v/>
      </c>
    </row>
    <row r="887" spans="1:34">
      <c r="A887">
        <v>2026</v>
      </c>
      <c r="B887">
        <v>2</v>
      </c>
      <c r="C887" s="83">
        <v>102670827957</v>
      </c>
      <c r="D887" t="s">
        <v>921</v>
      </c>
      <c r="E887">
        <v>53726378401</v>
      </c>
      <c r="F887">
        <v>627001</v>
      </c>
      <c r="G887">
        <v>52282676375</v>
      </c>
      <c r="H887" t="s">
        <v>35</v>
      </c>
      <c r="I887" s="36">
        <v>2456.4</v>
      </c>
      <c r="J887" s="36">
        <v>2456.4</v>
      </c>
      <c r="K887" s="85">
        <v>0</v>
      </c>
      <c r="L887" s="36">
        <v>204.7</v>
      </c>
      <c r="M887" s="36">
        <v>0</v>
      </c>
      <c r="N887" s="36">
        <v>0</v>
      </c>
      <c r="O887" s="36">
        <v>204.70065</v>
      </c>
      <c r="P887" t="s">
        <v>116</v>
      </c>
      <c r="Q887" t="s">
        <v>111</v>
      </c>
      <c r="R887" t="s">
        <v>111</v>
      </c>
      <c r="S887" s="1">
        <v>46080</v>
      </c>
      <c r="T887" s="1">
        <v>46080</v>
      </c>
      <c r="U887" s="1">
        <v>46080</v>
      </c>
      <c r="V887" s="1">
        <v>46445</v>
      </c>
      <c r="W887" t="s">
        <v>38</v>
      </c>
      <c r="X887">
        <v>12</v>
      </c>
      <c r="Y887" t="s">
        <v>49</v>
      </c>
      <c r="Z887" t="s">
        <v>81</v>
      </c>
      <c r="AA887" t="s">
        <v>112</v>
      </c>
      <c r="AB887">
        <v>12</v>
      </c>
      <c r="AC887" t="s">
        <v>113</v>
      </c>
      <c r="AD887" t="s">
        <v>140</v>
      </c>
      <c r="AE887" t="s">
        <v>46</v>
      </c>
      <c r="AF887" t="s">
        <v>119</v>
      </c>
      <c r="AG887" t="str">
        <f t="shared" si="15"/>
        <v>CC 12x</v>
      </c>
      <c r="AH887" t="str">
        <f>IF(AND(SUMIF(E:E,E887,I:I)&gt;=400000,Q887="B2G"),"n","")</f>
        <v/>
      </c>
    </row>
    <row r="888" spans="1:34">
      <c r="A888">
        <v>2026</v>
      </c>
      <c r="B888">
        <v>2</v>
      </c>
      <c r="C888" s="83">
        <v>103984190026</v>
      </c>
      <c r="D888" t="s">
        <v>922</v>
      </c>
      <c r="E888">
        <v>55542085765</v>
      </c>
      <c r="F888">
        <v>635912</v>
      </c>
      <c r="G888">
        <v>50813088103</v>
      </c>
      <c r="H888" t="s">
        <v>104</v>
      </c>
      <c r="I888" s="36">
        <v>718.8</v>
      </c>
      <c r="J888" s="36">
        <v>718.8</v>
      </c>
      <c r="K888" s="85">
        <v>0</v>
      </c>
      <c r="L888" s="36">
        <v>59.9</v>
      </c>
      <c r="M888" s="36">
        <v>59.9</v>
      </c>
      <c r="N888" s="36">
        <v>0</v>
      </c>
      <c r="O888" s="36">
        <v>0</v>
      </c>
      <c r="P888" t="s">
        <v>497</v>
      </c>
      <c r="Q888" t="s">
        <v>498</v>
      </c>
      <c r="R888" t="s">
        <v>498</v>
      </c>
      <c r="S888" s="1">
        <v>46056</v>
      </c>
      <c r="T888" s="1">
        <v>46056</v>
      </c>
      <c r="U888" s="1"/>
      <c r="V888" s="1">
        <v>46421</v>
      </c>
      <c r="W888" t="s">
        <v>38</v>
      </c>
      <c r="X888">
        <v>12</v>
      </c>
      <c r="Y888" t="s">
        <v>49</v>
      </c>
      <c r="AA888" t="s">
        <v>112</v>
      </c>
      <c r="AB888">
        <v>12</v>
      </c>
      <c r="AC888" t="s">
        <v>499</v>
      </c>
      <c r="AD888" t="s">
        <v>105</v>
      </c>
      <c r="AE888" t="s">
        <v>106</v>
      </c>
      <c r="AF888" t="s">
        <v>59</v>
      </c>
      <c r="AG888" t="str">
        <f t="shared" si="15"/>
        <v>CC 12x</v>
      </c>
      <c r="AH888" t="str">
        <f>IF(AND(SUMIF(E:E,E888,I:I)&gt;=400000,Q888="B2G"),"n","")</f>
        <v/>
      </c>
    </row>
    <row r="889" spans="1:34">
      <c r="A889">
        <v>2026</v>
      </c>
      <c r="B889">
        <v>2</v>
      </c>
      <c r="C889" s="83">
        <v>103987927590</v>
      </c>
      <c r="D889" t="s">
        <v>923</v>
      </c>
      <c r="E889">
        <v>54959378438</v>
      </c>
      <c r="F889">
        <v>610313</v>
      </c>
      <c r="G889">
        <v>51492284584</v>
      </c>
      <c r="H889" t="s">
        <v>35</v>
      </c>
      <c r="I889" s="36">
        <v>4464</v>
      </c>
      <c r="J889" s="36">
        <v>4464</v>
      </c>
      <c r="K889" s="85">
        <v>0</v>
      </c>
      <c r="L889" s="36">
        <v>372</v>
      </c>
      <c r="M889" s="36">
        <v>0</v>
      </c>
      <c r="N889" s="36">
        <v>54.12</v>
      </c>
      <c r="O889" s="36">
        <v>317.88</v>
      </c>
      <c r="P889" t="s">
        <v>127</v>
      </c>
      <c r="Q889" t="s">
        <v>111</v>
      </c>
      <c r="R889" t="s">
        <v>111</v>
      </c>
      <c r="S889" s="1">
        <v>46076</v>
      </c>
      <c r="T889" s="1">
        <v>46076</v>
      </c>
      <c r="U889" s="1">
        <v>46081</v>
      </c>
      <c r="V889" s="1">
        <v>46446</v>
      </c>
      <c r="W889" t="s">
        <v>38</v>
      </c>
      <c r="X889">
        <v>12</v>
      </c>
      <c r="Y889" t="s">
        <v>49</v>
      </c>
      <c r="Z889" t="s">
        <v>81</v>
      </c>
      <c r="AA889" t="s">
        <v>122</v>
      </c>
      <c r="AB889">
        <v>12</v>
      </c>
      <c r="AC889" t="s">
        <v>113</v>
      </c>
      <c r="AD889" t="s">
        <v>138</v>
      </c>
      <c r="AE889" t="s">
        <v>135</v>
      </c>
      <c r="AF889" t="s">
        <v>119</v>
      </c>
      <c r="AG889" t="str">
        <f t="shared" si="15"/>
        <v>Recorrente</v>
      </c>
      <c r="AH889" t="str">
        <f>IF(AND(SUMIF(E:E,E889,I:I)&gt;=400000,Q889="B2G"),"n","")</f>
        <v/>
      </c>
    </row>
    <row r="890" spans="1:34">
      <c r="A890">
        <v>2026</v>
      </c>
      <c r="B890">
        <v>2</v>
      </c>
      <c r="C890" s="83">
        <v>105270228801</v>
      </c>
      <c r="D890" t="s">
        <v>924</v>
      </c>
      <c r="E890">
        <v>53548249112</v>
      </c>
      <c r="F890">
        <v>626415</v>
      </c>
      <c r="G890">
        <v>51398420146</v>
      </c>
      <c r="H890" t="s">
        <v>35</v>
      </c>
      <c r="I890" s="36">
        <v>5466.24</v>
      </c>
      <c r="J890" s="36">
        <v>5466.24</v>
      </c>
      <c r="K890" s="85">
        <v>0</v>
      </c>
      <c r="L890" s="36">
        <v>455.52</v>
      </c>
      <c r="M890" s="36">
        <v>0</v>
      </c>
      <c r="N890" s="36">
        <v>0</v>
      </c>
      <c r="O890" s="36">
        <v>455.52499999999998</v>
      </c>
      <c r="P890" t="s">
        <v>121</v>
      </c>
      <c r="Q890" t="s">
        <v>111</v>
      </c>
      <c r="R890" t="s">
        <v>111</v>
      </c>
      <c r="S890" s="1">
        <v>46064</v>
      </c>
      <c r="T890" s="1">
        <v>46064</v>
      </c>
      <c r="U890" s="1">
        <v>46063</v>
      </c>
      <c r="V890" s="1">
        <v>46428</v>
      </c>
      <c r="W890" t="s">
        <v>38</v>
      </c>
      <c r="X890">
        <v>12</v>
      </c>
      <c r="Y890" t="s">
        <v>49</v>
      </c>
      <c r="Z890" t="s">
        <v>76</v>
      </c>
      <c r="AA890" t="s">
        <v>122</v>
      </c>
      <c r="AB890">
        <v>12</v>
      </c>
      <c r="AC890" t="s">
        <v>113</v>
      </c>
      <c r="AD890" t="s">
        <v>85</v>
      </c>
      <c r="AE890" t="s">
        <v>46</v>
      </c>
      <c r="AF890" t="s">
        <v>44</v>
      </c>
      <c r="AG890" t="str">
        <f t="shared" si="15"/>
        <v>Recorrente</v>
      </c>
      <c r="AH890" t="str">
        <f>IF(AND(SUMIF(E:E,E890,I:I)&gt;=400000,Q890="B2G"),"n","")</f>
        <v/>
      </c>
    </row>
    <row r="891" spans="1:34">
      <c r="A891">
        <v>2026</v>
      </c>
      <c r="B891">
        <v>2</v>
      </c>
      <c r="C891" s="83">
        <v>105525429594</v>
      </c>
      <c r="D891" t="s">
        <v>925</v>
      </c>
      <c r="E891">
        <v>54190795939</v>
      </c>
      <c r="F891">
        <v>636093</v>
      </c>
      <c r="G891">
        <v>51499244176</v>
      </c>
      <c r="H891" t="s">
        <v>35</v>
      </c>
      <c r="I891" s="36">
        <v>5456.04</v>
      </c>
      <c r="J891" s="36">
        <v>5456.1</v>
      </c>
      <c r="K891" s="85">
        <v>0</v>
      </c>
      <c r="L891" s="36">
        <v>454.67500000000001</v>
      </c>
      <c r="M891" s="36">
        <v>0</v>
      </c>
      <c r="N891" s="36">
        <v>454.67500000000001</v>
      </c>
      <c r="O891" s="36">
        <v>0</v>
      </c>
      <c r="P891" t="s">
        <v>323</v>
      </c>
      <c r="Q891" t="s">
        <v>191</v>
      </c>
      <c r="R891" t="s">
        <v>191</v>
      </c>
      <c r="S891" s="1">
        <v>46066</v>
      </c>
      <c r="T891" s="1">
        <v>46066</v>
      </c>
      <c r="U891" s="1"/>
      <c r="V891" s="1">
        <v>46431</v>
      </c>
      <c r="W891" t="s">
        <v>38</v>
      </c>
      <c r="X891">
        <v>12</v>
      </c>
      <c r="Y891" t="s">
        <v>49</v>
      </c>
      <c r="AA891" t="s">
        <v>122</v>
      </c>
      <c r="AB891">
        <v>12</v>
      </c>
      <c r="AC891" t="s">
        <v>192</v>
      </c>
      <c r="AD891" t="s">
        <v>94</v>
      </c>
      <c r="AE891" t="s">
        <v>95</v>
      </c>
      <c r="AF891" t="s">
        <v>96</v>
      </c>
      <c r="AG891" t="str">
        <f t="shared" si="15"/>
        <v>Recorrente</v>
      </c>
      <c r="AH891" t="str">
        <f>IF(AND(SUMIF(E:E,E891,I:I)&gt;=400000,Q891="B2G"),"n","")</f>
        <v/>
      </c>
    </row>
    <row r="892" spans="1:34">
      <c r="A892">
        <v>2026</v>
      </c>
      <c r="B892">
        <v>2</v>
      </c>
      <c r="C892" s="83">
        <v>105799169802</v>
      </c>
      <c r="D892" t="s">
        <v>926</v>
      </c>
      <c r="E892">
        <v>53396942914</v>
      </c>
      <c r="F892">
        <v>506097</v>
      </c>
      <c r="G892">
        <v>48523939682</v>
      </c>
      <c r="H892" t="s">
        <v>35</v>
      </c>
      <c r="I892" s="36">
        <v>8418.6</v>
      </c>
      <c r="J892" s="36">
        <v>8418.6</v>
      </c>
      <c r="K892" s="85">
        <v>0</v>
      </c>
      <c r="L892" s="36">
        <v>701.55</v>
      </c>
      <c r="M892" s="36">
        <v>0</v>
      </c>
      <c r="N892" s="36">
        <v>104.81</v>
      </c>
      <c r="O892" s="36">
        <v>596.74</v>
      </c>
      <c r="P892" t="s">
        <v>165</v>
      </c>
      <c r="Q892" t="s">
        <v>166</v>
      </c>
      <c r="R892" t="s">
        <v>166</v>
      </c>
      <c r="S892" s="1">
        <v>46075</v>
      </c>
      <c r="T892" s="1">
        <v>46075</v>
      </c>
      <c r="U892" s="1">
        <v>46075</v>
      </c>
      <c r="V892" s="1">
        <v>46440</v>
      </c>
      <c r="W892" t="s">
        <v>38</v>
      </c>
      <c r="X892">
        <v>12</v>
      </c>
      <c r="Y892" t="s">
        <v>49</v>
      </c>
      <c r="Z892" t="s">
        <v>81</v>
      </c>
      <c r="AA892" t="s">
        <v>112</v>
      </c>
      <c r="AB892">
        <v>1</v>
      </c>
      <c r="AC892" t="s">
        <v>166</v>
      </c>
      <c r="AD892" t="s">
        <v>134</v>
      </c>
      <c r="AE892" t="s">
        <v>135</v>
      </c>
      <c r="AF892" t="s">
        <v>44</v>
      </c>
      <c r="AG892" t="str">
        <f t="shared" si="15"/>
        <v>À Vista</v>
      </c>
      <c r="AH892" t="str">
        <f>IF(AND(SUMIF(E:E,E892,I:I)&gt;=400000,Q892="B2G"),"n","")</f>
        <v/>
      </c>
    </row>
    <row r="893" spans="1:34">
      <c r="A893">
        <v>2026</v>
      </c>
      <c r="B893">
        <v>2</v>
      </c>
      <c r="C893" s="83">
        <v>106035665991</v>
      </c>
      <c r="D893" t="s">
        <v>927</v>
      </c>
      <c r="E893">
        <v>55631416394</v>
      </c>
      <c r="F893">
        <v>635949</v>
      </c>
      <c r="G893">
        <v>50922611726</v>
      </c>
      <c r="H893" t="s">
        <v>35</v>
      </c>
      <c r="I893" s="36">
        <v>4411.2</v>
      </c>
      <c r="J893" s="36">
        <v>4411.2</v>
      </c>
      <c r="K893" s="85">
        <v>0</v>
      </c>
      <c r="L893" s="36">
        <v>367.6</v>
      </c>
      <c r="M893" s="36">
        <v>367.6</v>
      </c>
      <c r="N893" s="36">
        <v>0</v>
      </c>
      <c r="O893" s="36">
        <v>0</v>
      </c>
      <c r="P893" t="s">
        <v>506</v>
      </c>
      <c r="Q893" t="s">
        <v>300</v>
      </c>
      <c r="R893" t="s">
        <v>300</v>
      </c>
      <c r="S893" s="1">
        <v>46058</v>
      </c>
      <c r="T893" s="1">
        <v>46058</v>
      </c>
      <c r="U893" s="1"/>
      <c r="V893" s="1">
        <v>46424</v>
      </c>
      <c r="W893" t="s">
        <v>38</v>
      </c>
      <c r="X893">
        <v>12</v>
      </c>
      <c r="Y893" t="s">
        <v>49</v>
      </c>
      <c r="AA893" t="s">
        <v>112</v>
      </c>
      <c r="AB893">
        <v>12</v>
      </c>
      <c r="AC893" t="s">
        <v>301</v>
      </c>
      <c r="AD893" t="s">
        <v>138</v>
      </c>
      <c r="AE893" t="s">
        <v>135</v>
      </c>
      <c r="AF893" t="s">
        <v>119</v>
      </c>
      <c r="AG893" t="str">
        <f t="shared" si="15"/>
        <v>CC 12x</v>
      </c>
      <c r="AH893" t="str">
        <f>IF(AND(SUMIF(E:E,E893,I:I)&gt;=400000,Q893="B2G"),"n","")</f>
        <v/>
      </c>
    </row>
    <row r="894" spans="1:34">
      <c r="A894">
        <v>2026</v>
      </c>
      <c r="B894">
        <v>2</v>
      </c>
      <c r="C894" s="83">
        <v>106728068765</v>
      </c>
      <c r="D894" t="s">
        <v>928</v>
      </c>
      <c r="E894">
        <v>53200600134</v>
      </c>
      <c r="F894">
        <v>625658</v>
      </c>
      <c r="G894">
        <v>48827604898</v>
      </c>
      <c r="H894" t="s">
        <v>35</v>
      </c>
      <c r="I894" s="36">
        <v>7553.4</v>
      </c>
      <c r="J894" s="36">
        <v>7553.4</v>
      </c>
      <c r="K894" s="85">
        <v>0</v>
      </c>
      <c r="L894" s="36">
        <v>629.45000000000005</v>
      </c>
      <c r="M894" s="36">
        <v>0</v>
      </c>
      <c r="N894" s="36">
        <v>45.346249999999998</v>
      </c>
      <c r="O894" s="36">
        <v>584.1</v>
      </c>
      <c r="P894" t="s">
        <v>110</v>
      </c>
      <c r="Q894" t="s">
        <v>111</v>
      </c>
      <c r="R894" t="s">
        <v>111</v>
      </c>
      <c r="S894" s="1">
        <v>46035</v>
      </c>
      <c r="T894" s="1">
        <v>46054</v>
      </c>
      <c r="U894" s="1">
        <v>46039</v>
      </c>
      <c r="V894" s="1">
        <v>46404</v>
      </c>
      <c r="W894" t="s">
        <v>38</v>
      </c>
      <c r="X894">
        <v>12</v>
      </c>
      <c r="Y894" t="s">
        <v>49</v>
      </c>
      <c r="Z894" t="s">
        <v>81</v>
      </c>
      <c r="AA894" t="s">
        <v>122</v>
      </c>
      <c r="AB894">
        <v>12</v>
      </c>
      <c r="AC894" t="s">
        <v>113</v>
      </c>
      <c r="AD894" t="s">
        <v>134</v>
      </c>
      <c r="AE894" t="s">
        <v>135</v>
      </c>
      <c r="AF894" t="s">
        <v>44</v>
      </c>
      <c r="AG894" t="str">
        <f t="shared" si="15"/>
        <v>Recorrente</v>
      </c>
      <c r="AH894" t="str">
        <f>IF(AND(SUMIF(E:E,E894,I:I)&gt;=400000,Q894="B2G"),"n","")</f>
        <v/>
      </c>
    </row>
    <row r="895" spans="1:34">
      <c r="A895">
        <v>2026</v>
      </c>
      <c r="B895">
        <v>2</v>
      </c>
      <c r="C895" s="83">
        <v>106775597139</v>
      </c>
      <c r="D895" t="s">
        <v>929</v>
      </c>
      <c r="E895">
        <v>55398010670</v>
      </c>
      <c r="F895">
        <v>623567</v>
      </c>
      <c r="G895">
        <v>50925733270</v>
      </c>
      <c r="H895" t="s">
        <v>35</v>
      </c>
      <c r="I895" s="36">
        <v>3462.84</v>
      </c>
      <c r="J895" s="36">
        <v>3462.84</v>
      </c>
      <c r="K895" s="85">
        <v>0</v>
      </c>
      <c r="L895" s="36">
        <v>288.57</v>
      </c>
      <c r="M895" s="36">
        <v>288.57</v>
      </c>
      <c r="N895" s="36">
        <v>0</v>
      </c>
      <c r="O895" s="36">
        <v>0</v>
      </c>
      <c r="P895" t="s">
        <v>162</v>
      </c>
      <c r="Q895" t="s">
        <v>111</v>
      </c>
      <c r="R895" t="s">
        <v>111</v>
      </c>
      <c r="S895" s="1">
        <v>46059</v>
      </c>
      <c r="T895" s="1">
        <v>46059</v>
      </c>
      <c r="U895" s="1">
        <v>45972</v>
      </c>
      <c r="V895" s="1">
        <v>46424</v>
      </c>
      <c r="W895" t="s">
        <v>38</v>
      </c>
      <c r="X895">
        <v>15</v>
      </c>
      <c r="Y895" t="s">
        <v>49</v>
      </c>
      <c r="Z895" t="s">
        <v>81</v>
      </c>
      <c r="AA895" t="s">
        <v>122</v>
      </c>
      <c r="AB895">
        <v>12</v>
      </c>
      <c r="AC895" t="s">
        <v>113</v>
      </c>
      <c r="AD895" t="s">
        <v>160</v>
      </c>
      <c r="AE895" t="s">
        <v>43</v>
      </c>
      <c r="AF895" t="s">
        <v>44</v>
      </c>
      <c r="AG895" t="str">
        <f t="shared" si="15"/>
        <v>Recorrente</v>
      </c>
      <c r="AH895" t="str">
        <f>IF(AND(SUMIF(E:E,E895,I:I)&gt;=400000,Q895="B2G"),"n","")</f>
        <v/>
      </c>
    </row>
    <row r="896" spans="1:34">
      <c r="A896">
        <v>2026</v>
      </c>
      <c r="B896">
        <v>2</v>
      </c>
      <c r="C896" s="83">
        <v>106942461077</v>
      </c>
      <c r="D896" t="s">
        <v>930</v>
      </c>
      <c r="E896">
        <v>52619979019</v>
      </c>
      <c r="F896">
        <v>304319</v>
      </c>
      <c r="G896">
        <v>47770913454</v>
      </c>
      <c r="H896" t="s">
        <v>35</v>
      </c>
      <c r="I896" s="36">
        <v>6354</v>
      </c>
      <c r="J896" s="36">
        <v>6354</v>
      </c>
      <c r="K896" s="85">
        <v>0</v>
      </c>
      <c r="L896" s="36">
        <v>529.5</v>
      </c>
      <c r="M896" s="36">
        <v>0</v>
      </c>
      <c r="N896" s="36">
        <v>80.400000000000006</v>
      </c>
      <c r="O896" s="36">
        <v>449.1</v>
      </c>
      <c r="P896" t="s">
        <v>165</v>
      </c>
      <c r="Q896" t="s">
        <v>166</v>
      </c>
      <c r="R896" t="s">
        <v>166</v>
      </c>
      <c r="S896" s="1">
        <v>46063</v>
      </c>
      <c r="T896" s="1">
        <v>46063</v>
      </c>
      <c r="U896" s="1">
        <v>46063</v>
      </c>
      <c r="V896" s="1">
        <v>46428</v>
      </c>
      <c r="W896" t="s">
        <v>38</v>
      </c>
      <c r="X896">
        <v>12</v>
      </c>
      <c r="Y896" t="s">
        <v>49</v>
      </c>
      <c r="Z896" t="s">
        <v>81</v>
      </c>
      <c r="AA896" t="s">
        <v>122</v>
      </c>
      <c r="AB896">
        <v>12</v>
      </c>
      <c r="AC896" t="s">
        <v>166</v>
      </c>
      <c r="AD896" t="s">
        <v>149</v>
      </c>
      <c r="AE896" t="s">
        <v>43</v>
      </c>
      <c r="AF896" t="s">
        <v>96</v>
      </c>
      <c r="AG896" t="str">
        <f t="shared" si="15"/>
        <v>Recorrente</v>
      </c>
      <c r="AH896" t="str">
        <f>IF(AND(SUMIF(E:E,E896,I:I)&gt;=400000,Q896="B2G"),"n","")</f>
        <v/>
      </c>
    </row>
    <row r="897" spans="1:34">
      <c r="A897">
        <v>2026</v>
      </c>
      <c r="B897">
        <v>2</v>
      </c>
      <c r="C897" s="83">
        <v>106955971185</v>
      </c>
      <c r="D897" t="s">
        <v>931</v>
      </c>
      <c r="E897">
        <v>55823249738</v>
      </c>
      <c r="F897">
        <v>636065</v>
      </c>
      <c r="G897">
        <v>51425094974</v>
      </c>
      <c r="H897" t="s">
        <v>35</v>
      </c>
      <c r="I897" s="36">
        <v>3600.12</v>
      </c>
      <c r="J897" s="36">
        <v>732.09059999999999</v>
      </c>
      <c r="K897" s="85">
        <v>2868.0293999999999</v>
      </c>
      <c r="L897" s="36">
        <v>61.007550000000002</v>
      </c>
      <c r="M897" s="36">
        <v>0</v>
      </c>
      <c r="N897" s="36">
        <v>61.007550000000002</v>
      </c>
      <c r="O897" s="36">
        <v>0</v>
      </c>
      <c r="P897" t="s">
        <v>804</v>
      </c>
      <c r="Q897" t="s">
        <v>191</v>
      </c>
      <c r="R897" t="s">
        <v>191</v>
      </c>
      <c r="S897" s="1">
        <v>46065</v>
      </c>
      <c r="T897" s="1">
        <v>46065</v>
      </c>
      <c r="U897" s="1"/>
      <c r="V897" s="1">
        <v>46430</v>
      </c>
      <c r="W897" t="s">
        <v>38</v>
      </c>
      <c r="Y897" t="s">
        <v>49</v>
      </c>
      <c r="AA897" t="s">
        <v>112</v>
      </c>
      <c r="AB897">
        <v>12</v>
      </c>
      <c r="AC897" t="s">
        <v>192</v>
      </c>
      <c r="AD897" t="s">
        <v>138</v>
      </c>
      <c r="AE897" t="s">
        <v>135</v>
      </c>
      <c r="AF897" t="s">
        <v>119</v>
      </c>
      <c r="AG897" t="str">
        <f t="shared" si="15"/>
        <v>CC 12x</v>
      </c>
      <c r="AH897" t="str">
        <f>IF(AND(SUMIF(E:E,E897,I:I)&gt;=400000,Q897="B2G"),"n","")</f>
        <v/>
      </c>
    </row>
    <row r="898" spans="1:34">
      <c r="A898">
        <v>2026</v>
      </c>
      <c r="B898">
        <v>2</v>
      </c>
      <c r="C898" s="83">
        <v>107856102320</v>
      </c>
      <c r="D898" t="s">
        <v>932</v>
      </c>
      <c r="E898">
        <v>56295665236</v>
      </c>
      <c r="F898">
        <v>527422</v>
      </c>
      <c r="G898">
        <v>51938962483</v>
      </c>
      <c r="H898" t="s">
        <v>35</v>
      </c>
      <c r="I898" s="36">
        <v>2874</v>
      </c>
      <c r="J898" s="36">
        <v>2874</v>
      </c>
      <c r="K898" s="85">
        <v>0</v>
      </c>
      <c r="L898" s="36">
        <v>239.5</v>
      </c>
      <c r="M898" s="36">
        <v>0</v>
      </c>
      <c r="N898" s="36">
        <v>0</v>
      </c>
      <c r="O898" s="36">
        <v>239.5</v>
      </c>
      <c r="P898" t="s">
        <v>137</v>
      </c>
      <c r="Q898" t="s">
        <v>111</v>
      </c>
      <c r="R898" t="s">
        <v>111</v>
      </c>
      <c r="S898" s="1">
        <v>46072</v>
      </c>
      <c r="T898" s="1">
        <v>46072</v>
      </c>
      <c r="U898" s="1">
        <v>46067</v>
      </c>
      <c r="V898" s="1">
        <v>46437</v>
      </c>
      <c r="W898" t="s">
        <v>38</v>
      </c>
      <c r="X898">
        <v>12</v>
      </c>
      <c r="Y898" t="s">
        <v>49</v>
      </c>
      <c r="Z898" t="s">
        <v>76</v>
      </c>
      <c r="AA898" t="s">
        <v>122</v>
      </c>
      <c r="AB898">
        <v>12</v>
      </c>
      <c r="AC898" t="s">
        <v>113</v>
      </c>
      <c r="AD898" t="s">
        <v>140</v>
      </c>
      <c r="AE898" t="s">
        <v>46</v>
      </c>
      <c r="AF898" t="s">
        <v>119</v>
      </c>
      <c r="AG898" t="str">
        <f t="shared" si="15"/>
        <v>Recorrente</v>
      </c>
      <c r="AH898" t="str">
        <f>IF(AND(SUMIF(E:E,E898,I:I)&gt;=400000,Q898="B2G"),"n","")</f>
        <v/>
      </c>
    </row>
    <row r="899" spans="1:34">
      <c r="A899">
        <v>2026</v>
      </c>
      <c r="B899">
        <v>2</v>
      </c>
      <c r="C899" s="83">
        <v>10823837282</v>
      </c>
      <c r="D899" t="s">
        <v>933</v>
      </c>
      <c r="E899">
        <v>56775087686</v>
      </c>
      <c r="F899">
        <v>636189</v>
      </c>
      <c r="G899">
        <v>52057832012</v>
      </c>
      <c r="H899" t="s">
        <v>35</v>
      </c>
      <c r="I899" s="36">
        <v>7794</v>
      </c>
      <c r="J899" s="36">
        <v>7794</v>
      </c>
      <c r="K899" s="85">
        <v>0</v>
      </c>
      <c r="L899" s="36">
        <v>649.5</v>
      </c>
      <c r="M899" s="36">
        <v>649.5</v>
      </c>
      <c r="N899" s="36">
        <v>0</v>
      </c>
      <c r="O899" s="36">
        <v>0</v>
      </c>
      <c r="P899" t="s">
        <v>497</v>
      </c>
      <c r="Q899" t="s">
        <v>498</v>
      </c>
      <c r="R899" t="s">
        <v>498</v>
      </c>
      <c r="S899" s="1">
        <v>46073</v>
      </c>
      <c r="T899" s="1">
        <v>46073</v>
      </c>
      <c r="U899" s="1"/>
      <c r="V899" s="1">
        <v>46438</v>
      </c>
      <c r="W899" t="s">
        <v>38</v>
      </c>
      <c r="X899">
        <v>12</v>
      </c>
      <c r="Y899" t="s">
        <v>49</v>
      </c>
      <c r="AA899" t="s">
        <v>112</v>
      </c>
      <c r="AB899">
        <v>12</v>
      </c>
      <c r="AC899" t="s">
        <v>499</v>
      </c>
      <c r="AD899" t="s">
        <v>125</v>
      </c>
      <c r="AE899" t="s">
        <v>43</v>
      </c>
      <c r="AF899" t="s">
        <v>47</v>
      </c>
      <c r="AG899" t="str">
        <f t="shared" si="15"/>
        <v>CC 12x</v>
      </c>
      <c r="AH899" t="str">
        <f>IF(AND(SUMIF(E:E,E899,I:I)&gt;=400000,Q899="B2G"),"n","")</f>
        <v/>
      </c>
    </row>
    <row r="900" spans="1:34">
      <c r="A900">
        <v>2026</v>
      </c>
      <c r="B900">
        <v>2</v>
      </c>
      <c r="C900" s="83">
        <v>10825021617</v>
      </c>
      <c r="D900" t="s">
        <v>934</v>
      </c>
      <c r="E900">
        <v>53142573374</v>
      </c>
      <c r="F900">
        <v>625236</v>
      </c>
      <c r="G900">
        <v>48884788368</v>
      </c>
      <c r="H900" t="s">
        <v>35</v>
      </c>
      <c r="I900" s="36">
        <v>4278.96</v>
      </c>
      <c r="J900" s="36">
        <v>4278.96</v>
      </c>
      <c r="K900" s="85">
        <v>0</v>
      </c>
      <c r="L900" s="36">
        <v>356.58</v>
      </c>
      <c r="M900" s="36">
        <v>0</v>
      </c>
      <c r="N900" s="36">
        <v>45.829194999999999</v>
      </c>
      <c r="O900" s="36">
        <v>310.75</v>
      </c>
      <c r="P900" t="s">
        <v>137</v>
      </c>
      <c r="Q900" t="s">
        <v>111</v>
      </c>
      <c r="R900" t="s">
        <v>111</v>
      </c>
      <c r="S900" s="1">
        <v>46034</v>
      </c>
      <c r="T900" s="1">
        <v>46054</v>
      </c>
      <c r="U900" s="1">
        <v>46024</v>
      </c>
      <c r="V900" s="1">
        <v>46399</v>
      </c>
      <c r="W900" t="s">
        <v>38</v>
      </c>
      <c r="X900">
        <v>12</v>
      </c>
      <c r="Y900" t="s">
        <v>49</v>
      </c>
      <c r="Z900" t="s">
        <v>81</v>
      </c>
      <c r="AA900" t="s">
        <v>122</v>
      </c>
      <c r="AB900">
        <v>12</v>
      </c>
      <c r="AC900" t="s">
        <v>113</v>
      </c>
      <c r="AD900" t="s">
        <v>84</v>
      </c>
      <c r="AE900" t="s">
        <v>43</v>
      </c>
      <c r="AF900" t="s">
        <v>44</v>
      </c>
      <c r="AG900" t="str">
        <f t="shared" si="15"/>
        <v>Recorrente</v>
      </c>
      <c r="AH900" t="str">
        <f>IF(AND(SUMIF(E:E,E900,I:I)&gt;=400000,Q900="B2G"),"n","")</f>
        <v/>
      </c>
    </row>
    <row r="901" spans="1:34">
      <c r="A901">
        <v>2026</v>
      </c>
      <c r="B901">
        <v>2</v>
      </c>
      <c r="C901" s="83">
        <v>108754367283</v>
      </c>
      <c r="D901" t="s">
        <v>935</v>
      </c>
      <c r="E901">
        <v>53271194626</v>
      </c>
      <c r="F901">
        <v>328281</v>
      </c>
      <c r="G901">
        <v>48885810720</v>
      </c>
      <c r="H901" t="s">
        <v>35</v>
      </c>
      <c r="I901" s="36">
        <v>5845.44</v>
      </c>
      <c r="J901" s="36">
        <v>5845.44</v>
      </c>
      <c r="K901" s="85">
        <v>0</v>
      </c>
      <c r="L901" s="36">
        <v>487.12</v>
      </c>
      <c r="M901" s="36">
        <v>0</v>
      </c>
      <c r="N901" s="36">
        <v>109.825</v>
      </c>
      <c r="O901" s="36">
        <v>377.3</v>
      </c>
      <c r="P901" t="s">
        <v>121</v>
      </c>
      <c r="Q901" t="s">
        <v>111</v>
      </c>
      <c r="R901" t="s">
        <v>111</v>
      </c>
      <c r="S901" s="1">
        <v>46036</v>
      </c>
      <c r="T901" s="1">
        <v>46054</v>
      </c>
      <c r="U901" s="1">
        <v>46045</v>
      </c>
      <c r="V901" s="1">
        <v>46410</v>
      </c>
      <c r="W901" t="s">
        <v>38</v>
      </c>
      <c r="X901">
        <v>12</v>
      </c>
      <c r="Y901" t="s">
        <v>49</v>
      </c>
      <c r="Z901" t="s">
        <v>81</v>
      </c>
      <c r="AA901" t="s">
        <v>122</v>
      </c>
      <c r="AB901">
        <v>12</v>
      </c>
      <c r="AC901" t="s">
        <v>113</v>
      </c>
      <c r="AD901" t="s">
        <v>125</v>
      </c>
      <c r="AE901" t="s">
        <v>43</v>
      </c>
      <c r="AF901" t="s">
        <v>47</v>
      </c>
      <c r="AG901" t="str">
        <f t="shared" si="15"/>
        <v>Recorrente</v>
      </c>
      <c r="AH901" t="str">
        <f>IF(AND(SUMIF(E:E,E901,I:I)&gt;=400000,Q901="B2G"),"n","")</f>
        <v/>
      </c>
    </row>
    <row r="902" spans="1:34">
      <c r="A902">
        <v>2026</v>
      </c>
      <c r="B902">
        <v>2</v>
      </c>
      <c r="C902" s="83">
        <v>109121724509</v>
      </c>
      <c r="D902" t="s">
        <v>936</v>
      </c>
      <c r="E902">
        <v>52344388259</v>
      </c>
      <c r="F902">
        <v>305051</v>
      </c>
      <c r="G902">
        <v>50735790686</v>
      </c>
      <c r="H902" t="s">
        <v>35</v>
      </c>
      <c r="I902" s="36">
        <v>7553.4</v>
      </c>
      <c r="J902" s="36">
        <v>7553.4</v>
      </c>
      <c r="K902" s="85">
        <v>0</v>
      </c>
      <c r="L902" s="36">
        <v>629.45000000000005</v>
      </c>
      <c r="M902" s="36">
        <v>0</v>
      </c>
      <c r="N902" s="36">
        <v>0</v>
      </c>
      <c r="O902" s="36">
        <v>629.45000000000005</v>
      </c>
      <c r="P902" t="s">
        <v>162</v>
      </c>
      <c r="Q902" t="s">
        <v>111</v>
      </c>
      <c r="R902" t="s">
        <v>111</v>
      </c>
      <c r="S902" s="1">
        <v>46056</v>
      </c>
      <c r="T902" s="1">
        <v>46056</v>
      </c>
      <c r="U902" s="1">
        <v>46059</v>
      </c>
      <c r="V902" s="1">
        <v>46424</v>
      </c>
      <c r="W902" t="s">
        <v>38</v>
      </c>
      <c r="X902">
        <v>12</v>
      </c>
      <c r="Y902" t="s">
        <v>49</v>
      </c>
      <c r="Z902" t="s">
        <v>81</v>
      </c>
      <c r="AA902" t="s">
        <v>122</v>
      </c>
      <c r="AB902">
        <v>12</v>
      </c>
      <c r="AC902" t="s">
        <v>113</v>
      </c>
      <c r="AD902" t="s">
        <v>134</v>
      </c>
      <c r="AE902" t="s">
        <v>135</v>
      </c>
      <c r="AF902" t="s">
        <v>44</v>
      </c>
      <c r="AG902" t="str">
        <f t="shared" si="15"/>
        <v>Recorrente</v>
      </c>
      <c r="AH902" t="str">
        <f>IF(AND(SUMIF(E:E,E902,I:I)&gt;=400000,Q902="B2G"),"n","")</f>
        <v/>
      </c>
    </row>
    <row r="903" spans="1:34">
      <c r="A903">
        <v>2026</v>
      </c>
      <c r="B903">
        <v>2</v>
      </c>
      <c r="C903" s="83">
        <v>109396684881</v>
      </c>
      <c r="D903" t="s">
        <v>937</v>
      </c>
      <c r="E903">
        <v>55143877146</v>
      </c>
      <c r="F903">
        <v>635875</v>
      </c>
      <c r="G903">
        <v>50691152804</v>
      </c>
      <c r="H903" t="s">
        <v>35</v>
      </c>
      <c r="I903" s="36">
        <v>1074</v>
      </c>
      <c r="J903" s="36">
        <v>1074</v>
      </c>
      <c r="K903" s="85">
        <v>0</v>
      </c>
      <c r="L903" s="36">
        <v>89.5</v>
      </c>
      <c r="M903" s="36">
        <v>89.5</v>
      </c>
      <c r="N903" s="36">
        <v>0</v>
      </c>
      <c r="O903" s="36">
        <v>0</v>
      </c>
      <c r="P903" t="s">
        <v>469</v>
      </c>
      <c r="Q903" t="s">
        <v>314</v>
      </c>
      <c r="R903" t="s">
        <v>314</v>
      </c>
      <c r="S903" s="1">
        <v>46055</v>
      </c>
      <c r="T903" s="1">
        <v>46055</v>
      </c>
      <c r="U903" s="1"/>
      <c r="V903" s="1">
        <v>46420</v>
      </c>
      <c r="W903" t="s">
        <v>38</v>
      </c>
      <c r="X903">
        <v>12</v>
      </c>
      <c r="Y903" t="s">
        <v>49</v>
      </c>
      <c r="AA903" t="s">
        <v>112</v>
      </c>
      <c r="AB903">
        <v>12</v>
      </c>
      <c r="AC903" t="s">
        <v>315</v>
      </c>
      <c r="AD903" t="s">
        <v>256</v>
      </c>
      <c r="AE903" t="s">
        <v>257</v>
      </c>
      <c r="AF903" t="s">
        <v>59</v>
      </c>
      <c r="AG903" t="str">
        <f t="shared" si="15"/>
        <v>CC 12x</v>
      </c>
      <c r="AH903" t="str">
        <f>IF(AND(SUMIF(E:E,E903,I:I)&gt;=400000,Q903="B2G"),"n","")</f>
        <v/>
      </c>
    </row>
    <row r="904" spans="1:34">
      <c r="A904">
        <v>2026</v>
      </c>
      <c r="B904">
        <v>2</v>
      </c>
      <c r="C904" s="83">
        <v>109650834015</v>
      </c>
      <c r="D904" t="s">
        <v>938</v>
      </c>
      <c r="E904">
        <v>52859995667</v>
      </c>
      <c r="F904">
        <v>626540</v>
      </c>
      <c r="G904">
        <v>47982433037</v>
      </c>
      <c r="H904" t="s">
        <v>35</v>
      </c>
      <c r="I904" s="36">
        <v>4074</v>
      </c>
      <c r="J904" s="36">
        <v>4074</v>
      </c>
      <c r="K904" s="85">
        <v>0</v>
      </c>
      <c r="L904" s="36">
        <v>339.5</v>
      </c>
      <c r="M904" s="36">
        <v>0</v>
      </c>
      <c r="N904" s="36">
        <v>39.770000000000003</v>
      </c>
      <c r="O904" s="36">
        <v>299.73</v>
      </c>
      <c r="P904" t="s">
        <v>165</v>
      </c>
      <c r="Q904" t="s">
        <v>166</v>
      </c>
      <c r="R904" t="s">
        <v>166</v>
      </c>
      <c r="S904" s="1">
        <v>46066</v>
      </c>
      <c r="T904" s="1">
        <v>46066</v>
      </c>
      <c r="U904" s="1">
        <v>46066</v>
      </c>
      <c r="V904" s="1">
        <v>46431</v>
      </c>
      <c r="W904" t="s">
        <v>38</v>
      </c>
      <c r="X904">
        <v>12</v>
      </c>
      <c r="Y904" t="s">
        <v>49</v>
      </c>
      <c r="Z904" t="s">
        <v>81</v>
      </c>
      <c r="AA904" t="s">
        <v>122</v>
      </c>
      <c r="AB904">
        <v>12</v>
      </c>
      <c r="AC904" t="s">
        <v>166</v>
      </c>
      <c r="AD904" t="s">
        <v>160</v>
      </c>
      <c r="AE904" t="s">
        <v>43</v>
      </c>
      <c r="AF904" t="s">
        <v>44</v>
      </c>
      <c r="AG904" t="str">
        <f t="shared" si="15"/>
        <v>Recorrente</v>
      </c>
      <c r="AH904" t="str">
        <f>IF(AND(SUMIF(E:E,E904,I:I)&gt;=400000,Q904="B2G"),"n","")</f>
        <v/>
      </c>
    </row>
    <row r="905" spans="1:34">
      <c r="A905">
        <v>2026</v>
      </c>
      <c r="B905">
        <v>2</v>
      </c>
      <c r="C905" s="83">
        <v>110615736225</v>
      </c>
      <c r="D905" t="s">
        <v>939</v>
      </c>
      <c r="E905">
        <v>54829678189</v>
      </c>
      <c r="F905">
        <v>626708</v>
      </c>
      <c r="G905">
        <v>51100897121</v>
      </c>
      <c r="H905" t="s">
        <v>35</v>
      </c>
      <c r="I905" s="36">
        <v>4782.24</v>
      </c>
      <c r="J905" s="36">
        <v>4782.24</v>
      </c>
      <c r="K905" s="85">
        <v>0</v>
      </c>
      <c r="L905" s="36">
        <v>398.52</v>
      </c>
      <c r="M905" s="36">
        <v>0</v>
      </c>
      <c r="N905" s="36">
        <v>11.525</v>
      </c>
      <c r="O905" s="36">
        <v>387</v>
      </c>
      <c r="P905" t="s">
        <v>121</v>
      </c>
      <c r="Q905" t="s">
        <v>111</v>
      </c>
      <c r="R905" t="s">
        <v>111</v>
      </c>
      <c r="S905" s="1">
        <v>46063</v>
      </c>
      <c r="T905" s="1">
        <v>46063</v>
      </c>
      <c r="U905" s="1">
        <v>46071</v>
      </c>
      <c r="V905" s="1">
        <v>46436</v>
      </c>
      <c r="W905" t="s">
        <v>38</v>
      </c>
      <c r="X905">
        <v>12</v>
      </c>
      <c r="Y905" t="s">
        <v>49</v>
      </c>
      <c r="Z905" t="s">
        <v>76</v>
      </c>
      <c r="AA905" t="s">
        <v>122</v>
      </c>
      <c r="AB905">
        <v>12</v>
      </c>
      <c r="AC905" t="s">
        <v>113</v>
      </c>
      <c r="AD905" t="s">
        <v>84</v>
      </c>
      <c r="AE905" t="s">
        <v>43</v>
      </c>
      <c r="AF905" t="s">
        <v>44</v>
      </c>
      <c r="AG905" t="str">
        <f t="shared" si="15"/>
        <v>Recorrente</v>
      </c>
      <c r="AH905" t="str">
        <f>IF(AND(SUMIF(E:E,E905,I:I)&gt;=400000,Q905="B2G"),"n","")</f>
        <v/>
      </c>
    </row>
    <row r="906" spans="1:34">
      <c r="A906">
        <v>2026</v>
      </c>
      <c r="B906">
        <v>2</v>
      </c>
      <c r="C906" s="83">
        <v>112039086254</v>
      </c>
      <c r="D906" t="s">
        <v>940</v>
      </c>
      <c r="E906">
        <v>55964796078</v>
      </c>
      <c r="F906">
        <v>636020</v>
      </c>
      <c r="G906">
        <v>51226399853</v>
      </c>
      <c r="H906" t="s">
        <v>35</v>
      </c>
      <c r="I906" s="36">
        <v>4530.6000000000004</v>
      </c>
      <c r="J906" s="36">
        <v>1180.1575330000001</v>
      </c>
      <c r="K906" s="85">
        <v>3350.4424669999999</v>
      </c>
      <c r="L906" s="36">
        <v>98.346461090000005</v>
      </c>
      <c r="M906" s="36">
        <v>0</v>
      </c>
      <c r="N906" s="36">
        <v>98.346461090000005</v>
      </c>
      <c r="O906" s="36">
        <v>0</v>
      </c>
      <c r="P906" t="s">
        <v>367</v>
      </c>
      <c r="Q906" t="s">
        <v>191</v>
      </c>
      <c r="R906" t="s">
        <v>191</v>
      </c>
      <c r="S906" s="1">
        <v>46063</v>
      </c>
      <c r="T906" s="1">
        <v>46063</v>
      </c>
      <c r="U906" s="1"/>
      <c r="V906" s="1">
        <v>46428</v>
      </c>
      <c r="W906" t="s">
        <v>38</v>
      </c>
      <c r="Y906" t="s">
        <v>49</v>
      </c>
      <c r="AA906" t="s">
        <v>92</v>
      </c>
      <c r="AB906">
        <v>12</v>
      </c>
      <c r="AC906" t="s">
        <v>192</v>
      </c>
      <c r="AD906" t="s">
        <v>84</v>
      </c>
      <c r="AE906" t="s">
        <v>43</v>
      </c>
      <c r="AF906" t="s">
        <v>44</v>
      </c>
      <c r="AG906" t="str">
        <f t="shared" si="15"/>
        <v>Recorrente</v>
      </c>
      <c r="AH906" t="str">
        <f>IF(AND(SUMIF(E:E,E906,I:I)&gt;=400000,Q906="B2G"),"n","")</f>
        <v/>
      </c>
    </row>
    <row r="907" spans="1:34">
      <c r="A907">
        <v>2026</v>
      </c>
      <c r="B907">
        <v>2</v>
      </c>
      <c r="C907" s="83">
        <v>112039086254</v>
      </c>
      <c r="D907" t="s">
        <v>940</v>
      </c>
      <c r="E907">
        <v>55964796078</v>
      </c>
      <c r="F907">
        <v>636020</v>
      </c>
      <c r="G907">
        <v>51226399854</v>
      </c>
      <c r="H907" t="s">
        <v>35</v>
      </c>
      <c r="I907" s="36">
        <v>5918.04</v>
      </c>
      <c r="J907" s="36">
        <v>1541.5661250000001</v>
      </c>
      <c r="K907" s="85">
        <v>4376.4738749999997</v>
      </c>
      <c r="L907" s="36">
        <v>128.46384380000001</v>
      </c>
      <c r="M907" s="36">
        <v>0</v>
      </c>
      <c r="N907" s="36">
        <v>128.46384380000001</v>
      </c>
      <c r="O907" s="36">
        <v>0</v>
      </c>
      <c r="P907" t="s">
        <v>367</v>
      </c>
      <c r="Q907" t="s">
        <v>191</v>
      </c>
      <c r="R907" t="s">
        <v>191</v>
      </c>
      <c r="S907" s="1">
        <v>46063</v>
      </c>
      <c r="T907" s="1">
        <v>46063</v>
      </c>
      <c r="U907" s="1"/>
      <c r="V907" s="1">
        <v>46428</v>
      </c>
      <c r="W907" t="s">
        <v>38</v>
      </c>
      <c r="Y907" t="s">
        <v>49</v>
      </c>
      <c r="AA907" t="s">
        <v>92</v>
      </c>
      <c r="AB907">
        <v>12</v>
      </c>
      <c r="AC907" t="s">
        <v>192</v>
      </c>
      <c r="AD907" t="s">
        <v>125</v>
      </c>
      <c r="AE907" t="s">
        <v>43</v>
      </c>
      <c r="AF907" t="s">
        <v>47</v>
      </c>
      <c r="AG907" t="str">
        <f t="shared" si="15"/>
        <v>Recorrente</v>
      </c>
      <c r="AH907" t="str">
        <f>IF(AND(SUMIF(E:E,E907,I:I)&gt;=400000,Q907="B2G"),"n","")</f>
        <v/>
      </c>
    </row>
    <row r="908" spans="1:34">
      <c r="A908">
        <v>2026</v>
      </c>
      <c r="B908">
        <v>2</v>
      </c>
      <c r="C908" s="83">
        <v>112039086254</v>
      </c>
      <c r="D908" t="s">
        <v>940</v>
      </c>
      <c r="E908">
        <v>55964796078</v>
      </c>
      <c r="F908">
        <v>636020</v>
      </c>
      <c r="G908">
        <v>51226399855</v>
      </c>
      <c r="H908" t="s">
        <v>35</v>
      </c>
      <c r="I908" s="36">
        <v>5299.08</v>
      </c>
      <c r="J908" s="36">
        <v>1380.3357570000001</v>
      </c>
      <c r="K908" s="85">
        <v>3918.7442430000001</v>
      </c>
      <c r="L908" s="36">
        <v>115.0279797</v>
      </c>
      <c r="M908" s="36">
        <v>0</v>
      </c>
      <c r="N908" s="36">
        <v>115.0279797</v>
      </c>
      <c r="O908" s="36">
        <v>0</v>
      </c>
      <c r="P908" t="s">
        <v>367</v>
      </c>
      <c r="Q908" t="s">
        <v>191</v>
      </c>
      <c r="R908" t="s">
        <v>191</v>
      </c>
      <c r="S908" s="1">
        <v>46063</v>
      </c>
      <c r="T908" s="1">
        <v>46063</v>
      </c>
      <c r="V908" s="1">
        <v>46428</v>
      </c>
      <c r="W908" t="s">
        <v>38</v>
      </c>
      <c r="Y908" t="s">
        <v>49</v>
      </c>
      <c r="AA908" t="s">
        <v>92</v>
      </c>
      <c r="AB908">
        <v>12</v>
      </c>
      <c r="AC908" t="s">
        <v>192</v>
      </c>
      <c r="AD908" t="s">
        <v>149</v>
      </c>
      <c r="AE908" t="s">
        <v>43</v>
      </c>
      <c r="AF908" t="s">
        <v>96</v>
      </c>
      <c r="AG908" t="str">
        <f t="shared" si="15"/>
        <v>Recorrente</v>
      </c>
      <c r="AH908" t="str">
        <f>IF(AND(SUMIF(E:E,E908,I:I)&gt;=400000,Q908="B2G"),"n","")</f>
        <v/>
      </c>
    </row>
    <row r="909" spans="1:34">
      <c r="A909">
        <v>2026</v>
      </c>
      <c r="B909">
        <v>2</v>
      </c>
      <c r="C909" s="83">
        <v>112039086254</v>
      </c>
      <c r="D909" t="s">
        <v>940</v>
      </c>
      <c r="E909">
        <v>55964796078</v>
      </c>
      <c r="F909">
        <v>636020</v>
      </c>
      <c r="G909">
        <v>51226399856</v>
      </c>
      <c r="H909" t="s">
        <v>35</v>
      </c>
      <c r="I909" s="36">
        <v>5146.4399999999996</v>
      </c>
      <c r="J909" s="36">
        <v>1340.5751849999999</v>
      </c>
      <c r="K909" s="85">
        <v>3805.8648149999999</v>
      </c>
      <c r="L909" s="36">
        <v>111.7145988</v>
      </c>
      <c r="M909" s="36">
        <v>0</v>
      </c>
      <c r="N909" s="36">
        <v>111.7145988</v>
      </c>
      <c r="O909" s="36">
        <v>0</v>
      </c>
      <c r="P909" t="s">
        <v>367</v>
      </c>
      <c r="Q909" t="s">
        <v>191</v>
      </c>
      <c r="R909" t="s">
        <v>191</v>
      </c>
      <c r="S909" s="1">
        <v>46063</v>
      </c>
      <c r="T909" s="1">
        <v>46063</v>
      </c>
      <c r="V909" s="1">
        <v>46428</v>
      </c>
      <c r="W909" t="s">
        <v>38</v>
      </c>
      <c r="Y909" t="s">
        <v>49</v>
      </c>
      <c r="AA909" t="s">
        <v>92</v>
      </c>
      <c r="AB909">
        <v>12</v>
      </c>
      <c r="AC909" t="s">
        <v>192</v>
      </c>
      <c r="AD909" t="s">
        <v>149</v>
      </c>
      <c r="AE909" t="s">
        <v>43</v>
      </c>
      <c r="AF909" t="s">
        <v>96</v>
      </c>
      <c r="AG909" t="str">
        <f t="shared" si="15"/>
        <v>Recorrente</v>
      </c>
      <c r="AH909" t="str">
        <f>IF(AND(SUMIF(E:E,E909,I:I)&gt;=400000,Q909="B2G"),"n","")</f>
        <v/>
      </c>
    </row>
    <row r="910" spans="1:34">
      <c r="A910">
        <v>2026</v>
      </c>
      <c r="B910">
        <v>2</v>
      </c>
      <c r="C910" s="83">
        <v>112039086254</v>
      </c>
      <c r="D910" t="s">
        <v>940</v>
      </c>
      <c r="E910">
        <v>55964796078</v>
      </c>
      <c r="F910">
        <v>636020</v>
      </c>
      <c r="G910">
        <v>51226399857</v>
      </c>
      <c r="H910" t="s">
        <v>35</v>
      </c>
      <c r="I910" s="36">
        <v>5203.68</v>
      </c>
      <c r="J910" s="36">
        <v>1355.4854</v>
      </c>
      <c r="K910" s="85">
        <v>3848.1945999999998</v>
      </c>
      <c r="L910" s="36">
        <v>112.95711660000001</v>
      </c>
      <c r="M910" s="36">
        <v>0</v>
      </c>
      <c r="N910" s="36">
        <v>112.95711660000001</v>
      </c>
      <c r="O910" s="36">
        <v>0</v>
      </c>
      <c r="P910" t="s">
        <v>367</v>
      </c>
      <c r="Q910" t="s">
        <v>191</v>
      </c>
      <c r="R910" t="s">
        <v>191</v>
      </c>
      <c r="S910" s="1">
        <v>46063</v>
      </c>
      <c r="T910" s="1">
        <v>46063</v>
      </c>
      <c r="V910" s="1">
        <v>46428</v>
      </c>
      <c r="W910" t="s">
        <v>38</v>
      </c>
      <c r="Y910" t="s">
        <v>49</v>
      </c>
      <c r="AA910" t="s">
        <v>92</v>
      </c>
      <c r="AB910">
        <v>12</v>
      </c>
      <c r="AC910" t="s">
        <v>192</v>
      </c>
      <c r="AD910" t="s">
        <v>149</v>
      </c>
      <c r="AE910" t="s">
        <v>43</v>
      </c>
      <c r="AF910" t="s">
        <v>96</v>
      </c>
      <c r="AG910" t="str">
        <f t="shared" si="15"/>
        <v>Recorrente</v>
      </c>
      <c r="AH910" t="str">
        <f>IF(AND(SUMIF(E:E,E910,I:I)&gt;=400000,Q910="B2G"),"n","")</f>
        <v/>
      </c>
    </row>
    <row r="911" spans="1:34">
      <c r="A911">
        <v>2026</v>
      </c>
      <c r="B911">
        <v>2</v>
      </c>
      <c r="C911" s="83">
        <v>112086727337</v>
      </c>
      <c r="D911" t="s">
        <v>941</v>
      </c>
      <c r="E911">
        <v>56794406169</v>
      </c>
      <c r="F911">
        <v>626751</v>
      </c>
      <c r="G911">
        <v>52042613532</v>
      </c>
      <c r="H911" t="s">
        <v>35</v>
      </c>
      <c r="I911" s="36">
        <v>5238.24</v>
      </c>
      <c r="J911" s="36">
        <v>5238.24</v>
      </c>
      <c r="K911" s="85">
        <v>0</v>
      </c>
      <c r="L911" s="36">
        <v>436.52</v>
      </c>
      <c r="M911" s="36">
        <v>0</v>
      </c>
      <c r="N911" s="36">
        <v>28.975000000000001</v>
      </c>
      <c r="O911" s="36">
        <v>407.55</v>
      </c>
      <c r="P911" t="s">
        <v>162</v>
      </c>
      <c r="Q911" t="s">
        <v>111</v>
      </c>
      <c r="R911" t="s">
        <v>111</v>
      </c>
      <c r="S911" s="1">
        <v>46078</v>
      </c>
      <c r="T911" s="1">
        <v>46078</v>
      </c>
      <c r="U911" s="1">
        <v>46073</v>
      </c>
      <c r="V911" s="1">
        <v>46443</v>
      </c>
      <c r="W911" t="s">
        <v>38</v>
      </c>
      <c r="X911">
        <v>12</v>
      </c>
      <c r="Y911" t="s">
        <v>49</v>
      </c>
      <c r="Z911" t="s">
        <v>81</v>
      </c>
      <c r="AA911" t="s">
        <v>122</v>
      </c>
      <c r="AB911">
        <v>12</v>
      </c>
      <c r="AC911" t="s">
        <v>113</v>
      </c>
      <c r="AD911" t="s">
        <v>138</v>
      </c>
      <c r="AE911" t="s">
        <v>135</v>
      </c>
      <c r="AF911" t="s">
        <v>119</v>
      </c>
      <c r="AG911" t="str">
        <f t="shared" si="15"/>
        <v>Recorrente</v>
      </c>
      <c r="AH911" t="str">
        <f>IF(AND(SUMIF(E:E,E911,I:I)&gt;=400000,Q911="B2G"),"n","")</f>
        <v/>
      </c>
    </row>
    <row r="912" spans="1:34">
      <c r="A912">
        <v>2026</v>
      </c>
      <c r="B912">
        <v>2</v>
      </c>
      <c r="C912" s="83">
        <v>112687284581</v>
      </c>
      <c r="D912" t="s">
        <v>942</v>
      </c>
      <c r="E912">
        <v>55459460906</v>
      </c>
      <c r="F912">
        <v>635945</v>
      </c>
      <c r="G912">
        <v>50922664762</v>
      </c>
      <c r="H912" t="s">
        <v>35</v>
      </c>
      <c r="I912" s="36">
        <v>12234.84</v>
      </c>
      <c r="J912" s="36">
        <v>2990.22</v>
      </c>
      <c r="K912" s="85">
        <v>9244.6200000000008</v>
      </c>
      <c r="L912" s="36">
        <v>249.185</v>
      </c>
      <c r="M912" s="36">
        <v>0</v>
      </c>
      <c r="N912" s="36">
        <v>249.185</v>
      </c>
      <c r="O912" s="36">
        <v>0</v>
      </c>
      <c r="P912" t="s">
        <v>520</v>
      </c>
      <c r="Q912" t="s">
        <v>191</v>
      </c>
      <c r="R912" t="s">
        <v>191</v>
      </c>
      <c r="S912" s="1">
        <v>46058</v>
      </c>
      <c r="T912" s="1">
        <v>46058</v>
      </c>
      <c r="V912" s="1">
        <v>46423</v>
      </c>
      <c r="W912" t="s">
        <v>38</v>
      </c>
      <c r="Y912" t="s">
        <v>49</v>
      </c>
      <c r="AA912" t="s">
        <v>122</v>
      </c>
      <c r="AB912">
        <v>12</v>
      </c>
      <c r="AC912" t="s">
        <v>192</v>
      </c>
      <c r="AD912" t="s">
        <v>154</v>
      </c>
      <c r="AE912" t="s">
        <v>46</v>
      </c>
      <c r="AF912" t="s">
        <v>47</v>
      </c>
      <c r="AG912" t="str">
        <f t="shared" si="15"/>
        <v>Recorrente</v>
      </c>
      <c r="AH912" t="str">
        <f>IF(AND(SUMIF(E:E,E912,I:I)&gt;=400000,Q912="B2G"),"n","")</f>
        <v/>
      </c>
    </row>
    <row r="913" spans="1:34">
      <c r="A913">
        <v>2026</v>
      </c>
      <c r="B913">
        <v>2</v>
      </c>
      <c r="C913" s="83">
        <v>112687284581</v>
      </c>
      <c r="D913" t="s">
        <v>942</v>
      </c>
      <c r="E913">
        <v>56957425017</v>
      </c>
      <c r="F913">
        <v>636245</v>
      </c>
      <c r="G913">
        <v>52251293035</v>
      </c>
      <c r="H913" t="s">
        <v>35</v>
      </c>
      <c r="I913" s="36">
        <v>4074</v>
      </c>
      <c r="J913" s="36">
        <v>4074</v>
      </c>
      <c r="K913" s="85">
        <v>0</v>
      </c>
      <c r="L913" s="36">
        <v>339.5</v>
      </c>
      <c r="M913" s="36">
        <v>0</v>
      </c>
      <c r="N913" s="36">
        <v>339.5</v>
      </c>
      <c r="O913" s="36">
        <v>0</v>
      </c>
      <c r="P913" t="s">
        <v>520</v>
      </c>
      <c r="Q913" t="s">
        <v>191</v>
      </c>
      <c r="R913" t="s">
        <v>191</v>
      </c>
      <c r="S913" s="1">
        <v>46078</v>
      </c>
      <c r="T913" s="1">
        <v>46078</v>
      </c>
      <c r="U913" s="1"/>
      <c r="V913" s="1">
        <v>46443</v>
      </c>
      <c r="W913" t="s">
        <v>38</v>
      </c>
      <c r="X913">
        <v>12</v>
      </c>
      <c r="Y913" t="s">
        <v>49</v>
      </c>
      <c r="AA913" t="s">
        <v>122</v>
      </c>
      <c r="AB913">
        <v>12</v>
      </c>
      <c r="AC913" t="s">
        <v>192</v>
      </c>
      <c r="AD913" t="s">
        <v>114</v>
      </c>
      <c r="AE913" t="s">
        <v>43</v>
      </c>
      <c r="AF913" t="s">
        <v>44</v>
      </c>
      <c r="AG913" t="str">
        <f t="shared" si="15"/>
        <v>Recorrente</v>
      </c>
      <c r="AH913" t="str">
        <f>IF(AND(SUMIF(E:E,E913,I:I)&gt;=400000,Q913="B2G"),"n","")</f>
        <v/>
      </c>
    </row>
    <row r="914" spans="1:34">
      <c r="A914">
        <v>2026</v>
      </c>
      <c r="B914">
        <v>2</v>
      </c>
      <c r="C914" s="83">
        <v>113894920807</v>
      </c>
      <c r="D914" t="s">
        <v>943</v>
      </c>
      <c r="E914">
        <v>56134098060</v>
      </c>
      <c r="F914">
        <v>613584</v>
      </c>
      <c r="G914">
        <v>51472024859</v>
      </c>
      <c r="H914" t="s">
        <v>35</v>
      </c>
      <c r="I914" s="36">
        <v>194.76</v>
      </c>
      <c r="J914" s="36">
        <v>1077.8399999999999</v>
      </c>
      <c r="K914" s="85">
        <v>0</v>
      </c>
      <c r="L914" s="36">
        <v>89.82</v>
      </c>
      <c r="M914" s="36">
        <v>0</v>
      </c>
      <c r="N914" s="36">
        <v>89.82</v>
      </c>
      <c r="O914" s="36">
        <v>0</v>
      </c>
      <c r="P914" t="s">
        <v>323</v>
      </c>
      <c r="Q914" t="s">
        <v>191</v>
      </c>
      <c r="R914" t="s">
        <v>191</v>
      </c>
      <c r="S914" s="1">
        <v>46066</v>
      </c>
      <c r="T914" s="1">
        <v>46066</v>
      </c>
      <c r="U914" s="1">
        <v>46131</v>
      </c>
      <c r="V914" s="1">
        <v>46131</v>
      </c>
      <c r="W914" t="s">
        <v>38</v>
      </c>
      <c r="X914">
        <v>2</v>
      </c>
      <c r="Y914" t="s">
        <v>49</v>
      </c>
      <c r="Z914" t="s">
        <v>324</v>
      </c>
      <c r="AA914" t="s">
        <v>112</v>
      </c>
      <c r="AB914">
        <v>2</v>
      </c>
      <c r="AC914" t="s">
        <v>192</v>
      </c>
      <c r="AD914" t="s">
        <v>163</v>
      </c>
      <c r="AE914" t="s">
        <v>43</v>
      </c>
      <c r="AF914" t="s">
        <v>96</v>
      </c>
      <c r="AG914" t="str">
        <f t="shared" si="15"/>
        <v>CC 3x</v>
      </c>
      <c r="AH914" t="str">
        <f>IF(AND(SUMIF(E:E,E914,I:I)&gt;=400000,Q914="B2G"),"n","")</f>
        <v/>
      </c>
    </row>
    <row r="915" spans="1:34">
      <c r="A915">
        <v>2026</v>
      </c>
      <c r="B915">
        <v>2</v>
      </c>
      <c r="C915" s="83">
        <v>113976441872</v>
      </c>
      <c r="D915" t="s">
        <v>944</v>
      </c>
      <c r="E915">
        <v>53266772374</v>
      </c>
      <c r="F915">
        <v>303391</v>
      </c>
      <c r="G915">
        <v>49626164323</v>
      </c>
      <c r="H915" t="s">
        <v>35</v>
      </c>
      <c r="I915" s="36">
        <v>7155.84</v>
      </c>
      <c r="J915" s="36">
        <v>7155.84</v>
      </c>
      <c r="K915" s="85">
        <v>0</v>
      </c>
      <c r="L915" s="36">
        <v>596.32000000000005</v>
      </c>
      <c r="M915" s="36">
        <v>0</v>
      </c>
      <c r="N915" s="36">
        <v>60.89</v>
      </c>
      <c r="O915" s="36">
        <v>535.42999999999995</v>
      </c>
      <c r="P915" t="s">
        <v>162</v>
      </c>
      <c r="Q915" t="s">
        <v>111</v>
      </c>
      <c r="R915" t="s">
        <v>111</v>
      </c>
      <c r="S915" s="1">
        <v>46042</v>
      </c>
      <c r="T915" s="1">
        <v>46054</v>
      </c>
      <c r="U915" s="1">
        <v>46040</v>
      </c>
      <c r="V915" s="1">
        <v>46405</v>
      </c>
      <c r="W915" t="s">
        <v>38</v>
      </c>
      <c r="X915">
        <v>12</v>
      </c>
      <c r="Y915" t="s">
        <v>49</v>
      </c>
      <c r="Z915" t="s">
        <v>81</v>
      </c>
      <c r="AA915" t="s">
        <v>112</v>
      </c>
      <c r="AB915">
        <v>12</v>
      </c>
      <c r="AC915" t="s">
        <v>113</v>
      </c>
      <c r="AD915" t="s">
        <v>134</v>
      </c>
      <c r="AE915" t="s">
        <v>135</v>
      </c>
      <c r="AF915" t="s">
        <v>44</v>
      </c>
      <c r="AG915" t="str">
        <f t="shared" si="15"/>
        <v>CC 12x</v>
      </c>
      <c r="AH915" t="str">
        <f>IF(AND(SUMIF(E:E,E915,I:I)&gt;=400000,Q915="B2G"),"n","")</f>
        <v/>
      </c>
    </row>
    <row r="916" spans="1:34">
      <c r="A916">
        <v>2026</v>
      </c>
      <c r="B916">
        <v>2</v>
      </c>
      <c r="C916" s="83">
        <v>114281264182</v>
      </c>
      <c r="D916" t="s">
        <v>945</v>
      </c>
      <c r="E916">
        <v>54610290546</v>
      </c>
      <c r="F916">
        <v>626145</v>
      </c>
      <c r="G916">
        <v>49949717882</v>
      </c>
      <c r="H916" t="s">
        <v>35</v>
      </c>
      <c r="I916" s="36">
        <v>10075.799999999999</v>
      </c>
      <c r="J916" s="36">
        <v>10075.799999999999</v>
      </c>
      <c r="K916" s="85">
        <v>0</v>
      </c>
      <c r="L916" s="36">
        <v>839.65</v>
      </c>
      <c r="M916" s="36">
        <v>0</v>
      </c>
      <c r="N916" s="36">
        <v>183.67</v>
      </c>
      <c r="O916" s="36">
        <v>655.98</v>
      </c>
      <c r="P916" t="s">
        <v>127</v>
      </c>
      <c r="Q916" t="s">
        <v>111</v>
      </c>
      <c r="R916" t="s">
        <v>111</v>
      </c>
      <c r="S916" s="1">
        <v>46050</v>
      </c>
      <c r="T916" s="1">
        <v>46054</v>
      </c>
      <c r="U916" s="1">
        <v>46057</v>
      </c>
      <c r="V916" s="1">
        <v>46422</v>
      </c>
      <c r="W916" t="s">
        <v>38</v>
      </c>
      <c r="X916">
        <v>12</v>
      </c>
      <c r="Y916" t="s">
        <v>49</v>
      </c>
      <c r="Z916" t="s">
        <v>81</v>
      </c>
      <c r="AA916" t="s">
        <v>112</v>
      </c>
      <c r="AB916">
        <v>12</v>
      </c>
      <c r="AC916" t="s">
        <v>113</v>
      </c>
      <c r="AD916" t="s">
        <v>154</v>
      </c>
      <c r="AE916" t="s">
        <v>46</v>
      </c>
      <c r="AF916" t="s">
        <v>47</v>
      </c>
      <c r="AG916" t="str">
        <f t="shared" si="15"/>
        <v>CC 12x</v>
      </c>
      <c r="AH916" t="str">
        <f>IF(AND(SUMIF(E:E,E916,I:I)&gt;=400000,Q916="B2G"),"n","")</f>
        <v/>
      </c>
    </row>
    <row r="917" spans="1:34">
      <c r="A917">
        <v>2026</v>
      </c>
      <c r="B917">
        <v>2</v>
      </c>
      <c r="C917" s="83">
        <v>114440909860</v>
      </c>
      <c r="D917" t="s">
        <v>946</v>
      </c>
      <c r="E917">
        <v>53393111083</v>
      </c>
      <c r="F917">
        <v>506082</v>
      </c>
      <c r="G917">
        <v>48501497115</v>
      </c>
      <c r="H917" t="s">
        <v>35</v>
      </c>
      <c r="I917" s="36">
        <v>4315.4399999999996</v>
      </c>
      <c r="J917" s="36">
        <v>4315.4399999999996</v>
      </c>
      <c r="K917" s="85">
        <v>0</v>
      </c>
      <c r="L917" s="36">
        <v>359.62</v>
      </c>
      <c r="M917" s="36">
        <v>0</v>
      </c>
      <c r="N917" s="36">
        <v>74.265000000000001</v>
      </c>
      <c r="O917" s="36">
        <v>285.36</v>
      </c>
      <c r="P917" t="s">
        <v>165</v>
      </c>
      <c r="Q917" t="s">
        <v>166</v>
      </c>
      <c r="R917" t="s">
        <v>166</v>
      </c>
      <c r="S917" s="1">
        <v>46075</v>
      </c>
      <c r="T917" s="1">
        <v>46075</v>
      </c>
      <c r="U917" s="1">
        <v>46075</v>
      </c>
      <c r="V917" s="1">
        <v>46440</v>
      </c>
      <c r="W917" t="s">
        <v>38</v>
      </c>
      <c r="X917">
        <v>12</v>
      </c>
      <c r="Y917" t="s">
        <v>49</v>
      </c>
      <c r="Z917" t="s">
        <v>81</v>
      </c>
      <c r="AA917" t="s">
        <v>122</v>
      </c>
      <c r="AB917">
        <v>12</v>
      </c>
      <c r="AC917" t="s">
        <v>166</v>
      </c>
      <c r="AD917" t="s">
        <v>85</v>
      </c>
      <c r="AE917" t="s">
        <v>46</v>
      </c>
      <c r="AF917" t="s">
        <v>44</v>
      </c>
      <c r="AG917" t="str">
        <f t="shared" si="15"/>
        <v>Recorrente</v>
      </c>
      <c r="AH917" t="str">
        <f>IF(AND(SUMIF(E:E,E917,I:I)&gt;=400000,Q917="B2G"),"n","")</f>
        <v/>
      </c>
    </row>
    <row r="918" spans="1:34">
      <c r="A918">
        <v>2026</v>
      </c>
      <c r="B918">
        <v>2</v>
      </c>
      <c r="C918" s="83">
        <v>114517114548</v>
      </c>
      <c r="D918" t="s">
        <v>947</v>
      </c>
      <c r="E918">
        <v>55475277927</v>
      </c>
      <c r="F918">
        <v>636039</v>
      </c>
      <c r="G918">
        <v>50879730442</v>
      </c>
      <c r="H918" t="s">
        <v>35</v>
      </c>
      <c r="I918" s="36">
        <v>6092.52</v>
      </c>
      <c r="J918" s="36">
        <v>6092.5698000000002</v>
      </c>
      <c r="K918" s="85">
        <v>0</v>
      </c>
      <c r="L918" s="36">
        <v>507.71415000000002</v>
      </c>
      <c r="M918" s="36">
        <v>0</v>
      </c>
      <c r="N918" s="36">
        <v>157.82915</v>
      </c>
      <c r="O918" s="36">
        <v>349.88499999999999</v>
      </c>
      <c r="P918" t="s">
        <v>127</v>
      </c>
      <c r="Q918" t="s">
        <v>111</v>
      </c>
      <c r="R918" t="s">
        <v>111</v>
      </c>
      <c r="S918" s="1">
        <v>46064</v>
      </c>
      <c r="T918" s="1">
        <v>46064</v>
      </c>
      <c r="U918" s="1"/>
      <c r="V918" s="1">
        <v>46429</v>
      </c>
      <c r="W918" t="s">
        <v>38</v>
      </c>
      <c r="Y918" t="s">
        <v>49</v>
      </c>
      <c r="AA918" t="s">
        <v>112</v>
      </c>
      <c r="AB918">
        <v>12</v>
      </c>
      <c r="AC918" t="s">
        <v>113</v>
      </c>
      <c r="AD918" t="s">
        <v>125</v>
      </c>
      <c r="AE918" t="s">
        <v>43</v>
      </c>
      <c r="AF918" t="s">
        <v>47</v>
      </c>
      <c r="AG918" t="str">
        <f t="shared" si="15"/>
        <v>CC 12x</v>
      </c>
      <c r="AH918" t="str">
        <f>IF(AND(SUMIF(E:E,E918,I:I)&gt;=400000,Q918="B2G"),"n","")</f>
        <v/>
      </c>
    </row>
    <row r="919" spans="1:34">
      <c r="A919">
        <v>2026</v>
      </c>
      <c r="B919">
        <v>2</v>
      </c>
      <c r="C919" s="83">
        <v>114517114548</v>
      </c>
      <c r="D919" t="s">
        <v>947</v>
      </c>
      <c r="E919">
        <v>55475277927</v>
      </c>
      <c r="F919">
        <v>636039</v>
      </c>
      <c r="G919">
        <v>50879730443</v>
      </c>
      <c r="H919" t="s">
        <v>35</v>
      </c>
      <c r="I919" s="36">
        <v>6092.52</v>
      </c>
      <c r="J919" s="36">
        <v>6092.5698000000002</v>
      </c>
      <c r="K919" s="85">
        <v>0</v>
      </c>
      <c r="L919" s="36">
        <v>507.71415000000002</v>
      </c>
      <c r="M919" s="36">
        <v>0</v>
      </c>
      <c r="N919" s="36">
        <v>157.82915</v>
      </c>
      <c r="O919" s="36">
        <v>349.88499999999999</v>
      </c>
      <c r="P919" t="s">
        <v>127</v>
      </c>
      <c r="Q919" t="s">
        <v>111</v>
      </c>
      <c r="R919" t="s">
        <v>111</v>
      </c>
      <c r="S919" s="1">
        <v>46064</v>
      </c>
      <c r="T919" s="1">
        <v>46064</v>
      </c>
      <c r="U919" s="1"/>
      <c r="V919" s="1">
        <v>46429</v>
      </c>
      <c r="W919" t="s">
        <v>38</v>
      </c>
      <c r="Y919" t="s">
        <v>49</v>
      </c>
      <c r="AA919" t="s">
        <v>112</v>
      </c>
      <c r="AB919">
        <v>12</v>
      </c>
      <c r="AC919" t="s">
        <v>113</v>
      </c>
      <c r="AD919" t="s">
        <v>125</v>
      </c>
      <c r="AE919" t="s">
        <v>43</v>
      </c>
      <c r="AF919" t="s">
        <v>47</v>
      </c>
      <c r="AG919" t="str">
        <f t="shared" si="15"/>
        <v>CC 12x</v>
      </c>
      <c r="AH919" t="str">
        <f>IF(AND(SUMIF(E:E,E919,I:I)&gt;=400000,Q919="B2G"),"n","")</f>
        <v/>
      </c>
    </row>
    <row r="920" spans="1:34">
      <c r="A920">
        <v>2026</v>
      </c>
      <c r="B920">
        <v>2</v>
      </c>
      <c r="C920" s="83">
        <v>114783431498</v>
      </c>
      <c r="D920" t="s">
        <v>948</v>
      </c>
      <c r="E920">
        <v>53878465717</v>
      </c>
      <c r="F920">
        <v>303605</v>
      </c>
      <c r="G920">
        <v>49622495857</v>
      </c>
      <c r="H920" t="s">
        <v>35</v>
      </c>
      <c r="I920" s="36">
        <v>7483.2</v>
      </c>
      <c r="J920" s="36">
        <v>7483.2</v>
      </c>
      <c r="K920" s="85">
        <v>0</v>
      </c>
      <c r="L920" s="36">
        <v>623.6</v>
      </c>
      <c r="M920" s="36">
        <v>0</v>
      </c>
      <c r="N920" s="36">
        <v>161.19</v>
      </c>
      <c r="O920" s="36">
        <v>462.41</v>
      </c>
      <c r="P920" t="s">
        <v>121</v>
      </c>
      <c r="Q920" t="s">
        <v>111</v>
      </c>
      <c r="R920" t="s">
        <v>111</v>
      </c>
      <c r="S920" s="1">
        <v>46042</v>
      </c>
      <c r="T920" s="1">
        <v>46054</v>
      </c>
      <c r="U920" s="1">
        <v>46036</v>
      </c>
      <c r="V920" s="1">
        <v>46407</v>
      </c>
      <c r="W920" t="s">
        <v>38</v>
      </c>
      <c r="X920">
        <v>12</v>
      </c>
      <c r="Y920" t="s">
        <v>49</v>
      </c>
      <c r="Z920" t="s">
        <v>81</v>
      </c>
      <c r="AA920" t="s">
        <v>122</v>
      </c>
      <c r="AB920">
        <v>12</v>
      </c>
      <c r="AC920" t="s">
        <v>113</v>
      </c>
      <c r="AD920" t="s">
        <v>134</v>
      </c>
      <c r="AE920" t="s">
        <v>135</v>
      </c>
      <c r="AF920" t="s">
        <v>44</v>
      </c>
      <c r="AG920" t="str">
        <f t="shared" si="15"/>
        <v>Recorrente</v>
      </c>
      <c r="AH920" t="str">
        <f>IF(AND(SUMIF(E:E,E920,I:I)&gt;=400000,Q920="B2G"),"n","")</f>
        <v/>
      </c>
    </row>
    <row r="921" spans="1:34">
      <c r="A921">
        <v>2026</v>
      </c>
      <c r="B921">
        <v>2</v>
      </c>
      <c r="C921" s="83">
        <v>114810495784</v>
      </c>
      <c r="D921" t="s">
        <v>949</v>
      </c>
      <c r="E921">
        <v>53405052163</v>
      </c>
      <c r="F921">
        <v>527967</v>
      </c>
      <c r="G921">
        <v>48496029828</v>
      </c>
      <c r="H921" t="s">
        <v>35</v>
      </c>
      <c r="I921" s="36">
        <v>5514</v>
      </c>
      <c r="J921" s="36">
        <v>5514</v>
      </c>
      <c r="K921" s="85">
        <v>0</v>
      </c>
      <c r="L921" s="36">
        <v>459.5</v>
      </c>
      <c r="M921" s="36">
        <v>0</v>
      </c>
      <c r="N921" s="36">
        <v>30.5</v>
      </c>
      <c r="O921" s="36">
        <v>429</v>
      </c>
      <c r="P921" t="s">
        <v>165</v>
      </c>
      <c r="Q921" t="s">
        <v>166</v>
      </c>
      <c r="R921" t="s">
        <v>166</v>
      </c>
      <c r="S921" s="1">
        <v>46075</v>
      </c>
      <c r="T921" s="1">
        <v>46075</v>
      </c>
      <c r="U921" s="1">
        <v>46075</v>
      </c>
      <c r="V921" s="1">
        <v>46440</v>
      </c>
      <c r="W921" t="s">
        <v>38</v>
      </c>
      <c r="X921">
        <v>12</v>
      </c>
      <c r="Y921" t="s">
        <v>49</v>
      </c>
      <c r="Z921" t="s">
        <v>81</v>
      </c>
      <c r="AA921" t="s">
        <v>112</v>
      </c>
      <c r="AB921">
        <v>12</v>
      </c>
      <c r="AC921" t="s">
        <v>166</v>
      </c>
      <c r="AD921" t="s">
        <v>138</v>
      </c>
      <c r="AE921" t="s">
        <v>135</v>
      </c>
      <c r="AF921" t="s">
        <v>119</v>
      </c>
      <c r="AG921" t="str">
        <f t="shared" si="15"/>
        <v>CC 12x</v>
      </c>
      <c r="AH921" t="str">
        <f>IF(AND(SUMIF(E:E,E921,I:I)&gt;=400000,Q921="B2G"),"n","")</f>
        <v/>
      </c>
    </row>
    <row r="922" spans="1:34">
      <c r="A922">
        <v>2026</v>
      </c>
      <c r="B922">
        <v>2</v>
      </c>
      <c r="C922" s="83">
        <v>116009180817</v>
      </c>
      <c r="D922" t="s">
        <v>950</v>
      </c>
      <c r="E922">
        <v>56496627728</v>
      </c>
      <c r="F922">
        <v>306891</v>
      </c>
      <c r="G922">
        <v>51938944928</v>
      </c>
      <c r="H922" t="s">
        <v>35</v>
      </c>
      <c r="I922" s="36">
        <v>4638.6000000000004</v>
      </c>
      <c r="J922" s="36">
        <v>4638.6000000000004</v>
      </c>
      <c r="K922" s="85">
        <v>0</v>
      </c>
      <c r="L922" s="36">
        <v>386.55</v>
      </c>
      <c r="M922" s="36">
        <v>0</v>
      </c>
      <c r="N922" s="36">
        <v>0</v>
      </c>
      <c r="O922" s="36">
        <v>386.55</v>
      </c>
      <c r="P922" t="s">
        <v>116</v>
      </c>
      <c r="Q922" t="s">
        <v>111</v>
      </c>
      <c r="R922" t="s">
        <v>111</v>
      </c>
      <c r="S922" s="1">
        <v>46072</v>
      </c>
      <c r="T922" s="1">
        <v>46072</v>
      </c>
      <c r="U922" s="1">
        <v>46069</v>
      </c>
      <c r="V922" s="1">
        <v>46434</v>
      </c>
      <c r="W922" t="s">
        <v>38</v>
      </c>
      <c r="X922">
        <v>12</v>
      </c>
      <c r="Y922" t="s">
        <v>49</v>
      </c>
      <c r="Z922" t="s">
        <v>81</v>
      </c>
      <c r="AA922" t="s">
        <v>122</v>
      </c>
      <c r="AB922">
        <v>12</v>
      </c>
      <c r="AC922" t="s">
        <v>113</v>
      </c>
      <c r="AD922" t="s">
        <v>163</v>
      </c>
      <c r="AE922" t="s">
        <v>43</v>
      </c>
      <c r="AF922" t="s">
        <v>96</v>
      </c>
      <c r="AG922" t="str">
        <f t="shared" si="15"/>
        <v>Recorrente</v>
      </c>
      <c r="AH922" t="str">
        <f>IF(AND(SUMIF(E:E,E922,I:I)&gt;=400000,Q922="B2G"),"n","")</f>
        <v/>
      </c>
    </row>
    <row r="923" spans="1:34">
      <c r="A923">
        <v>2026</v>
      </c>
      <c r="B923">
        <v>2</v>
      </c>
      <c r="C923" s="83">
        <v>116022659647</v>
      </c>
      <c r="D923" t="s">
        <v>951</v>
      </c>
      <c r="E923">
        <v>53429495461</v>
      </c>
      <c r="F923">
        <v>505493</v>
      </c>
      <c r="G923">
        <v>51492341518</v>
      </c>
      <c r="H923" t="s">
        <v>35</v>
      </c>
      <c r="I923" s="36">
        <v>2874</v>
      </c>
      <c r="J923" s="36">
        <v>2874</v>
      </c>
      <c r="K923" s="85">
        <v>0</v>
      </c>
      <c r="L923" s="36">
        <v>239.5</v>
      </c>
      <c r="M923" s="36">
        <v>0</v>
      </c>
      <c r="N923" s="36">
        <v>0</v>
      </c>
      <c r="O923" s="36">
        <v>239.5</v>
      </c>
      <c r="P923" t="s">
        <v>137</v>
      </c>
      <c r="Q923" t="s">
        <v>111</v>
      </c>
      <c r="R923" t="s">
        <v>111</v>
      </c>
      <c r="S923" s="1">
        <v>46066</v>
      </c>
      <c r="T923" s="1">
        <v>46066</v>
      </c>
      <c r="U923" s="1">
        <v>46060</v>
      </c>
      <c r="V923" s="1">
        <v>46431</v>
      </c>
      <c r="W923" t="s">
        <v>38</v>
      </c>
      <c r="X923">
        <v>12</v>
      </c>
      <c r="Y923" t="s">
        <v>49</v>
      </c>
      <c r="Z923" t="s">
        <v>76</v>
      </c>
      <c r="AA923" t="s">
        <v>122</v>
      </c>
      <c r="AB923">
        <v>12</v>
      </c>
      <c r="AC923" t="s">
        <v>113</v>
      </c>
      <c r="AD923" t="s">
        <v>140</v>
      </c>
      <c r="AE923" t="s">
        <v>46</v>
      </c>
      <c r="AF923" t="s">
        <v>119</v>
      </c>
      <c r="AG923" t="str">
        <f t="shared" si="15"/>
        <v>Recorrente</v>
      </c>
      <c r="AH923" t="str">
        <f>IF(AND(SUMIF(E:E,E923,I:I)&gt;=400000,Q923="B2G"),"n","")</f>
        <v/>
      </c>
    </row>
    <row r="924" spans="1:34">
      <c r="A924">
        <v>2026</v>
      </c>
      <c r="B924">
        <v>2</v>
      </c>
      <c r="C924" s="83">
        <v>116042374793</v>
      </c>
      <c r="D924" t="s">
        <v>952</v>
      </c>
      <c r="E924">
        <v>56883019029</v>
      </c>
      <c r="F924">
        <v>607141</v>
      </c>
      <c r="G924">
        <v>52198836879</v>
      </c>
      <c r="H924" t="s">
        <v>35</v>
      </c>
      <c r="I924" s="36">
        <v>3377.04</v>
      </c>
      <c r="J924" s="36">
        <v>3842.88</v>
      </c>
      <c r="K924" s="85">
        <v>0</v>
      </c>
      <c r="L924" s="36">
        <v>320.24</v>
      </c>
      <c r="M924" s="36">
        <v>0</v>
      </c>
      <c r="N924" s="36">
        <v>320.24</v>
      </c>
      <c r="O924" s="36">
        <v>0</v>
      </c>
      <c r="P924" t="s">
        <v>804</v>
      </c>
      <c r="Q924" t="s">
        <v>191</v>
      </c>
      <c r="R924" t="s">
        <v>191</v>
      </c>
      <c r="S924" s="1">
        <v>46078</v>
      </c>
      <c r="T924" s="1">
        <v>46078</v>
      </c>
      <c r="U924" s="1">
        <v>46397</v>
      </c>
      <c r="V924" s="1">
        <v>46397</v>
      </c>
      <c r="W924" t="s">
        <v>38</v>
      </c>
      <c r="X924">
        <v>11</v>
      </c>
      <c r="Y924" t="s">
        <v>49</v>
      </c>
      <c r="Z924" t="s">
        <v>324</v>
      </c>
      <c r="AA924" t="s">
        <v>122</v>
      </c>
      <c r="AB924">
        <v>10</v>
      </c>
      <c r="AC924" t="s">
        <v>192</v>
      </c>
      <c r="AD924" t="s">
        <v>134</v>
      </c>
      <c r="AE924" t="s">
        <v>135</v>
      </c>
      <c r="AF924" t="s">
        <v>44</v>
      </c>
      <c r="AG924" t="str">
        <f t="shared" si="15"/>
        <v>Recorrente</v>
      </c>
      <c r="AH924" t="str">
        <f>IF(AND(SUMIF(E:E,E924,I:I)&gt;=400000,Q924="B2G"),"n","")</f>
        <v/>
      </c>
    </row>
    <row r="925" spans="1:34">
      <c r="A925">
        <v>2026</v>
      </c>
      <c r="B925">
        <v>2</v>
      </c>
      <c r="C925" s="83">
        <v>116100272950</v>
      </c>
      <c r="D925" t="s">
        <v>953</v>
      </c>
      <c r="E925">
        <v>54487042565</v>
      </c>
      <c r="F925">
        <v>625860</v>
      </c>
      <c r="G925">
        <v>50599264356</v>
      </c>
      <c r="H925" t="s">
        <v>35</v>
      </c>
      <c r="I925" s="36">
        <v>3928.68</v>
      </c>
      <c r="J925" s="36">
        <v>3928.68</v>
      </c>
      <c r="K925" s="85">
        <v>0</v>
      </c>
      <c r="L925" s="36">
        <v>327.39</v>
      </c>
      <c r="M925" s="36">
        <v>0</v>
      </c>
      <c r="N925" s="36">
        <v>127.89375</v>
      </c>
      <c r="O925" s="36">
        <v>199.5</v>
      </c>
      <c r="P925" t="s">
        <v>116</v>
      </c>
      <c r="Q925" t="s">
        <v>111</v>
      </c>
      <c r="R925" t="s">
        <v>111</v>
      </c>
      <c r="S925" s="1">
        <v>46054</v>
      </c>
      <c r="T925" s="1">
        <v>46054</v>
      </c>
      <c r="U925" s="1">
        <v>46046</v>
      </c>
      <c r="V925" s="1">
        <v>46419</v>
      </c>
      <c r="W925" t="s">
        <v>38</v>
      </c>
      <c r="X925">
        <v>13</v>
      </c>
      <c r="Y925" t="s">
        <v>49</v>
      </c>
      <c r="Z925" t="s">
        <v>81</v>
      </c>
      <c r="AA925" t="s">
        <v>122</v>
      </c>
      <c r="AB925">
        <v>12</v>
      </c>
      <c r="AC925" t="s">
        <v>113</v>
      </c>
      <c r="AD925" t="s">
        <v>138</v>
      </c>
      <c r="AE925" t="s">
        <v>135</v>
      </c>
      <c r="AF925" t="s">
        <v>119</v>
      </c>
      <c r="AG925" t="str">
        <f t="shared" si="15"/>
        <v>Recorrente</v>
      </c>
      <c r="AH925" t="str">
        <f>IF(AND(SUMIF(E:E,E925,I:I)&gt;=400000,Q925="B2G"),"n","")</f>
        <v/>
      </c>
    </row>
    <row r="926" spans="1:34">
      <c r="A926">
        <v>2026</v>
      </c>
      <c r="B926">
        <v>2</v>
      </c>
      <c r="C926" s="83">
        <v>116147374429</v>
      </c>
      <c r="D926" t="s">
        <v>954</v>
      </c>
      <c r="E926">
        <v>52786694782</v>
      </c>
      <c r="F926">
        <v>626526</v>
      </c>
      <c r="G926">
        <v>47935288661</v>
      </c>
      <c r="H926" t="s">
        <v>35</v>
      </c>
      <c r="I926" s="36">
        <v>5754</v>
      </c>
      <c r="J926" s="36">
        <v>5754</v>
      </c>
      <c r="K926" s="85">
        <v>0</v>
      </c>
      <c r="L926" s="36">
        <v>479.5</v>
      </c>
      <c r="M926" s="36">
        <v>0</v>
      </c>
      <c r="N926" s="36">
        <v>26.5</v>
      </c>
      <c r="O926" s="36">
        <v>453</v>
      </c>
      <c r="P926" t="s">
        <v>165</v>
      </c>
      <c r="Q926" t="s">
        <v>166</v>
      </c>
      <c r="R926" t="s">
        <v>166</v>
      </c>
      <c r="S926" s="1">
        <v>46065</v>
      </c>
      <c r="T926" s="1">
        <v>46065</v>
      </c>
      <c r="U926" s="1">
        <v>46065</v>
      </c>
      <c r="V926" s="1">
        <v>46430</v>
      </c>
      <c r="W926" t="s">
        <v>38</v>
      </c>
      <c r="X926">
        <v>12</v>
      </c>
      <c r="Y926" t="s">
        <v>49</v>
      </c>
      <c r="Z926" t="s">
        <v>81</v>
      </c>
      <c r="AA926" t="s">
        <v>112</v>
      </c>
      <c r="AB926">
        <v>10</v>
      </c>
      <c r="AC926" t="s">
        <v>166</v>
      </c>
      <c r="AD926" t="s">
        <v>85</v>
      </c>
      <c r="AE926" t="s">
        <v>46</v>
      </c>
      <c r="AF926" t="s">
        <v>44</v>
      </c>
      <c r="AG926" t="str">
        <f t="shared" si="15"/>
        <v>CC 12x</v>
      </c>
      <c r="AH926" t="str">
        <f>IF(AND(SUMIF(E:E,E926,I:I)&gt;=400000,Q926="B2G"),"n","")</f>
        <v/>
      </c>
    </row>
    <row r="927" spans="1:34">
      <c r="A927">
        <v>2026</v>
      </c>
      <c r="B927">
        <v>2</v>
      </c>
      <c r="C927" s="83">
        <v>116391021620</v>
      </c>
      <c r="D927" t="s">
        <v>955</v>
      </c>
      <c r="E927">
        <v>52334669493</v>
      </c>
      <c r="F927">
        <v>625754</v>
      </c>
      <c r="G927">
        <v>50926110310</v>
      </c>
      <c r="H927" t="s">
        <v>35</v>
      </c>
      <c r="I927" s="36">
        <v>2184.2399999999998</v>
      </c>
      <c r="J927" s="36">
        <v>2184.2399999999998</v>
      </c>
      <c r="K927" s="85">
        <v>0</v>
      </c>
      <c r="L927" s="36">
        <v>182.02</v>
      </c>
      <c r="M927" s="36">
        <v>0</v>
      </c>
      <c r="N927" s="36">
        <v>50.62</v>
      </c>
      <c r="O927" s="36">
        <v>131.4</v>
      </c>
      <c r="P927" t="s">
        <v>116</v>
      </c>
      <c r="Q927" t="s">
        <v>111</v>
      </c>
      <c r="R927" t="s">
        <v>111</v>
      </c>
      <c r="S927" s="1">
        <v>46059</v>
      </c>
      <c r="T927" s="1">
        <v>46059</v>
      </c>
      <c r="U927" s="1">
        <v>46043</v>
      </c>
      <c r="V927" s="1">
        <v>46424</v>
      </c>
      <c r="W927" t="s">
        <v>38</v>
      </c>
      <c r="X927">
        <v>13</v>
      </c>
      <c r="Y927" t="s">
        <v>49</v>
      </c>
      <c r="Z927" t="s">
        <v>81</v>
      </c>
      <c r="AA927" t="s">
        <v>112</v>
      </c>
      <c r="AB927">
        <v>12</v>
      </c>
      <c r="AC927" t="s">
        <v>113</v>
      </c>
      <c r="AD927" t="s">
        <v>118</v>
      </c>
      <c r="AE927" t="s">
        <v>43</v>
      </c>
      <c r="AF927" t="s">
        <v>119</v>
      </c>
      <c r="AG927" t="str">
        <f t="shared" si="15"/>
        <v>CC 12x</v>
      </c>
      <c r="AH927" t="str">
        <f>IF(AND(SUMIF(E:E,E927,I:I)&gt;=400000,Q927="B2G"),"n","")</f>
        <v/>
      </c>
    </row>
    <row r="928" spans="1:34">
      <c r="A928">
        <v>2026</v>
      </c>
      <c r="B928">
        <v>2</v>
      </c>
      <c r="C928" s="83">
        <v>116634547893</v>
      </c>
      <c r="D928" t="s">
        <v>956</v>
      </c>
      <c r="E928">
        <v>55516578399</v>
      </c>
      <c r="F928">
        <v>635988</v>
      </c>
      <c r="G928">
        <v>50981280157</v>
      </c>
      <c r="H928" t="s">
        <v>35</v>
      </c>
      <c r="I928" s="36">
        <v>5322.48</v>
      </c>
      <c r="J928" s="36">
        <v>2747.5550069999999</v>
      </c>
      <c r="K928" s="85">
        <v>2574.9249930000001</v>
      </c>
      <c r="L928" s="36">
        <v>228.96291719999999</v>
      </c>
      <c r="M928" s="36">
        <v>0</v>
      </c>
      <c r="N928" s="36">
        <v>228.96291719999999</v>
      </c>
      <c r="O928" s="36">
        <v>0</v>
      </c>
      <c r="P928" t="s">
        <v>804</v>
      </c>
      <c r="Q928" t="s">
        <v>191</v>
      </c>
      <c r="R928" t="s">
        <v>191</v>
      </c>
      <c r="S928" s="1">
        <v>46060</v>
      </c>
      <c r="T928" s="1">
        <v>46060</v>
      </c>
      <c r="U928" s="1"/>
      <c r="V928" s="1">
        <v>46425</v>
      </c>
      <c r="W928" t="s">
        <v>38</v>
      </c>
      <c r="Y928" t="s">
        <v>49</v>
      </c>
      <c r="AA928" t="s">
        <v>122</v>
      </c>
      <c r="AB928">
        <v>12</v>
      </c>
      <c r="AC928" t="s">
        <v>192</v>
      </c>
      <c r="AD928" t="s">
        <v>85</v>
      </c>
      <c r="AE928" t="s">
        <v>46</v>
      </c>
      <c r="AF928" t="s">
        <v>44</v>
      </c>
      <c r="AG928" t="str">
        <f t="shared" si="15"/>
        <v>Recorrente</v>
      </c>
      <c r="AH928" t="str">
        <f>IF(AND(SUMIF(E:E,E928,I:I)&gt;=400000,Q928="B2G"),"n","")</f>
        <v/>
      </c>
    </row>
    <row r="929" spans="1:34">
      <c r="A929">
        <v>2026</v>
      </c>
      <c r="B929">
        <v>2</v>
      </c>
      <c r="C929" s="83">
        <v>116634547893</v>
      </c>
      <c r="D929" t="s">
        <v>956</v>
      </c>
      <c r="E929">
        <v>55516578399</v>
      </c>
      <c r="F929">
        <v>635988</v>
      </c>
      <c r="G929">
        <v>50981280158</v>
      </c>
      <c r="H929" t="s">
        <v>35</v>
      </c>
      <c r="I929" s="36">
        <v>2658.48</v>
      </c>
      <c r="J929" s="36">
        <v>1372.3449929999999</v>
      </c>
      <c r="K929" s="85">
        <v>1286.1350070000001</v>
      </c>
      <c r="L929" s="36">
        <v>114.3620828</v>
      </c>
      <c r="M929" s="36">
        <v>0</v>
      </c>
      <c r="N929" s="36">
        <v>114.3620828</v>
      </c>
      <c r="O929" s="36">
        <v>0</v>
      </c>
      <c r="P929" t="s">
        <v>804</v>
      </c>
      <c r="Q929" t="s">
        <v>191</v>
      </c>
      <c r="R929" t="s">
        <v>191</v>
      </c>
      <c r="S929" s="1">
        <v>46060</v>
      </c>
      <c r="T929" s="1">
        <v>46060</v>
      </c>
      <c r="U929" s="1"/>
      <c r="V929" s="1">
        <v>46425</v>
      </c>
      <c r="W929" t="s">
        <v>38</v>
      </c>
      <c r="Y929" t="s">
        <v>49</v>
      </c>
      <c r="AA929" t="s">
        <v>122</v>
      </c>
      <c r="AB929">
        <v>12</v>
      </c>
      <c r="AC929" t="s">
        <v>192</v>
      </c>
      <c r="AD929" t="s">
        <v>118</v>
      </c>
      <c r="AE929" t="s">
        <v>43</v>
      </c>
      <c r="AF929" t="s">
        <v>119</v>
      </c>
      <c r="AG929" t="str">
        <f t="shared" si="15"/>
        <v>Recorrente</v>
      </c>
      <c r="AH929" t="str">
        <f>IF(AND(SUMIF(E:E,E929,I:I)&gt;=400000,Q929="B2G"),"n","")</f>
        <v/>
      </c>
    </row>
    <row r="930" spans="1:34">
      <c r="A930">
        <v>2026</v>
      </c>
      <c r="B930">
        <v>2</v>
      </c>
      <c r="C930" s="83">
        <v>116675793009</v>
      </c>
      <c r="D930" t="s">
        <v>957</v>
      </c>
      <c r="E930">
        <v>53079557919</v>
      </c>
      <c r="F930">
        <v>626602</v>
      </c>
      <c r="G930">
        <v>48080680256</v>
      </c>
      <c r="H930" t="s">
        <v>35</v>
      </c>
      <c r="I930" s="36">
        <v>2874</v>
      </c>
      <c r="J930" s="36">
        <v>2874</v>
      </c>
      <c r="K930" s="85">
        <v>0</v>
      </c>
      <c r="L930" s="36">
        <v>239.5</v>
      </c>
      <c r="M930" s="36">
        <v>0</v>
      </c>
      <c r="N930" s="36">
        <v>12.45</v>
      </c>
      <c r="O930" s="36">
        <v>227.05</v>
      </c>
      <c r="P930" t="s">
        <v>165</v>
      </c>
      <c r="Q930" t="s">
        <v>166</v>
      </c>
      <c r="R930" t="s">
        <v>166</v>
      </c>
      <c r="S930" s="1">
        <v>46070</v>
      </c>
      <c r="T930" s="1">
        <v>46070</v>
      </c>
      <c r="U930" s="1">
        <v>46070</v>
      </c>
      <c r="V930" s="1">
        <v>46435</v>
      </c>
      <c r="W930" t="s">
        <v>38</v>
      </c>
      <c r="X930">
        <v>12</v>
      </c>
      <c r="Y930" t="s">
        <v>49</v>
      </c>
      <c r="Z930" t="s">
        <v>81</v>
      </c>
      <c r="AA930" t="s">
        <v>112</v>
      </c>
      <c r="AB930">
        <v>12</v>
      </c>
      <c r="AC930" t="s">
        <v>166</v>
      </c>
      <c r="AD930" t="s">
        <v>140</v>
      </c>
      <c r="AE930" t="s">
        <v>46</v>
      </c>
      <c r="AF930" t="s">
        <v>119</v>
      </c>
      <c r="AG930" t="str">
        <f t="shared" si="15"/>
        <v>CC 12x</v>
      </c>
      <c r="AH930" t="str">
        <f>IF(AND(SUMIF(E:E,E930,I:I)&gt;=400000,Q930="B2G"),"n","")</f>
        <v/>
      </c>
    </row>
    <row r="931" spans="1:34">
      <c r="A931">
        <v>2026</v>
      </c>
      <c r="B931">
        <v>2</v>
      </c>
      <c r="C931" s="83">
        <v>116960822301</v>
      </c>
      <c r="D931" t="s">
        <v>958</v>
      </c>
      <c r="E931">
        <v>57132182794</v>
      </c>
      <c r="F931">
        <v>532940</v>
      </c>
      <c r="G931">
        <v>52473517640</v>
      </c>
      <c r="H931" t="s">
        <v>35</v>
      </c>
      <c r="I931" s="36">
        <v>459.72</v>
      </c>
      <c r="J931" s="36">
        <v>3650.52</v>
      </c>
      <c r="K931" s="85">
        <v>0</v>
      </c>
      <c r="L931" s="36">
        <v>304.20999999999998</v>
      </c>
      <c r="M931" s="36">
        <v>0</v>
      </c>
      <c r="N931" s="36">
        <v>304.20999999999998</v>
      </c>
      <c r="O931" s="36">
        <v>0</v>
      </c>
      <c r="P931" t="s">
        <v>469</v>
      </c>
      <c r="Q931" t="s">
        <v>191</v>
      </c>
      <c r="R931" t="s">
        <v>191</v>
      </c>
      <c r="S931" s="1">
        <v>46080</v>
      </c>
      <c r="T931" s="1">
        <v>46080</v>
      </c>
      <c r="U931" s="1">
        <v>46126</v>
      </c>
      <c r="V931" s="1">
        <v>46126</v>
      </c>
      <c r="W931" t="s">
        <v>38</v>
      </c>
      <c r="X931">
        <v>2</v>
      </c>
      <c r="Y931" t="s">
        <v>49</v>
      </c>
      <c r="Z931" t="s">
        <v>324</v>
      </c>
      <c r="AA931" t="s">
        <v>122</v>
      </c>
      <c r="AB931">
        <v>1</v>
      </c>
      <c r="AC931" t="s">
        <v>192</v>
      </c>
      <c r="AD931" t="s">
        <v>134</v>
      </c>
      <c r="AE931" t="s">
        <v>135</v>
      </c>
      <c r="AF931" t="s">
        <v>44</v>
      </c>
      <c r="AG931" t="str">
        <f t="shared" si="15"/>
        <v>Recorrente</v>
      </c>
      <c r="AH931" t="str">
        <f>IF(AND(SUMIF(E:E,E931,I:I)&gt;=400000,Q931="B2G"),"n","")</f>
        <v/>
      </c>
    </row>
    <row r="932" spans="1:34">
      <c r="A932">
        <v>2026</v>
      </c>
      <c r="B932">
        <v>2</v>
      </c>
      <c r="C932" s="83">
        <v>117667354650</v>
      </c>
      <c r="D932" t="s">
        <v>959</v>
      </c>
      <c r="E932">
        <v>52548993152</v>
      </c>
      <c r="F932">
        <v>526413</v>
      </c>
      <c r="G932">
        <v>47704282280</v>
      </c>
      <c r="H932" t="s">
        <v>35</v>
      </c>
      <c r="I932" s="36">
        <v>17634</v>
      </c>
      <c r="J932" s="36">
        <v>17634</v>
      </c>
      <c r="K932" s="85">
        <v>0</v>
      </c>
      <c r="L932" s="36">
        <v>1469.5</v>
      </c>
      <c r="M932" s="36">
        <v>0</v>
      </c>
      <c r="N932" s="36">
        <v>286.63</v>
      </c>
      <c r="O932" s="36">
        <v>1182.8699999999999</v>
      </c>
      <c r="P932" t="s">
        <v>165</v>
      </c>
      <c r="Q932" t="s">
        <v>166</v>
      </c>
      <c r="R932" t="s">
        <v>166</v>
      </c>
      <c r="S932" s="1">
        <v>46062</v>
      </c>
      <c r="T932" s="1">
        <v>46062</v>
      </c>
      <c r="U932" s="1">
        <v>46062</v>
      </c>
      <c r="V932" s="1">
        <v>46427</v>
      </c>
      <c r="W932" t="s">
        <v>38</v>
      </c>
      <c r="X932">
        <v>12</v>
      </c>
      <c r="Y932" t="s">
        <v>49</v>
      </c>
      <c r="Z932" t="s">
        <v>81</v>
      </c>
      <c r="AA932" t="s">
        <v>122</v>
      </c>
      <c r="AB932">
        <v>9</v>
      </c>
      <c r="AC932" t="s">
        <v>166</v>
      </c>
      <c r="AD932" t="s">
        <v>336</v>
      </c>
      <c r="AE932" t="s">
        <v>135</v>
      </c>
      <c r="AF932" t="s">
        <v>47</v>
      </c>
      <c r="AG932" t="str">
        <f t="shared" si="15"/>
        <v>Recorrente</v>
      </c>
      <c r="AH932" t="str">
        <f>IF(AND(SUMIF(E:E,E932,I:I)&gt;=400000,Q932="B2G"),"n","")</f>
        <v/>
      </c>
    </row>
    <row r="933" spans="1:34">
      <c r="A933">
        <v>2026</v>
      </c>
      <c r="B933">
        <v>2</v>
      </c>
      <c r="C933" s="83">
        <v>117954173853</v>
      </c>
      <c r="D933" t="s">
        <v>960</v>
      </c>
      <c r="E933">
        <v>56943724098</v>
      </c>
      <c r="F933">
        <v>528663</v>
      </c>
      <c r="G933">
        <v>52355238175</v>
      </c>
      <c r="H933" t="s">
        <v>35</v>
      </c>
      <c r="I933" s="36">
        <v>4315.4399999999996</v>
      </c>
      <c r="J933" s="36">
        <v>4315.4399999999996</v>
      </c>
      <c r="K933" s="85">
        <v>0</v>
      </c>
      <c r="L933" s="36">
        <v>359.62</v>
      </c>
      <c r="M933" s="36">
        <v>0</v>
      </c>
      <c r="N933" s="36">
        <v>74.234999999999999</v>
      </c>
      <c r="O933" s="36">
        <v>285.39</v>
      </c>
      <c r="P933" t="s">
        <v>190</v>
      </c>
      <c r="Q933" t="s">
        <v>111</v>
      </c>
      <c r="R933" t="s">
        <v>111</v>
      </c>
      <c r="S933" s="1">
        <v>46080</v>
      </c>
      <c r="T933" s="1">
        <v>46080</v>
      </c>
      <c r="U933" s="1">
        <v>46081</v>
      </c>
      <c r="V933" s="1">
        <v>46446</v>
      </c>
      <c r="W933" t="s">
        <v>38</v>
      </c>
      <c r="X933">
        <v>12</v>
      </c>
      <c r="Y933" t="s">
        <v>49</v>
      </c>
      <c r="Z933" t="s">
        <v>81</v>
      </c>
      <c r="AA933" t="s">
        <v>112</v>
      </c>
      <c r="AB933">
        <v>12</v>
      </c>
      <c r="AC933" t="s">
        <v>113</v>
      </c>
      <c r="AD933" t="s">
        <v>85</v>
      </c>
      <c r="AE933" t="s">
        <v>46</v>
      </c>
      <c r="AF933" t="s">
        <v>44</v>
      </c>
      <c r="AG933" t="str">
        <f t="shared" si="15"/>
        <v>CC 12x</v>
      </c>
      <c r="AH933" t="str">
        <f>IF(AND(SUMIF(E:E,E933,I:I)&gt;=400000,Q933="B2G"),"n","")</f>
        <v/>
      </c>
    </row>
    <row r="934" spans="1:34">
      <c r="A934">
        <v>2026</v>
      </c>
      <c r="B934">
        <v>2</v>
      </c>
      <c r="C934" s="83">
        <v>118889310539</v>
      </c>
      <c r="D934" t="s">
        <v>961</v>
      </c>
      <c r="E934">
        <v>57142577955</v>
      </c>
      <c r="F934">
        <v>636321</v>
      </c>
      <c r="G934">
        <v>52401697796</v>
      </c>
      <c r="H934" t="s">
        <v>35</v>
      </c>
      <c r="I934" s="36">
        <v>2759.04</v>
      </c>
      <c r="J934" s="36">
        <v>2759.04</v>
      </c>
      <c r="K934" s="85">
        <v>0</v>
      </c>
      <c r="L934" s="36">
        <v>229.92</v>
      </c>
      <c r="M934" s="36">
        <v>229.92</v>
      </c>
      <c r="N934" s="36">
        <v>0</v>
      </c>
      <c r="O934" s="36">
        <v>0</v>
      </c>
      <c r="P934" t="s">
        <v>829</v>
      </c>
      <c r="Q934" t="s">
        <v>300</v>
      </c>
      <c r="R934" t="s">
        <v>300</v>
      </c>
      <c r="S934" s="1">
        <v>46080</v>
      </c>
      <c r="T934" s="1">
        <v>46080</v>
      </c>
      <c r="U934" s="1"/>
      <c r="V934" s="1">
        <v>46445</v>
      </c>
      <c r="W934" t="s">
        <v>38</v>
      </c>
      <c r="X934">
        <v>12</v>
      </c>
      <c r="Y934" t="s">
        <v>49</v>
      </c>
      <c r="AA934" t="s">
        <v>112</v>
      </c>
      <c r="AB934">
        <v>12</v>
      </c>
      <c r="AC934" t="s">
        <v>301</v>
      </c>
      <c r="AD934" t="s">
        <v>140</v>
      </c>
      <c r="AE934" t="s">
        <v>46</v>
      </c>
      <c r="AF934" t="s">
        <v>119</v>
      </c>
      <c r="AG934" t="str">
        <f t="shared" si="15"/>
        <v>CC 12x</v>
      </c>
      <c r="AH934" t="str">
        <f>IF(AND(SUMIF(E:E,E934,I:I)&gt;=400000,Q934="B2G"),"n","")</f>
        <v/>
      </c>
    </row>
    <row r="935" spans="1:34">
      <c r="A935">
        <v>2026</v>
      </c>
      <c r="B935">
        <v>2</v>
      </c>
      <c r="C935" s="83">
        <v>119359556679</v>
      </c>
      <c r="D935" t="s">
        <v>962</v>
      </c>
      <c r="E935">
        <v>51613024624</v>
      </c>
      <c r="F935">
        <v>607179</v>
      </c>
      <c r="G935">
        <v>48938551174</v>
      </c>
      <c r="H935" t="s">
        <v>35</v>
      </c>
      <c r="I935" s="36">
        <v>4660.68</v>
      </c>
      <c r="J935" s="36">
        <v>4660.68</v>
      </c>
      <c r="K935" s="85">
        <v>0</v>
      </c>
      <c r="L935" s="36">
        <v>388.39</v>
      </c>
      <c r="M935" s="36">
        <v>388.39</v>
      </c>
      <c r="N935" s="36">
        <v>0</v>
      </c>
      <c r="O935" s="36">
        <v>0</v>
      </c>
      <c r="P935" t="s">
        <v>133</v>
      </c>
      <c r="Q935" t="s">
        <v>111</v>
      </c>
      <c r="R935" t="s">
        <v>111</v>
      </c>
      <c r="S935" s="1">
        <v>46035</v>
      </c>
      <c r="T935" s="1">
        <v>46054</v>
      </c>
      <c r="U935" s="1">
        <v>46032</v>
      </c>
      <c r="V935" s="1">
        <v>46397</v>
      </c>
      <c r="W935" t="s">
        <v>38</v>
      </c>
      <c r="X935">
        <v>12</v>
      </c>
      <c r="Y935" t="s">
        <v>49</v>
      </c>
      <c r="Z935" t="s">
        <v>76</v>
      </c>
      <c r="AA935" t="s">
        <v>112</v>
      </c>
      <c r="AB935">
        <v>12</v>
      </c>
      <c r="AC935" t="s">
        <v>113</v>
      </c>
      <c r="AD935" t="s">
        <v>85</v>
      </c>
      <c r="AE935" t="s">
        <v>46</v>
      </c>
      <c r="AF935" t="s">
        <v>44</v>
      </c>
      <c r="AG935" t="str">
        <f t="shared" si="15"/>
        <v>CC 12x</v>
      </c>
      <c r="AH935" t="str">
        <f>IF(AND(SUMIF(E:E,E935,I:I)&gt;=400000,Q935="B2G"),"n","")</f>
        <v/>
      </c>
    </row>
    <row r="936" spans="1:34">
      <c r="A936">
        <v>2026</v>
      </c>
      <c r="B936">
        <v>2</v>
      </c>
      <c r="C936" s="83">
        <v>12090394232</v>
      </c>
      <c r="D936" t="s">
        <v>963</v>
      </c>
      <c r="E936">
        <v>55218134399</v>
      </c>
      <c r="F936">
        <v>636100</v>
      </c>
      <c r="G936">
        <v>51494172061</v>
      </c>
      <c r="H936" t="s">
        <v>35</v>
      </c>
      <c r="I936" s="36">
        <v>4074</v>
      </c>
      <c r="J936" s="36">
        <v>4074</v>
      </c>
      <c r="K936" s="85">
        <v>0</v>
      </c>
      <c r="L936" s="36">
        <v>339.5</v>
      </c>
      <c r="M936" s="36">
        <v>339.5</v>
      </c>
      <c r="N936" s="36">
        <v>0</v>
      </c>
      <c r="O936" s="36">
        <v>0</v>
      </c>
      <c r="P936" t="s">
        <v>511</v>
      </c>
      <c r="Q936" t="s">
        <v>300</v>
      </c>
      <c r="R936" t="s">
        <v>300</v>
      </c>
      <c r="S936" s="1">
        <v>46066</v>
      </c>
      <c r="T936" s="1">
        <v>46066</v>
      </c>
      <c r="V936" s="1">
        <v>46431</v>
      </c>
      <c r="W936" t="s">
        <v>38</v>
      </c>
      <c r="X936">
        <v>12</v>
      </c>
      <c r="Y936" t="s">
        <v>49</v>
      </c>
      <c r="AA936" t="s">
        <v>122</v>
      </c>
      <c r="AB936">
        <v>12</v>
      </c>
      <c r="AC936" t="s">
        <v>301</v>
      </c>
      <c r="AD936" t="s">
        <v>114</v>
      </c>
      <c r="AE936" t="s">
        <v>43</v>
      </c>
      <c r="AF936" t="s">
        <v>44</v>
      </c>
      <c r="AG936" t="str">
        <f t="shared" si="15"/>
        <v>Recorrente</v>
      </c>
      <c r="AH936" t="str">
        <f>IF(AND(SUMIF(E:E,E936,I:I)&gt;=400000,Q936="B2G"),"n","")</f>
        <v/>
      </c>
    </row>
    <row r="937" spans="1:34">
      <c r="A937">
        <v>2026</v>
      </c>
      <c r="B937">
        <v>2</v>
      </c>
      <c r="C937" s="83">
        <v>121670256794</v>
      </c>
      <c r="D937" t="s">
        <v>964</v>
      </c>
      <c r="E937">
        <v>55196234387</v>
      </c>
      <c r="F937">
        <v>629592</v>
      </c>
      <c r="G937">
        <v>50697530031</v>
      </c>
      <c r="H937" t="s">
        <v>35</v>
      </c>
      <c r="I937" s="36">
        <v>796.92</v>
      </c>
      <c r="J937" s="36">
        <v>2882.16</v>
      </c>
      <c r="K937" s="85">
        <v>0</v>
      </c>
      <c r="L937" s="36">
        <v>240.18</v>
      </c>
      <c r="M937" s="36">
        <v>0</v>
      </c>
      <c r="N937" s="36">
        <v>240.18</v>
      </c>
      <c r="O937" s="36">
        <v>0</v>
      </c>
      <c r="P937" t="s">
        <v>323</v>
      </c>
      <c r="Q937" t="s">
        <v>191</v>
      </c>
      <c r="R937" t="s">
        <v>191</v>
      </c>
      <c r="S937" s="1">
        <v>46055</v>
      </c>
      <c r="T937" s="1">
        <v>46055</v>
      </c>
      <c r="U937" s="1">
        <v>46156</v>
      </c>
      <c r="V937" s="1">
        <v>46156</v>
      </c>
      <c r="W937" t="s">
        <v>38</v>
      </c>
      <c r="X937">
        <v>3</v>
      </c>
      <c r="Y937" t="s">
        <v>49</v>
      </c>
      <c r="Z937" t="s">
        <v>324</v>
      </c>
      <c r="AA937" t="s">
        <v>112</v>
      </c>
      <c r="AB937">
        <v>3</v>
      </c>
      <c r="AC937" t="s">
        <v>192</v>
      </c>
      <c r="AD937" t="s">
        <v>85</v>
      </c>
      <c r="AE937" t="s">
        <v>46</v>
      </c>
      <c r="AF937" t="s">
        <v>44</v>
      </c>
      <c r="AG937" t="str">
        <f t="shared" si="15"/>
        <v>CC 3x</v>
      </c>
      <c r="AH937" t="str">
        <f>IF(AND(SUMIF(E:E,E937,I:I)&gt;=400000,Q937="B2G"),"n","")</f>
        <v/>
      </c>
    </row>
    <row r="938" spans="1:34">
      <c r="A938">
        <v>2026</v>
      </c>
      <c r="B938">
        <v>2</v>
      </c>
      <c r="C938" s="83">
        <v>123007362970</v>
      </c>
      <c r="D938" t="s">
        <v>965</v>
      </c>
      <c r="E938">
        <v>55922237327</v>
      </c>
      <c r="F938">
        <v>625306</v>
      </c>
      <c r="G938">
        <v>51101003142</v>
      </c>
      <c r="H938" t="s">
        <v>35</v>
      </c>
      <c r="I938" s="36">
        <v>2586.6</v>
      </c>
      <c r="J938" s="36">
        <v>2586.6</v>
      </c>
      <c r="K938" s="85">
        <v>0</v>
      </c>
      <c r="L938" s="36">
        <v>215.55</v>
      </c>
      <c r="M938" s="36">
        <v>215.55</v>
      </c>
      <c r="N938" s="36">
        <v>0</v>
      </c>
      <c r="O938" s="36">
        <v>0</v>
      </c>
      <c r="P938" t="s">
        <v>116</v>
      </c>
      <c r="Q938" t="s">
        <v>111</v>
      </c>
      <c r="R938" t="s">
        <v>111</v>
      </c>
      <c r="S938" s="1">
        <v>46063</v>
      </c>
      <c r="T938" s="1">
        <v>46063</v>
      </c>
      <c r="U938" s="1">
        <v>46029</v>
      </c>
      <c r="V938" s="1">
        <v>46446</v>
      </c>
      <c r="W938" t="s">
        <v>38</v>
      </c>
      <c r="X938">
        <v>13</v>
      </c>
      <c r="Y938" t="s">
        <v>49</v>
      </c>
      <c r="Z938" t="s">
        <v>76</v>
      </c>
      <c r="AA938" t="s">
        <v>122</v>
      </c>
      <c r="AB938">
        <v>12</v>
      </c>
      <c r="AC938" t="s">
        <v>113</v>
      </c>
      <c r="AD938" t="s">
        <v>140</v>
      </c>
      <c r="AE938" t="s">
        <v>46</v>
      </c>
      <c r="AF938" t="s">
        <v>119</v>
      </c>
      <c r="AG938" t="str">
        <f t="shared" si="15"/>
        <v>Recorrente</v>
      </c>
      <c r="AH938" t="str">
        <f>IF(AND(SUMIF(E:E,E938,I:I)&gt;=400000,Q938="B2G"),"n","")</f>
        <v/>
      </c>
    </row>
    <row r="939" spans="1:34">
      <c r="A939">
        <v>2026</v>
      </c>
      <c r="B939">
        <v>2</v>
      </c>
      <c r="C939" s="83">
        <v>123023990187</v>
      </c>
      <c r="D939" t="s">
        <v>966</v>
      </c>
      <c r="E939">
        <v>53323134825</v>
      </c>
      <c r="F939">
        <v>625565</v>
      </c>
      <c r="G939">
        <v>49068666777</v>
      </c>
      <c r="H939" t="s">
        <v>35</v>
      </c>
      <c r="I939" s="36">
        <v>3163.08</v>
      </c>
      <c r="J939" s="36">
        <v>3163.08</v>
      </c>
      <c r="K939" s="85">
        <v>0</v>
      </c>
      <c r="L939" s="36">
        <v>263.58999999999997</v>
      </c>
      <c r="M939" s="36">
        <v>0</v>
      </c>
      <c r="N939" s="36">
        <v>16.087499999999999</v>
      </c>
      <c r="O939" s="36">
        <v>247.5</v>
      </c>
      <c r="P939" t="s">
        <v>137</v>
      </c>
      <c r="Q939" t="s">
        <v>111</v>
      </c>
      <c r="R939" t="s">
        <v>111</v>
      </c>
      <c r="S939" s="1">
        <v>46037</v>
      </c>
      <c r="T939" s="1">
        <v>46054</v>
      </c>
      <c r="U939" s="1">
        <v>46037</v>
      </c>
      <c r="V939" s="1">
        <v>46402</v>
      </c>
      <c r="W939" t="s">
        <v>38</v>
      </c>
      <c r="X939">
        <v>12</v>
      </c>
      <c r="Y939" t="s">
        <v>49</v>
      </c>
      <c r="Z939" t="s">
        <v>81</v>
      </c>
      <c r="AA939" t="s">
        <v>122</v>
      </c>
      <c r="AB939">
        <v>12</v>
      </c>
      <c r="AC939" t="s">
        <v>113</v>
      </c>
      <c r="AD939" t="s">
        <v>142</v>
      </c>
      <c r="AE939" t="s">
        <v>95</v>
      </c>
      <c r="AF939" t="s">
        <v>44</v>
      </c>
      <c r="AG939" t="str">
        <f t="shared" si="15"/>
        <v>Recorrente</v>
      </c>
      <c r="AH939" t="str">
        <f>IF(AND(SUMIF(E:E,E939,I:I)&gt;=400000,Q939="B2G"),"n","")</f>
        <v/>
      </c>
    </row>
    <row r="940" spans="1:34">
      <c r="A940">
        <v>2026</v>
      </c>
      <c r="B940">
        <v>2</v>
      </c>
      <c r="C940" s="83">
        <v>123729093638</v>
      </c>
      <c r="D940" t="s">
        <v>967</v>
      </c>
      <c r="E940">
        <v>53248825238</v>
      </c>
      <c r="F940">
        <v>270254</v>
      </c>
      <c r="G940">
        <v>48885813795</v>
      </c>
      <c r="H940" t="s">
        <v>35</v>
      </c>
      <c r="I940" s="36">
        <v>3682.56</v>
      </c>
      <c r="J940" s="36">
        <v>3682.56</v>
      </c>
      <c r="K940" s="85">
        <v>0</v>
      </c>
      <c r="L940" s="36">
        <v>306.88</v>
      </c>
      <c r="M940" s="36">
        <v>0</v>
      </c>
      <c r="N940" s="36">
        <v>17.94764</v>
      </c>
      <c r="O940" s="36">
        <v>288.935</v>
      </c>
      <c r="P940" t="s">
        <v>116</v>
      </c>
      <c r="Q940" t="s">
        <v>111</v>
      </c>
      <c r="R940" t="s">
        <v>111</v>
      </c>
      <c r="S940" s="1">
        <v>46036</v>
      </c>
      <c r="T940" s="1">
        <v>46054</v>
      </c>
      <c r="U940" s="1">
        <v>46054</v>
      </c>
      <c r="V940" s="1">
        <v>46419</v>
      </c>
      <c r="W940" t="s">
        <v>38</v>
      </c>
      <c r="X940">
        <v>12</v>
      </c>
      <c r="Y940" t="s">
        <v>49</v>
      </c>
      <c r="Z940" t="s">
        <v>81</v>
      </c>
      <c r="AA940" t="s">
        <v>117</v>
      </c>
      <c r="AB940">
        <v>1</v>
      </c>
      <c r="AC940" t="s">
        <v>113</v>
      </c>
      <c r="AD940" t="s">
        <v>84</v>
      </c>
      <c r="AE940" t="s">
        <v>43</v>
      </c>
      <c r="AF940" t="s">
        <v>44</v>
      </c>
      <c r="AG940" t="str">
        <f t="shared" ref="AG940:AG1003" si="16">IF(IFERROR(SEARCH("Recorrente",AA940),0)&gt;0,"Recorrente",IF(AB940=1,"À Vista",IF(AB940&lt;=3,"CC 3x",IF(AB940&lt;=12,"CC 12x",IF(AB940&gt;12,"Recorrente","")))))</f>
        <v>À Vista</v>
      </c>
      <c r="AH940" t="str">
        <f>IF(AND(SUMIF(E:E,E940,I:I)&gt;=400000,Q940="B2G"),"n","")</f>
        <v/>
      </c>
    </row>
    <row r="941" spans="1:34">
      <c r="A941">
        <v>2026</v>
      </c>
      <c r="B941">
        <v>2</v>
      </c>
      <c r="C941" s="83">
        <v>123729093638</v>
      </c>
      <c r="D941" t="s">
        <v>967</v>
      </c>
      <c r="E941">
        <v>53248825238</v>
      </c>
      <c r="F941">
        <v>270254</v>
      </c>
      <c r="G941">
        <v>48885813796</v>
      </c>
      <c r="H941" t="s">
        <v>35</v>
      </c>
      <c r="I941" s="36">
        <v>3682.56</v>
      </c>
      <c r="J941" s="36">
        <v>3682.56</v>
      </c>
      <c r="K941" s="85">
        <v>0</v>
      </c>
      <c r="L941" s="36">
        <v>306.88</v>
      </c>
      <c r="M941" s="36">
        <v>0</v>
      </c>
      <c r="N941" s="36">
        <v>17.94764</v>
      </c>
      <c r="O941" s="36">
        <v>288.935</v>
      </c>
      <c r="P941" t="s">
        <v>116</v>
      </c>
      <c r="Q941" t="s">
        <v>111</v>
      </c>
      <c r="R941" t="s">
        <v>111</v>
      </c>
      <c r="S941" s="1">
        <v>46036</v>
      </c>
      <c r="T941" s="1">
        <v>46054</v>
      </c>
      <c r="U941" s="1">
        <v>46054</v>
      </c>
      <c r="V941" s="1">
        <v>46419</v>
      </c>
      <c r="W941" t="s">
        <v>38</v>
      </c>
      <c r="X941">
        <v>12</v>
      </c>
      <c r="Y941" t="s">
        <v>49</v>
      </c>
      <c r="Z941" t="s">
        <v>81</v>
      </c>
      <c r="AA941" t="s">
        <v>117</v>
      </c>
      <c r="AB941">
        <v>1</v>
      </c>
      <c r="AC941" t="s">
        <v>113</v>
      </c>
      <c r="AD941" t="s">
        <v>85</v>
      </c>
      <c r="AE941" t="s">
        <v>46</v>
      </c>
      <c r="AF941" t="s">
        <v>44</v>
      </c>
      <c r="AG941" t="str">
        <f t="shared" si="16"/>
        <v>À Vista</v>
      </c>
      <c r="AH941" t="str">
        <f>IF(AND(SUMIF(E:E,E941,I:I)&gt;=400000,Q941="B2G"),"n","")</f>
        <v/>
      </c>
    </row>
    <row r="942" spans="1:34">
      <c r="A942">
        <v>2026</v>
      </c>
      <c r="B942">
        <v>2</v>
      </c>
      <c r="C942" s="83">
        <v>123768780836</v>
      </c>
      <c r="D942" t="s">
        <v>968</v>
      </c>
      <c r="E942">
        <v>54785003816</v>
      </c>
      <c r="F942">
        <v>625883</v>
      </c>
      <c r="G942">
        <v>51050925965</v>
      </c>
      <c r="H942" t="s">
        <v>35</v>
      </c>
      <c r="I942" s="36">
        <v>3851.04</v>
      </c>
      <c r="J942" s="36">
        <v>3851.04</v>
      </c>
      <c r="K942" s="85">
        <v>0</v>
      </c>
      <c r="L942" s="36">
        <v>320.92</v>
      </c>
      <c r="M942" s="36">
        <v>0</v>
      </c>
      <c r="N942" s="36">
        <v>25.701695000000001</v>
      </c>
      <c r="O942" s="36">
        <v>295.22000000000003</v>
      </c>
      <c r="P942" t="s">
        <v>116</v>
      </c>
      <c r="Q942" t="s">
        <v>111</v>
      </c>
      <c r="R942" t="s">
        <v>111</v>
      </c>
      <c r="S942" s="1">
        <v>46062</v>
      </c>
      <c r="T942" s="1">
        <v>46054</v>
      </c>
      <c r="U942" s="1">
        <v>46049</v>
      </c>
      <c r="V942" s="1">
        <v>46427</v>
      </c>
      <c r="W942" t="s">
        <v>38</v>
      </c>
      <c r="X942">
        <v>13</v>
      </c>
      <c r="Y942" t="s">
        <v>49</v>
      </c>
      <c r="Z942" t="s">
        <v>81</v>
      </c>
      <c r="AA942" t="s">
        <v>122</v>
      </c>
      <c r="AB942">
        <v>12</v>
      </c>
      <c r="AC942" t="s">
        <v>113</v>
      </c>
      <c r="AD942" t="s">
        <v>84</v>
      </c>
      <c r="AE942" t="s">
        <v>43</v>
      </c>
      <c r="AF942" t="s">
        <v>44</v>
      </c>
      <c r="AG942" t="str">
        <f t="shared" si="16"/>
        <v>Recorrente</v>
      </c>
      <c r="AH942" t="str">
        <f>IF(AND(SUMIF(E:E,E942,I:I)&gt;=400000,Q942="B2G"),"n","")</f>
        <v/>
      </c>
    </row>
    <row r="943" spans="1:34">
      <c r="A943">
        <v>2026</v>
      </c>
      <c r="B943">
        <v>2</v>
      </c>
      <c r="C943" s="83">
        <v>124864370307</v>
      </c>
      <c r="D943" t="s">
        <v>969</v>
      </c>
      <c r="E943">
        <v>56254428810</v>
      </c>
      <c r="F943">
        <v>609148</v>
      </c>
      <c r="G943">
        <v>52153279089</v>
      </c>
      <c r="H943" t="s">
        <v>35</v>
      </c>
      <c r="I943" s="36">
        <v>2155.44</v>
      </c>
      <c r="J943" s="36">
        <v>2155.44</v>
      </c>
      <c r="K943" s="85">
        <v>0</v>
      </c>
      <c r="L943" s="36">
        <v>179.62</v>
      </c>
      <c r="M943" s="36">
        <v>0</v>
      </c>
      <c r="N943" s="36">
        <v>36.225000000000001</v>
      </c>
      <c r="O943" s="36">
        <v>143.4</v>
      </c>
      <c r="P943" t="s">
        <v>110</v>
      </c>
      <c r="Q943" t="s">
        <v>111</v>
      </c>
      <c r="R943" t="s">
        <v>111</v>
      </c>
      <c r="S943" s="1">
        <v>46076</v>
      </c>
      <c r="T943" s="1">
        <v>46076</v>
      </c>
      <c r="U943" s="1">
        <v>46067</v>
      </c>
      <c r="V943" s="1">
        <v>46441</v>
      </c>
      <c r="W943" t="s">
        <v>38</v>
      </c>
      <c r="X943">
        <v>12</v>
      </c>
      <c r="Y943" t="s">
        <v>49</v>
      </c>
      <c r="Z943" t="s">
        <v>81</v>
      </c>
      <c r="AA943" t="s">
        <v>112</v>
      </c>
      <c r="AB943">
        <v>12</v>
      </c>
      <c r="AC943" t="s">
        <v>113</v>
      </c>
      <c r="AD943" t="s">
        <v>140</v>
      </c>
      <c r="AE943" t="s">
        <v>46</v>
      </c>
      <c r="AF943" t="s">
        <v>119</v>
      </c>
      <c r="AG943" t="str">
        <f t="shared" si="16"/>
        <v>CC 12x</v>
      </c>
      <c r="AH943" t="str">
        <f>IF(AND(SUMIF(E:E,E943,I:I)&gt;=400000,Q943="B2G"),"n","")</f>
        <v/>
      </c>
    </row>
    <row r="944" spans="1:34">
      <c r="A944">
        <v>2026</v>
      </c>
      <c r="B944">
        <v>2</v>
      </c>
      <c r="C944" s="83">
        <v>124877547358</v>
      </c>
      <c r="D944" t="s">
        <v>970</v>
      </c>
      <c r="E944">
        <v>54794317589</v>
      </c>
      <c r="F944">
        <v>316842</v>
      </c>
      <c r="G944">
        <v>52292948034</v>
      </c>
      <c r="H944" t="s">
        <v>35</v>
      </c>
      <c r="I944" s="36">
        <v>4527.24</v>
      </c>
      <c r="J944" s="36">
        <v>4527.24</v>
      </c>
      <c r="K944" s="85">
        <v>0</v>
      </c>
      <c r="L944" s="36">
        <v>377.27</v>
      </c>
      <c r="M944" s="36">
        <v>0</v>
      </c>
      <c r="N944" s="36">
        <v>3.02</v>
      </c>
      <c r="O944" s="36">
        <v>374.25</v>
      </c>
      <c r="P944" t="s">
        <v>162</v>
      </c>
      <c r="Q944" t="s">
        <v>111</v>
      </c>
      <c r="R944" t="s">
        <v>111</v>
      </c>
      <c r="S944" s="1">
        <v>46079</v>
      </c>
      <c r="T944" s="1">
        <v>46079</v>
      </c>
      <c r="U944" s="1">
        <v>46075</v>
      </c>
      <c r="V944" s="1">
        <v>46440</v>
      </c>
      <c r="W944" t="s">
        <v>38</v>
      </c>
      <c r="X944">
        <v>12</v>
      </c>
      <c r="Y944" t="s">
        <v>49</v>
      </c>
      <c r="Z944" t="s">
        <v>81</v>
      </c>
      <c r="AA944" t="s">
        <v>122</v>
      </c>
      <c r="AB944">
        <v>12</v>
      </c>
      <c r="AC944" t="s">
        <v>113</v>
      </c>
      <c r="AD944" t="s">
        <v>174</v>
      </c>
      <c r="AE944" t="s">
        <v>43</v>
      </c>
      <c r="AF944" t="s">
        <v>47</v>
      </c>
      <c r="AG944" t="str">
        <f t="shared" si="16"/>
        <v>Recorrente</v>
      </c>
      <c r="AH944" t="str">
        <f>IF(AND(SUMIF(E:E,E944,I:I)&gt;=400000,Q944="B2G"),"n","")</f>
        <v/>
      </c>
    </row>
    <row r="945" spans="1:34">
      <c r="A945">
        <v>2026</v>
      </c>
      <c r="B945">
        <v>2</v>
      </c>
      <c r="C945" s="83">
        <v>124887036808</v>
      </c>
      <c r="D945" t="s">
        <v>971</v>
      </c>
      <c r="E945">
        <v>53079848377</v>
      </c>
      <c r="F945">
        <v>303828</v>
      </c>
      <c r="G945">
        <v>49128762650</v>
      </c>
      <c r="H945" t="s">
        <v>35</v>
      </c>
      <c r="I945" s="36">
        <v>3116.64</v>
      </c>
      <c r="J945" s="36">
        <v>3116.64</v>
      </c>
      <c r="K945" s="85">
        <v>4.5474699999999999E-13</v>
      </c>
      <c r="L945" s="36">
        <v>259.72000000000003</v>
      </c>
      <c r="M945" s="36">
        <v>0</v>
      </c>
      <c r="N945" s="36">
        <v>47.630895000000002</v>
      </c>
      <c r="O945" s="36">
        <v>212.09</v>
      </c>
      <c r="P945" t="s">
        <v>116</v>
      </c>
      <c r="Q945" t="s">
        <v>111</v>
      </c>
      <c r="R945" t="s">
        <v>111</v>
      </c>
      <c r="S945" s="1">
        <v>46041</v>
      </c>
      <c r="T945" s="1">
        <v>46054</v>
      </c>
      <c r="U945" s="1">
        <v>46069</v>
      </c>
      <c r="V945" s="1">
        <v>46434</v>
      </c>
      <c r="W945" t="s">
        <v>38</v>
      </c>
      <c r="X945">
        <v>12</v>
      </c>
      <c r="Y945" t="s">
        <v>49</v>
      </c>
      <c r="Z945" t="s">
        <v>81</v>
      </c>
      <c r="AA945" t="s">
        <v>112</v>
      </c>
      <c r="AB945">
        <v>12</v>
      </c>
      <c r="AC945" t="s">
        <v>113</v>
      </c>
      <c r="AD945" t="s">
        <v>160</v>
      </c>
      <c r="AE945" t="s">
        <v>43</v>
      </c>
      <c r="AF945" t="s">
        <v>44</v>
      </c>
      <c r="AG945" t="str">
        <f t="shared" si="16"/>
        <v>CC 12x</v>
      </c>
      <c r="AH945" t="str">
        <f>IF(AND(SUMIF(E:E,E945,I:I)&gt;=400000,Q945="B2G"),"n","")</f>
        <v/>
      </c>
    </row>
    <row r="946" spans="1:34">
      <c r="A946">
        <v>2026</v>
      </c>
      <c r="B946">
        <v>2</v>
      </c>
      <c r="C946" s="83">
        <v>124887498022</v>
      </c>
      <c r="D946" t="s">
        <v>972</v>
      </c>
      <c r="E946">
        <v>53618660268</v>
      </c>
      <c r="F946">
        <v>505195</v>
      </c>
      <c r="G946">
        <v>50649323100</v>
      </c>
      <c r="H946" t="s">
        <v>35</v>
      </c>
      <c r="I946" s="36">
        <v>3775.44</v>
      </c>
      <c r="J946" s="36">
        <v>3775.44</v>
      </c>
      <c r="K946" s="85">
        <v>0</v>
      </c>
      <c r="L946" s="36">
        <v>314.62</v>
      </c>
      <c r="M946" s="36">
        <v>0</v>
      </c>
      <c r="N946" s="36">
        <v>52.244999999999997</v>
      </c>
      <c r="O946" s="36">
        <v>262.38</v>
      </c>
      <c r="P946" t="s">
        <v>116</v>
      </c>
      <c r="Q946" t="s">
        <v>111</v>
      </c>
      <c r="R946" t="s">
        <v>111</v>
      </c>
      <c r="S946" s="1">
        <v>46065</v>
      </c>
      <c r="T946" s="1">
        <v>46065</v>
      </c>
      <c r="U946" s="1">
        <v>46063</v>
      </c>
      <c r="V946" s="1">
        <v>46428</v>
      </c>
      <c r="W946" t="s">
        <v>38</v>
      </c>
      <c r="X946">
        <v>12</v>
      </c>
      <c r="Y946" t="s">
        <v>49</v>
      </c>
      <c r="Z946" t="s">
        <v>81</v>
      </c>
      <c r="AA946" t="s">
        <v>112</v>
      </c>
      <c r="AB946">
        <v>12</v>
      </c>
      <c r="AC946" t="s">
        <v>113</v>
      </c>
      <c r="AD946" t="s">
        <v>84</v>
      </c>
      <c r="AE946" t="s">
        <v>43</v>
      </c>
      <c r="AF946" t="s">
        <v>44</v>
      </c>
      <c r="AG946" t="str">
        <f t="shared" si="16"/>
        <v>CC 12x</v>
      </c>
      <c r="AH946" t="str">
        <f>IF(AND(SUMIF(E:E,E946,I:I)&gt;=400000,Q946="B2G"),"n","")</f>
        <v/>
      </c>
    </row>
    <row r="947" spans="1:34">
      <c r="A947">
        <v>2026</v>
      </c>
      <c r="B947">
        <v>2</v>
      </c>
      <c r="C947" s="83">
        <v>124889194541</v>
      </c>
      <c r="D947" t="s">
        <v>973</v>
      </c>
      <c r="E947">
        <v>53856501568</v>
      </c>
      <c r="F947">
        <v>306134</v>
      </c>
      <c r="G947">
        <v>49358528600</v>
      </c>
      <c r="H947" t="s">
        <v>35</v>
      </c>
      <c r="I947" s="36">
        <v>3900</v>
      </c>
      <c r="J947" s="36">
        <v>3900</v>
      </c>
      <c r="K947" s="85">
        <v>0</v>
      </c>
      <c r="L947" s="36">
        <v>325</v>
      </c>
      <c r="M947" s="36">
        <v>0</v>
      </c>
      <c r="N947" s="36">
        <v>49.201985000000001</v>
      </c>
      <c r="O947" s="36">
        <v>275.8</v>
      </c>
      <c r="P947" t="s">
        <v>127</v>
      </c>
      <c r="Q947" t="s">
        <v>111</v>
      </c>
      <c r="R947" t="s">
        <v>111</v>
      </c>
      <c r="S947" s="1">
        <v>46051</v>
      </c>
      <c r="T947" s="1">
        <v>46054</v>
      </c>
      <c r="U947" s="1">
        <v>46061</v>
      </c>
      <c r="V947" s="1">
        <v>46426</v>
      </c>
      <c r="W947" t="s">
        <v>38</v>
      </c>
      <c r="X947">
        <v>12</v>
      </c>
      <c r="Y947" t="s">
        <v>49</v>
      </c>
      <c r="Z947" t="s">
        <v>81</v>
      </c>
      <c r="AA947" t="s">
        <v>112</v>
      </c>
      <c r="AB947">
        <v>12</v>
      </c>
      <c r="AC947" t="s">
        <v>113</v>
      </c>
      <c r="AD947" t="s">
        <v>85</v>
      </c>
      <c r="AE947" t="s">
        <v>46</v>
      </c>
      <c r="AF947" t="s">
        <v>44</v>
      </c>
      <c r="AG947" t="str">
        <f t="shared" si="16"/>
        <v>CC 12x</v>
      </c>
      <c r="AH947" t="str">
        <f>IF(AND(SUMIF(E:E,E947,I:I)&gt;=400000,Q947="B2G"),"n","")</f>
        <v/>
      </c>
    </row>
    <row r="948" spans="1:34">
      <c r="A948">
        <v>2026</v>
      </c>
      <c r="B948">
        <v>2</v>
      </c>
      <c r="C948" s="83">
        <v>124889194541</v>
      </c>
      <c r="D948" t="s">
        <v>973</v>
      </c>
      <c r="E948">
        <v>53856501568</v>
      </c>
      <c r="F948">
        <v>306134</v>
      </c>
      <c r="G948">
        <v>49358528601</v>
      </c>
      <c r="H948" t="s">
        <v>35</v>
      </c>
      <c r="I948" s="36">
        <v>3900</v>
      </c>
      <c r="J948" s="36">
        <v>3900</v>
      </c>
      <c r="K948" s="85">
        <v>0</v>
      </c>
      <c r="L948" s="36">
        <v>325</v>
      </c>
      <c r="M948" s="36">
        <v>0</v>
      </c>
      <c r="N948" s="36">
        <v>49.201985000000001</v>
      </c>
      <c r="O948" s="36">
        <v>275.8</v>
      </c>
      <c r="P948" t="s">
        <v>127</v>
      </c>
      <c r="Q948" t="s">
        <v>111</v>
      </c>
      <c r="R948" t="s">
        <v>111</v>
      </c>
      <c r="S948" s="1">
        <v>46051</v>
      </c>
      <c r="T948" s="1">
        <v>46054</v>
      </c>
      <c r="U948" s="1">
        <v>46061</v>
      </c>
      <c r="V948" s="1">
        <v>46426</v>
      </c>
      <c r="W948" t="s">
        <v>38</v>
      </c>
      <c r="X948">
        <v>12</v>
      </c>
      <c r="Y948" t="s">
        <v>49</v>
      </c>
      <c r="Z948" t="s">
        <v>81</v>
      </c>
      <c r="AA948" t="s">
        <v>112</v>
      </c>
      <c r="AB948">
        <v>12</v>
      </c>
      <c r="AC948" t="s">
        <v>113</v>
      </c>
      <c r="AD948" t="s">
        <v>84</v>
      </c>
      <c r="AE948" t="s">
        <v>43</v>
      </c>
      <c r="AF948" t="s">
        <v>44</v>
      </c>
      <c r="AG948" t="str">
        <f t="shared" si="16"/>
        <v>CC 12x</v>
      </c>
      <c r="AH948" t="str">
        <f>IF(AND(SUMIF(E:E,E948,I:I)&gt;=400000,Q948="B2G"),"n","")</f>
        <v/>
      </c>
    </row>
    <row r="949" spans="1:34">
      <c r="A949">
        <v>2026</v>
      </c>
      <c r="B949">
        <v>2</v>
      </c>
      <c r="C949" s="83">
        <v>124893083039</v>
      </c>
      <c r="D949" t="s">
        <v>974</v>
      </c>
      <c r="E949">
        <v>54965745567</v>
      </c>
      <c r="F949">
        <v>526072</v>
      </c>
      <c r="G949">
        <v>50425786261</v>
      </c>
      <c r="H949" t="s">
        <v>35</v>
      </c>
      <c r="I949" s="36">
        <v>2586.6</v>
      </c>
      <c r="J949" s="36">
        <v>2586.6</v>
      </c>
      <c r="K949" s="85">
        <v>0</v>
      </c>
      <c r="L949" s="36">
        <v>215.55</v>
      </c>
      <c r="M949" s="36">
        <v>0</v>
      </c>
      <c r="N949" s="36">
        <v>19.55</v>
      </c>
      <c r="O949" s="36">
        <v>196</v>
      </c>
      <c r="P949" t="s">
        <v>127</v>
      </c>
      <c r="Q949" t="s">
        <v>111</v>
      </c>
      <c r="R949" t="s">
        <v>111</v>
      </c>
      <c r="S949" s="1">
        <v>46055</v>
      </c>
      <c r="T949" s="1">
        <v>46054</v>
      </c>
      <c r="U949" s="1">
        <v>46053</v>
      </c>
      <c r="V949" s="1">
        <v>46418</v>
      </c>
      <c r="W949" t="s">
        <v>38</v>
      </c>
      <c r="X949">
        <v>12</v>
      </c>
      <c r="Y949" t="s">
        <v>49</v>
      </c>
      <c r="Z949" t="s">
        <v>81</v>
      </c>
      <c r="AA949" t="s">
        <v>112</v>
      </c>
      <c r="AB949">
        <v>12</v>
      </c>
      <c r="AC949" t="s">
        <v>113</v>
      </c>
      <c r="AD949" t="s">
        <v>140</v>
      </c>
      <c r="AE949" t="s">
        <v>46</v>
      </c>
      <c r="AF949" t="s">
        <v>119</v>
      </c>
      <c r="AG949" t="str">
        <f t="shared" si="16"/>
        <v>CC 12x</v>
      </c>
      <c r="AH949" t="str">
        <f>IF(AND(SUMIF(E:E,E949,I:I)&gt;=400000,Q949="B2G"),"n","")</f>
        <v/>
      </c>
    </row>
    <row r="950" spans="1:34">
      <c r="A950">
        <v>2026</v>
      </c>
      <c r="B950">
        <v>2</v>
      </c>
      <c r="C950" s="83">
        <v>124893710103</v>
      </c>
      <c r="D950" t="s">
        <v>975</v>
      </c>
      <c r="E950">
        <v>53604793146</v>
      </c>
      <c r="F950">
        <v>528347</v>
      </c>
      <c r="G950">
        <v>48899219870</v>
      </c>
      <c r="H950" t="s">
        <v>35</v>
      </c>
      <c r="I950" s="36">
        <v>9354</v>
      </c>
      <c r="J950" s="36">
        <v>9354</v>
      </c>
      <c r="K950" s="85">
        <v>0</v>
      </c>
      <c r="L950" s="36">
        <v>779.5</v>
      </c>
      <c r="M950" s="36">
        <v>0</v>
      </c>
      <c r="N950" s="36">
        <v>40.5</v>
      </c>
      <c r="O950" s="36">
        <v>739</v>
      </c>
      <c r="P950" t="s">
        <v>165</v>
      </c>
      <c r="Q950" t="s">
        <v>166</v>
      </c>
      <c r="R950" t="s">
        <v>166</v>
      </c>
      <c r="S950" s="1">
        <v>46077</v>
      </c>
      <c r="T950" s="1">
        <v>46077</v>
      </c>
      <c r="U950" s="1">
        <v>46080</v>
      </c>
      <c r="V950" s="1">
        <v>46445</v>
      </c>
      <c r="W950" t="s">
        <v>38</v>
      </c>
      <c r="X950">
        <v>12</v>
      </c>
      <c r="Y950" t="s">
        <v>49</v>
      </c>
      <c r="Z950" t="s">
        <v>81</v>
      </c>
      <c r="AA950" t="s">
        <v>122</v>
      </c>
      <c r="AB950">
        <v>12</v>
      </c>
      <c r="AC950" t="s">
        <v>166</v>
      </c>
      <c r="AD950" t="s">
        <v>134</v>
      </c>
      <c r="AE950" t="s">
        <v>135</v>
      </c>
      <c r="AF950" t="s">
        <v>44</v>
      </c>
      <c r="AG950" t="str">
        <f t="shared" si="16"/>
        <v>Recorrente</v>
      </c>
      <c r="AH950" t="str">
        <f>IF(AND(SUMIF(E:E,E950,I:I)&gt;=400000,Q950="B2G"),"n","")</f>
        <v/>
      </c>
    </row>
    <row r="951" spans="1:34">
      <c r="A951">
        <v>2026</v>
      </c>
      <c r="B951">
        <v>2</v>
      </c>
      <c r="C951" s="83">
        <v>124898886060</v>
      </c>
      <c r="D951" t="s">
        <v>976</v>
      </c>
      <c r="E951">
        <v>54795403338</v>
      </c>
      <c r="F951">
        <v>527794</v>
      </c>
      <c r="G951">
        <v>50350804755</v>
      </c>
      <c r="H951" t="s">
        <v>35</v>
      </c>
      <c r="I951" s="36">
        <v>2586.6</v>
      </c>
      <c r="J951" s="36">
        <v>2586.6</v>
      </c>
      <c r="K951" s="85">
        <v>0</v>
      </c>
      <c r="L951" s="36">
        <v>215.55</v>
      </c>
      <c r="M951" s="36">
        <v>0</v>
      </c>
      <c r="N951" s="36">
        <v>0.45</v>
      </c>
      <c r="O951" s="36">
        <v>215.1</v>
      </c>
      <c r="P951" t="s">
        <v>127</v>
      </c>
      <c r="Q951" t="s">
        <v>111</v>
      </c>
      <c r="R951" t="s">
        <v>111</v>
      </c>
      <c r="S951" s="1">
        <v>46051</v>
      </c>
      <c r="T951" s="1">
        <v>46054</v>
      </c>
      <c r="U951" s="1">
        <v>46070</v>
      </c>
      <c r="V951" s="1">
        <v>46435</v>
      </c>
      <c r="W951" t="s">
        <v>38</v>
      </c>
      <c r="X951">
        <v>12</v>
      </c>
      <c r="Y951" t="s">
        <v>49</v>
      </c>
      <c r="Z951" t="s">
        <v>81</v>
      </c>
      <c r="AA951" t="s">
        <v>122</v>
      </c>
      <c r="AB951">
        <v>12</v>
      </c>
      <c r="AC951" t="s">
        <v>113</v>
      </c>
      <c r="AD951" t="s">
        <v>140</v>
      </c>
      <c r="AE951" t="s">
        <v>46</v>
      </c>
      <c r="AF951" t="s">
        <v>119</v>
      </c>
      <c r="AG951" t="str">
        <f t="shared" si="16"/>
        <v>Recorrente</v>
      </c>
      <c r="AH951" t="str">
        <f>IF(AND(SUMIF(E:E,E951,I:I)&gt;=400000,Q951="B2G"),"n","")</f>
        <v/>
      </c>
    </row>
    <row r="952" spans="1:34">
      <c r="A952">
        <v>2026</v>
      </c>
      <c r="B952">
        <v>2</v>
      </c>
      <c r="C952" s="83">
        <v>124901493078</v>
      </c>
      <c r="D952" t="s">
        <v>977</v>
      </c>
      <c r="E952">
        <v>53362954646</v>
      </c>
      <c r="F952">
        <v>506105</v>
      </c>
      <c r="G952">
        <v>48384829792</v>
      </c>
      <c r="H952" t="s">
        <v>35</v>
      </c>
      <c r="I952" s="36">
        <v>5754</v>
      </c>
      <c r="J952" s="36">
        <v>5754</v>
      </c>
      <c r="K952" s="85">
        <v>0</v>
      </c>
      <c r="L952" s="36">
        <v>479.5</v>
      </c>
      <c r="M952" s="36">
        <v>0</v>
      </c>
      <c r="N952" s="36">
        <v>94.45</v>
      </c>
      <c r="O952" s="36">
        <v>385.05</v>
      </c>
      <c r="P952" t="s">
        <v>165</v>
      </c>
      <c r="Q952" t="s">
        <v>166</v>
      </c>
      <c r="R952" t="s">
        <v>166</v>
      </c>
      <c r="S952" s="1">
        <v>46074</v>
      </c>
      <c r="T952" s="1">
        <v>46074</v>
      </c>
      <c r="U952" s="1">
        <v>46074</v>
      </c>
      <c r="V952" s="1">
        <v>46439</v>
      </c>
      <c r="W952" t="s">
        <v>38</v>
      </c>
      <c r="X952">
        <v>12</v>
      </c>
      <c r="Y952" t="s">
        <v>49</v>
      </c>
      <c r="Z952" t="s">
        <v>81</v>
      </c>
      <c r="AA952" t="s">
        <v>112</v>
      </c>
      <c r="AB952">
        <v>12</v>
      </c>
      <c r="AC952" t="s">
        <v>166</v>
      </c>
      <c r="AD952" t="s">
        <v>85</v>
      </c>
      <c r="AE952" t="s">
        <v>46</v>
      </c>
      <c r="AF952" t="s">
        <v>44</v>
      </c>
      <c r="AG952" t="str">
        <f t="shared" si="16"/>
        <v>CC 12x</v>
      </c>
      <c r="AH952" t="str">
        <f>IF(AND(SUMIF(E:E,E952,I:I)&gt;=400000,Q952="B2G"),"n","")</f>
        <v/>
      </c>
    </row>
    <row r="953" spans="1:34">
      <c r="A953">
        <v>2026</v>
      </c>
      <c r="B953">
        <v>2</v>
      </c>
      <c r="C953" s="83">
        <v>125052997991</v>
      </c>
      <c r="D953" t="s">
        <v>978</v>
      </c>
      <c r="E953">
        <v>55455534630</v>
      </c>
      <c r="F953">
        <v>527981</v>
      </c>
      <c r="G953">
        <v>51494173789</v>
      </c>
      <c r="H953" t="s">
        <v>35</v>
      </c>
      <c r="I953" s="36">
        <v>6295.44</v>
      </c>
      <c r="J953" s="36">
        <v>6295.44</v>
      </c>
      <c r="K953" s="85">
        <v>0</v>
      </c>
      <c r="L953" s="36">
        <v>524.62</v>
      </c>
      <c r="M953" s="36">
        <v>0</v>
      </c>
      <c r="N953" s="36">
        <v>81.224999999999994</v>
      </c>
      <c r="O953" s="36">
        <v>443.4</v>
      </c>
      <c r="P953" t="s">
        <v>133</v>
      </c>
      <c r="Q953" t="s">
        <v>111</v>
      </c>
      <c r="R953" t="s">
        <v>111</v>
      </c>
      <c r="S953" s="1">
        <v>46066</v>
      </c>
      <c r="T953" s="1">
        <v>46066</v>
      </c>
      <c r="U953" s="1">
        <v>46076</v>
      </c>
      <c r="V953" s="1">
        <v>46446</v>
      </c>
      <c r="W953" t="s">
        <v>38</v>
      </c>
      <c r="X953">
        <v>12</v>
      </c>
      <c r="Y953" t="s">
        <v>49</v>
      </c>
      <c r="Z953" t="s">
        <v>76</v>
      </c>
      <c r="AA953" t="s">
        <v>122</v>
      </c>
      <c r="AB953">
        <v>12</v>
      </c>
      <c r="AC953" t="s">
        <v>113</v>
      </c>
      <c r="AD953" t="s">
        <v>94</v>
      </c>
      <c r="AE953" t="s">
        <v>95</v>
      </c>
      <c r="AF953" t="s">
        <v>96</v>
      </c>
      <c r="AG953" t="str">
        <f t="shared" si="16"/>
        <v>Recorrente</v>
      </c>
      <c r="AH953" t="str">
        <f>IF(AND(SUMIF(E:E,E953,I:I)&gt;=400000,Q953="B2G"),"n","")</f>
        <v/>
      </c>
    </row>
    <row r="954" spans="1:34">
      <c r="A954">
        <v>2026</v>
      </c>
      <c r="B954">
        <v>2</v>
      </c>
      <c r="C954" s="83">
        <v>125083132457</v>
      </c>
      <c r="D954" t="s">
        <v>979</v>
      </c>
      <c r="E954">
        <v>53562565722</v>
      </c>
      <c r="F954">
        <v>528075</v>
      </c>
      <c r="G954">
        <v>48735372557</v>
      </c>
      <c r="H954" t="s">
        <v>35</v>
      </c>
      <c r="I954" s="36">
        <v>3775.44</v>
      </c>
      <c r="J954" s="36">
        <v>3775.44</v>
      </c>
      <c r="K954" s="85">
        <v>0</v>
      </c>
      <c r="L954" s="36">
        <v>314.62</v>
      </c>
      <c r="M954" s="36">
        <v>0</v>
      </c>
      <c r="N954" s="36">
        <v>70.814999999999998</v>
      </c>
      <c r="O954" s="36">
        <v>243.81</v>
      </c>
      <c r="P954" t="s">
        <v>165</v>
      </c>
      <c r="Q954" t="s">
        <v>166</v>
      </c>
      <c r="R954" t="s">
        <v>166</v>
      </c>
      <c r="S954" s="1">
        <v>46077</v>
      </c>
      <c r="T954" s="1">
        <v>46077</v>
      </c>
      <c r="U954" s="1">
        <v>46077</v>
      </c>
      <c r="V954" s="1">
        <v>46442</v>
      </c>
      <c r="W954" t="s">
        <v>38</v>
      </c>
      <c r="X954">
        <v>12</v>
      </c>
      <c r="Y954" t="s">
        <v>49</v>
      </c>
      <c r="Z954" t="s">
        <v>81</v>
      </c>
      <c r="AA954" t="s">
        <v>112</v>
      </c>
      <c r="AB954">
        <v>12</v>
      </c>
      <c r="AC954" t="s">
        <v>166</v>
      </c>
      <c r="AD954" t="s">
        <v>84</v>
      </c>
      <c r="AE954" t="s">
        <v>43</v>
      </c>
      <c r="AF954" t="s">
        <v>44</v>
      </c>
      <c r="AG954" t="str">
        <f t="shared" si="16"/>
        <v>CC 12x</v>
      </c>
      <c r="AH954" t="str">
        <f>IF(AND(SUMIF(E:E,E954,I:I)&gt;=400000,Q954="B2G"),"n","")</f>
        <v/>
      </c>
    </row>
    <row r="955" spans="1:34">
      <c r="A955">
        <v>2026</v>
      </c>
      <c r="B955">
        <v>2</v>
      </c>
      <c r="C955" s="83">
        <v>125101915288</v>
      </c>
      <c r="D955" t="s">
        <v>980</v>
      </c>
      <c r="E955">
        <v>56831845256</v>
      </c>
      <c r="F955">
        <v>626749</v>
      </c>
      <c r="G955">
        <v>52042370180</v>
      </c>
      <c r="H955" t="s">
        <v>35</v>
      </c>
      <c r="I955" s="36">
        <v>4782.24</v>
      </c>
      <c r="J955" s="36">
        <v>4782.24</v>
      </c>
      <c r="K955" s="85">
        <v>0</v>
      </c>
      <c r="L955" s="36">
        <v>398.52</v>
      </c>
      <c r="M955" s="36">
        <v>398.52</v>
      </c>
      <c r="N955" s="36">
        <v>0</v>
      </c>
      <c r="O955" s="36">
        <v>0</v>
      </c>
      <c r="P955" t="s">
        <v>121</v>
      </c>
      <c r="Q955" t="s">
        <v>111</v>
      </c>
      <c r="R955" t="s">
        <v>111</v>
      </c>
      <c r="S955" s="1">
        <v>46078</v>
      </c>
      <c r="T955" s="1">
        <v>46078</v>
      </c>
      <c r="U955" s="1">
        <v>46073</v>
      </c>
      <c r="V955" s="1">
        <v>46446</v>
      </c>
      <c r="W955" t="s">
        <v>38</v>
      </c>
      <c r="X955">
        <v>12</v>
      </c>
      <c r="Y955" t="s">
        <v>49</v>
      </c>
      <c r="Z955" t="s">
        <v>81</v>
      </c>
      <c r="AA955" t="s">
        <v>122</v>
      </c>
      <c r="AB955">
        <v>12</v>
      </c>
      <c r="AC955" t="s">
        <v>113</v>
      </c>
      <c r="AD955" t="s">
        <v>84</v>
      </c>
      <c r="AE955" t="s">
        <v>43</v>
      </c>
      <c r="AF955" t="s">
        <v>44</v>
      </c>
      <c r="AG955" t="str">
        <f t="shared" si="16"/>
        <v>Recorrente</v>
      </c>
      <c r="AH955" t="str">
        <f>IF(AND(SUMIF(E:E,E955,I:I)&gt;=400000,Q955="B2G"),"n","")</f>
        <v/>
      </c>
    </row>
    <row r="956" spans="1:34">
      <c r="A956">
        <v>2026</v>
      </c>
      <c r="B956">
        <v>2</v>
      </c>
      <c r="C956" s="83">
        <v>125103377575</v>
      </c>
      <c r="D956" t="s">
        <v>981</v>
      </c>
      <c r="E956">
        <v>53209528998</v>
      </c>
      <c r="F956">
        <v>626745</v>
      </c>
      <c r="G956">
        <v>48265600326</v>
      </c>
      <c r="H956" t="s">
        <v>35</v>
      </c>
      <c r="I956" s="36">
        <v>2874</v>
      </c>
      <c r="J956" s="36">
        <v>2874</v>
      </c>
      <c r="K956" s="85">
        <v>0</v>
      </c>
      <c r="L956" s="36">
        <v>239.5</v>
      </c>
      <c r="M956" s="36">
        <v>0</v>
      </c>
      <c r="N956" s="36">
        <v>36.35</v>
      </c>
      <c r="O956" s="36">
        <v>203.15</v>
      </c>
      <c r="P956" t="s">
        <v>165</v>
      </c>
      <c r="Q956" t="s">
        <v>166</v>
      </c>
      <c r="R956" t="s">
        <v>166</v>
      </c>
      <c r="S956" s="1">
        <v>46072</v>
      </c>
      <c r="T956" s="1">
        <v>46072</v>
      </c>
      <c r="U956" s="1">
        <v>46072</v>
      </c>
      <c r="V956" s="1">
        <v>46437</v>
      </c>
      <c r="W956" t="s">
        <v>38</v>
      </c>
      <c r="X956">
        <v>12</v>
      </c>
      <c r="Y956" t="s">
        <v>49</v>
      </c>
      <c r="Z956" t="s">
        <v>81</v>
      </c>
      <c r="AA956" t="s">
        <v>112</v>
      </c>
      <c r="AB956">
        <v>12</v>
      </c>
      <c r="AC956" t="s">
        <v>166</v>
      </c>
      <c r="AD956" t="s">
        <v>140</v>
      </c>
      <c r="AE956" t="s">
        <v>46</v>
      </c>
      <c r="AF956" t="s">
        <v>119</v>
      </c>
      <c r="AG956" t="str">
        <f t="shared" si="16"/>
        <v>CC 12x</v>
      </c>
      <c r="AH956" t="str">
        <f>IF(AND(SUMIF(E:E,E956,I:I)&gt;=400000,Q956="B2G"),"n","")</f>
        <v/>
      </c>
    </row>
    <row r="957" spans="1:34">
      <c r="A957">
        <v>2026</v>
      </c>
      <c r="B957">
        <v>2</v>
      </c>
      <c r="C957" s="83">
        <v>125105746737</v>
      </c>
      <c r="D957" t="s">
        <v>982</v>
      </c>
      <c r="E957">
        <v>54016780879</v>
      </c>
      <c r="F957">
        <v>505993</v>
      </c>
      <c r="G957">
        <v>49949840750</v>
      </c>
      <c r="H957" t="s">
        <v>35</v>
      </c>
      <c r="I957" s="36">
        <v>3285.72</v>
      </c>
      <c r="J957" s="36">
        <v>3285.72</v>
      </c>
      <c r="K957" s="85">
        <v>0</v>
      </c>
      <c r="L957" s="36">
        <v>273.81</v>
      </c>
      <c r="M957" s="36">
        <v>0</v>
      </c>
      <c r="N957" s="36">
        <v>16.140544999999999</v>
      </c>
      <c r="O957" s="36">
        <v>257.67</v>
      </c>
      <c r="P957" t="s">
        <v>116</v>
      </c>
      <c r="Q957" t="s">
        <v>111</v>
      </c>
      <c r="R957" t="s">
        <v>111</v>
      </c>
      <c r="S957" s="1">
        <v>46048</v>
      </c>
      <c r="T957" s="1">
        <v>46054</v>
      </c>
      <c r="U957" s="1">
        <v>46074</v>
      </c>
      <c r="V957" s="1">
        <v>46439</v>
      </c>
      <c r="W957" t="s">
        <v>38</v>
      </c>
      <c r="X957">
        <v>12</v>
      </c>
      <c r="Y957" t="s">
        <v>49</v>
      </c>
      <c r="Z957" t="s">
        <v>81</v>
      </c>
      <c r="AA957" t="s">
        <v>112</v>
      </c>
      <c r="AB957">
        <v>12</v>
      </c>
      <c r="AC957" t="s">
        <v>113</v>
      </c>
      <c r="AD957" t="s">
        <v>163</v>
      </c>
      <c r="AE957" t="s">
        <v>43</v>
      </c>
      <c r="AF957" t="s">
        <v>96</v>
      </c>
      <c r="AG957" t="str">
        <f t="shared" si="16"/>
        <v>CC 12x</v>
      </c>
      <c r="AH957" t="str">
        <f>IF(AND(SUMIF(E:E,E957,I:I)&gt;=400000,Q957="B2G"),"n","")</f>
        <v/>
      </c>
    </row>
    <row r="958" spans="1:34">
      <c r="A958">
        <v>2026</v>
      </c>
      <c r="B958">
        <v>2</v>
      </c>
      <c r="C958" s="83">
        <v>125166795950</v>
      </c>
      <c r="D958" t="s">
        <v>983</v>
      </c>
      <c r="E958">
        <v>55335153573</v>
      </c>
      <c r="F958">
        <v>617499</v>
      </c>
      <c r="G958">
        <v>50691144824</v>
      </c>
      <c r="H958" t="s">
        <v>35</v>
      </c>
      <c r="I958" s="36">
        <v>3084.12</v>
      </c>
      <c r="J958" s="36">
        <v>7085.28</v>
      </c>
      <c r="K958" s="85">
        <v>0</v>
      </c>
      <c r="L958" s="36">
        <v>590.44000000000005</v>
      </c>
      <c r="M958" s="36">
        <v>0</v>
      </c>
      <c r="N958" s="36">
        <v>590.44000000000005</v>
      </c>
      <c r="O958" s="36">
        <v>0</v>
      </c>
      <c r="P958" t="s">
        <v>367</v>
      </c>
      <c r="Q958" t="s">
        <v>191</v>
      </c>
      <c r="R958" t="s">
        <v>191</v>
      </c>
      <c r="S958" s="1">
        <v>46055</v>
      </c>
      <c r="T958" s="1">
        <v>46055</v>
      </c>
      <c r="U958" s="1">
        <v>46214</v>
      </c>
      <c r="V958" s="1">
        <v>46214</v>
      </c>
      <c r="W958" t="s">
        <v>38</v>
      </c>
      <c r="X958">
        <v>5</v>
      </c>
      <c r="Y958" t="s">
        <v>49</v>
      </c>
      <c r="Z958" t="s">
        <v>324</v>
      </c>
      <c r="AA958" t="s">
        <v>122</v>
      </c>
      <c r="AB958">
        <v>5</v>
      </c>
      <c r="AC958" t="s">
        <v>192</v>
      </c>
      <c r="AD958" t="s">
        <v>146</v>
      </c>
      <c r="AE958" t="s">
        <v>135</v>
      </c>
      <c r="AF958" t="s">
        <v>96</v>
      </c>
      <c r="AG958" t="str">
        <f t="shared" si="16"/>
        <v>Recorrente</v>
      </c>
      <c r="AH958" t="str">
        <f>IF(AND(SUMIF(E:E,E958,I:I)&gt;=400000,Q958="B2G"),"n","")</f>
        <v/>
      </c>
    </row>
    <row r="959" spans="1:34">
      <c r="A959">
        <v>2026</v>
      </c>
      <c r="B959">
        <v>2</v>
      </c>
      <c r="C959" s="83">
        <v>125729278253</v>
      </c>
      <c r="D959" t="s">
        <v>984</v>
      </c>
      <c r="E959">
        <v>56040511381</v>
      </c>
      <c r="F959">
        <v>626402</v>
      </c>
      <c r="G959">
        <v>51398419712</v>
      </c>
      <c r="H959" t="s">
        <v>35</v>
      </c>
      <c r="I959" s="36">
        <v>8418.6</v>
      </c>
      <c r="J959" s="36">
        <v>8418.6</v>
      </c>
      <c r="K959" s="85">
        <v>0</v>
      </c>
      <c r="L959" s="36">
        <v>701.55</v>
      </c>
      <c r="M959" s="36">
        <v>0</v>
      </c>
      <c r="N959" s="36">
        <v>36.450000000000003</v>
      </c>
      <c r="O959" s="36">
        <v>665.1</v>
      </c>
      <c r="P959" t="s">
        <v>121</v>
      </c>
      <c r="Q959" t="s">
        <v>111</v>
      </c>
      <c r="R959" t="s">
        <v>111</v>
      </c>
      <c r="S959" s="1">
        <v>46064</v>
      </c>
      <c r="T959" s="1">
        <v>46064</v>
      </c>
      <c r="U959" s="1">
        <v>46063</v>
      </c>
      <c r="V959" s="1">
        <v>46428</v>
      </c>
      <c r="W959" t="s">
        <v>38</v>
      </c>
      <c r="X959">
        <v>12</v>
      </c>
      <c r="Y959" t="s">
        <v>49</v>
      </c>
      <c r="Z959" t="s">
        <v>81</v>
      </c>
      <c r="AA959" t="s">
        <v>122</v>
      </c>
      <c r="AB959">
        <v>12</v>
      </c>
      <c r="AC959" t="s">
        <v>113</v>
      </c>
      <c r="AD959" t="s">
        <v>134</v>
      </c>
      <c r="AE959" t="s">
        <v>135</v>
      </c>
      <c r="AF959" t="s">
        <v>44</v>
      </c>
      <c r="AG959" t="str">
        <f t="shared" si="16"/>
        <v>Recorrente</v>
      </c>
      <c r="AH959" t="str">
        <f>IF(AND(SUMIF(E:E,E959,I:I)&gt;=400000,Q959="B2G"),"n","")</f>
        <v/>
      </c>
    </row>
    <row r="960" spans="1:34">
      <c r="A960">
        <v>2026</v>
      </c>
      <c r="B960">
        <v>2</v>
      </c>
      <c r="C960" s="83">
        <v>125755288216</v>
      </c>
      <c r="D960" t="s">
        <v>985</v>
      </c>
      <c r="E960">
        <v>55574753448</v>
      </c>
      <c r="F960">
        <v>636240</v>
      </c>
      <c r="G960">
        <v>52245202326</v>
      </c>
      <c r="H960" t="s">
        <v>35</v>
      </c>
      <c r="I960" s="36">
        <v>8418.6</v>
      </c>
      <c r="J960" s="36">
        <v>8418.6</v>
      </c>
      <c r="K960" s="85">
        <v>0</v>
      </c>
      <c r="L960" s="36">
        <v>701.55</v>
      </c>
      <c r="M960" s="36">
        <v>0</v>
      </c>
      <c r="N960" s="36">
        <v>294</v>
      </c>
      <c r="O960" s="36">
        <v>407.55</v>
      </c>
      <c r="P960" t="s">
        <v>804</v>
      </c>
      <c r="Q960" t="s">
        <v>191</v>
      </c>
      <c r="R960" t="s">
        <v>191</v>
      </c>
      <c r="S960" s="1">
        <v>46077</v>
      </c>
      <c r="T960" s="1">
        <v>46077</v>
      </c>
      <c r="U960" s="1"/>
      <c r="V960" s="1">
        <v>46442</v>
      </c>
      <c r="W960" t="s">
        <v>38</v>
      </c>
      <c r="Y960" t="s">
        <v>49</v>
      </c>
      <c r="AA960" t="s">
        <v>122</v>
      </c>
      <c r="AB960">
        <v>12</v>
      </c>
      <c r="AC960" t="s">
        <v>192</v>
      </c>
      <c r="AD960" t="s">
        <v>134</v>
      </c>
      <c r="AE960" t="s">
        <v>135</v>
      </c>
      <c r="AF960" t="s">
        <v>44</v>
      </c>
      <c r="AG960" t="str">
        <f t="shared" si="16"/>
        <v>Recorrente</v>
      </c>
      <c r="AH960" t="str">
        <f>IF(AND(SUMIF(E:E,E960,I:I)&gt;=400000,Q960="B2G"),"n","")</f>
        <v/>
      </c>
    </row>
    <row r="961" spans="1:34">
      <c r="A961">
        <v>2026</v>
      </c>
      <c r="B961">
        <v>2</v>
      </c>
      <c r="C961" s="83">
        <v>125980298311</v>
      </c>
      <c r="D961" t="s">
        <v>986</v>
      </c>
      <c r="E961">
        <v>55872053616</v>
      </c>
      <c r="F961">
        <v>533014</v>
      </c>
      <c r="G961">
        <v>51121491201</v>
      </c>
      <c r="H961" t="s">
        <v>35</v>
      </c>
      <c r="I961" s="36">
        <v>390.12</v>
      </c>
      <c r="J961" s="36">
        <v>2159.04</v>
      </c>
      <c r="K961" s="85">
        <v>0</v>
      </c>
      <c r="L961" s="36">
        <v>179.92</v>
      </c>
      <c r="M961" s="36">
        <v>0</v>
      </c>
      <c r="N961" s="36">
        <v>179.92</v>
      </c>
      <c r="O961" s="36">
        <v>0</v>
      </c>
      <c r="P961" t="s">
        <v>323</v>
      </c>
      <c r="Q961" t="s">
        <v>191</v>
      </c>
      <c r="R961" t="s">
        <v>191</v>
      </c>
      <c r="S961" s="1">
        <v>46063</v>
      </c>
      <c r="T961" s="1">
        <v>46063</v>
      </c>
      <c r="U961" s="1">
        <v>46129</v>
      </c>
      <c r="V961" s="1">
        <v>46129</v>
      </c>
      <c r="W961" t="s">
        <v>38</v>
      </c>
      <c r="X961">
        <v>2</v>
      </c>
      <c r="Y961" t="s">
        <v>49</v>
      </c>
      <c r="Z961" t="s">
        <v>324</v>
      </c>
      <c r="AA961" t="s">
        <v>112</v>
      </c>
      <c r="AB961">
        <v>2</v>
      </c>
      <c r="AC961" t="s">
        <v>192</v>
      </c>
      <c r="AD961" t="s">
        <v>84</v>
      </c>
      <c r="AE961" t="s">
        <v>43</v>
      </c>
      <c r="AF961" t="s">
        <v>44</v>
      </c>
      <c r="AG961" t="str">
        <f t="shared" si="16"/>
        <v>CC 3x</v>
      </c>
      <c r="AH961" t="str">
        <f>IF(AND(SUMIF(E:E,E961,I:I)&gt;=400000,Q961="B2G"),"n","")</f>
        <v/>
      </c>
    </row>
    <row r="962" spans="1:34">
      <c r="A962">
        <v>2026</v>
      </c>
      <c r="B962">
        <v>2</v>
      </c>
      <c r="C962" s="83">
        <v>126268634125</v>
      </c>
      <c r="D962" t="s">
        <v>987</v>
      </c>
      <c r="E962">
        <v>55509468777</v>
      </c>
      <c r="F962">
        <v>628456</v>
      </c>
      <c r="G962">
        <v>50981282306</v>
      </c>
      <c r="H962" t="s">
        <v>35</v>
      </c>
      <c r="I962" s="36">
        <v>629.64</v>
      </c>
      <c r="J962" s="36">
        <v>3650.64</v>
      </c>
      <c r="K962" s="85">
        <v>0</v>
      </c>
      <c r="L962" s="36">
        <v>304.22000000000003</v>
      </c>
      <c r="M962" s="36">
        <v>0</v>
      </c>
      <c r="N962" s="36">
        <v>304.22000000000003</v>
      </c>
      <c r="O962" s="36">
        <v>0</v>
      </c>
      <c r="P962" t="s">
        <v>469</v>
      </c>
      <c r="Q962" t="s">
        <v>191</v>
      </c>
      <c r="R962" t="s">
        <v>191</v>
      </c>
      <c r="S962" s="1">
        <v>46059</v>
      </c>
      <c r="T962" s="1">
        <v>46059</v>
      </c>
      <c r="U962" s="1">
        <v>46122</v>
      </c>
      <c r="V962" s="1">
        <v>46122</v>
      </c>
      <c r="W962" t="s">
        <v>38</v>
      </c>
      <c r="X962">
        <v>2</v>
      </c>
      <c r="Y962" t="s">
        <v>49</v>
      </c>
      <c r="Z962" t="s">
        <v>324</v>
      </c>
      <c r="AA962" t="s">
        <v>112</v>
      </c>
      <c r="AB962">
        <v>3</v>
      </c>
      <c r="AC962" t="s">
        <v>192</v>
      </c>
      <c r="AD962" t="s">
        <v>134</v>
      </c>
      <c r="AE962" t="s">
        <v>135</v>
      </c>
      <c r="AF962" t="s">
        <v>44</v>
      </c>
      <c r="AG962" t="str">
        <f t="shared" si="16"/>
        <v>CC 3x</v>
      </c>
      <c r="AH962" t="str">
        <f>IF(AND(SUMIF(E:E,E962,I:I)&gt;=400000,Q962="B2G"),"n","")</f>
        <v/>
      </c>
    </row>
    <row r="963" spans="1:34">
      <c r="A963">
        <v>2026</v>
      </c>
      <c r="B963">
        <v>2</v>
      </c>
      <c r="C963" s="83">
        <v>126929418061</v>
      </c>
      <c r="D963" t="s">
        <v>988</v>
      </c>
      <c r="E963">
        <v>55397941841</v>
      </c>
      <c r="F963">
        <v>635879</v>
      </c>
      <c r="G963">
        <v>50608154154</v>
      </c>
      <c r="H963" t="s">
        <v>35</v>
      </c>
      <c r="I963" s="36">
        <v>2615.2800000000002</v>
      </c>
      <c r="J963" s="36">
        <v>2615.34</v>
      </c>
      <c r="K963" s="85">
        <v>0</v>
      </c>
      <c r="L963" s="36">
        <v>217.94499999999999</v>
      </c>
      <c r="M963" s="36">
        <v>217.94499999999999</v>
      </c>
      <c r="N963" s="36">
        <v>0</v>
      </c>
      <c r="O963" s="36">
        <v>0</v>
      </c>
      <c r="P963" t="s">
        <v>506</v>
      </c>
      <c r="Q963" t="s">
        <v>300</v>
      </c>
      <c r="R963" t="s">
        <v>300</v>
      </c>
      <c r="S963" s="1">
        <v>46055</v>
      </c>
      <c r="T963" s="1">
        <v>46055</v>
      </c>
      <c r="U963" s="1"/>
      <c r="V963" s="1">
        <v>46420</v>
      </c>
      <c r="W963" t="s">
        <v>38</v>
      </c>
      <c r="X963">
        <v>12</v>
      </c>
      <c r="Y963" t="s">
        <v>49</v>
      </c>
      <c r="AA963" t="s">
        <v>112</v>
      </c>
      <c r="AB963">
        <v>12</v>
      </c>
      <c r="AC963" t="s">
        <v>301</v>
      </c>
      <c r="AD963" t="s">
        <v>140</v>
      </c>
      <c r="AE963" t="s">
        <v>46</v>
      </c>
      <c r="AF963" t="s">
        <v>119</v>
      </c>
      <c r="AG963" t="str">
        <f t="shared" si="16"/>
        <v>CC 12x</v>
      </c>
      <c r="AH963" t="str">
        <f>IF(AND(SUMIF(E:E,E963,I:I)&gt;=400000,Q963="B2G"),"n","")</f>
        <v/>
      </c>
    </row>
    <row r="964" spans="1:34">
      <c r="A964">
        <v>2026</v>
      </c>
      <c r="B964">
        <v>2</v>
      </c>
      <c r="C964" s="83">
        <v>127190766902</v>
      </c>
      <c r="D964" t="s">
        <v>989</v>
      </c>
      <c r="E964">
        <v>53260262286</v>
      </c>
      <c r="F964">
        <v>327874</v>
      </c>
      <c r="G964">
        <v>49778552357</v>
      </c>
      <c r="H964" t="s">
        <v>35</v>
      </c>
      <c r="I964" s="36">
        <v>4908.6000000000004</v>
      </c>
      <c r="J964" s="36">
        <v>4908.6000000000004</v>
      </c>
      <c r="K964" s="85">
        <v>0</v>
      </c>
      <c r="L964" s="36">
        <v>409.05</v>
      </c>
      <c r="M964" s="36">
        <v>0</v>
      </c>
      <c r="N964" s="36">
        <v>0</v>
      </c>
      <c r="O964" s="36">
        <v>409.05</v>
      </c>
      <c r="P964" t="s">
        <v>110</v>
      </c>
      <c r="Q964" t="s">
        <v>111</v>
      </c>
      <c r="R964" t="s">
        <v>111</v>
      </c>
      <c r="S964" s="1">
        <v>46045</v>
      </c>
      <c r="T964" s="1">
        <v>46054</v>
      </c>
      <c r="U964" s="1">
        <v>46041</v>
      </c>
      <c r="V964" s="1">
        <v>46406</v>
      </c>
      <c r="W964" t="s">
        <v>38</v>
      </c>
      <c r="X964">
        <v>12</v>
      </c>
      <c r="Y964" t="s">
        <v>49</v>
      </c>
      <c r="Z964" t="s">
        <v>76</v>
      </c>
      <c r="AA964" t="s">
        <v>122</v>
      </c>
      <c r="AB964">
        <v>12</v>
      </c>
      <c r="AC964" t="s">
        <v>113</v>
      </c>
      <c r="AD964" t="s">
        <v>163</v>
      </c>
      <c r="AE964" t="s">
        <v>43</v>
      </c>
      <c r="AF964" t="s">
        <v>96</v>
      </c>
      <c r="AG964" t="str">
        <f t="shared" si="16"/>
        <v>Recorrente</v>
      </c>
      <c r="AH964" t="str">
        <f>IF(AND(SUMIF(E:E,E964,I:I)&gt;=400000,Q964="B2G"),"n","")</f>
        <v/>
      </c>
    </row>
    <row r="965" spans="1:34">
      <c r="A965">
        <v>2026</v>
      </c>
      <c r="B965">
        <v>2</v>
      </c>
      <c r="C965" s="83">
        <v>127190766902</v>
      </c>
      <c r="D965" t="s">
        <v>989</v>
      </c>
      <c r="E965">
        <v>53260262286</v>
      </c>
      <c r="F965">
        <v>327874</v>
      </c>
      <c r="G965">
        <v>49778552358</v>
      </c>
      <c r="H965" t="s">
        <v>35</v>
      </c>
      <c r="I965" s="36">
        <v>4908.6000000000004</v>
      </c>
      <c r="J965" s="36">
        <v>4908.6000000000004</v>
      </c>
      <c r="K965" s="85">
        <v>0</v>
      </c>
      <c r="L965" s="36">
        <v>409.05</v>
      </c>
      <c r="M965" s="36">
        <v>0</v>
      </c>
      <c r="N965" s="36">
        <v>0</v>
      </c>
      <c r="O965" s="36">
        <v>409.05</v>
      </c>
      <c r="P965" t="s">
        <v>110</v>
      </c>
      <c r="Q965" t="s">
        <v>111</v>
      </c>
      <c r="R965" t="s">
        <v>111</v>
      </c>
      <c r="S965" s="1">
        <v>46045</v>
      </c>
      <c r="T965" s="1">
        <v>46054</v>
      </c>
      <c r="U965" s="1">
        <v>46041</v>
      </c>
      <c r="V965" s="1">
        <v>46406</v>
      </c>
      <c r="W965" t="s">
        <v>38</v>
      </c>
      <c r="X965">
        <v>12</v>
      </c>
      <c r="Y965" t="s">
        <v>49</v>
      </c>
      <c r="Z965" t="s">
        <v>76</v>
      </c>
      <c r="AA965" t="s">
        <v>122</v>
      </c>
      <c r="AB965">
        <v>12</v>
      </c>
      <c r="AC965" t="s">
        <v>113</v>
      </c>
      <c r="AD965" t="s">
        <v>85</v>
      </c>
      <c r="AE965" t="s">
        <v>46</v>
      </c>
      <c r="AF965" t="s">
        <v>44</v>
      </c>
      <c r="AG965" t="str">
        <f t="shared" si="16"/>
        <v>Recorrente</v>
      </c>
      <c r="AH965" t="str">
        <f>IF(AND(SUMIF(E:E,E965,I:I)&gt;=400000,Q965="B2G"),"n","")</f>
        <v/>
      </c>
    </row>
    <row r="966" spans="1:34">
      <c r="A966">
        <v>2026</v>
      </c>
      <c r="B966">
        <v>2</v>
      </c>
      <c r="C966" s="83">
        <v>128451732993</v>
      </c>
      <c r="D966" t="s">
        <v>990</v>
      </c>
      <c r="E966">
        <v>56924768338</v>
      </c>
      <c r="F966">
        <v>276608</v>
      </c>
      <c r="G966">
        <v>52284879369</v>
      </c>
      <c r="H966" t="s">
        <v>35</v>
      </c>
      <c r="I966" s="36">
        <v>5893.08</v>
      </c>
      <c r="J966" s="36">
        <v>5893.08</v>
      </c>
      <c r="K966" s="85">
        <v>0</v>
      </c>
      <c r="L966" s="36">
        <v>491.09</v>
      </c>
      <c r="M966" s="36">
        <v>0</v>
      </c>
      <c r="N966" s="36">
        <v>198.68196169999999</v>
      </c>
      <c r="O966" s="36">
        <v>292.41083329999998</v>
      </c>
      <c r="P966" t="s">
        <v>116</v>
      </c>
      <c r="Q966" t="s">
        <v>111</v>
      </c>
      <c r="R966" t="s">
        <v>111</v>
      </c>
      <c r="S966" s="1">
        <v>46078</v>
      </c>
      <c r="T966" s="1">
        <v>46078</v>
      </c>
      <c r="U966" s="1">
        <v>46077</v>
      </c>
      <c r="V966" s="1">
        <v>46442</v>
      </c>
      <c r="W966" t="s">
        <v>38</v>
      </c>
      <c r="X966">
        <v>12</v>
      </c>
      <c r="Y966" t="s">
        <v>49</v>
      </c>
      <c r="Z966" t="s">
        <v>81</v>
      </c>
      <c r="AA966" t="s">
        <v>112</v>
      </c>
      <c r="AB966">
        <v>12</v>
      </c>
      <c r="AC966" t="s">
        <v>113</v>
      </c>
      <c r="AD966" t="s">
        <v>134</v>
      </c>
      <c r="AE966" t="s">
        <v>135</v>
      </c>
      <c r="AF966" t="s">
        <v>44</v>
      </c>
      <c r="AG966" t="str">
        <f t="shared" si="16"/>
        <v>CC 12x</v>
      </c>
      <c r="AH966" t="str">
        <f>IF(AND(SUMIF(E:E,E966,I:I)&gt;=400000,Q966="B2G"),"n","")</f>
        <v/>
      </c>
    </row>
    <row r="967" spans="1:34">
      <c r="A967">
        <v>2026</v>
      </c>
      <c r="B967">
        <v>2</v>
      </c>
      <c r="C967" s="83">
        <v>128558379446</v>
      </c>
      <c r="D967" t="s">
        <v>991</v>
      </c>
      <c r="E967">
        <v>55715345047</v>
      </c>
      <c r="F967">
        <v>635984</v>
      </c>
      <c r="G967">
        <v>50986661693</v>
      </c>
      <c r="H967" t="s">
        <v>35</v>
      </c>
      <c r="I967" s="36">
        <v>4074</v>
      </c>
      <c r="J967" s="36">
        <v>4074</v>
      </c>
      <c r="K967" s="85">
        <v>0</v>
      </c>
      <c r="L967" s="36">
        <v>339.5</v>
      </c>
      <c r="M967" s="36">
        <v>0</v>
      </c>
      <c r="N967" s="36">
        <v>339.5</v>
      </c>
      <c r="O967" s="36">
        <v>0</v>
      </c>
      <c r="P967" t="s">
        <v>804</v>
      </c>
      <c r="Q967" t="s">
        <v>191</v>
      </c>
      <c r="R967" t="s">
        <v>191</v>
      </c>
      <c r="S967" s="1">
        <v>46059</v>
      </c>
      <c r="T967" s="1">
        <v>46059</v>
      </c>
      <c r="U967" s="1"/>
      <c r="V967" s="1">
        <v>46424</v>
      </c>
      <c r="W967" t="s">
        <v>38</v>
      </c>
      <c r="X967">
        <v>12</v>
      </c>
      <c r="Y967" t="s">
        <v>49</v>
      </c>
      <c r="AA967" t="s">
        <v>122</v>
      </c>
      <c r="AB967">
        <v>12</v>
      </c>
      <c r="AC967" t="s">
        <v>192</v>
      </c>
      <c r="AD967" t="s">
        <v>160</v>
      </c>
      <c r="AE967" t="s">
        <v>43</v>
      </c>
      <c r="AF967" t="s">
        <v>44</v>
      </c>
      <c r="AG967" t="str">
        <f t="shared" si="16"/>
        <v>Recorrente</v>
      </c>
      <c r="AH967" t="str">
        <f>IF(AND(SUMIF(E:E,E967,I:I)&gt;=400000,Q967="B2G"),"n","")</f>
        <v/>
      </c>
    </row>
    <row r="968" spans="1:34">
      <c r="A968">
        <v>2026</v>
      </c>
      <c r="B968">
        <v>2</v>
      </c>
      <c r="C968" s="83">
        <v>128713540445</v>
      </c>
      <c r="D968" t="s">
        <v>992</v>
      </c>
      <c r="E968">
        <v>54348616842</v>
      </c>
      <c r="F968">
        <v>526820</v>
      </c>
      <c r="G968">
        <v>49710430820</v>
      </c>
      <c r="H968" t="s">
        <v>35</v>
      </c>
      <c r="I968" s="36">
        <v>5553.24</v>
      </c>
      <c r="J968" s="36">
        <v>5553.24</v>
      </c>
      <c r="K968" s="85">
        <v>0</v>
      </c>
      <c r="L968" s="36">
        <v>462.77</v>
      </c>
      <c r="M968" s="36">
        <v>0</v>
      </c>
      <c r="N968" s="36">
        <v>39.97</v>
      </c>
      <c r="O968" s="36">
        <v>422.8</v>
      </c>
      <c r="P968" t="s">
        <v>162</v>
      </c>
      <c r="Q968" t="s">
        <v>111</v>
      </c>
      <c r="R968" t="s">
        <v>111</v>
      </c>
      <c r="S968" s="1">
        <v>46044</v>
      </c>
      <c r="T968" s="1">
        <v>46054</v>
      </c>
      <c r="U968" s="1">
        <v>46060</v>
      </c>
      <c r="V968" s="1">
        <v>46425</v>
      </c>
      <c r="W968" t="s">
        <v>38</v>
      </c>
      <c r="X968">
        <v>12</v>
      </c>
      <c r="Y968" t="s">
        <v>49</v>
      </c>
      <c r="Z968" t="s">
        <v>81</v>
      </c>
      <c r="AA968" t="s">
        <v>122</v>
      </c>
      <c r="AB968">
        <v>12</v>
      </c>
      <c r="AC968" t="s">
        <v>113</v>
      </c>
      <c r="AD968" t="s">
        <v>125</v>
      </c>
      <c r="AE968" t="s">
        <v>43</v>
      </c>
      <c r="AF968" t="s">
        <v>47</v>
      </c>
      <c r="AG968" t="str">
        <f t="shared" si="16"/>
        <v>Recorrente</v>
      </c>
      <c r="AH968" t="str">
        <f>IF(AND(SUMIF(E:E,E968,I:I)&gt;=400000,Q968="B2G"),"n","")</f>
        <v/>
      </c>
    </row>
    <row r="969" spans="1:34">
      <c r="A969">
        <v>2026</v>
      </c>
      <c r="B969">
        <v>2</v>
      </c>
      <c r="C969" s="83">
        <v>128965160100</v>
      </c>
      <c r="D969" t="s">
        <v>993</v>
      </c>
      <c r="E969">
        <v>54829061983</v>
      </c>
      <c r="F969">
        <v>635894</v>
      </c>
      <c r="G969">
        <v>50750726507</v>
      </c>
      <c r="H969" t="s">
        <v>35</v>
      </c>
      <c r="I969" s="36">
        <v>5514</v>
      </c>
      <c r="J969" s="36">
        <v>5514</v>
      </c>
      <c r="K969" s="85">
        <v>0</v>
      </c>
      <c r="L969" s="36">
        <v>459.5</v>
      </c>
      <c r="M969" s="36">
        <v>459.5</v>
      </c>
      <c r="N969" s="36">
        <v>0</v>
      </c>
      <c r="O969" s="36">
        <v>0</v>
      </c>
      <c r="P969" t="s">
        <v>829</v>
      </c>
      <c r="Q969" t="s">
        <v>300</v>
      </c>
      <c r="R969" t="s">
        <v>300</v>
      </c>
      <c r="S969" s="1">
        <v>46056</v>
      </c>
      <c r="T969" s="1">
        <v>46056</v>
      </c>
      <c r="V969" s="1">
        <v>46421</v>
      </c>
      <c r="W969" t="s">
        <v>38</v>
      </c>
      <c r="X969">
        <v>12</v>
      </c>
      <c r="Y969" t="s">
        <v>49</v>
      </c>
      <c r="AA969" t="s">
        <v>122</v>
      </c>
      <c r="AB969">
        <v>12</v>
      </c>
      <c r="AC969" t="s">
        <v>301</v>
      </c>
      <c r="AD969" t="s">
        <v>138</v>
      </c>
      <c r="AE969" t="s">
        <v>135</v>
      </c>
      <c r="AF969" t="s">
        <v>119</v>
      </c>
      <c r="AG969" t="str">
        <f t="shared" si="16"/>
        <v>Recorrente</v>
      </c>
      <c r="AH969" t="str">
        <f>IF(AND(SUMIF(E:E,E969,I:I)&gt;=400000,Q969="B2G"),"n","")</f>
        <v/>
      </c>
    </row>
    <row r="970" spans="1:34">
      <c r="A970">
        <v>2026</v>
      </c>
      <c r="B970">
        <v>2</v>
      </c>
      <c r="C970" s="83">
        <v>129587437997</v>
      </c>
      <c r="D970" t="s">
        <v>994</v>
      </c>
      <c r="E970">
        <v>57154075275</v>
      </c>
      <c r="F970">
        <v>636316</v>
      </c>
      <c r="G970">
        <v>52473510746</v>
      </c>
      <c r="H970" t="s">
        <v>35</v>
      </c>
      <c r="I970" s="36">
        <v>10704.84</v>
      </c>
      <c r="J970" s="36">
        <v>10704.9</v>
      </c>
      <c r="K970" s="85">
        <v>0</v>
      </c>
      <c r="L970" s="36">
        <v>892.07500000000005</v>
      </c>
      <c r="M970" s="36">
        <v>0</v>
      </c>
      <c r="N970" s="36">
        <v>212.02500000000001</v>
      </c>
      <c r="O970" s="36">
        <v>680.05</v>
      </c>
      <c r="P970" t="s">
        <v>804</v>
      </c>
      <c r="Q970" t="s">
        <v>191</v>
      </c>
      <c r="R970" t="s">
        <v>191</v>
      </c>
      <c r="S970" s="1">
        <v>46080</v>
      </c>
      <c r="T970" s="1">
        <v>46080</v>
      </c>
      <c r="U970" s="1"/>
      <c r="V970" s="1">
        <v>46445</v>
      </c>
      <c r="W970" t="s">
        <v>38</v>
      </c>
      <c r="Y970" t="s">
        <v>49</v>
      </c>
      <c r="AA970" t="s">
        <v>122</v>
      </c>
      <c r="AB970">
        <v>12</v>
      </c>
      <c r="AC970" t="s">
        <v>192</v>
      </c>
      <c r="AD970" t="s">
        <v>146</v>
      </c>
      <c r="AE970" t="s">
        <v>135</v>
      </c>
      <c r="AF970" t="s">
        <v>96</v>
      </c>
      <c r="AG970" t="str">
        <f t="shared" si="16"/>
        <v>Recorrente</v>
      </c>
      <c r="AH970" t="str">
        <f>IF(AND(SUMIF(E:E,E970,I:I)&gt;=400000,Q970="B2G"),"n","")</f>
        <v/>
      </c>
    </row>
    <row r="971" spans="1:34">
      <c r="A971">
        <v>2026</v>
      </c>
      <c r="B971">
        <v>2</v>
      </c>
      <c r="C971" s="83">
        <v>129749269633</v>
      </c>
      <c r="D971" t="s">
        <v>995</v>
      </c>
      <c r="E971">
        <v>56254518455</v>
      </c>
      <c r="F971">
        <v>626563</v>
      </c>
      <c r="G971">
        <v>52292813497</v>
      </c>
      <c r="H971" t="s">
        <v>35</v>
      </c>
      <c r="I971" s="36">
        <v>2874</v>
      </c>
      <c r="J971" s="36">
        <v>2874</v>
      </c>
      <c r="K971" s="85">
        <v>0</v>
      </c>
      <c r="L971" s="36">
        <v>239.5</v>
      </c>
      <c r="M971" s="36">
        <v>0</v>
      </c>
      <c r="N971" s="36">
        <v>0</v>
      </c>
      <c r="O971" s="36">
        <v>239.5</v>
      </c>
      <c r="P971" t="s">
        <v>804</v>
      </c>
      <c r="Q971" t="s">
        <v>111</v>
      </c>
      <c r="R971" t="s">
        <v>111</v>
      </c>
      <c r="S971" s="1">
        <v>46079</v>
      </c>
      <c r="T971" s="1">
        <v>46079</v>
      </c>
      <c r="U971" s="1">
        <v>46066</v>
      </c>
      <c r="V971" s="1">
        <v>46444</v>
      </c>
      <c r="W971" t="s">
        <v>38</v>
      </c>
      <c r="X971">
        <v>12</v>
      </c>
      <c r="Y971" t="s">
        <v>49</v>
      </c>
      <c r="Z971" t="s">
        <v>76</v>
      </c>
      <c r="AA971" t="s">
        <v>122</v>
      </c>
      <c r="AB971">
        <v>12</v>
      </c>
      <c r="AC971" t="s">
        <v>113</v>
      </c>
      <c r="AD971" t="s">
        <v>140</v>
      </c>
      <c r="AE971" t="s">
        <v>46</v>
      </c>
      <c r="AF971" t="s">
        <v>119</v>
      </c>
      <c r="AG971" t="str">
        <f t="shared" si="16"/>
        <v>Recorrente</v>
      </c>
      <c r="AH971" t="str">
        <f>IF(AND(SUMIF(E:E,E971,I:I)&gt;=400000,Q971="B2G"),"n","")</f>
        <v/>
      </c>
    </row>
    <row r="972" spans="1:34">
      <c r="A972">
        <v>2026</v>
      </c>
      <c r="B972">
        <v>2</v>
      </c>
      <c r="C972" s="83">
        <v>130307873837</v>
      </c>
      <c r="D972" t="s">
        <v>996</v>
      </c>
      <c r="E972">
        <v>56618479797</v>
      </c>
      <c r="F972">
        <v>636127</v>
      </c>
      <c r="G972">
        <v>51830454136</v>
      </c>
      <c r="H972" t="s">
        <v>104</v>
      </c>
      <c r="I972" s="36">
        <v>718.8</v>
      </c>
      <c r="J972" s="36">
        <v>718.8</v>
      </c>
      <c r="K972" s="85">
        <v>0</v>
      </c>
      <c r="L972" s="36">
        <v>59.9</v>
      </c>
      <c r="M972" s="36">
        <v>59.9</v>
      </c>
      <c r="N972" s="36">
        <v>0</v>
      </c>
      <c r="O972" s="36">
        <v>0</v>
      </c>
      <c r="P972" t="s">
        <v>497</v>
      </c>
      <c r="Q972" t="s">
        <v>498</v>
      </c>
      <c r="R972" t="s">
        <v>498</v>
      </c>
      <c r="S972" s="1">
        <v>46071</v>
      </c>
      <c r="T972" s="1">
        <v>46071</v>
      </c>
      <c r="V972" s="1">
        <v>46436</v>
      </c>
      <c r="W972" t="s">
        <v>38</v>
      </c>
      <c r="X972">
        <v>12</v>
      </c>
      <c r="Y972" t="s">
        <v>49</v>
      </c>
      <c r="AA972" t="s">
        <v>117</v>
      </c>
      <c r="AB972">
        <v>1</v>
      </c>
      <c r="AC972" t="s">
        <v>499</v>
      </c>
      <c r="AD972" t="s">
        <v>105</v>
      </c>
      <c r="AE972" t="s">
        <v>106</v>
      </c>
      <c r="AF972" t="s">
        <v>59</v>
      </c>
      <c r="AG972" t="str">
        <f t="shared" si="16"/>
        <v>À Vista</v>
      </c>
      <c r="AH972" t="str">
        <f>IF(AND(SUMIF(E:E,E972,I:I)&gt;=400000,Q972="B2G"),"n","")</f>
        <v/>
      </c>
    </row>
    <row r="973" spans="1:34">
      <c r="A973">
        <v>2026</v>
      </c>
      <c r="B973">
        <v>2</v>
      </c>
      <c r="C973" s="83">
        <v>130453669036</v>
      </c>
      <c r="D973" t="s">
        <v>997</v>
      </c>
      <c r="E973">
        <v>53282521731</v>
      </c>
      <c r="F973">
        <v>626160</v>
      </c>
      <c r="G973">
        <v>50925723559</v>
      </c>
      <c r="H973" t="s">
        <v>35</v>
      </c>
      <c r="I973" s="36">
        <v>5148</v>
      </c>
      <c r="J973" s="36">
        <v>5148</v>
      </c>
      <c r="K973" s="85">
        <v>0</v>
      </c>
      <c r="L973" s="36">
        <v>429</v>
      </c>
      <c r="M973" s="36">
        <v>0</v>
      </c>
      <c r="N973" s="36">
        <v>11.95</v>
      </c>
      <c r="O973" s="36">
        <v>417.05</v>
      </c>
      <c r="P973" t="s">
        <v>127</v>
      </c>
      <c r="Q973" t="s">
        <v>111</v>
      </c>
      <c r="R973" t="s">
        <v>111</v>
      </c>
      <c r="S973" s="1">
        <v>46058</v>
      </c>
      <c r="T973" s="1">
        <v>46058</v>
      </c>
      <c r="U973" s="1">
        <v>46058</v>
      </c>
      <c r="V973" s="1">
        <v>46423</v>
      </c>
      <c r="W973" t="s">
        <v>38</v>
      </c>
      <c r="X973">
        <v>12</v>
      </c>
      <c r="Y973" t="s">
        <v>49</v>
      </c>
      <c r="Z973" t="s">
        <v>81</v>
      </c>
      <c r="AA973" t="s">
        <v>112</v>
      </c>
      <c r="AB973">
        <v>12</v>
      </c>
      <c r="AC973" t="s">
        <v>113</v>
      </c>
      <c r="AD973" t="s">
        <v>149</v>
      </c>
      <c r="AE973" t="s">
        <v>43</v>
      </c>
      <c r="AF973" t="s">
        <v>96</v>
      </c>
      <c r="AG973" t="str">
        <f t="shared" si="16"/>
        <v>CC 12x</v>
      </c>
      <c r="AH973" t="str">
        <f>IF(AND(SUMIF(E:E,E973,I:I)&gt;=400000,Q973="B2G"),"n","")</f>
        <v/>
      </c>
    </row>
    <row r="974" spans="1:34">
      <c r="A974">
        <v>2026</v>
      </c>
      <c r="B974">
        <v>2</v>
      </c>
      <c r="C974" s="83">
        <v>131750765592</v>
      </c>
      <c r="D974" t="s">
        <v>998</v>
      </c>
      <c r="E974">
        <v>55329087499</v>
      </c>
      <c r="F974">
        <v>328419</v>
      </c>
      <c r="G974">
        <v>51943033694</v>
      </c>
      <c r="H974" t="s">
        <v>35</v>
      </c>
      <c r="I974" s="36">
        <v>6100.65</v>
      </c>
      <c r="J974" s="36">
        <v>6100.65</v>
      </c>
      <c r="K974" s="85">
        <v>0</v>
      </c>
      <c r="L974" s="36">
        <v>508.38749999999999</v>
      </c>
      <c r="M974" s="36">
        <v>0</v>
      </c>
      <c r="N974" s="36">
        <v>333.1590625</v>
      </c>
      <c r="O974" s="36">
        <v>175.22749999999999</v>
      </c>
      <c r="P974" t="s">
        <v>137</v>
      </c>
      <c r="Q974" t="s">
        <v>111</v>
      </c>
      <c r="R974" t="s">
        <v>111</v>
      </c>
      <c r="S974" s="1">
        <v>46072</v>
      </c>
      <c r="T974" s="1">
        <v>46072</v>
      </c>
      <c r="U974" s="1">
        <v>46070</v>
      </c>
      <c r="V974" s="1">
        <v>46435</v>
      </c>
      <c r="W974" t="s">
        <v>38</v>
      </c>
      <c r="X974">
        <v>12</v>
      </c>
      <c r="Y974" t="s">
        <v>49</v>
      </c>
      <c r="Z974" t="s">
        <v>76</v>
      </c>
      <c r="AA974" t="s">
        <v>112</v>
      </c>
      <c r="AB974">
        <v>12</v>
      </c>
      <c r="AC974" t="s">
        <v>113</v>
      </c>
      <c r="AD974" t="s">
        <v>158</v>
      </c>
      <c r="AE974" t="s">
        <v>43</v>
      </c>
      <c r="AF974" t="s">
        <v>47</v>
      </c>
      <c r="AG974" t="str">
        <f t="shared" si="16"/>
        <v>CC 12x</v>
      </c>
      <c r="AH974" t="str">
        <f>IF(AND(SUMIF(E:E,E974,I:I)&gt;=400000,Q974="B2G"),"n","")</f>
        <v/>
      </c>
    </row>
    <row r="975" spans="1:34">
      <c r="A975">
        <v>2026</v>
      </c>
      <c r="B975">
        <v>2</v>
      </c>
      <c r="C975" s="83">
        <v>131750765592</v>
      </c>
      <c r="D975" t="s">
        <v>998</v>
      </c>
      <c r="E975">
        <v>55329087499</v>
      </c>
      <c r="F975">
        <v>328419</v>
      </c>
      <c r="G975">
        <v>51943033695</v>
      </c>
      <c r="H975" t="s">
        <v>35</v>
      </c>
      <c r="I975" s="36">
        <v>6100.65</v>
      </c>
      <c r="J975" s="36">
        <v>6100.65</v>
      </c>
      <c r="K975" s="85">
        <v>0</v>
      </c>
      <c r="L975" s="36">
        <v>508.38749999999999</v>
      </c>
      <c r="M975" s="36">
        <v>0</v>
      </c>
      <c r="N975" s="36">
        <v>333.1590625</v>
      </c>
      <c r="O975" s="36">
        <v>175.22749999999999</v>
      </c>
      <c r="P975" t="s">
        <v>137</v>
      </c>
      <c r="Q975" t="s">
        <v>111</v>
      </c>
      <c r="R975" t="s">
        <v>111</v>
      </c>
      <c r="S975" s="1">
        <v>46072</v>
      </c>
      <c r="T975" s="1">
        <v>46072</v>
      </c>
      <c r="U975" s="1">
        <v>46070</v>
      </c>
      <c r="V975" s="1">
        <v>46435</v>
      </c>
      <c r="W975" t="s">
        <v>38</v>
      </c>
      <c r="X975">
        <v>12</v>
      </c>
      <c r="Y975" t="s">
        <v>49</v>
      </c>
      <c r="Z975" t="s">
        <v>76</v>
      </c>
      <c r="AA975" t="s">
        <v>112</v>
      </c>
      <c r="AB975">
        <v>12</v>
      </c>
      <c r="AC975" t="s">
        <v>113</v>
      </c>
      <c r="AD975" t="s">
        <v>174</v>
      </c>
      <c r="AE975" t="s">
        <v>43</v>
      </c>
      <c r="AF975" t="s">
        <v>47</v>
      </c>
      <c r="AG975" t="str">
        <f t="shared" si="16"/>
        <v>CC 12x</v>
      </c>
      <c r="AH975" t="str">
        <f>IF(AND(SUMIF(E:E,E975,I:I)&gt;=400000,Q975="B2G"),"n","")</f>
        <v/>
      </c>
    </row>
    <row r="976" spans="1:34">
      <c r="A976">
        <v>2026</v>
      </c>
      <c r="B976">
        <v>2</v>
      </c>
      <c r="C976" s="83">
        <v>131750765592</v>
      </c>
      <c r="D976" t="s">
        <v>998</v>
      </c>
      <c r="E976">
        <v>55329087499</v>
      </c>
      <c r="F976">
        <v>328419</v>
      </c>
      <c r="G976">
        <v>51943033696</v>
      </c>
      <c r="H976" t="s">
        <v>35</v>
      </c>
      <c r="I976" s="36">
        <v>6100.65</v>
      </c>
      <c r="J976" s="36">
        <v>6100.65</v>
      </c>
      <c r="K976" s="85">
        <v>0</v>
      </c>
      <c r="L976" s="36">
        <v>508.38749999999999</v>
      </c>
      <c r="M976" s="36">
        <v>0</v>
      </c>
      <c r="N976" s="36">
        <v>333.1590625</v>
      </c>
      <c r="O976" s="36">
        <v>175.22749999999999</v>
      </c>
      <c r="P976" t="s">
        <v>137</v>
      </c>
      <c r="Q976" t="s">
        <v>111</v>
      </c>
      <c r="R976" t="s">
        <v>111</v>
      </c>
      <c r="S976" s="1">
        <v>46072</v>
      </c>
      <c r="T976" s="1">
        <v>46072</v>
      </c>
      <c r="U976" s="1">
        <v>46070</v>
      </c>
      <c r="V976" s="1">
        <v>46435</v>
      </c>
      <c r="W976" t="s">
        <v>38</v>
      </c>
      <c r="X976">
        <v>12</v>
      </c>
      <c r="Y976" t="s">
        <v>49</v>
      </c>
      <c r="Z976" t="s">
        <v>76</v>
      </c>
      <c r="AA976" t="s">
        <v>112</v>
      </c>
      <c r="AB976">
        <v>12</v>
      </c>
      <c r="AC976" t="s">
        <v>113</v>
      </c>
      <c r="AD976" t="s">
        <v>158</v>
      </c>
      <c r="AE976" t="s">
        <v>43</v>
      </c>
      <c r="AF976" t="s">
        <v>47</v>
      </c>
      <c r="AG976" t="str">
        <f t="shared" si="16"/>
        <v>CC 12x</v>
      </c>
      <c r="AH976" t="str">
        <f>IF(AND(SUMIF(E:E,E976,I:I)&gt;=400000,Q976="B2G"),"n","")</f>
        <v/>
      </c>
    </row>
    <row r="977" spans="1:34">
      <c r="A977">
        <v>2026</v>
      </c>
      <c r="B977">
        <v>2</v>
      </c>
      <c r="C977" s="83">
        <v>131750765592</v>
      </c>
      <c r="D977" t="s">
        <v>998</v>
      </c>
      <c r="E977">
        <v>55329087499</v>
      </c>
      <c r="F977">
        <v>328419</v>
      </c>
      <c r="G977">
        <v>51943033697</v>
      </c>
      <c r="H977" t="s">
        <v>35</v>
      </c>
      <c r="I977" s="36">
        <v>6100.65</v>
      </c>
      <c r="J977" s="36">
        <v>6100.65</v>
      </c>
      <c r="K977" s="85">
        <v>0</v>
      </c>
      <c r="L977" s="36">
        <v>508.38749999999999</v>
      </c>
      <c r="M977" s="36">
        <v>0</v>
      </c>
      <c r="N977" s="36">
        <v>333.1590625</v>
      </c>
      <c r="O977" s="36">
        <v>175.22749999999999</v>
      </c>
      <c r="P977" t="s">
        <v>137</v>
      </c>
      <c r="Q977" t="s">
        <v>111</v>
      </c>
      <c r="R977" t="s">
        <v>111</v>
      </c>
      <c r="S977" s="1">
        <v>46072</v>
      </c>
      <c r="T977" s="1">
        <v>46072</v>
      </c>
      <c r="U977" s="1">
        <v>46070</v>
      </c>
      <c r="V977" s="1">
        <v>46435</v>
      </c>
      <c r="W977" t="s">
        <v>38</v>
      </c>
      <c r="X977">
        <v>12</v>
      </c>
      <c r="Y977" t="s">
        <v>49</v>
      </c>
      <c r="Z977" t="s">
        <v>76</v>
      </c>
      <c r="AA977" t="s">
        <v>112</v>
      </c>
      <c r="AB977">
        <v>12</v>
      </c>
      <c r="AC977" t="s">
        <v>113</v>
      </c>
      <c r="AD977" t="s">
        <v>125</v>
      </c>
      <c r="AE977" t="s">
        <v>43</v>
      </c>
      <c r="AF977" t="s">
        <v>47</v>
      </c>
      <c r="AG977" t="str">
        <f t="shared" si="16"/>
        <v>CC 12x</v>
      </c>
      <c r="AH977" t="str">
        <f>IF(AND(SUMIF(E:E,E977,I:I)&gt;=400000,Q977="B2G"),"n","")</f>
        <v/>
      </c>
    </row>
    <row r="978" spans="1:34">
      <c r="A978">
        <v>2026</v>
      </c>
      <c r="B978">
        <v>2</v>
      </c>
      <c r="C978" s="83">
        <v>131756657269</v>
      </c>
      <c r="D978" t="s">
        <v>999</v>
      </c>
      <c r="E978">
        <v>55381286063</v>
      </c>
      <c r="F978">
        <v>635861</v>
      </c>
      <c r="G978">
        <v>50649257031</v>
      </c>
      <c r="H978" t="s">
        <v>35</v>
      </c>
      <c r="I978" s="36">
        <v>2442.84</v>
      </c>
      <c r="J978" s="36">
        <v>2442.9</v>
      </c>
      <c r="K978" s="85">
        <v>0</v>
      </c>
      <c r="L978" s="36">
        <v>203.57499999999999</v>
      </c>
      <c r="M978" s="36">
        <v>203.57499999999999</v>
      </c>
      <c r="N978" s="36">
        <v>0</v>
      </c>
      <c r="O978" s="36">
        <v>0</v>
      </c>
      <c r="P978" t="s">
        <v>506</v>
      </c>
      <c r="Q978" t="s">
        <v>300</v>
      </c>
      <c r="R978" t="s">
        <v>300</v>
      </c>
      <c r="S978" s="1">
        <v>46055</v>
      </c>
      <c r="T978" s="1">
        <v>46055</v>
      </c>
      <c r="U978" s="1"/>
      <c r="V978" s="1">
        <v>46420</v>
      </c>
      <c r="W978" t="s">
        <v>38</v>
      </c>
      <c r="X978">
        <v>12</v>
      </c>
      <c r="Y978" t="s">
        <v>49</v>
      </c>
      <c r="AA978" t="s">
        <v>112</v>
      </c>
      <c r="AB978">
        <v>12</v>
      </c>
      <c r="AC978" t="s">
        <v>301</v>
      </c>
      <c r="AD978" t="s">
        <v>140</v>
      </c>
      <c r="AE978" t="s">
        <v>46</v>
      </c>
      <c r="AF978" t="s">
        <v>119</v>
      </c>
      <c r="AG978" t="str">
        <f t="shared" si="16"/>
        <v>CC 12x</v>
      </c>
      <c r="AH978" t="str">
        <f>IF(AND(SUMIF(E:E,E978,I:I)&gt;=400000,Q978="B2G"),"n","")</f>
        <v/>
      </c>
    </row>
    <row r="979" spans="1:34">
      <c r="A979">
        <v>2026</v>
      </c>
      <c r="B979">
        <v>2</v>
      </c>
      <c r="C979" s="83">
        <v>132721799977</v>
      </c>
      <c r="D979" t="s">
        <v>1000</v>
      </c>
      <c r="E979">
        <v>56503214756</v>
      </c>
      <c r="F979">
        <v>636111</v>
      </c>
      <c r="G979">
        <v>51829726063</v>
      </c>
      <c r="H979" t="s">
        <v>35</v>
      </c>
      <c r="I979" s="36">
        <v>2874</v>
      </c>
      <c r="J979" s="36">
        <v>2874</v>
      </c>
      <c r="K979" s="85">
        <v>0</v>
      </c>
      <c r="L979" s="36">
        <v>239.5</v>
      </c>
      <c r="M979" s="36">
        <v>239.5</v>
      </c>
      <c r="N979" s="36">
        <v>0</v>
      </c>
      <c r="O979" s="36">
        <v>0</v>
      </c>
      <c r="P979" t="s">
        <v>506</v>
      </c>
      <c r="Q979" t="s">
        <v>300</v>
      </c>
      <c r="R979" t="s">
        <v>300</v>
      </c>
      <c r="S979" s="1">
        <v>46070</v>
      </c>
      <c r="T979" s="1">
        <v>46070</v>
      </c>
      <c r="U979" s="1"/>
      <c r="V979" s="1">
        <v>46435</v>
      </c>
      <c r="W979" t="s">
        <v>38</v>
      </c>
      <c r="X979">
        <v>12</v>
      </c>
      <c r="Y979" t="s">
        <v>49</v>
      </c>
      <c r="AA979" t="s">
        <v>122</v>
      </c>
      <c r="AB979">
        <v>12</v>
      </c>
      <c r="AC979" t="s">
        <v>301</v>
      </c>
      <c r="AD979" t="s">
        <v>140</v>
      </c>
      <c r="AE979" t="s">
        <v>46</v>
      </c>
      <c r="AF979" t="s">
        <v>119</v>
      </c>
      <c r="AG979" t="str">
        <f t="shared" si="16"/>
        <v>Recorrente</v>
      </c>
      <c r="AH979" t="str">
        <f>IF(AND(SUMIF(E:E,E979,I:I)&gt;=400000,Q979="B2G"),"n","")</f>
        <v/>
      </c>
    </row>
    <row r="980" spans="1:34">
      <c r="A980">
        <v>2026</v>
      </c>
      <c r="B980">
        <v>2</v>
      </c>
      <c r="C980" s="83">
        <v>133280122792</v>
      </c>
      <c r="D980" t="s">
        <v>1001</v>
      </c>
      <c r="E980">
        <v>53646850405</v>
      </c>
      <c r="F980">
        <v>627055</v>
      </c>
      <c r="G980">
        <v>52162001067</v>
      </c>
      <c r="H980" t="s">
        <v>35</v>
      </c>
      <c r="I980" s="36">
        <v>4638.6000000000004</v>
      </c>
      <c r="J980" s="36">
        <v>4638.6000000000004</v>
      </c>
      <c r="K980" s="85">
        <v>0</v>
      </c>
      <c r="L980" s="36">
        <v>386.55</v>
      </c>
      <c r="M980" s="36">
        <v>0</v>
      </c>
      <c r="N980" s="36">
        <v>17.43</v>
      </c>
      <c r="O980" s="36">
        <v>369.12</v>
      </c>
      <c r="P980" t="s">
        <v>137</v>
      </c>
      <c r="Q980" t="s">
        <v>111</v>
      </c>
      <c r="R980" t="s">
        <v>111</v>
      </c>
      <c r="S980" s="1">
        <v>46076</v>
      </c>
      <c r="T980" s="1">
        <v>46076</v>
      </c>
      <c r="U980" s="1">
        <v>46081</v>
      </c>
      <c r="V980" s="1">
        <v>46446</v>
      </c>
      <c r="W980" t="s">
        <v>38</v>
      </c>
      <c r="X980">
        <v>12</v>
      </c>
      <c r="Y980" t="s">
        <v>49</v>
      </c>
      <c r="Z980" t="s">
        <v>81</v>
      </c>
      <c r="AA980" t="s">
        <v>122</v>
      </c>
      <c r="AB980">
        <v>12</v>
      </c>
      <c r="AC980" t="s">
        <v>113</v>
      </c>
      <c r="AD980" t="s">
        <v>163</v>
      </c>
      <c r="AE980" t="s">
        <v>43</v>
      </c>
      <c r="AF980" t="s">
        <v>96</v>
      </c>
      <c r="AG980" t="str">
        <f t="shared" si="16"/>
        <v>Recorrente</v>
      </c>
      <c r="AH980" t="str">
        <f>IF(AND(SUMIF(E:E,E980,I:I)&gt;=400000,Q980="B2G"),"n","")</f>
        <v/>
      </c>
    </row>
    <row r="981" spans="1:34">
      <c r="A981">
        <v>2026</v>
      </c>
      <c r="B981">
        <v>2</v>
      </c>
      <c r="C981" s="83">
        <v>133553521059</v>
      </c>
      <c r="D981" t="s">
        <v>1002</v>
      </c>
      <c r="E981">
        <v>56012967460</v>
      </c>
      <c r="F981">
        <v>636057</v>
      </c>
      <c r="G981">
        <v>51425133338</v>
      </c>
      <c r="H981" t="s">
        <v>35</v>
      </c>
      <c r="I981" s="36">
        <v>10169.64</v>
      </c>
      <c r="J981" s="36">
        <v>10169.64</v>
      </c>
      <c r="K981" s="85">
        <v>0</v>
      </c>
      <c r="L981" s="36">
        <v>847.47</v>
      </c>
      <c r="M981" s="36">
        <v>0</v>
      </c>
      <c r="N981" s="36">
        <v>157.06</v>
      </c>
      <c r="O981" s="36">
        <v>690.41</v>
      </c>
      <c r="P981" t="s">
        <v>367</v>
      </c>
      <c r="Q981" t="s">
        <v>191</v>
      </c>
      <c r="R981" t="s">
        <v>191</v>
      </c>
      <c r="S981" s="1">
        <v>46064</v>
      </c>
      <c r="T981" s="1">
        <v>46064</v>
      </c>
      <c r="V981" s="1">
        <v>46429</v>
      </c>
      <c r="W981" t="s">
        <v>38</v>
      </c>
      <c r="Y981" t="s">
        <v>49</v>
      </c>
      <c r="AA981" t="s">
        <v>122</v>
      </c>
      <c r="AB981">
        <v>12</v>
      </c>
      <c r="AC981" t="s">
        <v>192</v>
      </c>
      <c r="AD981" t="s">
        <v>146</v>
      </c>
      <c r="AE981" t="s">
        <v>135</v>
      </c>
      <c r="AF981" t="s">
        <v>96</v>
      </c>
      <c r="AG981" t="str">
        <f t="shared" si="16"/>
        <v>Recorrente</v>
      </c>
      <c r="AH981" t="str">
        <f>IF(AND(SUMIF(E:E,E981,I:I)&gt;=400000,Q981="B2G"),"n","")</f>
        <v/>
      </c>
    </row>
    <row r="982" spans="1:34">
      <c r="A982">
        <v>2026</v>
      </c>
      <c r="B982">
        <v>2</v>
      </c>
      <c r="C982" s="83">
        <v>133574269037</v>
      </c>
      <c r="D982" t="s">
        <v>1003</v>
      </c>
      <c r="E982">
        <v>53679666319</v>
      </c>
      <c r="F982">
        <v>505393</v>
      </c>
      <c r="G982">
        <v>49944658704</v>
      </c>
      <c r="H982" t="s">
        <v>35</v>
      </c>
      <c r="I982" s="36">
        <v>10075.799999999999</v>
      </c>
      <c r="J982" s="36">
        <v>10075.799999999999</v>
      </c>
      <c r="K982" s="85">
        <v>0</v>
      </c>
      <c r="L982" s="36">
        <v>839.65</v>
      </c>
      <c r="M982" s="36">
        <v>0</v>
      </c>
      <c r="N982" s="36">
        <v>183.67</v>
      </c>
      <c r="O982" s="36">
        <v>655.98</v>
      </c>
      <c r="P982" t="s">
        <v>127</v>
      </c>
      <c r="Q982" t="s">
        <v>111</v>
      </c>
      <c r="R982" t="s">
        <v>111</v>
      </c>
      <c r="S982" s="1">
        <v>46050</v>
      </c>
      <c r="T982" s="1">
        <v>46054</v>
      </c>
      <c r="U982" s="1">
        <v>46077</v>
      </c>
      <c r="V982" s="1">
        <v>46442</v>
      </c>
      <c r="W982" t="s">
        <v>38</v>
      </c>
      <c r="X982">
        <v>12</v>
      </c>
      <c r="Y982" t="s">
        <v>49</v>
      </c>
      <c r="Z982" t="s">
        <v>81</v>
      </c>
      <c r="AA982" t="s">
        <v>112</v>
      </c>
      <c r="AB982">
        <v>12</v>
      </c>
      <c r="AC982" t="s">
        <v>113</v>
      </c>
      <c r="AD982" t="s">
        <v>154</v>
      </c>
      <c r="AE982" t="s">
        <v>46</v>
      </c>
      <c r="AF982" t="s">
        <v>47</v>
      </c>
      <c r="AG982" t="str">
        <f t="shared" si="16"/>
        <v>CC 12x</v>
      </c>
      <c r="AH982" t="str">
        <f>IF(AND(SUMIF(E:E,E982,I:I)&gt;=400000,Q982="B2G"),"n","")</f>
        <v/>
      </c>
    </row>
    <row r="983" spans="1:34">
      <c r="A983">
        <v>2026</v>
      </c>
      <c r="B983">
        <v>2</v>
      </c>
      <c r="C983" s="83">
        <v>133970397266</v>
      </c>
      <c r="D983" t="s">
        <v>1004</v>
      </c>
      <c r="E983">
        <v>53353683858</v>
      </c>
      <c r="F983">
        <v>625351</v>
      </c>
      <c r="G983">
        <v>48671101262</v>
      </c>
      <c r="H983" t="s">
        <v>35</v>
      </c>
      <c r="I983" s="36">
        <v>5630.16</v>
      </c>
      <c r="J983" s="36">
        <v>5630.16</v>
      </c>
      <c r="K983" s="85">
        <v>0</v>
      </c>
      <c r="L983" s="36">
        <v>469.18</v>
      </c>
      <c r="M983" s="36">
        <v>0</v>
      </c>
      <c r="N983" s="36">
        <v>36.340000000000003</v>
      </c>
      <c r="O983" s="36">
        <v>432.84</v>
      </c>
      <c r="P983" t="s">
        <v>133</v>
      </c>
      <c r="Q983" t="s">
        <v>111</v>
      </c>
      <c r="R983" t="s">
        <v>111</v>
      </c>
      <c r="S983" s="1">
        <v>46031</v>
      </c>
      <c r="T983" s="1">
        <v>46054</v>
      </c>
      <c r="U983" s="1">
        <v>46031</v>
      </c>
      <c r="V983" s="1">
        <v>46418</v>
      </c>
      <c r="W983" t="s">
        <v>38</v>
      </c>
      <c r="X983">
        <v>12</v>
      </c>
      <c r="Y983" t="s">
        <v>49</v>
      </c>
      <c r="Z983" t="s">
        <v>76</v>
      </c>
      <c r="AA983" t="s">
        <v>112</v>
      </c>
      <c r="AB983">
        <v>12</v>
      </c>
      <c r="AC983" t="s">
        <v>113</v>
      </c>
      <c r="AD983" t="s">
        <v>134</v>
      </c>
      <c r="AE983" t="s">
        <v>135</v>
      </c>
      <c r="AF983" t="s">
        <v>44</v>
      </c>
      <c r="AG983" t="str">
        <f t="shared" si="16"/>
        <v>CC 12x</v>
      </c>
      <c r="AH983" t="str">
        <f>IF(AND(SUMIF(E:E,E983,I:I)&gt;=400000,Q983="B2G"),"n","")</f>
        <v/>
      </c>
    </row>
    <row r="984" spans="1:34">
      <c r="A984">
        <v>2026</v>
      </c>
      <c r="B984">
        <v>2</v>
      </c>
      <c r="C984" s="83">
        <v>134870869930</v>
      </c>
      <c r="D984" t="s">
        <v>1005</v>
      </c>
      <c r="E984">
        <v>50558796669</v>
      </c>
      <c r="F984">
        <v>327901</v>
      </c>
      <c r="G984">
        <v>47234988592</v>
      </c>
      <c r="H984" t="s">
        <v>35</v>
      </c>
      <c r="I984" s="36">
        <v>14030.88</v>
      </c>
      <c r="J984" s="36">
        <v>7015.44</v>
      </c>
      <c r="K984" s="85">
        <v>7015.44</v>
      </c>
      <c r="L984" s="36">
        <v>584.62</v>
      </c>
      <c r="M984" s="36">
        <v>0</v>
      </c>
      <c r="N984" s="36">
        <v>149.73500000000001</v>
      </c>
      <c r="O984" s="36">
        <v>434.89</v>
      </c>
      <c r="P984" t="s">
        <v>110</v>
      </c>
      <c r="Q984" t="s">
        <v>111</v>
      </c>
      <c r="R984" t="s">
        <v>111</v>
      </c>
      <c r="S984" s="1">
        <v>46028</v>
      </c>
      <c r="T984" s="1">
        <v>46054</v>
      </c>
      <c r="U984" s="1">
        <v>46033</v>
      </c>
      <c r="V984" s="1">
        <v>46763</v>
      </c>
      <c r="W984" t="s">
        <v>56</v>
      </c>
      <c r="X984">
        <v>24</v>
      </c>
      <c r="Y984" t="s">
        <v>49</v>
      </c>
      <c r="Z984" t="s">
        <v>81</v>
      </c>
      <c r="AA984" t="s">
        <v>122</v>
      </c>
      <c r="AB984">
        <v>24</v>
      </c>
      <c r="AC984" t="s">
        <v>113</v>
      </c>
      <c r="AD984" t="s">
        <v>134</v>
      </c>
      <c r="AE984" t="s">
        <v>135</v>
      </c>
      <c r="AF984" t="s">
        <v>44</v>
      </c>
      <c r="AG984" t="str">
        <f t="shared" si="16"/>
        <v>Recorrente</v>
      </c>
      <c r="AH984" t="str">
        <f>IF(AND(SUMIF(E:E,E984,I:I)&gt;=400000,Q984="B2G"),"n","")</f>
        <v/>
      </c>
    </row>
    <row r="985" spans="1:34">
      <c r="A985">
        <v>2026</v>
      </c>
      <c r="B985">
        <v>2</v>
      </c>
      <c r="C985" s="83">
        <v>135915368021</v>
      </c>
      <c r="D985" t="s">
        <v>1006</v>
      </c>
      <c r="E985">
        <v>53825824512</v>
      </c>
      <c r="F985">
        <v>327937</v>
      </c>
      <c r="G985">
        <v>49568216982</v>
      </c>
      <c r="H985" t="s">
        <v>35</v>
      </c>
      <c r="I985" s="36">
        <v>7015.44</v>
      </c>
      <c r="J985" s="36">
        <v>7015.44</v>
      </c>
      <c r="K985" s="85">
        <v>0</v>
      </c>
      <c r="L985" s="36">
        <v>584.62</v>
      </c>
      <c r="M985" s="36">
        <v>0</v>
      </c>
      <c r="N985" s="36">
        <v>143.375</v>
      </c>
      <c r="O985" s="36">
        <v>441.25</v>
      </c>
      <c r="P985" t="s">
        <v>133</v>
      </c>
      <c r="Q985" t="s">
        <v>111</v>
      </c>
      <c r="R985" t="s">
        <v>111</v>
      </c>
      <c r="S985" s="1">
        <v>46041</v>
      </c>
      <c r="T985" s="1">
        <v>46054</v>
      </c>
      <c r="U985" s="1">
        <v>46039</v>
      </c>
      <c r="V985" s="1">
        <v>46404</v>
      </c>
      <c r="W985" t="s">
        <v>38</v>
      </c>
      <c r="X985">
        <v>12</v>
      </c>
      <c r="Y985" t="s">
        <v>49</v>
      </c>
      <c r="Z985" t="s">
        <v>81</v>
      </c>
      <c r="AA985" t="s">
        <v>122</v>
      </c>
      <c r="AB985">
        <v>12</v>
      </c>
      <c r="AC985" t="s">
        <v>113</v>
      </c>
      <c r="AD985" t="s">
        <v>134</v>
      </c>
      <c r="AE985" t="s">
        <v>135</v>
      </c>
      <c r="AF985" t="s">
        <v>44</v>
      </c>
      <c r="AG985" t="str">
        <f t="shared" si="16"/>
        <v>Recorrente</v>
      </c>
      <c r="AH985" t="str">
        <f>IF(AND(SUMIF(E:E,E985,I:I)&gt;=400000,Q985="B2G"),"n","")</f>
        <v/>
      </c>
    </row>
    <row r="986" spans="1:34">
      <c r="A986">
        <v>2026</v>
      </c>
      <c r="B986">
        <v>2</v>
      </c>
      <c r="C986" s="83">
        <v>136170731139</v>
      </c>
      <c r="D986" t="s">
        <v>1007</v>
      </c>
      <c r="E986">
        <v>57027031824</v>
      </c>
      <c r="F986">
        <v>630926</v>
      </c>
      <c r="G986">
        <v>52283178155</v>
      </c>
      <c r="H986" t="s">
        <v>35</v>
      </c>
      <c r="I986" s="36">
        <v>1462.32</v>
      </c>
      <c r="J986" s="36">
        <v>3842.76</v>
      </c>
      <c r="K986" s="85">
        <v>0</v>
      </c>
      <c r="L986" s="36">
        <v>320.23</v>
      </c>
      <c r="M986" s="36">
        <v>0</v>
      </c>
      <c r="N986" s="36">
        <v>320.23</v>
      </c>
      <c r="O986" s="36">
        <v>0</v>
      </c>
      <c r="P986" t="s">
        <v>469</v>
      </c>
      <c r="Q986" t="s">
        <v>191</v>
      </c>
      <c r="R986" t="s">
        <v>191</v>
      </c>
      <c r="S986" s="1">
        <v>46079</v>
      </c>
      <c r="T986" s="1">
        <v>46079</v>
      </c>
      <c r="U986" s="1">
        <v>46217</v>
      </c>
      <c r="V986" s="1">
        <v>46217</v>
      </c>
      <c r="W986" t="s">
        <v>38</v>
      </c>
      <c r="X986">
        <v>5</v>
      </c>
      <c r="Y986" t="s">
        <v>49</v>
      </c>
      <c r="Z986" t="s">
        <v>324</v>
      </c>
      <c r="AA986" t="s">
        <v>122</v>
      </c>
      <c r="AB986">
        <v>4</v>
      </c>
      <c r="AC986" t="s">
        <v>192</v>
      </c>
      <c r="AD986" t="s">
        <v>134</v>
      </c>
      <c r="AE986" t="s">
        <v>135</v>
      </c>
      <c r="AF986" t="s">
        <v>44</v>
      </c>
      <c r="AG986" t="str">
        <f t="shared" si="16"/>
        <v>Recorrente</v>
      </c>
      <c r="AH986" t="str">
        <f>IF(AND(SUMIF(E:E,E986,I:I)&gt;=400000,Q986="B2G"),"n","")</f>
        <v/>
      </c>
    </row>
    <row r="987" spans="1:34">
      <c r="A987">
        <v>2026</v>
      </c>
      <c r="B987">
        <v>2</v>
      </c>
      <c r="C987" s="83">
        <v>136487196847</v>
      </c>
      <c r="D987" t="s">
        <v>1008</v>
      </c>
      <c r="E987">
        <v>56678263424</v>
      </c>
      <c r="F987">
        <v>626732</v>
      </c>
      <c r="G987">
        <v>52284862043</v>
      </c>
      <c r="H987" t="s">
        <v>35</v>
      </c>
      <c r="I987" s="36">
        <v>4919.6400000000003</v>
      </c>
      <c r="J987" s="36">
        <v>4919.6400000000003</v>
      </c>
      <c r="K987" s="85">
        <v>0</v>
      </c>
      <c r="L987" s="36">
        <v>409.97</v>
      </c>
      <c r="M987" s="36">
        <v>0</v>
      </c>
      <c r="N987" s="36">
        <v>24.92</v>
      </c>
      <c r="O987" s="36">
        <v>385.05</v>
      </c>
      <c r="P987" t="s">
        <v>162</v>
      </c>
      <c r="Q987" t="s">
        <v>111</v>
      </c>
      <c r="R987" t="s">
        <v>111</v>
      </c>
      <c r="S987" s="1">
        <v>46078</v>
      </c>
      <c r="T987" s="1">
        <v>46078</v>
      </c>
      <c r="U987" s="1">
        <v>46072</v>
      </c>
      <c r="V987" s="1">
        <v>46443</v>
      </c>
      <c r="W987" t="s">
        <v>38</v>
      </c>
      <c r="X987">
        <v>12</v>
      </c>
      <c r="Y987" t="s">
        <v>49</v>
      </c>
      <c r="Z987" t="s">
        <v>81</v>
      </c>
      <c r="AA987" t="s">
        <v>122</v>
      </c>
      <c r="AB987">
        <v>12</v>
      </c>
      <c r="AC987" t="s">
        <v>113</v>
      </c>
      <c r="AD987" t="s">
        <v>85</v>
      </c>
      <c r="AE987" t="s">
        <v>46</v>
      </c>
      <c r="AF987" t="s">
        <v>44</v>
      </c>
      <c r="AG987" t="str">
        <f t="shared" si="16"/>
        <v>Recorrente</v>
      </c>
      <c r="AH987" t="str">
        <f>IF(AND(SUMIF(E:E,E987,I:I)&gt;=400000,Q987="B2G"),"n","")</f>
        <v/>
      </c>
    </row>
    <row r="988" spans="1:34">
      <c r="A988">
        <v>2026</v>
      </c>
      <c r="B988">
        <v>2</v>
      </c>
      <c r="C988" s="83">
        <v>137599694118</v>
      </c>
      <c r="D988" t="s">
        <v>1009</v>
      </c>
      <c r="E988">
        <v>55952203033</v>
      </c>
      <c r="F988">
        <v>636016</v>
      </c>
      <c r="G988">
        <v>51229174572</v>
      </c>
      <c r="H988" t="s">
        <v>35</v>
      </c>
      <c r="I988" s="36">
        <v>1724.4</v>
      </c>
      <c r="J988" s="36">
        <v>1724.4</v>
      </c>
      <c r="K988" s="85">
        <v>2.2737400000000001E-13</v>
      </c>
      <c r="L988" s="36">
        <v>143.69999999999999</v>
      </c>
      <c r="M988" s="36">
        <v>143.69999999999999</v>
      </c>
      <c r="N988" s="36">
        <v>0</v>
      </c>
      <c r="O988" s="36">
        <v>0</v>
      </c>
      <c r="P988" t="s">
        <v>829</v>
      </c>
      <c r="Q988" t="s">
        <v>300</v>
      </c>
      <c r="R988" t="s">
        <v>80</v>
      </c>
      <c r="S988" s="1">
        <v>46063</v>
      </c>
      <c r="T988" s="1">
        <v>46063</v>
      </c>
      <c r="U988" s="1"/>
      <c r="V988" s="1">
        <v>46428</v>
      </c>
      <c r="W988" t="s">
        <v>38</v>
      </c>
      <c r="X988">
        <v>12</v>
      </c>
      <c r="Y988" t="s">
        <v>49</v>
      </c>
      <c r="AA988" t="s">
        <v>112</v>
      </c>
      <c r="AB988">
        <v>12</v>
      </c>
      <c r="AC988" t="s">
        <v>495</v>
      </c>
      <c r="AD988" t="s">
        <v>140</v>
      </c>
      <c r="AE988" t="s">
        <v>46</v>
      </c>
      <c r="AF988" t="s">
        <v>119</v>
      </c>
      <c r="AG988" t="str">
        <f t="shared" si="16"/>
        <v>CC 12x</v>
      </c>
      <c r="AH988" t="str">
        <f>IF(AND(SUMIF(E:E,E988,I:I)&gt;=400000,Q988="B2G"),"n","")</f>
        <v/>
      </c>
    </row>
    <row r="989" spans="1:34">
      <c r="A989">
        <v>2026</v>
      </c>
      <c r="B989">
        <v>2</v>
      </c>
      <c r="C989" s="83">
        <v>137599694118</v>
      </c>
      <c r="D989" t="s">
        <v>1009</v>
      </c>
      <c r="E989">
        <v>56583975250</v>
      </c>
      <c r="F989">
        <v>636016</v>
      </c>
      <c r="G989">
        <v>51905592344</v>
      </c>
      <c r="H989" t="s">
        <v>35</v>
      </c>
      <c r="I989" s="36">
        <v>2808.84</v>
      </c>
      <c r="J989" s="36">
        <v>2882.04</v>
      </c>
      <c r="K989" s="85">
        <v>0</v>
      </c>
      <c r="L989" s="36">
        <v>240.17</v>
      </c>
      <c r="M989" s="36">
        <v>0</v>
      </c>
      <c r="N989" s="36">
        <v>240.17</v>
      </c>
      <c r="O989" s="36">
        <v>0</v>
      </c>
      <c r="P989" t="s">
        <v>804</v>
      </c>
      <c r="Q989" t="s">
        <v>191</v>
      </c>
      <c r="R989" t="s">
        <v>191</v>
      </c>
      <c r="S989" s="1">
        <v>46072</v>
      </c>
      <c r="T989" s="1">
        <v>46072</v>
      </c>
      <c r="U989" s="1">
        <v>46428</v>
      </c>
      <c r="V989" s="1">
        <v>46428</v>
      </c>
      <c r="W989" t="s">
        <v>38</v>
      </c>
      <c r="X989">
        <v>12</v>
      </c>
      <c r="Y989" t="s">
        <v>49</v>
      </c>
      <c r="Z989" t="s">
        <v>324</v>
      </c>
      <c r="AA989" t="s">
        <v>112</v>
      </c>
      <c r="AB989">
        <v>12</v>
      </c>
      <c r="AC989" t="s">
        <v>192</v>
      </c>
      <c r="AD989" t="s">
        <v>85</v>
      </c>
      <c r="AE989" t="s">
        <v>46</v>
      </c>
      <c r="AF989" t="s">
        <v>44</v>
      </c>
      <c r="AG989" t="str">
        <f t="shared" si="16"/>
        <v>CC 12x</v>
      </c>
      <c r="AH989" t="str">
        <f>IF(AND(SUMIF(E:E,E989,I:I)&gt;=400000,Q989="B2G"),"n","")</f>
        <v/>
      </c>
    </row>
    <row r="990" spans="1:34">
      <c r="A990">
        <v>2026</v>
      </c>
      <c r="B990">
        <v>2</v>
      </c>
      <c r="C990" s="83">
        <v>137630005007</v>
      </c>
      <c r="D990" t="s">
        <v>1010</v>
      </c>
      <c r="E990">
        <v>57200210813</v>
      </c>
      <c r="F990">
        <v>636325</v>
      </c>
      <c r="G990">
        <v>52460867619</v>
      </c>
      <c r="H990" t="s">
        <v>35</v>
      </c>
      <c r="I990" s="36">
        <v>2586.6</v>
      </c>
      <c r="J990" s="36">
        <v>2586.6</v>
      </c>
      <c r="K990" s="85">
        <v>0</v>
      </c>
      <c r="L990" s="36">
        <v>215.55</v>
      </c>
      <c r="M990" s="36">
        <v>215.55</v>
      </c>
      <c r="N990" s="36">
        <v>0</v>
      </c>
      <c r="O990" s="36">
        <v>0</v>
      </c>
      <c r="P990" t="s">
        <v>506</v>
      </c>
      <c r="Q990" t="s">
        <v>300</v>
      </c>
      <c r="R990" t="s">
        <v>300</v>
      </c>
      <c r="S990" s="1">
        <v>46080</v>
      </c>
      <c r="T990" s="1">
        <v>46080</v>
      </c>
      <c r="V990" s="1">
        <v>46445</v>
      </c>
      <c r="W990" t="s">
        <v>38</v>
      </c>
      <c r="X990">
        <v>12</v>
      </c>
      <c r="Y990" t="s">
        <v>49</v>
      </c>
      <c r="AA990" t="s">
        <v>112</v>
      </c>
      <c r="AB990">
        <v>12</v>
      </c>
      <c r="AC990" t="s">
        <v>301</v>
      </c>
      <c r="AD990" t="s">
        <v>118</v>
      </c>
      <c r="AE990" t="s">
        <v>43</v>
      </c>
      <c r="AF990" t="s">
        <v>119</v>
      </c>
      <c r="AG990" t="str">
        <f t="shared" si="16"/>
        <v>CC 12x</v>
      </c>
      <c r="AH990" t="str">
        <f>IF(AND(SUMIF(E:E,E990,I:I)&gt;=400000,Q990="B2G"),"n","")</f>
        <v/>
      </c>
    </row>
    <row r="991" spans="1:34">
      <c r="A991">
        <v>2026</v>
      </c>
      <c r="B991">
        <v>2</v>
      </c>
      <c r="C991" s="83">
        <v>138320614785</v>
      </c>
      <c r="D991" t="s">
        <v>1011</v>
      </c>
      <c r="E991">
        <v>55813649263</v>
      </c>
      <c r="F991">
        <v>270815</v>
      </c>
      <c r="G991">
        <v>50975738208</v>
      </c>
      <c r="H991" t="s">
        <v>35</v>
      </c>
      <c r="I991" s="36">
        <v>905.16</v>
      </c>
      <c r="J991" s="36">
        <v>2053.56</v>
      </c>
      <c r="K991" s="85">
        <v>0</v>
      </c>
      <c r="L991" s="36">
        <v>171.13</v>
      </c>
      <c r="M991" s="36">
        <v>0</v>
      </c>
      <c r="N991" s="36">
        <v>171.13</v>
      </c>
      <c r="O991" s="36">
        <v>0</v>
      </c>
      <c r="P991" t="s">
        <v>323</v>
      </c>
      <c r="Q991" t="s">
        <v>191</v>
      </c>
      <c r="R991" t="s">
        <v>191</v>
      </c>
      <c r="S991" s="1">
        <v>46062</v>
      </c>
      <c r="T991" s="1">
        <v>46062</v>
      </c>
      <c r="U991" s="1">
        <v>46223</v>
      </c>
      <c r="V991" s="1">
        <v>46223</v>
      </c>
      <c r="W991" t="s">
        <v>38</v>
      </c>
      <c r="X991">
        <v>5</v>
      </c>
      <c r="Y991" t="s">
        <v>49</v>
      </c>
      <c r="Z991" t="s">
        <v>324</v>
      </c>
      <c r="AA991" t="s">
        <v>122</v>
      </c>
      <c r="AB991">
        <v>5</v>
      </c>
      <c r="AC991" t="s">
        <v>192</v>
      </c>
      <c r="AD991" t="s">
        <v>84</v>
      </c>
      <c r="AE991" t="s">
        <v>43</v>
      </c>
      <c r="AF991" t="s">
        <v>44</v>
      </c>
      <c r="AG991" t="str">
        <f t="shared" si="16"/>
        <v>Recorrente</v>
      </c>
      <c r="AH991" t="str">
        <f>IF(AND(SUMIF(E:E,E991,I:I)&gt;=400000,Q991="B2G"),"n","")</f>
        <v/>
      </c>
    </row>
    <row r="992" spans="1:34">
      <c r="A992">
        <v>2026</v>
      </c>
      <c r="B992">
        <v>2</v>
      </c>
      <c r="C992" s="83">
        <v>139054666391</v>
      </c>
      <c r="D992" t="s">
        <v>1012</v>
      </c>
      <c r="E992">
        <v>56497129644</v>
      </c>
      <c r="F992">
        <v>636109</v>
      </c>
      <c r="G992">
        <v>51735998725</v>
      </c>
      <c r="H992" t="s">
        <v>35</v>
      </c>
      <c r="I992" s="36">
        <v>3259.2</v>
      </c>
      <c r="J992" s="36">
        <v>3259.2</v>
      </c>
      <c r="K992" s="85">
        <v>0</v>
      </c>
      <c r="L992" s="36">
        <v>271.60000000000002</v>
      </c>
      <c r="M992" s="36">
        <v>271.60000000000002</v>
      </c>
      <c r="N992" s="36">
        <v>0</v>
      </c>
      <c r="O992" s="36">
        <v>0</v>
      </c>
      <c r="P992" t="s">
        <v>506</v>
      </c>
      <c r="Q992" t="s">
        <v>300</v>
      </c>
      <c r="R992" t="s">
        <v>300</v>
      </c>
      <c r="S992" s="1">
        <v>46070</v>
      </c>
      <c r="T992" s="1">
        <v>46070</v>
      </c>
      <c r="V992" s="1">
        <v>46435</v>
      </c>
      <c r="W992" t="s">
        <v>38</v>
      </c>
      <c r="X992">
        <v>12</v>
      </c>
      <c r="Y992" t="s">
        <v>49</v>
      </c>
      <c r="AA992" t="s">
        <v>122</v>
      </c>
      <c r="AB992">
        <v>12</v>
      </c>
      <c r="AC992" t="s">
        <v>301</v>
      </c>
      <c r="AD992" t="s">
        <v>160</v>
      </c>
      <c r="AE992" t="s">
        <v>43</v>
      </c>
      <c r="AF992" t="s">
        <v>44</v>
      </c>
      <c r="AG992" t="str">
        <f t="shared" si="16"/>
        <v>Recorrente</v>
      </c>
      <c r="AH992" t="str">
        <f>IF(AND(SUMIF(E:E,E992,I:I)&gt;=400000,Q992="B2G"),"n","")</f>
        <v/>
      </c>
    </row>
    <row r="993" spans="1:34">
      <c r="A993">
        <v>2026</v>
      </c>
      <c r="B993">
        <v>2</v>
      </c>
      <c r="C993" s="83">
        <v>139245193834</v>
      </c>
      <c r="D993" t="s">
        <v>1013</v>
      </c>
      <c r="E993">
        <v>52033984127</v>
      </c>
      <c r="F993">
        <v>608081</v>
      </c>
      <c r="G993">
        <v>48380654625</v>
      </c>
      <c r="H993" t="s">
        <v>35</v>
      </c>
      <c r="I993" s="36">
        <v>3912.72</v>
      </c>
      <c r="J993" s="36">
        <v>3912.72</v>
      </c>
      <c r="K993" s="85">
        <v>0</v>
      </c>
      <c r="L993" s="36">
        <v>326.06</v>
      </c>
      <c r="M993" s="36">
        <v>0</v>
      </c>
      <c r="N993" s="36">
        <v>6.57</v>
      </c>
      <c r="O993" s="36">
        <v>319.49</v>
      </c>
      <c r="P993" t="s">
        <v>162</v>
      </c>
      <c r="Q993" t="s">
        <v>111</v>
      </c>
      <c r="R993" t="s">
        <v>111</v>
      </c>
      <c r="S993" s="1">
        <v>46028</v>
      </c>
      <c r="T993" s="1">
        <v>46054</v>
      </c>
      <c r="U993" s="1">
        <v>46048</v>
      </c>
      <c r="V993" s="1">
        <v>46413</v>
      </c>
      <c r="W993" t="s">
        <v>38</v>
      </c>
      <c r="X993">
        <v>12</v>
      </c>
      <c r="Y993" t="s">
        <v>49</v>
      </c>
      <c r="Z993" t="s">
        <v>81</v>
      </c>
      <c r="AA993" t="s">
        <v>117</v>
      </c>
      <c r="AB993">
        <v>1</v>
      </c>
      <c r="AC993" t="s">
        <v>113</v>
      </c>
      <c r="AD993" t="s">
        <v>85</v>
      </c>
      <c r="AE993" t="s">
        <v>46</v>
      </c>
      <c r="AF993" t="s">
        <v>44</v>
      </c>
      <c r="AG993" t="str">
        <f t="shared" si="16"/>
        <v>À Vista</v>
      </c>
      <c r="AH993" t="str">
        <f>IF(AND(SUMIF(E:E,E993,I:I)&gt;=400000,Q993="B2G"),"n","")</f>
        <v/>
      </c>
    </row>
    <row r="994" spans="1:34">
      <c r="A994">
        <v>2026</v>
      </c>
      <c r="B994">
        <v>2</v>
      </c>
      <c r="C994" s="83">
        <v>139910983197</v>
      </c>
      <c r="D994" t="s">
        <v>1014</v>
      </c>
      <c r="E994">
        <v>53246227249</v>
      </c>
      <c r="F994">
        <v>626476</v>
      </c>
      <c r="G994">
        <v>49007699796</v>
      </c>
      <c r="H994" t="s">
        <v>35</v>
      </c>
      <c r="I994" s="36">
        <v>2644.08</v>
      </c>
      <c r="J994" s="36">
        <v>2644.08</v>
      </c>
      <c r="K994" s="85">
        <v>0</v>
      </c>
      <c r="L994" s="36">
        <v>220.34</v>
      </c>
      <c r="M994" s="36">
        <v>0</v>
      </c>
      <c r="N994" s="36">
        <v>0.46</v>
      </c>
      <c r="O994" s="36">
        <v>219.88</v>
      </c>
      <c r="P994" t="s">
        <v>137</v>
      </c>
      <c r="Q994" t="s">
        <v>111</v>
      </c>
      <c r="R994" t="s">
        <v>111</v>
      </c>
      <c r="S994" s="1">
        <v>46036</v>
      </c>
      <c r="T994" s="1">
        <v>46054</v>
      </c>
      <c r="U994" s="1">
        <v>46064</v>
      </c>
      <c r="V994" s="1">
        <v>46429</v>
      </c>
      <c r="W994" t="s">
        <v>38</v>
      </c>
      <c r="X994">
        <v>12</v>
      </c>
      <c r="Y994" t="s">
        <v>49</v>
      </c>
      <c r="Z994" t="s">
        <v>81</v>
      </c>
      <c r="AA994" t="s">
        <v>122</v>
      </c>
      <c r="AB994">
        <v>12</v>
      </c>
      <c r="AC994" t="s">
        <v>113</v>
      </c>
      <c r="AD994" t="s">
        <v>118</v>
      </c>
      <c r="AE994" t="s">
        <v>43</v>
      </c>
      <c r="AF994" t="s">
        <v>119</v>
      </c>
      <c r="AG994" t="str">
        <f t="shared" si="16"/>
        <v>Recorrente</v>
      </c>
      <c r="AH994" t="str">
        <f>IF(AND(SUMIF(E:E,E994,I:I)&gt;=400000,Q994="B2G"),"n","")</f>
        <v/>
      </c>
    </row>
    <row r="995" spans="1:34">
      <c r="A995">
        <v>2026</v>
      </c>
      <c r="B995">
        <v>2</v>
      </c>
      <c r="C995" s="83">
        <v>139971057330</v>
      </c>
      <c r="D995" t="s">
        <v>1015</v>
      </c>
      <c r="E995">
        <v>56917557096</v>
      </c>
      <c r="F995">
        <v>506301</v>
      </c>
      <c r="G995">
        <v>52402060814</v>
      </c>
      <c r="H995" t="s">
        <v>35</v>
      </c>
      <c r="I995" s="36">
        <v>7483.2</v>
      </c>
      <c r="J995" s="36">
        <v>7483.2</v>
      </c>
      <c r="K995" s="85">
        <v>0</v>
      </c>
      <c r="L995" s="36">
        <v>623.6</v>
      </c>
      <c r="M995" s="36">
        <v>0</v>
      </c>
      <c r="N995" s="36">
        <v>69.349999999999994</v>
      </c>
      <c r="O995" s="36">
        <v>554.25</v>
      </c>
      <c r="P995" t="s">
        <v>190</v>
      </c>
      <c r="Q995" t="s">
        <v>111</v>
      </c>
      <c r="R995" t="s">
        <v>111</v>
      </c>
      <c r="S995" s="1">
        <v>46080</v>
      </c>
      <c r="T995" s="1">
        <v>46080</v>
      </c>
      <c r="U995" s="1">
        <v>46080</v>
      </c>
      <c r="V995" s="1">
        <v>46445</v>
      </c>
      <c r="W995" t="s">
        <v>38</v>
      </c>
      <c r="X995">
        <v>12</v>
      </c>
      <c r="Y995" t="s">
        <v>49</v>
      </c>
      <c r="Z995" t="s">
        <v>81</v>
      </c>
      <c r="AA995" t="s">
        <v>122</v>
      </c>
      <c r="AB995">
        <v>12</v>
      </c>
      <c r="AC995" t="s">
        <v>113</v>
      </c>
      <c r="AD995" t="s">
        <v>134</v>
      </c>
      <c r="AE995" t="s">
        <v>135</v>
      </c>
      <c r="AF995" t="s">
        <v>44</v>
      </c>
      <c r="AG995" t="str">
        <f t="shared" si="16"/>
        <v>Recorrente</v>
      </c>
      <c r="AH995" t="str">
        <f>IF(AND(SUMIF(E:E,E995,I:I)&gt;=400000,Q995="B2G"),"n","")</f>
        <v/>
      </c>
    </row>
    <row r="996" spans="1:34">
      <c r="A996">
        <v>2026</v>
      </c>
      <c r="B996">
        <v>2</v>
      </c>
      <c r="C996" s="83">
        <v>140211480478</v>
      </c>
      <c r="D996" t="s">
        <v>1016</v>
      </c>
      <c r="E996">
        <v>56448299582</v>
      </c>
      <c r="F996">
        <v>636108</v>
      </c>
      <c r="G996">
        <v>51567861784</v>
      </c>
      <c r="H996" t="s">
        <v>35</v>
      </c>
      <c r="I996" s="36">
        <v>3308.4</v>
      </c>
      <c r="J996" s="36">
        <v>3308.4</v>
      </c>
      <c r="K996" s="85">
        <v>4.5474699999999999E-13</v>
      </c>
      <c r="L996" s="36">
        <v>275.7</v>
      </c>
      <c r="M996" s="36">
        <v>275.7</v>
      </c>
      <c r="N996" s="36">
        <v>0</v>
      </c>
      <c r="O996" s="36">
        <v>0</v>
      </c>
      <c r="P996" t="s">
        <v>829</v>
      </c>
      <c r="Q996" t="s">
        <v>300</v>
      </c>
      <c r="R996" t="s">
        <v>80</v>
      </c>
      <c r="S996" s="1">
        <v>46069</v>
      </c>
      <c r="T996" s="1">
        <v>46069</v>
      </c>
      <c r="U996" s="1"/>
      <c r="V996" s="1">
        <v>46434</v>
      </c>
      <c r="W996" t="s">
        <v>38</v>
      </c>
      <c r="X996">
        <v>12</v>
      </c>
      <c r="Y996" t="s">
        <v>49</v>
      </c>
      <c r="AA996" t="s">
        <v>112</v>
      </c>
      <c r="AB996">
        <v>12</v>
      </c>
      <c r="AC996" t="s">
        <v>495</v>
      </c>
      <c r="AD996" t="s">
        <v>138</v>
      </c>
      <c r="AE996" t="s">
        <v>135</v>
      </c>
      <c r="AF996" t="s">
        <v>119</v>
      </c>
      <c r="AG996" t="str">
        <f t="shared" si="16"/>
        <v>CC 12x</v>
      </c>
      <c r="AH996" t="str">
        <f>IF(AND(SUMIF(E:E,E996,I:I)&gt;=400000,Q996="B2G"),"n","")</f>
        <v/>
      </c>
    </row>
    <row r="997" spans="1:34">
      <c r="A997">
        <v>2026</v>
      </c>
      <c r="B997">
        <v>2</v>
      </c>
      <c r="C997" s="83">
        <v>140218750820</v>
      </c>
      <c r="D997" t="s">
        <v>1017</v>
      </c>
      <c r="E997">
        <v>56715889688</v>
      </c>
      <c r="F997">
        <v>636188</v>
      </c>
      <c r="G997">
        <v>51984220330</v>
      </c>
      <c r="H997" t="s">
        <v>35</v>
      </c>
      <c r="I997" s="36">
        <v>966.6</v>
      </c>
      <c r="J997" s="36">
        <v>966.6</v>
      </c>
      <c r="K997" s="85">
        <v>1.13687E-13</v>
      </c>
      <c r="L997" s="36">
        <v>80.55</v>
      </c>
      <c r="M997" s="36">
        <v>0</v>
      </c>
      <c r="N997" s="36">
        <v>80.55</v>
      </c>
      <c r="O997" s="36">
        <v>0</v>
      </c>
      <c r="P997" t="s">
        <v>469</v>
      </c>
      <c r="Q997" t="s">
        <v>191</v>
      </c>
      <c r="R997" t="s">
        <v>191</v>
      </c>
      <c r="S997" s="1">
        <v>46073</v>
      </c>
      <c r="T997" s="1">
        <v>46073</v>
      </c>
      <c r="U997" s="1"/>
      <c r="V997" s="1">
        <v>46438</v>
      </c>
      <c r="W997" t="s">
        <v>38</v>
      </c>
      <c r="X997">
        <v>12</v>
      </c>
      <c r="Y997" t="s">
        <v>49</v>
      </c>
      <c r="AA997" t="s">
        <v>112</v>
      </c>
      <c r="AB997">
        <v>12</v>
      </c>
      <c r="AC997" t="s">
        <v>192</v>
      </c>
      <c r="AD997" t="s">
        <v>256</v>
      </c>
      <c r="AE997" t="s">
        <v>257</v>
      </c>
      <c r="AF997" t="s">
        <v>59</v>
      </c>
      <c r="AG997" t="str">
        <f t="shared" si="16"/>
        <v>CC 12x</v>
      </c>
      <c r="AH997" t="str">
        <f>IF(AND(SUMIF(E:E,E997,I:I)&gt;=400000,Q997="B2G"),"n","")</f>
        <v/>
      </c>
    </row>
    <row r="998" spans="1:34">
      <c r="A998">
        <v>2026</v>
      </c>
      <c r="B998">
        <v>2</v>
      </c>
      <c r="C998" s="83">
        <v>140493156693</v>
      </c>
      <c r="D998" t="s">
        <v>1018</v>
      </c>
      <c r="E998">
        <v>56752923152</v>
      </c>
      <c r="F998">
        <v>636201</v>
      </c>
      <c r="G998">
        <v>51984431440</v>
      </c>
      <c r="H998" t="s">
        <v>35</v>
      </c>
      <c r="I998" s="36">
        <v>9781.68</v>
      </c>
      <c r="J998" s="36">
        <v>4890.8999999999996</v>
      </c>
      <c r="K998" s="85">
        <v>4890.78</v>
      </c>
      <c r="L998" s="36">
        <v>407.57499999999999</v>
      </c>
      <c r="M998" s="36">
        <v>407.57499999999999</v>
      </c>
      <c r="N998" s="36">
        <v>0</v>
      </c>
      <c r="O998" s="36">
        <v>0</v>
      </c>
      <c r="P998" t="s">
        <v>313</v>
      </c>
      <c r="Q998" t="s">
        <v>314</v>
      </c>
      <c r="R998" t="s">
        <v>314</v>
      </c>
      <c r="S998" s="1">
        <v>46076</v>
      </c>
      <c r="T998" s="1">
        <v>46076</v>
      </c>
      <c r="V998" s="1">
        <v>46806</v>
      </c>
      <c r="W998" t="s">
        <v>56</v>
      </c>
      <c r="X998">
        <v>24</v>
      </c>
      <c r="Y998" t="s">
        <v>49</v>
      </c>
      <c r="AA998" t="s">
        <v>122</v>
      </c>
      <c r="AB998">
        <v>24</v>
      </c>
      <c r="AC998" t="s">
        <v>315</v>
      </c>
      <c r="AD998" t="s">
        <v>85</v>
      </c>
      <c r="AE998" t="s">
        <v>46</v>
      </c>
      <c r="AF998" t="s">
        <v>44</v>
      </c>
      <c r="AG998" t="str">
        <f t="shared" si="16"/>
        <v>Recorrente</v>
      </c>
      <c r="AH998" t="str">
        <f>IF(AND(SUMIF(E:E,E998,I:I)&gt;=400000,Q998="B2G"),"n","")</f>
        <v/>
      </c>
    </row>
    <row r="999" spans="1:34">
      <c r="A999">
        <v>2026</v>
      </c>
      <c r="B999">
        <v>2</v>
      </c>
      <c r="C999" s="83">
        <v>140720203022</v>
      </c>
      <c r="D999" t="s">
        <v>1019</v>
      </c>
      <c r="E999">
        <v>53075523501</v>
      </c>
      <c r="F999">
        <v>626614</v>
      </c>
      <c r="G999">
        <v>48268798625</v>
      </c>
      <c r="H999" t="s">
        <v>35</v>
      </c>
      <c r="I999" s="36">
        <v>2874</v>
      </c>
      <c r="J999" s="36">
        <v>2874</v>
      </c>
      <c r="K999" s="85">
        <v>0</v>
      </c>
      <c r="L999" s="36">
        <v>239.5</v>
      </c>
      <c r="M999" s="36">
        <v>0</v>
      </c>
      <c r="N999" s="36">
        <v>0.5</v>
      </c>
      <c r="O999" s="36">
        <v>239</v>
      </c>
      <c r="P999" t="s">
        <v>165</v>
      </c>
      <c r="Q999" t="s">
        <v>166</v>
      </c>
      <c r="R999" t="s">
        <v>166</v>
      </c>
      <c r="S999" s="1">
        <v>46070</v>
      </c>
      <c r="T999" s="1">
        <v>46070</v>
      </c>
      <c r="U999" s="1">
        <v>46070</v>
      </c>
      <c r="V999" s="1">
        <v>46435</v>
      </c>
      <c r="W999" t="s">
        <v>38</v>
      </c>
      <c r="X999">
        <v>12</v>
      </c>
      <c r="Y999" t="s">
        <v>49</v>
      </c>
      <c r="Z999" t="s">
        <v>81</v>
      </c>
      <c r="AA999" t="s">
        <v>112</v>
      </c>
      <c r="AB999">
        <v>10</v>
      </c>
      <c r="AC999" t="s">
        <v>166</v>
      </c>
      <c r="AD999" t="s">
        <v>140</v>
      </c>
      <c r="AE999" t="s">
        <v>46</v>
      </c>
      <c r="AF999" t="s">
        <v>119</v>
      </c>
      <c r="AG999" t="str">
        <f t="shared" si="16"/>
        <v>CC 12x</v>
      </c>
      <c r="AH999" t="str">
        <f>IF(AND(SUMIF(E:E,E999,I:I)&gt;=400000,Q999="B2G"),"n","")</f>
        <v/>
      </c>
    </row>
    <row r="1000" spans="1:34">
      <c r="A1000">
        <v>2026</v>
      </c>
      <c r="B1000">
        <v>2</v>
      </c>
      <c r="C1000" s="83">
        <v>140796320842</v>
      </c>
      <c r="D1000" t="s">
        <v>1020</v>
      </c>
      <c r="E1000">
        <v>57037266810</v>
      </c>
      <c r="F1000">
        <v>636286</v>
      </c>
      <c r="G1000">
        <v>52355238403</v>
      </c>
      <c r="H1000" t="s">
        <v>35</v>
      </c>
      <c r="I1000" s="36">
        <v>15350.4</v>
      </c>
      <c r="J1000" s="36">
        <v>7675.2</v>
      </c>
      <c r="K1000" s="85">
        <v>7675.2</v>
      </c>
      <c r="L1000" s="36">
        <v>639.6</v>
      </c>
      <c r="M1000" s="36">
        <v>639.6</v>
      </c>
      <c r="N1000" s="36">
        <v>0</v>
      </c>
      <c r="O1000" s="36">
        <v>0</v>
      </c>
      <c r="P1000" t="s">
        <v>313</v>
      </c>
      <c r="Q1000" t="s">
        <v>314</v>
      </c>
      <c r="R1000" t="s">
        <v>314</v>
      </c>
      <c r="S1000" s="1">
        <v>46079</v>
      </c>
      <c r="T1000" s="1">
        <v>46079</v>
      </c>
      <c r="V1000" s="1">
        <v>46809</v>
      </c>
      <c r="W1000" t="s">
        <v>56</v>
      </c>
      <c r="X1000">
        <v>24</v>
      </c>
      <c r="Y1000" t="s">
        <v>49</v>
      </c>
      <c r="AA1000" t="s">
        <v>122</v>
      </c>
      <c r="AB1000">
        <v>24</v>
      </c>
      <c r="AC1000" t="s">
        <v>315</v>
      </c>
      <c r="AD1000" t="s">
        <v>131</v>
      </c>
      <c r="AE1000" t="s">
        <v>46</v>
      </c>
      <c r="AF1000" t="s">
        <v>96</v>
      </c>
      <c r="AG1000" t="str">
        <f t="shared" si="16"/>
        <v>Recorrente</v>
      </c>
      <c r="AH1000" t="str">
        <f>IF(AND(SUMIF(E:E,E1000,I:I)&gt;=400000,Q1000="B2G"),"n","")</f>
        <v/>
      </c>
    </row>
    <row r="1001" spans="1:34">
      <c r="A1001">
        <v>2026</v>
      </c>
      <c r="B1001">
        <v>2</v>
      </c>
      <c r="C1001" s="83">
        <v>140869295874</v>
      </c>
      <c r="D1001" t="s">
        <v>1021</v>
      </c>
      <c r="E1001">
        <v>56646458718</v>
      </c>
      <c r="F1001">
        <v>625035</v>
      </c>
      <c r="G1001">
        <v>51943108791</v>
      </c>
      <c r="H1001" t="s">
        <v>35</v>
      </c>
      <c r="I1001" s="36">
        <v>3505.2</v>
      </c>
      <c r="J1001" s="36">
        <v>3505.2</v>
      </c>
      <c r="K1001" s="85">
        <v>0</v>
      </c>
      <c r="L1001" s="36">
        <v>292.10000000000002</v>
      </c>
      <c r="M1001" s="36">
        <v>292.10000000000002</v>
      </c>
      <c r="N1001" s="36">
        <v>0</v>
      </c>
      <c r="O1001" s="36">
        <v>0</v>
      </c>
      <c r="P1001" t="s">
        <v>137</v>
      </c>
      <c r="Q1001" t="s">
        <v>111</v>
      </c>
      <c r="R1001" t="s">
        <v>111</v>
      </c>
      <c r="S1001" s="1">
        <v>46073</v>
      </c>
      <c r="T1001" s="1">
        <v>46073</v>
      </c>
      <c r="U1001" s="1">
        <v>46009</v>
      </c>
      <c r="V1001" s="1">
        <v>46446</v>
      </c>
      <c r="W1001" t="s">
        <v>38</v>
      </c>
      <c r="X1001">
        <v>14</v>
      </c>
      <c r="Y1001" t="s">
        <v>49</v>
      </c>
      <c r="Z1001" t="s">
        <v>81</v>
      </c>
      <c r="AA1001" t="s">
        <v>117</v>
      </c>
      <c r="AB1001">
        <v>1</v>
      </c>
      <c r="AC1001" t="s">
        <v>113</v>
      </c>
      <c r="AD1001" t="s">
        <v>163</v>
      </c>
      <c r="AE1001" t="s">
        <v>43</v>
      </c>
      <c r="AF1001" t="s">
        <v>96</v>
      </c>
      <c r="AG1001" t="str">
        <f t="shared" si="16"/>
        <v>À Vista</v>
      </c>
      <c r="AH1001" t="str">
        <f>IF(AND(SUMIF(E:E,E1001,I:I)&gt;=400000,Q1001="B2G"),"n","")</f>
        <v/>
      </c>
    </row>
    <row r="1002" spans="1:34">
      <c r="A1002">
        <v>2026</v>
      </c>
      <c r="B1002">
        <v>2</v>
      </c>
      <c r="C1002" s="83">
        <v>143812144467</v>
      </c>
      <c r="D1002" t="s">
        <v>1022</v>
      </c>
      <c r="E1002">
        <v>56202983826</v>
      </c>
      <c r="F1002">
        <v>636120</v>
      </c>
      <c r="G1002">
        <v>51870254491</v>
      </c>
      <c r="H1002" t="s">
        <v>35</v>
      </c>
      <c r="I1002" s="36">
        <v>25188</v>
      </c>
      <c r="J1002" s="36">
        <v>12594</v>
      </c>
      <c r="K1002" s="85">
        <v>12594</v>
      </c>
      <c r="L1002" s="36">
        <v>1049.5</v>
      </c>
      <c r="M1002" s="36">
        <v>0</v>
      </c>
      <c r="N1002" s="36">
        <v>265.08</v>
      </c>
      <c r="O1002" s="36">
        <v>784.42</v>
      </c>
      <c r="P1002" t="s">
        <v>367</v>
      </c>
      <c r="Q1002" t="s">
        <v>191</v>
      </c>
      <c r="R1002" t="s">
        <v>191</v>
      </c>
      <c r="S1002" s="1">
        <v>46071</v>
      </c>
      <c r="T1002" s="1">
        <v>46071</v>
      </c>
      <c r="V1002" s="1">
        <v>46801</v>
      </c>
      <c r="W1002" t="s">
        <v>56</v>
      </c>
      <c r="Y1002" t="s">
        <v>49</v>
      </c>
      <c r="AA1002" t="s">
        <v>122</v>
      </c>
      <c r="AB1002">
        <v>24</v>
      </c>
      <c r="AC1002" t="s">
        <v>192</v>
      </c>
      <c r="AD1002" t="s">
        <v>146</v>
      </c>
      <c r="AE1002" t="s">
        <v>135</v>
      </c>
      <c r="AF1002" t="s">
        <v>96</v>
      </c>
      <c r="AG1002" t="str">
        <f t="shared" si="16"/>
        <v>Recorrente</v>
      </c>
      <c r="AH1002" t="str">
        <f>IF(AND(SUMIF(E:E,E1002,I:I)&gt;=400000,Q1002="B2G"),"n","")</f>
        <v/>
      </c>
    </row>
    <row r="1003" spans="1:34">
      <c r="A1003">
        <v>2026</v>
      </c>
      <c r="B1003">
        <v>2</v>
      </c>
      <c r="C1003" s="83">
        <v>143845012572</v>
      </c>
      <c r="D1003" t="s">
        <v>1023</v>
      </c>
      <c r="E1003">
        <v>54007322650</v>
      </c>
      <c r="F1003">
        <v>270265</v>
      </c>
      <c r="G1003">
        <v>50053581363</v>
      </c>
      <c r="H1003" t="s">
        <v>35</v>
      </c>
      <c r="I1003" s="36">
        <v>2874</v>
      </c>
      <c r="J1003" s="36">
        <v>2874</v>
      </c>
      <c r="K1003" s="85">
        <v>0</v>
      </c>
      <c r="L1003" s="36">
        <v>239.5</v>
      </c>
      <c r="M1003" s="36">
        <v>0</v>
      </c>
      <c r="N1003" s="36">
        <v>0</v>
      </c>
      <c r="O1003" s="36">
        <v>239.5</v>
      </c>
      <c r="P1003" t="s">
        <v>137</v>
      </c>
      <c r="Q1003" t="s">
        <v>111</v>
      </c>
      <c r="R1003" t="s">
        <v>111</v>
      </c>
      <c r="S1003" s="1">
        <v>46056</v>
      </c>
      <c r="T1003" s="1">
        <v>46056</v>
      </c>
      <c r="U1003" s="1">
        <v>46061</v>
      </c>
      <c r="V1003" s="1">
        <v>46426</v>
      </c>
      <c r="W1003" t="s">
        <v>38</v>
      </c>
      <c r="X1003">
        <v>12</v>
      </c>
      <c r="Y1003" t="s">
        <v>49</v>
      </c>
      <c r="Z1003" t="s">
        <v>76</v>
      </c>
      <c r="AA1003" t="s">
        <v>112</v>
      </c>
      <c r="AB1003">
        <v>5</v>
      </c>
      <c r="AC1003" t="s">
        <v>113</v>
      </c>
      <c r="AD1003" t="s">
        <v>140</v>
      </c>
      <c r="AE1003" t="s">
        <v>46</v>
      </c>
      <c r="AF1003" t="s">
        <v>119</v>
      </c>
      <c r="AG1003" t="str">
        <f t="shared" si="16"/>
        <v>CC 12x</v>
      </c>
      <c r="AH1003" t="str">
        <f>IF(AND(SUMIF(E:E,E1003,I:I)&gt;=400000,Q1003="B2G"),"n","")</f>
        <v/>
      </c>
    </row>
    <row r="1004" spans="1:34">
      <c r="A1004">
        <v>2026</v>
      </c>
      <c r="B1004">
        <v>2</v>
      </c>
      <c r="C1004" s="83">
        <v>143889893264</v>
      </c>
      <c r="D1004" t="s">
        <v>1024</v>
      </c>
      <c r="E1004">
        <v>53596037670</v>
      </c>
      <c r="F1004">
        <v>626931</v>
      </c>
      <c r="G1004">
        <v>48783070765</v>
      </c>
      <c r="H1004" t="s">
        <v>35</v>
      </c>
      <c r="I1004" s="36">
        <v>8418.6</v>
      </c>
      <c r="J1004" s="36">
        <v>8418.6</v>
      </c>
      <c r="K1004" s="85">
        <v>0</v>
      </c>
      <c r="L1004" s="36">
        <v>701.55</v>
      </c>
      <c r="M1004" s="36">
        <v>0</v>
      </c>
      <c r="N1004" s="36">
        <v>101.13</v>
      </c>
      <c r="O1004" s="36">
        <v>600.41999999999996</v>
      </c>
      <c r="P1004" t="s">
        <v>165</v>
      </c>
      <c r="Q1004" t="s">
        <v>166</v>
      </c>
      <c r="R1004" t="s">
        <v>166</v>
      </c>
      <c r="S1004" s="1">
        <v>46077</v>
      </c>
      <c r="T1004" s="1">
        <v>46077</v>
      </c>
      <c r="U1004" s="1">
        <v>46078</v>
      </c>
      <c r="V1004" s="1">
        <v>46443</v>
      </c>
      <c r="W1004" t="s">
        <v>38</v>
      </c>
      <c r="X1004">
        <v>12</v>
      </c>
      <c r="Y1004" t="s">
        <v>49</v>
      </c>
      <c r="Z1004" t="s">
        <v>81</v>
      </c>
      <c r="AA1004" t="s">
        <v>112</v>
      </c>
      <c r="AB1004">
        <v>4</v>
      </c>
      <c r="AC1004" t="s">
        <v>166</v>
      </c>
      <c r="AD1004" t="s">
        <v>134</v>
      </c>
      <c r="AE1004" t="s">
        <v>135</v>
      </c>
      <c r="AF1004" t="s">
        <v>44</v>
      </c>
      <c r="AG1004" t="str">
        <f t="shared" ref="AG1004:AG1067" si="17">IF(IFERROR(SEARCH("Recorrente",AA1004),0)&gt;0,"Recorrente",IF(AB1004=1,"À Vista",IF(AB1004&lt;=3,"CC 3x",IF(AB1004&lt;=12,"CC 12x",IF(AB1004&gt;12,"Recorrente","")))))</f>
        <v>CC 12x</v>
      </c>
      <c r="AH1004" t="str">
        <f>IF(AND(SUMIF(E:E,E1004,I:I)&gt;=400000,Q1004="B2G"),"n","")</f>
        <v/>
      </c>
    </row>
    <row r="1005" spans="1:34">
      <c r="A1005">
        <v>2026</v>
      </c>
      <c r="B1005">
        <v>2</v>
      </c>
      <c r="C1005" s="83">
        <v>143894661278</v>
      </c>
      <c r="D1005" t="s">
        <v>1025</v>
      </c>
      <c r="E1005">
        <v>55455532201</v>
      </c>
      <c r="F1005">
        <v>635964</v>
      </c>
      <c r="G1005">
        <v>50867929743</v>
      </c>
      <c r="H1005" t="s">
        <v>35</v>
      </c>
      <c r="I1005" s="36">
        <v>3490.44</v>
      </c>
      <c r="J1005" s="36">
        <v>3490.5</v>
      </c>
      <c r="K1005" s="85">
        <v>0</v>
      </c>
      <c r="L1005" s="36">
        <v>290.875</v>
      </c>
      <c r="M1005" s="36">
        <v>0</v>
      </c>
      <c r="N1005" s="36">
        <v>290.875</v>
      </c>
      <c r="O1005" s="36">
        <v>0</v>
      </c>
      <c r="P1005" t="s">
        <v>520</v>
      </c>
      <c r="Q1005" t="s">
        <v>191</v>
      </c>
      <c r="R1005" t="s">
        <v>191</v>
      </c>
      <c r="S1005" s="1">
        <v>46058</v>
      </c>
      <c r="T1005" s="1">
        <v>46058</v>
      </c>
      <c r="V1005" s="1">
        <v>46424</v>
      </c>
      <c r="W1005" t="s">
        <v>38</v>
      </c>
      <c r="X1005">
        <v>12</v>
      </c>
      <c r="Y1005" t="s">
        <v>49</v>
      </c>
      <c r="AA1005" t="s">
        <v>122</v>
      </c>
      <c r="AB1005">
        <v>12</v>
      </c>
      <c r="AC1005" t="s">
        <v>192</v>
      </c>
      <c r="AD1005" t="s">
        <v>1026</v>
      </c>
      <c r="AE1005" t="s">
        <v>363</v>
      </c>
      <c r="AF1005" t="s">
        <v>59</v>
      </c>
      <c r="AG1005" t="str">
        <f t="shared" si="17"/>
        <v>Recorrente</v>
      </c>
      <c r="AH1005" t="str">
        <f>IF(AND(SUMIF(E:E,E1005,I:I)&gt;=400000,Q1005="B2G"),"n","")</f>
        <v/>
      </c>
    </row>
    <row r="1006" spans="1:34">
      <c r="A1006">
        <v>2026</v>
      </c>
      <c r="B1006">
        <v>2</v>
      </c>
      <c r="C1006" s="83">
        <v>144215064603</v>
      </c>
      <c r="D1006" t="s">
        <v>1027</v>
      </c>
      <c r="E1006">
        <v>55871903838</v>
      </c>
      <c r="F1006">
        <v>514308</v>
      </c>
      <c r="G1006">
        <v>51121498669</v>
      </c>
      <c r="H1006" t="s">
        <v>35</v>
      </c>
      <c r="I1006" s="36">
        <v>1620.12</v>
      </c>
      <c r="J1006" s="36">
        <v>3842.76</v>
      </c>
      <c r="K1006" s="85">
        <v>0</v>
      </c>
      <c r="L1006" s="36">
        <v>320.23</v>
      </c>
      <c r="M1006" s="36">
        <v>0</v>
      </c>
      <c r="N1006" s="36">
        <v>320.23</v>
      </c>
      <c r="O1006" s="36">
        <v>0</v>
      </c>
      <c r="P1006" t="s">
        <v>804</v>
      </c>
      <c r="Q1006" t="s">
        <v>191</v>
      </c>
      <c r="R1006" t="s">
        <v>191</v>
      </c>
      <c r="S1006" s="1">
        <v>46065</v>
      </c>
      <c r="T1006" s="1">
        <v>46065</v>
      </c>
      <c r="U1006" s="1">
        <v>46217</v>
      </c>
      <c r="V1006" s="1">
        <v>46217</v>
      </c>
      <c r="W1006" t="s">
        <v>38</v>
      </c>
      <c r="X1006">
        <v>5</v>
      </c>
      <c r="Y1006" t="s">
        <v>49</v>
      </c>
      <c r="Z1006" t="s">
        <v>324</v>
      </c>
      <c r="AA1006" t="s">
        <v>122</v>
      </c>
      <c r="AB1006">
        <v>5</v>
      </c>
      <c r="AC1006" t="s">
        <v>192</v>
      </c>
      <c r="AD1006" t="s">
        <v>134</v>
      </c>
      <c r="AE1006" t="s">
        <v>135</v>
      </c>
      <c r="AF1006" t="s">
        <v>44</v>
      </c>
      <c r="AG1006" t="str">
        <f t="shared" si="17"/>
        <v>Recorrente</v>
      </c>
      <c r="AH1006" t="str">
        <f>IF(AND(SUMIF(E:E,E1006,I:I)&gt;=400000,Q1006="B2G"),"n","")</f>
        <v/>
      </c>
    </row>
    <row r="1007" spans="1:34">
      <c r="A1007">
        <v>2026</v>
      </c>
      <c r="B1007">
        <v>2</v>
      </c>
      <c r="C1007" s="83">
        <v>144525556866</v>
      </c>
      <c r="D1007" t="s">
        <v>1028</v>
      </c>
      <c r="E1007">
        <v>54265628502</v>
      </c>
      <c r="F1007">
        <v>505093</v>
      </c>
      <c r="G1007">
        <v>49675401221</v>
      </c>
      <c r="H1007" t="s">
        <v>35</v>
      </c>
      <c r="I1007" s="36">
        <v>4590.72</v>
      </c>
      <c r="J1007" s="36">
        <v>4590.72</v>
      </c>
      <c r="K1007" s="85">
        <v>0</v>
      </c>
      <c r="L1007" s="36">
        <v>382.56</v>
      </c>
      <c r="M1007" s="36">
        <v>0</v>
      </c>
      <c r="N1007" s="36">
        <v>23.77375</v>
      </c>
      <c r="O1007" s="36">
        <v>358.79</v>
      </c>
      <c r="P1007" t="s">
        <v>116</v>
      </c>
      <c r="Q1007" t="s">
        <v>111</v>
      </c>
      <c r="R1007" t="s">
        <v>111</v>
      </c>
      <c r="S1007" s="1">
        <v>46043</v>
      </c>
      <c r="T1007" s="1">
        <v>46054</v>
      </c>
      <c r="U1007" s="1">
        <v>46044</v>
      </c>
      <c r="V1007" s="1">
        <v>46409</v>
      </c>
      <c r="W1007" t="s">
        <v>38</v>
      </c>
      <c r="X1007">
        <v>12</v>
      </c>
      <c r="Y1007" t="s">
        <v>49</v>
      </c>
      <c r="Z1007" t="s">
        <v>81</v>
      </c>
      <c r="AA1007" t="s">
        <v>112</v>
      </c>
      <c r="AB1007">
        <v>12</v>
      </c>
      <c r="AC1007" t="s">
        <v>113</v>
      </c>
      <c r="AD1007" t="s">
        <v>149</v>
      </c>
      <c r="AE1007" t="s">
        <v>43</v>
      </c>
      <c r="AF1007" t="s">
        <v>96</v>
      </c>
      <c r="AG1007" t="str">
        <f t="shared" si="17"/>
        <v>CC 12x</v>
      </c>
      <c r="AH1007" t="str">
        <f>IF(AND(SUMIF(E:E,E1007,I:I)&gt;=400000,Q1007="B2G"),"n","")</f>
        <v/>
      </c>
    </row>
    <row r="1008" spans="1:34">
      <c r="A1008">
        <v>2026</v>
      </c>
      <c r="B1008">
        <v>2</v>
      </c>
      <c r="C1008" s="83">
        <v>144559982246</v>
      </c>
      <c r="D1008" t="s">
        <v>1029</v>
      </c>
      <c r="E1008">
        <v>51344204343</v>
      </c>
      <c r="F1008">
        <v>625267</v>
      </c>
      <c r="G1008">
        <v>47185608210</v>
      </c>
      <c r="H1008" t="s">
        <v>35</v>
      </c>
      <c r="I1008" s="36">
        <v>5130.84</v>
      </c>
      <c r="J1008" s="36">
        <v>5130.84</v>
      </c>
      <c r="K1008" s="85">
        <v>0</v>
      </c>
      <c r="L1008" s="36">
        <v>427.57</v>
      </c>
      <c r="M1008" s="36">
        <v>427.57</v>
      </c>
      <c r="N1008" s="36">
        <v>0</v>
      </c>
      <c r="O1008" s="36">
        <v>0</v>
      </c>
      <c r="P1008" t="s">
        <v>137</v>
      </c>
      <c r="Q1008" t="s">
        <v>111</v>
      </c>
      <c r="R1008" t="s">
        <v>111</v>
      </c>
      <c r="S1008" s="1">
        <v>46008</v>
      </c>
      <c r="T1008" s="1">
        <v>46054</v>
      </c>
      <c r="U1008" s="1">
        <v>46028</v>
      </c>
      <c r="V1008" s="1">
        <v>46393</v>
      </c>
      <c r="W1008" t="s">
        <v>38</v>
      </c>
      <c r="X1008">
        <v>12</v>
      </c>
      <c r="Y1008" t="s">
        <v>49</v>
      </c>
      <c r="Z1008" t="s">
        <v>81</v>
      </c>
      <c r="AA1008" t="s">
        <v>122</v>
      </c>
      <c r="AB1008">
        <v>12</v>
      </c>
      <c r="AC1008" t="s">
        <v>113</v>
      </c>
      <c r="AD1008" t="s">
        <v>149</v>
      </c>
      <c r="AE1008" t="s">
        <v>43</v>
      </c>
      <c r="AF1008" t="s">
        <v>96</v>
      </c>
      <c r="AG1008" t="str">
        <f t="shared" si="17"/>
        <v>Recorrente</v>
      </c>
      <c r="AH1008" t="str">
        <f>IF(AND(SUMIF(E:E,E1008,I:I)&gt;=400000,Q1008="B2G"),"n","")</f>
        <v/>
      </c>
    </row>
    <row r="1009" spans="1:34">
      <c r="A1009">
        <v>2026</v>
      </c>
      <c r="B1009">
        <v>2</v>
      </c>
      <c r="C1009" s="83">
        <v>144571374446</v>
      </c>
      <c r="D1009" t="s">
        <v>1030</v>
      </c>
      <c r="E1009">
        <v>57206811559</v>
      </c>
      <c r="F1009">
        <v>636319</v>
      </c>
      <c r="G1009">
        <v>52460775277</v>
      </c>
      <c r="H1009" t="s">
        <v>35</v>
      </c>
      <c r="I1009" s="36">
        <v>5178.6000000000004</v>
      </c>
      <c r="J1009" s="36">
        <v>5178.6000000000004</v>
      </c>
      <c r="K1009" s="85">
        <v>0</v>
      </c>
      <c r="L1009" s="36">
        <v>431.55</v>
      </c>
      <c r="M1009" s="36">
        <v>431.55</v>
      </c>
      <c r="N1009" s="36">
        <v>0</v>
      </c>
      <c r="O1009" s="36">
        <v>0</v>
      </c>
      <c r="P1009" t="s">
        <v>506</v>
      </c>
      <c r="Q1009" t="s">
        <v>300</v>
      </c>
      <c r="R1009" t="s">
        <v>300</v>
      </c>
      <c r="S1009" s="1">
        <v>46080</v>
      </c>
      <c r="T1009" s="1">
        <v>46080</v>
      </c>
      <c r="U1009" s="1"/>
      <c r="V1009" s="1">
        <v>46445</v>
      </c>
      <c r="W1009" t="s">
        <v>38</v>
      </c>
      <c r="X1009">
        <v>12</v>
      </c>
      <c r="Y1009" t="s">
        <v>49</v>
      </c>
      <c r="AA1009" t="s">
        <v>112</v>
      </c>
      <c r="AB1009">
        <v>12</v>
      </c>
      <c r="AC1009" t="s">
        <v>301</v>
      </c>
      <c r="AD1009" t="s">
        <v>85</v>
      </c>
      <c r="AE1009" t="s">
        <v>46</v>
      </c>
      <c r="AF1009" t="s">
        <v>44</v>
      </c>
      <c r="AG1009" t="str">
        <f t="shared" si="17"/>
        <v>CC 12x</v>
      </c>
      <c r="AH1009" t="str">
        <f>IF(AND(SUMIF(E:E,E1009,I:I)&gt;=400000,Q1009="B2G"),"n","")</f>
        <v/>
      </c>
    </row>
    <row r="1010" spans="1:34">
      <c r="A1010">
        <v>2026</v>
      </c>
      <c r="B1010">
        <v>2</v>
      </c>
      <c r="C1010" s="83">
        <v>144571432036</v>
      </c>
      <c r="D1010" t="s">
        <v>1031</v>
      </c>
      <c r="E1010">
        <v>55696884024</v>
      </c>
      <c r="F1010">
        <v>635989</v>
      </c>
      <c r="G1010">
        <v>51032727852</v>
      </c>
      <c r="H1010" t="s">
        <v>104</v>
      </c>
      <c r="I1010" s="36">
        <v>718.8</v>
      </c>
      <c r="J1010" s="36">
        <v>718.8</v>
      </c>
      <c r="K1010" s="85">
        <v>0</v>
      </c>
      <c r="L1010" s="36">
        <v>59.9</v>
      </c>
      <c r="M1010" s="36">
        <v>59.9</v>
      </c>
      <c r="N1010" s="36">
        <v>0</v>
      </c>
      <c r="O1010" s="36">
        <v>0</v>
      </c>
      <c r="P1010" t="s">
        <v>497</v>
      </c>
      <c r="Q1010" t="s">
        <v>498</v>
      </c>
      <c r="R1010" t="s">
        <v>498</v>
      </c>
      <c r="S1010" s="1">
        <v>46060</v>
      </c>
      <c r="T1010" s="1">
        <v>46060</v>
      </c>
      <c r="U1010" s="1"/>
      <c r="V1010" s="1">
        <v>46425</v>
      </c>
      <c r="W1010" t="s">
        <v>38</v>
      </c>
      <c r="X1010">
        <v>12</v>
      </c>
      <c r="Y1010" t="s">
        <v>49</v>
      </c>
      <c r="AA1010" t="s">
        <v>112</v>
      </c>
      <c r="AB1010">
        <v>1</v>
      </c>
      <c r="AC1010" t="s">
        <v>499</v>
      </c>
      <c r="AD1010" t="s">
        <v>105</v>
      </c>
      <c r="AE1010" t="s">
        <v>106</v>
      </c>
      <c r="AF1010" t="s">
        <v>59</v>
      </c>
      <c r="AG1010" t="str">
        <f t="shared" si="17"/>
        <v>À Vista</v>
      </c>
      <c r="AH1010" t="str">
        <f>IF(AND(SUMIF(E:E,E1010,I:I)&gt;=400000,Q1010="B2G"),"n","")</f>
        <v/>
      </c>
    </row>
    <row r="1011" spans="1:34">
      <c r="A1011">
        <v>2026</v>
      </c>
      <c r="B1011">
        <v>2</v>
      </c>
      <c r="C1011" s="83">
        <v>144572368753</v>
      </c>
      <c r="D1011" t="s">
        <v>1032</v>
      </c>
      <c r="E1011">
        <v>56864787601</v>
      </c>
      <c r="F1011">
        <v>636199</v>
      </c>
      <c r="G1011">
        <v>51984430161</v>
      </c>
      <c r="H1011" t="s">
        <v>35</v>
      </c>
      <c r="I1011" s="36">
        <v>2586.6</v>
      </c>
      <c r="J1011" s="36">
        <v>2586.6</v>
      </c>
      <c r="K1011" s="85">
        <v>0</v>
      </c>
      <c r="L1011" s="36">
        <v>215.55</v>
      </c>
      <c r="M1011" s="36">
        <v>215.55</v>
      </c>
      <c r="N1011" s="36">
        <v>0</v>
      </c>
      <c r="O1011" s="36">
        <v>0</v>
      </c>
      <c r="P1011" t="s">
        <v>511</v>
      </c>
      <c r="Q1011" t="s">
        <v>300</v>
      </c>
      <c r="R1011" t="s">
        <v>300</v>
      </c>
      <c r="S1011" s="1">
        <v>46076</v>
      </c>
      <c r="T1011" s="1">
        <v>46076</v>
      </c>
      <c r="U1011" s="1"/>
      <c r="V1011" s="1">
        <v>46441</v>
      </c>
      <c r="W1011" t="s">
        <v>38</v>
      </c>
      <c r="X1011">
        <v>12</v>
      </c>
      <c r="Y1011" t="s">
        <v>49</v>
      </c>
      <c r="AA1011" t="s">
        <v>112</v>
      </c>
      <c r="AB1011">
        <v>12</v>
      </c>
      <c r="AC1011" t="s">
        <v>301</v>
      </c>
      <c r="AD1011" t="s">
        <v>140</v>
      </c>
      <c r="AE1011" t="s">
        <v>46</v>
      </c>
      <c r="AF1011" t="s">
        <v>119</v>
      </c>
      <c r="AG1011" t="str">
        <f t="shared" si="17"/>
        <v>CC 12x</v>
      </c>
      <c r="AH1011" t="str">
        <f>IF(AND(SUMIF(E:E,E1011,I:I)&gt;=400000,Q1011="B2G"),"n","")</f>
        <v/>
      </c>
    </row>
    <row r="1012" spans="1:34">
      <c r="A1012">
        <v>2026</v>
      </c>
      <c r="B1012">
        <v>2</v>
      </c>
      <c r="C1012" s="83">
        <v>144606497424</v>
      </c>
      <c r="D1012" t="s">
        <v>1033</v>
      </c>
      <c r="E1012">
        <v>55487029581</v>
      </c>
      <c r="F1012">
        <v>635922</v>
      </c>
      <c r="G1012">
        <v>50778162865</v>
      </c>
      <c r="H1012" t="s">
        <v>35</v>
      </c>
      <c r="I1012" s="36">
        <v>9594</v>
      </c>
      <c r="J1012" s="36">
        <v>9594</v>
      </c>
      <c r="K1012" s="85">
        <v>0</v>
      </c>
      <c r="L1012" s="36">
        <v>799.5</v>
      </c>
      <c r="M1012" s="36">
        <v>0</v>
      </c>
      <c r="N1012" s="36">
        <v>93.99</v>
      </c>
      <c r="O1012" s="36">
        <v>705.51</v>
      </c>
      <c r="P1012" t="s">
        <v>367</v>
      </c>
      <c r="Q1012" t="s">
        <v>191</v>
      </c>
      <c r="R1012" t="s">
        <v>191</v>
      </c>
      <c r="S1012" s="1">
        <v>46057</v>
      </c>
      <c r="T1012" s="1">
        <v>46057</v>
      </c>
      <c r="V1012" s="1">
        <v>46422</v>
      </c>
      <c r="W1012" t="s">
        <v>38</v>
      </c>
      <c r="Y1012" t="s">
        <v>49</v>
      </c>
      <c r="AA1012" t="s">
        <v>112</v>
      </c>
      <c r="AB1012">
        <v>12</v>
      </c>
      <c r="AC1012" t="s">
        <v>192</v>
      </c>
      <c r="AD1012" t="s">
        <v>131</v>
      </c>
      <c r="AE1012" t="s">
        <v>46</v>
      </c>
      <c r="AF1012" t="s">
        <v>96</v>
      </c>
      <c r="AG1012" t="str">
        <f t="shared" si="17"/>
        <v>CC 12x</v>
      </c>
      <c r="AH1012" t="str">
        <f>IF(AND(SUMIF(E:E,E1012,I:I)&gt;=400000,Q1012="B2G"),"n","")</f>
        <v/>
      </c>
    </row>
    <row r="1013" spans="1:34">
      <c r="A1013">
        <v>2026</v>
      </c>
      <c r="B1013">
        <v>2</v>
      </c>
      <c r="C1013" s="83">
        <v>144873833032</v>
      </c>
      <c r="D1013" t="s">
        <v>1034</v>
      </c>
      <c r="E1013">
        <v>52887427096</v>
      </c>
      <c r="F1013">
        <v>626560</v>
      </c>
      <c r="G1013">
        <v>47999491855</v>
      </c>
      <c r="H1013" t="s">
        <v>35</v>
      </c>
      <c r="I1013" s="36">
        <v>5178.6000000000004</v>
      </c>
      <c r="J1013" s="36">
        <v>5178.6000000000004</v>
      </c>
      <c r="K1013" s="85">
        <v>0</v>
      </c>
      <c r="L1013" s="36">
        <v>431.55</v>
      </c>
      <c r="M1013" s="36">
        <v>0</v>
      </c>
      <c r="N1013" s="36">
        <v>69.150000000000006</v>
      </c>
      <c r="O1013" s="36">
        <v>362.4</v>
      </c>
      <c r="P1013" t="s">
        <v>165</v>
      </c>
      <c r="Q1013" t="s">
        <v>166</v>
      </c>
      <c r="R1013" t="s">
        <v>166</v>
      </c>
      <c r="S1013" s="1">
        <v>46066</v>
      </c>
      <c r="T1013" s="1">
        <v>46066</v>
      </c>
      <c r="U1013" s="1">
        <v>46066</v>
      </c>
      <c r="V1013" s="1">
        <v>46431</v>
      </c>
      <c r="W1013" t="s">
        <v>38</v>
      </c>
      <c r="X1013">
        <v>12</v>
      </c>
      <c r="Y1013" t="s">
        <v>49</v>
      </c>
      <c r="Z1013" t="s">
        <v>81</v>
      </c>
      <c r="AA1013" t="s">
        <v>122</v>
      </c>
      <c r="AB1013">
        <v>12</v>
      </c>
      <c r="AC1013" t="s">
        <v>166</v>
      </c>
      <c r="AD1013" t="s">
        <v>85</v>
      </c>
      <c r="AE1013" t="s">
        <v>46</v>
      </c>
      <c r="AF1013" t="s">
        <v>44</v>
      </c>
      <c r="AG1013" t="str">
        <f t="shared" si="17"/>
        <v>Recorrente</v>
      </c>
      <c r="AH1013" t="str">
        <f>IF(AND(SUMIF(E:E,E1013,I:I)&gt;=400000,Q1013="B2G"),"n","")</f>
        <v/>
      </c>
    </row>
    <row r="1014" spans="1:34">
      <c r="A1014">
        <v>2026</v>
      </c>
      <c r="B1014">
        <v>2</v>
      </c>
      <c r="C1014" s="83">
        <v>144888992154</v>
      </c>
      <c r="D1014" t="s">
        <v>1035</v>
      </c>
      <c r="E1014">
        <v>55340960324</v>
      </c>
      <c r="F1014">
        <v>324976</v>
      </c>
      <c r="G1014">
        <v>51504302962</v>
      </c>
      <c r="H1014" t="s">
        <v>35</v>
      </c>
      <c r="I1014" s="36">
        <v>7354.56</v>
      </c>
      <c r="J1014" s="36">
        <v>7354.56</v>
      </c>
      <c r="K1014" s="85">
        <v>9.0949500000000005E-13</v>
      </c>
      <c r="L1014" s="36">
        <v>612.88</v>
      </c>
      <c r="M1014" s="36">
        <v>0</v>
      </c>
      <c r="N1014" s="36">
        <v>106.66</v>
      </c>
      <c r="O1014" s="36">
        <v>506.22</v>
      </c>
      <c r="P1014" t="s">
        <v>127</v>
      </c>
      <c r="Q1014" t="s">
        <v>111</v>
      </c>
      <c r="R1014" t="s">
        <v>111</v>
      </c>
      <c r="S1014" s="1">
        <v>46078</v>
      </c>
      <c r="T1014" s="1">
        <v>46078</v>
      </c>
      <c r="U1014" s="1">
        <v>46055</v>
      </c>
      <c r="V1014" s="1">
        <v>46443</v>
      </c>
      <c r="W1014" t="s">
        <v>38</v>
      </c>
      <c r="X1014">
        <v>12</v>
      </c>
      <c r="Y1014" t="s">
        <v>49</v>
      </c>
      <c r="Z1014" t="s">
        <v>81</v>
      </c>
      <c r="AA1014" t="s">
        <v>122</v>
      </c>
      <c r="AB1014">
        <v>12</v>
      </c>
      <c r="AC1014" t="s">
        <v>113</v>
      </c>
      <c r="AD1014" t="s">
        <v>134</v>
      </c>
      <c r="AE1014" t="s">
        <v>135</v>
      </c>
      <c r="AF1014" t="s">
        <v>44</v>
      </c>
      <c r="AG1014" t="str">
        <f t="shared" si="17"/>
        <v>Recorrente</v>
      </c>
      <c r="AH1014" t="str">
        <f>IF(AND(SUMIF(E:E,E1014,I:I)&gt;=400000,Q1014="B2G"),"n","")</f>
        <v/>
      </c>
    </row>
    <row r="1015" spans="1:34">
      <c r="A1015">
        <v>2026</v>
      </c>
      <c r="B1015">
        <v>2</v>
      </c>
      <c r="C1015" s="83">
        <v>144903044217</v>
      </c>
      <c r="D1015" t="s">
        <v>1036</v>
      </c>
      <c r="E1015">
        <v>54793540764</v>
      </c>
      <c r="F1015">
        <v>626700</v>
      </c>
      <c r="G1015">
        <v>52402026869</v>
      </c>
      <c r="H1015" t="s">
        <v>35</v>
      </c>
      <c r="I1015" s="36">
        <v>2874</v>
      </c>
      <c r="J1015" s="36">
        <v>2874</v>
      </c>
      <c r="K1015" s="85">
        <v>0</v>
      </c>
      <c r="L1015" s="36">
        <v>239.5</v>
      </c>
      <c r="M1015" s="36">
        <v>0</v>
      </c>
      <c r="N1015" s="36">
        <v>0.5</v>
      </c>
      <c r="O1015" s="36">
        <v>239</v>
      </c>
      <c r="P1015" t="s">
        <v>137</v>
      </c>
      <c r="Q1015" t="s">
        <v>111</v>
      </c>
      <c r="R1015" t="s">
        <v>111</v>
      </c>
      <c r="S1015" s="1">
        <v>46080</v>
      </c>
      <c r="T1015" s="1">
        <v>46080</v>
      </c>
      <c r="U1015" s="1">
        <v>46071</v>
      </c>
      <c r="V1015" s="1">
        <v>46445</v>
      </c>
      <c r="W1015" t="s">
        <v>38</v>
      </c>
      <c r="X1015">
        <v>12</v>
      </c>
      <c r="Y1015" t="s">
        <v>49</v>
      </c>
      <c r="Z1015" t="s">
        <v>81</v>
      </c>
      <c r="AA1015" t="s">
        <v>122</v>
      </c>
      <c r="AB1015">
        <v>12</v>
      </c>
      <c r="AC1015" t="s">
        <v>113</v>
      </c>
      <c r="AD1015" t="s">
        <v>140</v>
      </c>
      <c r="AE1015" t="s">
        <v>46</v>
      </c>
      <c r="AF1015" t="s">
        <v>119</v>
      </c>
      <c r="AG1015" t="str">
        <f t="shared" si="17"/>
        <v>Recorrente</v>
      </c>
      <c r="AH1015" t="str">
        <f>IF(AND(SUMIF(E:E,E1015,I:I)&gt;=400000,Q1015="B2G"),"n","")</f>
        <v/>
      </c>
    </row>
    <row r="1016" spans="1:34">
      <c r="A1016">
        <v>2026</v>
      </c>
      <c r="B1016">
        <v>2</v>
      </c>
      <c r="C1016" s="83">
        <v>145037370144</v>
      </c>
      <c r="D1016" t="s">
        <v>1037</v>
      </c>
      <c r="E1016">
        <v>52839510948</v>
      </c>
      <c r="F1016">
        <v>626579</v>
      </c>
      <c r="G1016">
        <v>48067504186</v>
      </c>
      <c r="H1016" t="s">
        <v>35</v>
      </c>
      <c r="I1016" s="36">
        <v>4530.6000000000004</v>
      </c>
      <c r="J1016" s="36">
        <v>4530.6000000000004</v>
      </c>
      <c r="K1016" s="85">
        <v>0</v>
      </c>
      <c r="L1016" s="36">
        <v>377.55</v>
      </c>
      <c r="M1016" s="36">
        <v>0</v>
      </c>
      <c r="N1016" s="36">
        <v>48.6</v>
      </c>
      <c r="O1016" s="36">
        <v>328.95</v>
      </c>
      <c r="P1016" t="s">
        <v>165</v>
      </c>
      <c r="Q1016" t="s">
        <v>166</v>
      </c>
      <c r="R1016" t="s">
        <v>166</v>
      </c>
      <c r="S1016" s="1">
        <v>46067</v>
      </c>
      <c r="T1016" s="1">
        <v>46067</v>
      </c>
      <c r="U1016" s="1">
        <v>46067</v>
      </c>
      <c r="V1016" s="1">
        <v>46432</v>
      </c>
      <c r="W1016" t="s">
        <v>38</v>
      </c>
      <c r="X1016">
        <v>12</v>
      </c>
      <c r="Y1016" t="s">
        <v>49</v>
      </c>
      <c r="Z1016" t="s">
        <v>81</v>
      </c>
      <c r="AA1016" t="s">
        <v>112</v>
      </c>
      <c r="AB1016">
        <v>12</v>
      </c>
      <c r="AC1016" t="s">
        <v>166</v>
      </c>
      <c r="AD1016" t="s">
        <v>84</v>
      </c>
      <c r="AE1016" t="s">
        <v>43</v>
      </c>
      <c r="AF1016" t="s">
        <v>44</v>
      </c>
      <c r="AG1016" t="str">
        <f t="shared" si="17"/>
        <v>CC 12x</v>
      </c>
      <c r="AH1016" t="str">
        <f>IF(AND(SUMIF(E:E,E1016,I:I)&gt;=400000,Q1016="B2G"),"n","")</f>
        <v/>
      </c>
    </row>
    <row r="1017" spans="1:34">
      <c r="A1017">
        <v>2026</v>
      </c>
      <c r="B1017">
        <v>2</v>
      </c>
      <c r="C1017" s="83">
        <v>145810173797</v>
      </c>
      <c r="D1017" t="s">
        <v>1038</v>
      </c>
      <c r="E1017">
        <v>54981636996</v>
      </c>
      <c r="F1017">
        <v>610266</v>
      </c>
      <c r="G1017">
        <v>51226407253</v>
      </c>
      <c r="H1017" t="s">
        <v>35</v>
      </c>
      <c r="I1017" s="36">
        <v>4411.2</v>
      </c>
      <c r="J1017" s="36">
        <v>4411.2</v>
      </c>
      <c r="K1017" s="85">
        <v>0</v>
      </c>
      <c r="L1017" s="36">
        <v>367.6</v>
      </c>
      <c r="M1017" s="36">
        <v>367.6</v>
      </c>
      <c r="N1017" s="36">
        <v>0</v>
      </c>
      <c r="O1017" s="36">
        <v>0</v>
      </c>
      <c r="P1017" t="s">
        <v>133</v>
      </c>
      <c r="Q1017" t="s">
        <v>111</v>
      </c>
      <c r="R1017" t="s">
        <v>111</v>
      </c>
      <c r="S1017" s="1">
        <v>46064</v>
      </c>
      <c r="T1017" s="1">
        <v>46064</v>
      </c>
      <c r="U1017" s="1">
        <v>46081</v>
      </c>
      <c r="V1017" s="1">
        <v>46446</v>
      </c>
      <c r="W1017" t="s">
        <v>38</v>
      </c>
      <c r="X1017">
        <v>12</v>
      </c>
      <c r="Y1017" t="s">
        <v>49</v>
      </c>
      <c r="Z1017" t="s">
        <v>76</v>
      </c>
      <c r="AA1017" t="s">
        <v>112</v>
      </c>
      <c r="AB1017">
        <v>12</v>
      </c>
      <c r="AC1017" t="s">
        <v>113</v>
      </c>
      <c r="AD1017" t="s">
        <v>138</v>
      </c>
      <c r="AE1017" t="s">
        <v>135</v>
      </c>
      <c r="AF1017" t="s">
        <v>119</v>
      </c>
      <c r="AG1017" t="str">
        <f t="shared" si="17"/>
        <v>CC 12x</v>
      </c>
      <c r="AH1017" t="str">
        <f>IF(AND(SUMIF(E:E,E1017,I:I)&gt;=400000,Q1017="B2G"),"n","")</f>
        <v/>
      </c>
    </row>
    <row r="1018" spans="1:34">
      <c r="A1018">
        <v>2026</v>
      </c>
      <c r="B1018">
        <v>2</v>
      </c>
      <c r="C1018" s="83">
        <v>145833323361</v>
      </c>
      <c r="D1018" t="s">
        <v>1039</v>
      </c>
      <c r="E1018">
        <v>52765981279</v>
      </c>
      <c r="F1018">
        <v>626506</v>
      </c>
      <c r="G1018">
        <v>47718724913</v>
      </c>
      <c r="H1018" t="s">
        <v>35</v>
      </c>
      <c r="I1018" s="36">
        <v>5754</v>
      </c>
      <c r="J1018" s="36">
        <v>5754</v>
      </c>
      <c r="K1018" s="85">
        <v>0</v>
      </c>
      <c r="L1018" s="36">
        <v>479.5</v>
      </c>
      <c r="M1018" s="36">
        <v>0</v>
      </c>
      <c r="N1018" s="36">
        <v>26.5</v>
      </c>
      <c r="O1018" s="36">
        <v>453</v>
      </c>
      <c r="P1018" t="s">
        <v>165</v>
      </c>
      <c r="Q1018" t="s">
        <v>166</v>
      </c>
      <c r="R1018" t="s">
        <v>166</v>
      </c>
      <c r="S1018" s="1">
        <v>46065</v>
      </c>
      <c r="T1018" s="1">
        <v>46065</v>
      </c>
      <c r="U1018" s="1">
        <v>46065</v>
      </c>
      <c r="V1018" s="1">
        <v>46430</v>
      </c>
      <c r="W1018" t="s">
        <v>38</v>
      </c>
      <c r="X1018">
        <v>12</v>
      </c>
      <c r="Y1018" t="s">
        <v>49</v>
      </c>
      <c r="Z1018" t="s">
        <v>81</v>
      </c>
      <c r="AA1018" t="s">
        <v>122</v>
      </c>
      <c r="AB1018">
        <v>12</v>
      </c>
      <c r="AC1018" t="s">
        <v>166</v>
      </c>
      <c r="AD1018" t="s">
        <v>85</v>
      </c>
      <c r="AE1018" t="s">
        <v>46</v>
      </c>
      <c r="AF1018" t="s">
        <v>44</v>
      </c>
      <c r="AG1018" t="str">
        <f t="shared" si="17"/>
        <v>Recorrente</v>
      </c>
      <c r="AH1018" t="str">
        <f>IF(AND(SUMIF(E:E,E1018,I:I)&gt;=400000,Q1018="B2G"),"n","")</f>
        <v/>
      </c>
    </row>
    <row r="1019" spans="1:34">
      <c r="A1019">
        <v>2026</v>
      </c>
      <c r="B1019">
        <v>2</v>
      </c>
      <c r="C1019" s="83">
        <v>146119269446</v>
      </c>
      <c r="D1019" t="s">
        <v>1040</v>
      </c>
      <c r="E1019">
        <v>57138949256</v>
      </c>
      <c r="F1019">
        <v>631788</v>
      </c>
      <c r="G1019">
        <v>52438381656</v>
      </c>
      <c r="H1019" t="s">
        <v>35</v>
      </c>
      <c r="I1019" s="36">
        <v>1317.72</v>
      </c>
      <c r="J1019" s="36">
        <v>2882.16</v>
      </c>
      <c r="K1019" s="85">
        <v>0</v>
      </c>
      <c r="L1019" s="36">
        <v>240.18</v>
      </c>
      <c r="M1019" s="36">
        <v>0</v>
      </c>
      <c r="N1019" s="36">
        <v>240.18</v>
      </c>
      <c r="O1019" s="36">
        <v>0</v>
      </c>
      <c r="P1019" t="s">
        <v>469</v>
      </c>
      <c r="Q1019" t="s">
        <v>191</v>
      </c>
      <c r="R1019" t="s">
        <v>191</v>
      </c>
      <c r="S1019" s="1">
        <v>46080</v>
      </c>
      <c r="T1019" s="1">
        <v>46080</v>
      </c>
      <c r="U1019" s="1">
        <v>46247</v>
      </c>
      <c r="V1019" s="1">
        <v>46247</v>
      </c>
      <c r="W1019" t="s">
        <v>38</v>
      </c>
      <c r="X1019">
        <v>6</v>
      </c>
      <c r="Y1019" t="s">
        <v>49</v>
      </c>
      <c r="Z1019" t="s">
        <v>324</v>
      </c>
      <c r="AA1019" t="s">
        <v>122</v>
      </c>
      <c r="AB1019">
        <v>5</v>
      </c>
      <c r="AC1019" t="s">
        <v>192</v>
      </c>
      <c r="AD1019" t="s">
        <v>85</v>
      </c>
      <c r="AE1019" t="s">
        <v>46</v>
      </c>
      <c r="AF1019" t="s">
        <v>44</v>
      </c>
      <c r="AG1019" t="str">
        <f t="shared" si="17"/>
        <v>Recorrente</v>
      </c>
      <c r="AH1019" t="str">
        <f>IF(AND(SUMIF(E:E,E1019,I:I)&gt;=400000,Q1019="B2G"),"n","")</f>
        <v/>
      </c>
    </row>
    <row r="1020" spans="1:34">
      <c r="A1020">
        <v>2026</v>
      </c>
      <c r="B1020">
        <v>2</v>
      </c>
      <c r="C1020" s="83">
        <v>146205164313</v>
      </c>
      <c r="D1020" t="s">
        <v>1041</v>
      </c>
      <c r="E1020">
        <v>56732078472</v>
      </c>
      <c r="F1020">
        <v>636181</v>
      </c>
      <c r="G1020">
        <v>51983603069</v>
      </c>
      <c r="H1020" t="s">
        <v>35</v>
      </c>
      <c r="I1020" s="36">
        <v>2759.04</v>
      </c>
      <c r="J1020" s="36">
        <v>2759.04</v>
      </c>
      <c r="K1020" s="85">
        <v>0</v>
      </c>
      <c r="L1020" s="36">
        <v>229.92</v>
      </c>
      <c r="M1020" s="36">
        <v>229.92</v>
      </c>
      <c r="N1020" s="36">
        <v>0</v>
      </c>
      <c r="O1020" s="36">
        <v>0</v>
      </c>
      <c r="P1020" t="s">
        <v>829</v>
      </c>
      <c r="Q1020" t="s">
        <v>300</v>
      </c>
      <c r="R1020" t="s">
        <v>300</v>
      </c>
      <c r="S1020" s="1">
        <v>46073</v>
      </c>
      <c r="T1020" s="1">
        <v>46073</v>
      </c>
      <c r="U1020" s="1"/>
      <c r="V1020" s="1">
        <v>46438</v>
      </c>
      <c r="W1020" t="s">
        <v>38</v>
      </c>
      <c r="X1020">
        <v>12</v>
      </c>
      <c r="Y1020" t="s">
        <v>49</v>
      </c>
      <c r="AA1020" t="s">
        <v>112</v>
      </c>
      <c r="AB1020">
        <v>12</v>
      </c>
      <c r="AC1020" t="s">
        <v>301</v>
      </c>
      <c r="AD1020" t="s">
        <v>118</v>
      </c>
      <c r="AE1020" t="s">
        <v>43</v>
      </c>
      <c r="AF1020" t="s">
        <v>119</v>
      </c>
      <c r="AG1020" t="str">
        <f t="shared" si="17"/>
        <v>CC 12x</v>
      </c>
      <c r="AH1020" t="str">
        <f>IF(AND(SUMIF(E:E,E1020,I:I)&gt;=400000,Q1020="B2G"),"n","")</f>
        <v/>
      </c>
    </row>
    <row r="1021" spans="1:34">
      <c r="A1021">
        <v>2026</v>
      </c>
      <c r="B1021">
        <v>2</v>
      </c>
      <c r="C1021" s="83">
        <v>146539252281</v>
      </c>
      <c r="D1021" t="s">
        <v>1042</v>
      </c>
      <c r="E1021">
        <v>56621138001</v>
      </c>
      <c r="F1021">
        <v>636139</v>
      </c>
      <c r="G1021">
        <v>51855669583</v>
      </c>
      <c r="H1021" t="s">
        <v>104</v>
      </c>
      <c r="I1021" s="36">
        <v>718.8</v>
      </c>
      <c r="J1021" s="36">
        <v>718.8</v>
      </c>
      <c r="K1021" s="85">
        <v>0</v>
      </c>
      <c r="L1021" s="36">
        <v>59.9</v>
      </c>
      <c r="M1021" s="36">
        <v>59.9</v>
      </c>
      <c r="N1021" s="36">
        <v>0</v>
      </c>
      <c r="O1021" s="36">
        <v>0</v>
      </c>
      <c r="P1021" t="s">
        <v>497</v>
      </c>
      <c r="Q1021" t="s">
        <v>498</v>
      </c>
      <c r="R1021" t="s">
        <v>498</v>
      </c>
      <c r="S1021" s="1">
        <v>46072</v>
      </c>
      <c r="T1021" s="1">
        <v>46072</v>
      </c>
      <c r="U1021" s="1"/>
      <c r="V1021" s="1">
        <v>46437</v>
      </c>
      <c r="W1021" t="s">
        <v>38</v>
      </c>
      <c r="X1021">
        <v>12</v>
      </c>
      <c r="Y1021" t="s">
        <v>49</v>
      </c>
      <c r="AA1021" t="s">
        <v>112</v>
      </c>
      <c r="AB1021">
        <v>12</v>
      </c>
      <c r="AC1021" t="s">
        <v>499</v>
      </c>
      <c r="AD1021" t="s">
        <v>105</v>
      </c>
      <c r="AE1021" t="s">
        <v>106</v>
      </c>
      <c r="AF1021" t="s">
        <v>59</v>
      </c>
      <c r="AG1021" t="str">
        <f t="shared" si="17"/>
        <v>CC 12x</v>
      </c>
      <c r="AH1021" t="str">
        <f>IF(AND(SUMIF(E:E,E1021,I:I)&gt;=400000,Q1021="B2G"),"n","")</f>
        <v/>
      </c>
    </row>
    <row r="1022" spans="1:34">
      <c r="A1022">
        <v>2026</v>
      </c>
      <c r="B1022">
        <v>2</v>
      </c>
      <c r="C1022" s="83">
        <v>146542053283</v>
      </c>
      <c r="D1022" t="s">
        <v>1043</v>
      </c>
      <c r="E1022">
        <v>53549705765</v>
      </c>
      <c r="F1022">
        <v>524486</v>
      </c>
      <c r="G1022">
        <v>48938587673</v>
      </c>
      <c r="H1022" t="s">
        <v>35</v>
      </c>
      <c r="I1022" s="36">
        <v>3381.36</v>
      </c>
      <c r="J1022" s="36">
        <v>3381.36</v>
      </c>
      <c r="K1022" s="85">
        <v>0</v>
      </c>
      <c r="L1022" s="36">
        <v>281.77999999999997</v>
      </c>
      <c r="M1022" s="36">
        <v>0</v>
      </c>
      <c r="N1022" s="36">
        <v>58.615000000000002</v>
      </c>
      <c r="O1022" s="36">
        <v>223.17</v>
      </c>
      <c r="P1022" t="s">
        <v>110</v>
      </c>
      <c r="Q1022" t="s">
        <v>111</v>
      </c>
      <c r="R1022" t="s">
        <v>111</v>
      </c>
      <c r="S1022" s="1">
        <v>46037</v>
      </c>
      <c r="T1022" s="1">
        <v>46054</v>
      </c>
      <c r="U1022" s="1">
        <v>46031</v>
      </c>
      <c r="V1022" s="1">
        <v>46402</v>
      </c>
      <c r="W1022" t="s">
        <v>38</v>
      </c>
      <c r="X1022">
        <v>12</v>
      </c>
      <c r="Y1022" t="s">
        <v>49</v>
      </c>
      <c r="Z1022" t="s">
        <v>81</v>
      </c>
      <c r="AA1022" t="s">
        <v>122</v>
      </c>
      <c r="AB1022">
        <v>12</v>
      </c>
      <c r="AC1022" t="s">
        <v>113</v>
      </c>
      <c r="AD1022" t="s">
        <v>160</v>
      </c>
      <c r="AE1022" t="s">
        <v>43</v>
      </c>
      <c r="AF1022" t="s">
        <v>44</v>
      </c>
      <c r="AG1022" t="str">
        <f t="shared" si="17"/>
        <v>Recorrente</v>
      </c>
      <c r="AH1022" t="str">
        <f>IF(AND(SUMIF(E:E,E1022,I:I)&gt;=400000,Q1022="B2G"),"n","")</f>
        <v/>
      </c>
    </row>
    <row r="1023" spans="1:34">
      <c r="A1023">
        <v>2026</v>
      </c>
      <c r="B1023">
        <v>2</v>
      </c>
      <c r="C1023" s="83">
        <v>146542053283</v>
      </c>
      <c r="D1023" t="s">
        <v>1043</v>
      </c>
      <c r="E1023">
        <v>53549705765</v>
      </c>
      <c r="F1023">
        <v>524486</v>
      </c>
      <c r="G1023">
        <v>48938587674</v>
      </c>
      <c r="H1023" t="s">
        <v>35</v>
      </c>
      <c r="I1023" s="36">
        <v>3381.36</v>
      </c>
      <c r="J1023" s="36">
        <v>3381.36</v>
      </c>
      <c r="K1023" s="85">
        <v>0</v>
      </c>
      <c r="L1023" s="36">
        <v>281.77999999999997</v>
      </c>
      <c r="M1023" s="36">
        <v>0</v>
      </c>
      <c r="N1023" s="36">
        <v>58.615000000000002</v>
      </c>
      <c r="O1023" s="36">
        <v>223.17</v>
      </c>
      <c r="P1023" t="s">
        <v>110</v>
      </c>
      <c r="Q1023" t="s">
        <v>111</v>
      </c>
      <c r="R1023" t="s">
        <v>111</v>
      </c>
      <c r="S1023" s="1">
        <v>46037</v>
      </c>
      <c r="T1023" s="1">
        <v>46054</v>
      </c>
      <c r="U1023" s="1">
        <v>46031</v>
      </c>
      <c r="V1023" s="1">
        <v>46402</v>
      </c>
      <c r="W1023" t="s">
        <v>38</v>
      </c>
      <c r="X1023">
        <v>12</v>
      </c>
      <c r="Y1023" t="s">
        <v>49</v>
      </c>
      <c r="Z1023" t="s">
        <v>81</v>
      </c>
      <c r="AA1023" t="s">
        <v>122</v>
      </c>
      <c r="AB1023">
        <v>12</v>
      </c>
      <c r="AC1023" t="s">
        <v>113</v>
      </c>
      <c r="AD1023" t="s">
        <v>114</v>
      </c>
      <c r="AE1023" t="s">
        <v>43</v>
      </c>
      <c r="AF1023" t="s">
        <v>44</v>
      </c>
      <c r="AG1023" t="str">
        <f t="shared" si="17"/>
        <v>Recorrente</v>
      </c>
      <c r="AH1023" t="str">
        <f>IF(AND(SUMIF(E:E,E1023,I:I)&gt;=400000,Q1023="B2G"),"n","")</f>
        <v/>
      </c>
    </row>
    <row r="1024" spans="1:34">
      <c r="A1024">
        <v>2026</v>
      </c>
      <c r="B1024">
        <v>2</v>
      </c>
      <c r="C1024" s="83">
        <v>148446075022</v>
      </c>
      <c r="D1024" t="s">
        <v>1044</v>
      </c>
      <c r="E1024">
        <v>55456011953</v>
      </c>
      <c r="F1024">
        <v>635891</v>
      </c>
      <c r="G1024">
        <v>50697746791</v>
      </c>
      <c r="H1024" t="s">
        <v>35</v>
      </c>
      <c r="I1024" s="36">
        <v>2644.08</v>
      </c>
      <c r="J1024" s="36">
        <v>2644.08</v>
      </c>
      <c r="K1024" s="85">
        <v>0</v>
      </c>
      <c r="L1024" s="36">
        <v>220.34</v>
      </c>
      <c r="M1024" s="36">
        <v>220.34</v>
      </c>
      <c r="N1024" s="36">
        <v>0</v>
      </c>
      <c r="O1024" s="36">
        <v>0</v>
      </c>
      <c r="P1024" t="s">
        <v>506</v>
      </c>
      <c r="Q1024" t="s">
        <v>300</v>
      </c>
      <c r="R1024" t="s">
        <v>300</v>
      </c>
      <c r="S1024" s="1">
        <v>46056</v>
      </c>
      <c r="T1024" s="1">
        <v>46056</v>
      </c>
      <c r="V1024" s="1">
        <v>46421</v>
      </c>
      <c r="W1024" t="s">
        <v>38</v>
      </c>
      <c r="X1024">
        <v>12</v>
      </c>
      <c r="Y1024" t="s">
        <v>49</v>
      </c>
      <c r="AA1024" t="s">
        <v>112</v>
      </c>
      <c r="AB1024">
        <v>12</v>
      </c>
      <c r="AC1024" t="s">
        <v>301</v>
      </c>
      <c r="AD1024" t="s">
        <v>118</v>
      </c>
      <c r="AE1024" t="s">
        <v>43</v>
      </c>
      <c r="AF1024" t="s">
        <v>119</v>
      </c>
      <c r="AG1024" t="str">
        <f t="shared" si="17"/>
        <v>CC 12x</v>
      </c>
      <c r="AH1024" t="str">
        <f>IF(AND(SUMIF(E:E,E1024,I:I)&gt;=400000,Q1024="B2G"),"n","")</f>
        <v/>
      </c>
    </row>
    <row r="1025" spans="1:34">
      <c r="A1025">
        <v>2026</v>
      </c>
      <c r="B1025">
        <v>2</v>
      </c>
      <c r="C1025" s="83">
        <v>148861240095</v>
      </c>
      <c r="D1025" t="s">
        <v>1045</v>
      </c>
      <c r="E1025">
        <v>53259979945</v>
      </c>
      <c r="F1025">
        <v>625656</v>
      </c>
      <c r="G1025">
        <v>49704754025</v>
      </c>
      <c r="H1025" t="s">
        <v>35</v>
      </c>
      <c r="I1025" s="36">
        <v>8634.6</v>
      </c>
      <c r="J1025" s="36">
        <v>8634.6</v>
      </c>
      <c r="K1025" s="85">
        <v>0</v>
      </c>
      <c r="L1025" s="36">
        <v>719.55</v>
      </c>
      <c r="M1025" s="36">
        <v>0</v>
      </c>
      <c r="N1025" s="36">
        <v>265.10000000000002</v>
      </c>
      <c r="O1025" s="36">
        <v>454.45</v>
      </c>
      <c r="P1025" t="s">
        <v>127</v>
      </c>
      <c r="Q1025" t="s">
        <v>111</v>
      </c>
      <c r="R1025" t="s">
        <v>111</v>
      </c>
      <c r="S1025" s="1">
        <v>46044</v>
      </c>
      <c r="T1025" s="1">
        <v>46054</v>
      </c>
      <c r="U1025" s="1">
        <v>46039</v>
      </c>
      <c r="V1025" s="1">
        <v>46409</v>
      </c>
      <c r="W1025" t="s">
        <v>38</v>
      </c>
      <c r="X1025">
        <v>12</v>
      </c>
      <c r="Y1025" t="s">
        <v>49</v>
      </c>
      <c r="Z1025" t="s">
        <v>81</v>
      </c>
      <c r="AA1025" t="s">
        <v>122</v>
      </c>
      <c r="AB1025">
        <v>12</v>
      </c>
      <c r="AC1025" t="s">
        <v>113</v>
      </c>
      <c r="AD1025" t="s">
        <v>131</v>
      </c>
      <c r="AE1025" t="s">
        <v>46</v>
      </c>
      <c r="AF1025" t="s">
        <v>96</v>
      </c>
      <c r="AG1025" t="str">
        <f t="shared" si="17"/>
        <v>Recorrente</v>
      </c>
      <c r="AH1025" t="str">
        <f>IF(AND(SUMIF(E:E,E1025,I:I)&gt;=400000,Q1025="B2G"),"n","")</f>
        <v/>
      </c>
    </row>
    <row r="1026" spans="1:34">
      <c r="A1026">
        <v>2026</v>
      </c>
      <c r="B1026">
        <v>2</v>
      </c>
      <c r="C1026" s="83">
        <v>148939168099</v>
      </c>
      <c r="D1026" t="s">
        <v>1046</v>
      </c>
      <c r="E1026">
        <v>57162062628</v>
      </c>
      <c r="F1026">
        <v>636327</v>
      </c>
      <c r="G1026">
        <v>52401629191</v>
      </c>
      <c r="H1026" t="s">
        <v>35</v>
      </c>
      <c r="I1026" s="36">
        <v>2759.04</v>
      </c>
      <c r="J1026" s="36">
        <v>2759.04</v>
      </c>
      <c r="K1026" s="85">
        <v>0</v>
      </c>
      <c r="L1026" s="36">
        <v>229.92</v>
      </c>
      <c r="M1026" s="36">
        <v>229.92</v>
      </c>
      <c r="N1026" s="36">
        <v>0</v>
      </c>
      <c r="O1026" s="36">
        <v>0</v>
      </c>
      <c r="P1026" t="s">
        <v>829</v>
      </c>
      <c r="Q1026" t="s">
        <v>300</v>
      </c>
      <c r="R1026" t="s">
        <v>300</v>
      </c>
      <c r="S1026" s="1">
        <v>46080</v>
      </c>
      <c r="T1026" s="1">
        <v>46080</v>
      </c>
      <c r="U1026" s="1"/>
      <c r="V1026" s="1">
        <v>46445</v>
      </c>
      <c r="W1026" t="s">
        <v>38</v>
      </c>
      <c r="X1026">
        <v>12</v>
      </c>
      <c r="Y1026" t="s">
        <v>49</v>
      </c>
      <c r="AA1026" t="s">
        <v>112</v>
      </c>
      <c r="AB1026">
        <v>12</v>
      </c>
      <c r="AC1026" t="s">
        <v>301</v>
      </c>
      <c r="AD1026" t="s">
        <v>140</v>
      </c>
      <c r="AE1026" t="s">
        <v>46</v>
      </c>
      <c r="AF1026" t="s">
        <v>119</v>
      </c>
      <c r="AG1026" t="str">
        <f t="shared" si="17"/>
        <v>CC 12x</v>
      </c>
      <c r="AH1026" t="str">
        <f>IF(AND(SUMIF(E:E,E1026,I:I)&gt;=400000,Q1026="B2G"),"n","")</f>
        <v/>
      </c>
    </row>
    <row r="1027" spans="1:34">
      <c r="A1027">
        <v>2026</v>
      </c>
      <c r="B1027">
        <v>2</v>
      </c>
      <c r="C1027" s="83">
        <v>149212044554</v>
      </c>
      <c r="D1027" t="s">
        <v>1047</v>
      </c>
      <c r="E1027">
        <v>55486042708</v>
      </c>
      <c r="F1027">
        <v>636332</v>
      </c>
      <c r="G1027">
        <v>51983537439</v>
      </c>
      <c r="H1027" t="s">
        <v>35</v>
      </c>
      <c r="I1027" s="36">
        <v>5072.88</v>
      </c>
      <c r="J1027" s="36">
        <v>5072.88</v>
      </c>
      <c r="K1027" s="85">
        <v>0</v>
      </c>
      <c r="L1027" s="36">
        <v>422.74</v>
      </c>
      <c r="M1027" s="36">
        <v>0</v>
      </c>
      <c r="N1027" s="36">
        <v>45.87</v>
      </c>
      <c r="O1027" s="36">
        <v>376.87</v>
      </c>
      <c r="P1027" t="s">
        <v>323</v>
      </c>
      <c r="Q1027" t="s">
        <v>191</v>
      </c>
      <c r="R1027" t="s">
        <v>191</v>
      </c>
      <c r="S1027" s="1">
        <v>46081</v>
      </c>
      <c r="T1027" s="1">
        <v>46081</v>
      </c>
      <c r="V1027" s="1">
        <v>46448</v>
      </c>
      <c r="W1027" t="s">
        <v>38</v>
      </c>
      <c r="Y1027" t="s">
        <v>49</v>
      </c>
      <c r="AA1027" t="s">
        <v>112</v>
      </c>
      <c r="AB1027">
        <v>12</v>
      </c>
      <c r="AC1027" t="s">
        <v>192</v>
      </c>
      <c r="AD1027" t="s">
        <v>138</v>
      </c>
      <c r="AE1027" t="s">
        <v>135</v>
      </c>
      <c r="AF1027" t="s">
        <v>119</v>
      </c>
      <c r="AG1027" t="str">
        <f t="shared" si="17"/>
        <v>CC 12x</v>
      </c>
      <c r="AH1027" t="str">
        <f>IF(AND(SUMIF(E:E,E1027,I:I)&gt;=400000,Q1027="B2G"),"n","")</f>
        <v/>
      </c>
    </row>
    <row r="1028" spans="1:34">
      <c r="A1028">
        <v>2026</v>
      </c>
      <c r="B1028">
        <v>2</v>
      </c>
      <c r="C1028" s="83">
        <v>149241869369</v>
      </c>
      <c r="D1028" t="s">
        <v>1048</v>
      </c>
      <c r="E1028">
        <v>54209794127</v>
      </c>
      <c r="F1028">
        <v>304357</v>
      </c>
      <c r="G1028">
        <v>49949786008</v>
      </c>
      <c r="H1028" t="s">
        <v>35</v>
      </c>
      <c r="I1028" s="36">
        <v>9212.16</v>
      </c>
      <c r="J1028" s="36">
        <v>9212.16</v>
      </c>
      <c r="K1028" s="85">
        <v>0</v>
      </c>
      <c r="L1028" s="36">
        <v>767.68</v>
      </c>
      <c r="M1028" s="36">
        <v>0</v>
      </c>
      <c r="N1028" s="36">
        <v>326.95</v>
      </c>
      <c r="O1028" s="36">
        <v>440.73</v>
      </c>
      <c r="P1028" t="s">
        <v>116</v>
      </c>
      <c r="Q1028" t="s">
        <v>111</v>
      </c>
      <c r="R1028" t="s">
        <v>111</v>
      </c>
      <c r="S1028" s="1">
        <v>46048</v>
      </c>
      <c r="T1028" s="1">
        <v>46054</v>
      </c>
      <c r="U1028" s="1">
        <v>46056</v>
      </c>
      <c r="V1028" s="1">
        <v>46421</v>
      </c>
      <c r="W1028" t="s">
        <v>38</v>
      </c>
      <c r="X1028">
        <v>12</v>
      </c>
      <c r="Y1028" t="s">
        <v>49</v>
      </c>
      <c r="Z1028" t="s">
        <v>81</v>
      </c>
      <c r="AA1028" t="s">
        <v>112</v>
      </c>
      <c r="AB1028">
        <v>12</v>
      </c>
      <c r="AC1028" t="s">
        <v>113</v>
      </c>
      <c r="AD1028" t="s">
        <v>154</v>
      </c>
      <c r="AE1028" t="s">
        <v>46</v>
      </c>
      <c r="AF1028" t="s">
        <v>47</v>
      </c>
      <c r="AG1028" t="str">
        <f t="shared" si="17"/>
        <v>CC 12x</v>
      </c>
      <c r="AH1028" t="str">
        <f>IF(AND(SUMIF(E:E,E1028,I:I)&gt;=400000,Q1028="B2G"),"n","")</f>
        <v/>
      </c>
    </row>
    <row r="1029" spans="1:34">
      <c r="A1029">
        <v>2026</v>
      </c>
      <c r="B1029">
        <v>2</v>
      </c>
      <c r="C1029" s="83">
        <v>149589780855</v>
      </c>
      <c r="D1029" t="s">
        <v>1049</v>
      </c>
      <c r="E1029">
        <v>56716938274</v>
      </c>
      <c r="F1029">
        <v>636296</v>
      </c>
      <c r="G1029">
        <v>51983344261</v>
      </c>
      <c r="H1029" t="s">
        <v>35</v>
      </c>
      <c r="I1029" s="36">
        <v>5514</v>
      </c>
      <c r="J1029" s="36">
        <v>5514</v>
      </c>
      <c r="K1029" s="85">
        <v>0</v>
      </c>
      <c r="L1029" s="36">
        <v>459.5</v>
      </c>
      <c r="M1029" s="36">
        <v>459.5</v>
      </c>
      <c r="N1029" s="36">
        <v>0</v>
      </c>
      <c r="O1029" s="36">
        <v>0</v>
      </c>
      <c r="P1029" t="s">
        <v>511</v>
      </c>
      <c r="Q1029" t="s">
        <v>300</v>
      </c>
      <c r="R1029" t="s">
        <v>300</v>
      </c>
      <c r="S1029" s="1">
        <v>46080</v>
      </c>
      <c r="T1029" s="1">
        <v>46080</v>
      </c>
      <c r="V1029" s="1">
        <v>46445</v>
      </c>
      <c r="W1029" t="s">
        <v>38</v>
      </c>
      <c r="X1029">
        <v>12</v>
      </c>
      <c r="Y1029" t="s">
        <v>49</v>
      </c>
      <c r="AA1029" t="s">
        <v>122</v>
      </c>
      <c r="AB1029">
        <v>12</v>
      </c>
      <c r="AC1029" t="s">
        <v>301</v>
      </c>
      <c r="AD1029" t="s">
        <v>138</v>
      </c>
      <c r="AE1029" t="s">
        <v>135</v>
      </c>
      <c r="AF1029" t="s">
        <v>119</v>
      </c>
      <c r="AG1029" t="str">
        <f t="shared" si="17"/>
        <v>Recorrente</v>
      </c>
      <c r="AH1029" t="str">
        <f>IF(AND(SUMIF(E:E,E1029,I:I)&gt;=400000,Q1029="B2G"),"n","")</f>
        <v/>
      </c>
    </row>
    <row r="1030" spans="1:34">
      <c r="A1030">
        <v>2026</v>
      </c>
      <c r="B1030">
        <v>2</v>
      </c>
      <c r="C1030" s="83">
        <v>150663692580</v>
      </c>
      <c r="D1030" t="s">
        <v>1050</v>
      </c>
      <c r="E1030">
        <v>53072263063</v>
      </c>
      <c r="F1030">
        <v>504781</v>
      </c>
      <c r="G1030">
        <v>48208116042</v>
      </c>
      <c r="H1030" t="s">
        <v>35</v>
      </c>
      <c r="I1030" s="36">
        <v>5754</v>
      </c>
      <c r="J1030" s="36">
        <v>5754</v>
      </c>
      <c r="K1030" s="85">
        <v>0</v>
      </c>
      <c r="L1030" s="36">
        <v>479.5</v>
      </c>
      <c r="M1030" s="36">
        <v>0</v>
      </c>
      <c r="N1030" s="36">
        <v>30.5</v>
      </c>
      <c r="O1030" s="36">
        <v>449</v>
      </c>
      <c r="P1030" t="s">
        <v>165</v>
      </c>
      <c r="Q1030" t="s">
        <v>166</v>
      </c>
      <c r="R1030" t="s">
        <v>166</v>
      </c>
      <c r="S1030" s="1">
        <v>46069</v>
      </c>
      <c r="T1030" s="1">
        <v>46069</v>
      </c>
      <c r="U1030" s="1">
        <v>46069</v>
      </c>
      <c r="V1030" s="1">
        <v>46434</v>
      </c>
      <c r="W1030" t="s">
        <v>38</v>
      </c>
      <c r="X1030">
        <v>12</v>
      </c>
      <c r="Y1030" t="s">
        <v>49</v>
      </c>
      <c r="Z1030" t="s">
        <v>81</v>
      </c>
      <c r="AA1030" t="s">
        <v>112</v>
      </c>
      <c r="AB1030">
        <v>12</v>
      </c>
      <c r="AC1030" t="s">
        <v>166</v>
      </c>
      <c r="AD1030" t="s">
        <v>85</v>
      </c>
      <c r="AE1030" t="s">
        <v>46</v>
      </c>
      <c r="AF1030" t="s">
        <v>44</v>
      </c>
      <c r="AG1030" t="str">
        <f t="shared" si="17"/>
        <v>CC 12x</v>
      </c>
      <c r="AH1030" t="str">
        <f>IF(AND(SUMIF(E:E,E1030,I:I)&gt;=400000,Q1030="B2G"),"n","")</f>
        <v/>
      </c>
    </row>
    <row r="1031" spans="1:34">
      <c r="A1031">
        <v>2026</v>
      </c>
      <c r="B1031">
        <v>2</v>
      </c>
      <c r="C1031" s="83">
        <v>150900646423</v>
      </c>
      <c r="D1031" t="s">
        <v>1051</v>
      </c>
      <c r="E1031">
        <v>53989168966</v>
      </c>
      <c r="F1031">
        <v>626986</v>
      </c>
      <c r="G1031">
        <v>49944662113</v>
      </c>
      <c r="H1031" t="s">
        <v>35</v>
      </c>
      <c r="I1031" s="36">
        <v>4065</v>
      </c>
      <c r="J1031" s="36">
        <v>4065</v>
      </c>
      <c r="K1031" s="85">
        <v>0</v>
      </c>
      <c r="L1031" s="36">
        <v>338.75</v>
      </c>
      <c r="M1031" s="36">
        <v>0</v>
      </c>
      <c r="N1031" s="36">
        <v>26.24</v>
      </c>
      <c r="O1031" s="36">
        <v>312.51</v>
      </c>
      <c r="P1031" t="s">
        <v>162</v>
      </c>
      <c r="Q1031" t="s">
        <v>111</v>
      </c>
      <c r="R1031" t="s">
        <v>111</v>
      </c>
      <c r="S1031" s="1">
        <v>46049</v>
      </c>
      <c r="T1031" s="1">
        <v>46054</v>
      </c>
      <c r="U1031" s="1">
        <v>46079</v>
      </c>
      <c r="V1031" s="1">
        <v>46444</v>
      </c>
      <c r="W1031" t="s">
        <v>38</v>
      </c>
      <c r="X1031">
        <v>12</v>
      </c>
      <c r="Y1031" t="s">
        <v>49</v>
      </c>
      <c r="Z1031" t="s">
        <v>81</v>
      </c>
      <c r="AA1031" t="s">
        <v>112</v>
      </c>
      <c r="AB1031">
        <v>12</v>
      </c>
      <c r="AC1031" t="s">
        <v>113</v>
      </c>
      <c r="AD1031" t="s">
        <v>84</v>
      </c>
      <c r="AE1031" t="s">
        <v>43</v>
      </c>
      <c r="AF1031" t="s">
        <v>44</v>
      </c>
      <c r="AG1031" t="str">
        <f t="shared" si="17"/>
        <v>CC 12x</v>
      </c>
      <c r="AH1031" t="str">
        <f>IF(AND(SUMIF(E:E,E1031,I:I)&gt;=400000,Q1031="B2G"),"n","")</f>
        <v/>
      </c>
    </row>
    <row r="1032" spans="1:34">
      <c r="A1032">
        <v>2026</v>
      </c>
      <c r="B1032">
        <v>2</v>
      </c>
      <c r="C1032" s="83">
        <v>151818364597</v>
      </c>
      <c r="D1032" t="s">
        <v>1052</v>
      </c>
      <c r="E1032">
        <v>56557422763</v>
      </c>
      <c r="F1032">
        <v>636118</v>
      </c>
      <c r="G1032">
        <v>51841823663</v>
      </c>
      <c r="H1032" t="s">
        <v>35</v>
      </c>
      <c r="I1032" s="36">
        <v>2586.6</v>
      </c>
      <c r="J1032" s="36">
        <v>2586.6</v>
      </c>
      <c r="K1032" s="85">
        <v>0</v>
      </c>
      <c r="L1032" s="36">
        <v>215.55</v>
      </c>
      <c r="M1032" s="36">
        <v>215.55</v>
      </c>
      <c r="N1032" s="36">
        <v>0</v>
      </c>
      <c r="O1032" s="36">
        <v>0</v>
      </c>
      <c r="P1032" t="s">
        <v>506</v>
      </c>
      <c r="Q1032" t="s">
        <v>300</v>
      </c>
      <c r="R1032" t="s">
        <v>300</v>
      </c>
      <c r="S1032" s="1">
        <v>46071</v>
      </c>
      <c r="T1032" s="1">
        <v>46071</v>
      </c>
      <c r="V1032" s="1">
        <v>46436</v>
      </c>
      <c r="W1032" t="s">
        <v>38</v>
      </c>
      <c r="X1032">
        <v>12</v>
      </c>
      <c r="Y1032" t="s">
        <v>49</v>
      </c>
      <c r="AA1032" t="s">
        <v>112</v>
      </c>
      <c r="AB1032">
        <v>12</v>
      </c>
      <c r="AC1032" t="s">
        <v>301</v>
      </c>
      <c r="AD1032" t="s">
        <v>140</v>
      </c>
      <c r="AE1032" t="s">
        <v>46</v>
      </c>
      <c r="AF1032" t="s">
        <v>119</v>
      </c>
      <c r="AG1032" t="str">
        <f t="shared" si="17"/>
        <v>CC 12x</v>
      </c>
      <c r="AH1032" t="str">
        <f>IF(AND(SUMIF(E:E,E1032,I:I)&gt;=400000,Q1032="B2G"),"n","")</f>
        <v/>
      </c>
    </row>
    <row r="1033" spans="1:34">
      <c r="A1033">
        <v>2026</v>
      </c>
      <c r="B1033">
        <v>2</v>
      </c>
      <c r="C1033" s="83">
        <v>152113293973</v>
      </c>
      <c r="D1033" t="s">
        <v>1053</v>
      </c>
      <c r="E1033">
        <v>56378997861</v>
      </c>
      <c r="F1033">
        <v>609276</v>
      </c>
      <c r="G1033">
        <v>51905563941</v>
      </c>
      <c r="H1033" t="s">
        <v>35</v>
      </c>
      <c r="I1033" s="36">
        <v>4065</v>
      </c>
      <c r="J1033" s="36">
        <v>4065</v>
      </c>
      <c r="K1033" s="85">
        <v>0</v>
      </c>
      <c r="L1033" s="36">
        <v>338.75</v>
      </c>
      <c r="M1033" s="36">
        <v>0</v>
      </c>
      <c r="N1033" s="36">
        <v>50.036250000000003</v>
      </c>
      <c r="O1033" s="36">
        <v>288.70999999999998</v>
      </c>
      <c r="P1033" t="s">
        <v>137</v>
      </c>
      <c r="Q1033" t="s">
        <v>111</v>
      </c>
      <c r="R1033" t="s">
        <v>111</v>
      </c>
      <c r="S1033" s="1">
        <v>46071</v>
      </c>
      <c r="T1033" s="1">
        <v>46071</v>
      </c>
      <c r="U1033" s="1">
        <v>46068</v>
      </c>
      <c r="V1033" s="1">
        <v>46433</v>
      </c>
      <c r="W1033" t="s">
        <v>38</v>
      </c>
      <c r="X1033">
        <v>12</v>
      </c>
      <c r="Y1033" t="s">
        <v>49</v>
      </c>
      <c r="Z1033" t="s">
        <v>81</v>
      </c>
      <c r="AA1033" t="s">
        <v>112</v>
      </c>
      <c r="AB1033">
        <v>12</v>
      </c>
      <c r="AC1033" t="s">
        <v>113</v>
      </c>
      <c r="AD1033" t="s">
        <v>84</v>
      </c>
      <c r="AE1033" t="s">
        <v>43</v>
      </c>
      <c r="AF1033" t="s">
        <v>44</v>
      </c>
      <c r="AG1033" t="str">
        <f t="shared" si="17"/>
        <v>CC 12x</v>
      </c>
      <c r="AH1033" t="str">
        <f>IF(AND(SUMIF(E:E,E1033,I:I)&gt;=400000,Q1033="B2G"),"n","")</f>
        <v/>
      </c>
    </row>
    <row r="1034" spans="1:34">
      <c r="A1034">
        <v>2026</v>
      </c>
      <c r="B1034">
        <v>2</v>
      </c>
      <c r="C1034" s="83">
        <v>152700342919</v>
      </c>
      <c r="D1034" t="s">
        <v>1054</v>
      </c>
      <c r="E1034">
        <v>57051886405</v>
      </c>
      <c r="F1034">
        <v>636270</v>
      </c>
      <c r="G1034">
        <v>52283156036</v>
      </c>
      <c r="H1034" t="s">
        <v>35</v>
      </c>
      <c r="I1034" s="36">
        <v>5203.92</v>
      </c>
      <c r="J1034" s="36">
        <v>5203.9260000000004</v>
      </c>
      <c r="K1034" s="85">
        <v>0</v>
      </c>
      <c r="L1034" s="36">
        <v>433.66050000000001</v>
      </c>
      <c r="M1034" s="36">
        <v>0</v>
      </c>
      <c r="N1034" s="36">
        <v>433.66050000000001</v>
      </c>
      <c r="O1034" s="36">
        <v>0</v>
      </c>
      <c r="P1034" t="s">
        <v>520</v>
      </c>
      <c r="Q1034" t="s">
        <v>191</v>
      </c>
      <c r="R1034" t="s">
        <v>191</v>
      </c>
      <c r="S1034" s="1">
        <v>46079</v>
      </c>
      <c r="T1034" s="1">
        <v>46079</v>
      </c>
      <c r="U1034" s="1"/>
      <c r="V1034" s="1">
        <v>46444</v>
      </c>
      <c r="W1034" t="s">
        <v>38</v>
      </c>
      <c r="X1034">
        <v>12</v>
      </c>
      <c r="Y1034" t="s">
        <v>49</v>
      </c>
      <c r="AA1034" t="s">
        <v>112</v>
      </c>
      <c r="AB1034">
        <v>3</v>
      </c>
      <c r="AC1034" t="s">
        <v>192</v>
      </c>
      <c r="AD1034" t="s">
        <v>149</v>
      </c>
      <c r="AE1034" t="s">
        <v>43</v>
      </c>
      <c r="AF1034" t="s">
        <v>96</v>
      </c>
      <c r="AG1034" t="str">
        <f t="shared" si="17"/>
        <v>CC 3x</v>
      </c>
      <c r="AH1034" t="str">
        <f>IF(AND(SUMIF(E:E,E1034,I:I)&gt;=400000,Q1034="B2G"),"n","")</f>
        <v/>
      </c>
    </row>
    <row r="1035" spans="1:34">
      <c r="A1035">
        <v>2026</v>
      </c>
      <c r="B1035">
        <v>2</v>
      </c>
      <c r="C1035" s="83">
        <v>152701408817</v>
      </c>
      <c r="D1035" t="s">
        <v>1055</v>
      </c>
      <c r="E1035">
        <v>53637005825</v>
      </c>
      <c r="F1035">
        <v>528258</v>
      </c>
      <c r="G1035">
        <v>48899467376</v>
      </c>
      <c r="H1035" t="s">
        <v>35</v>
      </c>
      <c r="I1035" s="36">
        <v>5514</v>
      </c>
      <c r="J1035" s="36">
        <v>5514</v>
      </c>
      <c r="K1035" s="85">
        <v>0</v>
      </c>
      <c r="L1035" s="36">
        <v>459.5</v>
      </c>
      <c r="M1035" s="36">
        <v>0</v>
      </c>
      <c r="N1035" s="36">
        <v>30.5</v>
      </c>
      <c r="O1035" s="36">
        <v>429</v>
      </c>
      <c r="P1035" t="s">
        <v>165</v>
      </c>
      <c r="Q1035" t="s">
        <v>166</v>
      </c>
      <c r="R1035" t="s">
        <v>166</v>
      </c>
      <c r="S1035" s="1">
        <v>46077</v>
      </c>
      <c r="T1035" s="1">
        <v>46077</v>
      </c>
      <c r="U1035" s="1">
        <v>46080</v>
      </c>
      <c r="V1035" s="1">
        <v>46445</v>
      </c>
      <c r="W1035" t="s">
        <v>38</v>
      </c>
      <c r="X1035">
        <v>12</v>
      </c>
      <c r="Y1035" t="s">
        <v>49</v>
      </c>
      <c r="Z1035" t="s">
        <v>81</v>
      </c>
      <c r="AA1035" t="s">
        <v>122</v>
      </c>
      <c r="AB1035">
        <v>12</v>
      </c>
      <c r="AC1035" t="s">
        <v>166</v>
      </c>
      <c r="AD1035" t="s">
        <v>138</v>
      </c>
      <c r="AE1035" t="s">
        <v>135</v>
      </c>
      <c r="AF1035" t="s">
        <v>119</v>
      </c>
      <c r="AG1035" t="str">
        <f t="shared" si="17"/>
        <v>Recorrente</v>
      </c>
      <c r="AH1035" t="str">
        <f>IF(AND(SUMIF(E:E,E1035,I:I)&gt;=400000,Q1035="B2G"),"n","")</f>
        <v/>
      </c>
    </row>
    <row r="1036" spans="1:34">
      <c r="A1036">
        <v>2026</v>
      </c>
      <c r="B1036">
        <v>2</v>
      </c>
      <c r="C1036" s="83">
        <v>153721203831</v>
      </c>
      <c r="D1036" t="s">
        <v>1056</v>
      </c>
      <c r="E1036">
        <v>56574873444</v>
      </c>
      <c r="F1036">
        <v>527838</v>
      </c>
      <c r="G1036">
        <v>52245330542</v>
      </c>
      <c r="H1036" t="s">
        <v>35</v>
      </c>
      <c r="I1036" s="36">
        <v>8260.08</v>
      </c>
      <c r="J1036" s="36">
        <v>4130.04</v>
      </c>
      <c r="K1036" s="85">
        <v>4130.04</v>
      </c>
      <c r="L1036" s="36">
        <v>344.17</v>
      </c>
      <c r="M1036" s="36">
        <v>344.17</v>
      </c>
      <c r="N1036" s="36">
        <v>0</v>
      </c>
      <c r="O1036" s="36">
        <v>0</v>
      </c>
      <c r="P1036" t="s">
        <v>133</v>
      </c>
      <c r="Q1036" t="s">
        <v>111</v>
      </c>
      <c r="R1036" t="s">
        <v>111</v>
      </c>
      <c r="S1036" s="1">
        <v>46077</v>
      </c>
      <c r="T1036" s="1">
        <v>46077</v>
      </c>
      <c r="U1036" s="1">
        <v>46070</v>
      </c>
      <c r="V1036" s="1">
        <v>46811</v>
      </c>
      <c r="W1036" t="s">
        <v>56</v>
      </c>
      <c r="X1036">
        <v>24</v>
      </c>
      <c r="Y1036" t="s">
        <v>49</v>
      </c>
      <c r="Z1036" t="s">
        <v>81</v>
      </c>
      <c r="AA1036" t="s">
        <v>122</v>
      </c>
      <c r="AB1036">
        <v>24</v>
      </c>
      <c r="AC1036" t="s">
        <v>113</v>
      </c>
      <c r="AD1036" t="s">
        <v>149</v>
      </c>
      <c r="AE1036" t="s">
        <v>43</v>
      </c>
      <c r="AF1036" t="s">
        <v>96</v>
      </c>
      <c r="AG1036" t="str">
        <f t="shared" si="17"/>
        <v>Recorrente</v>
      </c>
      <c r="AH1036" t="str">
        <f>IF(AND(SUMIF(E:E,E1036,I:I)&gt;=400000,Q1036="B2G"),"n","")</f>
        <v/>
      </c>
    </row>
    <row r="1037" spans="1:34">
      <c r="A1037">
        <v>2026</v>
      </c>
      <c r="B1037">
        <v>2</v>
      </c>
      <c r="C1037" s="83">
        <v>153808369489</v>
      </c>
      <c r="D1037" t="s">
        <v>1057</v>
      </c>
      <c r="E1037">
        <v>54796020906</v>
      </c>
      <c r="F1037">
        <v>306654</v>
      </c>
      <c r="G1037">
        <v>52099015260</v>
      </c>
      <c r="H1037" t="s">
        <v>35</v>
      </c>
      <c r="I1037" s="36">
        <v>4027.2</v>
      </c>
      <c r="J1037" s="36">
        <v>4027.2</v>
      </c>
      <c r="K1037" s="85">
        <v>0</v>
      </c>
      <c r="L1037" s="36">
        <v>335.6</v>
      </c>
      <c r="M1037" s="36">
        <v>0</v>
      </c>
      <c r="N1037" s="36">
        <v>47.45</v>
      </c>
      <c r="O1037" s="36">
        <v>288.14999999999998</v>
      </c>
      <c r="P1037" t="s">
        <v>133</v>
      </c>
      <c r="Q1037" t="s">
        <v>111</v>
      </c>
      <c r="R1037" t="s">
        <v>111</v>
      </c>
      <c r="S1037" s="1">
        <v>46076</v>
      </c>
      <c r="T1037" s="1">
        <v>46076</v>
      </c>
      <c r="U1037" s="1">
        <v>46075</v>
      </c>
      <c r="V1037" s="1">
        <v>46446</v>
      </c>
      <c r="W1037" t="s">
        <v>38</v>
      </c>
      <c r="X1037">
        <v>12</v>
      </c>
      <c r="Y1037" t="s">
        <v>49</v>
      </c>
      <c r="Z1037" t="s">
        <v>81</v>
      </c>
      <c r="AA1037" t="s">
        <v>122</v>
      </c>
      <c r="AB1037">
        <v>12</v>
      </c>
      <c r="AC1037" t="s">
        <v>113</v>
      </c>
      <c r="AD1037" t="s">
        <v>84</v>
      </c>
      <c r="AE1037" t="s">
        <v>43</v>
      </c>
      <c r="AF1037" t="s">
        <v>44</v>
      </c>
      <c r="AG1037" t="str">
        <f t="shared" si="17"/>
        <v>Recorrente</v>
      </c>
      <c r="AH1037" t="str">
        <f>IF(AND(SUMIF(E:E,E1037,I:I)&gt;=400000,Q1037="B2G"),"n","")</f>
        <v/>
      </c>
    </row>
    <row r="1038" spans="1:34">
      <c r="A1038">
        <v>2026</v>
      </c>
      <c r="B1038">
        <v>2</v>
      </c>
      <c r="C1038" s="83">
        <v>154500669009</v>
      </c>
      <c r="D1038" t="s">
        <v>1058</v>
      </c>
      <c r="E1038">
        <v>53629719856</v>
      </c>
      <c r="F1038">
        <v>609965</v>
      </c>
      <c r="G1038">
        <v>48817505793</v>
      </c>
      <c r="H1038" t="s">
        <v>35</v>
      </c>
      <c r="I1038" s="36">
        <v>5754</v>
      </c>
      <c r="J1038" s="36">
        <v>5754</v>
      </c>
      <c r="K1038" s="85">
        <v>0</v>
      </c>
      <c r="L1038" s="36">
        <v>479.5</v>
      </c>
      <c r="M1038" s="36">
        <v>0</v>
      </c>
      <c r="N1038" s="36">
        <v>26.4</v>
      </c>
      <c r="O1038" s="36">
        <v>453.1</v>
      </c>
      <c r="P1038" t="s">
        <v>165</v>
      </c>
      <c r="Q1038" t="s">
        <v>166</v>
      </c>
      <c r="R1038" t="s">
        <v>166</v>
      </c>
      <c r="S1038" s="1">
        <v>46077</v>
      </c>
      <c r="T1038" s="1">
        <v>46077</v>
      </c>
      <c r="U1038" s="1">
        <v>46079</v>
      </c>
      <c r="V1038" s="1">
        <v>46444</v>
      </c>
      <c r="W1038" t="s">
        <v>38</v>
      </c>
      <c r="X1038">
        <v>12</v>
      </c>
      <c r="Y1038" t="s">
        <v>49</v>
      </c>
      <c r="Z1038" t="s">
        <v>81</v>
      </c>
      <c r="AA1038" t="s">
        <v>122</v>
      </c>
      <c r="AB1038">
        <v>5</v>
      </c>
      <c r="AC1038" t="s">
        <v>166</v>
      </c>
      <c r="AD1038" t="s">
        <v>85</v>
      </c>
      <c r="AE1038" t="s">
        <v>46</v>
      </c>
      <c r="AF1038" t="s">
        <v>44</v>
      </c>
      <c r="AG1038" t="str">
        <f t="shared" si="17"/>
        <v>Recorrente</v>
      </c>
      <c r="AH1038" t="str">
        <f>IF(AND(SUMIF(E:E,E1038,I:I)&gt;=400000,Q1038="B2G"),"n","")</f>
        <v/>
      </c>
    </row>
    <row r="1039" spans="1:34">
      <c r="A1039">
        <v>2026</v>
      </c>
      <c r="B1039">
        <v>2</v>
      </c>
      <c r="C1039" s="83">
        <v>154777249133</v>
      </c>
      <c r="D1039" t="s">
        <v>1059</v>
      </c>
      <c r="E1039">
        <v>53428641555</v>
      </c>
      <c r="F1039">
        <v>328428</v>
      </c>
      <c r="G1039">
        <v>48890468281</v>
      </c>
      <c r="H1039" t="s">
        <v>35</v>
      </c>
      <c r="I1039" s="36">
        <v>4218.24</v>
      </c>
      <c r="J1039" s="36">
        <v>4218.24</v>
      </c>
      <c r="K1039" s="85">
        <v>0</v>
      </c>
      <c r="L1039" s="36">
        <v>351.52</v>
      </c>
      <c r="M1039" s="36">
        <v>0</v>
      </c>
      <c r="N1039" s="36">
        <v>51.017499999999998</v>
      </c>
      <c r="O1039" s="36">
        <v>300.5</v>
      </c>
      <c r="P1039" t="s">
        <v>162</v>
      </c>
      <c r="Q1039" t="s">
        <v>111</v>
      </c>
      <c r="R1039" t="s">
        <v>111</v>
      </c>
      <c r="S1039" s="1">
        <v>46044</v>
      </c>
      <c r="T1039" s="1">
        <v>46054</v>
      </c>
      <c r="U1039" s="1">
        <v>46048</v>
      </c>
      <c r="V1039" s="1">
        <v>46413</v>
      </c>
      <c r="W1039" t="s">
        <v>38</v>
      </c>
      <c r="X1039">
        <v>12</v>
      </c>
      <c r="Y1039" t="s">
        <v>49</v>
      </c>
      <c r="Z1039" t="s">
        <v>81</v>
      </c>
      <c r="AA1039" t="s">
        <v>112</v>
      </c>
      <c r="AB1039">
        <v>12</v>
      </c>
      <c r="AC1039" t="s">
        <v>113</v>
      </c>
      <c r="AD1039" t="s">
        <v>138</v>
      </c>
      <c r="AE1039" t="s">
        <v>135</v>
      </c>
      <c r="AF1039" t="s">
        <v>119</v>
      </c>
      <c r="AG1039" t="str">
        <f t="shared" si="17"/>
        <v>CC 12x</v>
      </c>
      <c r="AH1039" t="str">
        <f>IF(AND(SUMIF(E:E,E1039,I:I)&gt;=400000,Q1039="B2G"),"n","")</f>
        <v/>
      </c>
    </row>
    <row r="1040" spans="1:34">
      <c r="A1040">
        <v>2026</v>
      </c>
      <c r="B1040">
        <v>2</v>
      </c>
      <c r="C1040" s="83">
        <v>155530841364</v>
      </c>
      <c r="D1040" t="s">
        <v>1060</v>
      </c>
      <c r="E1040">
        <v>56622347344</v>
      </c>
      <c r="F1040">
        <v>636192</v>
      </c>
      <c r="G1040">
        <v>52042647669</v>
      </c>
      <c r="H1040" t="s">
        <v>35</v>
      </c>
      <c r="I1040" s="36">
        <v>4234.8</v>
      </c>
      <c r="J1040" s="36">
        <v>4234.7520000000004</v>
      </c>
      <c r="K1040" s="85">
        <v>4.8000000000000001E-2</v>
      </c>
      <c r="L1040" s="36">
        <v>352.89600000000002</v>
      </c>
      <c r="M1040" s="36">
        <v>352.89600000000002</v>
      </c>
      <c r="N1040" s="36">
        <v>0</v>
      </c>
      <c r="O1040" s="36">
        <v>0</v>
      </c>
      <c r="P1040" t="s">
        <v>829</v>
      </c>
      <c r="Q1040" t="s">
        <v>300</v>
      </c>
      <c r="R1040" t="s">
        <v>300</v>
      </c>
      <c r="S1040" s="1">
        <v>46074</v>
      </c>
      <c r="T1040" s="1">
        <v>46074</v>
      </c>
      <c r="U1040" s="1"/>
      <c r="V1040" s="1">
        <v>46439</v>
      </c>
      <c r="W1040" t="s">
        <v>38</v>
      </c>
      <c r="X1040">
        <v>12</v>
      </c>
      <c r="Y1040" t="s">
        <v>49</v>
      </c>
      <c r="AA1040" t="s">
        <v>122</v>
      </c>
      <c r="AB1040">
        <v>12</v>
      </c>
      <c r="AC1040" t="s">
        <v>301</v>
      </c>
      <c r="AD1040" t="s">
        <v>138</v>
      </c>
      <c r="AE1040" t="s">
        <v>135</v>
      </c>
      <c r="AF1040" t="s">
        <v>119</v>
      </c>
      <c r="AG1040" t="str">
        <f t="shared" si="17"/>
        <v>Recorrente</v>
      </c>
      <c r="AH1040" t="str">
        <f>IF(AND(SUMIF(E:E,E1040,I:I)&gt;=400000,Q1040="B2G"),"n","")</f>
        <v/>
      </c>
    </row>
    <row r="1041" spans="1:34">
      <c r="A1041">
        <v>2026</v>
      </c>
      <c r="B1041">
        <v>2</v>
      </c>
      <c r="C1041" s="83">
        <v>1588072</v>
      </c>
      <c r="D1041" t="s">
        <v>1061</v>
      </c>
      <c r="E1041">
        <v>53573260561</v>
      </c>
      <c r="F1041">
        <v>625346</v>
      </c>
      <c r="G1041">
        <v>49007568782</v>
      </c>
      <c r="H1041" t="s">
        <v>35</v>
      </c>
      <c r="I1041" s="36">
        <v>3255</v>
      </c>
      <c r="J1041" s="36">
        <v>3255</v>
      </c>
      <c r="K1041" s="85">
        <v>0</v>
      </c>
      <c r="L1041" s="36">
        <v>271.25</v>
      </c>
      <c r="M1041" s="36">
        <v>0</v>
      </c>
      <c r="N1041" s="36">
        <v>0</v>
      </c>
      <c r="O1041" s="36">
        <v>271.24869999999999</v>
      </c>
      <c r="P1041" t="s">
        <v>137</v>
      </c>
      <c r="Q1041" t="s">
        <v>111</v>
      </c>
      <c r="R1041" t="s">
        <v>111</v>
      </c>
      <c r="S1041" s="1">
        <v>46036</v>
      </c>
      <c r="T1041" s="1">
        <v>46054</v>
      </c>
      <c r="U1041" s="1">
        <v>46031</v>
      </c>
      <c r="V1041" s="1">
        <v>46401</v>
      </c>
      <c r="W1041" t="s">
        <v>38</v>
      </c>
      <c r="X1041">
        <v>12</v>
      </c>
      <c r="Y1041" t="s">
        <v>49</v>
      </c>
      <c r="Z1041" t="s">
        <v>81</v>
      </c>
      <c r="AA1041" t="s">
        <v>112</v>
      </c>
      <c r="AB1041">
        <v>6</v>
      </c>
      <c r="AC1041" t="s">
        <v>113</v>
      </c>
      <c r="AD1041" t="s">
        <v>84</v>
      </c>
      <c r="AE1041" t="s">
        <v>43</v>
      </c>
      <c r="AF1041" t="s">
        <v>44</v>
      </c>
      <c r="AG1041" t="str">
        <f t="shared" si="17"/>
        <v>CC 12x</v>
      </c>
      <c r="AH1041" t="str">
        <f>IF(AND(SUMIF(E:E,E1041,I:I)&gt;=400000,Q1041="B2G"),"n","")</f>
        <v/>
      </c>
    </row>
    <row r="1042" spans="1:34">
      <c r="A1042">
        <v>2026</v>
      </c>
      <c r="B1042">
        <v>2</v>
      </c>
      <c r="C1042" s="83">
        <v>1593457</v>
      </c>
      <c r="D1042" t="s">
        <v>1062</v>
      </c>
      <c r="E1042">
        <v>55384089922</v>
      </c>
      <c r="F1042">
        <v>626236</v>
      </c>
      <c r="G1042">
        <v>50697522202</v>
      </c>
      <c r="H1042" t="s">
        <v>35</v>
      </c>
      <c r="I1042" s="36">
        <v>2586.6</v>
      </c>
      <c r="J1042" s="36">
        <v>2586.6</v>
      </c>
      <c r="K1042" s="85">
        <v>0</v>
      </c>
      <c r="L1042" s="36">
        <v>215.55</v>
      </c>
      <c r="M1042" s="36">
        <v>0</v>
      </c>
      <c r="N1042" s="36">
        <v>13.72</v>
      </c>
      <c r="O1042" s="36">
        <v>201.83</v>
      </c>
      <c r="P1042" t="s">
        <v>110</v>
      </c>
      <c r="Q1042" t="s">
        <v>111</v>
      </c>
      <c r="R1042" t="s">
        <v>111</v>
      </c>
      <c r="S1042" s="1">
        <v>46055</v>
      </c>
      <c r="T1042" s="1">
        <v>46055</v>
      </c>
      <c r="U1042" s="1">
        <v>46059</v>
      </c>
      <c r="V1042" s="1">
        <v>46424</v>
      </c>
      <c r="W1042" t="s">
        <v>38</v>
      </c>
      <c r="X1042">
        <v>12</v>
      </c>
      <c r="Y1042" t="s">
        <v>49</v>
      </c>
      <c r="Z1042" t="s">
        <v>81</v>
      </c>
      <c r="AA1042" t="s">
        <v>112</v>
      </c>
      <c r="AB1042">
        <v>12</v>
      </c>
      <c r="AC1042" t="s">
        <v>113</v>
      </c>
      <c r="AD1042" t="s">
        <v>118</v>
      </c>
      <c r="AE1042" t="s">
        <v>43</v>
      </c>
      <c r="AF1042" t="s">
        <v>119</v>
      </c>
      <c r="AG1042" t="str">
        <f t="shared" si="17"/>
        <v>CC 12x</v>
      </c>
      <c r="AH1042" t="str">
        <f>IF(AND(SUMIF(E:E,E1042,I:I)&gt;=400000,Q1042="B2G"),"n","")</f>
        <v/>
      </c>
    </row>
    <row r="1043" spans="1:34">
      <c r="A1043">
        <v>2026</v>
      </c>
      <c r="B1043">
        <v>2</v>
      </c>
      <c r="C1043" s="83">
        <v>160107478551</v>
      </c>
      <c r="D1043" t="s">
        <v>1063</v>
      </c>
      <c r="E1043">
        <v>55382496532</v>
      </c>
      <c r="F1043">
        <v>630731</v>
      </c>
      <c r="G1043">
        <v>50777988278</v>
      </c>
      <c r="H1043" t="s">
        <v>35</v>
      </c>
      <c r="I1043" s="36">
        <v>1126.68</v>
      </c>
      <c r="J1043" s="36">
        <v>2762.04</v>
      </c>
      <c r="K1043" s="85">
        <v>0</v>
      </c>
      <c r="L1043" s="36">
        <v>230.17</v>
      </c>
      <c r="M1043" s="36">
        <v>0</v>
      </c>
      <c r="N1043" s="36">
        <v>230.17</v>
      </c>
      <c r="O1043" s="36">
        <v>0</v>
      </c>
      <c r="P1043" t="s">
        <v>469</v>
      </c>
      <c r="Q1043" t="s">
        <v>191</v>
      </c>
      <c r="R1043" t="s">
        <v>191</v>
      </c>
      <c r="S1043" s="1">
        <v>46073</v>
      </c>
      <c r="T1043" s="1">
        <v>46073</v>
      </c>
      <c r="U1043" s="1">
        <v>46206</v>
      </c>
      <c r="V1043" s="1">
        <v>46206</v>
      </c>
      <c r="W1043" t="s">
        <v>38</v>
      </c>
      <c r="X1043">
        <v>5</v>
      </c>
      <c r="Y1043" t="s">
        <v>49</v>
      </c>
      <c r="Z1043" t="s">
        <v>324</v>
      </c>
      <c r="AA1043" t="s">
        <v>122</v>
      </c>
      <c r="AB1043">
        <v>4</v>
      </c>
      <c r="AC1043" t="s">
        <v>192</v>
      </c>
      <c r="AD1043" t="s">
        <v>125</v>
      </c>
      <c r="AE1043" t="s">
        <v>43</v>
      </c>
      <c r="AF1043" t="s">
        <v>47</v>
      </c>
      <c r="AG1043" t="str">
        <f t="shared" si="17"/>
        <v>Recorrente</v>
      </c>
      <c r="AH1043" t="str">
        <f>IF(AND(SUMIF(E:E,E1043,I:I)&gt;=400000,Q1043="B2G"),"n","")</f>
        <v/>
      </c>
    </row>
    <row r="1044" spans="1:34">
      <c r="A1044">
        <v>2026</v>
      </c>
      <c r="B1044">
        <v>2</v>
      </c>
      <c r="C1044" s="83">
        <v>160414364433</v>
      </c>
      <c r="D1044" t="s">
        <v>1064</v>
      </c>
      <c r="E1044">
        <v>51516424550</v>
      </c>
      <c r="F1044">
        <v>328119</v>
      </c>
      <c r="G1044">
        <v>47075631007</v>
      </c>
      <c r="H1044" t="s">
        <v>35</v>
      </c>
      <c r="I1044" s="36">
        <v>4860.84</v>
      </c>
      <c r="J1044" s="36">
        <v>4860.84</v>
      </c>
      <c r="K1044" s="85">
        <v>0</v>
      </c>
      <c r="L1044" s="36">
        <v>405.07</v>
      </c>
      <c r="M1044" s="36">
        <v>0</v>
      </c>
      <c r="N1044" s="36">
        <v>80.760000000000005</v>
      </c>
      <c r="O1044" s="36">
        <v>324.31</v>
      </c>
      <c r="P1044" t="s">
        <v>127</v>
      </c>
      <c r="Q1044" t="s">
        <v>111</v>
      </c>
      <c r="R1044" t="s">
        <v>111</v>
      </c>
      <c r="S1044" s="1">
        <v>46008</v>
      </c>
      <c r="T1044" s="1">
        <v>46054</v>
      </c>
      <c r="U1044" s="1">
        <v>46032</v>
      </c>
      <c r="V1044" s="1">
        <v>46397</v>
      </c>
      <c r="W1044" t="s">
        <v>38</v>
      </c>
      <c r="X1044">
        <v>12</v>
      </c>
      <c r="Y1044" t="s">
        <v>49</v>
      </c>
      <c r="Z1044" t="s">
        <v>81</v>
      </c>
      <c r="AA1044" t="s">
        <v>112</v>
      </c>
      <c r="AB1044">
        <v>12</v>
      </c>
      <c r="AC1044" t="s">
        <v>113</v>
      </c>
      <c r="AD1044" t="s">
        <v>158</v>
      </c>
      <c r="AE1044" t="s">
        <v>43</v>
      </c>
      <c r="AF1044" t="s">
        <v>47</v>
      </c>
      <c r="AG1044" t="str">
        <f t="shared" si="17"/>
        <v>CC 12x</v>
      </c>
      <c r="AH1044" t="str">
        <f>IF(AND(SUMIF(E:E,E1044,I:I)&gt;=400000,Q1044="B2G"),"n","")</f>
        <v/>
      </c>
    </row>
    <row r="1045" spans="1:34">
      <c r="A1045">
        <v>2026</v>
      </c>
      <c r="B1045">
        <v>2</v>
      </c>
      <c r="C1045" s="83">
        <v>1609033</v>
      </c>
      <c r="D1045" t="s">
        <v>1065</v>
      </c>
      <c r="E1045">
        <v>55492911618</v>
      </c>
      <c r="F1045">
        <v>635924</v>
      </c>
      <c r="G1045">
        <v>50778586980</v>
      </c>
      <c r="H1045" t="s">
        <v>35</v>
      </c>
      <c r="I1045" s="36">
        <v>2586.6</v>
      </c>
      <c r="J1045" s="36">
        <v>2586.6</v>
      </c>
      <c r="K1045" s="85">
        <v>0</v>
      </c>
      <c r="L1045" s="36">
        <v>215.55</v>
      </c>
      <c r="M1045" s="36">
        <v>215.55</v>
      </c>
      <c r="N1045" s="36">
        <v>0</v>
      </c>
      <c r="O1045" s="36">
        <v>0</v>
      </c>
      <c r="P1045" t="s">
        <v>829</v>
      </c>
      <c r="Q1045" t="s">
        <v>300</v>
      </c>
      <c r="R1045" t="s">
        <v>300</v>
      </c>
      <c r="S1045" s="1">
        <v>46057</v>
      </c>
      <c r="T1045" s="1">
        <v>46057</v>
      </c>
      <c r="U1045" s="1"/>
      <c r="V1045" s="1">
        <v>46422</v>
      </c>
      <c r="W1045" t="s">
        <v>38</v>
      </c>
      <c r="X1045">
        <v>12</v>
      </c>
      <c r="Y1045" t="s">
        <v>49</v>
      </c>
      <c r="AA1045" t="s">
        <v>117</v>
      </c>
      <c r="AB1045">
        <v>1</v>
      </c>
      <c r="AC1045" t="s">
        <v>301</v>
      </c>
      <c r="AD1045" t="s">
        <v>140</v>
      </c>
      <c r="AE1045" t="s">
        <v>46</v>
      </c>
      <c r="AF1045" t="s">
        <v>119</v>
      </c>
      <c r="AG1045" t="str">
        <f t="shared" si="17"/>
        <v>À Vista</v>
      </c>
      <c r="AH1045" t="str">
        <f>IF(AND(SUMIF(E:E,E1045,I:I)&gt;=400000,Q1045="B2G"),"n","")</f>
        <v/>
      </c>
    </row>
    <row r="1046" spans="1:34">
      <c r="A1046">
        <v>2026</v>
      </c>
      <c r="B1046">
        <v>2</v>
      </c>
      <c r="C1046" s="83">
        <v>161431368852</v>
      </c>
      <c r="D1046" t="s">
        <v>1066</v>
      </c>
      <c r="E1046">
        <v>54979004990</v>
      </c>
      <c r="F1046">
        <v>610264</v>
      </c>
      <c r="G1046">
        <v>50350994258</v>
      </c>
      <c r="H1046" t="s">
        <v>35</v>
      </c>
      <c r="I1046" s="36">
        <v>5460.72</v>
      </c>
      <c r="J1046" s="36">
        <v>2730.36</v>
      </c>
      <c r="K1046" s="85">
        <v>2730.36</v>
      </c>
      <c r="L1046" s="36">
        <v>227.53</v>
      </c>
      <c r="M1046" s="36">
        <v>0</v>
      </c>
      <c r="N1046" s="36">
        <v>7.28979</v>
      </c>
      <c r="O1046" s="36">
        <v>220.24</v>
      </c>
      <c r="P1046" t="s">
        <v>137</v>
      </c>
      <c r="Q1046" t="s">
        <v>111</v>
      </c>
      <c r="R1046" t="s">
        <v>111</v>
      </c>
      <c r="S1046" s="1">
        <v>46053</v>
      </c>
      <c r="T1046" s="1">
        <v>46054</v>
      </c>
      <c r="U1046" s="1">
        <v>46081</v>
      </c>
      <c r="V1046" s="1">
        <v>46811</v>
      </c>
      <c r="W1046" t="s">
        <v>56</v>
      </c>
      <c r="X1046">
        <v>24</v>
      </c>
      <c r="Y1046" t="s">
        <v>49</v>
      </c>
      <c r="Z1046" t="s">
        <v>76</v>
      </c>
      <c r="AA1046" t="s">
        <v>122</v>
      </c>
      <c r="AB1046">
        <v>24</v>
      </c>
      <c r="AC1046" t="s">
        <v>113</v>
      </c>
      <c r="AD1046" t="s">
        <v>118</v>
      </c>
      <c r="AE1046" t="s">
        <v>43</v>
      </c>
      <c r="AF1046" t="s">
        <v>119</v>
      </c>
      <c r="AG1046" t="str">
        <f t="shared" si="17"/>
        <v>Recorrente</v>
      </c>
      <c r="AH1046" t="str">
        <f>IF(AND(SUMIF(E:E,E1046,I:I)&gt;=400000,Q1046="B2G"),"n","")</f>
        <v/>
      </c>
    </row>
    <row r="1047" spans="1:34">
      <c r="A1047">
        <v>2026</v>
      </c>
      <c r="B1047">
        <v>2</v>
      </c>
      <c r="C1047" s="83">
        <v>161750951169</v>
      </c>
      <c r="D1047" t="s">
        <v>1067</v>
      </c>
      <c r="E1047">
        <v>52226678575</v>
      </c>
      <c r="F1047">
        <v>306120</v>
      </c>
      <c r="G1047">
        <v>47460720463</v>
      </c>
      <c r="H1047" t="s">
        <v>35</v>
      </c>
      <c r="I1047" s="36">
        <v>6354</v>
      </c>
      <c r="J1047" s="36">
        <v>6354</v>
      </c>
      <c r="K1047" s="85">
        <v>0</v>
      </c>
      <c r="L1047" s="36">
        <v>529.5</v>
      </c>
      <c r="M1047" s="36">
        <v>0</v>
      </c>
      <c r="N1047" s="36">
        <v>80.319999999999993</v>
      </c>
      <c r="O1047" s="36">
        <v>449.18</v>
      </c>
      <c r="P1047" t="s">
        <v>165</v>
      </c>
      <c r="Q1047" t="s">
        <v>166</v>
      </c>
      <c r="R1047" t="s">
        <v>166</v>
      </c>
      <c r="S1047" s="1">
        <v>46057</v>
      </c>
      <c r="T1047" s="1">
        <v>46057</v>
      </c>
      <c r="U1047" s="1">
        <v>46057</v>
      </c>
      <c r="V1047" s="1">
        <v>46422</v>
      </c>
      <c r="W1047" t="s">
        <v>38</v>
      </c>
      <c r="X1047">
        <v>12</v>
      </c>
      <c r="Y1047" t="s">
        <v>49</v>
      </c>
      <c r="Z1047" t="s">
        <v>81</v>
      </c>
      <c r="AA1047" t="s">
        <v>122</v>
      </c>
      <c r="AB1047">
        <v>12</v>
      </c>
      <c r="AC1047" t="s">
        <v>166</v>
      </c>
      <c r="AD1047" t="s">
        <v>158</v>
      </c>
      <c r="AE1047" t="s">
        <v>43</v>
      </c>
      <c r="AF1047" t="s">
        <v>47</v>
      </c>
      <c r="AG1047" t="str">
        <f t="shared" si="17"/>
        <v>Recorrente</v>
      </c>
      <c r="AH1047" t="str">
        <f>IF(AND(SUMIF(E:E,E1047,I:I)&gt;=400000,Q1047="B2G"),"n","")</f>
        <v/>
      </c>
    </row>
    <row r="1048" spans="1:34">
      <c r="A1048">
        <v>2026</v>
      </c>
      <c r="B1048">
        <v>2</v>
      </c>
      <c r="C1048" s="83">
        <v>1620535</v>
      </c>
      <c r="D1048" t="s">
        <v>1068</v>
      </c>
      <c r="E1048">
        <v>53780198040</v>
      </c>
      <c r="F1048">
        <v>528686</v>
      </c>
      <c r="G1048">
        <v>48853806161</v>
      </c>
      <c r="H1048" t="s">
        <v>35</v>
      </c>
      <c r="I1048" s="36">
        <v>8630.8799999999992</v>
      </c>
      <c r="J1048" s="36">
        <v>4315.4399999999996</v>
      </c>
      <c r="K1048" s="85">
        <v>4315.4399999999996</v>
      </c>
      <c r="L1048" s="36">
        <v>359.62</v>
      </c>
      <c r="M1048" s="36">
        <v>0</v>
      </c>
      <c r="N1048" s="36">
        <v>114.19791669999999</v>
      </c>
      <c r="O1048" s="36">
        <v>245.42708329999999</v>
      </c>
      <c r="P1048" t="s">
        <v>165</v>
      </c>
      <c r="Q1048" t="s">
        <v>166</v>
      </c>
      <c r="R1048" t="s">
        <v>166</v>
      </c>
      <c r="S1048" s="1">
        <v>46077</v>
      </c>
      <c r="T1048" s="1">
        <v>46077</v>
      </c>
      <c r="U1048" s="1">
        <v>46081</v>
      </c>
      <c r="V1048" s="1">
        <v>46811</v>
      </c>
      <c r="W1048" t="s">
        <v>56</v>
      </c>
      <c r="X1048">
        <v>24</v>
      </c>
      <c r="Y1048" t="s">
        <v>49</v>
      </c>
      <c r="Z1048" t="s">
        <v>81</v>
      </c>
      <c r="AA1048" t="s">
        <v>112</v>
      </c>
      <c r="AB1048">
        <v>10</v>
      </c>
      <c r="AC1048" t="s">
        <v>166</v>
      </c>
      <c r="AD1048" t="s">
        <v>85</v>
      </c>
      <c r="AE1048" t="s">
        <v>46</v>
      </c>
      <c r="AF1048" t="s">
        <v>44</v>
      </c>
      <c r="AG1048" t="str">
        <f t="shared" si="17"/>
        <v>CC 12x</v>
      </c>
      <c r="AH1048" t="str">
        <f>IF(AND(SUMIF(E:E,E1048,I:I)&gt;=400000,Q1048="B2G"),"n","")</f>
        <v/>
      </c>
    </row>
    <row r="1049" spans="1:34">
      <c r="A1049">
        <v>2026</v>
      </c>
      <c r="B1049">
        <v>2</v>
      </c>
      <c r="C1049" s="83">
        <v>1626861</v>
      </c>
      <c r="D1049" t="s">
        <v>1069</v>
      </c>
      <c r="E1049">
        <v>57105314902</v>
      </c>
      <c r="F1049">
        <v>636312</v>
      </c>
      <c r="G1049">
        <v>52401633400</v>
      </c>
      <c r="H1049" t="s">
        <v>35</v>
      </c>
      <c r="I1049" s="36">
        <v>5514</v>
      </c>
      <c r="J1049" s="36">
        <v>5514</v>
      </c>
      <c r="K1049" s="85">
        <v>0</v>
      </c>
      <c r="L1049" s="36">
        <v>459.5</v>
      </c>
      <c r="M1049" s="36">
        <v>459.5</v>
      </c>
      <c r="N1049" s="36">
        <v>0</v>
      </c>
      <c r="O1049" s="36">
        <v>0</v>
      </c>
      <c r="P1049" t="s">
        <v>506</v>
      </c>
      <c r="Q1049" t="s">
        <v>300</v>
      </c>
      <c r="R1049" t="s">
        <v>300</v>
      </c>
      <c r="S1049" s="1">
        <v>46080</v>
      </c>
      <c r="T1049" s="1">
        <v>46080</v>
      </c>
      <c r="U1049" s="1"/>
      <c r="V1049" s="1">
        <v>46445</v>
      </c>
      <c r="W1049" t="s">
        <v>38</v>
      </c>
      <c r="X1049">
        <v>12</v>
      </c>
      <c r="Y1049" t="s">
        <v>49</v>
      </c>
      <c r="AA1049" t="s">
        <v>122</v>
      </c>
      <c r="AB1049">
        <v>12</v>
      </c>
      <c r="AC1049" t="s">
        <v>301</v>
      </c>
      <c r="AD1049" t="s">
        <v>138</v>
      </c>
      <c r="AE1049" t="s">
        <v>135</v>
      </c>
      <c r="AF1049" t="s">
        <v>119</v>
      </c>
      <c r="AG1049" t="str">
        <f t="shared" si="17"/>
        <v>Recorrente</v>
      </c>
      <c r="AH1049" t="str">
        <f>IF(AND(SUMIF(E:E,E1049,I:I)&gt;=400000,Q1049="B2G"),"n","")</f>
        <v/>
      </c>
    </row>
    <row r="1050" spans="1:34">
      <c r="A1050">
        <v>2026</v>
      </c>
      <c r="B1050">
        <v>2</v>
      </c>
      <c r="C1050" s="83">
        <v>162976506932</v>
      </c>
      <c r="D1050" t="s">
        <v>1070</v>
      </c>
      <c r="E1050">
        <v>55146201160</v>
      </c>
      <c r="F1050">
        <v>635893</v>
      </c>
      <c r="G1050">
        <v>50735776441</v>
      </c>
      <c r="H1050" t="s">
        <v>35</v>
      </c>
      <c r="I1050" s="36">
        <v>4631.28</v>
      </c>
      <c r="J1050" s="36">
        <v>4631.28</v>
      </c>
      <c r="K1050" s="85">
        <v>0</v>
      </c>
      <c r="L1050" s="36">
        <v>385.94</v>
      </c>
      <c r="M1050" s="36">
        <v>385.94</v>
      </c>
      <c r="N1050" s="36">
        <v>0</v>
      </c>
      <c r="O1050" s="36">
        <v>0</v>
      </c>
      <c r="P1050" t="s">
        <v>506</v>
      </c>
      <c r="Q1050" t="s">
        <v>300</v>
      </c>
      <c r="R1050" t="s">
        <v>300</v>
      </c>
      <c r="S1050" s="1">
        <v>46056</v>
      </c>
      <c r="T1050" s="1">
        <v>46056</v>
      </c>
      <c r="V1050" s="1">
        <v>46421</v>
      </c>
      <c r="W1050" t="s">
        <v>38</v>
      </c>
      <c r="X1050">
        <v>12</v>
      </c>
      <c r="Y1050" t="s">
        <v>49</v>
      </c>
      <c r="AA1050" t="s">
        <v>112</v>
      </c>
      <c r="AB1050">
        <v>12</v>
      </c>
      <c r="AC1050" t="s">
        <v>301</v>
      </c>
      <c r="AD1050" t="s">
        <v>84</v>
      </c>
      <c r="AE1050" t="s">
        <v>43</v>
      </c>
      <c r="AF1050" t="s">
        <v>44</v>
      </c>
      <c r="AG1050" t="str">
        <f t="shared" si="17"/>
        <v>CC 12x</v>
      </c>
      <c r="AH1050" t="str">
        <f>IF(AND(SUMIF(E:E,E1050,I:I)&gt;=400000,Q1050="B2G"),"n","")</f>
        <v/>
      </c>
    </row>
    <row r="1051" spans="1:34">
      <c r="A1051">
        <v>2026</v>
      </c>
      <c r="B1051">
        <v>2</v>
      </c>
      <c r="C1051" s="83">
        <v>163645276217</v>
      </c>
      <c r="D1051" t="s">
        <v>1071</v>
      </c>
      <c r="E1051">
        <v>56466054456</v>
      </c>
      <c r="F1051">
        <v>505812</v>
      </c>
      <c r="G1051">
        <v>51829767029</v>
      </c>
      <c r="H1051" t="s">
        <v>35</v>
      </c>
      <c r="I1051" s="36">
        <v>6547.8</v>
      </c>
      <c r="J1051" s="36">
        <v>6547.8</v>
      </c>
      <c r="K1051" s="85">
        <v>9.0949500000000005E-13</v>
      </c>
      <c r="L1051" s="36">
        <v>545.65</v>
      </c>
      <c r="M1051" s="36">
        <v>0</v>
      </c>
      <c r="N1051" s="36">
        <v>113.42</v>
      </c>
      <c r="O1051" s="36">
        <v>432.23</v>
      </c>
      <c r="P1051" t="s">
        <v>110</v>
      </c>
      <c r="Q1051" t="s">
        <v>111</v>
      </c>
      <c r="R1051" t="s">
        <v>111</v>
      </c>
      <c r="S1051" s="1">
        <v>46071</v>
      </c>
      <c r="T1051" s="1">
        <v>46071</v>
      </c>
      <c r="U1051" s="1">
        <v>46069</v>
      </c>
      <c r="V1051" s="1">
        <v>46446</v>
      </c>
      <c r="W1051" t="s">
        <v>38</v>
      </c>
      <c r="X1051">
        <v>12</v>
      </c>
      <c r="Y1051" t="s">
        <v>49</v>
      </c>
      <c r="Z1051" t="s">
        <v>81</v>
      </c>
      <c r="AA1051" t="s">
        <v>122</v>
      </c>
      <c r="AB1051">
        <v>12</v>
      </c>
      <c r="AC1051" t="s">
        <v>113</v>
      </c>
      <c r="AD1051" t="s">
        <v>134</v>
      </c>
      <c r="AE1051" t="s">
        <v>135</v>
      </c>
      <c r="AF1051" t="s">
        <v>44</v>
      </c>
      <c r="AG1051" t="str">
        <f t="shared" si="17"/>
        <v>Recorrente</v>
      </c>
      <c r="AH1051" t="str">
        <f>IF(AND(SUMIF(E:E,E1051,I:I)&gt;=400000,Q1051="B2G"),"n","")</f>
        <v/>
      </c>
    </row>
    <row r="1052" spans="1:34">
      <c r="A1052">
        <v>2026</v>
      </c>
      <c r="B1052">
        <v>2</v>
      </c>
      <c r="C1052" s="83">
        <v>1643591</v>
      </c>
      <c r="D1052" t="s">
        <v>1072</v>
      </c>
      <c r="E1052">
        <v>56044573544</v>
      </c>
      <c r="F1052">
        <v>636137</v>
      </c>
      <c r="G1052">
        <v>51938953742</v>
      </c>
      <c r="H1052" t="s">
        <v>35</v>
      </c>
      <c r="I1052" s="36">
        <v>3336</v>
      </c>
      <c r="J1052" s="36">
        <v>3336</v>
      </c>
      <c r="K1052" s="85">
        <v>0</v>
      </c>
      <c r="L1052" s="36">
        <v>278</v>
      </c>
      <c r="M1052" s="36">
        <v>278</v>
      </c>
      <c r="N1052" s="36">
        <v>0</v>
      </c>
      <c r="O1052" s="36">
        <v>0</v>
      </c>
      <c r="P1052" t="s">
        <v>1073</v>
      </c>
      <c r="Q1052" t="s">
        <v>314</v>
      </c>
      <c r="R1052" t="s">
        <v>314</v>
      </c>
      <c r="S1052" s="1">
        <v>46072</v>
      </c>
      <c r="T1052" s="1">
        <v>46072</v>
      </c>
      <c r="U1052" s="1"/>
      <c r="V1052" s="1">
        <v>46437</v>
      </c>
      <c r="W1052" t="s">
        <v>38</v>
      </c>
      <c r="X1052">
        <v>12</v>
      </c>
      <c r="Y1052" t="s">
        <v>49</v>
      </c>
      <c r="AA1052" t="s">
        <v>112</v>
      </c>
      <c r="AB1052">
        <v>12</v>
      </c>
      <c r="AC1052" t="s">
        <v>315</v>
      </c>
      <c r="AD1052" t="s">
        <v>160</v>
      </c>
      <c r="AE1052" t="s">
        <v>43</v>
      </c>
      <c r="AF1052" t="s">
        <v>44</v>
      </c>
      <c r="AG1052" t="str">
        <f t="shared" si="17"/>
        <v>CC 12x</v>
      </c>
      <c r="AH1052" t="str">
        <f>IF(AND(SUMIF(E:E,E1052,I:I)&gt;=400000,Q1052="B2G"),"n","")</f>
        <v/>
      </c>
    </row>
    <row r="1053" spans="1:34">
      <c r="A1053">
        <v>2026</v>
      </c>
      <c r="B1053">
        <v>2</v>
      </c>
      <c r="C1053" s="83">
        <v>164587682571</v>
      </c>
      <c r="D1053" t="s">
        <v>1074</v>
      </c>
      <c r="E1053">
        <v>53090850375</v>
      </c>
      <c r="F1053">
        <v>527622</v>
      </c>
      <c r="G1053">
        <v>48944336910</v>
      </c>
      <c r="H1053" t="s">
        <v>35</v>
      </c>
      <c r="I1053" s="36">
        <v>7339.56</v>
      </c>
      <c r="J1053" s="36">
        <v>7339.56</v>
      </c>
      <c r="K1053" s="85">
        <v>9.0949500000000005E-13</v>
      </c>
      <c r="L1053" s="36">
        <v>611.63</v>
      </c>
      <c r="M1053" s="36">
        <v>0</v>
      </c>
      <c r="N1053" s="36">
        <v>0</v>
      </c>
      <c r="O1053" s="36">
        <v>611.625495</v>
      </c>
      <c r="P1053" t="s">
        <v>116</v>
      </c>
      <c r="Q1053" t="s">
        <v>111</v>
      </c>
      <c r="R1053" t="s">
        <v>111</v>
      </c>
      <c r="S1053" s="1">
        <v>46035</v>
      </c>
      <c r="T1053" s="1">
        <v>46054</v>
      </c>
      <c r="U1053" s="1">
        <v>46069</v>
      </c>
      <c r="V1053" s="1">
        <v>46434</v>
      </c>
      <c r="W1053" t="s">
        <v>38</v>
      </c>
      <c r="X1053">
        <v>12</v>
      </c>
      <c r="Y1053" t="s">
        <v>49</v>
      </c>
      <c r="Z1053" t="s">
        <v>81</v>
      </c>
      <c r="AA1053" t="s">
        <v>112</v>
      </c>
      <c r="AB1053">
        <v>12</v>
      </c>
      <c r="AC1053" t="s">
        <v>113</v>
      </c>
      <c r="AD1053" t="s">
        <v>131</v>
      </c>
      <c r="AE1053" t="s">
        <v>46</v>
      </c>
      <c r="AF1053" t="s">
        <v>96</v>
      </c>
      <c r="AG1053" t="str">
        <f t="shared" si="17"/>
        <v>CC 12x</v>
      </c>
      <c r="AH1053" t="str">
        <f>IF(AND(SUMIF(E:E,E1053,I:I)&gt;=400000,Q1053="B2G"),"n","")</f>
        <v/>
      </c>
    </row>
    <row r="1054" spans="1:34">
      <c r="A1054">
        <v>2026</v>
      </c>
      <c r="B1054">
        <v>2</v>
      </c>
      <c r="C1054" s="83">
        <v>164644955162</v>
      </c>
      <c r="D1054" t="s">
        <v>1075</v>
      </c>
      <c r="E1054">
        <v>56930446851</v>
      </c>
      <c r="F1054">
        <v>636223</v>
      </c>
      <c r="G1054">
        <v>52219958881</v>
      </c>
      <c r="H1054" t="s">
        <v>35</v>
      </c>
      <c r="I1054" s="36">
        <v>5754</v>
      </c>
      <c r="J1054" s="36">
        <v>5754</v>
      </c>
      <c r="K1054" s="85">
        <v>0</v>
      </c>
      <c r="L1054" s="36">
        <v>479.5</v>
      </c>
      <c r="M1054" s="36">
        <v>479.5</v>
      </c>
      <c r="N1054" s="36">
        <v>0</v>
      </c>
      <c r="O1054" s="36">
        <v>0</v>
      </c>
      <c r="P1054" t="s">
        <v>497</v>
      </c>
      <c r="Q1054" t="s">
        <v>498</v>
      </c>
      <c r="R1054" t="s">
        <v>498</v>
      </c>
      <c r="S1054" s="1">
        <v>46076</v>
      </c>
      <c r="T1054" s="1">
        <v>46076</v>
      </c>
      <c r="V1054" s="1">
        <v>46441</v>
      </c>
      <c r="W1054" t="s">
        <v>38</v>
      </c>
      <c r="X1054">
        <v>12</v>
      </c>
      <c r="Y1054" t="s">
        <v>49</v>
      </c>
      <c r="AA1054" t="s">
        <v>117</v>
      </c>
      <c r="AB1054">
        <v>1</v>
      </c>
      <c r="AC1054" t="s">
        <v>499</v>
      </c>
      <c r="AD1054" t="s">
        <v>85</v>
      </c>
      <c r="AE1054" t="s">
        <v>46</v>
      </c>
      <c r="AF1054" t="s">
        <v>44</v>
      </c>
      <c r="AG1054" t="str">
        <f t="shared" si="17"/>
        <v>À Vista</v>
      </c>
      <c r="AH1054" t="str">
        <f>IF(AND(SUMIF(E:E,E1054,I:I)&gt;=400000,Q1054="B2G"),"n","")</f>
        <v/>
      </c>
    </row>
    <row r="1055" spans="1:34">
      <c r="A1055">
        <v>2026</v>
      </c>
      <c r="B1055">
        <v>2</v>
      </c>
      <c r="C1055" s="83">
        <v>164927728817</v>
      </c>
      <c r="D1055" t="s">
        <v>1076</v>
      </c>
      <c r="E1055">
        <v>56896694826</v>
      </c>
      <c r="F1055">
        <v>506192</v>
      </c>
      <c r="G1055">
        <v>52198865721</v>
      </c>
      <c r="H1055" t="s">
        <v>35</v>
      </c>
      <c r="I1055" s="36">
        <v>2586.6</v>
      </c>
      <c r="J1055" s="36">
        <v>2586.6</v>
      </c>
      <c r="K1055" s="85">
        <v>0</v>
      </c>
      <c r="L1055" s="36">
        <v>215.55</v>
      </c>
      <c r="M1055" s="36">
        <v>215.55</v>
      </c>
      <c r="N1055" s="36">
        <v>0</v>
      </c>
      <c r="O1055" s="36">
        <v>0</v>
      </c>
      <c r="P1055" t="s">
        <v>127</v>
      </c>
      <c r="Q1055" t="s">
        <v>111</v>
      </c>
      <c r="R1055" t="s">
        <v>111</v>
      </c>
      <c r="S1055" s="1">
        <v>46078</v>
      </c>
      <c r="T1055" s="1">
        <v>46078</v>
      </c>
      <c r="U1055" s="1">
        <v>46076</v>
      </c>
      <c r="V1055" s="1">
        <v>46446</v>
      </c>
      <c r="W1055" t="s">
        <v>38</v>
      </c>
      <c r="X1055">
        <v>12</v>
      </c>
      <c r="Y1055" t="s">
        <v>49</v>
      </c>
      <c r="Z1055" t="s">
        <v>76</v>
      </c>
      <c r="AA1055" t="s">
        <v>112</v>
      </c>
      <c r="AB1055">
        <v>12</v>
      </c>
      <c r="AC1055" t="s">
        <v>113</v>
      </c>
      <c r="AD1055" t="s">
        <v>140</v>
      </c>
      <c r="AE1055" t="s">
        <v>46</v>
      </c>
      <c r="AF1055" t="s">
        <v>119</v>
      </c>
      <c r="AG1055" t="str">
        <f t="shared" si="17"/>
        <v>CC 12x</v>
      </c>
      <c r="AH1055" t="str">
        <f>IF(AND(SUMIF(E:E,E1055,I:I)&gt;=400000,Q1055="B2G"),"n","")</f>
        <v/>
      </c>
    </row>
    <row r="1056" spans="1:34">
      <c r="A1056">
        <v>2026</v>
      </c>
      <c r="B1056">
        <v>2</v>
      </c>
      <c r="C1056" s="83">
        <v>166322072699</v>
      </c>
      <c r="D1056" t="s">
        <v>1077</v>
      </c>
      <c r="E1056">
        <v>56427430954</v>
      </c>
      <c r="F1056">
        <v>636106</v>
      </c>
      <c r="G1056">
        <v>51578128248</v>
      </c>
      <c r="H1056" t="s">
        <v>104</v>
      </c>
      <c r="I1056" s="36">
        <v>718.8</v>
      </c>
      <c r="J1056" s="36">
        <v>718.8</v>
      </c>
      <c r="K1056" s="85">
        <v>0</v>
      </c>
      <c r="L1056" s="36">
        <v>59.9</v>
      </c>
      <c r="M1056" s="36">
        <v>59.9</v>
      </c>
      <c r="N1056" s="36">
        <v>0</v>
      </c>
      <c r="O1056" s="36">
        <v>0</v>
      </c>
      <c r="P1056" t="s">
        <v>497</v>
      </c>
      <c r="Q1056" t="s">
        <v>498</v>
      </c>
      <c r="R1056" t="s">
        <v>498</v>
      </c>
      <c r="S1056" s="1">
        <v>46069</v>
      </c>
      <c r="T1056" s="1">
        <v>46069</v>
      </c>
      <c r="U1056" s="1"/>
      <c r="V1056" s="1">
        <v>46434</v>
      </c>
      <c r="W1056" t="s">
        <v>38</v>
      </c>
      <c r="X1056">
        <v>12</v>
      </c>
      <c r="Y1056" t="s">
        <v>49</v>
      </c>
      <c r="AA1056" t="s">
        <v>112</v>
      </c>
      <c r="AB1056">
        <v>12</v>
      </c>
      <c r="AC1056" t="s">
        <v>499</v>
      </c>
      <c r="AD1056" t="s">
        <v>105</v>
      </c>
      <c r="AE1056" t="s">
        <v>106</v>
      </c>
      <c r="AF1056" t="s">
        <v>59</v>
      </c>
      <c r="AG1056" t="str">
        <f t="shared" si="17"/>
        <v>CC 12x</v>
      </c>
      <c r="AH1056" t="str">
        <f>IF(AND(SUMIF(E:E,E1056,I:I)&gt;=400000,Q1056="B2G"),"n","")</f>
        <v/>
      </c>
    </row>
    <row r="1057" spans="1:34">
      <c r="A1057">
        <v>2026</v>
      </c>
      <c r="B1057">
        <v>2</v>
      </c>
      <c r="C1057" s="83">
        <v>168009903265</v>
      </c>
      <c r="D1057" t="s">
        <v>1078</v>
      </c>
      <c r="E1057">
        <v>56176679748</v>
      </c>
      <c r="F1057">
        <v>636081</v>
      </c>
      <c r="G1057">
        <v>51473813394</v>
      </c>
      <c r="H1057" t="s">
        <v>35</v>
      </c>
      <c r="I1057" s="36">
        <v>2586.6</v>
      </c>
      <c r="J1057" s="36">
        <v>2586.6</v>
      </c>
      <c r="K1057" s="85">
        <v>0</v>
      </c>
      <c r="L1057" s="36">
        <v>215.55</v>
      </c>
      <c r="M1057" s="36">
        <v>215.55</v>
      </c>
      <c r="N1057" s="36">
        <v>0</v>
      </c>
      <c r="O1057" s="36">
        <v>0</v>
      </c>
      <c r="P1057" t="s">
        <v>506</v>
      </c>
      <c r="Q1057" t="s">
        <v>300</v>
      </c>
      <c r="R1057" t="s">
        <v>300</v>
      </c>
      <c r="S1057" s="1">
        <v>46065</v>
      </c>
      <c r="T1057" s="1">
        <v>46065</v>
      </c>
      <c r="V1057" s="1">
        <v>46430</v>
      </c>
      <c r="W1057" t="s">
        <v>38</v>
      </c>
      <c r="X1057">
        <v>12</v>
      </c>
      <c r="Y1057" t="s">
        <v>49</v>
      </c>
      <c r="AA1057" t="s">
        <v>112</v>
      </c>
      <c r="AB1057">
        <v>12</v>
      </c>
      <c r="AC1057" t="s">
        <v>301</v>
      </c>
      <c r="AD1057" t="s">
        <v>140</v>
      </c>
      <c r="AE1057" t="s">
        <v>46</v>
      </c>
      <c r="AF1057" t="s">
        <v>119</v>
      </c>
      <c r="AG1057" t="str">
        <f t="shared" si="17"/>
        <v>CC 12x</v>
      </c>
      <c r="AH1057" t="str">
        <f>IF(AND(SUMIF(E:E,E1057,I:I)&gt;=400000,Q1057="B2G"),"n","")</f>
        <v/>
      </c>
    </row>
    <row r="1058" spans="1:34">
      <c r="A1058">
        <v>2026</v>
      </c>
      <c r="B1058">
        <v>2</v>
      </c>
      <c r="C1058" s="83">
        <v>168230455214</v>
      </c>
      <c r="D1058" t="s">
        <v>1079</v>
      </c>
      <c r="E1058">
        <v>55211786414</v>
      </c>
      <c r="F1058">
        <v>626196</v>
      </c>
      <c r="G1058">
        <v>50922596111</v>
      </c>
      <c r="H1058" t="s">
        <v>35</v>
      </c>
      <c r="I1058" s="36">
        <v>2198.64</v>
      </c>
      <c r="J1058" s="36">
        <v>2198.64</v>
      </c>
      <c r="K1058" s="85">
        <v>0</v>
      </c>
      <c r="L1058" s="36">
        <v>183.22</v>
      </c>
      <c r="M1058" s="36">
        <v>0</v>
      </c>
      <c r="N1058" s="36">
        <v>0</v>
      </c>
      <c r="O1058" s="36">
        <v>183.22228999999999</v>
      </c>
      <c r="P1058" t="s">
        <v>116</v>
      </c>
      <c r="Q1058" t="s">
        <v>111</v>
      </c>
      <c r="R1058" t="s">
        <v>111</v>
      </c>
      <c r="S1058" s="1">
        <v>46059</v>
      </c>
      <c r="T1058" s="1">
        <v>46059</v>
      </c>
      <c r="U1058" s="1">
        <v>46059</v>
      </c>
      <c r="V1058" s="1">
        <v>46424</v>
      </c>
      <c r="W1058" t="s">
        <v>38</v>
      </c>
      <c r="X1058">
        <v>12</v>
      </c>
      <c r="Y1058" t="s">
        <v>49</v>
      </c>
      <c r="Z1058" t="s">
        <v>76</v>
      </c>
      <c r="AA1058" t="s">
        <v>112</v>
      </c>
      <c r="AB1058">
        <v>12</v>
      </c>
      <c r="AC1058" t="s">
        <v>113</v>
      </c>
      <c r="AD1058" t="s">
        <v>118</v>
      </c>
      <c r="AE1058" t="s">
        <v>43</v>
      </c>
      <c r="AF1058" t="s">
        <v>119</v>
      </c>
      <c r="AG1058" t="str">
        <f t="shared" si="17"/>
        <v>CC 12x</v>
      </c>
      <c r="AH1058" t="str">
        <f>IF(AND(SUMIF(E:E,E1058,I:I)&gt;=400000,Q1058="B2G"),"n","")</f>
        <v/>
      </c>
    </row>
    <row r="1059" spans="1:34">
      <c r="A1059">
        <v>2026</v>
      </c>
      <c r="B1059">
        <v>2</v>
      </c>
      <c r="C1059" s="83">
        <v>168540297477</v>
      </c>
      <c r="D1059" t="s">
        <v>1080</v>
      </c>
      <c r="E1059">
        <v>53209905977</v>
      </c>
      <c r="F1059">
        <v>307067</v>
      </c>
      <c r="G1059">
        <v>51943317053</v>
      </c>
      <c r="H1059" t="s">
        <v>35</v>
      </c>
      <c r="I1059" s="36">
        <v>3556.56</v>
      </c>
      <c r="J1059" s="36">
        <v>3556.56</v>
      </c>
      <c r="K1059" s="85">
        <v>0</v>
      </c>
      <c r="L1059" s="36">
        <v>296.38</v>
      </c>
      <c r="M1059" s="36">
        <v>0</v>
      </c>
      <c r="N1059" s="36">
        <v>2.8334999999999999</v>
      </c>
      <c r="O1059" s="36">
        <v>293.55</v>
      </c>
      <c r="P1059" t="s">
        <v>137</v>
      </c>
      <c r="Q1059" t="s">
        <v>111</v>
      </c>
      <c r="R1059" t="s">
        <v>111</v>
      </c>
      <c r="S1059" s="1">
        <v>46073</v>
      </c>
      <c r="T1059" s="1">
        <v>46073</v>
      </c>
      <c r="U1059" s="1">
        <v>46072</v>
      </c>
      <c r="V1059" s="1">
        <v>46437</v>
      </c>
      <c r="W1059" t="s">
        <v>38</v>
      </c>
      <c r="X1059">
        <v>12</v>
      </c>
      <c r="Y1059" t="s">
        <v>49</v>
      </c>
      <c r="Z1059" t="s">
        <v>76</v>
      </c>
      <c r="AA1059" t="s">
        <v>122</v>
      </c>
      <c r="AB1059">
        <v>12</v>
      </c>
      <c r="AC1059" t="s">
        <v>113</v>
      </c>
      <c r="AD1059" t="s">
        <v>114</v>
      </c>
      <c r="AE1059" t="s">
        <v>43</v>
      </c>
      <c r="AF1059" t="s">
        <v>44</v>
      </c>
      <c r="AG1059" t="str">
        <f t="shared" si="17"/>
        <v>Recorrente</v>
      </c>
      <c r="AH1059" t="str">
        <f>IF(AND(SUMIF(E:E,E1059,I:I)&gt;=400000,Q1059="B2G"),"n","")</f>
        <v/>
      </c>
    </row>
    <row r="1060" spans="1:34">
      <c r="A1060">
        <v>2026</v>
      </c>
      <c r="B1060">
        <v>2</v>
      </c>
      <c r="C1060" s="83">
        <v>169637625498</v>
      </c>
      <c r="D1060" t="s">
        <v>1081</v>
      </c>
      <c r="E1060">
        <v>51941859406</v>
      </c>
      <c r="F1060">
        <v>607365</v>
      </c>
      <c r="G1060">
        <v>50778592933</v>
      </c>
      <c r="H1060" t="s">
        <v>35</v>
      </c>
      <c r="I1060" s="36">
        <v>4065</v>
      </c>
      <c r="J1060" s="36">
        <v>4065</v>
      </c>
      <c r="K1060" s="85">
        <v>0</v>
      </c>
      <c r="L1060" s="36">
        <v>338.75</v>
      </c>
      <c r="M1060" s="36">
        <v>0</v>
      </c>
      <c r="N1060" s="36">
        <v>50.6</v>
      </c>
      <c r="O1060" s="36">
        <v>288.14999999999998</v>
      </c>
      <c r="P1060" t="s">
        <v>162</v>
      </c>
      <c r="Q1060" t="s">
        <v>111</v>
      </c>
      <c r="R1060" t="s">
        <v>111</v>
      </c>
      <c r="S1060" s="1">
        <v>46058</v>
      </c>
      <c r="T1060" s="1">
        <v>46058</v>
      </c>
      <c r="U1060" s="1">
        <v>46037</v>
      </c>
      <c r="V1060" s="1">
        <v>46423</v>
      </c>
      <c r="W1060" t="s">
        <v>38</v>
      </c>
      <c r="X1060">
        <v>13</v>
      </c>
      <c r="Y1060" t="s">
        <v>49</v>
      </c>
      <c r="Z1060" t="s">
        <v>81</v>
      </c>
      <c r="AA1060" t="s">
        <v>122</v>
      </c>
      <c r="AB1060">
        <v>12</v>
      </c>
      <c r="AC1060" t="s">
        <v>113</v>
      </c>
      <c r="AD1060" t="s">
        <v>84</v>
      </c>
      <c r="AE1060" t="s">
        <v>43</v>
      </c>
      <c r="AF1060" t="s">
        <v>44</v>
      </c>
      <c r="AG1060" t="str">
        <f t="shared" si="17"/>
        <v>Recorrente</v>
      </c>
      <c r="AH1060" t="str">
        <f>IF(AND(SUMIF(E:E,E1060,I:I)&gt;=400000,Q1060="B2G"),"n","")</f>
        <v/>
      </c>
    </row>
    <row r="1061" spans="1:34">
      <c r="A1061">
        <v>2026</v>
      </c>
      <c r="B1061">
        <v>2</v>
      </c>
      <c r="C1061" s="83">
        <v>169774489906</v>
      </c>
      <c r="D1061" t="s">
        <v>1082</v>
      </c>
      <c r="E1061">
        <v>53401114375</v>
      </c>
      <c r="F1061">
        <v>528151</v>
      </c>
      <c r="G1061">
        <v>48583884917</v>
      </c>
      <c r="H1061" t="s">
        <v>35</v>
      </c>
      <c r="I1061" s="36">
        <v>4045.44</v>
      </c>
      <c r="J1061" s="36">
        <v>4045.44</v>
      </c>
      <c r="K1061" s="85">
        <v>0</v>
      </c>
      <c r="L1061" s="36">
        <v>337.12</v>
      </c>
      <c r="M1061" s="36">
        <v>0</v>
      </c>
      <c r="N1061" s="36">
        <v>102.69499999999999</v>
      </c>
      <c r="O1061" s="36">
        <v>234.43</v>
      </c>
      <c r="P1061" t="s">
        <v>165</v>
      </c>
      <c r="Q1061" t="s">
        <v>166</v>
      </c>
      <c r="R1061" t="s">
        <v>166</v>
      </c>
      <c r="S1061" s="1">
        <v>46076</v>
      </c>
      <c r="T1061" s="1">
        <v>46076</v>
      </c>
      <c r="U1061" s="1">
        <v>46076</v>
      </c>
      <c r="V1061" s="1">
        <v>46441</v>
      </c>
      <c r="W1061" t="s">
        <v>38</v>
      </c>
      <c r="X1061">
        <v>12</v>
      </c>
      <c r="Y1061" t="s">
        <v>49</v>
      </c>
      <c r="Z1061" t="s">
        <v>81</v>
      </c>
      <c r="AA1061" t="s">
        <v>112</v>
      </c>
      <c r="AB1061">
        <v>12</v>
      </c>
      <c r="AC1061" t="s">
        <v>166</v>
      </c>
      <c r="AD1061" t="s">
        <v>84</v>
      </c>
      <c r="AE1061" t="s">
        <v>43</v>
      </c>
      <c r="AF1061" t="s">
        <v>44</v>
      </c>
      <c r="AG1061" t="str">
        <f t="shared" si="17"/>
        <v>CC 12x</v>
      </c>
      <c r="AH1061" t="str">
        <f>IF(AND(SUMIF(E:E,E1061,I:I)&gt;=400000,Q1061="B2G"),"n","")</f>
        <v/>
      </c>
    </row>
    <row r="1062" spans="1:34">
      <c r="A1062">
        <v>2026</v>
      </c>
      <c r="B1062">
        <v>2</v>
      </c>
      <c r="C1062" s="83">
        <v>169774489906</v>
      </c>
      <c r="D1062" t="s">
        <v>1082</v>
      </c>
      <c r="E1062">
        <v>53401114375</v>
      </c>
      <c r="F1062">
        <v>528151</v>
      </c>
      <c r="G1062">
        <v>48583884918</v>
      </c>
      <c r="H1062" t="s">
        <v>35</v>
      </c>
      <c r="I1062" s="36">
        <v>4045.44</v>
      </c>
      <c r="J1062" s="36">
        <v>4045.44</v>
      </c>
      <c r="K1062" s="85">
        <v>0</v>
      </c>
      <c r="L1062" s="36">
        <v>337.12</v>
      </c>
      <c r="M1062" s="36">
        <v>0</v>
      </c>
      <c r="N1062" s="36">
        <v>102.69499999999999</v>
      </c>
      <c r="O1062" s="36">
        <v>234.43</v>
      </c>
      <c r="P1062" t="s">
        <v>165</v>
      </c>
      <c r="Q1062" t="s">
        <v>166</v>
      </c>
      <c r="R1062" t="s">
        <v>166</v>
      </c>
      <c r="S1062" s="1">
        <v>46076</v>
      </c>
      <c r="T1062" s="1">
        <v>46076</v>
      </c>
      <c r="U1062" s="1">
        <v>46076</v>
      </c>
      <c r="V1062" s="1">
        <v>46441</v>
      </c>
      <c r="W1062" t="s">
        <v>38</v>
      </c>
      <c r="X1062">
        <v>12</v>
      </c>
      <c r="Y1062" t="s">
        <v>49</v>
      </c>
      <c r="Z1062" t="s">
        <v>81</v>
      </c>
      <c r="AA1062" t="s">
        <v>112</v>
      </c>
      <c r="AB1062">
        <v>12</v>
      </c>
      <c r="AC1062" t="s">
        <v>166</v>
      </c>
      <c r="AD1062" t="s">
        <v>85</v>
      </c>
      <c r="AE1062" t="s">
        <v>46</v>
      </c>
      <c r="AF1062" t="s">
        <v>44</v>
      </c>
      <c r="AG1062" t="str">
        <f t="shared" si="17"/>
        <v>CC 12x</v>
      </c>
      <c r="AH1062" t="str">
        <f>IF(AND(SUMIF(E:E,E1062,I:I)&gt;=400000,Q1062="B2G"),"n","")</f>
        <v/>
      </c>
    </row>
    <row r="1063" spans="1:34">
      <c r="A1063">
        <v>2026</v>
      </c>
      <c r="B1063">
        <v>2</v>
      </c>
      <c r="C1063" s="83">
        <v>170137168264</v>
      </c>
      <c r="D1063" t="s">
        <v>1083</v>
      </c>
      <c r="E1063">
        <v>56381262166</v>
      </c>
      <c r="F1063">
        <v>304366</v>
      </c>
      <c r="G1063">
        <v>52402121560</v>
      </c>
      <c r="H1063" t="s">
        <v>35</v>
      </c>
      <c r="I1063" s="36">
        <v>11334.6</v>
      </c>
      <c r="J1063" s="36">
        <v>11334.6</v>
      </c>
      <c r="K1063" s="85">
        <v>0</v>
      </c>
      <c r="L1063" s="36">
        <v>944.55</v>
      </c>
      <c r="M1063" s="36">
        <v>0</v>
      </c>
      <c r="N1063" s="36">
        <v>25.36</v>
      </c>
      <c r="O1063" s="36">
        <v>919.19</v>
      </c>
      <c r="P1063" t="s">
        <v>110</v>
      </c>
      <c r="Q1063" t="s">
        <v>111</v>
      </c>
      <c r="R1063" t="s">
        <v>111</v>
      </c>
      <c r="S1063" s="1">
        <v>46080</v>
      </c>
      <c r="T1063" s="1">
        <v>46080</v>
      </c>
      <c r="U1063" s="1">
        <v>46068</v>
      </c>
      <c r="V1063" s="1">
        <v>46445</v>
      </c>
      <c r="W1063" t="s">
        <v>38</v>
      </c>
      <c r="X1063">
        <v>12</v>
      </c>
      <c r="Y1063" t="s">
        <v>49</v>
      </c>
      <c r="Z1063" t="s">
        <v>81</v>
      </c>
      <c r="AA1063" t="s">
        <v>122</v>
      </c>
      <c r="AB1063">
        <v>12</v>
      </c>
      <c r="AC1063" t="s">
        <v>113</v>
      </c>
      <c r="AD1063" t="s">
        <v>146</v>
      </c>
      <c r="AE1063" t="s">
        <v>135</v>
      </c>
      <c r="AF1063" t="s">
        <v>96</v>
      </c>
      <c r="AG1063" t="str">
        <f t="shared" si="17"/>
        <v>Recorrente</v>
      </c>
      <c r="AH1063" t="str">
        <f>IF(AND(SUMIF(E:E,E1063,I:I)&gt;=400000,Q1063="B2G"),"n","")</f>
        <v/>
      </c>
    </row>
    <row r="1064" spans="1:34">
      <c r="A1064">
        <v>2026</v>
      </c>
      <c r="B1064">
        <v>2</v>
      </c>
      <c r="C1064" s="83">
        <v>170792189298</v>
      </c>
      <c r="D1064" t="s">
        <v>1084</v>
      </c>
      <c r="E1064">
        <v>56913335882</v>
      </c>
      <c r="F1064">
        <v>536925</v>
      </c>
      <c r="G1064">
        <v>52153649215</v>
      </c>
      <c r="H1064" t="s">
        <v>35</v>
      </c>
      <c r="I1064" s="36">
        <v>773.28</v>
      </c>
      <c r="J1064" s="36">
        <v>2882.16</v>
      </c>
      <c r="K1064" s="85">
        <v>0</v>
      </c>
      <c r="L1064" s="36">
        <v>240.18</v>
      </c>
      <c r="M1064" s="36">
        <v>0</v>
      </c>
      <c r="N1064" s="36">
        <v>240.18</v>
      </c>
      <c r="O1064" s="36">
        <v>0</v>
      </c>
      <c r="P1064" t="s">
        <v>323</v>
      </c>
      <c r="Q1064" t="s">
        <v>191</v>
      </c>
      <c r="R1064" t="s">
        <v>191</v>
      </c>
      <c r="S1064" s="1">
        <v>46076</v>
      </c>
      <c r="T1064" s="1">
        <v>46076</v>
      </c>
      <c r="U1064" s="1">
        <v>46174</v>
      </c>
      <c r="V1064" s="1">
        <v>46174</v>
      </c>
      <c r="W1064" t="s">
        <v>38</v>
      </c>
      <c r="X1064">
        <v>4</v>
      </c>
      <c r="Y1064" t="s">
        <v>49</v>
      </c>
      <c r="Z1064" t="s">
        <v>324</v>
      </c>
      <c r="AA1064" t="s">
        <v>122</v>
      </c>
      <c r="AB1064">
        <v>3</v>
      </c>
      <c r="AC1064" t="s">
        <v>192</v>
      </c>
      <c r="AD1064" t="s">
        <v>85</v>
      </c>
      <c r="AE1064" t="s">
        <v>46</v>
      </c>
      <c r="AF1064" t="s">
        <v>44</v>
      </c>
      <c r="AG1064" t="str">
        <f t="shared" si="17"/>
        <v>Recorrente</v>
      </c>
      <c r="AH1064" t="str">
        <f>IF(AND(SUMIF(E:E,E1064,I:I)&gt;=400000,Q1064="B2G"),"n","")</f>
        <v/>
      </c>
    </row>
    <row r="1065" spans="1:34">
      <c r="A1065">
        <v>2026</v>
      </c>
      <c r="B1065">
        <v>2</v>
      </c>
      <c r="C1065" s="83">
        <v>171921599599</v>
      </c>
      <c r="D1065" t="s">
        <v>1085</v>
      </c>
      <c r="E1065">
        <v>54004676471</v>
      </c>
      <c r="F1065">
        <v>607421</v>
      </c>
      <c r="G1065">
        <v>49450872370</v>
      </c>
      <c r="H1065" t="s">
        <v>35</v>
      </c>
      <c r="I1065" s="36">
        <v>4668</v>
      </c>
      <c r="J1065" s="36">
        <v>4668</v>
      </c>
      <c r="K1065" s="85">
        <v>0</v>
      </c>
      <c r="L1065" s="36">
        <v>389</v>
      </c>
      <c r="M1065" s="36">
        <v>0</v>
      </c>
      <c r="N1065" s="36">
        <v>41</v>
      </c>
      <c r="O1065" s="36">
        <v>348</v>
      </c>
      <c r="P1065" t="s">
        <v>127</v>
      </c>
      <c r="Q1065" t="s">
        <v>111</v>
      </c>
      <c r="R1065" t="s">
        <v>111</v>
      </c>
      <c r="S1065" s="1">
        <v>46044</v>
      </c>
      <c r="T1065" s="1">
        <v>46054</v>
      </c>
      <c r="U1065" s="1">
        <v>46037</v>
      </c>
      <c r="V1065" s="1">
        <v>46409</v>
      </c>
      <c r="W1065" t="s">
        <v>38</v>
      </c>
      <c r="X1065">
        <v>12</v>
      </c>
      <c r="Y1065" t="s">
        <v>49</v>
      </c>
      <c r="Z1065" t="s">
        <v>81</v>
      </c>
      <c r="AA1065" t="s">
        <v>112</v>
      </c>
      <c r="AB1065">
        <v>12</v>
      </c>
      <c r="AC1065" t="s">
        <v>113</v>
      </c>
      <c r="AD1065" t="s">
        <v>85</v>
      </c>
      <c r="AE1065" t="s">
        <v>46</v>
      </c>
      <c r="AF1065" t="s">
        <v>44</v>
      </c>
      <c r="AG1065" t="str">
        <f t="shared" si="17"/>
        <v>CC 12x</v>
      </c>
      <c r="AH1065" t="str">
        <f>IF(AND(SUMIF(E:E,E1065,I:I)&gt;=400000,Q1065="B2G"),"n","")</f>
        <v/>
      </c>
    </row>
    <row r="1066" spans="1:34">
      <c r="A1066">
        <v>2026</v>
      </c>
      <c r="B1066">
        <v>2</v>
      </c>
      <c r="C1066" s="83">
        <v>172750428838</v>
      </c>
      <c r="D1066" t="s">
        <v>1086</v>
      </c>
      <c r="E1066">
        <v>55282676351</v>
      </c>
      <c r="F1066">
        <v>609822</v>
      </c>
      <c r="G1066">
        <v>52161992454</v>
      </c>
      <c r="H1066" t="s">
        <v>35</v>
      </c>
      <c r="I1066" s="36">
        <v>3666.6</v>
      </c>
      <c r="J1066" s="36">
        <v>3666.6</v>
      </c>
      <c r="K1066" s="85">
        <v>0</v>
      </c>
      <c r="L1066" s="36">
        <v>305.55</v>
      </c>
      <c r="M1066" s="36">
        <v>0</v>
      </c>
      <c r="N1066" s="36">
        <v>41.35</v>
      </c>
      <c r="O1066" s="36">
        <v>264.2</v>
      </c>
      <c r="P1066" t="s">
        <v>137</v>
      </c>
      <c r="Q1066" t="s">
        <v>111</v>
      </c>
      <c r="R1066" t="s">
        <v>111</v>
      </c>
      <c r="S1066" s="1">
        <v>46076</v>
      </c>
      <c r="T1066" s="1">
        <v>46076</v>
      </c>
      <c r="U1066" s="1">
        <v>46076</v>
      </c>
      <c r="V1066" s="1">
        <v>46441</v>
      </c>
      <c r="W1066" t="s">
        <v>38</v>
      </c>
      <c r="X1066">
        <v>12</v>
      </c>
      <c r="Y1066" t="s">
        <v>49</v>
      </c>
      <c r="Z1066" t="s">
        <v>81</v>
      </c>
      <c r="AA1066" t="s">
        <v>112</v>
      </c>
      <c r="AB1066">
        <v>12</v>
      </c>
      <c r="AC1066" t="s">
        <v>113</v>
      </c>
      <c r="AD1066" t="s">
        <v>114</v>
      </c>
      <c r="AE1066" t="s">
        <v>43</v>
      </c>
      <c r="AF1066" t="s">
        <v>44</v>
      </c>
      <c r="AG1066" t="str">
        <f t="shared" si="17"/>
        <v>CC 12x</v>
      </c>
      <c r="AH1066" t="str">
        <f>IF(AND(SUMIF(E:E,E1066,I:I)&gt;=400000,Q1066="B2G"),"n","")</f>
        <v/>
      </c>
    </row>
    <row r="1067" spans="1:34">
      <c r="A1067">
        <v>2026</v>
      </c>
      <c r="B1067">
        <v>2</v>
      </c>
      <c r="C1067" s="83">
        <v>173069437326</v>
      </c>
      <c r="D1067" t="s">
        <v>1087</v>
      </c>
      <c r="E1067">
        <v>55461708442</v>
      </c>
      <c r="F1067">
        <v>635889</v>
      </c>
      <c r="G1067">
        <v>50684822548</v>
      </c>
      <c r="H1067" t="s">
        <v>35</v>
      </c>
      <c r="I1067" s="36">
        <v>2874</v>
      </c>
      <c r="J1067" s="36">
        <v>2874</v>
      </c>
      <c r="K1067" s="85">
        <v>0</v>
      </c>
      <c r="L1067" s="36">
        <v>239.5</v>
      </c>
      <c r="M1067" s="36">
        <v>239.5</v>
      </c>
      <c r="N1067" s="36">
        <v>0</v>
      </c>
      <c r="O1067" s="36">
        <v>0</v>
      </c>
      <c r="P1067" t="s">
        <v>497</v>
      </c>
      <c r="Q1067" t="s">
        <v>498</v>
      </c>
      <c r="R1067" t="s">
        <v>498</v>
      </c>
      <c r="S1067" s="1">
        <v>46056</v>
      </c>
      <c r="T1067" s="1">
        <v>46056</v>
      </c>
      <c r="U1067" s="1"/>
      <c r="V1067" s="1">
        <v>46421</v>
      </c>
      <c r="W1067" t="s">
        <v>38</v>
      </c>
      <c r="X1067">
        <v>12</v>
      </c>
      <c r="Y1067" t="s">
        <v>49</v>
      </c>
      <c r="AA1067" t="s">
        <v>112</v>
      </c>
      <c r="AB1067">
        <v>12</v>
      </c>
      <c r="AC1067" t="s">
        <v>499</v>
      </c>
      <c r="AD1067" t="s">
        <v>140</v>
      </c>
      <c r="AE1067" t="s">
        <v>46</v>
      </c>
      <c r="AF1067" t="s">
        <v>119</v>
      </c>
      <c r="AG1067" t="str">
        <f t="shared" si="17"/>
        <v>CC 12x</v>
      </c>
      <c r="AH1067" t="str">
        <f>IF(AND(SUMIF(E:E,E1067,I:I)&gt;=400000,Q1067="B2G"),"n","")</f>
        <v/>
      </c>
    </row>
    <row r="1068" spans="1:34">
      <c r="A1068">
        <v>2026</v>
      </c>
      <c r="B1068">
        <v>2</v>
      </c>
      <c r="C1068" s="83">
        <v>174880251575</v>
      </c>
      <c r="D1068" t="s">
        <v>882</v>
      </c>
      <c r="E1068">
        <v>55941118289</v>
      </c>
      <c r="F1068">
        <v>635806</v>
      </c>
      <c r="G1068">
        <v>51288123186</v>
      </c>
      <c r="H1068" t="s">
        <v>35</v>
      </c>
      <c r="I1068" s="36">
        <v>9124.32</v>
      </c>
      <c r="J1068" s="36">
        <v>4641.96</v>
      </c>
      <c r="K1068" s="85">
        <v>4482.3599999999997</v>
      </c>
      <c r="L1068" s="36">
        <v>386.83</v>
      </c>
      <c r="M1068" s="36">
        <v>0</v>
      </c>
      <c r="N1068" s="36">
        <v>386.83</v>
      </c>
      <c r="O1068" s="36">
        <v>0</v>
      </c>
      <c r="P1068" t="s">
        <v>367</v>
      </c>
      <c r="Q1068" t="s">
        <v>191</v>
      </c>
      <c r="R1068" t="s">
        <v>191</v>
      </c>
      <c r="S1068" s="1">
        <v>46063</v>
      </c>
      <c r="T1068" s="1">
        <v>46063</v>
      </c>
      <c r="U1068" s="1">
        <v>46781</v>
      </c>
      <c r="V1068" s="1">
        <v>46781</v>
      </c>
      <c r="W1068" t="s">
        <v>56</v>
      </c>
      <c r="X1068">
        <v>23</v>
      </c>
      <c r="Y1068" t="s">
        <v>49</v>
      </c>
      <c r="Z1068" t="s">
        <v>324</v>
      </c>
      <c r="AA1068" t="s">
        <v>122</v>
      </c>
      <c r="AB1068">
        <v>23</v>
      </c>
      <c r="AC1068" t="s">
        <v>192</v>
      </c>
      <c r="AD1068" t="s">
        <v>163</v>
      </c>
      <c r="AE1068" t="s">
        <v>43</v>
      </c>
      <c r="AF1068" t="s">
        <v>96</v>
      </c>
      <c r="AG1068" t="str">
        <f t="shared" ref="AG1068:AG1131" si="18">IF(IFERROR(SEARCH("Recorrente",AA1068),0)&gt;0,"Recorrente",IF(AB1068=1,"À Vista",IF(AB1068&lt;=3,"CC 3x",IF(AB1068&lt;=12,"CC 12x",IF(AB1068&gt;12,"Recorrente","")))))</f>
        <v>Recorrente</v>
      </c>
      <c r="AH1068" t="str">
        <f>IF(AND(SUMIF(E:E,E1068,I:I)&gt;=400000,Q1068="B2G"),"n","")</f>
        <v/>
      </c>
    </row>
    <row r="1069" spans="1:34">
      <c r="A1069">
        <v>2026</v>
      </c>
      <c r="B1069">
        <v>2</v>
      </c>
      <c r="C1069" s="83">
        <v>176387687251</v>
      </c>
      <c r="D1069" t="s">
        <v>1088</v>
      </c>
      <c r="E1069">
        <v>57206958958</v>
      </c>
      <c r="F1069">
        <v>506603</v>
      </c>
      <c r="G1069">
        <v>52473641803</v>
      </c>
      <c r="H1069" t="s">
        <v>35</v>
      </c>
      <c r="I1069" s="36">
        <v>6664.68</v>
      </c>
      <c r="J1069" s="36">
        <v>6664.68</v>
      </c>
      <c r="K1069" s="85">
        <v>0</v>
      </c>
      <c r="L1069" s="36">
        <v>555.39</v>
      </c>
      <c r="M1069" s="36">
        <v>0</v>
      </c>
      <c r="N1069" s="36">
        <v>89.81</v>
      </c>
      <c r="O1069" s="36">
        <v>465.58</v>
      </c>
      <c r="P1069" t="s">
        <v>127</v>
      </c>
      <c r="Q1069" t="s">
        <v>111</v>
      </c>
      <c r="R1069" t="s">
        <v>111</v>
      </c>
      <c r="S1069" s="1">
        <v>46081</v>
      </c>
      <c r="T1069" s="1">
        <v>46081</v>
      </c>
      <c r="U1069" s="1">
        <v>46081</v>
      </c>
      <c r="V1069" s="1">
        <v>46446</v>
      </c>
      <c r="W1069" t="s">
        <v>38</v>
      </c>
      <c r="X1069">
        <v>12</v>
      </c>
      <c r="Y1069" t="s">
        <v>49</v>
      </c>
      <c r="Z1069" t="s">
        <v>81</v>
      </c>
      <c r="AA1069" t="s">
        <v>112</v>
      </c>
      <c r="AB1069">
        <v>12</v>
      </c>
      <c r="AC1069" t="s">
        <v>113</v>
      </c>
      <c r="AD1069" t="s">
        <v>134</v>
      </c>
      <c r="AE1069" t="s">
        <v>135</v>
      </c>
      <c r="AF1069" t="s">
        <v>44</v>
      </c>
      <c r="AG1069" t="str">
        <f t="shared" si="18"/>
        <v>CC 12x</v>
      </c>
      <c r="AH1069" t="str">
        <f>IF(AND(SUMIF(E:E,E1069,I:I)&gt;=400000,Q1069="B2G"),"n","")</f>
        <v/>
      </c>
    </row>
    <row r="1070" spans="1:34">
      <c r="A1070">
        <v>2026</v>
      </c>
      <c r="B1070">
        <v>2</v>
      </c>
      <c r="C1070" s="83">
        <v>176650695312</v>
      </c>
      <c r="D1070" t="s">
        <v>1089</v>
      </c>
      <c r="E1070">
        <v>55617881744</v>
      </c>
      <c r="F1070">
        <v>634635</v>
      </c>
      <c r="G1070">
        <v>51288829210</v>
      </c>
      <c r="H1070" t="s">
        <v>35</v>
      </c>
      <c r="I1070" s="36">
        <v>898.68</v>
      </c>
      <c r="J1070" s="36">
        <v>1310.28</v>
      </c>
      <c r="K1070" s="85">
        <v>0</v>
      </c>
      <c r="L1070" s="36">
        <v>109.19</v>
      </c>
      <c r="M1070" s="36">
        <v>0</v>
      </c>
      <c r="N1070" s="36">
        <v>109.19</v>
      </c>
      <c r="O1070" s="36">
        <v>0</v>
      </c>
      <c r="P1070" t="s">
        <v>323</v>
      </c>
      <c r="Q1070" t="s">
        <v>191</v>
      </c>
      <c r="R1070" t="s">
        <v>191</v>
      </c>
      <c r="S1070" s="1">
        <v>46064</v>
      </c>
      <c r="T1070" s="1">
        <v>46064</v>
      </c>
      <c r="U1070" s="1">
        <v>46338</v>
      </c>
      <c r="V1070" s="1">
        <v>46338</v>
      </c>
      <c r="W1070" t="s">
        <v>38</v>
      </c>
      <c r="X1070">
        <v>9</v>
      </c>
      <c r="Y1070" t="s">
        <v>49</v>
      </c>
      <c r="Z1070" t="s">
        <v>324</v>
      </c>
      <c r="AA1070" t="s">
        <v>112</v>
      </c>
      <c r="AB1070">
        <v>9</v>
      </c>
      <c r="AC1070" t="s">
        <v>192</v>
      </c>
      <c r="AD1070" t="s">
        <v>149</v>
      </c>
      <c r="AE1070" t="s">
        <v>43</v>
      </c>
      <c r="AF1070" t="s">
        <v>96</v>
      </c>
      <c r="AG1070" t="str">
        <f t="shared" si="18"/>
        <v>CC 12x</v>
      </c>
      <c r="AH1070" t="str">
        <f>IF(AND(SUMIF(E:E,E1070,I:I)&gt;=400000,Q1070="B2G"),"n","")</f>
        <v/>
      </c>
    </row>
    <row r="1071" spans="1:34">
      <c r="A1071">
        <v>2026</v>
      </c>
      <c r="B1071">
        <v>2</v>
      </c>
      <c r="C1071" s="83">
        <v>176650695312</v>
      </c>
      <c r="D1071" t="s">
        <v>1089</v>
      </c>
      <c r="E1071">
        <v>55617881744</v>
      </c>
      <c r="F1071">
        <v>634635</v>
      </c>
      <c r="G1071">
        <v>51288829211</v>
      </c>
      <c r="H1071" t="s">
        <v>35</v>
      </c>
      <c r="I1071" s="36">
        <v>1067.04</v>
      </c>
      <c r="J1071" s="36">
        <v>1310.28</v>
      </c>
      <c r="K1071" s="85">
        <v>0</v>
      </c>
      <c r="L1071" s="36">
        <v>109.19</v>
      </c>
      <c r="M1071" s="36">
        <v>0</v>
      </c>
      <c r="N1071" s="36">
        <v>109.19</v>
      </c>
      <c r="O1071" s="36">
        <v>0</v>
      </c>
      <c r="P1071" t="s">
        <v>323</v>
      </c>
      <c r="Q1071" t="s">
        <v>191</v>
      </c>
      <c r="R1071" t="s">
        <v>191</v>
      </c>
      <c r="S1071" s="1">
        <v>46064</v>
      </c>
      <c r="T1071" s="1">
        <v>46064</v>
      </c>
      <c r="U1071" s="1">
        <v>46338</v>
      </c>
      <c r="V1071" s="1">
        <v>46338</v>
      </c>
      <c r="W1071" t="s">
        <v>38</v>
      </c>
      <c r="X1071">
        <v>9</v>
      </c>
      <c r="Y1071" t="s">
        <v>49</v>
      </c>
      <c r="Z1071" t="s">
        <v>324</v>
      </c>
      <c r="AA1071" t="s">
        <v>112</v>
      </c>
      <c r="AB1071">
        <v>9</v>
      </c>
      <c r="AC1071" t="s">
        <v>192</v>
      </c>
      <c r="AD1071" t="s">
        <v>256</v>
      </c>
      <c r="AE1071" t="s">
        <v>257</v>
      </c>
      <c r="AF1071" t="s">
        <v>59</v>
      </c>
      <c r="AG1071" t="str">
        <f t="shared" si="18"/>
        <v>CC 12x</v>
      </c>
      <c r="AH1071" t="str">
        <f>IF(AND(SUMIF(E:E,E1071,I:I)&gt;=400000,Q1071="B2G"),"n","")</f>
        <v/>
      </c>
    </row>
    <row r="1072" spans="1:34">
      <c r="A1072">
        <v>2026</v>
      </c>
      <c r="B1072">
        <v>2</v>
      </c>
      <c r="C1072" s="83">
        <v>177394398515</v>
      </c>
      <c r="D1072" t="s">
        <v>1090</v>
      </c>
      <c r="E1072">
        <v>57096683653</v>
      </c>
      <c r="F1072">
        <v>632602</v>
      </c>
      <c r="G1072">
        <v>52361958926</v>
      </c>
      <c r="H1072" t="s">
        <v>35</v>
      </c>
      <c r="I1072" s="36">
        <v>2072.4</v>
      </c>
      <c r="J1072" s="36">
        <v>3842.64</v>
      </c>
      <c r="K1072" s="85">
        <v>0</v>
      </c>
      <c r="L1072" s="36">
        <v>320.22000000000003</v>
      </c>
      <c r="M1072" s="36">
        <v>0</v>
      </c>
      <c r="N1072" s="36">
        <v>320.22000000000003</v>
      </c>
      <c r="O1072" s="36">
        <v>0</v>
      </c>
      <c r="P1072" t="s">
        <v>313</v>
      </c>
      <c r="Q1072" t="s">
        <v>314</v>
      </c>
      <c r="R1072" t="s">
        <v>314</v>
      </c>
      <c r="S1072" s="1">
        <v>46079</v>
      </c>
      <c r="T1072" s="1">
        <v>46079</v>
      </c>
      <c r="U1072" s="1">
        <v>46276</v>
      </c>
      <c r="V1072" s="1">
        <v>46276</v>
      </c>
      <c r="W1072" t="s">
        <v>38</v>
      </c>
      <c r="X1072">
        <v>7</v>
      </c>
      <c r="Y1072" t="s">
        <v>49</v>
      </c>
      <c r="Z1072" t="s">
        <v>324</v>
      </c>
      <c r="AA1072" t="s">
        <v>112</v>
      </c>
      <c r="AB1072">
        <v>6</v>
      </c>
      <c r="AC1072" t="s">
        <v>315</v>
      </c>
      <c r="AD1072" t="s">
        <v>134</v>
      </c>
      <c r="AE1072" t="s">
        <v>135</v>
      </c>
      <c r="AF1072" t="s">
        <v>44</v>
      </c>
      <c r="AG1072" t="str">
        <f t="shared" si="18"/>
        <v>CC 12x</v>
      </c>
      <c r="AH1072" t="str">
        <f>IF(AND(SUMIF(E:E,E1072,I:I)&gt;=400000,Q1072="B2G"),"n","")</f>
        <v/>
      </c>
    </row>
    <row r="1073" spans="1:34">
      <c r="A1073">
        <v>2026</v>
      </c>
      <c r="B1073">
        <v>2</v>
      </c>
      <c r="C1073" s="83">
        <v>179142669199</v>
      </c>
      <c r="D1073" t="s">
        <v>1091</v>
      </c>
      <c r="E1073">
        <v>55486981490</v>
      </c>
      <c r="F1073">
        <v>315085</v>
      </c>
      <c r="G1073">
        <v>50778442776</v>
      </c>
      <c r="H1073" t="s">
        <v>35</v>
      </c>
      <c r="I1073" s="36">
        <v>365.28</v>
      </c>
      <c r="J1073" s="36">
        <v>1320.96</v>
      </c>
      <c r="K1073" s="85">
        <v>0</v>
      </c>
      <c r="L1073" s="36">
        <v>110.08</v>
      </c>
      <c r="M1073" s="36">
        <v>0</v>
      </c>
      <c r="N1073" s="36">
        <v>110.08</v>
      </c>
      <c r="O1073" s="36">
        <v>0</v>
      </c>
      <c r="P1073" t="s">
        <v>323</v>
      </c>
      <c r="Q1073" t="s">
        <v>191</v>
      </c>
      <c r="R1073" t="s">
        <v>191</v>
      </c>
      <c r="S1073" s="1">
        <v>46057</v>
      </c>
      <c r="T1073" s="1">
        <v>46057</v>
      </c>
      <c r="U1073" s="1">
        <v>46157</v>
      </c>
      <c r="V1073" s="1">
        <v>46157</v>
      </c>
      <c r="W1073" t="s">
        <v>38</v>
      </c>
      <c r="X1073">
        <v>3</v>
      </c>
      <c r="Y1073" t="s">
        <v>49</v>
      </c>
      <c r="Z1073" t="s">
        <v>324</v>
      </c>
      <c r="AA1073" t="s">
        <v>122</v>
      </c>
      <c r="AB1073">
        <v>3</v>
      </c>
      <c r="AC1073" t="s">
        <v>192</v>
      </c>
      <c r="AD1073" t="s">
        <v>149</v>
      </c>
      <c r="AE1073" t="s">
        <v>43</v>
      </c>
      <c r="AF1073" t="s">
        <v>96</v>
      </c>
      <c r="AG1073" t="str">
        <f t="shared" si="18"/>
        <v>Recorrente</v>
      </c>
      <c r="AH1073" t="str">
        <f>IF(AND(SUMIF(E:E,E1073,I:I)&gt;=400000,Q1073="B2G"),"n","")</f>
        <v/>
      </c>
    </row>
    <row r="1074" spans="1:34">
      <c r="A1074">
        <v>2026</v>
      </c>
      <c r="B1074">
        <v>2</v>
      </c>
      <c r="C1074" s="83">
        <v>179441454887</v>
      </c>
      <c r="D1074" t="s">
        <v>1092</v>
      </c>
      <c r="E1074">
        <v>55935430294</v>
      </c>
      <c r="F1074">
        <v>630290</v>
      </c>
      <c r="G1074">
        <v>52251362961</v>
      </c>
      <c r="H1074" t="s">
        <v>35</v>
      </c>
      <c r="I1074" s="36">
        <v>590.4</v>
      </c>
      <c r="J1074" s="36">
        <v>1942.8</v>
      </c>
      <c r="K1074" s="85">
        <v>0</v>
      </c>
      <c r="L1074" s="36">
        <v>161.9</v>
      </c>
      <c r="M1074" s="36">
        <v>0</v>
      </c>
      <c r="N1074" s="36">
        <v>161.9</v>
      </c>
      <c r="O1074" s="36">
        <v>0</v>
      </c>
      <c r="P1074" t="s">
        <v>323</v>
      </c>
      <c r="Q1074" t="s">
        <v>191</v>
      </c>
      <c r="R1074" t="s">
        <v>191</v>
      </c>
      <c r="S1074" s="1">
        <v>46078</v>
      </c>
      <c r="T1074" s="1">
        <v>46078</v>
      </c>
      <c r="U1074" s="1">
        <v>46189</v>
      </c>
      <c r="V1074" s="1">
        <v>46189</v>
      </c>
      <c r="W1074" t="s">
        <v>38</v>
      </c>
      <c r="X1074">
        <v>4</v>
      </c>
      <c r="Y1074" t="s">
        <v>49</v>
      </c>
      <c r="Z1074" t="s">
        <v>324</v>
      </c>
      <c r="AA1074" t="s">
        <v>112</v>
      </c>
      <c r="AB1074">
        <v>4</v>
      </c>
      <c r="AC1074" t="s">
        <v>192</v>
      </c>
      <c r="AD1074" t="s">
        <v>84</v>
      </c>
      <c r="AE1074" t="s">
        <v>43</v>
      </c>
      <c r="AF1074" t="s">
        <v>44</v>
      </c>
      <c r="AG1074" t="str">
        <f t="shared" si="18"/>
        <v>CC 12x</v>
      </c>
      <c r="AH1074" t="str">
        <f>IF(AND(SUMIF(E:E,E1074,I:I)&gt;=400000,Q1074="B2G"),"n","")</f>
        <v/>
      </c>
    </row>
    <row r="1075" spans="1:34">
      <c r="A1075">
        <v>2026</v>
      </c>
      <c r="B1075">
        <v>2</v>
      </c>
      <c r="C1075" s="83">
        <v>179441545020</v>
      </c>
      <c r="D1075" t="s">
        <v>1093</v>
      </c>
      <c r="E1075">
        <v>55480690177</v>
      </c>
      <c r="F1075">
        <v>636126</v>
      </c>
      <c r="G1075">
        <v>51905745169</v>
      </c>
      <c r="H1075" t="s">
        <v>35</v>
      </c>
      <c r="I1075" s="36">
        <v>5299.92</v>
      </c>
      <c r="J1075" s="36">
        <v>5299.8714</v>
      </c>
      <c r="K1075" s="85">
        <v>4.8599999999999997E-2</v>
      </c>
      <c r="L1075" s="36">
        <v>441.65595000000002</v>
      </c>
      <c r="M1075" s="36">
        <v>0</v>
      </c>
      <c r="N1075" s="36">
        <v>102.33595</v>
      </c>
      <c r="O1075" s="36">
        <v>339.32</v>
      </c>
      <c r="P1075" t="s">
        <v>367</v>
      </c>
      <c r="Q1075" t="s">
        <v>191</v>
      </c>
      <c r="R1075" t="s">
        <v>191</v>
      </c>
      <c r="S1075" s="1">
        <v>46071</v>
      </c>
      <c r="T1075" s="1">
        <v>46071</v>
      </c>
      <c r="U1075" s="1"/>
      <c r="V1075" s="1">
        <v>46436</v>
      </c>
      <c r="W1075" t="s">
        <v>38</v>
      </c>
      <c r="Y1075" t="s">
        <v>49</v>
      </c>
      <c r="AA1075" t="s">
        <v>112</v>
      </c>
      <c r="AB1075">
        <v>1</v>
      </c>
      <c r="AC1075" t="s">
        <v>192</v>
      </c>
      <c r="AD1075" t="s">
        <v>149</v>
      </c>
      <c r="AE1075" t="s">
        <v>43</v>
      </c>
      <c r="AF1075" t="s">
        <v>96</v>
      </c>
      <c r="AG1075" t="str">
        <f t="shared" si="18"/>
        <v>À Vista</v>
      </c>
      <c r="AH1075" t="str">
        <f>IF(AND(SUMIF(E:E,E1075,I:I)&gt;=400000,Q1075="B2G"),"n","")</f>
        <v/>
      </c>
    </row>
    <row r="1076" spans="1:34">
      <c r="A1076">
        <v>2026</v>
      </c>
      <c r="B1076">
        <v>2</v>
      </c>
      <c r="C1076" s="83">
        <v>179900490157</v>
      </c>
      <c r="D1076" t="s">
        <v>1094</v>
      </c>
      <c r="E1076">
        <v>51158736802</v>
      </c>
      <c r="F1076">
        <v>524354</v>
      </c>
      <c r="G1076">
        <v>46522177849</v>
      </c>
      <c r="H1076" t="s">
        <v>35</v>
      </c>
      <c r="I1076" s="36">
        <v>8372.16</v>
      </c>
      <c r="J1076" s="36">
        <v>4186.08</v>
      </c>
      <c r="K1076" s="85">
        <v>4186.08</v>
      </c>
      <c r="L1076" s="36">
        <v>348.84</v>
      </c>
      <c r="M1076" s="36">
        <v>0</v>
      </c>
      <c r="N1076" s="36">
        <v>43.59</v>
      </c>
      <c r="O1076" s="36">
        <v>305.25</v>
      </c>
      <c r="P1076" t="s">
        <v>133</v>
      </c>
      <c r="Q1076" t="s">
        <v>111</v>
      </c>
      <c r="R1076" t="s">
        <v>111</v>
      </c>
      <c r="S1076" s="1">
        <v>45995</v>
      </c>
      <c r="T1076" s="1">
        <v>46054</v>
      </c>
      <c r="U1076" s="1">
        <v>46026</v>
      </c>
      <c r="V1076" s="1">
        <v>46756</v>
      </c>
      <c r="W1076" t="s">
        <v>56</v>
      </c>
      <c r="X1076">
        <v>24</v>
      </c>
      <c r="Y1076" t="s">
        <v>49</v>
      </c>
      <c r="Z1076" t="s">
        <v>81</v>
      </c>
      <c r="AA1076" t="s">
        <v>122</v>
      </c>
      <c r="AB1076">
        <v>24</v>
      </c>
      <c r="AC1076" t="s">
        <v>113</v>
      </c>
      <c r="AD1076" t="s">
        <v>85</v>
      </c>
      <c r="AE1076" t="s">
        <v>46</v>
      </c>
      <c r="AF1076" t="s">
        <v>44</v>
      </c>
      <c r="AG1076" t="str">
        <f t="shared" si="18"/>
        <v>Recorrente</v>
      </c>
      <c r="AH1076" t="str">
        <f>IF(AND(SUMIF(E:E,E1076,I:I)&gt;=400000,Q1076="B2G"),"n","")</f>
        <v/>
      </c>
    </row>
    <row r="1077" spans="1:34">
      <c r="A1077">
        <v>2026</v>
      </c>
      <c r="B1077">
        <v>2</v>
      </c>
      <c r="C1077" s="83">
        <v>180049938181</v>
      </c>
      <c r="D1077" t="s">
        <v>1095</v>
      </c>
      <c r="E1077">
        <v>56997168690</v>
      </c>
      <c r="F1077">
        <v>636256</v>
      </c>
      <c r="G1077">
        <v>52292687119</v>
      </c>
      <c r="H1077" t="s">
        <v>35</v>
      </c>
      <c r="I1077" s="36">
        <v>2874</v>
      </c>
      <c r="J1077" s="36">
        <v>2874</v>
      </c>
      <c r="K1077" s="85">
        <v>0</v>
      </c>
      <c r="L1077" s="36">
        <v>239.5</v>
      </c>
      <c r="M1077" s="36">
        <v>239.5</v>
      </c>
      <c r="N1077" s="36">
        <v>0</v>
      </c>
      <c r="O1077" s="36">
        <v>0</v>
      </c>
      <c r="P1077" t="s">
        <v>829</v>
      </c>
      <c r="Q1077" t="s">
        <v>300</v>
      </c>
      <c r="R1077" t="s">
        <v>300</v>
      </c>
      <c r="S1077" s="1">
        <v>46078</v>
      </c>
      <c r="T1077" s="1">
        <v>46078</v>
      </c>
      <c r="U1077" s="1"/>
      <c r="V1077" s="1">
        <v>46443</v>
      </c>
      <c r="W1077" t="s">
        <v>38</v>
      </c>
      <c r="X1077">
        <v>12</v>
      </c>
      <c r="Y1077" t="s">
        <v>49</v>
      </c>
      <c r="AA1077" t="s">
        <v>122</v>
      </c>
      <c r="AB1077">
        <v>12</v>
      </c>
      <c r="AC1077" t="s">
        <v>301</v>
      </c>
      <c r="AD1077" t="s">
        <v>140</v>
      </c>
      <c r="AE1077" t="s">
        <v>46</v>
      </c>
      <c r="AF1077" t="s">
        <v>119</v>
      </c>
      <c r="AG1077" t="str">
        <f t="shared" si="18"/>
        <v>Recorrente</v>
      </c>
      <c r="AH1077" t="str">
        <f>IF(AND(SUMIF(E:E,E1077,I:I)&gt;=400000,Q1077="B2G"),"n","")</f>
        <v/>
      </c>
    </row>
    <row r="1078" spans="1:34">
      <c r="A1078">
        <v>2026</v>
      </c>
      <c r="B1078">
        <v>2</v>
      </c>
      <c r="C1078" s="83">
        <v>180893363232</v>
      </c>
      <c r="D1078" t="s">
        <v>1096</v>
      </c>
      <c r="E1078">
        <v>56611687943</v>
      </c>
      <c r="F1078">
        <v>636295</v>
      </c>
      <c r="G1078">
        <v>52292392795</v>
      </c>
      <c r="H1078" t="s">
        <v>35</v>
      </c>
      <c r="I1078" s="36">
        <v>17631.599999999999</v>
      </c>
      <c r="J1078" s="36">
        <v>8815.7999999999993</v>
      </c>
      <c r="K1078" s="85">
        <v>8815.7999999999993</v>
      </c>
      <c r="L1078" s="36">
        <v>734.65</v>
      </c>
      <c r="M1078" s="36">
        <v>734.65</v>
      </c>
      <c r="N1078" s="36">
        <v>0</v>
      </c>
      <c r="O1078" s="36">
        <v>0</v>
      </c>
      <c r="P1078" t="s">
        <v>313</v>
      </c>
      <c r="Q1078" t="s">
        <v>314</v>
      </c>
      <c r="R1078" t="s">
        <v>314</v>
      </c>
      <c r="S1078" s="1">
        <v>46080</v>
      </c>
      <c r="T1078" s="1">
        <v>46080</v>
      </c>
      <c r="U1078" s="1"/>
      <c r="V1078" s="1">
        <v>46810</v>
      </c>
      <c r="W1078" t="s">
        <v>56</v>
      </c>
      <c r="X1078">
        <v>24</v>
      </c>
      <c r="Y1078" t="s">
        <v>49</v>
      </c>
      <c r="AA1078" t="s">
        <v>122</v>
      </c>
      <c r="AB1078">
        <v>24</v>
      </c>
      <c r="AC1078" t="s">
        <v>315</v>
      </c>
      <c r="AD1078" t="s">
        <v>146</v>
      </c>
      <c r="AE1078" t="s">
        <v>135</v>
      </c>
      <c r="AF1078" t="s">
        <v>96</v>
      </c>
      <c r="AG1078" t="str">
        <f t="shared" si="18"/>
        <v>Recorrente</v>
      </c>
      <c r="AH1078" t="str">
        <f>IF(AND(SUMIF(E:E,E1078,I:I)&gt;=400000,Q1078="B2G"),"n","")</f>
        <v/>
      </c>
    </row>
    <row r="1079" spans="1:34">
      <c r="A1079">
        <v>2026</v>
      </c>
      <c r="B1079">
        <v>2</v>
      </c>
      <c r="C1079" s="83">
        <v>180967355063</v>
      </c>
      <c r="D1079" t="s">
        <v>1097</v>
      </c>
      <c r="E1079">
        <v>53435381637</v>
      </c>
      <c r="F1079">
        <v>608868</v>
      </c>
      <c r="G1079">
        <v>50975801964</v>
      </c>
      <c r="H1079" t="s">
        <v>35</v>
      </c>
      <c r="I1079" s="36">
        <v>4530.6000000000004</v>
      </c>
      <c r="J1079" s="36">
        <v>4530.6000000000004</v>
      </c>
      <c r="K1079" s="85">
        <v>0</v>
      </c>
      <c r="L1079" s="36">
        <v>377.55</v>
      </c>
      <c r="M1079" s="36">
        <v>0</v>
      </c>
      <c r="N1079" s="36">
        <v>58.13</v>
      </c>
      <c r="O1079" s="36">
        <v>319.42</v>
      </c>
      <c r="P1079" t="s">
        <v>121</v>
      </c>
      <c r="Q1079" t="s">
        <v>111</v>
      </c>
      <c r="R1079" t="s">
        <v>111</v>
      </c>
      <c r="S1079" s="1">
        <v>46062</v>
      </c>
      <c r="T1079" s="1">
        <v>46062</v>
      </c>
      <c r="U1079" s="1">
        <v>46060</v>
      </c>
      <c r="V1079" s="1">
        <v>46425</v>
      </c>
      <c r="W1079" t="s">
        <v>38</v>
      </c>
      <c r="X1079">
        <v>12</v>
      </c>
      <c r="Y1079" t="s">
        <v>49</v>
      </c>
      <c r="Z1079" t="s">
        <v>81</v>
      </c>
      <c r="AA1079" t="s">
        <v>122</v>
      </c>
      <c r="AB1079">
        <v>12</v>
      </c>
      <c r="AC1079" t="s">
        <v>113</v>
      </c>
      <c r="AD1079" t="s">
        <v>84</v>
      </c>
      <c r="AE1079" t="s">
        <v>43</v>
      </c>
      <c r="AF1079" t="s">
        <v>44</v>
      </c>
      <c r="AG1079" t="str">
        <f t="shared" si="18"/>
        <v>Recorrente</v>
      </c>
      <c r="AH1079" t="str">
        <f>IF(AND(SUMIF(E:E,E1079,I:I)&gt;=400000,Q1079="B2G"),"n","")</f>
        <v/>
      </c>
    </row>
    <row r="1080" spans="1:34">
      <c r="A1080">
        <v>2026</v>
      </c>
      <c r="B1080">
        <v>2</v>
      </c>
      <c r="C1080" s="83">
        <v>181464342904</v>
      </c>
      <c r="D1080" t="s">
        <v>1098</v>
      </c>
      <c r="E1080">
        <v>53177712681</v>
      </c>
      <c r="F1080">
        <v>625244</v>
      </c>
      <c r="G1080">
        <v>48380745239</v>
      </c>
      <c r="H1080" t="s">
        <v>35</v>
      </c>
      <c r="I1080" s="36">
        <v>6080.04</v>
      </c>
      <c r="J1080" s="36">
        <v>6080.04</v>
      </c>
      <c r="K1080" s="85">
        <v>0</v>
      </c>
      <c r="L1080" s="36">
        <v>506.67</v>
      </c>
      <c r="M1080" s="36">
        <v>0</v>
      </c>
      <c r="N1080" s="36">
        <v>6.6749999999999998</v>
      </c>
      <c r="O1080" s="36">
        <v>500</v>
      </c>
      <c r="P1080" t="s">
        <v>133</v>
      </c>
      <c r="Q1080" t="s">
        <v>111</v>
      </c>
      <c r="R1080" t="s">
        <v>111</v>
      </c>
      <c r="S1080" s="1">
        <v>46038</v>
      </c>
      <c r="T1080" s="1">
        <v>46054</v>
      </c>
      <c r="U1080" s="1">
        <v>46025</v>
      </c>
      <c r="V1080" s="1">
        <v>46418</v>
      </c>
      <c r="W1080" t="s">
        <v>38</v>
      </c>
      <c r="X1080">
        <v>12</v>
      </c>
      <c r="Y1080" t="s">
        <v>49</v>
      </c>
      <c r="Z1080" t="s">
        <v>81</v>
      </c>
      <c r="AA1080" t="s">
        <v>117</v>
      </c>
      <c r="AB1080">
        <v>1</v>
      </c>
      <c r="AC1080" t="s">
        <v>113</v>
      </c>
      <c r="AD1080" t="s">
        <v>134</v>
      </c>
      <c r="AE1080" t="s">
        <v>135</v>
      </c>
      <c r="AF1080" t="s">
        <v>44</v>
      </c>
      <c r="AG1080" t="str">
        <f t="shared" si="18"/>
        <v>À Vista</v>
      </c>
      <c r="AH1080" t="str">
        <f>IF(AND(SUMIF(E:E,E1080,I:I)&gt;=400000,Q1080="B2G"),"n","")</f>
        <v/>
      </c>
    </row>
    <row r="1081" spans="1:34">
      <c r="A1081">
        <v>2026</v>
      </c>
      <c r="B1081">
        <v>2</v>
      </c>
      <c r="C1081" s="83">
        <v>183686231153</v>
      </c>
      <c r="D1081" t="s">
        <v>1099</v>
      </c>
      <c r="E1081">
        <v>52936747124</v>
      </c>
      <c r="F1081">
        <v>608820</v>
      </c>
      <c r="G1081">
        <v>51491998566</v>
      </c>
      <c r="H1081" t="s">
        <v>35</v>
      </c>
      <c r="I1081" s="36">
        <v>4765.4399999999996</v>
      </c>
      <c r="J1081" s="36">
        <v>4765.4399999999996</v>
      </c>
      <c r="K1081" s="85">
        <v>0</v>
      </c>
      <c r="L1081" s="36">
        <v>397.12</v>
      </c>
      <c r="M1081" s="36">
        <v>0</v>
      </c>
      <c r="N1081" s="36">
        <v>0</v>
      </c>
      <c r="O1081" s="36">
        <v>397.125</v>
      </c>
      <c r="P1081" t="s">
        <v>133</v>
      </c>
      <c r="Q1081" t="s">
        <v>111</v>
      </c>
      <c r="R1081" t="s">
        <v>111</v>
      </c>
      <c r="S1081" s="1">
        <v>46066</v>
      </c>
      <c r="T1081" s="1">
        <v>46066</v>
      </c>
      <c r="U1081" s="1">
        <v>46067</v>
      </c>
      <c r="V1081" s="1">
        <v>46446</v>
      </c>
      <c r="W1081" t="s">
        <v>38</v>
      </c>
      <c r="X1081">
        <v>12</v>
      </c>
      <c r="Y1081" t="s">
        <v>49</v>
      </c>
      <c r="Z1081" t="s">
        <v>81</v>
      </c>
      <c r="AA1081" t="s">
        <v>112</v>
      </c>
      <c r="AB1081">
        <v>12</v>
      </c>
      <c r="AC1081" t="s">
        <v>113</v>
      </c>
      <c r="AD1081" t="s">
        <v>174</v>
      </c>
      <c r="AE1081" t="s">
        <v>43</v>
      </c>
      <c r="AF1081" t="s">
        <v>47</v>
      </c>
      <c r="AG1081" t="str">
        <f t="shared" si="18"/>
        <v>CC 12x</v>
      </c>
      <c r="AH1081" t="str">
        <f>IF(AND(SUMIF(E:E,E1081,I:I)&gt;=400000,Q1081="B2G"),"n","")</f>
        <v/>
      </c>
    </row>
    <row r="1082" spans="1:34">
      <c r="A1082">
        <v>2026</v>
      </c>
      <c r="B1082">
        <v>2</v>
      </c>
      <c r="C1082" s="83">
        <v>183813651025</v>
      </c>
      <c r="D1082" t="s">
        <v>1100</v>
      </c>
      <c r="E1082">
        <v>53413213718</v>
      </c>
      <c r="F1082">
        <v>609846</v>
      </c>
      <c r="G1082">
        <v>48583885848</v>
      </c>
      <c r="H1082" t="s">
        <v>35</v>
      </c>
      <c r="I1082" s="36">
        <v>12954.6</v>
      </c>
      <c r="J1082" s="36">
        <v>12954.6</v>
      </c>
      <c r="K1082" s="85">
        <v>1.8189900000000001E-12</v>
      </c>
      <c r="L1082" s="36">
        <v>1079.55</v>
      </c>
      <c r="M1082" s="36">
        <v>0</v>
      </c>
      <c r="N1082" s="36">
        <v>232.9</v>
      </c>
      <c r="O1082" s="36">
        <v>846.65</v>
      </c>
      <c r="P1082" t="s">
        <v>165</v>
      </c>
      <c r="Q1082" t="s">
        <v>166</v>
      </c>
      <c r="R1082" t="s">
        <v>166</v>
      </c>
      <c r="S1082" s="1">
        <v>46076</v>
      </c>
      <c r="T1082" s="1">
        <v>46076</v>
      </c>
      <c r="U1082" s="1">
        <v>46076</v>
      </c>
      <c r="V1082" s="1">
        <v>46441</v>
      </c>
      <c r="W1082" t="s">
        <v>38</v>
      </c>
      <c r="X1082">
        <v>12</v>
      </c>
      <c r="Y1082" t="s">
        <v>49</v>
      </c>
      <c r="Z1082" t="s">
        <v>81</v>
      </c>
      <c r="AA1082" t="s">
        <v>92</v>
      </c>
      <c r="AB1082">
        <v>1</v>
      </c>
      <c r="AC1082" t="s">
        <v>166</v>
      </c>
      <c r="AD1082" t="s">
        <v>154</v>
      </c>
      <c r="AE1082" t="s">
        <v>46</v>
      </c>
      <c r="AF1082" t="s">
        <v>47</v>
      </c>
      <c r="AG1082" t="str">
        <f t="shared" si="18"/>
        <v>Recorrente</v>
      </c>
      <c r="AH1082" t="str">
        <f>IF(AND(SUMIF(E:E,E1082,I:I)&gt;=400000,Q1082="B2G"),"n","")</f>
        <v/>
      </c>
    </row>
    <row r="1083" spans="1:34">
      <c r="A1083">
        <v>2026</v>
      </c>
      <c r="B1083">
        <v>2</v>
      </c>
      <c r="C1083" s="83">
        <v>185183226382</v>
      </c>
      <c r="D1083" t="s">
        <v>1101</v>
      </c>
      <c r="E1083">
        <v>53239417097</v>
      </c>
      <c r="F1083">
        <v>625353</v>
      </c>
      <c r="G1083">
        <v>48387000638</v>
      </c>
      <c r="H1083" t="s">
        <v>35</v>
      </c>
      <c r="I1083" s="36">
        <v>4130.04</v>
      </c>
      <c r="J1083" s="36">
        <v>4130.04</v>
      </c>
      <c r="K1083" s="85">
        <v>0</v>
      </c>
      <c r="L1083" s="36">
        <v>344.17</v>
      </c>
      <c r="M1083" s="36">
        <v>344.17</v>
      </c>
      <c r="N1083" s="36">
        <v>0</v>
      </c>
      <c r="O1083" s="36">
        <v>0</v>
      </c>
      <c r="P1083" t="s">
        <v>133</v>
      </c>
      <c r="Q1083" t="s">
        <v>111</v>
      </c>
      <c r="R1083" t="s">
        <v>111</v>
      </c>
      <c r="S1083" s="1">
        <v>46029</v>
      </c>
      <c r="T1083" s="1">
        <v>46054</v>
      </c>
      <c r="U1083" s="1">
        <v>46031</v>
      </c>
      <c r="V1083" s="1">
        <v>46396</v>
      </c>
      <c r="W1083" t="s">
        <v>38</v>
      </c>
      <c r="X1083">
        <v>12</v>
      </c>
      <c r="Y1083" t="s">
        <v>49</v>
      </c>
      <c r="Z1083" t="s">
        <v>81</v>
      </c>
      <c r="AA1083" t="s">
        <v>122</v>
      </c>
      <c r="AB1083">
        <v>12</v>
      </c>
      <c r="AC1083" t="s">
        <v>113</v>
      </c>
      <c r="AD1083" t="s">
        <v>149</v>
      </c>
      <c r="AE1083" t="s">
        <v>43</v>
      </c>
      <c r="AF1083" t="s">
        <v>96</v>
      </c>
      <c r="AG1083" t="str">
        <f t="shared" si="18"/>
        <v>Recorrente</v>
      </c>
      <c r="AH1083" t="str">
        <f>IF(AND(SUMIF(E:E,E1083,I:I)&gt;=400000,Q1083="B2G"),"n","")</f>
        <v/>
      </c>
    </row>
    <row r="1084" spans="1:34">
      <c r="A1084">
        <v>2026</v>
      </c>
      <c r="B1084">
        <v>2</v>
      </c>
      <c r="C1084" s="83">
        <v>185375033108</v>
      </c>
      <c r="D1084" t="s">
        <v>1102</v>
      </c>
      <c r="E1084">
        <v>51930776156</v>
      </c>
      <c r="F1084">
        <v>636287</v>
      </c>
      <c r="G1084">
        <v>51983529565</v>
      </c>
      <c r="H1084" t="s">
        <v>35</v>
      </c>
      <c r="I1084" s="36">
        <v>2400</v>
      </c>
      <c r="J1084" s="36">
        <v>2400</v>
      </c>
      <c r="K1084" s="85">
        <v>0</v>
      </c>
      <c r="L1084" s="36">
        <v>200</v>
      </c>
      <c r="M1084" s="36">
        <v>200</v>
      </c>
      <c r="N1084" s="36">
        <v>0</v>
      </c>
      <c r="O1084" s="36">
        <v>0</v>
      </c>
      <c r="P1084" t="s">
        <v>804</v>
      </c>
      <c r="Q1084" t="s">
        <v>314</v>
      </c>
      <c r="R1084" t="s">
        <v>314</v>
      </c>
      <c r="S1084" s="1">
        <v>46079</v>
      </c>
      <c r="T1084" s="1">
        <v>46079</v>
      </c>
      <c r="U1084" s="1"/>
      <c r="V1084" s="1">
        <v>46444</v>
      </c>
      <c r="W1084" t="s">
        <v>38</v>
      </c>
      <c r="X1084">
        <v>12</v>
      </c>
      <c r="Y1084" t="s">
        <v>49</v>
      </c>
      <c r="AA1084" t="s">
        <v>112</v>
      </c>
      <c r="AB1084">
        <v>12</v>
      </c>
      <c r="AC1084" t="s">
        <v>315</v>
      </c>
      <c r="AD1084" t="s">
        <v>118</v>
      </c>
      <c r="AE1084" t="s">
        <v>43</v>
      </c>
      <c r="AF1084" t="s">
        <v>119</v>
      </c>
      <c r="AG1084" t="str">
        <f t="shared" si="18"/>
        <v>CC 12x</v>
      </c>
      <c r="AH1084" t="str">
        <f>IF(AND(SUMIF(E:E,E1084,I:I)&gt;=400000,Q1084="B2G"),"n","")</f>
        <v/>
      </c>
    </row>
    <row r="1085" spans="1:34">
      <c r="A1085">
        <v>2026</v>
      </c>
      <c r="B1085">
        <v>2</v>
      </c>
      <c r="C1085" s="83">
        <v>185470214990</v>
      </c>
      <c r="D1085" t="s">
        <v>1103</v>
      </c>
      <c r="E1085">
        <v>55485100180</v>
      </c>
      <c r="F1085">
        <v>635925</v>
      </c>
      <c r="G1085">
        <v>50778109296</v>
      </c>
      <c r="H1085" t="s">
        <v>35</v>
      </c>
      <c r="I1085" s="36">
        <v>5034</v>
      </c>
      <c r="J1085" s="36">
        <v>5034</v>
      </c>
      <c r="K1085" s="85">
        <v>0</v>
      </c>
      <c r="L1085" s="36">
        <v>419.5</v>
      </c>
      <c r="M1085" s="36">
        <v>419.5</v>
      </c>
      <c r="N1085" s="36">
        <v>0</v>
      </c>
      <c r="O1085" s="36">
        <v>0</v>
      </c>
      <c r="P1085" t="s">
        <v>829</v>
      </c>
      <c r="Q1085" t="s">
        <v>300</v>
      </c>
      <c r="R1085" t="s">
        <v>300</v>
      </c>
      <c r="S1085" s="1">
        <v>46057</v>
      </c>
      <c r="T1085" s="1">
        <v>46057</v>
      </c>
      <c r="U1085" s="1"/>
      <c r="V1085" s="1">
        <v>46422</v>
      </c>
      <c r="W1085" t="s">
        <v>38</v>
      </c>
      <c r="X1085">
        <v>12</v>
      </c>
      <c r="Y1085" t="s">
        <v>49</v>
      </c>
      <c r="AA1085" t="s">
        <v>122</v>
      </c>
      <c r="AB1085">
        <v>12</v>
      </c>
      <c r="AC1085" t="s">
        <v>301</v>
      </c>
      <c r="AD1085" t="s">
        <v>84</v>
      </c>
      <c r="AE1085" t="s">
        <v>43</v>
      </c>
      <c r="AF1085" t="s">
        <v>44</v>
      </c>
      <c r="AG1085" t="str">
        <f t="shared" si="18"/>
        <v>Recorrente</v>
      </c>
      <c r="AH1085" t="str">
        <f>IF(AND(SUMIF(E:E,E1085,I:I)&gt;=400000,Q1085="B2G"),"n","")</f>
        <v/>
      </c>
    </row>
    <row r="1086" spans="1:34">
      <c r="A1086">
        <v>2026</v>
      </c>
      <c r="B1086">
        <v>2</v>
      </c>
      <c r="C1086" s="83">
        <v>185499842443</v>
      </c>
      <c r="D1086" t="s">
        <v>1104</v>
      </c>
      <c r="E1086">
        <v>55878739458</v>
      </c>
      <c r="F1086">
        <v>306343</v>
      </c>
      <c r="G1086">
        <v>52162176898</v>
      </c>
      <c r="H1086" t="s">
        <v>35</v>
      </c>
      <c r="I1086" s="36">
        <v>4065</v>
      </c>
      <c r="J1086" s="36">
        <v>4065</v>
      </c>
      <c r="K1086" s="85">
        <v>0</v>
      </c>
      <c r="L1086" s="36">
        <v>338.75</v>
      </c>
      <c r="M1086" s="36">
        <v>0</v>
      </c>
      <c r="N1086" s="36">
        <v>0</v>
      </c>
      <c r="O1086" s="36">
        <v>338.74624999999997</v>
      </c>
      <c r="P1086" t="s">
        <v>137</v>
      </c>
      <c r="Q1086" t="s">
        <v>111</v>
      </c>
      <c r="R1086" t="s">
        <v>111</v>
      </c>
      <c r="S1086" s="1">
        <v>46078</v>
      </c>
      <c r="T1086" s="1">
        <v>46078</v>
      </c>
      <c r="U1086" s="1">
        <v>46062</v>
      </c>
      <c r="V1086" s="1">
        <v>46443</v>
      </c>
      <c r="W1086" t="s">
        <v>38</v>
      </c>
      <c r="X1086">
        <v>12</v>
      </c>
      <c r="Y1086" t="s">
        <v>49</v>
      </c>
      <c r="Z1086" t="s">
        <v>81</v>
      </c>
      <c r="AA1086" t="s">
        <v>112</v>
      </c>
      <c r="AB1086">
        <v>12</v>
      </c>
      <c r="AC1086" t="s">
        <v>113</v>
      </c>
      <c r="AD1086" t="s">
        <v>84</v>
      </c>
      <c r="AE1086" t="s">
        <v>43</v>
      </c>
      <c r="AF1086" t="s">
        <v>44</v>
      </c>
      <c r="AG1086" t="str">
        <f t="shared" si="18"/>
        <v>CC 12x</v>
      </c>
      <c r="AH1086" t="str">
        <f>IF(AND(SUMIF(E:E,E1086,I:I)&gt;=400000,Q1086="B2G"),"n","")</f>
        <v/>
      </c>
    </row>
    <row r="1087" spans="1:34">
      <c r="A1087">
        <v>2026</v>
      </c>
      <c r="B1087">
        <v>2</v>
      </c>
      <c r="C1087" s="83">
        <v>185567750261</v>
      </c>
      <c r="D1087" t="s">
        <v>1105</v>
      </c>
      <c r="E1087">
        <v>56023953155</v>
      </c>
      <c r="F1087">
        <v>636052</v>
      </c>
      <c r="G1087">
        <v>51328145741</v>
      </c>
      <c r="H1087" t="s">
        <v>104</v>
      </c>
      <c r="I1087" s="36">
        <v>718.8</v>
      </c>
      <c r="J1087" s="36">
        <v>718.8</v>
      </c>
      <c r="K1087" s="85">
        <v>0</v>
      </c>
      <c r="L1087" s="36">
        <v>59.9</v>
      </c>
      <c r="M1087" s="36">
        <v>59.9</v>
      </c>
      <c r="N1087" s="36">
        <v>0</v>
      </c>
      <c r="O1087" s="36">
        <v>0</v>
      </c>
      <c r="P1087" t="s">
        <v>497</v>
      </c>
      <c r="Q1087" t="s">
        <v>498</v>
      </c>
      <c r="R1087" t="s">
        <v>498</v>
      </c>
      <c r="S1087" s="1">
        <v>46064</v>
      </c>
      <c r="T1087" s="1">
        <v>46064</v>
      </c>
      <c r="U1087" s="1"/>
      <c r="V1087" s="1">
        <v>46429</v>
      </c>
      <c r="W1087" t="s">
        <v>38</v>
      </c>
      <c r="X1087">
        <v>12</v>
      </c>
      <c r="Y1087" t="s">
        <v>49</v>
      </c>
      <c r="AA1087" t="s">
        <v>117</v>
      </c>
      <c r="AB1087">
        <v>1</v>
      </c>
      <c r="AC1087" t="s">
        <v>499</v>
      </c>
      <c r="AD1087" t="s">
        <v>105</v>
      </c>
      <c r="AE1087" t="s">
        <v>106</v>
      </c>
      <c r="AF1087" t="s">
        <v>59</v>
      </c>
      <c r="AG1087" t="str">
        <f t="shared" si="18"/>
        <v>À Vista</v>
      </c>
      <c r="AH1087" t="str">
        <f>IF(AND(SUMIF(E:E,E1087,I:I)&gt;=400000,Q1087="B2G"),"n","")</f>
        <v/>
      </c>
    </row>
    <row r="1088" spans="1:34">
      <c r="A1088">
        <v>2026</v>
      </c>
      <c r="B1088">
        <v>2</v>
      </c>
      <c r="C1088" s="83">
        <v>185873641516</v>
      </c>
      <c r="D1088" t="s">
        <v>1106</v>
      </c>
      <c r="E1088">
        <v>52076680057</v>
      </c>
      <c r="F1088">
        <v>608176</v>
      </c>
      <c r="G1088">
        <v>49631210259</v>
      </c>
      <c r="H1088" t="s">
        <v>35</v>
      </c>
      <c r="I1088" s="36">
        <v>3900</v>
      </c>
      <c r="J1088" s="36">
        <v>3900</v>
      </c>
      <c r="K1088" s="85">
        <v>0</v>
      </c>
      <c r="L1088" s="36">
        <v>325</v>
      </c>
      <c r="M1088" s="36">
        <v>0</v>
      </c>
      <c r="N1088" s="36">
        <v>48.04</v>
      </c>
      <c r="O1088" s="36">
        <v>276.95999999999998</v>
      </c>
      <c r="P1088" t="s">
        <v>162</v>
      </c>
      <c r="Q1088" t="s">
        <v>111</v>
      </c>
      <c r="R1088" t="s">
        <v>111</v>
      </c>
      <c r="S1088" s="1">
        <v>46042</v>
      </c>
      <c r="T1088" s="1">
        <v>46054</v>
      </c>
      <c r="U1088" s="1">
        <v>46048</v>
      </c>
      <c r="V1088" s="1">
        <v>46413</v>
      </c>
      <c r="W1088" t="s">
        <v>38</v>
      </c>
      <c r="X1088">
        <v>12</v>
      </c>
      <c r="Y1088" t="s">
        <v>49</v>
      </c>
      <c r="Z1088" t="s">
        <v>76</v>
      </c>
      <c r="AA1088" t="s">
        <v>112</v>
      </c>
      <c r="AB1088">
        <v>12</v>
      </c>
      <c r="AC1088" t="s">
        <v>113</v>
      </c>
      <c r="AD1088" t="s">
        <v>114</v>
      </c>
      <c r="AE1088" t="s">
        <v>43</v>
      </c>
      <c r="AF1088" t="s">
        <v>44</v>
      </c>
      <c r="AG1088" t="str">
        <f t="shared" si="18"/>
        <v>CC 12x</v>
      </c>
      <c r="AH1088" t="str">
        <f>IF(AND(SUMIF(E:E,E1088,I:I)&gt;=400000,Q1088="B2G"),"n","")</f>
        <v/>
      </c>
    </row>
    <row r="1089" spans="1:34">
      <c r="A1089">
        <v>2026</v>
      </c>
      <c r="B1089">
        <v>2</v>
      </c>
      <c r="C1089" s="83">
        <v>185918634541</v>
      </c>
      <c r="D1089" t="s">
        <v>1107</v>
      </c>
      <c r="E1089">
        <v>54611445152</v>
      </c>
      <c r="F1089">
        <v>636074</v>
      </c>
      <c r="G1089">
        <v>51469491061</v>
      </c>
      <c r="H1089" t="s">
        <v>35</v>
      </c>
      <c r="I1089" s="36">
        <v>4411.2</v>
      </c>
      <c r="J1089" s="36">
        <v>4411.2</v>
      </c>
      <c r="K1089" s="85">
        <v>0</v>
      </c>
      <c r="L1089" s="36">
        <v>367.6</v>
      </c>
      <c r="M1089" s="36">
        <v>367.6</v>
      </c>
      <c r="N1089" s="36">
        <v>0</v>
      </c>
      <c r="O1089" s="36">
        <v>0</v>
      </c>
      <c r="P1089" t="s">
        <v>829</v>
      </c>
      <c r="Q1089" t="s">
        <v>300</v>
      </c>
      <c r="R1089" t="s">
        <v>300</v>
      </c>
      <c r="S1089" s="1">
        <v>46065</v>
      </c>
      <c r="T1089" s="1">
        <v>46065</v>
      </c>
      <c r="V1089" s="1">
        <v>46430</v>
      </c>
      <c r="W1089" t="s">
        <v>38</v>
      </c>
      <c r="X1089">
        <v>12</v>
      </c>
      <c r="Y1089" t="s">
        <v>49</v>
      </c>
      <c r="AA1089" t="s">
        <v>122</v>
      </c>
      <c r="AB1089">
        <v>12</v>
      </c>
      <c r="AC1089" t="s">
        <v>301</v>
      </c>
      <c r="AD1089" t="s">
        <v>138</v>
      </c>
      <c r="AE1089" t="s">
        <v>135</v>
      </c>
      <c r="AF1089" t="s">
        <v>119</v>
      </c>
      <c r="AG1089" t="str">
        <f t="shared" si="18"/>
        <v>Recorrente</v>
      </c>
      <c r="AH1089" t="str">
        <f>IF(AND(SUMIF(E:E,E1089,I:I)&gt;=400000,Q1089="B2G"),"n","")</f>
        <v/>
      </c>
    </row>
    <row r="1090" spans="1:34">
      <c r="A1090">
        <v>2026</v>
      </c>
      <c r="B1090">
        <v>2</v>
      </c>
      <c r="C1090" s="83">
        <v>186922811991</v>
      </c>
      <c r="D1090" t="s">
        <v>1108</v>
      </c>
      <c r="E1090">
        <v>52047481784</v>
      </c>
      <c r="F1090">
        <v>327894</v>
      </c>
      <c r="G1090">
        <v>49573377125</v>
      </c>
      <c r="H1090" t="s">
        <v>35</v>
      </c>
      <c r="I1090" s="36">
        <v>4065</v>
      </c>
      <c r="J1090" s="36">
        <v>4065</v>
      </c>
      <c r="K1090" s="85">
        <v>0</v>
      </c>
      <c r="L1090" s="36">
        <v>338.75</v>
      </c>
      <c r="M1090" s="36">
        <v>338.75</v>
      </c>
      <c r="N1090" s="36">
        <v>0</v>
      </c>
      <c r="O1090" s="36">
        <v>0</v>
      </c>
      <c r="P1090" t="s">
        <v>137</v>
      </c>
      <c r="Q1090" t="s">
        <v>111</v>
      </c>
      <c r="R1090" t="s">
        <v>111</v>
      </c>
      <c r="S1090" s="1">
        <v>46041</v>
      </c>
      <c r="T1090" s="1">
        <v>46054</v>
      </c>
      <c r="U1090" s="1">
        <v>46039</v>
      </c>
      <c r="V1090" s="1">
        <v>46404</v>
      </c>
      <c r="W1090" t="s">
        <v>38</v>
      </c>
      <c r="X1090">
        <v>12</v>
      </c>
      <c r="Y1090" t="s">
        <v>49</v>
      </c>
      <c r="Z1090" t="s">
        <v>81</v>
      </c>
      <c r="AA1090" t="s">
        <v>122</v>
      </c>
      <c r="AB1090">
        <v>12</v>
      </c>
      <c r="AC1090" t="s">
        <v>113</v>
      </c>
      <c r="AD1090" t="s">
        <v>84</v>
      </c>
      <c r="AE1090" t="s">
        <v>43</v>
      </c>
      <c r="AF1090" t="s">
        <v>44</v>
      </c>
      <c r="AG1090" t="str">
        <f t="shared" si="18"/>
        <v>Recorrente</v>
      </c>
      <c r="AH1090" t="str">
        <f>IF(AND(SUMIF(E:E,E1090,I:I)&gt;=400000,Q1090="B2G"),"n","")</f>
        <v/>
      </c>
    </row>
    <row r="1091" spans="1:34">
      <c r="A1091">
        <v>2026</v>
      </c>
      <c r="B1091">
        <v>2</v>
      </c>
      <c r="C1091" s="83">
        <v>187152049074</v>
      </c>
      <c r="D1091" t="s">
        <v>1109</v>
      </c>
      <c r="E1091">
        <v>54627065972</v>
      </c>
      <c r="F1091">
        <v>636187</v>
      </c>
      <c r="G1091">
        <v>51473904803</v>
      </c>
      <c r="H1091" t="s">
        <v>35</v>
      </c>
      <c r="I1091" s="36">
        <v>2643.12</v>
      </c>
      <c r="J1091" s="36">
        <v>2643.1315800000002</v>
      </c>
      <c r="K1091" s="85">
        <v>0</v>
      </c>
      <c r="L1091" s="36">
        <v>220.260965</v>
      </c>
      <c r="M1091" s="36">
        <v>0</v>
      </c>
      <c r="N1091" s="36">
        <v>1.0965000000000001E-2</v>
      </c>
      <c r="O1091" s="36">
        <v>220.25</v>
      </c>
      <c r="P1091" t="s">
        <v>804</v>
      </c>
      <c r="Q1091" t="s">
        <v>191</v>
      </c>
      <c r="R1091" t="s">
        <v>191</v>
      </c>
      <c r="S1091" s="1">
        <v>46073</v>
      </c>
      <c r="T1091" s="1">
        <v>46073</v>
      </c>
      <c r="U1091" s="1">
        <v>46094</v>
      </c>
      <c r="V1091" s="1">
        <v>46438</v>
      </c>
      <c r="W1091" t="s">
        <v>38</v>
      </c>
      <c r="X1091">
        <v>11</v>
      </c>
      <c r="Y1091" t="s">
        <v>49</v>
      </c>
      <c r="AA1091" t="s">
        <v>112</v>
      </c>
      <c r="AB1091">
        <v>12</v>
      </c>
      <c r="AC1091" t="s">
        <v>192</v>
      </c>
      <c r="AD1091" t="s">
        <v>140</v>
      </c>
      <c r="AE1091" t="s">
        <v>46</v>
      </c>
      <c r="AF1091" t="s">
        <v>119</v>
      </c>
      <c r="AG1091" t="str">
        <f t="shared" si="18"/>
        <v>CC 12x</v>
      </c>
      <c r="AH1091" t="str">
        <f>IF(AND(SUMIF(E:E,E1091,I:I)&gt;=400000,Q1091="B2G"),"n","")</f>
        <v/>
      </c>
    </row>
    <row r="1092" spans="1:34">
      <c r="A1092">
        <v>2026</v>
      </c>
      <c r="B1092">
        <v>2</v>
      </c>
      <c r="C1092" s="83">
        <v>187490765912</v>
      </c>
      <c r="D1092" t="s">
        <v>1110</v>
      </c>
      <c r="E1092">
        <v>55435540520</v>
      </c>
      <c r="F1092">
        <v>635913</v>
      </c>
      <c r="G1092">
        <v>50769971374</v>
      </c>
      <c r="H1092" t="s">
        <v>35</v>
      </c>
      <c r="I1092" s="36">
        <v>2759.04</v>
      </c>
      <c r="J1092" s="36">
        <v>2759.04</v>
      </c>
      <c r="K1092" s="85">
        <v>0</v>
      </c>
      <c r="L1092" s="36">
        <v>229.92</v>
      </c>
      <c r="M1092" s="36">
        <v>229.92</v>
      </c>
      <c r="N1092" s="36">
        <v>0</v>
      </c>
      <c r="O1092" s="36">
        <v>0</v>
      </c>
      <c r="P1092" t="s">
        <v>829</v>
      </c>
      <c r="Q1092" t="s">
        <v>300</v>
      </c>
      <c r="R1092" t="s">
        <v>300</v>
      </c>
      <c r="S1092" s="1">
        <v>46056</v>
      </c>
      <c r="T1092" s="1">
        <v>46056</v>
      </c>
      <c r="V1092" s="1">
        <v>46421</v>
      </c>
      <c r="W1092" t="s">
        <v>38</v>
      </c>
      <c r="X1092">
        <v>12</v>
      </c>
      <c r="Y1092" t="s">
        <v>49</v>
      </c>
      <c r="AA1092" t="s">
        <v>112</v>
      </c>
      <c r="AB1092">
        <v>12</v>
      </c>
      <c r="AC1092" t="s">
        <v>301</v>
      </c>
      <c r="AD1092" t="s">
        <v>140</v>
      </c>
      <c r="AE1092" t="s">
        <v>46</v>
      </c>
      <c r="AF1092" t="s">
        <v>119</v>
      </c>
      <c r="AG1092" t="str">
        <f t="shared" si="18"/>
        <v>CC 12x</v>
      </c>
      <c r="AH1092" t="str">
        <f>IF(AND(SUMIF(E:E,E1092,I:I)&gt;=400000,Q1092="B2G"),"n","")</f>
        <v/>
      </c>
    </row>
    <row r="1093" spans="1:34">
      <c r="A1093">
        <v>2026</v>
      </c>
      <c r="B1093">
        <v>2</v>
      </c>
      <c r="C1093" s="83">
        <v>187913350053</v>
      </c>
      <c r="D1093" t="s">
        <v>1111</v>
      </c>
      <c r="E1093">
        <v>56948617739</v>
      </c>
      <c r="F1093">
        <v>636224</v>
      </c>
      <c r="G1093">
        <v>52218258822</v>
      </c>
      <c r="H1093" t="s">
        <v>35</v>
      </c>
      <c r="I1093" s="36">
        <v>9354</v>
      </c>
      <c r="J1093" s="36">
        <v>9354</v>
      </c>
      <c r="K1093" s="85">
        <v>0</v>
      </c>
      <c r="L1093" s="36">
        <v>779.5</v>
      </c>
      <c r="M1093" s="36">
        <v>779.5</v>
      </c>
      <c r="N1093" s="36">
        <v>0</v>
      </c>
      <c r="O1093" s="36">
        <v>0</v>
      </c>
      <c r="P1093" t="s">
        <v>497</v>
      </c>
      <c r="Q1093" t="s">
        <v>498</v>
      </c>
      <c r="R1093" t="s">
        <v>498</v>
      </c>
      <c r="S1093" s="1">
        <v>46076</v>
      </c>
      <c r="T1093" s="1">
        <v>46076</v>
      </c>
      <c r="U1093" s="1"/>
      <c r="V1093" s="1">
        <v>46441</v>
      </c>
      <c r="W1093" t="s">
        <v>38</v>
      </c>
      <c r="X1093">
        <v>12</v>
      </c>
      <c r="Y1093" t="s">
        <v>49</v>
      </c>
      <c r="AA1093" t="s">
        <v>112</v>
      </c>
      <c r="AB1093">
        <v>12</v>
      </c>
      <c r="AC1093" t="s">
        <v>499</v>
      </c>
      <c r="AD1093" t="s">
        <v>134</v>
      </c>
      <c r="AE1093" t="s">
        <v>135</v>
      </c>
      <c r="AF1093" t="s">
        <v>44</v>
      </c>
      <c r="AG1093" t="str">
        <f t="shared" si="18"/>
        <v>CC 12x</v>
      </c>
      <c r="AH1093" t="str">
        <f>IF(AND(SUMIF(E:E,E1093,I:I)&gt;=400000,Q1093="B2G"),"n","")</f>
        <v/>
      </c>
    </row>
    <row r="1094" spans="1:34">
      <c r="A1094">
        <v>2026</v>
      </c>
      <c r="B1094">
        <v>2</v>
      </c>
      <c r="C1094" s="83">
        <v>18796999706</v>
      </c>
      <c r="D1094" t="s">
        <v>1112</v>
      </c>
      <c r="E1094">
        <v>53602525779</v>
      </c>
      <c r="F1094">
        <v>626932</v>
      </c>
      <c r="G1094">
        <v>48781889977</v>
      </c>
      <c r="H1094" t="s">
        <v>35</v>
      </c>
      <c r="I1094" s="36">
        <v>5034</v>
      </c>
      <c r="J1094" s="36">
        <v>5034</v>
      </c>
      <c r="K1094" s="85">
        <v>0</v>
      </c>
      <c r="L1094" s="36">
        <v>419.5</v>
      </c>
      <c r="M1094" s="36">
        <v>0</v>
      </c>
      <c r="N1094" s="36">
        <v>44.11</v>
      </c>
      <c r="O1094" s="36">
        <v>375.39</v>
      </c>
      <c r="P1094" t="s">
        <v>165</v>
      </c>
      <c r="Q1094" t="s">
        <v>166</v>
      </c>
      <c r="R1094" t="s">
        <v>166</v>
      </c>
      <c r="S1094" s="1">
        <v>46077</v>
      </c>
      <c r="T1094" s="1">
        <v>46077</v>
      </c>
      <c r="U1094" s="1">
        <v>46078</v>
      </c>
      <c r="V1094" s="1">
        <v>46443</v>
      </c>
      <c r="W1094" t="s">
        <v>38</v>
      </c>
      <c r="X1094">
        <v>12</v>
      </c>
      <c r="Y1094" t="s">
        <v>49</v>
      </c>
      <c r="Z1094" t="s">
        <v>81</v>
      </c>
      <c r="AA1094" t="s">
        <v>112</v>
      </c>
      <c r="AB1094">
        <v>12</v>
      </c>
      <c r="AC1094" t="s">
        <v>166</v>
      </c>
      <c r="AD1094" t="s">
        <v>84</v>
      </c>
      <c r="AE1094" t="s">
        <v>43</v>
      </c>
      <c r="AF1094" t="s">
        <v>44</v>
      </c>
      <c r="AG1094" t="str">
        <f t="shared" si="18"/>
        <v>CC 12x</v>
      </c>
      <c r="AH1094" t="str">
        <f>IF(AND(SUMIF(E:E,E1094,I:I)&gt;=400000,Q1094="B2G"),"n","")</f>
        <v/>
      </c>
    </row>
    <row r="1095" spans="1:34">
      <c r="A1095">
        <v>2026</v>
      </c>
      <c r="B1095">
        <v>2</v>
      </c>
      <c r="C1095" s="83">
        <v>189414190463</v>
      </c>
      <c r="D1095" t="s">
        <v>1113</v>
      </c>
      <c r="E1095">
        <v>56096142228</v>
      </c>
      <c r="F1095">
        <v>636032</v>
      </c>
      <c r="G1095">
        <v>51418777166</v>
      </c>
      <c r="H1095" t="s">
        <v>35</v>
      </c>
      <c r="I1095" s="36">
        <v>2299.1999999999998</v>
      </c>
      <c r="J1095" s="36">
        <v>2299.1999999999998</v>
      </c>
      <c r="K1095" s="85">
        <v>0</v>
      </c>
      <c r="L1095" s="36">
        <v>191.6</v>
      </c>
      <c r="M1095" s="36">
        <v>191.6</v>
      </c>
      <c r="N1095" s="36">
        <v>0</v>
      </c>
      <c r="O1095" s="36">
        <v>0</v>
      </c>
      <c r="P1095" t="s">
        <v>506</v>
      </c>
      <c r="Q1095" t="s">
        <v>300</v>
      </c>
      <c r="R1095" t="s">
        <v>300</v>
      </c>
      <c r="S1095" s="1">
        <v>46064</v>
      </c>
      <c r="T1095" s="1">
        <v>46064</v>
      </c>
      <c r="V1095" s="1">
        <v>46429</v>
      </c>
      <c r="W1095" t="s">
        <v>38</v>
      </c>
      <c r="X1095">
        <v>12</v>
      </c>
      <c r="Y1095" t="s">
        <v>49</v>
      </c>
      <c r="AA1095" t="s">
        <v>112</v>
      </c>
      <c r="AB1095">
        <v>12</v>
      </c>
      <c r="AC1095" t="s">
        <v>301</v>
      </c>
      <c r="AD1095" t="s">
        <v>118</v>
      </c>
      <c r="AE1095" t="s">
        <v>43</v>
      </c>
      <c r="AF1095" t="s">
        <v>119</v>
      </c>
      <c r="AG1095" t="str">
        <f t="shared" si="18"/>
        <v>CC 12x</v>
      </c>
      <c r="AH1095" t="str">
        <f>IF(AND(SUMIF(E:E,E1095,I:I)&gt;=400000,Q1095="B2G"),"n","")</f>
        <v/>
      </c>
    </row>
    <row r="1096" spans="1:34">
      <c r="A1096">
        <v>2026</v>
      </c>
      <c r="B1096">
        <v>2</v>
      </c>
      <c r="C1096" s="83">
        <v>189518818647</v>
      </c>
      <c r="D1096" t="s">
        <v>1114</v>
      </c>
      <c r="E1096">
        <v>56017906538</v>
      </c>
      <c r="F1096">
        <v>636026</v>
      </c>
      <c r="G1096">
        <v>51329209928</v>
      </c>
      <c r="H1096" t="s">
        <v>104</v>
      </c>
      <c r="I1096" s="36">
        <v>718.8</v>
      </c>
      <c r="J1096" s="36">
        <v>718.8</v>
      </c>
      <c r="K1096" s="85">
        <v>0</v>
      </c>
      <c r="L1096" s="36">
        <v>59.9</v>
      </c>
      <c r="M1096" s="36">
        <v>59.9</v>
      </c>
      <c r="N1096" s="36">
        <v>0</v>
      </c>
      <c r="O1096" s="36">
        <v>0</v>
      </c>
      <c r="P1096" t="s">
        <v>497</v>
      </c>
      <c r="Q1096" t="s">
        <v>498</v>
      </c>
      <c r="R1096" t="s">
        <v>498</v>
      </c>
      <c r="S1096" s="1">
        <v>46064</v>
      </c>
      <c r="T1096" s="1">
        <v>46064</v>
      </c>
      <c r="U1096" s="1"/>
      <c r="V1096" s="1">
        <v>46429</v>
      </c>
      <c r="W1096" t="s">
        <v>38</v>
      </c>
      <c r="X1096">
        <v>12</v>
      </c>
      <c r="Y1096" t="s">
        <v>49</v>
      </c>
      <c r="AA1096" t="s">
        <v>112</v>
      </c>
      <c r="AB1096">
        <v>12</v>
      </c>
      <c r="AC1096" t="s">
        <v>499</v>
      </c>
      <c r="AD1096" t="s">
        <v>105</v>
      </c>
      <c r="AE1096" t="s">
        <v>106</v>
      </c>
      <c r="AF1096" t="s">
        <v>59</v>
      </c>
      <c r="AG1096" t="str">
        <f t="shared" si="18"/>
        <v>CC 12x</v>
      </c>
      <c r="AH1096" t="str">
        <f>IF(AND(SUMIF(E:E,E1096,I:I)&gt;=400000,Q1096="B2G"),"n","")</f>
        <v/>
      </c>
    </row>
    <row r="1097" spans="1:34">
      <c r="A1097">
        <v>2026</v>
      </c>
      <c r="B1097">
        <v>2</v>
      </c>
      <c r="C1097" s="83">
        <v>190326969627</v>
      </c>
      <c r="D1097" t="s">
        <v>1115</v>
      </c>
      <c r="E1097">
        <v>55399425071</v>
      </c>
      <c r="F1097">
        <v>636101</v>
      </c>
      <c r="G1097">
        <v>51425118085</v>
      </c>
      <c r="H1097" t="s">
        <v>35</v>
      </c>
      <c r="I1097" s="36">
        <v>9354</v>
      </c>
      <c r="J1097" s="36">
        <v>9354</v>
      </c>
      <c r="K1097" s="85">
        <v>0</v>
      </c>
      <c r="L1097" s="36">
        <v>779.5</v>
      </c>
      <c r="M1097" s="36">
        <v>779.5</v>
      </c>
      <c r="N1097" s="36">
        <v>0</v>
      </c>
      <c r="O1097" s="36">
        <v>0</v>
      </c>
      <c r="P1097" t="s">
        <v>511</v>
      </c>
      <c r="Q1097" t="s">
        <v>300</v>
      </c>
      <c r="R1097" t="s">
        <v>300</v>
      </c>
      <c r="S1097" s="1">
        <v>46066</v>
      </c>
      <c r="T1097" s="1">
        <v>46066</v>
      </c>
      <c r="U1097" s="1"/>
      <c r="V1097" s="1">
        <v>46431</v>
      </c>
      <c r="W1097" t="s">
        <v>38</v>
      </c>
      <c r="X1097">
        <v>12</v>
      </c>
      <c r="Y1097" t="s">
        <v>49</v>
      </c>
      <c r="AA1097" t="s">
        <v>122</v>
      </c>
      <c r="AB1097">
        <v>12</v>
      </c>
      <c r="AC1097" t="s">
        <v>301</v>
      </c>
      <c r="AD1097" t="s">
        <v>134</v>
      </c>
      <c r="AE1097" t="s">
        <v>135</v>
      </c>
      <c r="AF1097" t="s">
        <v>44</v>
      </c>
      <c r="AG1097" t="str">
        <f t="shared" si="18"/>
        <v>Recorrente</v>
      </c>
      <c r="AH1097" t="str">
        <f>IF(AND(SUMIF(E:E,E1097,I:I)&gt;=400000,Q1097="B2G"),"n","")</f>
        <v/>
      </c>
    </row>
    <row r="1098" spans="1:34">
      <c r="A1098">
        <v>2026</v>
      </c>
      <c r="B1098">
        <v>2</v>
      </c>
      <c r="C1098" s="83">
        <v>191094789475</v>
      </c>
      <c r="D1098" t="s">
        <v>1116</v>
      </c>
      <c r="E1098">
        <v>53421223178</v>
      </c>
      <c r="F1098">
        <v>327502</v>
      </c>
      <c r="G1098">
        <v>48500425374</v>
      </c>
      <c r="H1098" t="s">
        <v>35</v>
      </c>
      <c r="I1098" s="36">
        <v>5178.6000000000004</v>
      </c>
      <c r="J1098" s="36">
        <v>5178.6000000000004</v>
      </c>
      <c r="K1098" s="85">
        <v>0</v>
      </c>
      <c r="L1098" s="36">
        <v>431.55</v>
      </c>
      <c r="M1098" s="36">
        <v>0</v>
      </c>
      <c r="N1098" s="36">
        <v>112.99</v>
      </c>
      <c r="O1098" s="36">
        <v>318.56</v>
      </c>
      <c r="P1098" t="s">
        <v>127</v>
      </c>
      <c r="Q1098" t="s">
        <v>111</v>
      </c>
      <c r="R1098" t="s">
        <v>111</v>
      </c>
      <c r="S1098" s="1">
        <v>46031</v>
      </c>
      <c r="T1098" s="1">
        <v>46054</v>
      </c>
      <c r="U1098" s="1">
        <v>46032</v>
      </c>
      <c r="V1098" s="1">
        <v>46397</v>
      </c>
      <c r="W1098" t="s">
        <v>38</v>
      </c>
      <c r="X1098">
        <v>12</v>
      </c>
      <c r="Y1098" t="s">
        <v>49</v>
      </c>
      <c r="Z1098" t="s">
        <v>81</v>
      </c>
      <c r="AA1098" t="s">
        <v>122</v>
      </c>
      <c r="AB1098">
        <v>12</v>
      </c>
      <c r="AC1098" t="s">
        <v>113</v>
      </c>
      <c r="AD1098" t="s">
        <v>85</v>
      </c>
      <c r="AE1098" t="s">
        <v>46</v>
      </c>
      <c r="AF1098" t="s">
        <v>44</v>
      </c>
      <c r="AG1098" t="str">
        <f t="shared" si="18"/>
        <v>Recorrente</v>
      </c>
      <c r="AH1098" t="str">
        <f>IF(AND(SUMIF(E:E,E1098,I:I)&gt;=400000,Q1098="B2G"),"n","")</f>
        <v/>
      </c>
    </row>
    <row r="1099" spans="1:34">
      <c r="A1099">
        <v>2026</v>
      </c>
      <c r="B1099">
        <v>2</v>
      </c>
      <c r="C1099" s="83">
        <v>191112992633</v>
      </c>
      <c r="D1099" t="s">
        <v>1117</v>
      </c>
      <c r="E1099">
        <v>56933750619</v>
      </c>
      <c r="F1099">
        <v>636304</v>
      </c>
      <c r="G1099">
        <v>52401685919</v>
      </c>
      <c r="H1099" t="s">
        <v>35</v>
      </c>
      <c r="I1099" s="36">
        <v>4530.6000000000004</v>
      </c>
      <c r="J1099" s="36">
        <v>4530.6000000000004</v>
      </c>
      <c r="K1099" s="85">
        <v>0</v>
      </c>
      <c r="L1099" s="36">
        <v>377.55</v>
      </c>
      <c r="M1099" s="36">
        <v>0</v>
      </c>
      <c r="N1099" s="36">
        <v>377.55</v>
      </c>
      <c r="O1099" s="36">
        <v>0</v>
      </c>
      <c r="P1099" t="s">
        <v>520</v>
      </c>
      <c r="Q1099" t="s">
        <v>191</v>
      </c>
      <c r="R1099" t="s">
        <v>191</v>
      </c>
      <c r="S1099" s="1">
        <v>46080</v>
      </c>
      <c r="T1099" s="1">
        <v>46080</v>
      </c>
      <c r="V1099" s="1">
        <v>46445</v>
      </c>
      <c r="W1099" t="s">
        <v>38</v>
      </c>
      <c r="X1099">
        <v>12</v>
      </c>
      <c r="Y1099" t="s">
        <v>49</v>
      </c>
      <c r="AA1099" t="s">
        <v>122</v>
      </c>
      <c r="AB1099">
        <v>12</v>
      </c>
      <c r="AC1099" t="s">
        <v>192</v>
      </c>
      <c r="AD1099" t="s">
        <v>84</v>
      </c>
      <c r="AE1099" t="s">
        <v>43</v>
      </c>
      <c r="AF1099" t="s">
        <v>44</v>
      </c>
      <c r="AG1099" t="str">
        <f t="shared" si="18"/>
        <v>Recorrente</v>
      </c>
      <c r="AH1099" t="str">
        <f>IF(AND(SUMIF(E:E,E1099,I:I)&gt;=400000,Q1099="B2G"),"n","")</f>
        <v/>
      </c>
    </row>
    <row r="1100" spans="1:34">
      <c r="A1100">
        <v>2026</v>
      </c>
      <c r="B1100">
        <v>2</v>
      </c>
      <c r="C1100" s="83">
        <v>191120348599</v>
      </c>
      <c r="D1100" t="s">
        <v>1118</v>
      </c>
      <c r="E1100">
        <v>55869400838</v>
      </c>
      <c r="F1100">
        <v>526886</v>
      </c>
      <c r="G1100">
        <v>51121496066</v>
      </c>
      <c r="H1100" t="s">
        <v>35</v>
      </c>
      <c r="I1100" s="36">
        <v>4278.84</v>
      </c>
      <c r="J1100" s="36">
        <v>4278.84</v>
      </c>
      <c r="K1100" s="85">
        <v>0</v>
      </c>
      <c r="L1100" s="36">
        <v>356.57</v>
      </c>
      <c r="M1100" s="36">
        <v>0</v>
      </c>
      <c r="N1100" s="36">
        <v>68.424999999999997</v>
      </c>
      <c r="O1100" s="36">
        <v>288.14999999999998</v>
      </c>
      <c r="P1100" t="s">
        <v>121</v>
      </c>
      <c r="Q1100" t="s">
        <v>111</v>
      </c>
      <c r="R1100" t="s">
        <v>111</v>
      </c>
      <c r="S1100" s="1">
        <v>46065</v>
      </c>
      <c r="T1100" s="1">
        <v>46065</v>
      </c>
      <c r="U1100" s="1">
        <v>46062</v>
      </c>
      <c r="V1100" s="1">
        <v>46427</v>
      </c>
      <c r="W1100" t="s">
        <v>38</v>
      </c>
      <c r="X1100">
        <v>12</v>
      </c>
      <c r="Y1100" t="s">
        <v>49</v>
      </c>
      <c r="Z1100" t="s">
        <v>81</v>
      </c>
      <c r="AA1100" t="s">
        <v>122</v>
      </c>
      <c r="AB1100">
        <v>12</v>
      </c>
      <c r="AC1100" t="s">
        <v>113</v>
      </c>
      <c r="AD1100" t="s">
        <v>84</v>
      </c>
      <c r="AE1100" t="s">
        <v>43</v>
      </c>
      <c r="AF1100" t="s">
        <v>44</v>
      </c>
      <c r="AG1100" t="str">
        <f t="shared" si="18"/>
        <v>Recorrente</v>
      </c>
      <c r="AH1100" t="str">
        <f>IF(AND(SUMIF(E:E,E1100,I:I)&gt;=400000,Q1100="B2G"),"n","")</f>
        <v/>
      </c>
    </row>
    <row r="1101" spans="1:34">
      <c r="A1101">
        <v>2026</v>
      </c>
      <c r="B1101">
        <v>2</v>
      </c>
      <c r="C1101" s="83">
        <v>191174923583</v>
      </c>
      <c r="D1101" t="s">
        <v>1119</v>
      </c>
      <c r="E1101">
        <v>52044653162</v>
      </c>
      <c r="F1101">
        <v>305954</v>
      </c>
      <c r="G1101">
        <v>47162624653</v>
      </c>
      <c r="H1101" t="s">
        <v>35</v>
      </c>
      <c r="I1101" s="36">
        <v>8418.6</v>
      </c>
      <c r="J1101" s="36">
        <v>8418.6</v>
      </c>
      <c r="K1101" s="85">
        <v>0</v>
      </c>
      <c r="L1101" s="36">
        <v>701.55</v>
      </c>
      <c r="M1101" s="36">
        <v>0</v>
      </c>
      <c r="N1101" s="36">
        <v>136.21</v>
      </c>
      <c r="O1101" s="36">
        <v>565.34</v>
      </c>
      <c r="P1101" t="s">
        <v>165</v>
      </c>
      <c r="Q1101" t="s">
        <v>166</v>
      </c>
      <c r="R1101" t="s">
        <v>166</v>
      </c>
      <c r="S1101" s="1">
        <v>46054</v>
      </c>
      <c r="T1101" s="1">
        <v>46054</v>
      </c>
      <c r="U1101" s="1">
        <v>46054</v>
      </c>
      <c r="V1101" s="1">
        <v>46419</v>
      </c>
      <c r="W1101" t="s">
        <v>38</v>
      </c>
      <c r="X1101">
        <v>12</v>
      </c>
      <c r="Y1101" t="s">
        <v>49</v>
      </c>
      <c r="Z1101" t="s">
        <v>81</v>
      </c>
      <c r="AA1101" t="s">
        <v>122</v>
      </c>
      <c r="AB1101">
        <v>12</v>
      </c>
      <c r="AC1101" t="s">
        <v>166</v>
      </c>
      <c r="AD1101" t="s">
        <v>134</v>
      </c>
      <c r="AE1101" t="s">
        <v>135</v>
      </c>
      <c r="AF1101" t="s">
        <v>44</v>
      </c>
      <c r="AG1101" t="str">
        <f t="shared" si="18"/>
        <v>Recorrente</v>
      </c>
      <c r="AH1101" t="str">
        <f>IF(AND(SUMIF(E:E,E1101,I:I)&gt;=400000,Q1101="B2G"),"n","")</f>
        <v/>
      </c>
    </row>
    <row r="1102" spans="1:34">
      <c r="A1102">
        <v>2026</v>
      </c>
      <c r="B1102">
        <v>2</v>
      </c>
      <c r="C1102" s="83">
        <v>191176880312</v>
      </c>
      <c r="D1102" t="s">
        <v>1120</v>
      </c>
      <c r="E1102">
        <v>52090719524</v>
      </c>
      <c r="F1102">
        <v>328472</v>
      </c>
      <c r="G1102">
        <v>47323787172</v>
      </c>
      <c r="H1102" t="s">
        <v>35</v>
      </c>
      <c r="I1102" s="36">
        <v>7195.44</v>
      </c>
      <c r="J1102" s="36">
        <v>7195.44</v>
      </c>
      <c r="K1102" s="85">
        <v>0</v>
      </c>
      <c r="L1102" s="36">
        <v>599.62</v>
      </c>
      <c r="M1102" s="36">
        <v>0</v>
      </c>
      <c r="N1102" s="36">
        <v>184.41499999999999</v>
      </c>
      <c r="O1102" s="36">
        <v>415.21</v>
      </c>
      <c r="P1102" t="s">
        <v>165</v>
      </c>
      <c r="Q1102" t="s">
        <v>166</v>
      </c>
      <c r="R1102" t="s">
        <v>166</v>
      </c>
      <c r="S1102" s="1">
        <v>46055</v>
      </c>
      <c r="T1102" s="1">
        <v>46055</v>
      </c>
      <c r="U1102" s="1">
        <v>46055</v>
      </c>
      <c r="V1102" s="1">
        <v>46420</v>
      </c>
      <c r="W1102" t="s">
        <v>38</v>
      </c>
      <c r="X1102">
        <v>12</v>
      </c>
      <c r="Y1102" t="s">
        <v>49</v>
      </c>
      <c r="Z1102" t="s">
        <v>81</v>
      </c>
      <c r="AA1102" t="s">
        <v>122</v>
      </c>
      <c r="AB1102">
        <v>12</v>
      </c>
      <c r="AC1102" t="s">
        <v>166</v>
      </c>
      <c r="AD1102" t="s">
        <v>131</v>
      </c>
      <c r="AE1102" t="s">
        <v>46</v>
      </c>
      <c r="AF1102" t="s">
        <v>96</v>
      </c>
      <c r="AG1102" t="str">
        <f t="shared" si="18"/>
        <v>Recorrente</v>
      </c>
      <c r="AH1102" t="str">
        <f>IF(AND(SUMIF(E:E,E1102,I:I)&gt;=400000,Q1102="B2G"),"n","")</f>
        <v/>
      </c>
    </row>
    <row r="1103" spans="1:34">
      <c r="A1103">
        <v>2026</v>
      </c>
      <c r="B1103">
        <v>2</v>
      </c>
      <c r="C1103" s="83">
        <v>191436822580</v>
      </c>
      <c r="D1103" t="s">
        <v>1121</v>
      </c>
      <c r="E1103">
        <v>55844211106</v>
      </c>
      <c r="F1103">
        <v>636019</v>
      </c>
      <c r="G1103">
        <v>51229241652</v>
      </c>
      <c r="H1103" t="s">
        <v>35</v>
      </c>
      <c r="I1103" s="36">
        <v>5072.88</v>
      </c>
      <c r="J1103" s="36">
        <v>5072.88</v>
      </c>
      <c r="K1103" s="85">
        <v>0</v>
      </c>
      <c r="L1103" s="36">
        <v>422.74</v>
      </c>
      <c r="M1103" s="36">
        <v>422.74</v>
      </c>
      <c r="N1103" s="36">
        <v>0</v>
      </c>
      <c r="O1103" s="36">
        <v>0</v>
      </c>
      <c r="P1103" t="s">
        <v>506</v>
      </c>
      <c r="Q1103" t="s">
        <v>300</v>
      </c>
      <c r="R1103" t="s">
        <v>300</v>
      </c>
      <c r="S1103" s="1">
        <v>46063</v>
      </c>
      <c r="T1103" s="1">
        <v>46063</v>
      </c>
      <c r="V1103" s="1">
        <v>46428</v>
      </c>
      <c r="W1103" t="s">
        <v>38</v>
      </c>
      <c r="X1103">
        <v>12</v>
      </c>
      <c r="Y1103" t="s">
        <v>49</v>
      </c>
      <c r="AA1103" t="s">
        <v>112</v>
      </c>
      <c r="AB1103">
        <v>12</v>
      </c>
      <c r="AC1103" t="s">
        <v>301</v>
      </c>
      <c r="AD1103" t="s">
        <v>138</v>
      </c>
      <c r="AE1103" t="s">
        <v>135</v>
      </c>
      <c r="AF1103" t="s">
        <v>119</v>
      </c>
      <c r="AG1103" t="str">
        <f t="shared" si="18"/>
        <v>CC 12x</v>
      </c>
      <c r="AH1103" t="str">
        <f>IF(AND(SUMIF(E:E,E1103,I:I)&gt;=400000,Q1103="B2G"),"n","")</f>
        <v/>
      </c>
    </row>
    <row r="1104" spans="1:34">
      <c r="A1104">
        <v>2026</v>
      </c>
      <c r="B1104">
        <v>2</v>
      </c>
      <c r="C1104" s="83">
        <v>191678266671</v>
      </c>
      <c r="D1104" t="s">
        <v>1122</v>
      </c>
      <c r="E1104">
        <v>53200654349</v>
      </c>
      <c r="F1104">
        <v>625312</v>
      </c>
      <c r="G1104">
        <v>49569139474</v>
      </c>
      <c r="H1104" t="s">
        <v>35</v>
      </c>
      <c r="I1104" s="36">
        <v>5612.4</v>
      </c>
      <c r="J1104" s="36">
        <v>5612.4</v>
      </c>
      <c r="K1104" s="85">
        <v>0</v>
      </c>
      <c r="L1104" s="36">
        <v>467.7</v>
      </c>
      <c r="M1104" s="36">
        <v>0</v>
      </c>
      <c r="N1104" s="36">
        <v>138.52500000000001</v>
      </c>
      <c r="O1104" s="36">
        <v>329.17500000000001</v>
      </c>
      <c r="P1104" t="s">
        <v>116</v>
      </c>
      <c r="Q1104" t="s">
        <v>111</v>
      </c>
      <c r="R1104" t="s">
        <v>111</v>
      </c>
      <c r="S1104" s="1">
        <v>46041</v>
      </c>
      <c r="T1104" s="1">
        <v>46054</v>
      </c>
      <c r="U1104" s="1">
        <v>46030</v>
      </c>
      <c r="V1104" s="1">
        <v>46406</v>
      </c>
      <c r="W1104" t="s">
        <v>38</v>
      </c>
      <c r="X1104">
        <v>12</v>
      </c>
      <c r="Y1104" t="s">
        <v>49</v>
      </c>
      <c r="Z1104" t="s">
        <v>76</v>
      </c>
      <c r="AA1104" t="s">
        <v>117</v>
      </c>
      <c r="AB1104">
        <v>1</v>
      </c>
      <c r="AC1104" t="s">
        <v>113</v>
      </c>
      <c r="AD1104" t="s">
        <v>134</v>
      </c>
      <c r="AE1104" t="s">
        <v>135</v>
      </c>
      <c r="AF1104" t="s">
        <v>44</v>
      </c>
      <c r="AG1104" t="str">
        <f t="shared" si="18"/>
        <v>À Vista</v>
      </c>
      <c r="AH1104" t="str">
        <f>IF(AND(SUMIF(E:E,E1104,I:I)&gt;=400000,Q1104="B2G"),"n","")</f>
        <v/>
      </c>
    </row>
    <row r="1105" spans="1:34">
      <c r="A1105">
        <v>2026</v>
      </c>
      <c r="B1105">
        <v>2</v>
      </c>
      <c r="C1105" s="83">
        <v>191678266671</v>
      </c>
      <c r="D1105" t="s">
        <v>1122</v>
      </c>
      <c r="E1105">
        <v>53200654349</v>
      </c>
      <c r="F1105">
        <v>625312</v>
      </c>
      <c r="G1105">
        <v>49569139475</v>
      </c>
      <c r="H1105" t="s">
        <v>35</v>
      </c>
      <c r="I1105" s="36">
        <v>5612.4</v>
      </c>
      <c r="J1105" s="36">
        <v>5612.4</v>
      </c>
      <c r="K1105" s="85">
        <v>0</v>
      </c>
      <c r="L1105" s="36">
        <v>467.7</v>
      </c>
      <c r="M1105" s="36">
        <v>0</v>
      </c>
      <c r="N1105" s="36">
        <v>138.52500000000001</v>
      </c>
      <c r="O1105" s="36">
        <v>329.17500000000001</v>
      </c>
      <c r="P1105" t="s">
        <v>116</v>
      </c>
      <c r="Q1105" t="s">
        <v>111</v>
      </c>
      <c r="R1105" t="s">
        <v>111</v>
      </c>
      <c r="S1105" s="1">
        <v>46041</v>
      </c>
      <c r="T1105" s="1">
        <v>46054</v>
      </c>
      <c r="U1105" s="1">
        <v>46030</v>
      </c>
      <c r="V1105" s="1">
        <v>46406</v>
      </c>
      <c r="W1105" t="s">
        <v>38</v>
      </c>
      <c r="X1105">
        <v>12</v>
      </c>
      <c r="Y1105" t="s">
        <v>49</v>
      </c>
      <c r="Z1105" t="s">
        <v>76</v>
      </c>
      <c r="AA1105" t="s">
        <v>117</v>
      </c>
      <c r="AB1105">
        <v>1</v>
      </c>
      <c r="AC1105" t="s">
        <v>113</v>
      </c>
      <c r="AD1105" t="s">
        <v>134</v>
      </c>
      <c r="AE1105" t="s">
        <v>135</v>
      </c>
      <c r="AF1105" t="s">
        <v>44</v>
      </c>
      <c r="AG1105" t="str">
        <f t="shared" si="18"/>
        <v>À Vista</v>
      </c>
      <c r="AH1105" t="str">
        <f>IF(AND(SUMIF(E:E,E1105,I:I)&gt;=400000,Q1105="B2G"),"n","")</f>
        <v/>
      </c>
    </row>
    <row r="1106" spans="1:34">
      <c r="A1106">
        <v>2026</v>
      </c>
      <c r="B1106">
        <v>2</v>
      </c>
      <c r="C1106" s="83">
        <v>191750599193</v>
      </c>
      <c r="D1106" t="s">
        <v>645</v>
      </c>
      <c r="E1106">
        <v>54116718677</v>
      </c>
      <c r="F1106">
        <v>625635</v>
      </c>
      <c r="G1106">
        <v>49631417372</v>
      </c>
      <c r="H1106" t="s">
        <v>35</v>
      </c>
      <c r="I1106" s="36">
        <v>4890.84</v>
      </c>
      <c r="J1106" s="36">
        <v>4890.84</v>
      </c>
      <c r="K1106" s="85">
        <v>0</v>
      </c>
      <c r="L1106" s="36">
        <v>407.57</v>
      </c>
      <c r="M1106" s="36">
        <v>0</v>
      </c>
      <c r="N1106" s="36">
        <v>25.925000000000001</v>
      </c>
      <c r="O1106" s="36">
        <v>381.65</v>
      </c>
      <c r="P1106" t="s">
        <v>110</v>
      </c>
      <c r="Q1106" t="s">
        <v>111</v>
      </c>
      <c r="R1106" t="s">
        <v>111</v>
      </c>
      <c r="S1106" s="1">
        <v>46043</v>
      </c>
      <c r="T1106" s="1">
        <v>46054</v>
      </c>
      <c r="U1106" s="1">
        <v>46038</v>
      </c>
      <c r="V1106" s="1">
        <v>46408</v>
      </c>
      <c r="W1106" t="s">
        <v>38</v>
      </c>
      <c r="X1106">
        <v>12</v>
      </c>
      <c r="Y1106" t="s">
        <v>49</v>
      </c>
      <c r="Z1106" t="s">
        <v>81</v>
      </c>
      <c r="AA1106" t="s">
        <v>122</v>
      </c>
      <c r="AB1106">
        <v>12</v>
      </c>
      <c r="AC1106" t="s">
        <v>113</v>
      </c>
      <c r="AD1106" t="s">
        <v>85</v>
      </c>
      <c r="AE1106" t="s">
        <v>46</v>
      </c>
      <c r="AF1106" t="s">
        <v>44</v>
      </c>
      <c r="AG1106" t="str">
        <f t="shared" si="18"/>
        <v>Recorrente</v>
      </c>
      <c r="AH1106" t="str">
        <f>IF(AND(SUMIF(E:E,E1106,I:I)&gt;=400000,Q1106="B2G"),"n","")</f>
        <v/>
      </c>
    </row>
    <row r="1107" spans="1:34">
      <c r="A1107">
        <v>2026</v>
      </c>
      <c r="B1107">
        <v>2</v>
      </c>
      <c r="C1107" s="83">
        <v>192033645313</v>
      </c>
      <c r="D1107" t="s">
        <v>1123</v>
      </c>
      <c r="E1107">
        <v>55463883548</v>
      </c>
      <c r="F1107">
        <v>636028</v>
      </c>
      <c r="G1107">
        <v>51418715776</v>
      </c>
      <c r="H1107" t="s">
        <v>35</v>
      </c>
      <c r="I1107" s="36">
        <v>2586.6</v>
      </c>
      <c r="J1107" s="36">
        <v>2586.6</v>
      </c>
      <c r="K1107" s="85">
        <v>0</v>
      </c>
      <c r="L1107" s="36">
        <v>215.55</v>
      </c>
      <c r="M1107" s="36">
        <v>215.55</v>
      </c>
      <c r="N1107" s="36">
        <v>0</v>
      </c>
      <c r="O1107" s="36">
        <v>0</v>
      </c>
      <c r="P1107" t="s">
        <v>506</v>
      </c>
      <c r="Q1107" t="s">
        <v>300</v>
      </c>
      <c r="R1107" t="s">
        <v>300</v>
      </c>
      <c r="S1107" s="1">
        <v>46064</v>
      </c>
      <c r="T1107" s="1">
        <v>46064</v>
      </c>
      <c r="U1107" s="1"/>
      <c r="V1107" s="1">
        <v>46429</v>
      </c>
      <c r="W1107" t="s">
        <v>38</v>
      </c>
      <c r="X1107">
        <v>12</v>
      </c>
      <c r="Y1107" t="s">
        <v>49</v>
      </c>
      <c r="AA1107" t="s">
        <v>112</v>
      </c>
      <c r="AB1107">
        <v>12</v>
      </c>
      <c r="AC1107" t="s">
        <v>301</v>
      </c>
      <c r="AD1107" t="s">
        <v>140</v>
      </c>
      <c r="AE1107" t="s">
        <v>46</v>
      </c>
      <c r="AF1107" t="s">
        <v>119</v>
      </c>
      <c r="AG1107" t="str">
        <f t="shared" si="18"/>
        <v>CC 12x</v>
      </c>
      <c r="AH1107" t="str">
        <f>IF(AND(SUMIF(E:E,E1107,I:I)&gt;=400000,Q1107="B2G"),"n","")</f>
        <v/>
      </c>
    </row>
    <row r="1108" spans="1:34">
      <c r="A1108">
        <v>2026</v>
      </c>
      <c r="B1108">
        <v>2</v>
      </c>
      <c r="C1108" s="83">
        <v>192269816759</v>
      </c>
      <c r="D1108" t="s">
        <v>1124</v>
      </c>
      <c r="E1108">
        <v>55454124664</v>
      </c>
      <c r="F1108">
        <v>636215</v>
      </c>
      <c r="G1108">
        <v>51938943415</v>
      </c>
      <c r="H1108" t="s">
        <v>35</v>
      </c>
      <c r="I1108" s="36">
        <v>2874</v>
      </c>
      <c r="J1108" s="36">
        <v>2874</v>
      </c>
      <c r="K1108" s="85">
        <v>0</v>
      </c>
      <c r="L1108" s="36">
        <v>239.5</v>
      </c>
      <c r="M1108" s="36">
        <v>239.5</v>
      </c>
      <c r="N1108" s="36">
        <v>0</v>
      </c>
      <c r="O1108" s="36">
        <v>0</v>
      </c>
      <c r="P1108" t="s">
        <v>829</v>
      </c>
      <c r="Q1108" t="s">
        <v>300</v>
      </c>
      <c r="R1108" t="s">
        <v>300</v>
      </c>
      <c r="S1108" s="1">
        <v>46076</v>
      </c>
      <c r="T1108" s="1">
        <v>46076</v>
      </c>
      <c r="U1108" s="1"/>
      <c r="V1108" s="1">
        <v>46441</v>
      </c>
      <c r="W1108" t="s">
        <v>38</v>
      </c>
      <c r="X1108">
        <v>12</v>
      </c>
      <c r="Y1108" t="s">
        <v>49</v>
      </c>
      <c r="AA1108" t="s">
        <v>122</v>
      </c>
      <c r="AB1108">
        <v>12</v>
      </c>
      <c r="AC1108" t="s">
        <v>301</v>
      </c>
      <c r="AD1108" t="s">
        <v>140</v>
      </c>
      <c r="AE1108" t="s">
        <v>46</v>
      </c>
      <c r="AF1108" t="s">
        <v>119</v>
      </c>
      <c r="AG1108" t="str">
        <f t="shared" si="18"/>
        <v>Recorrente</v>
      </c>
      <c r="AH1108" t="str">
        <f>IF(AND(SUMIF(E:E,E1108,I:I)&gt;=400000,Q1108="B2G"),"n","")</f>
        <v/>
      </c>
    </row>
    <row r="1109" spans="1:34">
      <c r="A1109">
        <v>2026</v>
      </c>
      <c r="B1109">
        <v>2</v>
      </c>
      <c r="C1109" s="83">
        <v>192502239529</v>
      </c>
      <c r="D1109" t="s">
        <v>1125</v>
      </c>
      <c r="E1109">
        <v>53025197178</v>
      </c>
      <c r="F1109">
        <v>526069</v>
      </c>
      <c r="G1109">
        <v>50767246255</v>
      </c>
      <c r="H1109" t="s">
        <v>35</v>
      </c>
      <c r="I1109" s="36">
        <v>2299.1999999999998</v>
      </c>
      <c r="J1109" s="36">
        <v>2299.1999999999998</v>
      </c>
      <c r="K1109" s="85">
        <v>0</v>
      </c>
      <c r="L1109" s="36">
        <v>191.6</v>
      </c>
      <c r="M1109" s="36">
        <v>0</v>
      </c>
      <c r="N1109" s="36">
        <v>0</v>
      </c>
      <c r="O1109" s="36">
        <v>191.6</v>
      </c>
      <c r="P1109" t="s">
        <v>133</v>
      </c>
      <c r="Q1109" t="s">
        <v>111</v>
      </c>
      <c r="R1109" t="s">
        <v>111</v>
      </c>
      <c r="S1109" s="1">
        <v>46080</v>
      </c>
      <c r="T1109" s="1">
        <v>46080</v>
      </c>
      <c r="U1109" s="1">
        <v>46053</v>
      </c>
      <c r="V1109" s="1">
        <v>46424</v>
      </c>
      <c r="W1109" t="s">
        <v>38</v>
      </c>
      <c r="X1109">
        <v>13</v>
      </c>
      <c r="Y1109" t="s">
        <v>49</v>
      </c>
      <c r="Z1109" t="s">
        <v>76</v>
      </c>
      <c r="AA1109" t="s">
        <v>122</v>
      </c>
      <c r="AB1109">
        <v>12</v>
      </c>
      <c r="AC1109" t="s">
        <v>113</v>
      </c>
      <c r="AD1109" t="s">
        <v>118</v>
      </c>
      <c r="AE1109" t="s">
        <v>43</v>
      </c>
      <c r="AF1109" t="s">
        <v>119</v>
      </c>
      <c r="AG1109" t="str">
        <f t="shared" si="18"/>
        <v>Recorrente</v>
      </c>
      <c r="AH1109" t="str">
        <f>IF(AND(SUMIF(E:E,E1109,I:I)&gt;=400000,Q1109="B2G"),"n","")</f>
        <v/>
      </c>
    </row>
    <row r="1110" spans="1:34">
      <c r="A1110">
        <v>2026</v>
      </c>
      <c r="B1110">
        <v>2</v>
      </c>
      <c r="C1110" s="83">
        <v>192592227694</v>
      </c>
      <c r="D1110" t="s">
        <v>1126</v>
      </c>
      <c r="E1110">
        <v>53540922938</v>
      </c>
      <c r="F1110">
        <v>328193</v>
      </c>
      <c r="G1110">
        <v>49128761379</v>
      </c>
      <c r="H1110" t="s">
        <v>35</v>
      </c>
      <c r="I1110" s="36">
        <v>8418.6</v>
      </c>
      <c r="J1110" s="36">
        <v>8418.6</v>
      </c>
      <c r="K1110" s="85">
        <v>0</v>
      </c>
      <c r="L1110" s="36">
        <v>701.55</v>
      </c>
      <c r="M1110" s="36">
        <v>0</v>
      </c>
      <c r="N1110" s="36">
        <v>247.25</v>
      </c>
      <c r="O1110" s="36">
        <v>454.3</v>
      </c>
      <c r="P1110" t="s">
        <v>121</v>
      </c>
      <c r="Q1110" t="s">
        <v>111</v>
      </c>
      <c r="R1110" t="s">
        <v>111</v>
      </c>
      <c r="S1110" s="1">
        <v>46037</v>
      </c>
      <c r="T1110" s="1">
        <v>46054</v>
      </c>
      <c r="U1110" s="1">
        <v>46032</v>
      </c>
      <c r="V1110" s="1">
        <v>46402</v>
      </c>
      <c r="W1110" t="s">
        <v>38</v>
      </c>
      <c r="X1110">
        <v>12</v>
      </c>
      <c r="Y1110" t="s">
        <v>49</v>
      </c>
      <c r="Z1110" t="s">
        <v>81</v>
      </c>
      <c r="AA1110" t="s">
        <v>122</v>
      </c>
      <c r="AB1110">
        <v>12</v>
      </c>
      <c r="AC1110" t="s">
        <v>113</v>
      </c>
      <c r="AD1110" t="s">
        <v>134</v>
      </c>
      <c r="AE1110" t="s">
        <v>135</v>
      </c>
      <c r="AF1110" t="s">
        <v>44</v>
      </c>
      <c r="AG1110" t="str">
        <f t="shared" si="18"/>
        <v>Recorrente</v>
      </c>
      <c r="AH1110" t="str">
        <f>IF(AND(SUMIF(E:E,E1110,I:I)&gt;=400000,Q1110="B2G"),"n","")</f>
        <v/>
      </c>
    </row>
    <row r="1111" spans="1:34">
      <c r="A1111">
        <v>2026</v>
      </c>
      <c r="B1111">
        <v>2</v>
      </c>
      <c r="C1111" s="83">
        <v>192620221541</v>
      </c>
      <c r="D1111" t="s">
        <v>1127</v>
      </c>
      <c r="E1111">
        <v>55565984520</v>
      </c>
      <c r="F1111">
        <v>635931</v>
      </c>
      <c r="G1111">
        <v>50778064678</v>
      </c>
      <c r="H1111" t="s">
        <v>35</v>
      </c>
      <c r="I1111" s="36">
        <v>2759.04</v>
      </c>
      <c r="J1111" s="36">
        <v>2759.04</v>
      </c>
      <c r="K1111" s="85">
        <v>0</v>
      </c>
      <c r="L1111" s="36">
        <v>229.92</v>
      </c>
      <c r="M1111" s="36">
        <v>229.92</v>
      </c>
      <c r="N1111" s="36">
        <v>0</v>
      </c>
      <c r="O1111" s="36">
        <v>0</v>
      </c>
      <c r="P1111" t="s">
        <v>829</v>
      </c>
      <c r="Q1111" t="s">
        <v>300</v>
      </c>
      <c r="R1111" t="s">
        <v>300</v>
      </c>
      <c r="S1111" s="1">
        <v>46057</v>
      </c>
      <c r="T1111" s="1">
        <v>46057</v>
      </c>
      <c r="U1111" s="1"/>
      <c r="V1111" s="1">
        <v>46422</v>
      </c>
      <c r="W1111" t="s">
        <v>38</v>
      </c>
      <c r="X1111">
        <v>12</v>
      </c>
      <c r="Y1111" t="s">
        <v>49</v>
      </c>
      <c r="AA1111" t="s">
        <v>112</v>
      </c>
      <c r="AB1111">
        <v>12</v>
      </c>
      <c r="AC1111" t="s">
        <v>301</v>
      </c>
      <c r="AD1111" t="s">
        <v>140</v>
      </c>
      <c r="AE1111" t="s">
        <v>46</v>
      </c>
      <c r="AF1111" t="s">
        <v>119</v>
      </c>
      <c r="AG1111" t="str">
        <f t="shared" si="18"/>
        <v>CC 12x</v>
      </c>
      <c r="AH1111" t="str">
        <f>IF(AND(SUMIF(E:E,E1111,I:I)&gt;=400000,Q1111="B2G"),"n","")</f>
        <v/>
      </c>
    </row>
    <row r="1112" spans="1:34">
      <c r="A1112">
        <v>2026</v>
      </c>
      <c r="B1112">
        <v>2</v>
      </c>
      <c r="C1112" s="83">
        <v>192678011216</v>
      </c>
      <c r="D1112" t="s">
        <v>1128</v>
      </c>
      <c r="E1112">
        <v>53715167488</v>
      </c>
      <c r="F1112">
        <v>524798</v>
      </c>
      <c r="G1112">
        <v>49004307496</v>
      </c>
      <c r="H1112" t="s">
        <v>35</v>
      </c>
      <c r="I1112" s="36">
        <v>2445</v>
      </c>
      <c r="J1112" s="36">
        <v>2445</v>
      </c>
      <c r="K1112" s="85">
        <v>0</v>
      </c>
      <c r="L1112" s="36">
        <v>203.75</v>
      </c>
      <c r="M1112" s="36">
        <v>0</v>
      </c>
      <c r="N1112" s="36">
        <v>3.75</v>
      </c>
      <c r="O1112" s="36">
        <v>200</v>
      </c>
      <c r="P1112" t="s">
        <v>133</v>
      </c>
      <c r="Q1112" t="s">
        <v>111</v>
      </c>
      <c r="R1112" t="s">
        <v>111</v>
      </c>
      <c r="S1112" s="1">
        <v>46036</v>
      </c>
      <c r="T1112" s="1">
        <v>46054</v>
      </c>
      <c r="U1112" s="1">
        <v>46034</v>
      </c>
      <c r="V1112" s="1">
        <v>46418</v>
      </c>
      <c r="W1112" t="s">
        <v>38</v>
      </c>
      <c r="X1112">
        <v>12</v>
      </c>
      <c r="Y1112" t="s">
        <v>49</v>
      </c>
      <c r="Z1112" t="s">
        <v>76</v>
      </c>
      <c r="AA1112" t="s">
        <v>117</v>
      </c>
      <c r="AB1112">
        <v>1</v>
      </c>
      <c r="AC1112" t="s">
        <v>113</v>
      </c>
      <c r="AD1112" t="s">
        <v>118</v>
      </c>
      <c r="AE1112" t="s">
        <v>43</v>
      </c>
      <c r="AF1112" t="s">
        <v>119</v>
      </c>
      <c r="AG1112" t="str">
        <f t="shared" si="18"/>
        <v>À Vista</v>
      </c>
      <c r="AH1112" t="str">
        <f>IF(AND(SUMIF(E:E,E1112,I:I)&gt;=400000,Q1112="B2G"),"n","")</f>
        <v/>
      </c>
    </row>
    <row r="1113" spans="1:34">
      <c r="A1113">
        <v>2026</v>
      </c>
      <c r="B1113">
        <v>2</v>
      </c>
      <c r="C1113" s="83">
        <v>192853152882</v>
      </c>
      <c r="D1113" t="s">
        <v>1129</v>
      </c>
      <c r="E1113">
        <v>57137920330</v>
      </c>
      <c r="F1113">
        <v>636303</v>
      </c>
      <c r="G1113">
        <v>52362061170</v>
      </c>
      <c r="H1113" t="s">
        <v>35</v>
      </c>
      <c r="I1113" s="36">
        <v>2544</v>
      </c>
      <c r="J1113" s="36">
        <v>2544</v>
      </c>
      <c r="K1113" s="85">
        <v>0</v>
      </c>
      <c r="L1113" s="36">
        <v>212</v>
      </c>
      <c r="M1113" s="36">
        <v>212</v>
      </c>
      <c r="N1113" s="36">
        <v>0</v>
      </c>
      <c r="O1113" s="36">
        <v>0</v>
      </c>
      <c r="P1113" t="s">
        <v>511</v>
      </c>
      <c r="Q1113" t="s">
        <v>300</v>
      </c>
      <c r="R1113" t="s">
        <v>300</v>
      </c>
      <c r="S1113" s="1">
        <v>46080</v>
      </c>
      <c r="T1113" s="1">
        <v>46080</v>
      </c>
      <c r="V1113" s="1">
        <v>46445</v>
      </c>
      <c r="W1113" t="s">
        <v>38</v>
      </c>
      <c r="X1113">
        <v>12</v>
      </c>
      <c r="Y1113" t="s">
        <v>49</v>
      </c>
      <c r="AA1113" t="s">
        <v>112</v>
      </c>
      <c r="AB1113">
        <v>12</v>
      </c>
      <c r="AC1113" t="s">
        <v>301</v>
      </c>
      <c r="AD1113" t="s">
        <v>140</v>
      </c>
      <c r="AE1113" t="s">
        <v>46</v>
      </c>
      <c r="AF1113" t="s">
        <v>119</v>
      </c>
      <c r="AG1113" t="str">
        <f t="shared" si="18"/>
        <v>CC 12x</v>
      </c>
      <c r="AH1113" t="str">
        <f>IF(AND(SUMIF(E:E,E1113,I:I)&gt;=400000,Q1113="B2G"),"n","")</f>
        <v/>
      </c>
    </row>
    <row r="1114" spans="1:34">
      <c r="A1114">
        <v>2026</v>
      </c>
      <c r="B1114">
        <v>2</v>
      </c>
      <c r="C1114" s="83">
        <v>192993738782</v>
      </c>
      <c r="D1114" t="s">
        <v>1130</v>
      </c>
      <c r="E1114">
        <v>53273118096</v>
      </c>
      <c r="F1114">
        <v>626769</v>
      </c>
      <c r="G1114">
        <v>48406701627</v>
      </c>
      <c r="H1114" t="s">
        <v>35</v>
      </c>
      <c r="I1114" s="36">
        <v>6354</v>
      </c>
      <c r="J1114" s="36">
        <v>6354</v>
      </c>
      <c r="K1114" s="85">
        <v>0</v>
      </c>
      <c r="L1114" s="36">
        <v>529.5</v>
      </c>
      <c r="M1114" s="36">
        <v>0</v>
      </c>
      <c r="N1114" s="36">
        <v>54.73</v>
      </c>
      <c r="O1114" s="36">
        <v>474.77</v>
      </c>
      <c r="P1114" t="s">
        <v>165</v>
      </c>
      <c r="Q1114" t="s">
        <v>166</v>
      </c>
      <c r="R1114" t="s">
        <v>166</v>
      </c>
      <c r="S1114" s="1">
        <v>46073</v>
      </c>
      <c r="T1114" s="1">
        <v>46073</v>
      </c>
      <c r="U1114" s="1">
        <v>46073</v>
      </c>
      <c r="V1114" s="1">
        <v>46438</v>
      </c>
      <c r="W1114" t="s">
        <v>38</v>
      </c>
      <c r="X1114">
        <v>12</v>
      </c>
      <c r="Y1114" t="s">
        <v>49</v>
      </c>
      <c r="Z1114" t="s">
        <v>81</v>
      </c>
      <c r="AA1114" t="s">
        <v>112</v>
      </c>
      <c r="AB1114">
        <v>9</v>
      </c>
      <c r="AC1114" t="s">
        <v>166</v>
      </c>
      <c r="AD1114" t="s">
        <v>149</v>
      </c>
      <c r="AE1114" t="s">
        <v>43</v>
      </c>
      <c r="AF1114" t="s">
        <v>96</v>
      </c>
      <c r="AG1114" t="str">
        <f t="shared" si="18"/>
        <v>CC 12x</v>
      </c>
      <c r="AH1114" t="str">
        <f>IF(AND(SUMIF(E:E,E1114,I:I)&gt;=400000,Q1114="B2G"),"n","")</f>
        <v/>
      </c>
    </row>
    <row r="1115" spans="1:34">
      <c r="A1115">
        <v>2026</v>
      </c>
      <c r="B1115">
        <v>2</v>
      </c>
      <c r="C1115" s="83">
        <v>193018366535</v>
      </c>
      <c r="D1115" t="s">
        <v>1131</v>
      </c>
      <c r="E1115">
        <v>54308183103</v>
      </c>
      <c r="F1115">
        <v>513998</v>
      </c>
      <c r="G1115">
        <v>49675931726</v>
      </c>
      <c r="H1115" t="s">
        <v>35</v>
      </c>
      <c r="I1115" s="36">
        <v>3672.24</v>
      </c>
      <c r="J1115" s="36">
        <v>3672.24</v>
      </c>
      <c r="K1115" s="85">
        <v>0</v>
      </c>
      <c r="L1115" s="36">
        <v>306.02</v>
      </c>
      <c r="M1115" s="36">
        <v>0</v>
      </c>
      <c r="N1115" s="36">
        <v>51.308750000000003</v>
      </c>
      <c r="O1115" s="36">
        <v>254.71</v>
      </c>
      <c r="P1115" t="s">
        <v>110</v>
      </c>
      <c r="Q1115" t="s">
        <v>111</v>
      </c>
      <c r="R1115" t="s">
        <v>111</v>
      </c>
      <c r="S1115" s="1">
        <v>46043</v>
      </c>
      <c r="T1115" s="1">
        <v>46054</v>
      </c>
      <c r="U1115" s="1">
        <v>46045</v>
      </c>
      <c r="V1115" s="1">
        <v>46410</v>
      </c>
      <c r="W1115" t="s">
        <v>38</v>
      </c>
      <c r="X1115">
        <v>12</v>
      </c>
      <c r="Y1115" t="s">
        <v>49</v>
      </c>
      <c r="Z1115" t="s">
        <v>81</v>
      </c>
      <c r="AA1115" t="s">
        <v>112</v>
      </c>
      <c r="AB1115">
        <v>12</v>
      </c>
      <c r="AC1115" t="s">
        <v>113</v>
      </c>
      <c r="AD1115" t="s">
        <v>163</v>
      </c>
      <c r="AE1115" t="s">
        <v>43</v>
      </c>
      <c r="AF1115" t="s">
        <v>96</v>
      </c>
      <c r="AG1115" t="str">
        <f t="shared" si="18"/>
        <v>CC 12x</v>
      </c>
      <c r="AH1115" t="str">
        <f>IF(AND(SUMIF(E:E,E1115,I:I)&gt;=400000,Q1115="B2G"),"n","")</f>
        <v/>
      </c>
    </row>
    <row r="1116" spans="1:34">
      <c r="A1116">
        <v>2026</v>
      </c>
      <c r="B1116">
        <v>2</v>
      </c>
      <c r="C1116" s="83">
        <v>193030377601</v>
      </c>
      <c r="D1116" t="s">
        <v>1132</v>
      </c>
      <c r="E1116">
        <v>53879417859</v>
      </c>
      <c r="F1116">
        <v>636010</v>
      </c>
      <c r="G1116">
        <v>51121293315</v>
      </c>
      <c r="H1116" t="s">
        <v>35</v>
      </c>
      <c r="I1116" s="36">
        <v>5072.88</v>
      </c>
      <c r="J1116" s="36">
        <v>5072.88</v>
      </c>
      <c r="K1116" s="85">
        <v>0</v>
      </c>
      <c r="L1116" s="36">
        <v>422.74</v>
      </c>
      <c r="M1116" s="36">
        <v>422.74</v>
      </c>
      <c r="N1116" s="36">
        <v>0</v>
      </c>
      <c r="O1116" s="36">
        <v>0</v>
      </c>
      <c r="P1116" t="s">
        <v>506</v>
      </c>
      <c r="Q1116" t="s">
        <v>300</v>
      </c>
      <c r="R1116" t="s">
        <v>300</v>
      </c>
      <c r="S1116" s="1">
        <v>46063</v>
      </c>
      <c r="T1116" s="1">
        <v>46063</v>
      </c>
      <c r="U1116" s="1"/>
      <c r="V1116" s="1">
        <v>46428</v>
      </c>
      <c r="W1116" t="s">
        <v>38</v>
      </c>
      <c r="X1116">
        <v>12</v>
      </c>
      <c r="Y1116" t="s">
        <v>49</v>
      </c>
      <c r="AA1116" t="s">
        <v>112</v>
      </c>
      <c r="AB1116">
        <v>12</v>
      </c>
      <c r="AC1116" t="s">
        <v>301</v>
      </c>
      <c r="AD1116" t="s">
        <v>138</v>
      </c>
      <c r="AE1116" t="s">
        <v>135</v>
      </c>
      <c r="AF1116" t="s">
        <v>119</v>
      </c>
      <c r="AG1116" t="str">
        <f t="shared" si="18"/>
        <v>CC 12x</v>
      </c>
      <c r="AH1116" t="str">
        <f>IF(AND(SUMIF(E:E,E1116,I:I)&gt;=400000,Q1116="B2G"),"n","")</f>
        <v/>
      </c>
    </row>
    <row r="1117" spans="1:34">
      <c r="A1117">
        <v>2026</v>
      </c>
      <c r="B1117">
        <v>2</v>
      </c>
      <c r="C1117" s="83">
        <v>193094205797</v>
      </c>
      <c r="D1117" t="s">
        <v>1133</v>
      </c>
      <c r="E1117">
        <v>53763788896</v>
      </c>
      <c r="F1117">
        <v>327968</v>
      </c>
      <c r="G1117">
        <v>49128771898</v>
      </c>
      <c r="H1117" t="s">
        <v>35</v>
      </c>
      <c r="I1117" s="36">
        <v>5130.84</v>
      </c>
      <c r="J1117" s="36">
        <v>5130.84</v>
      </c>
      <c r="K1117" s="85">
        <v>0</v>
      </c>
      <c r="L1117" s="36">
        <v>427.57</v>
      </c>
      <c r="M1117" s="36">
        <v>0</v>
      </c>
      <c r="N1117" s="36">
        <v>87.571250000000006</v>
      </c>
      <c r="O1117" s="36">
        <v>340</v>
      </c>
      <c r="P1117" t="s">
        <v>110</v>
      </c>
      <c r="Q1117" t="s">
        <v>111</v>
      </c>
      <c r="R1117" t="s">
        <v>111</v>
      </c>
      <c r="S1117" s="1">
        <v>46037</v>
      </c>
      <c r="T1117" s="1">
        <v>46054</v>
      </c>
      <c r="U1117" s="1">
        <v>46036</v>
      </c>
      <c r="V1117" s="1">
        <v>46401</v>
      </c>
      <c r="W1117" t="s">
        <v>38</v>
      </c>
      <c r="X1117">
        <v>12</v>
      </c>
      <c r="Y1117" t="s">
        <v>49</v>
      </c>
      <c r="Z1117" t="s">
        <v>81</v>
      </c>
      <c r="AA1117" t="s">
        <v>112</v>
      </c>
      <c r="AB1117">
        <v>12</v>
      </c>
      <c r="AC1117" t="s">
        <v>113</v>
      </c>
      <c r="AD1117" t="s">
        <v>149</v>
      </c>
      <c r="AE1117" t="s">
        <v>43</v>
      </c>
      <c r="AF1117" t="s">
        <v>96</v>
      </c>
      <c r="AG1117" t="str">
        <f t="shared" si="18"/>
        <v>CC 12x</v>
      </c>
      <c r="AH1117" t="str">
        <f>IF(AND(SUMIF(E:E,E1117,I:I)&gt;=400000,Q1117="B2G"),"n","")</f>
        <v/>
      </c>
    </row>
    <row r="1118" spans="1:34">
      <c r="A1118">
        <v>2026</v>
      </c>
      <c r="B1118">
        <v>2</v>
      </c>
      <c r="C1118" s="83">
        <v>193132466192</v>
      </c>
      <c r="D1118" t="s">
        <v>1134</v>
      </c>
      <c r="E1118">
        <v>53705649066</v>
      </c>
      <c r="F1118">
        <v>625434</v>
      </c>
      <c r="G1118">
        <v>49128282024</v>
      </c>
      <c r="H1118" t="s">
        <v>35</v>
      </c>
      <c r="I1118" s="36">
        <v>11623.2</v>
      </c>
      <c r="J1118" s="36">
        <v>11623.2</v>
      </c>
      <c r="K1118" s="85">
        <v>0</v>
      </c>
      <c r="L1118" s="36">
        <v>968.6</v>
      </c>
      <c r="M1118" s="36">
        <v>0</v>
      </c>
      <c r="N1118" s="36">
        <v>19.546250000000001</v>
      </c>
      <c r="O1118" s="36">
        <v>949.05</v>
      </c>
      <c r="P1118" t="s">
        <v>133</v>
      </c>
      <c r="Q1118" t="s">
        <v>111</v>
      </c>
      <c r="R1118" t="s">
        <v>111</v>
      </c>
      <c r="S1118" s="1">
        <v>46037</v>
      </c>
      <c r="T1118" s="1">
        <v>46054</v>
      </c>
      <c r="U1118" s="1">
        <v>46036</v>
      </c>
      <c r="V1118" s="1">
        <v>46418</v>
      </c>
      <c r="W1118" t="s">
        <v>38</v>
      </c>
      <c r="X1118">
        <v>12</v>
      </c>
      <c r="Y1118" t="s">
        <v>49</v>
      </c>
      <c r="Z1118" t="s">
        <v>81</v>
      </c>
      <c r="AA1118" t="s">
        <v>122</v>
      </c>
      <c r="AB1118">
        <v>12</v>
      </c>
      <c r="AC1118" t="s">
        <v>113</v>
      </c>
      <c r="AD1118" t="s">
        <v>154</v>
      </c>
      <c r="AE1118" t="s">
        <v>46</v>
      </c>
      <c r="AF1118" t="s">
        <v>47</v>
      </c>
      <c r="AG1118" t="str">
        <f t="shared" si="18"/>
        <v>Recorrente</v>
      </c>
      <c r="AH1118" t="str">
        <f>IF(AND(SUMIF(E:E,E1118,I:I)&gt;=400000,Q1118="B2G"),"n","")</f>
        <v/>
      </c>
    </row>
    <row r="1119" spans="1:34">
      <c r="A1119">
        <v>2026</v>
      </c>
      <c r="B1119">
        <v>2</v>
      </c>
      <c r="C1119" s="83">
        <v>193424928155</v>
      </c>
      <c r="D1119" t="s">
        <v>1135</v>
      </c>
      <c r="E1119">
        <v>53276796160</v>
      </c>
      <c r="F1119">
        <v>505936</v>
      </c>
      <c r="G1119">
        <v>49259015807</v>
      </c>
      <c r="H1119" t="s">
        <v>35</v>
      </c>
      <c r="I1119" s="36">
        <v>7997.64</v>
      </c>
      <c r="J1119" s="36">
        <v>7997.64</v>
      </c>
      <c r="K1119" s="85">
        <v>0</v>
      </c>
      <c r="L1119" s="36">
        <v>666.47</v>
      </c>
      <c r="M1119" s="36">
        <v>0</v>
      </c>
      <c r="N1119" s="36">
        <v>237.4725</v>
      </c>
      <c r="O1119" s="36">
        <v>429</v>
      </c>
      <c r="P1119" t="s">
        <v>162</v>
      </c>
      <c r="Q1119" t="s">
        <v>111</v>
      </c>
      <c r="R1119" t="s">
        <v>111</v>
      </c>
      <c r="S1119" s="1">
        <v>46037</v>
      </c>
      <c r="T1119" s="1">
        <v>46054</v>
      </c>
      <c r="U1119" s="1">
        <v>46072</v>
      </c>
      <c r="V1119" s="1">
        <v>46437</v>
      </c>
      <c r="W1119" t="s">
        <v>38</v>
      </c>
      <c r="X1119">
        <v>12</v>
      </c>
      <c r="Y1119" t="s">
        <v>49</v>
      </c>
      <c r="Z1119" t="s">
        <v>76</v>
      </c>
      <c r="AA1119" t="s">
        <v>112</v>
      </c>
      <c r="AB1119">
        <v>12</v>
      </c>
      <c r="AC1119" t="s">
        <v>113</v>
      </c>
      <c r="AD1119" t="s">
        <v>134</v>
      </c>
      <c r="AE1119" t="s">
        <v>135</v>
      </c>
      <c r="AF1119" t="s">
        <v>44</v>
      </c>
      <c r="AG1119" t="str">
        <f t="shared" si="18"/>
        <v>CC 12x</v>
      </c>
      <c r="AH1119" t="str">
        <f>IF(AND(SUMIF(E:E,E1119,I:I)&gt;=400000,Q1119="B2G"),"n","")</f>
        <v/>
      </c>
    </row>
    <row r="1120" spans="1:34">
      <c r="A1120">
        <v>2026</v>
      </c>
      <c r="B1120">
        <v>2</v>
      </c>
      <c r="C1120" s="83">
        <v>193987859040</v>
      </c>
      <c r="D1120" t="s">
        <v>1136</v>
      </c>
      <c r="E1120">
        <v>54185902860</v>
      </c>
      <c r="F1120">
        <v>327943</v>
      </c>
      <c r="G1120">
        <v>49608313219</v>
      </c>
      <c r="H1120" t="s">
        <v>35</v>
      </c>
      <c r="I1120" s="36">
        <v>7035.84</v>
      </c>
      <c r="J1120" s="36">
        <v>7035.84</v>
      </c>
      <c r="K1120" s="85">
        <v>0</v>
      </c>
      <c r="L1120" s="36">
        <v>586.32000000000005</v>
      </c>
      <c r="M1120" s="36">
        <v>0</v>
      </c>
      <c r="N1120" s="36">
        <v>26.324310000000001</v>
      </c>
      <c r="O1120" s="36">
        <v>560</v>
      </c>
      <c r="P1120" t="s">
        <v>133</v>
      </c>
      <c r="Q1120" t="s">
        <v>111</v>
      </c>
      <c r="R1120" t="s">
        <v>111</v>
      </c>
      <c r="S1120" s="1">
        <v>46042</v>
      </c>
      <c r="T1120" s="1">
        <v>46054</v>
      </c>
      <c r="U1120" s="1">
        <v>46041</v>
      </c>
      <c r="V1120" s="1">
        <v>46406</v>
      </c>
      <c r="W1120" t="s">
        <v>38</v>
      </c>
      <c r="X1120">
        <v>12</v>
      </c>
      <c r="Y1120" t="s">
        <v>49</v>
      </c>
      <c r="Z1120" t="s">
        <v>81</v>
      </c>
      <c r="AA1120" t="s">
        <v>112</v>
      </c>
      <c r="AB1120">
        <v>12</v>
      </c>
      <c r="AC1120" t="s">
        <v>113</v>
      </c>
      <c r="AD1120" t="s">
        <v>134</v>
      </c>
      <c r="AE1120" t="s">
        <v>135</v>
      </c>
      <c r="AF1120" t="s">
        <v>44</v>
      </c>
      <c r="AG1120" t="str">
        <f t="shared" si="18"/>
        <v>CC 12x</v>
      </c>
      <c r="AH1120" t="str">
        <f>IF(AND(SUMIF(E:E,E1120,I:I)&gt;=400000,Q1120="B2G"),"n","")</f>
        <v/>
      </c>
    </row>
    <row r="1121" spans="1:34">
      <c r="A1121">
        <v>2026</v>
      </c>
      <c r="B1121">
        <v>2</v>
      </c>
      <c r="C1121" s="83">
        <v>19433951908</v>
      </c>
      <c r="D1121" t="s">
        <v>1137</v>
      </c>
      <c r="E1121">
        <v>53276187779</v>
      </c>
      <c r="F1121">
        <v>626786</v>
      </c>
      <c r="G1121">
        <v>48472217433</v>
      </c>
      <c r="H1121" t="s">
        <v>35</v>
      </c>
      <c r="I1121" s="36">
        <v>5178.6000000000004</v>
      </c>
      <c r="J1121" s="36">
        <v>5178.6000000000004</v>
      </c>
      <c r="K1121" s="85">
        <v>0</v>
      </c>
      <c r="L1121" s="36">
        <v>431.55</v>
      </c>
      <c r="M1121" s="36">
        <v>0</v>
      </c>
      <c r="N1121" s="36">
        <v>71.55</v>
      </c>
      <c r="O1121" s="36">
        <v>360</v>
      </c>
      <c r="P1121" t="s">
        <v>165</v>
      </c>
      <c r="Q1121" t="s">
        <v>166</v>
      </c>
      <c r="R1121" t="s">
        <v>166</v>
      </c>
      <c r="S1121" s="1">
        <v>46074</v>
      </c>
      <c r="T1121" s="1">
        <v>46074</v>
      </c>
      <c r="U1121" s="1">
        <v>46074</v>
      </c>
      <c r="V1121" s="1">
        <v>46439</v>
      </c>
      <c r="W1121" t="s">
        <v>38</v>
      </c>
      <c r="X1121">
        <v>12</v>
      </c>
      <c r="Y1121" t="s">
        <v>49</v>
      </c>
      <c r="Z1121" t="s">
        <v>81</v>
      </c>
      <c r="AA1121" t="s">
        <v>112</v>
      </c>
      <c r="AB1121">
        <v>12</v>
      </c>
      <c r="AC1121" t="s">
        <v>166</v>
      </c>
      <c r="AD1121" t="s">
        <v>85</v>
      </c>
      <c r="AE1121" t="s">
        <v>46</v>
      </c>
      <c r="AF1121" t="s">
        <v>44</v>
      </c>
      <c r="AG1121" t="str">
        <f t="shared" si="18"/>
        <v>CC 12x</v>
      </c>
      <c r="AH1121" t="str">
        <f>IF(AND(SUMIF(E:E,E1121,I:I)&gt;=400000,Q1121="B2G"),"n","")</f>
        <v/>
      </c>
    </row>
    <row r="1122" spans="1:34">
      <c r="A1122">
        <v>2026</v>
      </c>
      <c r="B1122">
        <v>2</v>
      </c>
      <c r="C1122" s="83">
        <v>19433951925</v>
      </c>
      <c r="D1122" t="s">
        <v>1138</v>
      </c>
      <c r="E1122">
        <v>54078723755</v>
      </c>
      <c r="F1122">
        <v>627601</v>
      </c>
      <c r="G1122">
        <v>52401627764</v>
      </c>
      <c r="H1122" t="s">
        <v>35</v>
      </c>
      <c r="I1122" s="36">
        <v>5436</v>
      </c>
      <c r="J1122" s="36">
        <v>5436</v>
      </c>
      <c r="K1122" s="85">
        <v>0</v>
      </c>
      <c r="L1122" s="36">
        <v>453</v>
      </c>
      <c r="M1122" s="36">
        <v>453</v>
      </c>
      <c r="N1122" s="36">
        <v>0</v>
      </c>
      <c r="O1122" s="36">
        <v>0</v>
      </c>
      <c r="P1122" t="s">
        <v>98</v>
      </c>
      <c r="Q1122" t="s">
        <v>37</v>
      </c>
      <c r="R1122" t="s">
        <v>37</v>
      </c>
      <c r="S1122" s="1">
        <v>46080</v>
      </c>
      <c r="T1122" s="1">
        <v>46080</v>
      </c>
      <c r="V1122" s="1">
        <v>46466</v>
      </c>
      <c r="W1122" t="s">
        <v>38</v>
      </c>
      <c r="X1122">
        <v>13</v>
      </c>
      <c r="Y1122" t="s">
        <v>49</v>
      </c>
      <c r="Z1122" t="s">
        <v>76</v>
      </c>
      <c r="AA1122" t="s">
        <v>40</v>
      </c>
      <c r="AB1122">
        <v>1</v>
      </c>
      <c r="AC1122" t="s">
        <v>41</v>
      </c>
      <c r="AD1122" t="s">
        <v>54</v>
      </c>
      <c r="AE1122" t="s">
        <v>46</v>
      </c>
      <c r="AF1122" t="s">
        <v>44</v>
      </c>
      <c r="AG1122" t="str">
        <f t="shared" si="18"/>
        <v>À Vista</v>
      </c>
      <c r="AH1122" t="str">
        <f>IF(AND(SUMIF(E:E,E1122,I:I)&gt;=400000,Q1122="B2G"),"n","")</f>
        <v/>
      </c>
    </row>
    <row r="1123" spans="1:34">
      <c r="A1123">
        <v>2026</v>
      </c>
      <c r="B1123">
        <v>2</v>
      </c>
      <c r="C1123" s="83">
        <v>19433951925</v>
      </c>
      <c r="D1123" t="s">
        <v>1138</v>
      </c>
      <c r="E1123">
        <v>54078723755</v>
      </c>
      <c r="F1123">
        <v>627601</v>
      </c>
      <c r="G1123">
        <v>52401627765</v>
      </c>
      <c r="H1123" t="s">
        <v>35</v>
      </c>
      <c r="I1123" s="36">
        <v>4644</v>
      </c>
      <c r="J1123" s="36">
        <v>4644</v>
      </c>
      <c r="K1123" s="85">
        <v>0</v>
      </c>
      <c r="L1123" s="36">
        <v>387</v>
      </c>
      <c r="M1123" s="36">
        <v>387</v>
      </c>
      <c r="N1123" s="36">
        <v>0</v>
      </c>
      <c r="O1123" s="36">
        <v>0</v>
      </c>
      <c r="P1123" t="s">
        <v>98</v>
      </c>
      <c r="Q1123" t="s">
        <v>37</v>
      </c>
      <c r="R1123" t="s">
        <v>37</v>
      </c>
      <c r="S1123" s="1">
        <v>46080</v>
      </c>
      <c r="T1123" s="1">
        <v>46080</v>
      </c>
      <c r="U1123" s="1"/>
      <c r="V1123" s="1">
        <v>46466</v>
      </c>
      <c r="W1123" t="s">
        <v>38</v>
      </c>
      <c r="X1123">
        <v>13</v>
      </c>
      <c r="Y1123" t="s">
        <v>49</v>
      </c>
      <c r="Z1123" t="s">
        <v>76</v>
      </c>
      <c r="AA1123" t="s">
        <v>40</v>
      </c>
      <c r="AB1123">
        <v>1</v>
      </c>
      <c r="AC1123" t="s">
        <v>41</v>
      </c>
      <c r="AD1123" t="s">
        <v>53</v>
      </c>
      <c r="AE1123" t="s">
        <v>43</v>
      </c>
      <c r="AF1123" t="s">
        <v>44</v>
      </c>
      <c r="AG1123" t="str">
        <f t="shared" si="18"/>
        <v>À Vista</v>
      </c>
      <c r="AH1123" t="str">
        <f>IF(AND(SUMIF(E:E,E1123,I:I)&gt;=400000,Q1123="B2G"),"n","")</f>
        <v/>
      </c>
    </row>
    <row r="1124" spans="1:34">
      <c r="A1124">
        <v>2026</v>
      </c>
      <c r="B1124">
        <v>2</v>
      </c>
      <c r="C1124" s="83">
        <v>19433952085</v>
      </c>
      <c r="D1124" t="s">
        <v>1139</v>
      </c>
      <c r="E1124">
        <v>56163434013</v>
      </c>
      <c r="F1124">
        <v>528335</v>
      </c>
      <c r="G1124">
        <v>51427269708</v>
      </c>
      <c r="H1124" t="s">
        <v>35</v>
      </c>
      <c r="I1124" s="36">
        <v>2457.2399999999998</v>
      </c>
      <c r="J1124" s="36">
        <v>2457.2399999999998</v>
      </c>
      <c r="K1124" s="85">
        <v>0</v>
      </c>
      <c r="L1124" s="36">
        <v>204.77</v>
      </c>
      <c r="M1124" s="36">
        <v>204.77</v>
      </c>
      <c r="N1124" s="36">
        <v>0</v>
      </c>
      <c r="O1124" s="36">
        <v>0</v>
      </c>
      <c r="P1124" t="s">
        <v>116</v>
      </c>
      <c r="Q1124" t="s">
        <v>111</v>
      </c>
      <c r="R1124" t="s">
        <v>111</v>
      </c>
      <c r="S1124" s="1">
        <v>46065</v>
      </c>
      <c r="T1124" s="1">
        <v>46065</v>
      </c>
      <c r="U1124" s="1">
        <v>46080</v>
      </c>
      <c r="V1124" s="1">
        <v>46445</v>
      </c>
      <c r="W1124" t="s">
        <v>38</v>
      </c>
      <c r="X1124">
        <v>12</v>
      </c>
      <c r="Y1124" t="s">
        <v>49</v>
      </c>
      <c r="Z1124" t="s">
        <v>76</v>
      </c>
      <c r="AA1124" t="s">
        <v>122</v>
      </c>
      <c r="AB1124">
        <v>12</v>
      </c>
      <c r="AC1124" t="s">
        <v>113</v>
      </c>
      <c r="AD1124" t="s">
        <v>140</v>
      </c>
      <c r="AE1124" t="s">
        <v>46</v>
      </c>
      <c r="AF1124" t="s">
        <v>119</v>
      </c>
      <c r="AG1124" t="str">
        <f t="shared" si="18"/>
        <v>Recorrente</v>
      </c>
      <c r="AH1124" t="str">
        <f>IF(AND(SUMIF(E:E,E1124,I:I)&gt;=400000,Q1124="B2G"),"n","")</f>
        <v/>
      </c>
    </row>
    <row r="1125" spans="1:34">
      <c r="A1125">
        <v>2026</v>
      </c>
      <c r="B1125">
        <v>2</v>
      </c>
      <c r="C1125" s="83">
        <v>19435332756</v>
      </c>
      <c r="D1125" t="s">
        <v>1140</v>
      </c>
      <c r="E1125">
        <v>55705236240</v>
      </c>
      <c r="F1125">
        <v>304543</v>
      </c>
      <c r="G1125">
        <v>51492528561</v>
      </c>
      <c r="H1125" t="s">
        <v>35</v>
      </c>
      <c r="I1125" s="36">
        <v>3775.44</v>
      </c>
      <c r="J1125" s="36">
        <v>3775.44</v>
      </c>
      <c r="K1125" s="85">
        <v>0</v>
      </c>
      <c r="L1125" s="36">
        <v>314.62</v>
      </c>
      <c r="M1125" s="36">
        <v>0</v>
      </c>
      <c r="N1125" s="36">
        <v>0</v>
      </c>
      <c r="O1125" s="36">
        <v>314.625</v>
      </c>
      <c r="P1125" t="s">
        <v>133</v>
      </c>
      <c r="Q1125" t="s">
        <v>111</v>
      </c>
      <c r="R1125" t="s">
        <v>111</v>
      </c>
      <c r="S1125" s="1">
        <v>46066</v>
      </c>
      <c r="T1125" s="1">
        <v>46066</v>
      </c>
      <c r="U1125" s="1">
        <v>46059</v>
      </c>
      <c r="V1125" s="1">
        <v>46431</v>
      </c>
      <c r="W1125" t="s">
        <v>38</v>
      </c>
      <c r="X1125">
        <v>12</v>
      </c>
      <c r="Y1125" t="s">
        <v>49</v>
      </c>
      <c r="Z1125" t="s">
        <v>81</v>
      </c>
      <c r="AA1125" t="s">
        <v>112</v>
      </c>
      <c r="AB1125">
        <v>12</v>
      </c>
      <c r="AC1125" t="s">
        <v>113</v>
      </c>
      <c r="AD1125" t="s">
        <v>84</v>
      </c>
      <c r="AE1125" t="s">
        <v>43</v>
      </c>
      <c r="AF1125" t="s">
        <v>44</v>
      </c>
      <c r="AG1125" t="str">
        <f t="shared" si="18"/>
        <v>CC 12x</v>
      </c>
      <c r="AH1125" t="str">
        <f>IF(AND(SUMIF(E:E,E1125,I:I)&gt;=400000,Q1125="B2G"),"n","")</f>
        <v/>
      </c>
    </row>
    <row r="1126" spans="1:34">
      <c r="A1126">
        <v>2026</v>
      </c>
      <c r="B1126">
        <v>2</v>
      </c>
      <c r="C1126" s="83">
        <v>19435355995</v>
      </c>
      <c r="D1126" t="s">
        <v>1141</v>
      </c>
      <c r="E1126">
        <v>53421351208</v>
      </c>
      <c r="F1126">
        <v>513512</v>
      </c>
      <c r="G1126">
        <v>48599854491</v>
      </c>
      <c r="H1126" t="s">
        <v>35</v>
      </c>
      <c r="I1126" s="36">
        <v>4530.6000000000004</v>
      </c>
      <c r="J1126" s="36">
        <v>4530.6000000000004</v>
      </c>
      <c r="K1126" s="85">
        <v>0</v>
      </c>
      <c r="L1126" s="36">
        <v>377.55</v>
      </c>
      <c r="M1126" s="36">
        <v>0</v>
      </c>
      <c r="N1126" s="36">
        <v>89.4</v>
      </c>
      <c r="O1126" s="36">
        <v>288.14999999999998</v>
      </c>
      <c r="P1126" t="s">
        <v>165</v>
      </c>
      <c r="Q1126" t="s">
        <v>166</v>
      </c>
      <c r="R1126" t="s">
        <v>166</v>
      </c>
      <c r="S1126" s="1">
        <v>46076</v>
      </c>
      <c r="T1126" s="1">
        <v>46076</v>
      </c>
      <c r="U1126" s="1">
        <v>46076</v>
      </c>
      <c r="V1126" s="1">
        <v>46441</v>
      </c>
      <c r="W1126" t="s">
        <v>38</v>
      </c>
      <c r="X1126">
        <v>12</v>
      </c>
      <c r="Y1126" t="s">
        <v>49</v>
      </c>
      <c r="Z1126" t="s">
        <v>81</v>
      </c>
      <c r="AA1126" t="s">
        <v>112</v>
      </c>
      <c r="AB1126">
        <v>12</v>
      </c>
      <c r="AC1126" t="s">
        <v>166</v>
      </c>
      <c r="AD1126" t="s">
        <v>84</v>
      </c>
      <c r="AE1126" t="s">
        <v>43</v>
      </c>
      <c r="AF1126" t="s">
        <v>44</v>
      </c>
      <c r="AG1126" t="str">
        <f t="shared" si="18"/>
        <v>CC 12x</v>
      </c>
      <c r="AH1126" t="str">
        <f>IF(AND(SUMIF(E:E,E1126,I:I)&gt;=400000,Q1126="B2G"),"n","")</f>
        <v/>
      </c>
    </row>
    <row r="1127" spans="1:34">
      <c r="A1127">
        <v>2026</v>
      </c>
      <c r="B1127">
        <v>2</v>
      </c>
      <c r="C1127" s="83">
        <v>19435374455</v>
      </c>
      <c r="D1127" t="s">
        <v>1142</v>
      </c>
      <c r="E1127">
        <v>53248495757</v>
      </c>
      <c r="F1127">
        <v>525472</v>
      </c>
      <c r="G1127">
        <v>51492065118</v>
      </c>
      <c r="H1127" t="s">
        <v>35</v>
      </c>
      <c r="I1127" s="36">
        <v>2212.92</v>
      </c>
      <c r="J1127" s="36">
        <v>2212.92</v>
      </c>
      <c r="K1127" s="85">
        <v>0</v>
      </c>
      <c r="L1127" s="36">
        <v>184.41</v>
      </c>
      <c r="M1127" s="36">
        <v>0</v>
      </c>
      <c r="N1127" s="36">
        <v>1.575</v>
      </c>
      <c r="O1127" s="36">
        <v>182.84</v>
      </c>
      <c r="P1127" t="s">
        <v>133</v>
      </c>
      <c r="Q1127" t="s">
        <v>111</v>
      </c>
      <c r="R1127" t="s">
        <v>111</v>
      </c>
      <c r="S1127" s="1">
        <v>46077</v>
      </c>
      <c r="T1127" s="1">
        <v>46077</v>
      </c>
      <c r="U1127" s="1">
        <v>46072</v>
      </c>
      <c r="V1127" s="1">
        <v>46446</v>
      </c>
      <c r="W1127" t="s">
        <v>38</v>
      </c>
      <c r="X1127">
        <v>12</v>
      </c>
      <c r="Y1127" t="s">
        <v>49</v>
      </c>
      <c r="Z1127" t="s">
        <v>81</v>
      </c>
      <c r="AA1127" t="s">
        <v>82</v>
      </c>
      <c r="AB1127">
        <v>1</v>
      </c>
      <c r="AC1127" t="s">
        <v>113</v>
      </c>
      <c r="AD1127" t="s">
        <v>140</v>
      </c>
      <c r="AE1127" t="s">
        <v>46</v>
      </c>
      <c r="AF1127" t="s">
        <v>119</v>
      </c>
      <c r="AG1127" t="str">
        <f t="shared" si="18"/>
        <v>À Vista</v>
      </c>
      <c r="AH1127" t="str">
        <f>IF(AND(SUMIF(E:E,E1127,I:I)&gt;=400000,Q1127="B2G"),"n","")</f>
        <v/>
      </c>
    </row>
    <row r="1128" spans="1:34">
      <c r="A1128">
        <v>2026</v>
      </c>
      <c r="B1128">
        <v>2</v>
      </c>
      <c r="C1128" s="83">
        <v>19435374509</v>
      </c>
      <c r="D1128" t="s">
        <v>1143</v>
      </c>
      <c r="E1128">
        <v>54967729321</v>
      </c>
      <c r="F1128">
        <v>608539</v>
      </c>
      <c r="G1128">
        <v>50922503172</v>
      </c>
      <c r="H1128" t="s">
        <v>35</v>
      </c>
      <c r="I1128" s="36">
        <v>3999.96</v>
      </c>
      <c r="J1128" s="36">
        <v>3999.96</v>
      </c>
      <c r="K1128" s="85">
        <v>0</v>
      </c>
      <c r="L1128" s="36">
        <v>333.33</v>
      </c>
      <c r="M1128" s="36">
        <v>0</v>
      </c>
      <c r="N1128" s="36">
        <v>53.53</v>
      </c>
      <c r="O1128" s="36">
        <v>279.8</v>
      </c>
      <c r="P1128" t="s">
        <v>127</v>
      </c>
      <c r="Q1128" t="s">
        <v>111</v>
      </c>
      <c r="R1128" t="s">
        <v>111</v>
      </c>
      <c r="S1128" s="1">
        <v>46058</v>
      </c>
      <c r="T1128" s="1">
        <v>46054</v>
      </c>
      <c r="U1128" s="1">
        <v>46053</v>
      </c>
      <c r="V1128" s="1">
        <v>46423</v>
      </c>
      <c r="W1128" t="s">
        <v>38</v>
      </c>
      <c r="X1128">
        <v>13</v>
      </c>
      <c r="Y1128" t="s">
        <v>49</v>
      </c>
      <c r="Z1128" t="s">
        <v>81</v>
      </c>
      <c r="AA1128" t="s">
        <v>117</v>
      </c>
      <c r="AB1128">
        <v>1</v>
      </c>
      <c r="AC1128" t="s">
        <v>113</v>
      </c>
      <c r="AD1128" t="s">
        <v>138</v>
      </c>
      <c r="AE1128" t="s">
        <v>135</v>
      </c>
      <c r="AF1128" t="s">
        <v>119</v>
      </c>
      <c r="AG1128" t="str">
        <f t="shared" si="18"/>
        <v>À Vista</v>
      </c>
      <c r="AH1128" t="str">
        <f>IF(AND(SUMIF(E:E,E1128,I:I)&gt;=400000,Q1128="B2G"),"n","")</f>
        <v/>
      </c>
    </row>
    <row r="1129" spans="1:34">
      <c r="A1129">
        <v>2026</v>
      </c>
      <c r="B1129">
        <v>2</v>
      </c>
      <c r="C1129" s="83">
        <v>19435374615</v>
      </c>
      <c r="D1129" t="s">
        <v>1144</v>
      </c>
      <c r="E1129">
        <v>56168117043</v>
      </c>
      <c r="F1129">
        <v>627021</v>
      </c>
      <c r="G1129">
        <v>51468099953</v>
      </c>
      <c r="H1129" t="s">
        <v>35</v>
      </c>
      <c r="I1129" s="36">
        <v>4074</v>
      </c>
      <c r="J1129" s="36">
        <v>4074</v>
      </c>
      <c r="K1129" s="85">
        <v>0</v>
      </c>
      <c r="L1129" s="36">
        <v>339.5</v>
      </c>
      <c r="M1129" s="36">
        <v>0</v>
      </c>
      <c r="N1129" s="36">
        <v>0</v>
      </c>
      <c r="O1129" s="36">
        <v>339.5</v>
      </c>
      <c r="P1129" t="s">
        <v>165</v>
      </c>
      <c r="Q1129" t="s">
        <v>166</v>
      </c>
      <c r="R1129" t="s">
        <v>166</v>
      </c>
      <c r="S1129" s="1">
        <v>46077</v>
      </c>
      <c r="T1129" s="1">
        <v>46077</v>
      </c>
      <c r="U1129" s="1">
        <v>46080</v>
      </c>
      <c r="V1129" s="1">
        <v>46445</v>
      </c>
      <c r="W1129" t="s">
        <v>38</v>
      </c>
      <c r="X1129">
        <v>12</v>
      </c>
      <c r="Y1129" t="s">
        <v>49</v>
      </c>
      <c r="Z1129" t="s">
        <v>81</v>
      </c>
      <c r="AA1129" t="s">
        <v>112</v>
      </c>
      <c r="AB1129">
        <v>12</v>
      </c>
      <c r="AC1129" t="s">
        <v>166</v>
      </c>
      <c r="AD1129" t="s">
        <v>160</v>
      </c>
      <c r="AE1129" t="s">
        <v>43</v>
      </c>
      <c r="AF1129" t="s">
        <v>44</v>
      </c>
      <c r="AG1129" t="str">
        <f t="shared" si="18"/>
        <v>CC 12x</v>
      </c>
      <c r="AH1129" t="str">
        <f>IF(AND(SUMIF(E:E,E1129,I:I)&gt;=400000,Q1129="B2G"),"n","")</f>
        <v/>
      </c>
    </row>
    <row r="1130" spans="1:34">
      <c r="A1130">
        <v>2026</v>
      </c>
      <c r="B1130">
        <v>2</v>
      </c>
      <c r="C1130" s="83">
        <v>19435381284</v>
      </c>
      <c r="D1130" t="s">
        <v>1145</v>
      </c>
      <c r="E1130">
        <v>56849252138</v>
      </c>
      <c r="F1130">
        <v>527477</v>
      </c>
      <c r="G1130">
        <v>52162712340</v>
      </c>
      <c r="H1130" t="s">
        <v>35</v>
      </c>
      <c r="I1130" s="36">
        <v>3666.6</v>
      </c>
      <c r="J1130" s="36">
        <v>3666.6</v>
      </c>
      <c r="K1130" s="85">
        <v>0</v>
      </c>
      <c r="L1130" s="36">
        <v>305.55</v>
      </c>
      <c r="M1130" s="36">
        <v>0</v>
      </c>
      <c r="N1130" s="36">
        <v>12</v>
      </c>
      <c r="O1130" s="36">
        <v>293.55</v>
      </c>
      <c r="P1130" t="s">
        <v>121</v>
      </c>
      <c r="Q1130" t="s">
        <v>111</v>
      </c>
      <c r="R1130" t="s">
        <v>111</v>
      </c>
      <c r="S1130" s="1">
        <v>46077</v>
      </c>
      <c r="T1130" s="1">
        <v>46077</v>
      </c>
      <c r="U1130" s="1">
        <v>46075</v>
      </c>
      <c r="V1130" s="1">
        <v>46440</v>
      </c>
      <c r="W1130" t="s">
        <v>38</v>
      </c>
      <c r="X1130">
        <v>12</v>
      </c>
      <c r="Y1130" t="s">
        <v>49</v>
      </c>
      <c r="Z1130" t="s">
        <v>81</v>
      </c>
      <c r="AA1130" t="s">
        <v>122</v>
      </c>
      <c r="AB1130">
        <v>12</v>
      </c>
      <c r="AC1130" t="s">
        <v>113</v>
      </c>
      <c r="AD1130" t="s">
        <v>114</v>
      </c>
      <c r="AE1130" t="s">
        <v>43</v>
      </c>
      <c r="AF1130" t="s">
        <v>44</v>
      </c>
      <c r="AG1130" t="str">
        <f t="shared" si="18"/>
        <v>Recorrente</v>
      </c>
      <c r="AH1130" t="str">
        <f>IF(AND(SUMIF(E:E,E1130,I:I)&gt;=400000,Q1130="B2G"),"n","")</f>
        <v/>
      </c>
    </row>
    <row r="1131" spans="1:34">
      <c r="A1131">
        <v>2026</v>
      </c>
      <c r="B1131">
        <v>2</v>
      </c>
      <c r="C1131" s="83">
        <v>19435393688</v>
      </c>
      <c r="D1131" t="s">
        <v>1146</v>
      </c>
      <c r="E1131">
        <v>48147779453</v>
      </c>
      <c r="F1131">
        <v>635954</v>
      </c>
      <c r="G1131">
        <v>50922609549</v>
      </c>
      <c r="H1131" t="s">
        <v>35</v>
      </c>
      <c r="I1131" s="36">
        <v>10872</v>
      </c>
      <c r="J1131" s="36">
        <v>5436</v>
      </c>
      <c r="K1131" s="85">
        <v>5436</v>
      </c>
      <c r="L1131" s="36">
        <v>453</v>
      </c>
      <c r="M1131" s="36">
        <v>453</v>
      </c>
      <c r="N1131" s="36">
        <v>0</v>
      </c>
      <c r="O1131" s="36">
        <v>0</v>
      </c>
      <c r="P1131" t="s">
        <v>36</v>
      </c>
      <c r="Q1131" t="s">
        <v>37</v>
      </c>
      <c r="R1131" t="s">
        <v>37</v>
      </c>
      <c r="S1131" s="1">
        <v>46058</v>
      </c>
      <c r="T1131" s="1">
        <v>46058</v>
      </c>
      <c r="U1131" s="1"/>
      <c r="V1131" s="1">
        <v>46789</v>
      </c>
      <c r="W1131" t="s">
        <v>56</v>
      </c>
      <c r="X1131">
        <v>24</v>
      </c>
      <c r="Y1131" t="s">
        <v>49</v>
      </c>
      <c r="AA1131" t="s">
        <v>40</v>
      </c>
      <c r="AB1131">
        <v>1</v>
      </c>
      <c r="AC1131" t="s">
        <v>41</v>
      </c>
      <c r="AD1131" t="s">
        <v>54</v>
      </c>
      <c r="AE1131" t="s">
        <v>46</v>
      </c>
      <c r="AF1131" t="s">
        <v>44</v>
      </c>
      <c r="AG1131" t="str">
        <f t="shared" si="18"/>
        <v>À Vista</v>
      </c>
      <c r="AH1131" t="str">
        <f>IF(AND(SUMIF(E:E,E1131,I:I)&gt;=400000,Q1131="B2G"),"n","")</f>
        <v/>
      </c>
    </row>
    <row r="1132" spans="1:34">
      <c r="A1132">
        <v>2026</v>
      </c>
      <c r="B1132">
        <v>2</v>
      </c>
      <c r="C1132" s="83">
        <v>19435393688</v>
      </c>
      <c r="D1132" t="s">
        <v>1146</v>
      </c>
      <c r="E1132">
        <v>48147779453</v>
      </c>
      <c r="F1132">
        <v>635954</v>
      </c>
      <c r="G1132">
        <v>50922609550</v>
      </c>
      <c r="H1132" t="s">
        <v>35</v>
      </c>
      <c r="I1132" s="36">
        <v>9288</v>
      </c>
      <c r="J1132" s="36">
        <v>4644</v>
      </c>
      <c r="K1132" s="85">
        <v>4644</v>
      </c>
      <c r="L1132" s="36">
        <v>387</v>
      </c>
      <c r="M1132" s="36">
        <v>387</v>
      </c>
      <c r="N1132" s="36">
        <v>0</v>
      </c>
      <c r="O1132" s="36">
        <v>0</v>
      </c>
      <c r="P1132" t="s">
        <v>36</v>
      </c>
      <c r="Q1132" t="s">
        <v>37</v>
      </c>
      <c r="R1132" t="s">
        <v>37</v>
      </c>
      <c r="S1132" s="1">
        <v>46058</v>
      </c>
      <c r="T1132" s="1">
        <v>46058</v>
      </c>
      <c r="U1132" s="1"/>
      <c r="V1132" s="1">
        <v>46789</v>
      </c>
      <c r="W1132" t="s">
        <v>56</v>
      </c>
      <c r="X1132">
        <v>24</v>
      </c>
      <c r="Y1132" t="s">
        <v>49</v>
      </c>
      <c r="AA1132" t="s">
        <v>40</v>
      </c>
      <c r="AB1132">
        <v>1</v>
      </c>
      <c r="AC1132" t="s">
        <v>41</v>
      </c>
      <c r="AD1132" t="s">
        <v>53</v>
      </c>
      <c r="AE1132" t="s">
        <v>43</v>
      </c>
      <c r="AF1132" t="s">
        <v>44</v>
      </c>
      <c r="AG1132" t="str">
        <f t="shared" ref="AG1132:AG1195" si="19">IF(IFERROR(SEARCH("Recorrente",AA1132),0)&gt;0,"Recorrente",IF(AB1132=1,"À Vista",IF(AB1132&lt;=3,"CC 3x",IF(AB1132&lt;=12,"CC 12x",IF(AB1132&gt;12,"Recorrente","")))))</f>
        <v>À Vista</v>
      </c>
      <c r="AH1132" t="str">
        <f>IF(AND(SUMIF(E:E,E1132,I:I)&gt;=400000,Q1132="B2G"),"n","")</f>
        <v/>
      </c>
    </row>
    <row r="1133" spans="1:34">
      <c r="A1133">
        <v>2026</v>
      </c>
      <c r="B1133">
        <v>2</v>
      </c>
      <c r="C1133" s="83">
        <v>19435393796</v>
      </c>
      <c r="D1133" t="s">
        <v>1147</v>
      </c>
      <c r="E1133">
        <v>56758552119</v>
      </c>
      <c r="F1133">
        <v>609577</v>
      </c>
      <c r="G1133">
        <v>52251231621</v>
      </c>
      <c r="H1133" t="s">
        <v>35</v>
      </c>
      <c r="I1133" s="36">
        <v>4142.88</v>
      </c>
      <c r="J1133" s="36">
        <v>4142.88</v>
      </c>
      <c r="K1133" s="85">
        <v>0</v>
      </c>
      <c r="L1133" s="36">
        <v>345.24</v>
      </c>
      <c r="M1133" s="36">
        <v>0</v>
      </c>
      <c r="N1133" s="36">
        <v>3.57</v>
      </c>
      <c r="O1133" s="36">
        <v>341.67</v>
      </c>
      <c r="P1133" t="s">
        <v>133</v>
      </c>
      <c r="Q1133" t="s">
        <v>111</v>
      </c>
      <c r="R1133" t="s">
        <v>111</v>
      </c>
      <c r="S1133" s="1">
        <v>46079</v>
      </c>
      <c r="T1133" s="1">
        <v>46079</v>
      </c>
      <c r="U1133" s="1">
        <v>46074</v>
      </c>
      <c r="V1133" s="1">
        <v>46444</v>
      </c>
      <c r="W1133" t="s">
        <v>38</v>
      </c>
      <c r="X1133">
        <v>12</v>
      </c>
      <c r="Y1133" t="s">
        <v>49</v>
      </c>
      <c r="Z1133" t="s">
        <v>81</v>
      </c>
      <c r="AA1133" t="s">
        <v>112</v>
      </c>
      <c r="AB1133">
        <v>2</v>
      </c>
      <c r="AC1133" t="s">
        <v>113</v>
      </c>
      <c r="AD1133" t="s">
        <v>85</v>
      </c>
      <c r="AE1133" t="s">
        <v>46</v>
      </c>
      <c r="AF1133" t="s">
        <v>44</v>
      </c>
      <c r="AG1133" t="str">
        <f t="shared" si="19"/>
        <v>CC 3x</v>
      </c>
      <c r="AH1133" t="str">
        <f>IF(AND(SUMIF(E:E,E1133,I:I)&gt;=400000,Q1133="B2G"),"n","")</f>
        <v/>
      </c>
    </row>
    <row r="1134" spans="1:34">
      <c r="A1134">
        <v>2026</v>
      </c>
      <c r="B1134">
        <v>2</v>
      </c>
      <c r="C1134" s="83">
        <v>19435393923</v>
      </c>
      <c r="D1134" t="s">
        <v>1148</v>
      </c>
      <c r="E1134">
        <v>50235473020</v>
      </c>
      <c r="F1134">
        <v>327850</v>
      </c>
      <c r="G1134">
        <v>46407569794</v>
      </c>
      <c r="H1134" t="s">
        <v>35</v>
      </c>
      <c r="I1134" s="36">
        <v>6579.6</v>
      </c>
      <c r="J1134" s="36">
        <v>3289.8</v>
      </c>
      <c r="K1134" s="85">
        <v>3289.8</v>
      </c>
      <c r="L1134" s="36">
        <v>274.14999999999998</v>
      </c>
      <c r="M1134" s="36">
        <v>0</v>
      </c>
      <c r="N1134" s="36">
        <v>67.145416699999998</v>
      </c>
      <c r="O1134" s="36">
        <v>207.00458330000001</v>
      </c>
      <c r="P1134" t="s">
        <v>127</v>
      </c>
      <c r="Q1134" t="s">
        <v>111</v>
      </c>
      <c r="R1134" t="s">
        <v>111</v>
      </c>
      <c r="S1134" s="1">
        <v>45999</v>
      </c>
      <c r="T1134" s="1">
        <v>46054</v>
      </c>
      <c r="U1134" s="1">
        <v>46024</v>
      </c>
      <c r="V1134" s="1">
        <v>46754</v>
      </c>
      <c r="W1134" t="s">
        <v>56</v>
      </c>
      <c r="X1134">
        <v>24</v>
      </c>
      <c r="Y1134" t="s">
        <v>49</v>
      </c>
      <c r="Z1134" t="s">
        <v>81</v>
      </c>
      <c r="AA1134" t="s">
        <v>122</v>
      </c>
      <c r="AB1134">
        <v>24</v>
      </c>
      <c r="AC1134" t="s">
        <v>113</v>
      </c>
      <c r="AD1134" t="s">
        <v>160</v>
      </c>
      <c r="AE1134" t="s">
        <v>43</v>
      </c>
      <c r="AF1134" t="s">
        <v>44</v>
      </c>
      <c r="AG1134" t="str">
        <f t="shared" si="19"/>
        <v>Recorrente</v>
      </c>
      <c r="AH1134" t="str">
        <f>IF(AND(SUMIF(E:E,E1134,I:I)&gt;=400000,Q1134="B2G"),"n","")</f>
        <v/>
      </c>
    </row>
    <row r="1135" spans="1:34">
      <c r="A1135">
        <v>2026</v>
      </c>
      <c r="B1135">
        <v>2</v>
      </c>
      <c r="C1135" s="83">
        <v>19435398070</v>
      </c>
      <c r="D1135" t="s">
        <v>1149</v>
      </c>
      <c r="E1135">
        <v>55138456869</v>
      </c>
      <c r="F1135">
        <v>635863</v>
      </c>
      <c r="G1135">
        <v>50518345800</v>
      </c>
      <c r="H1135" t="s">
        <v>35</v>
      </c>
      <c r="I1135" s="36">
        <v>6507.6</v>
      </c>
      <c r="J1135" s="36">
        <v>1820.2851700000001</v>
      </c>
      <c r="K1135" s="85">
        <v>4687.3148300000003</v>
      </c>
      <c r="L1135" s="36">
        <v>151.6904309</v>
      </c>
      <c r="M1135" s="36">
        <v>0</v>
      </c>
      <c r="N1135" s="36">
        <v>104.82567280000001</v>
      </c>
      <c r="O1135" s="36">
        <v>46.864758039999998</v>
      </c>
      <c r="P1135" t="s">
        <v>367</v>
      </c>
      <c r="Q1135" t="s">
        <v>191</v>
      </c>
      <c r="R1135" t="s">
        <v>191</v>
      </c>
      <c r="S1135" s="1">
        <v>46055</v>
      </c>
      <c r="T1135" s="1">
        <v>46055</v>
      </c>
      <c r="U1135" s="1"/>
      <c r="V1135" s="1">
        <v>46785</v>
      </c>
      <c r="W1135" t="s">
        <v>56</v>
      </c>
      <c r="Y1135" t="s">
        <v>49</v>
      </c>
      <c r="AA1135" t="s">
        <v>122</v>
      </c>
      <c r="AB1135">
        <v>24</v>
      </c>
      <c r="AC1135" t="s">
        <v>192</v>
      </c>
      <c r="AD1135" t="s">
        <v>149</v>
      </c>
      <c r="AE1135" t="s">
        <v>43</v>
      </c>
      <c r="AF1135" t="s">
        <v>96</v>
      </c>
      <c r="AG1135" t="str">
        <f t="shared" si="19"/>
        <v>Recorrente</v>
      </c>
      <c r="AH1135" t="str">
        <f>IF(AND(SUMIF(E:E,E1135,I:I)&gt;=400000,Q1135="B2G"),"n","")</f>
        <v/>
      </c>
    </row>
    <row r="1136" spans="1:34">
      <c r="A1136">
        <v>2026</v>
      </c>
      <c r="B1136">
        <v>2</v>
      </c>
      <c r="C1136" s="83">
        <v>19435398070</v>
      </c>
      <c r="D1136" t="s">
        <v>1149</v>
      </c>
      <c r="E1136">
        <v>55138456869</v>
      </c>
      <c r="F1136">
        <v>635863</v>
      </c>
      <c r="G1136">
        <v>50518345801</v>
      </c>
      <c r="H1136" t="s">
        <v>35</v>
      </c>
      <c r="I1136" s="36">
        <v>9996.24</v>
      </c>
      <c r="J1136" s="36">
        <v>2796.1085170000001</v>
      </c>
      <c r="K1136" s="85">
        <v>7200.1314830000001</v>
      </c>
      <c r="L1136" s="36">
        <v>233.00904310000001</v>
      </c>
      <c r="M1136" s="36">
        <v>0</v>
      </c>
      <c r="N1136" s="36">
        <v>161.02090010000001</v>
      </c>
      <c r="O1136" s="36">
        <v>71.988142980000006</v>
      </c>
      <c r="P1136" t="s">
        <v>367</v>
      </c>
      <c r="Q1136" t="s">
        <v>191</v>
      </c>
      <c r="R1136" t="s">
        <v>191</v>
      </c>
      <c r="S1136" s="1">
        <v>46055</v>
      </c>
      <c r="T1136" s="1">
        <v>46055</v>
      </c>
      <c r="U1136" s="1"/>
      <c r="V1136" s="1">
        <v>46785</v>
      </c>
      <c r="W1136" t="s">
        <v>56</v>
      </c>
      <c r="Y1136" t="s">
        <v>49</v>
      </c>
      <c r="AA1136" t="s">
        <v>122</v>
      </c>
      <c r="AB1136">
        <v>24</v>
      </c>
      <c r="AC1136" t="s">
        <v>192</v>
      </c>
      <c r="AD1136" t="s">
        <v>125</v>
      </c>
      <c r="AE1136" t="s">
        <v>43</v>
      </c>
      <c r="AF1136" t="s">
        <v>47</v>
      </c>
      <c r="AG1136" t="str">
        <f t="shared" si="19"/>
        <v>Recorrente</v>
      </c>
      <c r="AH1136" t="str">
        <f>IF(AND(SUMIF(E:E,E1136,I:I)&gt;=400000,Q1136="B2G"),"n","")</f>
        <v/>
      </c>
    </row>
    <row r="1137" spans="1:34">
      <c r="A1137">
        <v>2026</v>
      </c>
      <c r="B1137">
        <v>2</v>
      </c>
      <c r="C1137" s="83">
        <v>19435398070</v>
      </c>
      <c r="D1137" t="s">
        <v>1149</v>
      </c>
      <c r="E1137">
        <v>55138456869</v>
      </c>
      <c r="F1137">
        <v>635863</v>
      </c>
      <c r="G1137">
        <v>50518345802</v>
      </c>
      <c r="H1137" t="s">
        <v>35</v>
      </c>
      <c r="I1137" s="36">
        <v>16578.72</v>
      </c>
      <c r="J1137" s="36">
        <v>4637.2916279999999</v>
      </c>
      <c r="K1137" s="85">
        <v>11941.42837</v>
      </c>
      <c r="L1137" s="36">
        <v>386.440969</v>
      </c>
      <c r="M1137" s="36">
        <v>0</v>
      </c>
      <c r="N1137" s="36">
        <v>267.05003310000001</v>
      </c>
      <c r="O1137" s="36">
        <v>119.3909359</v>
      </c>
      <c r="P1137" t="s">
        <v>367</v>
      </c>
      <c r="Q1137" t="s">
        <v>191</v>
      </c>
      <c r="R1137" t="s">
        <v>191</v>
      </c>
      <c r="S1137" s="1">
        <v>46055</v>
      </c>
      <c r="T1137" s="1">
        <v>46055</v>
      </c>
      <c r="V1137" s="1">
        <v>46785</v>
      </c>
      <c r="W1137" t="s">
        <v>56</v>
      </c>
      <c r="Y1137" t="s">
        <v>49</v>
      </c>
      <c r="AA1137" t="s">
        <v>122</v>
      </c>
      <c r="AB1137">
        <v>24</v>
      </c>
      <c r="AC1137" t="s">
        <v>192</v>
      </c>
      <c r="AD1137" t="s">
        <v>131</v>
      </c>
      <c r="AE1137" t="s">
        <v>46</v>
      </c>
      <c r="AF1137" t="s">
        <v>96</v>
      </c>
      <c r="AG1137" t="str">
        <f t="shared" si="19"/>
        <v>Recorrente</v>
      </c>
      <c r="AH1137" t="str">
        <f>IF(AND(SUMIF(E:E,E1137,I:I)&gt;=400000,Q1137="B2G"),"n","")</f>
        <v/>
      </c>
    </row>
    <row r="1138" spans="1:34">
      <c r="A1138">
        <v>2026</v>
      </c>
      <c r="B1138">
        <v>2</v>
      </c>
      <c r="C1138" s="83">
        <v>19435398070</v>
      </c>
      <c r="D1138" t="s">
        <v>1149</v>
      </c>
      <c r="E1138">
        <v>55138456869</v>
      </c>
      <c r="F1138">
        <v>635863</v>
      </c>
      <c r="G1138">
        <v>50518345803</v>
      </c>
      <c r="H1138" t="s">
        <v>35</v>
      </c>
      <c r="I1138" s="36">
        <v>13899.36</v>
      </c>
      <c r="J1138" s="36">
        <v>3887.858784</v>
      </c>
      <c r="K1138" s="85">
        <v>10011.50122</v>
      </c>
      <c r="L1138" s="36">
        <v>323.98823199999998</v>
      </c>
      <c r="M1138" s="36">
        <v>0</v>
      </c>
      <c r="N1138" s="36">
        <v>223.89206899999999</v>
      </c>
      <c r="O1138" s="36">
        <v>100.0961631</v>
      </c>
      <c r="P1138" t="s">
        <v>367</v>
      </c>
      <c r="Q1138" t="s">
        <v>191</v>
      </c>
      <c r="R1138" t="s">
        <v>191</v>
      </c>
      <c r="S1138" s="1">
        <v>46055</v>
      </c>
      <c r="T1138" s="1">
        <v>46055</v>
      </c>
      <c r="V1138" s="1">
        <v>46785</v>
      </c>
      <c r="W1138" t="s">
        <v>56</v>
      </c>
      <c r="Y1138" t="s">
        <v>49</v>
      </c>
      <c r="AA1138" t="s">
        <v>122</v>
      </c>
      <c r="AB1138">
        <v>24</v>
      </c>
      <c r="AC1138" t="s">
        <v>192</v>
      </c>
      <c r="AD1138" t="s">
        <v>125</v>
      </c>
      <c r="AE1138" t="s">
        <v>43</v>
      </c>
      <c r="AF1138" t="s">
        <v>47</v>
      </c>
      <c r="AG1138" t="str">
        <f t="shared" si="19"/>
        <v>Recorrente</v>
      </c>
      <c r="AH1138" t="str">
        <f>IF(AND(SUMIF(E:E,E1138,I:I)&gt;=400000,Q1138="B2G"),"n","")</f>
        <v/>
      </c>
    </row>
    <row r="1139" spans="1:34">
      <c r="A1139">
        <v>2026</v>
      </c>
      <c r="B1139">
        <v>2</v>
      </c>
      <c r="C1139" s="83">
        <v>19435398246</v>
      </c>
      <c r="D1139" t="s">
        <v>1150</v>
      </c>
      <c r="E1139">
        <v>53436914953</v>
      </c>
      <c r="F1139">
        <v>523293</v>
      </c>
      <c r="G1139">
        <v>48518574880</v>
      </c>
      <c r="H1139" t="s">
        <v>35</v>
      </c>
      <c r="I1139" s="36">
        <v>4074</v>
      </c>
      <c r="J1139" s="36">
        <v>4074</v>
      </c>
      <c r="K1139" s="85">
        <v>0</v>
      </c>
      <c r="L1139" s="36">
        <v>339.5</v>
      </c>
      <c r="M1139" s="36">
        <v>0</v>
      </c>
      <c r="N1139" s="36">
        <v>30.5</v>
      </c>
      <c r="O1139" s="36">
        <v>309</v>
      </c>
      <c r="P1139" t="s">
        <v>165</v>
      </c>
      <c r="Q1139" t="s">
        <v>166</v>
      </c>
      <c r="R1139" t="s">
        <v>166</v>
      </c>
      <c r="S1139" s="1">
        <v>46075</v>
      </c>
      <c r="T1139" s="1">
        <v>46075</v>
      </c>
      <c r="U1139" s="1">
        <v>46075</v>
      </c>
      <c r="V1139" s="1">
        <v>46440</v>
      </c>
      <c r="W1139" t="s">
        <v>38</v>
      </c>
      <c r="X1139">
        <v>12</v>
      </c>
      <c r="Y1139" t="s">
        <v>49</v>
      </c>
      <c r="Z1139" t="s">
        <v>81</v>
      </c>
      <c r="AA1139" t="s">
        <v>112</v>
      </c>
      <c r="AB1139">
        <v>4</v>
      </c>
      <c r="AC1139" t="s">
        <v>166</v>
      </c>
      <c r="AD1139" t="s">
        <v>160</v>
      </c>
      <c r="AE1139" t="s">
        <v>43</v>
      </c>
      <c r="AF1139" t="s">
        <v>44</v>
      </c>
      <c r="AG1139" t="str">
        <f t="shared" si="19"/>
        <v>CC 12x</v>
      </c>
      <c r="AH1139" t="str">
        <f>IF(AND(SUMIF(E:E,E1139,I:I)&gt;=400000,Q1139="B2G"),"n","")</f>
        <v/>
      </c>
    </row>
    <row r="1140" spans="1:34">
      <c r="A1140">
        <v>2026</v>
      </c>
      <c r="B1140">
        <v>2</v>
      </c>
      <c r="C1140" s="83">
        <v>19435408390</v>
      </c>
      <c r="D1140" t="s">
        <v>1151</v>
      </c>
      <c r="E1140">
        <v>54415459755</v>
      </c>
      <c r="F1140">
        <v>625862</v>
      </c>
      <c r="G1140">
        <v>51418718475</v>
      </c>
      <c r="H1140" t="s">
        <v>35</v>
      </c>
      <c r="I1140" s="36">
        <v>4051.4</v>
      </c>
      <c r="J1140" s="36">
        <v>4051.4</v>
      </c>
      <c r="K1140" s="85">
        <v>0</v>
      </c>
      <c r="L1140" s="36">
        <v>337.6166667</v>
      </c>
      <c r="M1140" s="36">
        <v>0</v>
      </c>
      <c r="N1140" s="36">
        <v>0</v>
      </c>
      <c r="O1140" s="36">
        <v>337.6166667</v>
      </c>
      <c r="P1140" t="s">
        <v>133</v>
      </c>
      <c r="Q1140" t="s">
        <v>111</v>
      </c>
      <c r="R1140" t="s">
        <v>111</v>
      </c>
      <c r="S1140" s="1">
        <v>46067</v>
      </c>
      <c r="T1140" s="1">
        <v>46054</v>
      </c>
      <c r="U1140" s="1">
        <v>46046</v>
      </c>
      <c r="V1140" s="1">
        <v>46442</v>
      </c>
      <c r="W1140" t="s">
        <v>38</v>
      </c>
      <c r="X1140">
        <v>13</v>
      </c>
      <c r="Y1140" t="s">
        <v>49</v>
      </c>
      <c r="Z1140" t="s">
        <v>76</v>
      </c>
      <c r="AA1140" t="s">
        <v>92</v>
      </c>
      <c r="AB1140">
        <v>12</v>
      </c>
      <c r="AC1140" t="s">
        <v>113</v>
      </c>
      <c r="AD1140" t="s">
        <v>84</v>
      </c>
      <c r="AE1140" t="s">
        <v>43</v>
      </c>
      <c r="AF1140" t="s">
        <v>44</v>
      </c>
      <c r="AG1140" t="str">
        <f t="shared" si="19"/>
        <v>Recorrente</v>
      </c>
      <c r="AH1140" t="str">
        <f>IF(AND(SUMIF(E:E,E1140,I:I)&gt;=400000,Q1140="B2G"),"n","")</f>
        <v/>
      </c>
    </row>
    <row r="1141" spans="1:34">
      <c r="A1141">
        <v>2026</v>
      </c>
      <c r="B1141">
        <v>2</v>
      </c>
      <c r="C1141" s="83">
        <v>19435408390</v>
      </c>
      <c r="D1141" t="s">
        <v>1151</v>
      </c>
      <c r="E1141">
        <v>54415459755</v>
      </c>
      <c r="F1141">
        <v>625862</v>
      </c>
      <c r="G1141">
        <v>51418718476</v>
      </c>
      <c r="H1141" t="s">
        <v>35</v>
      </c>
      <c r="I1141" s="36">
        <v>4051.4</v>
      </c>
      <c r="J1141" s="36">
        <v>4051.4</v>
      </c>
      <c r="K1141" s="85">
        <v>0</v>
      </c>
      <c r="L1141" s="36">
        <v>337.6166667</v>
      </c>
      <c r="M1141" s="36">
        <v>0</v>
      </c>
      <c r="N1141" s="36">
        <v>0</v>
      </c>
      <c r="O1141" s="36">
        <v>337.6166667</v>
      </c>
      <c r="P1141" t="s">
        <v>133</v>
      </c>
      <c r="Q1141" t="s">
        <v>111</v>
      </c>
      <c r="R1141" t="s">
        <v>111</v>
      </c>
      <c r="S1141" s="1">
        <v>46067</v>
      </c>
      <c r="T1141" s="1">
        <v>46054</v>
      </c>
      <c r="U1141" s="1">
        <v>46046</v>
      </c>
      <c r="V1141" s="1">
        <v>46442</v>
      </c>
      <c r="W1141" t="s">
        <v>38</v>
      </c>
      <c r="X1141">
        <v>13</v>
      </c>
      <c r="Y1141" t="s">
        <v>49</v>
      </c>
      <c r="Z1141" t="s">
        <v>76</v>
      </c>
      <c r="AA1141" t="s">
        <v>92</v>
      </c>
      <c r="AB1141">
        <v>12</v>
      </c>
      <c r="AC1141" t="s">
        <v>113</v>
      </c>
      <c r="AD1141" t="s">
        <v>84</v>
      </c>
      <c r="AE1141" t="s">
        <v>43</v>
      </c>
      <c r="AF1141" t="s">
        <v>44</v>
      </c>
      <c r="AG1141" t="str">
        <f t="shared" si="19"/>
        <v>Recorrente</v>
      </c>
      <c r="AH1141" t="str">
        <f>IF(AND(SUMIF(E:E,E1141,I:I)&gt;=400000,Q1141="B2G"),"n","")</f>
        <v/>
      </c>
    </row>
    <row r="1142" spans="1:34">
      <c r="A1142">
        <v>2026</v>
      </c>
      <c r="B1142">
        <v>2</v>
      </c>
      <c r="C1142" s="83">
        <v>19435408390</v>
      </c>
      <c r="D1142" t="s">
        <v>1151</v>
      </c>
      <c r="E1142">
        <v>54415459755</v>
      </c>
      <c r="F1142">
        <v>625862</v>
      </c>
      <c r="G1142">
        <v>51418718477</v>
      </c>
      <c r="H1142" t="s">
        <v>35</v>
      </c>
      <c r="I1142" s="36">
        <v>4051.4</v>
      </c>
      <c r="J1142" s="36">
        <v>4051.4</v>
      </c>
      <c r="K1142" s="85">
        <v>0</v>
      </c>
      <c r="L1142" s="36">
        <v>337.6166667</v>
      </c>
      <c r="M1142" s="36">
        <v>0</v>
      </c>
      <c r="N1142" s="36">
        <v>0</v>
      </c>
      <c r="O1142" s="36">
        <v>337.6166667</v>
      </c>
      <c r="P1142" t="s">
        <v>133</v>
      </c>
      <c r="Q1142" t="s">
        <v>111</v>
      </c>
      <c r="R1142" t="s">
        <v>111</v>
      </c>
      <c r="S1142" s="1">
        <v>46067</v>
      </c>
      <c r="T1142" s="1">
        <v>46054</v>
      </c>
      <c r="U1142" s="1">
        <v>46046</v>
      </c>
      <c r="V1142" s="1">
        <v>46442</v>
      </c>
      <c r="W1142" t="s">
        <v>38</v>
      </c>
      <c r="X1142">
        <v>13</v>
      </c>
      <c r="Y1142" t="s">
        <v>49</v>
      </c>
      <c r="Z1142" t="s">
        <v>76</v>
      </c>
      <c r="AA1142" t="s">
        <v>92</v>
      </c>
      <c r="AB1142">
        <v>12</v>
      </c>
      <c r="AC1142" t="s">
        <v>113</v>
      </c>
      <c r="AD1142" t="s">
        <v>85</v>
      </c>
      <c r="AE1142" t="s">
        <v>46</v>
      </c>
      <c r="AF1142" t="s">
        <v>44</v>
      </c>
      <c r="AG1142" t="str">
        <f t="shared" si="19"/>
        <v>Recorrente</v>
      </c>
      <c r="AH1142" t="str">
        <f>IF(AND(SUMIF(E:E,E1142,I:I)&gt;=400000,Q1142="B2G"),"n","")</f>
        <v/>
      </c>
    </row>
    <row r="1143" spans="1:34">
      <c r="A1143">
        <v>2026</v>
      </c>
      <c r="B1143">
        <v>2</v>
      </c>
      <c r="C1143" s="83">
        <v>19435418196</v>
      </c>
      <c r="D1143" t="s">
        <v>1152</v>
      </c>
      <c r="E1143">
        <v>55843176760</v>
      </c>
      <c r="F1143">
        <v>528262</v>
      </c>
      <c r="G1143">
        <v>51418777104</v>
      </c>
      <c r="H1143" t="s">
        <v>35</v>
      </c>
      <c r="I1143" s="36">
        <v>6260.76</v>
      </c>
      <c r="J1143" s="36">
        <v>6260.76</v>
      </c>
      <c r="K1143" s="85">
        <v>0</v>
      </c>
      <c r="L1143" s="36">
        <v>521.73</v>
      </c>
      <c r="M1143" s="36">
        <v>0</v>
      </c>
      <c r="N1143" s="36">
        <v>264.08714500000002</v>
      </c>
      <c r="O1143" s="36">
        <v>257.64</v>
      </c>
      <c r="P1143" t="s">
        <v>116</v>
      </c>
      <c r="Q1143" t="s">
        <v>111</v>
      </c>
      <c r="R1143" t="s">
        <v>111</v>
      </c>
      <c r="S1143" s="1">
        <v>46064</v>
      </c>
      <c r="T1143" s="1">
        <v>46064</v>
      </c>
      <c r="U1143" s="1">
        <v>46077</v>
      </c>
      <c r="V1143" s="1">
        <v>46442</v>
      </c>
      <c r="W1143" t="s">
        <v>38</v>
      </c>
      <c r="X1143">
        <v>12</v>
      </c>
      <c r="Y1143" t="s">
        <v>49</v>
      </c>
      <c r="Z1143" t="s">
        <v>76</v>
      </c>
      <c r="AA1143" t="s">
        <v>117</v>
      </c>
      <c r="AB1143">
        <v>1</v>
      </c>
      <c r="AC1143" t="s">
        <v>113</v>
      </c>
      <c r="AD1143" t="s">
        <v>134</v>
      </c>
      <c r="AE1143" t="s">
        <v>135</v>
      </c>
      <c r="AF1143" t="s">
        <v>44</v>
      </c>
      <c r="AG1143" t="str">
        <f t="shared" si="19"/>
        <v>À Vista</v>
      </c>
      <c r="AH1143" t="str">
        <f>IF(AND(SUMIF(E:E,E1143,I:I)&gt;=400000,Q1143="B2G"),"n","")</f>
        <v/>
      </c>
    </row>
    <row r="1144" spans="1:34">
      <c r="A1144">
        <v>2026</v>
      </c>
      <c r="B1144">
        <v>2</v>
      </c>
      <c r="C1144" s="83">
        <v>19435438853</v>
      </c>
      <c r="D1144" t="s">
        <v>1153</v>
      </c>
      <c r="E1144">
        <v>55582323801</v>
      </c>
      <c r="F1144">
        <v>635940</v>
      </c>
      <c r="G1144">
        <v>50925716296</v>
      </c>
      <c r="H1144" t="s">
        <v>35</v>
      </c>
      <c r="I1144" s="36">
        <v>5514</v>
      </c>
      <c r="J1144" s="36">
        <v>5514</v>
      </c>
      <c r="K1144" s="85">
        <v>0</v>
      </c>
      <c r="L1144" s="36">
        <v>459.5</v>
      </c>
      <c r="M1144" s="36">
        <v>459.5</v>
      </c>
      <c r="N1144" s="36">
        <v>0</v>
      </c>
      <c r="O1144" s="36">
        <v>0</v>
      </c>
      <c r="P1144" t="s">
        <v>829</v>
      </c>
      <c r="Q1144" t="s">
        <v>300</v>
      </c>
      <c r="R1144" t="s">
        <v>300</v>
      </c>
      <c r="S1144" s="1">
        <v>46058</v>
      </c>
      <c r="T1144" s="1">
        <v>46058</v>
      </c>
      <c r="V1144" s="1">
        <v>46423</v>
      </c>
      <c r="W1144" t="s">
        <v>38</v>
      </c>
      <c r="X1144">
        <v>12</v>
      </c>
      <c r="Y1144" t="s">
        <v>49</v>
      </c>
      <c r="AA1144" t="s">
        <v>122</v>
      </c>
      <c r="AB1144">
        <v>12</v>
      </c>
      <c r="AC1144" t="s">
        <v>301</v>
      </c>
      <c r="AD1144" t="s">
        <v>138</v>
      </c>
      <c r="AE1144" t="s">
        <v>135</v>
      </c>
      <c r="AF1144" t="s">
        <v>119</v>
      </c>
      <c r="AG1144" t="str">
        <f t="shared" si="19"/>
        <v>Recorrente</v>
      </c>
      <c r="AH1144" t="str">
        <f>IF(AND(SUMIF(E:E,E1144,I:I)&gt;=400000,Q1144="B2G"),"n","")</f>
        <v/>
      </c>
    </row>
    <row r="1145" spans="1:34">
      <c r="A1145">
        <v>2026</v>
      </c>
      <c r="B1145">
        <v>2</v>
      </c>
      <c r="C1145" s="83">
        <v>19435447602</v>
      </c>
      <c r="D1145" t="s">
        <v>1154</v>
      </c>
      <c r="E1145">
        <v>49134583459</v>
      </c>
      <c r="F1145">
        <v>635996</v>
      </c>
      <c r="G1145">
        <v>51107524768</v>
      </c>
      <c r="H1145" t="s">
        <v>104</v>
      </c>
      <c r="I1145" s="36">
        <v>4312.8</v>
      </c>
      <c r="J1145" s="36">
        <v>4312.8</v>
      </c>
      <c r="K1145" s="85">
        <v>9.0949500000000005E-13</v>
      </c>
      <c r="L1145" s="36">
        <v>359.4</v>
      </c>
      <c r="M1145" s="36">
        <v>359.4</v>
      </c>
      <c r="N1145" s="36">
        <v>0</v>
      </c>
      <c r="O1145" s="36">
        <v>0</v>
      </c>
      <c r="P1145" t="s">
        <v>66</v>
      </c>
      <c r="Q1145" t="s">
        <v>37</v>
      </c>
      <c r="R1145" t="s">
        <v>37</v>
      </c>
      <c r="S1145" s="1">
        <v>46062</v>
      </c>
      <c r="T1145" s="1">
        <v>46062</v>
      </c>
      <c r="U1145" s="1"/>
      <c r="V1145" s="1">
        <v>46427</v>
      </c>
      <c r="W1145" t="s">
        <v>38</v>
      </c>
      <c r="X1145">
        <v>12</v>
      </c>
      <c r="Y1145" t="s">
        <v>104</v>
      </c>
      <c r="AA1145" t="s">
        <v>40</v>
      </c>
      <c r="AB1145">
        <v>1</v>
      </c>
      <c r="AC1145" t="s">
        <v>41</v>
      </c>
      <c r="AD1145" t="s">
        <v>105</v>
      </c>
      <c r="AE1145" t="s">
        <v>106</v>
      </c>
      <c r="AF1145" t="s">
        <v>59</v>
      </c>
      <c r="AG1145" t="str">
        <f t="shared" si="19"/>
        <v>À Vista</v>
      </c>
      <c r="AH1145" t="str">
        <f>IF(AND(SUMIF(E:E,E1145,I:I)&gt;=400000,Q1145="B2G"),"n","")</f>
        <v/>
      </c>
    </row>
    <row r="1146" spans="1:34">
      <c r="A1146">
        <v>2026</v>
      </c>
      <c r="B1146">
        <v>2</v>
      </c>
      <c r="C1146" s="83">
        <v>19435460892</v>
      </c>
      <c r="D1146" t="s">
        <v>1155</v>
      </c>
      <c r="E1146">
        <v>52273862547</v>
      </c>
      <c r="F1146">
        <v>525470</v>
      </c>
      <c r="G1146">
        <v>51100900488</v>
      </c>
      <c r="H1146" t="s">
        <v>35</v>
      </c>
      <c r="I1146" s="36">
        <v>4530.6000000000004</v>
      </c>
      <c r="J1146" s="36">
        <v>4530.6000000000004</v>
      </c>
      <c r="K1146" s="85">
        <v>0</v>
      </c>
      <c r="L1146" s="36">
        <v>377.55</v>
      </c>
      <c r="M1146" s="36">
        <v>0</v>
      </c>
      <c r="N1146" s="36">
        <v>0</v>
      </c>
      <c r="O1146" s="36">
        <v>377.55</v>
      </c>
      <c r="P1146" t="s">
        <v>110</v>
      </c>
      <c r="Q1146" t="s">
        <v>111</v>
      </c>
      <c r="R1146" t="s">
        <v>111</v>
      </c>
      <c r="S1146" s="1">
        <v>46062</v>
      </c>
      <c r="T1146" s="1">
        <v>46062</v>
      </c>
      <c r="U1146" s="1">
        <v>46056</v>
      </c>
      <c r="V1146" s="1">
        <v>46427</v>
      </c>
      <c r="W1146" t="s">
        <v>38</v>
      </c>
      <c r="X1146">
        <v>12</v>
      </c>
      <c r="Y1146" t="s">
        <v>49</v>
      </c>
      <c r="Z1146" t="s">
        <v>81</v>
      </c>
      <c r="AA1146" t="s">
        <v>122</v>
      </c>
      <c r="AB1146">
        <v>12</v>
      </c>
      <c r="AC1146" t="s">
        <v>113</v>
      </c>
      <c r="AD1146" t="s">
        <v>84</v>
      </c>
      <c r="AE1146" t="s">
        <v>43</v>
      </c>
      <c r="AF1146" t="s">
        <v>44</v>
      </c>
      <c r="AG1146" t="str">
        <f t="shared" si="19"/>
        <v>Recorrente</v>
      </c>
      <c r="AH1146" t="str">
        <f>IF(AND(SUMIF(E:E,E1146,I:I)&gt;=400000,Q1146="B2G"),"n","")</f>
        <v/>
      </c>
    </row>
    <row r="1147" spans="1:34">
      <c r="A1147">
        <v>2026</v>
      </c>
      <c r="B1147">
        <v>2</v>
      </c>
      <c r="C1147" s="83">
        <v>19435460898</v>
      </c>
      <c r="D1147" t="s">
        <v>1156</v>
      </c>
      <c r="E1147">
        <v>56175332256</v>
      </c>
      <c r="F1147">
        <v>636073</v>
      </c>
      <c r="G1147">
        <v>51471866937</v>
      </c>
      <c r="H1147" t="s">
        <v>35</v>
      </c>
      <c r="I1147" s="36">
        <v>2586.6</v>
      </c>
      <c r="J1147" s="36">
        <v>2586.6</v>
      </c>
      <c r="K1147" s="85">
        <v>0</v>
      </c>
      <c r="L1147" s="36">
        <v>215.55</v>
      </c>
      <c r="M1147" s="36">
        <v>215.55</v>
      </c>
      <c r="N1147" s="36">
        <v>0</v>
      </c>
      <c r="O1147" s="36">
        <v>0</v>
      </c>
      <c r="P1147" t="s">
        <v>1073</v>
      </c>
      <c r="Q1147" t="s">
        <v>314</v>
      </c>
      <c r="R1147" t="s">
        <v>314</v>
      </c>
      <c r="S1147" s="1">
        <v>46065</v>
      </c>
      <c r="T1147" s="1">
        <v>46065</v>
      </c>
      <c r="U1147" s="1"/>
      <c r="V1147" s="1">
        <v>46430</v>
      </c>
      <c r="W1147" t="s">
        <v>38</v>
      </c>
      <c r="X1147">
        <v>12</v>
      </c>
      <c r="Y1147" t="s">
        <v>49</v>
      </c>
      <c r="AA1147" t="s">
        <v>92</v>
      </c>
      <c r="AB1147">
        <v>12</v>
      </c>
      <c r="AC1147" t="s">
        <v>315</v>
      </c>
      <c r="AD1147" t="s">
        <v>140</v>
      </c>
      <c r="AE1147" t="s">
        <v>46</v>
      </c>
      <c r="AF1147" t="s">
        <v>119</v>
      </c>
      <c r="AG1147" t="str">
        <f t="shared" si="19"/>
        <v>Recorrente</v>
      </c>
      <c r="AH1147" t="str">
        <f>IF(AND(SUMIF(E:E,E1147,I:I)&gt;=400000,Q1147="B2G"),"n","")</f>
        <v/>
      </c>
    </row>
    <row r="1148" spans="1:34">
      <c r="A1148">
        <v>2026</v>
      </c>
      <c r="B1148">
        <v>2</v>
      </c>
      <c r="C1148" s="83">
        <v>19435460898</v>
      </c>
      <c r="D1148" t="s">
        <v>1156</v>
      </c>
      <c r="E1148">
        <v>56709337511</v>
      </c>
      <c r="F1148">
        <v>636073</v>
      </c>
      <c r="G1148">
        <v>51984286250</v>
      </c>
      <c r="H1148" t="s">
        <v>35</v>
      </c>
      <c r="I1148" s="36">
        <v>2816.88</v>
      </c>
      <c r="J1148" s="36">
        <v>2882.16</v>
      </c>
      <c r="K1148" s="85">
        <v>0</v>
      </c>
      <c r="L1148" s="36">
        <v>240.18</v>
      </c>
      <c r="M1148" s="36">
        <v>0</v>
      </c>
      <c r="N1148" s="36">
        <v>240.18</v>
      </c>
      <c r="O1148" s="36">
        <v>0</v>
      </c>
      <c r="P1148" t="s">
        <v>1073</v>
      </c>
      <c r="Q1148" t="s">
        <v>314</v>
      </c>
      <c r="R1148" t="s">
        <v>314</v>
      </c>
      <c r="S1148" s="1">
        <v>46074</v>
      </c>
      <c r="T1148" s="1">
        <v>46074</v>
      </c>
      <c r="U1148" s="1">
        <v>46430</v>
      </c>
      <c r="V1148" s="1">
        <v>46430</v>
      </c>
      <c r="W1148" t="s">
        <v>38</v>
      </c>
      <c r="X1148">
        <v>12</v>
      </c>
      <c r="Y1148" t="s">
        <v>49</v>
      </c>
      <c r="Z1148" t="s">
        <v>324</v>
      </c>
      <c r="AA1148" t="s">
        <v>92</v>
      </c>
      <c r="AB1148">
        <v>11</v>
      </c>
      <c r="AC1148" t="s">
        <v>315</v>
      </c>
      <c r="AD1148" t="s">
        <v>85</v>
      </c>
      <c r="AE1148" t="s">
        <v>46</v>
      </c>
      <c r="AF1148" t="s">
        <v>44</v>
      </c>
      <c r="AG1148" t="str">
        <f t="shared" si="19"/>
        <v>Recorrente</v>
      </c>
      <c r="AH1148" t="str">
        <f>IF(AND(SUMIF(E:E,E1148,I:I)&gt;=400000,Q1148="B2G"),"n","")</f>
        <v/>
      </c>
    </row>
    <row r="1149" spans="1:34">
      <c r="A1149">
        <v>2026</v>
      </c>
      <c r="B1149">
        <v>2</v>
      </c>
      <c r="C1149" s="83">
        <v>19435460949</v>
      </c>
      <c r="D1149" t="s">
        <v>1157</v>
      </c>
      <c r="E1149">
        <v>54025546022</v>
      </c>
      <c r="F1149">
        <v>607379</v>
      </c>
      <c r="G1149">
        <v>49271024456</v>
      </c>
      <c r="H1149" t="s">
        <v>35</v>
      </c>
      <c r="I1149" s="36">
        <v>3116.64</v>
      </c>
      <c r="J1149" s="36">
        <v>3116.64</v>
      </c>
      <c r="K1149" s="85">
        <v>4.5474699999999999E-13</v>
      </c>
      <c r="L1149" s="36">
        <v>259.72000000000003</v>
      </c>
      <c r="M1149" s="36">
        <v>0</v>
      </c>
      <c r="N1149" s="36">
        <v>38.6175</v>
      </c>
      <c r="O1149" s="36">
        <v>221.1</v>
      </c>
      <c r="P1149" t="s">
        <v>162</v>
      </c>
      <c r="Q1149" t="s">
        <v>111</v>
      </c>
      <c r="R1149" t="s">
        <v>111</v>
      </c>
      <c r="S1149" s="1">
        <v>46038</v>
      </c>
      <c r="T1149" s="1">
        <v>46054</v>
      </c>
      <c r="U1149" s="1">
        <v>46037</v>
      </c>
      <c r="V1149" s="1">
        <v>46402</v>
      </c>
      <c r="W1149" t="s">
        <v>38</v>
      </c>
      <c r="X1149">
        <v>12</v>
      </c>
      <c r="Y1149" t="s">
        <v>49</v>
      </c>
      <c r="Z1149" t="s">
        <v>81</v>
      </c>
      <c r="AA1149" t="s">
        <v>112</v>
      </c>
      <c r="AB1149">
        <v>12</v>
      </c>
      <c r="AC1149" t="s">
        <v>113</v>
      </c>
      <c r="AD1149" t="s">
        <v>84</v>
      </c>
      <c r="AE1149" t="s">
        <v>43</v>
      </c>
      <c r="AF1149" t="s">
        <v>44</v>
      </c>
      <c r="AG1149" t="str">
        <f t="shared" si="19"/>
        <v>CC 12x</v>
      </c>
      <c r="AH1149" t="str">
        <f>IF(AND(SUMIF(E:E,E1149,I:I)&gt;=400000,Q1149="B2G"),"n","")</f>
        <v/>
      </c>
    </row>
    <row r="1150" spans="1:34">
      <c r="A1150">
        <v>2026</v>
      </c>
      <c r="B1150">
        <v>2</v>
      </c>
      <c r="C1150" s="83">
        <v>19435468564</v>
      </c>
      <c r="D1150" t="s">
        <v>1158</v>
      </c>
      <c r="E1150">
        <v>43191150639</v>
      </c>
      <c r="F1150">
        <v>627068</v>
      </c>
      <c r="G1150">
        <v>52473513617</v>
      </c>
      <c r="H1150" t="s">
        <v>35</v>
      </c>
      <c r="I1150" s="36">
        <v>10080</v>
      </c>
      <c r="J1150" s="36">
        <v>10080</v>
      </c>
      <c r="K1150" s="85">
        <v>0</v>
      </c>
      <c r="L1150" s="36">
        <v>840</v>
      </c>
      <c r="M1150" s="36">
        <v>0</v>
      </c>
      <c r="N1150" s="36">
        <v>114</v>
      </c>
      <c r="O1150" s="36">
        <v>726</v>
      </c>
      <c r="P1150" t="s">
        <v>36</v>
      </c>
      <c r="Q1150" t="s">
        <v>37</v>
      </c>
      <c r="R1150" t="s">
        <v>37</v>
      </c>
      <c r="S1150" s="1">
        <v>46080</v>
      </c>
      <c r="T1150" s="1">
        <v>46080</v>
      </c>
      <c r="U1150" s="1">
        <v>46081</v>
      </c>
      <c r="V1150" s="1">
        <v>46446</v>
      </c>
      <c r="W1150" t="s">
        <v>38</v>
      </c>
      <c r="X1150">
        <v>12</v>
      </c>
      <c r="Y1150" t="s">
        <v>49</v>
      </c>
      <c r="Z1150" t="s">
        <v>81</v>
      </c>
      <c r="AA1150" t="s">
        <v>40</v>
      </c>
      <c r="AB1150">
        <v>1</v>
      </c>
      <c r="AC1150" t="s">
        <v>41</v>
      </c>
      <c r="AD1150" t="s">
        <v>53</v>
      </c>
      <c r="AE1150" t="s">
        <v>43</v>
      </c>
      <c r="AF1150" t="s">
        <v>44</v>
      </c>
      <c r="AG1150" t="str">
        <f t="shared" si="19"/>
        <v>À Vista</v>
      </c>
      <c r="AH1150" t="str">
        <f>IF(AND(SUMIF(E:E,E1150,I:I)&gt;=400000,Q1150="B2G"),"n","")</f>
        <v/>
      </c>
    </row>
    <row r="1151" spans="1:34">
      <c r="A1151">
        <v>2026</v>
      </c>
      <c r="B1151">
        <v>2</v>
      </c>
      <c r="C1151" s="83">
        <v>19435468564</v>
      </c>
      <c r="D1151" t="s">
        <v>1158</v>
      </c>
      <c r="E1151">
        <v>43191150639</v>
      </c>
      <c r="F1151">
        <v>627068</v>
      </c>
      <c r="G1151">
        <v>52473513618</v>
      </c>
      <c r="H1151" t="s">
        <v>35</v>
      </c>
      <c r="I1151" s="36">
        <v>10080</v>
      </c>
      <c r="J1151" s="36">
        <v>10080</v>
      </c>
      <c r="K1151" s="85">
        <v>0</v>
      </c>
      <c r="L1151" s="36">
        <v>840</v>
      </c>
      <c r="M1151" s="36">
        <v>0</v>
      </c>
      <c r="N1151" s="36">
        <v>114</v>
      </c>
      <c r="O1151" s="36">
        <v>726</v>
      </c>
      <c r="P1151" t="s">
        <v>36</v>
      </c>
      <c r="Q1151" t="s">
        <v>37</v>
      </c>
      <c r="R1151" t="s">
        <v>37</v>
      </c>
      <c r="S1151" s="1">
        <v>46080</v>
      </c>
      <c r="T1151" s="1">
        <v>46080</v>
      </c>
      <c r="U1151" s="1">
        <v>46081</v>
      </c>
      <c r="V1151" s="1">
        <v>46446</v>
      </c>
      <c r="W1151" t="s">
        <v>38</v>
      </c>
      <c r="X1151">
        <v>12</v>
      </c>
      <c r="Y1151" t="s">
        <v>49</v>
      </c>
      <c r="Z1151" t="s">
        <v>81</v>
      </c>
      <c r="AA1151" t="s">
        <v>40</v>
      </c>
      <c r="AB1151">
        <v>1</v>
      </c>
      <c r="AC1151" t="s">
        <v>41</v>
      </c>
      <c r="AD1151" t="s">
        <v>54</v>
      </c>
      <c r="AE1151" t="s">
        <v>46</v>
      </c>
      <c r="AF1151" t="s">
        <v>44</v>
      </c>
      <c r="AG1151" t="str">
        <f t="shared" si="19"/>
        <v>À Vista</v>
      </c>
      <c r="AH1151" t="str">
        <f>IF(AND(SUMIF(E:E,E1151,I:I)&gt;=400000,Q1151="B2G"),"n","")</f>
        <v/>
      </c>
    </row>
    <row r="1152" spans="1:34">
      <c r="A1152">
        <v>2026</v>
      </c>
      <c r="B1152">
        <v>2</v>
      </c>
      <c r="C1152" s="83">
        <v>19435468571</v>
      </c>
      <c r="D1152" t="s">
        <v>1159</v>
      </c>
      <c r="E1152">
        <v>54623979438</v>
      </c>
      <c r="F1152">
        <v>636150</v>
      </c>
      <c r="G1152">
        <v>51943104438</v>
      </c>
      <c r="H1152" t="s">
        <v>35</v>
      </c>
      <c r="I1152" s="36">
        <v>4971.3599999999997</v>
      </c>
      <c r="J1152" s="36">
        <v>4971.3599999999997</v>
      </c>
      <c r="K1152" s="85">
        <v>0</v>
      </c>
      <c r="L1152" s="36">
        <v>414.28</v>
      </c>
      <c r="M1152" s="36">
        <v>414.28</v>
      </c>
      <c r="N1152" s="36">
        <v>0</v>
      </c>
      <c r="O1152" s="36">
        <v>0</v>
      </c>
      <c r="P1152" t="s">
        <v>1073</v>
      </c>
      <c r="Q1152" t="s">
        <v>314</v>
      </c>
      <c r="R1152" t="s">
        <v>314</v>
      </c>
      <c r="S1152" s="1">
        <v>46072</v>
      </c>
      <c r="T1152" s="1">
        <v>46072</v>
      </c>
      <c r="U1152" s="1"/>
      <c r="V1152" s="1">
        <v>46437</v>
      </c>
      <c r="W1152" t="s">
        <v>38</v>
      </c>
      <c r="X1152">
        <v>12</v>
      </c>
      <c r="Y1152" t="s">
        <v>49</v>
      </c>
      <c r="AA1152" t="s">
        <v>112</v>
      </c>
      <c r="AB1152">
        <v>12</v>
      </c>
      <c r="AC1152" t="s">
        <v>315</v>
      </c>
      <c r="AD1152" t="s">
        <v>85</v>
      </c>
      <c r="AE1152" t="s">
        <v>46</v>
      </c>
      <c r="AF1152" t="s">
        <v>44</v>
      </c>
      <c r="AG1152" t="str">
        <f t="shared" si="19"/>
        <v>CC 12x</v>
      </c>
      <c r="AH1152" t="str">
        <f>IF(AND(SUMIF(E:E,E1152,I:I)&gt;=400000,Q1152="B2G"),"n","")</f>
        <v/>
      </c>
    </row>
    <row r="1153" spans="1:34">
      <c r="A1153">
        <v>2026</v>
      </c>
      <c r="B1153">
        <v>2</v>
      </c>
      <c r="C1153" s="83">
        <v>19435468606</v>
      </c>
      <c r="D1153" t="s">
        <v>217</v>
      </c>
      <c r="E1153">
        <v>57696735361</v>
      </c>
      <c r="F1153">
        <v>524409</v>
      </c>
      <c r="G1153">
        <v>52912684652</v>
      </c>
      <c r="H1153" t="s">
        <v>35</v>
      </c>
      <c r="I1153" s="36">
        <v>5400.84</v>
      </c>
      <c r="J1153" s="36">
        <v>5400.84</v>
      </c>
      <c r="K1153" s="85">
        <v>0</v>
      </c>
      <c r="L1153" s="36">
        <v>450.07</v>
      </c>
      <c r="M1153" s="36">
        <v>0</v>
      </c>
      <c r="N1153" s="36">
        <v>65.995000000000005</v>
      </c>
      <c r="O1153" s="36">
        <v>384.08</v>
      </c>
      <c r="P1153" t="s">
        <v>1160</v>
      </c>
      <c r="Q1153" t="s">
        <v>111</v>
      </c>
      <c r="R1153" t="s">
        <v>111</v>
      </c>
      <c r="S1153" s="1">
        <v>46089</v>
      </c>
      <c r="T1153" s="1">
        <v>46059</v>
      </c>
      <c r="U1153" s="1">
        <v>46028</v>
      </c>
      <c r="V1153" s="1">
        <v>46452</v>
      </c>
      <c r="W1153" t="s">
        <v>38</v>
      </c>
      <c r="X1153">
        <v>14</v>
      </c>
      <c r="Y1153" t="s">
        <v>49</v>
      </c>
      <c r="Z1153" t="s">
        <v>81</v>
      </c>
      <c r="AA1153" t="s">
        <v>122</v>
      </c>
      <c r="AB1153">
        <v>12</v>
      </c>
      <c r="AC1153" t="s">
        <v>113</v>
      </c>
      <c r="AD1153" t="s">
        <v>158</v>
      </c>
      <c r="AE1153" t="s">
        <v>43</v>
      </c>
      <c r="AF1153" t="s">
        <v>47</v>
      </c>
      <c r="AG1153" t="str">
        <f t="shared" si="19"/>
        <v>Recorrente</v>
      </c>
      <c r="AH1153" t="str">
        <f>IF(AND(SUMIF(E:E,E1153,I:I)&gt;=400000,Q1153="B2G"),"n","")</f>
        <v/>
      </c>
    </row>
    <row r="1154" spans="1:34">
      <c r="A1154">
        <v>2026</v>
      </c>
      <c r="B1154">
        <v>2</v>
      </c>
      <c r="C1154" s="83">
        <v>19435468606</v>
      </c>
      <c r="D1154" t="s">
        <v>217</v>
      </c>
      <c r="E1154">
        <v>57696735361</v>
      </c>
      <c r="F1154">
        <v>524409</v>
      </c>
      <c r="G1154">
        <v>52912684653</v>
      </c>
      <c r="H1154" t="s">
        <v>35</v>
      </c>
      <c r="I1154" s="36">
        <v>5400.84</v>
      </c>
      <c r="J1154" s="36">
        <v>5400.84</v>
      </c>
      <c r="K1154" s="85">
        <v>0</v>
      </c>
      <c r="L1154" s="36">
        <v>450.07</v>
      </c>
      <c r="M1154" s="36">
        <v>0</v>
      </c>
      <c r="N1154" s="36">
        <v>65.995000000000005</v>
      </c>
      <c r="O1154" s="36">
        <v>384.08</v>
      </c>
      <c r="P1154" t="s">
        <v>1160</v>
      </c>
      <c r="Q1154" t="s">
        <v>111</v>
      </c>
      <c r="R1154" t="s">
        <v>111</v>
      </c>
      <c r="S1154" s="1">
        <v>46089</v>
      </c>
      <c r="T1154" s="1">
        <v>46059</v>
      </c>
      <c r="U1154" s="1">
        <v>46028</v>
      </c>
      <c r="V1154" s="1">
        <v>46452</v>
      </c>
      <c r="W1154" t="s">
        <v>38</v>
      </c>
      <c r="X1154">
        <v>14</v>
      </c>
      <c r="Y1154" t="s">
        <v>49</v>
      </c>
      <c r="Z1154" t="s">
        <v>81</v>
      </c>
      <c r="AA1154" t="s">
        <v>122</v>
      </c>
      <c r="AB1154">
        <v>12</v>
      </c>
      <c r="AC1154" t="s">
        <v>113</v>
      </c>
      <c r="AD1154" t="s">
        <v>174</v>
      </c>
      <c r="AE1154" t="s">
        <v>43</v>
      </c>
      <c r="AF1154" t="s">
        <v>47</v>
      </c>
      <c r="AG1154" t="str">
        <f t="shared" si="19"/>
        <v>Recorrente</v>
      </c>
      <c r="AH1154" t="str">
        <f>IF(AND(SUMIF(E:E,E1154,I:I)&gt;=400000,Q1154="B2G"),"n","")</f>
        <v/>
      </c>
    </row>
    <row r="1155" spans="1:34">
      <c r="A1155">
        <v>2026</v>
      </c>
      <c r="B1155">
        <v>2</v>
      </c>
      <c r="C1155" s="83">
        <v>19435472292</v>
      </c>
      <c r="D1155" t="s">
        <v>1161</v>
      </c>
      <c r="E1155">
        <v>53735908746</v>
      </c>
      <c r="F1155">
        <v>527407</v>
      </c>
      <c r="G1155">
        <v>48961754957</v>
      </c>
      <c r="H1155" t="s">
        <v>35</v>
      </c>
      <c r="I1155" s="36">
        <v>7015.44</v>
      </c>
      <c r="J1155" s="36">
        <v>7015.44</v>
      </c>
      <c r="K1155" s="85">
        <v>0</v>
      </c>
      <c r="L1155" s="36">
        <v>584.62</v>
      </c>
      <c r="M1155" s="36">
        <v>0</v>
      </c>
      <c r="N1155" s="36">
        <v>105.755</v>
      </c>
      <c r="O1155" s="36">
        <v>478.87</v>
      </c>
      <c r="P1155" t="s">
        <v>165</v>
      </c>
      <c r="Q1155" t="s">
        <v>166</v>
      </c>
      <c r="R1155" t="s">
        <v>166</v>
      </c>
      <c r="S1155" s="1">
        <v>46077</v>
      </c>
      <c r="T1155" s="1">
        <v>46077</v>
      </c>
      <c r="U1155" s="1">
        <v>46081</v>
      </c>
      <c r="V1155" s="1">
        <v>46446</v>
      </c>
      <c r="W1155" t="s">
        <v>38</v>
      </c>
      <c r="X1155">
        <v>12</v>
      </c>
      <c r="Y1155" t="s">
        <v>49</v>
      </c>
      <c r="Z1155" t="s">
        <v>81</v>
      </c>
      <c r="AA1155" t="s">
        <v>112</v>
      </c>
      <c r="AB1155">
        <v>12</v>
      </c>
      <c r="AC1155" t="s">
        <v>166</v>
      </c>
      <c r="AD1155" t="s">
        <v>134</v>
      </c>
      <c r="AE1155" t="s">
        <v>135</v>
      </c>
      <c r="AF1155" t="s">
        <v>44</v>
      </c>
      <c r="AG1155" t="str">
        <f t="shared" si="19"/>
        <v>CC 12x</v>
      </c>
      <c r="AH1155" t="str">
        <f>IF(AND(SUMIF(E:E,E1155,I:I)&gt;=400000,Q1155="B2G"),"n","")</f>
        <v/>
      </c>
    </row>
    <row r="1156" spans="1:34">
      <c r="A1156">
        <v>2026</v>
      </c>
      <c r="B1156">
        <v>2</v>
      </c>
      <c r="C1156" s="83">
        <v>19435486116</v>
      </c>
      <c r="D1156" t="s">
        <v>1162</v>
      </c>
      <c r="E1156">
        <v>51919739942</v>
      </c>
      <c r="F1156">
        <v>606892</v>
      </c>
      <c r="G1156">
        <v>47270670726</v>
      </c>
      <c r="H1156" t="s">
        <v>35</v>
      </c>
      <c r="I1156" s="36">
        <v>7623</v>
      </c>
      <c r="J1156" s="36">
        <v>7623</v>
      </c>
      <c r="K1156" s="85">
        <v>0</v>
      </c>
      <c r="L1156" s="36">
        <v>635.25</v>
      </c>
      <c r="M1156" s="36">
        <v>0</v>
      </c>
      <c r="N1156" s="36">
        <v>366.71249999999998</v>
      </c>
      <c r="O1156" s="36">
        <v>268.53750000000002</v>
      </c>
      <c r="P1156" t="s">
        <v>127</v>
      </c>
      <c r="Q1156" t="s">
        <v>111</v>
      </c>
      <c r="R1156" t="s">
        <v>111</v>
      </c>
      <c r="S1156" s="1">
        <v>46013</v>
      </c>
      <c r="T1156" s="1">
        <v>46054</v>
      </c>
      <c r="U1156" s="1">
        <v>46032</v>
      </c>
      <c r="V1156" s="1">
        <v>46397</v>
      </c>
      <c r="W1156" t="s">
        <v>38</v>
      </c>
      <c r="X1156">
        <v>12</v>
      </c>
      <c r="Y1156" t="s">
        <v>49</v>
      </c>
      <c r="Z1156" t="s">
        <v>76</v>
      </c>
      <c r="AA1156" t="s">
        <v>117</v>
      </c>
      <c r="AB1156">
        <v>1</v>
      </c>
      <c r="AC1156" t="s">
        <v>113</v>
      </c>
      <c r="AD1156" t="s">
        <v>142</v>
      </c>
      <c r="AE1156" t="s">
        <v>95</v>
      </c>
      <c r="AF1156" t="s">
        <v>44</v>
      </c>
      <c r="AG1156" t="str">
        <f t="shared" si="19"/>
        <v>À Vista</v>
      </c>
      <c r="AH1156" t="str">
        <f>IF(AND(SUMIF(E:E,E1156,I:I)&gt;=400000,Q1156="B2G"),"n","")</f>
        <v/>
      </c>
    </row>
    <row r="1157" spans="1:34">
      <c r="A1157">
        <v>2026</v>
      </c>
      <c r="B1157">
        <v>2</v>
      </c>
      <c r="C1157" s="83">
        <v>19435486116</v>
      </c>
      <c r="D1157" t="s">
        <v>1162</v>
      </c>
      <c r="E1157">
        <v>51919739942</v>
      </c>
      <c r="F1157">
        <v>606892</v>
      </c>
      <c r="G1157">
        <v>47270670727</v>
      </c>
      <c r="H1157" t="s">
        <v>35</v>
      </c>
      <c r="I1157" s="36">
        <v>7623</v>
      </c>
      <c r="J1157" s="36">
        <v>7623</v>
      </c>
      <c r="K1157" s="85">
        <v>0</v>
      </c>
      <c r="L1157" s="36">
        <v>635.25</v>
      </c>
      <c r="M1157" s="36">
        <v>0</v>
      </c>
      <c r="N1157" s="36">
        <v>366.71249999999998</v>
      </c>
      <c r="O1157" s="36">
        <v>268.53750000000002</v>
      </c>
      <c r="P1157" t="s">
        <v>127</v>
      </c>
      <c r="Q1157" t="s">
        <v>111</v>
      </c>
      <c r="R1157" t="s">
        <v>111</v>
      </c>
      <c r="S1157" s="1">
        <v>46013</v>
      </c>
      <c r="T1157" s="1">
        <v>46054</v>
      </c>
      <c r="U1157" s="1">
        <v>46032</v>
      </c>
      <c r="V1157" s="1">
        <v>46397</v>
      </c>
      <c r="W1157" t="s">
        <v>38</v>
      </c>
      <c r="X1157">
        <v>12</v>
      </c>
      <c r="Y1157" t="s">
        <v>49</v>
      </c>
      <c r="Z1157" t="s">
        <v>76</v>
      </c>
      <c r="AA1157" t="s">
        <v>117</v>
      </c>
      <c r="AB1157">
        <v>1</v>
      </c>
      <c r="AC1157" t="s">
        <v>113</v>
      </c>
      <c r="AD1157" t="s">
        <v>84</v>
      </c>
      <c r="AE1157" t="s">
        <v>43</v>
      </c>
      <c r="AF1157" t="s">
        <v>44</v>
      </c>
      <c r="AG1157" t="str">
        <f t="shared" si="19"/>
        <v>À Vista</v>
      </c>
      <c r="AH1157" t="str">
        <f>IF(AND(SUMIF(E:E,E1157,I:I)&gt;=400000,Q1157="B2G"),"n","")</f>
        <v/>
      </c>
    </row>
    <row r="1158" spans="1:34">
      <c r="A1158">
        <v>2026</v>
      </c>
      <c r="B1158">
        <v>2</v>
      </c>
      <c r="C1158" s="83">
        <v>19435486116</v>
      </c>
      <c r="D1158" t="s">
        <v>1162</v>
      </c>
      <c r="E1158">
        <v>51919739942</v>
      </c>
      <c r="F1158">
        <v>606892</v>
      </c>
      <c r="G1158">
        <v>47270670728</v>
      </c>
      <c r="H1158" t="s">
        <v>35</v>
      </c>
      <c r="I1158" s="36">
        <v>7623</v>
      </c>
      <c r="J1158" s="36">
        <v>7623</v>
      </c>
      <c r="K1158" s="85">
        <v>0</v>
      </c>
      <c r="L1158" s="36">
        <v>635.25</v>
      </c>
      <c r="M1158" s="36">
        <v>0</v>
      </c>
      <c r="N1158" s="36">
        <v>366.71249999999998</v>
      </c>
      <c r="O1158" s="36">
        <v>268.53750000000002</v>
      </c>
      <c r="P1158" t="s">
        <v>127</v>
      </c>
      <c r="Q1158" t="s">
        <v>111</v>
      </c>
      <c r="R1158" t="s">
        <v>111</v>
      </c>
      <c r="S1158" s="1">
        <v>46013</v>
      </c>
      <c r="T1158" s="1">
        <v>46054</v>
      </c>
      <c r="U1158" s="1">
        <v>46032</v>
      </c>
      <c r="V1158" s="1">
        <v>46397</v>
      </c>
      <c r="W1158" t="s">
        <v>38</v>
      </c>
      <c r="X1158">
        <v>12</v>
      </c>
      <c r="Y1158" t="s">
        <v>49</v>
      </c>
      <c r="Z1158" t="s">
        <v>76</v>
      </c>
      <c r="AA1158" t="s">
        <v>117</v>
      </c>
      <c r="AB1158">
        <v>1</v>
      </c>
      <c r="AC1158" t="s">
        <v>113</v>
      </c>
      <c r="AD1158" t="s">
        <v>85</v>
      </c>
      <c r="AE1158" t="s">
        <v>46</v>
      </c>
      <c r="AF1158" t="s">
        <v>44</v>
      </c>
      <c r="AG1158" t="str">
        <f t="shared" si="19"/>
        <v>À Vista</v>
      </c>
      <c r="AH1158" t="str">
        <f>IF(AND(SUMIF(E:E,E1158,I:I)&gt;=400000,Q1158="B2G"),"n","")</f>
        <v/>
      </c>
    </row>
    <row r="1159" spans="1:34">
      <c r="A1159">
        <v>2026</v>
      </c>
      <c r="B1159">
        <v>2</v>
      </c>
      <c r="C1159" s="83">
        <v>19435493522</v>
      </c>
      <c r="D1159" t="s">
        <v>1163</v>
      </c>
      <c r="E1159">
        <v>57039224683</v>
      </c>
      <c r="F1159">
        <v>636285</v>
      </c>
      <c r="G1159">
        <v>52355174039</v>
      </c>
      <c r="H1159" t="s">
        <v>35</v>
      </c>
      <c r="I1159" s="36">
        <v>7670.28</v>
      </c>
      <c r="J1159" s="36">
        <v>7670.28</v>
      </c>
      <c r="K1159" s="85">
        <v>0</v>
      </c>
      <c r="L1159" s="36">
        <v>639.19000000000005</v>
      </c>
      <c r="M1159" s="36">
        <v>0</v>
      </c>
      <c r="N1159" s="36">
        <v>639.19000000000005</v>
      </c>
      <c r="O1159" s="36">
        <v>0</v>
      </c>
      <c r="P1159" t="s">
        <v>520</v>
      </c>
      <c r="Q1159" t="s">
        <v>191</v>
      </c>
      <c r="R1159" t="s">
        <v>191</v>
      </c>
      <c r="S1159" s="1">
        <v>46079</v>
      </c>
      <c r="T1159" s="1">
        <v>46079</v>
      </c>
      <c r="U1159" s="1"/>
      <c r="V1159" s="1">
        <v>46444</v>
      </c>
      <c r="W1159" t="s">
        <v>38</v>
      </c>
      <c r="X1159">
        <v>12</v>
      </c>
      <c r="Y1159" t="s">
        <v>49</v>
      </c>
      <c r="AA1159" t="s">
        <v>112</v>
      </c>
      <c r="AB1159">
        <v>12</v>
      </c>
      <c r="AC1159" t="s">
        <v>192</v>
      </c>
      <c r="AD1159" t="s">
        <v>134</v>
      </c>
      <c r="AE1159" t="s">
        <v>135</v>
      </c>
      <c r="AF1159" t="s">
        <v>44</v>
      </c>
      <c r="AG1159" t="str">
        <f t="shared" si="19"/>
        <v>CC 12x</v>
      </c>
      <c r="AH1159" t="str">
        <f>IF(AND(SUMIF(E:E,E1159,I:I)&gt;=400000,Q1159="B2G"),"n","")</f>
        <v/>
      </c>
    </row>
    <row r="1160" spans="1:34">
      <c r="A1160">
        <v>2026</v>
      </c>
      <c r="B1160">
        <v>2</v>
      </c>
      <c r="C1160" s="83">
        <v>19435497267</v>
      </c>
      <c r="D1160" t="s">
        <v>1164</v>
      </c>
      <c r="E1160">
        <v>57142403215</v>
      </c>
      <c r="F1160">
        <v>636308</v>
      </c>
      <c r="G1160">
        <v>52355401477</v>
      </c>
      <c r="H1160" t="s">
        <v>35</v>
      </c>
      <c r="I1160" s="36">
        <v>5436</v>
      </c>
      <c r="J1160" s="36">
        <v>5436</v>
      </c>
      <c r="K1160" s="85">
        <v>0</v>
      </c>
      <c r="L1160" s="36">
        <v>453</v>
      </c>
      <c r="M1160" s="36">
        <v>453</v>
      </c>
      <c r="N1160" s="36">
        <v>0</v>
      </c>
      <c r="O1160" s="36">
        <v>0</v>
      </c>
      <c r="P1160" t="s">
        <v>1165</v>
      </c>
      <c r="Q1160" t="s">
        <v>79</v>
      </c>
      <c r="R1160" t="s">
        <v>80</v>
      </c>
      <c r="S1160" s="1">
        <v>46080</v>
      </c>
      <c r="T1160" s="1">
        <v>46080</v>
      </c>
      <c r="U1160" s="1"/>
      <c r="V1160" s="1">
        <v>46445</v>
      </c>
      <c r="W1160" t="s">
        <v>38</v>
      </c>
      <c r="X1160">
        <v>12</v>
      </c>
      <c r="Y1160" t="s">
        <v>49</v>
      </c>
      <c r="AA1160" t="s">
        <v>82</v>
      </c>
      <c r="AB1160">
        <v>1</v>
      </c>
      <c r="AC1160" t="s">
        <v>83</v>
      </c>
      <c r="AD1160" t="s">
        <v>54</v>
      </c>
      <c r="AE1160" t="s">
        <v>46</v>
      </c>
      <c r="AF1160" t="s">
        <v>44</v>
      </c>
      <c r="AG1160" t="str">
        <f t="shared" si="19"/>
        <v>À Vista</v>
      </c>
      <c r="AH1160" t="str">
        <f>IF(AND(SUMIF(E:E,E1160,I:I)&gt;=400000,Q1160="B2G"),"n","")</f>
        <v/>
      </c>
    </row>
    <row r="1161" spans="1:34">
      <c r="A1161">
        <v>2026</v>
      </c>
      <c r="B1161">
        <v>2</v>
      </c>
      <c r="C1161" s="83">
        <v>19435497267</v>
      </c>
      <c r="D1161" t="s">
        <v>1164</v>
      </c>
      <c r="E1161">
        <v>57142403215</v>
      </c>
      <c r="F1161">
        <v>636308</v>
      </c>
      <c r="G1161">
        <v>52355401478</v>
      </c>
      <c r="H1161" t="s">
        <v>35</v>
      </c>
      <c r="I1161" s="36">
        <v>4644</v>
      </c>
      <c r="J1161" s="36">
        <v>4644</v>
      </c>
      <c r="K1161" s="85">
        <v>0</v>
      </c>
      <c r="L1161" s="36">
        <v>387</v>
      </c>
      <c r="M1161" s="36">
        <v>387</v>
      </c>
      <c r="N1161" s="36">
        <v>0</v>
      </c>
      <c r="O1161" s="36">
        <v>0</v>
      </c>
      <c r="P1161" t="s">
        <v>1165</v>
      </c>
      <c r="Q1161" t="s">
        <v>79</v>
      </c>
      <c r="R1161" t="s">
        <v>80</v>
      </c>
      <c r="S1161" s="1">
        <v>46080</v>
      </c>
      <c r="T1161" s="1">
        <v>46080</v>
      </c>
      <c r="U1161" s="1"/>
      <c r="V1161" s="1">
        <v>46445</v>
      </c>
      <c r="W1161" t="s">
        <v>38</v>
      </c>
      <c r="X1161">
        <v>12</v>
      </c>
      <c r="Y1161" t="s">
        <v>49</v>
      </c>
      <c r="AA1161" t="s">
        <v>82</v>
      </c>
      <c r="AB1161">
        <v>1</v>
      </c>
      <c r="AC1161" t="s">
        <v>83</v>
      </c>
      <c r="AD1161" t="s">
        <v>53</v>
      </c>
      <c r="AE1161" t="s">
        <v>43</v>
      </c>
      <c r="AF1161" t="s">
        <v>44</v>
      </c>
      <c r="AG1161" t="str">
        <f t="shared" si="19"/>
        <v>À Vista</v>
      </c>
      <c r="AH1161" t="str">
        <f>IF(AND(SUMIF(E:E,E1161,I:I)&gt;=400000,Q1161="B2G"),"n","")</f>
        <v/>
      </c>
    </row>
    <row r="1162" spans="1:34">
      <c r="A1162">
        <v>2026</v>
      </c>
      <c r="B1162">
        <v>2</v>
      </c>
      <c r="C1162" s="83">
        <v>19435497372</v>
      </c>
      <c r="D1162" t="s">
        <v>1166</v>
      </c>
      <c r="E1162">
        <v>55416814898</v>
      </c>
      <c r="F1162">
        <v>636173</v>
      </c>
      <c r="G1162">
        <v>51841761905</v>
      </c>
      <c r="H1162" t="s">
        <v>35</v>
      </c>
      <c r="I1162" s="36">
        <v>12708</v>
      </c>
      <c r="J1162" s="36">
        <v>12708</v>
      </c>
      <c r="K1162" s="85">
        <v>0</v>
      </c>
      <c r="L1162" s="36">
        <v>1059</v>
      </c>
      <c r="M1162" s="36">
        <v>0</v>
      </c>
      <c r="N1162" s="36">
        <v>1059</v>
      </c>
      <c r="O1162" s="36">
        <v>0</v>
      </c>
      <c r="P1162" t="s">
        <v>367</v>
      </c>
      <c r="Q1162" t="s">
        <v>191</v>
      </c>
      <c r="R1162" t="s">
        <v>191</v>
      </c>
      <c r="S1162" s="1">
        <v>46073</v>
      </c>
      <c r="T1162" s="1">
        <v>46073</v>
      </c>
      <c r="U1162" s="1"/>
      <c r="V1162" s="1">
        <v>46438</v>
      </c>
      <c r="W1162" t="s">
        <v>38</v>
      </c>
      <c r="X1162">
        <v>12</v>
      </c>
      <c r="Y1162" t="s">
        <v>49</v>
      </c>
      <c r="AA1162" t="s">
        <v>112</v>
      </c>
      <c r="AB1162">
        <v>12</v>
      </c>
      <c r="AC1162" t="s">
        <v>192</v>
      </c>
      <c r="AD1162" t="s">
        <v>1167</v>
      </c>
      <c r="AE1162" t="s">
        <v>95</v>
      </c>
      <c r="AF1162" t="s">
        <v>96</v>
      </c>
      <c r="AG1162" t="str">
        <f t="shared" si="19"/>
        <v>CC 12x</v>
      </c>
      <c r="AH1162" t="str">
        <f>IF(AND(SUMIF(E:E,E1162,I:I)&gt;=400000,Q1162="B2G"),"n","")</f>
        <v/>
      </c>
    </row>
    <row r="1163" spans="1:34">
      <c r="A1163">
        <v>2026</v>
      </c>
      <c r="B1163">
        <v>2</v>
      </c>
      <c r="C1163" s="83">
        <v>19435497372</v>
      </c>
      <c r="D1163" t="s">
        <v>1166</v>
      </c>
      <c r="E1163">
        <v>55416814898</v>
      </c>
      <c r="F1163">
        <v>636173</v>
      </c>
      <c r="G1163">
        <v>51841761906</v>
      </c>
      <c r="H1163" t="s">
        <v>35</v>
      </c>
      <c r="I1163" s="36">
        <v>1078.8</v>
      </c>
      <c r="J1163" s="36">
        <v>1078.8</v>
      </c>
      <c r="K1163" s="85">
        <v>0</v>
      </c>
      <c r="L1163" s="36">
        <v>89.9</v>
      </c>
      <c r="M1163" s="36">
        <v>0</v>
      </c>
      <c r="N1163" s="36">
        <v>89.9</v>
      </c>
      <c r="O1163" s="36">
        <v>0</v>
      </c>
      <c r="P1163" t="s">
        <v>367</v>
      </c>
      <c r="Q1163" t="s">
        <v>191</v>
      </c>
      <c r="R1163" t="s">
        <v>191</v>
      </c>
      <c r="S1163" s="1">
        <v>46073</v>
      </c>
      <c r="T1163" s="1">
        <v>46073</v>
      </c>
      <c r="V1163" s="1">
        <v>46438</v>
      </c>
      <c r="W1163" t="s">
        <v>38</v>
      </c>
      <c r="X1163">
        <v>12</v>
      </c>
      <c r="Y1163" t="s">
        <v>49</v>
      </c>
      <c r="AA1163" t="s">
        <v>112</v>
      </c>
      <c r="AB1163">
        <v>12</v>
      </c>
      <c r="AC1163" t="s">
        <v>192</v>
      </c>
      <c r="AD1163" t="s">
        <v>368</v>
      </c>
      <c r="AE1163" t="s">
        <v>95</v>
      </c>
      <c r="AF1163" t="s">
        <v>59</v>
      </c>
      <c r="AG1163" t="str">
        <f t="shared" si="19"/>
        <v>CC 12x</v>
      </c>
      <c r="AH1163" t="str">
        <f>IF(AND(SUMIF(E:E,E1163,I:I)&gt;=400000,Q1163="B2G"),"n","")</f>
        <v/>
      </c>
    </row>
    <row r="1164" spans="1:34">
      <c r="A1164">
        <v>2026</v>
      </c>
      <c r="B1164">
        <v>2</v>
      </c>
      <c r="C1164" s="83">
        <v>19435497381</v>
      </c>
      <c r="D1164" t="s">
        <v>1168</v>
      </c>
      <c r="E1164">
        <v>43214212448</v>
      </c>
      <c r="F1164">
        <v>627031</v>
      </c>
      <c r="G1164">
        <v>52401640885</v>
      </c>
      <c r="H1164" t="s">
        <v>35</v>
      </c>
      <c r="I1164" s="36">
        <v>4834.5</v>
      </c>
      <c r="J1164" s="36">
        <v>4834.5</v>
      </c>
      <c r="K1164" s="85">
        <v>0</v>
      </c>
      <c r="L1164" s="36">
        <v>402.875</v>
      </c>
      <c r="M1164" s="36">
        <v>0</v>
      </c>
      <c r="N1164" s="36">
        <v>39.875</v>
      </c>
      <c r="O1164" s="36">
        <v>363</v>
      </c>
      <c r="P1164" t="s">
        <v>36</v>
      </c>
      <c r="Q1164" t="s">
        <v>37</v>
      </c>
      <c r="R1164" t="s">
        <v>37</v>
      </c>
      <c r="S1164" s="1">
        <v>46080</v>
      </c>
      <c r="T1164" s="1">
        <v>46080</v>
      </c>
      <c r="U1164" s="1">
        <v>46081</v>
      </c>
      <c r="V1164" s="1">
        <v>46446</v>
      </c>
      <c r="W1164" t="s">
        <v>38</v>
      </c>
      <c r="X1164">
        <v>12</v>
      </c>
      <c r="Y1164" t="s">
        <v>49</v>
      </c>
      <c r="Z1164" t="s">
        <v>81</v>
      </c>
      <c r="AA1164" t="s">
        <v>40</v>
      </c>
      <c r="AB1164">
        <v>1</v>
      </c>
      <c r="AC1164" t="s">
        <v>41</v>
      </c>
      <c r="AD1164" t="s">
        <v>53</v>
      </c>
      <c r="AE1164" t="s">
        <v>43</v>
      </c>
      <c r="AF1164" t="s">
        <v>44</v>
      </c>
      <c r="AG1164" t="str">
        <f t="shared" si="19"/>
        <v>À Vista</v>
      </c>
      <c r="AH1164" t="str">
        <f>IF(AND(SUMIF(E:E,E1164,I:I)&gt;=400000,Q1164="B2G"),"n","")</f>
        <v/>
      </c>
    </row>
    <row r="1165" spans="1:34">
      <c r="A1165">
        <v>2026</v>
      </c>
      <c r="B1165">
        <v>2</v>
      </c>
      <c r="C1165" s="83">
        <v>19435497381</v>
      </c>
      <c r="D1165" t="s">
        <v>1168</v>
      </c>
      <c r="E1165">
        <v>43214212448</v>
      </c>
      <c r="F1165">
        <v>627031</v>
      </c>
      <c r="G1165">
        <v>52401640886</v>
      </c>
      <c r="H1165" t="s">
        <v>35</v>
      </c>
      <c r="I1165" s="36">
        <v>4834.5</v>
      </c>
      <c r="J1165" s="36">
        <v>4834.5</v>
      </c>
      <c r="K1165" s="85">
        <v>0</v>
      </c>
      <c r="L1165" s="36">
        <v>402.875</v>
      </c>
      <c r="M1165" s="36">
        <v>0</v>
      </c>
      <c r="N1165" s="36">
        <v>39.875</v>
      </c>
      <c r="O1165" s="36">
        <v>363</v>
      </c>
      <c r="P1165" t="s">
        <v>36</v>
      </c>
      <c r="Q1165" t="s">
        <v>37</v>
      </c>
      <c r="R1165" t="s">
        <v>37</v>
      </c>
      <c r="S1165" s="1">
        <v>46080</v>
      </c>
      <c r="T1165" s="1">
        <v>46080</v>
      </c>
      <c r="U1165" s="1">
        <v>46081</v>
      </c>
      <c r="V1165" s="1">
        <v>46446</v>
      </c>
      <c r="W1165" t="s">
        <v>38</v>
      </c>
      <c r="X1165">
        <v>12</v>
      </c>
      <c r="Y1165" t="s">
        <v>49</v>
      </c>
      <c r="Z1165" t="s">
        <v>81</v>
      </c>
      <c r="AA1165" t="s">
        <v>40</v>
      </c>
      <c r="AB1165">
        <v>1</v>
      </c>
      <c r="AC1165" t="s">
        <v>41</v>
      </c>
      <c r="AD1165" t="s">
        <v>54</v>
      </c>
      <c r="AE1165" t="s">
        <v>46</v>
      </c>
      <c r="AF1165" t="s">
        <v>44</v>
      </c>
      <c r="AG1165" t="str">
        <f t="shared" si="19"/>
        <v>À Vista</v>
      </c>
      <c r="AH1165" t="str">
        <f>IF(AND(SUMIF(E:E,E1165,I:I)&gt;=400000,Q1165="B2G"),"n","")</f>
        <v/>
      </c>
    </row>
    <row r="1166" spans="1:34">
      <c r="A1166">
        <v>2026</v>
      </c>
      <c r="B1166">
        <v>2</v>
      </c>
      <c r="C1166" s="83">
        <v>19435513640</v>
      </c>
      <c r="D1166" t="s">
        <v>1169</v>
      </c>
      <c r="E1166">
        <v>55686955269</v>
      </c>
      <c r="F1166">
        <v>505286</v>
      </c>
      <c r="G1166">
        <v>51425098157</v>
      </c>
      <c r="H1166" t="s">
        <v>35</v>
      </c>
      <c r="I1166" s="36">
        <v>5436</v>
      </c>
      <c r="J1166" s="36">
        <v>5436</v>
      </c>
      <c r="K1166" s="85">
        <v>0</v>
      </c>
      <c r="L1166" s="36">
        <v>453</v>
      </c>
      <c r="M1166" s="36">
        <v>0</v>
      </c>
      <c r="N1166" s="36">
        <v>0</v>
      </c>
      <c r="O1166" s="36">
        <v>452.99803500000002</v>
      </c>
      <c r="P1166" t="s">
        <v>110</v>
      </c>
      <c r="Q1166" t="s">
        <v>111</v>
      </c>
      <c r="R1166" t="s">
        <v>111</v>
      </c>
      <c r="S1166" s="1">
        <v>46071</v>
      </c>
      <c r="T1166" s="1">
        <v>46071</v>
      </c>
      <c r="U1166" s="1">
        <v>46061</v>
      </c>
      <c r="V1166" s="1">
        <v>46436</v>
      </c>
      <c r="W1166" t="s">
        <v>38</v>
      </c>
      <c r="X1166">
        <v>12</v>
      </c>
      <c r="Y1166" t="s">
        <v>49</v>
      </c>
      <c r="Z1166" t="s">
        <v>81</v>
      </c>
      <c r="AA1166" t="s">
        <v>92</v>
      </c>
      <c r="AB1166">
        <v>12</v>
      </c>
      <c r="AC1166" t="s">
        <v>113</v>
      </c>
      <c r="AD1166" t="s">
        <v>85</v>
      </c>
      <c r="AE1166" t="s">
        <v>46</v>
      </c>
      <c r="AF1166" t="s">
        <v>44</v>
      </c>
      <c r="AG1166" t="str">
        <f t="shared" si="19"/>
        <v>Recorrente</v>
      </c>
      <c r="AH1166" t="str">
        <f>IF(AND(SUMIF(E:E,E1166,I:I)&gt;=400000,Q1166="B2G"),"n","")</f>
        <v/>
      </c>
    </row>
    <row r="1167" spans="1:34">
      <c r="A1167">
        <v>2026</v>
      </c>
      <c r="B1167">
        <v>2</v>
      </c>
      <c r="C1167" s="83">
        <v>19435529480</v>
      </c>
      <c r="D1167" t="s">
        <v>1170</v>
      </c>
      <c r="E1167">
        <v>46040925450</v>
      </c>
      <c r="F1167">
        <v>636018</v>
      </c>
      <c r="G1167">
        <v>51226152522</v>
      </c>
      <c r="H1167" t="s">
        <v>35</v>
      </c>
      <c r="I1167" s="36">
        <v>27864</v>
      </c>
      <c r="J1167" s="36">
        <v>9288</v>
      </c>
      <c r="K1167" s="85">
        <v>18576</v>
      </c>
      <c r="L1167" s="36">
        <v>774</v>
      </c>
      <c r="M1167" s="36">
        <v>774</v>
      </c>
      <c r="N1167" s="36">
        <v>0</v>
      </c>
      <c r="O1167" s="36">
        <v>0</v>
      </c>
      <c r="P1167" t="s">
        <v>36</v>
      </c>
      <c r="Q1167" t="s">
        <v>37</v>
      </c>
      <c r="R1167" t="s">
        <v>37</v>
      </c>
      <c r="S1167" s="1">
        <v>46063</v>
      </c>
      <c r="T1167" s="1">
        <v>46063</v>
      </c>
      <c r="V1167" s="1">
        <v>47159</v>
      </c>
      <c r="W1167" t="s">
        <v>102</v>
      </c>
      <c r="X1167">
        <v>36</v>
      </c>
      <c r="Y1167" t="s">
        <v>49</v>
      </c>
      <c r="AA1167" t="s">
        <v>40</v>
      </c>
      <c r="AB1167">
        <v>1</v>
      </c>
      <c r="AC1167" t="s">
        <v>41</v>
      </c>
      <c r="AD1167" t="s">
        <v>53</v>
      </c>
      <c r="AE1167" t="s">
        <v>43</v>
      </c>
      <c r="AF1167" t="s">
        <v>44</v>
      </c>
      <c r="AG1167" t="str">
        <f t="shared" si="19"/>
        <v>À Vista</v>
      </c>
      <c r="AH1167" t="str">
        <f>IF(AND(SUMIF(E:E,E1167,I:I)&gt;=400000,Q1167="B2G"),"n","")</f>
        <v/>
      </c>
    </row>
    <row r="1168" spans="1:34">
      <c r="A1168">
        <v>2026</v>
      </c>
      <c r="B1168">
        <v>2</v>
      </c>
      <c r="C1168" s="83">
        <v>19435539221</v>
      </c>
      <c r="D1168" t="s">
        <v>1171</v>
      </c>
      <c r="E1168">
        <v>52374174518</v>
      </c>
      <c r="F1168">
        <v>608848</v>
      </c>
      <c r="G1168">
        <v>50986606692</v>
      </c>
      <c r="H1168" t="s">
        <v>35</v>
      </c>
      <c r="I1168" s="36">
        <v>4045.44</v>
      </c>
      <c r="J1168" s="36">
        <v>4045.44</v>
      </c>
      <c r="K1168" s="85">
        <v>0</v>
      </c>
      <c r="L1168" s="36">
        <v>337.12</v>
      </c>
      <c r="M1168" s="36">
        <v>0</v>
      </c>
      <c r="N1168" s="36">
        <v>18.989999999999998</v>
      </c>
      <c r="O1168" s="36">
        <v>318.13499999999999</v>
      </c>
      <c r="P1168" t="s">
        <v>133</v>
      </c>
      <c r="Q1168" t="s">
        <v>111</v>
      </c>
      <c r="R1168" t="s">
        <v>111</v>
      </c>
      <c r="S1168" s="1">
        <v>46062</v>
      </c>
      <c r="T1168" s="1">
        <v>46062</v>
      </c>
      <c r="U1168" s="1">
        <v>46059</v>
      </c>
      <c r="V1168" s="1">
        <v>46424</v>
      </c>
      <c r="W1168" t="s">
        <v>38</v>
      </c>
      <c r="X1168">
        <v>12</v>
      </c>
      <c r="Y1168" t="s">
        <v>49</v>
      </c>
      <c r="Z1168" t="s">
        <v>81</v>
      </c>
      <c r="AA1168" t="s">
        <v>112</v>
      </c>
      <c r="AB1168">
        <v>12</v>
      </c>
      <c r="AC1168" t="s">
        <v>113</v>
      </c>
      <c r="AD1168" t="s">
        <v>85</v>
      </c>
      <c r="AE1168" t="s">
        <v>46</v>
      </c>
      <c r="AF1168" t="s">
        <v>44</v>
      </c>
      <c r="AG1168" t="str">
        <f t="shared" si="19"/>
        <v>CC 12x</v>
      </c>
      <c r="AH1168" t="str">
        <f>IF(AND(SUMIF(E:E,E1168,I:I)&gt;=400000,Q1168="B2G"),"n","")</f>
        <v/>
      </c>
    </row>
    <row r="1169" spans="1:34">
      <c r="A1169">
        <v>2026</v>
      </c>
      <c r="B1169">
        <v>2</v>
      </c>
      <c r="C1169" s="83">
        <v>19435539221</v>
      </c>
      <c r="D1169" t="s">
        <v>1171</v>
      </c>
      <c r="E1169">
        <v>52374174518</v>
      </c>
      <c r="F1169">
        <v>608848</v>
      </c>
      <c r="G1169">
        <v>50986606693</v>
      </c>
      <c r="H1169" t="s">
        <v>35</v>
      </c>
      <c r="I1169" s="36">
        <v>4045.44</v>
      </c>
      <c r="J1169" s="36">
        <v>4045.44</v>
      </c>
      <c r="K1169" s="85">
        <v>0</v>
      </c>
      <c r="L1169" s="36">
        <v>337.12</v>
      </c>
      <c r="M1169" s="36">
        <v>0</v>
      </c>
      <c r="N1169" s="36">
        <v>18.989999999999998</v>
      </c>
      <c r="O1169" s="36">
        <v>318.13499999999999</v>
      </c>
      <c r="P1169" t="s">
        <v>133</v>
      </c>
      <c r="Q1169" t="s">
        <v>111</v>
      </c>
      <c r="R1169" t="s">
        <v>111</v>
      </c>
      <c r="S1169" s="1">
        <v>46062</v>
      </c>
      <c r="T1169" s="1">
        <v>46062</v>
      </c>
      <c r="U1169" s="1">
        <v>46059</v>
      </c>
      <c r="V1169" s="1">
        <v>46424</v>
      </c>
      <c r="W1169" t="s">
        <v>38</v>
      </c>
      <c r="X1169">
        <v>12</v>
      </c>
      <c r="Y1169" t="s">
        <v>49</v>
      </c>
      <c r="Z1169" t="s">
        <v>81</v>
      </c>
      <c r="AA1169" t="s">
        <v>112</v>
      </c>
      <c r="AB1169">
        <v>12</v>
      </c>
      <c r="AC1169" t="s">
        <v>113</v>
      </c>
      <c r="AD1169" t="s">
        <v>84</v>
      </c>
      <c r="AE1169" t="s">
        <v>43</v>
      </c>
      <c r="AF1169" t="s">
        <v>44</v>
      </c>
      <c r="AG1169" t="str">
        <f t="shared" si="19"/>
        <v>CC 12x</v>
      </c>
      <c r="AH1169" t="str">
        <f>IF(AND(SUMIF(E:E,E1169,I:I)&gt;=400000,Q1169="B2G"),"n","")</f>
        <v/>
      </c>
    </row>
    <row r="1170" spans="1:34">
      <c r="A1170">
        <v>2026</v>
      </c>
      <c r="B1170">
        <v>2</v>
      </c>
      <c r="C1170" s="83">
        <v>19435543930</v>
      </c>
      <c r="D1170" t="s">
        <v>1172</v>
      </c>
      <c r="E1170">
        <v>56694546768</v>
      </c>
      <c r="F1170">
        <v>528043</v>
      </c>
      <c r="G1170">
        <v>52101627407</v>
      </c>
      <c r="H1170" t="s">
        <v>35</v>
      </c>
      <c r="I1170" s="36">
        <v>5845.44</v>
      </c>
      <c r="J1170" s="36">
        <v>5845.44</v>
      </c>
      <c r="K1170" s="85">
        <v>0</v>
      </c>
      <c r="L1170" s="36">
        <v>487.12</v>
      </c>
      <c r="M1170" s="36">
        <v>0</v>
      </c>
      <c r="N1170" s="36">
        <v>73.984999999999999</v>
      </c>
      <c r="O1170" s="36">
        <v>413.14</v>
      </c>
      <c r="P1170" t="s">
        <v>133</v>
      </c>
      <c r="Q1170" t="s">
        <v>111</v>
      </c>
      <c r="R1170" t="s">
        <v>111</v>
      </c>
      <c r="S1170" s="1">
        <v>46076</v>
      </c>
      <c r="T1170" s="1">
        <v>46076</v>
      </c>
      <c r="U1170" s="1">
        <v>46075</v>
      </c>
      <c r="V1170" s="1">
        <v>46440</v>
      </c>
      <c r="W1170" t="s">
        <v>38</v>
      </c>
      <c r="X1170">
        <v>12</v>
      </c>
      <c r="Y1170" t="s">
        <v>49</v>
      </c>
      <c r="Z1170" t="s">
        <v>81</v>
      </c>
      <c r="AA1170" t="s">
        <v>122</v>
      </c>
      <c r="AB1170">
        <v>12</v>
      </c>
      <c r="AC1170" t="s">
        <v>113</v>
      </c>
      <c r="AD1170" t="s">
        <v>125</v>
      </c>
      <c r="AE1170" t="s">
        <v>43</v>
      </c>
      <c r="AF1170" t="s">
        <v>47</v>
      </c>
      <c r="AG1170" t="str">
        <f t="shared" si="19"/>
        <v>Recorrente</v>
      </c>
      <c r="AH1170" t="str">
        <f>IF(AND(SUMIF(E:E,E1170,I:I)&gt;=400000,Q1170="B2G"),"n","")</f>
        <v/>
      </c>
    </row>
    <row r="1171" spans="1:34">
      <c r="A1171">
        <v>2026</v>
      </c>
      <c r="B1171">
        <v>2</v>
      </c>
      <c r="C1171" s="83">
        <v>19435544156</v>
      </c>
      <c r="D1171" t="s">
        <v>1173</v>
      </c>
      <c r="E1171">
        <v>55966197859</v>
      </c>
      <c r="F1171">
        <v>527827</v>
      </c>
      <c r="G1171">
        <v>51499245613</v>
      </c>
      <c r="H1171" t="s">
        <v>35</v>
      </c>
      <c r="I1171" s="36">
        <v>6715.8</v>
      </c>
      <c r="J1171" s="36">
        <v>6715.8</v>
      </c>
      <c r="K1171" s="85">
        <v>9.0949500000000005E-13</v>
      </c>
      <c r="L1171" s="36">
        <v>559.65</v>
      </c>
      <c r="M1171" s="36">
        <v>0</v>
      </c>
      <c r="N1171" s="36">
        <v>162.44916670000001</v>
      </c>
      <c r="O1171" s="36">
        <v>397.2008333</v>
      </c>
      <c r="P1171" t="s">
        <v>121</v>
      </c>
      <c r="Q1171" t="s">
        <v>111</v>
      </c>
      <c r="R1171" t="s">
        <v>111</v>
      </c>
      <c r="S1171" s="1">
        <v>46066</v>
      </c>
      <c r="T1171" s="1">
        <v>46066</v>
      </c>
      <c r="U1171" s="1">
        <v>46070</v>
      </c>
      <c r="V1171" s="1">
        <v>46435</v>
      </c>
      <c r="W1171" t="s">
        <v>38</v>
      </c>
      <c r="X1171">
        <v>12</v>
      </c>
      <c r="Y1171" t="s">
        <v>49</v>
      </c>
      <c r="Z1171" t="s">
        <v>81</v>
      </c>
      <c r="AA1171" t="s">
        <v>122</v>
      </c>
      <c r="AB1171">
        <v>12</v>
      </c>
      <c r="AC1171" t="s">
        <v>113</v>
      </c>
      <c r="AD1171" t="s">
        <v>131</v>
      </c>
      <c r="AE1171" t="s">
        <v>46</v>
      </c>
      <c r="AF1171" t="s">
        <v>96</v>
      </c>
      <c r="AG1171" t="str">
        <f t="shared" si="19"/>
        <v>Recorrente</v>
      </c>
      <c r="AH1171" t="str">
        <f>IF(AND(SUMIF(E:E,E1171,I:I)&gt;=400000,Q1171="B2G"),"n","")</f>
        <v/>
      </c>
    </row>
    <row r="1172" spans="1:34">
      <c r="A1172">
        <v>2026</v>
      </c>
      <c r="B1172">
        <v>2</v>
      </c>
      <c r="C1172" s="83">
        <v>19435553874</v>
      </c>
      <c r="D1172" t="s">
        <v>1174</v>
      </c>
      <c r="E1172">
        <v>53399805037</v>
      </c>
      <c r="F1172">
        <v>527789</v>
      </c>
      <c r="G1172">
        <v>50274499116</v>
      </c>
      <c r="H1172" t="s">
        <v>35</v>
      </c>
      <c r="I1172" s="36">
        <v>7950.96</v>
      </c>
      <c r="J1172" s="36">
        <v>7950.96</v>
      </c>
      <c r="K1172" s="85">
        <v>0</v>
      </c>
      <c r="L1172" s="36">
        <v>662.58</v>
      </c>
      <c r="M1172" s="36">
        <v>0</v>
      </c>
      <c r="N1172" s="36">
        <v>97.25</v>
      </c>
      <c r="O1172" s="36">
        <v>565.33000000000004</v>
      </c>
      <c r="P1172" t="s">
        <v>133</v>
      </c>
      <c r="Q1172" t="s">
        <v>111</v>
      </c>
      <c r="R1172" t="s">
        <v>111</v>
      </c>
      <c r="S1172" s="1">
        <v>46051</v>
      </c>
      <c r="T1172" s="1">
        <v>46054</v>
      </c>
      <c r="U1172" s="1">
        <v>46075</v>
      </c>
      <c r="V1172" s="1">
        <v>46440</v>
      </c>
      <c r="W1172" t="s">
        <v>38</v>
      </c>
      <c r="X1172">
        <v>12</v>
      </c>
      <c r="Y1172" t="s">
        <v>49</v>
      </c>
      <c r="Z1172" t="s">
        <v>81</v>
      </c>
      <c r="AA1172" t="s">
        <v>112</v>
      </c>
      <c r="AB1172">
        <v>12</v>
      </c>
      <c r="AC1172" t="s">
        <v>113</v>
      </c>
      <c r="AD1172" t="s">
        <v>134</v>
      </c>
      <c r="AE1172" t="s">
        <v>135</v>
      </c>
      <c r="AF1172" t="s">
        <v>44</v>
      </c>
      <c r="AG1172" t="str">
        <f t="shared" si="19"/>
        <v>CC 12x</v>
      </c>
      <c r="AH1172" t="str">
        <f>IF(AND(SUMIF(E:E,E1172,I:I)&gt;=400000,Q1172="B2G"),"n","")</f>
        <v/>
      </c>
    </row>
    <row r="1173" spans="1:34">
      <c r="A1173">
        <v>2026</v>
      </c>
      <c r="B1173">
        <v>2</v>
      </c>
      <c r="C1173" s="83">
        <v>19435564630</v>
      </c>
      <c r="D1173" t="s">
        <v>1175</v>
      </c>
      <c r="E1173">
        <v>55483873175</v>
      </c>
      <c r="F1173">
        <v>635968</v>
      </c>
      <c r="G1173">
        <v>50925737123</v>
      </c>
      <c r="H1173" t="s">
        <v>35</v>
      </c>
      <c r="I1173" s="36">
        <v>5400.96</v>
      </c>
      <c r="J1173" s="36">
        <v>5400.96</v>
      </c>
      <c r="K1173" s="85">
        <v>0</v>
      </c>
      <c r="L1173" s="36">
        <v>450.08</v>
      </c>
      <c r="M1173" s="36">
        <v>0</v>
      </c>
      <c r="N1173" s="36">
        <v>56.575000000000003</v>
      </c>
      <c r="O1173" s="36">
        <v>393.505</v>
      </c>
      <c r="P1173" t="s">
        <v>367</v>
      </c>
      <c r="Q1173" t="s">
        <v>191</v>
      </c>
      <c r="R1173" t="s">
        <v>191</v>
      </c>
      <c r="S1173" s="1">
        <v>46058</v>
      </c>
      <c r="T1173" s="1">
        <v>46059</v>
      </c>
      <c r="U1173" s="1"/>
      <c r="V1173" s="1">
        <v>46424</v>
      </c>
      <c r="W1173" t="s">
        <v>38</v>
      </c>
      <c r="Y1173" t="s">
        <v>49</v>
      </c>
      <c r="AA1173" t="s">
        <v>92</v>
      </c>
      <c r="AB1173">
        <v>12</v>
      </c>
      <c r="AC1173" t="s">
        <v>192</v>
      </c>
      <c r="AD1173" t="s">
        <v>174</v>
      </c>
      <c r="AE1173" t="s">
        <v>43</v>
      </c>
      <c r="AF1173" t="s">
        <v>47</v>
      </c>
      <c r="AG1173" t="str">
        <f t="shared" si="19"/>
        <v>Recorrente</v>
      </c>
      <c r="AH1173" t="str">
        <f>IF(AND(SUMIF(E:E,E1173,I:I)&gt;=400000,Q1173="B2G"),"n","")</f>
        <v/>
      </c>
    </row>
    <row r="1174" spans="1:34">
      <c r="A1174">
        <v>2026</v>
      </c>
      <c r="B1174">
        <v>2</v>
      </c>
      <c r="C1174" s="83">
        <v>19435564630</v>
      </c>
      <c r="D1174" t="s">
        <v>1175</v>
      </c>
      <c r="E1174">
        <v>55483873175</v>
      </c>
      <c r="F1174">
        <v>635968</v>
      </c>
      <c r="G1174">
        <v>50925737124</v>
      </c>
      <c r="H1174" t="s">
        <v>35</v>
      </c>
      <c r="I1174" s="36">
        <v>5400.96</v>
      </c>
      <c r="J1174" s="36">
        <v>5400.96</v>
      </c>
      <c r="K1174" s="85">
        <v>0</v>
      </c>
      <c r="L1174" s="36">
        <v>450.08</v>
      </c>
      <c r="M1174" s="36">
        <v>0</v>
      </c>
      <c r="N1174" s="36">
        <v>56.575000000000003</v>
      </c>
      <c r="O1174" s="36">
        <v>393.505</v>
      </c>
      <c r="P1174" t="s">
        <v>367</v>
      </c>
      <c r="Q1174" t="s">
        <v>191</v>
      </c>
      <c r="R1174" t="s">
        <v>191</v>
      </c>
      <c r="S1174" s="1">
        <v>46058</v>
      </c>
      <c r="T1174" s="1">
        <v>46059</v>
      </c>
      <c r="U1174" s="1"/>
      <c r="V1174" s="1">
        <v>46424</v>
      </c>
      <c r="W1174" t="s">
        <v>38</v>
      </c>
      <c r="Y1174" t="s">
        <v>49</v>
      </c>
      <c r="AA1174" t="s">
        <v>92</v>
      </c>
      <c r="AB1174">
        <v>12</v>
      </c>
      <c r="AC1174" t="s">
        <v>192</v>
      </c>
      <c r="AD1174" t="s">
        <v>174</v>
      </c>
      <c r="AE1174" t="s">
        <v>43</v>
      </c>
      <c r="AF1174" t="s">
        <v>47</v>
      </c>
      <c r="AG1174" t="str">
        <f t="shared" si="19"/>
        <v>Recorrente</v>
      </c>
      <c r="AH1174" t="str">
        <f>IF(AND(SUMIF(E:E,E1174,I:I)&gt;=400000,Q1174="B2G"),"n","")</f>
        <v/>
      </c>
    </row>
    <row r="1175" spans="1:34">
      <c r="A1175">
        <v>2026</v>
      </c>
      <c r="B1175">
        <v>2</v>
      </c>
      <c r="C1175" s="83">
        <v>19435566900</v>
      </c>
      <c r="D1175" t="s">
        <v>1176</v>
      </c>
      <c r="E1175">
        <v>53028975111</v>
      </c>
      <c r="F1175">
        <v>609156</v>
      </c>
      <c r="G1175">
        <v>48146597043</v>
      </c>
      <c r="H1175" t="s">
        <v>35</v>
      </c>
      <c r="I1175" s="36">
        <v>5754</v>
      </c>
      <c r="J1175" s="36">
        <v>5754</v>
      </c>
      <c r="K1175" s="85">
        <v>0</v>
      </c>
      <c r="L1175" s="36">
        <v>479.5</v>
      </c>
      <c r="M1175" s="36">
        <v>0</v>
      </c>
      <c r="N1175" s="36">
        <v>26.5</v>
      </c>
      <c r="O1175" s="36">
        <v>453</v>
      </c>
      <c r="P1175" t="s">
        <v>165</v>
      </c>
      <c r="Q1175" t="s">
        <v>166</v>
      </c>
      <c r="R1175" t="s">
        <v>166</v>
      </c>
      <c r="S1175" s="1">
        <v>46068</v>
      </c>
      <c r="T1175" s="1">
        <v>46068</v>
      </c>
      <c r="U1175" s="1">
        <v>46068</v>
      </c>
      <c r="V1175" s="1">
        <v>46433</v>
      </c>
      <c r="W1175" t="s">
        <v>38</v>
      </c>
      <c r="X1175">
        <v>12</v>
      </c>
      <c r="Y1175" t="s">
        <v>49</v>
      </c>
      <c r="Z1175" t="s">
        <v>81</v>
      </c>
      <c r="AA1175" t="s">
        <v>122</v>
      </c>
      <c r="AB1175">
        <v>11</v>
      </c>
      <c r="AC1175" t="s">
        <v>166</v>
      </c>
      <c r="AD1175" t="s">
        <v>85</v>
      </c>
      <c r="AE1175" t="s">
        <v>46</v>
      </c>
      <c r="AF1175" t="s">
        <v>44</v>
      </c>
      <c r="AG1175" t="str">
        <f t="shared" si="19"/>
        <v>Recorrente</v>
      </c>
      <c r="AH1175" t="str">
        <f>IF(AND(SUMIF(E:E,E1175,I:I)&gt;=400000,Q1175="B2G"),"n","")</f>
        <v/>
      </c>
    </row>
    <row r="1176" spans="1:34">
      <c r="A1176">
        <v>2026</v>
      </c>
      <c r="B1176">
        <v>2</v>
      </c>
      <c r="C1176" s="83">
        <v>19435572293</v>
      </c>
      <c r="D1176" t="s">
        <v>1177</v>
      </c>
      <c r="E1176">
        <v>53620281521</v>
      </c>
      <c r="F1176">
        <v>289343</v>
      </c>
      <c r="G1176">
        <v>49068536187</v>
      </c>
      <c r="H1176" t="s">
        <v>35</v>
      </c>
      <c r="I1176" s="36">
        <v>5553.24</v>
      </c>
      <c r="J1176" s="36">
        <v>5553.24</v>
      </c>
      <c r="K1176" s="85">
        <v>0</v>
      </c>
      <c r="L1176" s="36">
        <v>462.77</v>
      </c>
      <c r="M1176" s="36">
        <v>0</v>
      </c>
      <c r="N1176" s="36">
        <v>88.278750000000002</v>
      </c>
      <c r="O1176" s="36">
        <v>374.49</v>
      </c>
      <c r="P1176" t="s">
        <v>137</v>
      </c>
      <c r="Q1176" t="s">
        <v>111</v>
      </c>
      <c r="R1176" t="s">
        <v>111</v>
      </c>
      <c r="S1176" s="1">
        <v>46037</v>
      </c>
      <c r="T1176" s="1">
        <v>46054</v>
      </c>
      <c r="U1176" s="1">
        <v>46076</v>
      </c>
      <c r="V1176" s="1">
        <v>46441</v>
      </c>
      <c r="W1176" t="s">
        <v>38</v>
      </c>
      <c r="X1176">
        <v>12</v>
      </c>
      <c r="Y1176" t="s">
        <v>49</v>
      </c>
      <c r="Z1176" t="s">
        <v>81</v>
      </c>
      <c r="AA1176" t="s">
        <v>122</v>
      </c>
      <c r="AB1176">
        <v>12</v>
      </c>
      <c r="AC1176" t="s">
        <v>113</v>
      </c>
      <c r="AD1176" t="s">
        <v>125</v>
      </c>
      <c r="AE1176" t="s">
        <v>43</v>
      </c>
      <c r="AF1176" t="s">
        <v>47</v>
      </c>
      <c r="AG1176" t="str">
        <f t="shared" si="19"/>
        <v>Recorrente</v>
      </c>
      <c r="AH1176" t="str">
        <f>IF(AND(SUMIF(E:E,E1176,I:I)&gt;=400000,Q1176="B2G"),"n","")</f>
        <v/>
      </c>
    </row>
    <row r="1177" spans="1:34">
      <c r="A1177">
        <v>2026</v>
      </c>
      <c r="B1177">
        <v>2</v>
      </c>
      <c r="C1177" s="83">
        <v>19435580580</v>
      </c>
      <c r="D1177" t="s">
        <v>1178</v>
      </c>
      <c r="E1177">
        <v>54223510822</v>
      </c>
      <c r="F1177">
        <v>635991</v>
      </c>
      <c r="G1177">
        <v>50879750713</v>
      </c>
      <c r="H1177" t="s">
        <v>35</v>
      </c>
      <c r="I1177" s="36">
        <v>9594</v>
      </c>
      <c r="J1177" s="36">
        <v>9594</v>
      </c>
      <c r="K1177" s="85">
        <v>0</v>
      </c>
      <c r="L1177" s="36">
        <v>799.5</v>
      </c>
      <c r="M1177" s="36">
        <v>799.5</v>
      </c>
      <c r="N1177" s="36">
        <v>0</v>
      </c>
      <c r="O1177" s="36">
        <v>0</v>
      </c>
      <c r="P1177" t="s">
        <v>78</v>
      </c>
      <c r="Q1177" t="s">
        <v>79</v>
      </c>
      <c r="R1177" t="s">
        <v>80</v>
      </c>
      <c r="S1177" s="1">
        <v>46059</v>
      </c>
      <c r="T1177" s="1">
        <v>46059</v>
      </c>
      <c r="V1177" s="1">
        <v>46424</v>
      </c>
      <c r="W1177" t="s">
        <v>38</v>
      </c>
      <c r="X1177">
        <v>12</v>
      </c>
      <c r="Y1177" t="s">
        <v>49</v>
      </c>
      <c r="AA1177" t="s">
        <v>82</v>
      </c>
      <c r="AB1177">
        <v>1</v>
      </c>
      <c r="AC1177" t="s">
        <v>83</v>
      </c>
      <c r="AD1177" t="s">
        <v>131</v>
      </c>
      <c r="AE1177" t="s">
        <v>46</v>
      </c>
      <c r="AF1177" t="s">
        <v>96</v>
      </c>
      <c r="AG1177" t="str">
        <f t="shared" si="19"/>
        <v>À Vista</v>
      </c>
      <c r="AH1177" t="str">
        <f>IF(AND(SUMIF(E:E,E1177,I:I)&gt;=400000,Q1177="B2G"),"n","")</f>
        <v/>
      </c>
    </row>
    <row r="1178" spans="1:34">
      <c r="A1178">
        <v>2026</v>
      </c>
      <c r="B1178">
        <v>2</v>
      </c>
      <c r="C1178" s="83">
        <v>19435580580</v>
      </c>
      <c r="D1178" t="s">
        <v>1178</v>
      </c>
      <c r="E1178">
        <v>54223510822</v>
      </c>
      <c r="F1178">
        <v>635991</v>
      </c>
      <c r="G1178">
        <v>50879750714</v>
      </c>
      <c r="H1178" t="s">
        <v>35</v>
      </c>
      <c r="I1178" s="36">
        <v>1074</v>
      </c>
      <c r="J1178" s="36">
        <v>1074</v>
      </c>
      <c r="K1178" s="85">
        <v>0</v>
      </c>
      <c r="L1178" s="36">
        <v>89.5</v>
      </c>
      <c r="M1178" s="36">
        <v>89.5</v>
      </c>
      <c r="N1178" s="36">
        <v>0</v>
      </c>
      <c r="O1178" s="36">
        <v>0</v>
      </c>
      <c r="P1178" t="s">
        <v>78</v>
      </c>
      <c r="Q1178" t="s">
        <v>79</v>
      </c>
      <c r="R1178" t="s">
        <v>80</v>
      </c>
      <c r="S1178" s="1">
        <v>46059</v>
      </c>
      <c r="T1178" s="1">
        <v>46059</v>
      </c>
      <c r="V1178" s="1">
        <v>46424</v>
      </c>
      <c r="W1178" t="s">
        <v>38</v>
      </c>
      <c r="X1178">
        <v>12</v>
      </c>
      <c r="Y1178" t="s">
        <v>49</v>
      </c>
      <c r="AA1178" t="s">
        <v>82</v>
      </c>
      <c r="AB1178">
        <v>1</v>
      </c>
      <c r="AC1178" t="s">
        <v>83</v>
      </c>
      <c r="AD1178" t="s">
        <v>256</v>
      </c>
      <c r="AE1178" t="s">
        <v>257</v>
      </c>
      <c r="AF1178" t="s">
        <v>59</v>
      </c>
      <c r="AG1178" t="str">
        <f t="shared" si="19"/>
        <v>À Vista</v>
      </c>
      <c r="AH1178" t="str">
        <f>IF(AND(SUMIF(E:E,E1178,I:I)&gt;=400000,Q1178="B2G"),"n","")</f>
        <v/>
      </c>
    </row>
    <row r="1179" spans="1:34">
      <c r="A1179">
        <v>2026</v>
      </c>
      <c r="B1179">
        <v>2</v>
      </c>
      <c r="C1179" s="83">
        <v>19435580580</v>
      </c>
      <c r="D1179" t="s">
        <v>1178</v>
      </c>
      <c r="E1179">
        <v>54223510822</v>
      </c>
      <c r="F1179">
        <v>635991</v>
      </c>
      <c r="G1179">
        <v>50879750715</v>
      </c>
      <c r="H1179" t="s">
        <v>35</v>
      </c>
      <c r="I1179" s="36">
        <v>6354</v>
      </c>
      <c r="J1179" s="36">
        <v>6354</v>
      </c>
      <c r="K1179" s="85">
        <v>0</v>
      </c>
      <c r="L1179" s="36">
        <v>529.5</v>
      </c>
      <c r="M1179" s="36">
        <v>529.5</v>
      </c>
      <c r="N1179" s="36">
        <v>0</v>
      </c>
      <c r="O1179" s="36">
        <v>0</v>
      </c>
      <c r="P1179" t="s">
        <v>78</v>
      </c>
      <c r="Q1179" t="s">
        <v>79</v>
      </c>
      <c r="R1179" t="s">
        <v>80</v>
      </c>
      <c r="S1179" s="1">
        <v>46059</v>
      </c>
      <c r="T1179" s="1">
        <v>46059</v>
      </c>
      <c r="U1179" s="1"/>
      <c r="V1179" s="1">
        <v>46424</v>
      </c>
      <c r="W1179" t="s">
        <v>38</v>
      </c>
      <c r="X1179">
        <v>12</v>
      </c>
      <c r="Y1179" t="s">
        <v>49</v>
      </c>
      <c r="AA1179" t="s">
        <v>82</v>
      </c>
      <c r="AB1179">
        <v>1</v>
      </c>
      <c r="AC1179" t="s">
        <v>83</v>
      </c>
      <c r="AD1179" t="s">
        <v>149</v>
      </c>
      <c r="AE1179" t="s">
        <v>43</v>
      </c>
      <c r="AF1179" t="s">
        <v>96</v>
      </c>
      <c r="AG1179" t="str">
        <f t="shared" si="19"/>
        <v>À Vista</v>
      </c>
      <c r="AH1179" t="str">
        <f>IF(AND(SUMIF(E:E,E1179,I:I)&gt;=400000,Q1179="B2G"),"n","")</f>
        <v/>
      </c>
    </row>
    <row r="1180" spans="1:34">
      <c r="A1180">
        <v>2026</v>
      </c>
      <c r="B1180">
        <v>2</v>
      </c>
      <c r="C1180" s="83">
        <v>19435580580</v>
      </c>
      <c r="D1180" t="s">
        <v>1178</v>
      </c>
      <c r="E1180">
        <v>54223510822</v>
      </c>
      <c r="F1180">
        <v>635991</v>
      </c>
      <c r="G1180">
        <v>50879750716</v>
      </c>
      <c r="H1180" t="s">
        <v>35</v>
      </c>
      <c r="I1180" s="36">
        <v>8394</v>
      </c>
      <c r="J1180" s="36">
        <v>8394</v>
      </c>
      <c r="K1180" s="85">
        <v>0</v>
      </c>
      <c r="L1180" s="36">
        <v>699.5</v>
      </c>
      <c r="M1180" s="36">
        <v>699.5</v>
      </c>
      <c r="N1180" s="36">
        <v>0</v>
      </c>
      <c r="O1180" s="36">
        <v>0</v>
      </c>
      <c r="P1180" t="s">
        <v>78</v>
      </c>
      <c r="Q1180" t="s">
        <v>79</v>
      </c>
      <c r="R1180" t="s">
        <v>80</v>
      </c>
      <c r="S1180" s="1">
        <v>46059</v>
      </c>
      <c r="T1180" s="1">
        <v>46059</v>
      </c>
      <c r="U1180" s="1"/>
      <c r="V1180" s="1">
        <v>46424</v>
      </c>
      <c r="W1180" t="s">
        <v>38</v>
      </c>
      <c r="X1180">
        <v>12</v>
      </c>
      <c r="Y1180" t="s">
        <v>49</v>
      </c>
      <c r="AA1180" t="s">
        <v>82</v>
      </c>
      <c r="AB1180">
        <v>1</v>
      </c>
      <c r="AC1180" t="s">
        <v>83</v>
      </c>
      <c r="AD1180" t="s">
        <v>94</v>
      </c>
      <c r="AE1180" t="s">
        <v>95</v>
      </c>
      <c r="AF1180" t="s">
        <v>96</v>
      </c>
      <c r="AG1180" t="str">
        <f t="shared" si="19"/>
        <v>À Vista</v>
      </c>
      <c r="AH1180" t="str">
        <f>IF(AND(SUMIF(E:E,E1180,I:I)&gt;=400000,Q1180="B2G"),"n","")</f>
        <v/>
      </c>
    </row>
    <row r="1181" spans="1:34">
      <c r="A1181">
        <v>2026</v>
      </c>
      <c r="B1181">
        <v>2</v>
      </c>
      <c r="C1181" s="83">
        <v>19435580598</v>
      </c>
      <c r="D1181" t="s">
        <v>1179</v>
      </c>
      <c r="E1181">
        <v>55474525972</v>
      </c>
      <c r="F1181">
        <v>328317</v>
      </c>
      <c r="G1181">
        <v>51841815147</v>
      </c>
      <c r="H1181" t="s">
        <v>35</v>
      </c>
      <c r="I1181" s="36">
        <v>4860.84</v>
      </c>
      <c r="J1181" s="36">
        <v>4860.84</v>
      </c>
      <c r="K1181" s="85">
        <v>0</v>
      </c>
      <c r="L1181" s="36">
        <v>405.07</v>
      </c>
      <c r="M1181" s="36">
        <v>0</v>
      </c>
      <c r="N1181" s="36">
        <v>7.0175000000000001</v>
      </c>
      <c r="O1181" s="36">
        <v>398.05</v>
      </c>
      <c r="P1181" t="s">
        <v>137</v>
      </c>
      <c r="Q1181" t="s">
        <v>111</v>
      </c>
      <c r="R1181" t="s">
        <v>111</v>
      </c>
      <c r="S1181" s="1">
        <v>46071</v>
      </c>
      <c r="T1181" s="1">
        <v>46071</v>
      </c>
      <c r="U1181" s="1">
        <v>46056</v>
      </c>
      <c r="V1181" s="1">
        <v>46436</v>
      </c>
      <c r="W1181" t="s">
        <v>38</v>
      </c>
      <c r="X1181">
        <v>12</v>
      </c>
      <c r="Y1181" t="s">
        <v>49</v>
      </c>
      <c r="Z1181" t="s">
        <v>76</v>
      </c>
      <c r="AA1181" t="s">
        <v>112</v>
      </c>
      <c r="AB1181">
        <v>12</v>
      </c>
      <c r="AC1181" t="s">
        <v>113</v>
      </c>
      <c r="AD1181" t="s">
        <v>158</v>
      </c>
      <c r="AE1181" t="s">
        <v>43</v>
      </c>
      <c r="AF1181" t="s">
        <v>47</v>
      </c>
      <c r="AG1181" t="str">
        <f t="shared" si="19"/>
        <v>CC 12x</v>
      </c>
      <c r="AH1181" t="str">
        <f>IF(AND(SUMIF(E:E,E1181,I:I)&gt;=400000,Q1181="B2G"),"n","")</f>
        <v/>
      </c>
    </row>
    <row r="1182" spans="1:34">
      <c r="A1182">
        <v>2026</v>
      </c>
      <c r="B1182">
        <v>2</v>
      </c>
      <c r="C1182" s="83">
        <v>19435589410</v>
      </c>
      <c r="D1182" t="s">
        <v>1180</v>
      </c>
      <c r="E1182">
        <v>55682304069</v>
      </c>
      <c r="F1182">
        <v>624239</v>
      </c>
      <c r="G1182">
        <v>50981282363</v>
      </c>
      <c r="H1182" t="s">
        <v>35</v>
      </c>
      <c r="I1182" s="36">
        <v>2736</v>
      </c>
      <c r="J1182" s="36">
        <v>2736</v>
      </c>
      <c r="K1182" s="85">
        <v>0</v>
      </c>
      <c r="L1182" s="36">
        <v>228</v>
      </c>
      <c r="M1182" s="36">
        <v>228</v>
      </c>
      <c r="N1182" s="36">
        <v>0</v>
      </c>
      <c r="O1182" s="36">
        <v>0</v>
      </c>
      <c r="P1182" t="s">
        <v>127</v>
      </c>
      <c r="Q1182" t="s">
        <v>111</v>
      </c>
      <c r="R1182" t="s">
        <v>111</v>
      </c>
      <c r="S1182" s="1">
        <v>46059</v>
      </c>
      <c r="T1182" s="1">
        <v>46059</v>
      </c>
      <c r="U1182" s="1">
        <v>45988</v>
      </c>
      <c r="V1182" s="1">
        <v>46446</v>
      </c>
      <c r="W1182" t="s">
        <v>38</v>
      </c>
      <c r="X1182">
        <v>15</v>
      </c>
      <c r="Y1182" t="s">
        <v>49</v>
      </c>
      <c r="Z1182" t="s">
        <v>81</v>
      </c>
      <c r="AA1182" t="s">
        <v>92</v>
      </c>
      <c r="AB1182">
        <v>12</v>
      </c>
      <c r="AC1182" t="s">
        <v>113</v>
      </c>
      <c r="AD1182" t="s">
        <v>140</v>
      </c>
      <c r="AE1182" t="s">
        <v>46</v>
      </c>
      <c r="AF1182" t="s">
        <v>119</v>
      </c>
      <c r="AG1182" t="str">
        <f t="shared" si="19"/>
        <v>Recorrente</v>
      </c>
      <c r="AH1182" t="str">
        <f>IF(AND(SUMIF(E:E,E1182,I:I)&gt;=400000,Q1182="B2G"),"n","")</f>
        <v/>
      </c>
    </row>
    <row r="1183" spans="1:34">
      <c r="A1183">
        <v>2026</v>
      </c>
      <c r="B1183">
        <v>2</v>
      </c>
      <c r="C1183" s="83">
        <v>19435599794</v>
      </c>
      <c r="D1183" t="s">
        <v>1181</v>
      </c>
      <c r="E1183">
        <v>55835873944</v>
      </c>
      <c r="F1183">
        <v>636132</v>
      </c>
      <c r="G1183">
        <v>51909809534</v>
      </c>
      <c r="H1183" t="s">
        <v>35</v>
      </c>
      <c r="I1183" s="36">
        <v>2586.6</v>
      </c>
      <c r="J1183" s="36">
        <v>2586.6</v>
      </c>
      <c r="K1183" s="85">
        <v>0</v>
      </c>
      <c r="L1183" s="36">
        <v>215.55</v>
      </c>
      <c r="M1183" s="36">
        <v>215.55</v>
      </c>
      <c r="N1183" s="36">
        <v>0</v>
      </c>
      <c r="O1183" s="36">
        <v>0</v>
      </c>
      <c r="P1183" t="s">
        <v>313</v>
      </c>
      <c r="Q1183" t="s">
        <v>314</v>
      </c>
      <c r="R1183" t="s">
        <v>314</v>
      </c>
      <c r="S1183" s="1">
        <v>46072</v>
      </c>
      <c r="T1183" s="1">
        <v>46072</v>
      </c>
      <c r="V1183" s="1">
        <v>46437</v>
      </c>
      <c r="W1183" t="s">
        <v>38</v>
      </c>
      <c r="X1183">
        <v>12</v>
      </c>
      <c r="Y1183" t="s">
        <v>49</v>
      </c>
      <c r="AA1183" t="s">
        <v>92</v>
      </c>
      <c r="AB1183">
        <v>12</v>
      </c>
      <c r="AC1183" t="s">
        <v>315</v>
      </c>
      <c r="AD1183" t="s">
        <v>140</v>
      </c>
      <c r="AE1183" t="s">
        <v>46</v>
      </c>
      <c r="AF1183" t="s">
        <v>119</v>
      </c>
      <c r="AG1183" t="str">
        <f t="shared" si="19"/>
        <v>Recorrente</v>
      </c>
      <c r="AH1183" t="str">
        <f>IF(AND(SUMIF(E:E,E1183,I:I)&gt;=400000,Q1183="B2G"),"n","")</f>
        <v/>
      </c>
    </row>
    <row r="1184" spans="1:34">
      <c r="A1184">
        <v>2026</v>
      </c>
      <c r="B1184">
        <v>2</v>
      </c>
      <c r="C1184" s="83">
        <v>19435603735</v>
      </c>
      <c r="D1184" t="s">
        <v>1182</v>
      </c>
      <c r="E1184">
        <v>53278200587</v>
      </c>
      <c r="F1184">
        <v>304184</v>
      </c>
      <c r="G1184">
        <v>48671042460</v>
      </c>
      <c r="H1184" t="s">
        <v>35</v>
      </c>
      <c r="I1184" s="36">
        <v>8886.24</v>
      </c>
      <c r="J1184" s="36">
        <v>8886.24</v>
      </c>
      <c r="K1184" s="85">
        <v>0</v>
      </c>
      <c r="L1184" s="36">
        <v>740.52</v>
      </c>
      <c r="M1184" s="36">
        <v>0</v>
      </c>
      <c r="N1184" s="36">
        <v>91.525000000000006</v>
      </c>
      <c r="O1184" s="36">
        <v>649</v>
      </c>
      <c r="P1184" t="s">
        <v>110</v>
      </c>
      <c r="Q1184" t="s">
        <v>111</v>
      </c>
      <c r="R1184" t="s">
        <v>111</v>
      </c>
      <c r="S1184" s="1">
        <v>46031</v>
      </c>
      <c r="T1184" s="1">
        <v>46054</v>
      </c>
      <c r="U1184" s="1">
        <v>46053</v>
      </c>
      <c r="V1184" s="1">
        <v>46418</v>
      </c>
      <c r="W1184" t="s">
        <v>38</v>
      </c>
      <c r="X1184">
        <v>12</v>
      </c>
      <c r="Y1184" t="s">
        <v>49</v>
      </c>
      <c r="Z1184" t="s">
        <v>81</v>
      </c>
      <c r="AA1184" t="s">
        <v>122</v>
      </c>
      <c r="AB1184">
        <v>10</v>
      </c>
      <c r="AC1184" t="s">
        <v>113</v>
      </c>
      <c r="AD1184" t="s">
        <v>134</v>
      </c>
      <c r="AE1184" t="s">
        <v>135</v>
      </c>
      <c r="AF1184" t="s">
        <v>44</v>
      </c>
      <c r="AG1184" t="str">
        <f t="shared" si="19"/>
        <v>Recorrente</v>
      </c>
      <c r="AH1184" t="str">
        <f>IF(AND(SUMIF(E:E,E1184,I:I)&gt;=400000,Q1184="B2G"),"n","")</f>
        <v/>
      </c>
    </row>
    <row r="1185" spans="1:34">
      <c r="A1185">
        <v>2026</v>
      </c>
      <c r="B1185">
        <v>2</v>
      </c>
      <c r="C1185" s="83">
        <v>19435607079</v>
      </c>
      <c r="D1185" t="s">
        <v>1183</v>
      </c>
      <c r="E1185">
        <v>53412326452</v>
      </c>
      <c r="F1185">
        <v>524737</v>
      </c>
      <c r="G1185">
        <v>49068609842</v>
      </c>
      <c r="H1185" t="s">
        <v>35</v>
      </c>
      <c r="I1185" s="36">
        <v>4638.6000000000004</v>
      </c>
      <c r="J1185" s="36">
        <v>4638.6000000000004</v>
      </c>
      <c r="K1185" s="85">
        <v>0</v>
      </c>
      <c r="L1185" s="36">
        <v>386.55</v>
      </c>
      <c r="M1185" s="36">
        <v>0</v>
      </c>
      <c r="N1185" s="36">
        <v>49.95</v>
      </c>
      <c r="O1185" s="36">
        <v>336.6</v>
      </c>
      <c r="P1185" t="s">
        <v>110</v>
      </c>
      <c r="Q1185" t="s">
        <v>111</v>
      </c>
      <c r="R1185" t="s">
        <v>111</v>
      </c>
      <c r="S1185" s="1">
        <v>46038</v>
      </c>
      <c r="T1185" s="1">
        <v>46054</v>
      </c>
      <c r="U1185" s="1">
        <v>46035</v>
      </c>
      <c r="V1185" s="1">
        <v>46400</v>
      </c>
      <c r="W1185" t="s">
        <v>38</v>
      </c>
      <c r="X1185">
        <v>12</v>
      </c>
      <c r="Y1185" t="s">
        <v>49</v>
      </c>
      <c r="Z1185" t="s">
        <v>81</v>
      </c>
      <c r="AA1185" t="s">
        <v>122</v>
      </c>
      <c r="AB1185">
        <v>12</v>
      </c>
      <c r="AC1185" t="s">
        <v>113</v>
      </c>
      <c r="AD1185" t="s">
        <v>163</v>
      </c>
      <c r="AE1185" t="s">
        <v>43</v>
      </c>
      <c r="AF1185" t="s">
        <v>96</v>
      </c>
      <c r="AG1185" t="str">
        <f t="shared" si="19"/>
        <v>Recorrente</v>
      </c>
      <c r="AH1185" t="str">
        <f>IF(AND(SUMIF(E:E,E1185,I:I)&gt;=400000,Q1185="B2G"),"n","")</f>
        <v/>
      </c>
    </row>
    <row r="1186" spans="1:34">
      <c r="A1186">
        <v>2026</v>
      </c>
      <c r="B1186">
        <v>2</v>
      </c>
      <c r="C1186" s="83">
        <v>19435607147</v>
      </c>
      <c r="D1186" t="s">
        <v>1184</v>
      </c>
      <c r="E1186">
        <v>53104113015</v>
      </c>
      <c r="F1186">
        <v>524320</v>
      </c>
      <c r="G1186">
        <v>49669488188</v>
      </c>
      <c r="H1186" t="s">
        <v>35</v>
      </c>
      <c r="I1186" s="36">
        <v>3990</v>
      </c>
      <c r="J1186" s="36">
        <v>3990</v>
      </c>
      <c r="K1186" s="85">
        <v>0</v>
      </c>
      <c r="L1186" s="36">
        <v>332.5</v>
      </c>
      <c r="M1186" s="36">
        <v>0</v>
      </c>
      <c r="N1186" s="36">
        <v>32.5</v>
      </c>
      <c r="O1186" s="36">
        <v>300</v>
      </c>
      <c r="P1186" t="s">
        <v>127</v>
      </c>
      <c r="Q1186" t="s">
        <v>111</v>
      </c>
      <c r="R1186" t="s">
        <v>111</v>
      </c>
      <c r="S1186" s="1">
        <v>46052</v>
      </c>
      <c r="T1186" s="1">
        <v>46054</v>
      </c>
      <c r="U1186" s="1">
        <v>46056</v>
      </c>
      <c r="V1186" s="1">
        <v>46421</v>
      </c>
      <c r="W1186" t="s">
        <v>38</v>
      </c>
      <c r="X1186">
        <v>12</v>
      </c>
      <c r="Y1186" t="s">
        <v>49</v>
      </c>
      <c r="Z1186" t="s">
        <v>81</v>
      </c>
      <c r="AA1186" t="s">
        <v>117</v>
      </c>
      <c r="AB1186">
        <v>1</v>
      </c>
      <c r="AC1186" t="s">
        <v>113</v>
      </c>
      <c r="AD1186" t="s">
        <v>158</v>
      </c>
      <c r="AE1186" t="s">
        <v>43</v>
      </c>
      <c r="AF1186" t="s">
        <v>47</v>
      </c>
      <c r="AG1186" t="str">
        <f t="shared" si="19"/>
        <v>À Vista</v>
      </c>
      <c r="AH1186" t="str">
        <f>IF(AND(SUMIF(E:E,E1186,I:I)&gt;=400000,Q1186="B2G"),"n","")</f>
        <v/>
      </c>
    </row>
    <row r="1187" spans="1:34">
      <c r="A1187">
        <v>2026</v>
      </c>
      <c r="B1187">
        <v>2</v>
      </c>
      <c r="C1187" s="83">
        <v>19435611712</v>
      </c>
      <c r="D1187" t="s">
        <v>1185</v>
      </c>
      <c r="E1187">
        <v>44791583499</v>
      </c>
      <c r="F1187">
        <v>628010</v>
      </c>
      <c r="G1187">
        <v>51461140073</v>
      </c>
      <c r="H1187" t="s">
        <v>35</v>
      </c>
      <c r="I1187" s="36">
        <v>13932</v>
      </c>
      <c r="J1187" s="36">
        <v>4644</v>
      </c>
      <c r="K1187" s="85">
        <v>9288</v>
      </c>
      <c r="L1187" s="36">
        <v>387</v>
      </c>
      <c r="M1187" s="36">
        <v>0</v>
      </c>
      <c r="N1187" s="36">
        <v>0</v>
      </c>
      <c r="O1187" s="36">
        <v>387</v>
      </c>
      <c r="P1187" t="s">
        <v>1165</v>
      </c>
      <c r="Q1187" t="s">
        <v>37</v>
      </c>
      <c r="R1187" t="s">
        <v>37</v>
      </c>
      <c r="S1187" s="1">
        <v>46065</v>
      </c>
      <c r="T1187" s="1">
        <v>46065</v>
      </c>
      <c r="U1187" s="1">
        <v>46109</v>
      </c>
      <c r="V1187" s="1">
        <v>47205</v>
      </c>
      <c r="W1187" t="s">
        <v>102</v>
      </c>
      <c r="X1187">
        <v>36</v>
      </c>
      <c r="Y1187" t="s">
        <v>49</v>
      </c>
      <c r="Z1187" t="s">
        <v>81</v>
      </c>
      <c r="AA1187" t="s">
        <v>40</v>
      </c>
      <c r="AB1187">
        <v>1</v>
      </c>
      <c r="AC1187" t="s">
        <v>41</v>
      </c>
      <c r="AD1187" t="s">
        <v>53</v>
      </c>
      <c r="AE1187" t="s">
        <v>43</v>
      </c>
      <c r="AF1187" t="s">
        <v>44</v>
      </c>
      <c r="AG1187" t="str">
        <f t="shared" si="19"/>
        <v>À Vista</v>
      </c>
      <c r="AH1187" t="str">
        <f>IF(AND(SUMIF(E:E,E1187,I:I)&gt;=400000,Q1187="B2G"),"n","")</f>
        <v/>
      </c>
    </row>
    <row r="1188" spans="1:34">
      <c r="A1188">
        <v>2026</v>
      </c>
      <c r="B1188">
        <v>2</v>
      </c>
      <c r="C1188" s="83">
        <v>19435616835</v>
      </c>
      <c r="D1188" t="s">
        <v>1186</v>
      </c>
      <c r="E1188">
        <v>55516577691</v>
      </c>
      <c r="F1188">
        <v>635972</v>
      </c>
      <c r="G1188">
        <v>50778492960</v>
      </c>
      <c r="H1188" t="s">
        <v>35</v>
      </c>
      <c r="I1188" s="36">
        <v>7794</v>
      </c>
      <c r="J1188" s="36">
        <v>4894.8</v>
      </c>
      <c r="K1188" s="85">
        <v>2899.2</v>
      </c>
      <c r="L1188" s="36">
        <v>407.9</v>
      </c>
      <c r="M1188" s="36">
        <v>0</v>
      </c>
      <c r="N1188" s="36">
        <v>161.13499999999999</v>
      </c>
      <c r="O1188" s="36">
        <v>246.76499999999999</v>
      </c>
      <c r="P1188" t="s">
        <v>367</v>
      </c>
      <c r="Q1188" t="s">
        <v>191</v>
      </c>
      <c r="R1188" t="s">
        <v>191</v>
      </c>
      <c r="S1188" s="1">
        <v>46059</v>
      </c>
      <c r="T1188" s="1">
        <v>46059</v>
      </c>
      <c r="U1188" s="1"/>
      <c r="V1188" s="1">
        <v>46424</v>
      </c>
      <c r="W1188" t="s">
        <v>38</v>
      </c>
      <c r="Y1188" t="s">
        <v>49</v>
      </c>
      <c r="AA1188" t="s">
        <v>122</v>
      </c>
      <c r="AB1188">
        <v>12</v>
      </c>
      <c r="AC1188" t="s">
        <v>192</v>
      </c>
      <c r="AD1188" t="s">
        <v>125</v>
      </c>
      <c r="AE1188" t="s">
        <v>43</v>
      </c>
      <c r="AF1188" t="s">
        <v>47</v>
      </c>
      <c r="AG1188" t="str">
        <f t="shared" si="19"/>
        <v>Recorrente</v>
      </c>
      <c r="AH1188" t="str">
        <f>IF(AND(SUMIF(E:E,E1188,I:I)&gt;=400000,Q1188="B2G"),"n","")</f>
        <v/>
      </c>
    </row>
    <row r="1189" spans="1:34">
      <c r="A1189">
        <v>2026</v>
      </c>
      <c r="B1189">
        <v>2</v>
      </c>
      <c r="C1189" s="83">
        <v>19435616835</v>
      </c>
      <c r="D1189" t="s">
        <v>1186</v>
      </c>
      <c r="E1189">
        <v>55516577691</v>
      </c>
      <c r="F1189">
        <v>635972</v>
      </c>
      <c r="G1189">
        <v>50778492961</v>
      </c>
      <c r="H1189" t="s">
        <v>35</v>
      </c>
      <c r="I1189" s="36">
        <v>7794</v>
      </c>
      <c r="J1189" s="36">
        <v>4894.8</v>
      </c>
      <c r="K1189" s="85">
        <v>2899.2</v>
      </c>
      <c r="L1189" s="36">
        <v>407.9</v>
      </c>
      <c r="M1189" s="36">
        <v>0</v>
      </c>
      <c r="N1189" s="36">
        <v>161.13499999999999</v>
      </c>
      <c r="O1189" s="36">
        <v>246.76499999999999</v>
      </c>
      <c r="P1189" t="s">
        <v>367</v>
      </c>
      <c r="Q1189" t="s">
        <v>191</v>
      </c>
      <c r="R1189" t="s">
        <v>191</v>
      </c>
      <c r="S1189" s="1">
        <v>46059</v>
      </c>
      <c r="T1189" s="1">
        <v>46059</v>
      </c>
      <c r="U1189" s="1"/>
      <c r="V1189" s="1">
        <v>46424</v>
      </c>
      <c r="W1189" t="s">
        <v>38</v>
      </c>
      <c r="Y1189" t="s">
        <v>49</v>
      </c>
      <c r="AA1189" t="s">
        <v>122</v>
      </c>
      <c r="AB1189">
        <v>12</v>
      </c>
      <c r="AC1189" t="s">
        <v>192</v>
      </c>
      <c r="AD1189" t="s">
        <v>125</v>
      </c>
      <c r="AE1189" t="s">
        <v>43</v>
      </c>
      <c r="AF1189" t="s">
        <v>47</v>
      </c>
      <c r="AG1189" t="str">
        <f t="shared" si="19"/>
        <v>Recorrente</v>
      </c>
      <c r="AH1189" t="str">
        <f>IF(AND(SUMIF(E:E,E1189,I:I)&gt;=400000,Q1189="B2G"),"n","")</f>
        <v/>
      </c>
    </row>
    <row r="1190" spans="1:34">
      <c r="A1190">
        <v>2026</v>
      </c>
      <c r="B1190">
        <v>2</v>
      </c>
      <c r="C1190" s="83">
        <v>19435621014</v>
      </c>
      <c r="D1190" t="s">
        <v>1187</v>
      </c>
      <c r="E1190">
        <v>55695956739</v>
      </c>
      <c r="F1190">
        <v>608956</v>
      </c>
      <c r="G1190">
        <v>51499233575</v>
      </c>
      <c r="H1190" t="s">
        <v>35</v>
      </c>
      <c r="I1190" s="36">
        <v>9099.24</v>
      </c>
      <c r="J1190" s="36">
        <v>9099.24</v>
      </c>
      <c r="K1190" s="85">
        <v>0</v>
      </c>
      <c r="L1190" s="36">
        <v>758.27</v>
      </c>
      <c r="M1190" s="36">
        <v>0</v>
      </c>
      <c r="N1190" s="36">
        <v>19.534244999999999</v>
      </c>
      <c r="O1190" s="36">
        <v>738.74</v>
      </c>
      <c r="P1190" t="s">
        <v>116</v>
      </c>
      <c r="Q1190" t="s">
        <v>111</v>
      </c>
      <c r="R1190" t="s">
        <v>111</v>
      </c>
      <c r="S1190" s="1">
        <v>46066</v>
      </c>
      <c r="T1190" s="1">
        <v>46066</v>
      </c>
      <c r="U1190" s="1">
        <v>46060</v>
      </c>
      <c r="V1190" s="1">
        <v>46431</v>
      </c>
      <c r="W1190" t="s">
        <v>38</v>
      </c>
      <c r="X1190">
        <v>12</v>
      </c>
      <c r="Y1190" t="s">
        <v>49</v>
      </c>
      <c r="Z1190" t="s">
        <v>81</v>
      </c>
      <c r="AA1190" t="s">
        <v>117</v>
      </c>
      <c r="AB1190">
        <v>1</v>
      </c>
      <c r="AC1190" t="s">
        <v>113</v>
      </c>
      <c r="AD1190" t="s">
        <v>146</v>
      </c>
      <c r="AE1190" t="s">
        <v>135</v>
      </c>
      <c r="AF1190" t="s">
        <v>96</v>
      </c>
      <c r="AG1190" t="str">
        <f t="shared" si="19"/>
        <v>À Vista</v>
      </c>
      <c r="AH1190" t="str">
        <f>IF(AND(SUMIF(E:E,E1190,I:I)&gt;=400000,Q1190="B2G"),"n","")</f>
        <v/>
      </c>
    </row>
    <row r="1191" spans="1:34">
      <c r="A1191">
        <v>2026</v>
      </c>
      <c r="B1191">
        <v>2</v>
      </c>
      <c r="C1191" s="83">
        <v>19435625851</v>
      </c>
      <c r="D1191" t="s">
        <v>1188</v>
      </c>
      <c r="E1191">
        <v>53141525508</v>
      </c>
      <c r="F1191">
        <v>606792</v>
      </c>
      <c r="G1191">
        <v>48886118768</v>
      </c>
      <c r="H1191" t="s">
        <v>35</v>
      </c>
      <c r="I1191" s="36">
        <v>3990</v>
      </c>
      <c r="J1191" s="36">
        <v>3990</v>
      </c>
      <c r="K1191" s="85">
        <v>0</v>
      </c>
      <c r="L1191" s="36">
        <v>332.5</v>
      </c>
      <c r="M1191" s="36">
        <v>0</v>
      </c>
      <c r="N1191" s="36">
        <v>81.099999999999994</v>
      </c>
      <c r="O1191" s="36">
        <v>251.4</v>
      </c>
      <c r="P1191" t="s">
        <v>127</v>
      </c>
      <c r="Q1191" t="s">
        <v>111</v>
      </c>
      <c r="R1191" t="s">
        <v>111</v>
      </c>
      <c r="S1191" s="1">
        <v>46035</v>
      </c>
      <c r="T1191" s="1">
        <v>46054</v>
      </c>
      <c r="U1191" s="1">
        <v>46024</v>
      </c>
      <c r="V1191" s="1">
        <v>46401</v>
      </c>
      <c r="W1191" t="s">
        <v>38</v>
      </c>
      <c r="X1191">
        <v>12</v>
      </c>
      <c r="Y1191" t="s">
        <v>49</v>
      </c>
      <c r="Z1191" t="s">
        <v>81</v>
      </c>
      <c r="AA1191" t="s">
        <v>117</v>
      </c>
      <c r="AB1191">
        <v>1</v>
      </c>
      <c r="AC1191" t="s">
        <v>113</v>
      </c>
      <c r="AD1191" t="s">
        <v>158</v>
      </c>
      <c r="AE1191" t="s">
        <v>43</v>
      </c>
      <c r="AF1191" t="s">
        <v>47</v>
      </c>
      <c r="AG1191" t="str">
        <f t="shared" si="19"/>
        <v>À Vista</v>
      </c>
      <c r="AH1191" t="str">
        <f>IF(AND(SUMIF(E:E,E1191,I:I)&gt;=400000,Q1191="B2G"),"n","")</f>
        <v/>
      </c>
    </row>
    <row r="1192" spans="1:34">
      <c r="A1192">
        <v>2026</v>
      </c>
      <c r="B1192">
        <v>2</v>
      </c>
      <c r="C1192" s="83">
        <v>19435631695</v>
      </c>
      <c r="D1192" t="s">
        <v>1189</v>
      </c>
      <c r="E1192">
        <v>52831689116</v>
      </c>
      <c r="F1192">
        <v>609125</v>
      </c>
      <c r="G1192">
        <v>47974707468</v>
      </c>
      <c r="H1192" t="s">
        <v>35</v>
      </c>
      <c r="I1192" s="36">
        <v>4962.6000000000004</v>
      </c>
      <c r="J1192" s="36">
        <v>4962.6000000000004</v>
      </c>
      <c r="K1192" s="85">
        <v>0</v>
      </c>
      <c r="L1192" s="36">
        <v>413.55</v>
      </c>
      <c r="M1192" s="36">
        <v>0</v>
      </c>
      <c r="N1192" s="36">
        <v>91</v>
      </c>
      <c r="O1192" s="36">
        <v>322.55</v>
      </c>
      <c r="P1192" t="s">
        <v>165</v>
      </c>
      <c r="Q1192" t="s">
        <v>166</v>
      </c>
      <c r="R1192" t="s">
        <v>166</v>
      </c>
      <c r="S1192" s="1">
        <v>46067</v>
      </c>
      <c r="T1192" s="1">
        <v>46067</v>
      </c>
      <c r="U1192" s="1">
        <v>46067</v>
      </c>
      <c r="V1192" s="1">
        <v>46432</v>
      </c>
      <c r="W1192" t="s">
        <v>38</v>
      </c>
      <c r="X1192">
        <v>12</v>
      </c>
      <c r="Y1192" t="s">
        <v>49</v>
      </c>
      <c r="Z1192" t="s">
        <v>81</v>
      </c>
      <c r="AA1192" t="s">
        <v>122</v>
      </c>
      <c r="AB1192">
        <v>12</v>
      </c>
      <c r="AC1192" t="s">
        <v>166</v>
      </c>
      <c r="AD1192" t="s">
        <v>138</v>
      </c>
      <c r="AE1192" t="s">
        <v>135</v>
      </c>
      <c r="AF1192" t="s">
        <v>119</v>
      </c>
      <c r="AG1192" t="str">
        <f t="shared" si="19"/>
        <v>Recorrente</v>
      </c>
      <c r="AH1192" t="str">
        <f>IF(AND(SUMIF(E:E,E1192,I:I)&gt;=400000,Q1192="B2G"),"n","")</f>
        <v/>
      </c>
    </row>
    <row r="1193" spans="1:34">
      <c r="A1193">
        <v>2026</v>
      </c>
      <c r="B1193">
        <v>2</v>
      </c>
      <c r="C1193" s="83">
        <v>19435635768</v>
      </c>
      <c r="D1193" t="s">
        <v>1190</v>
      </c>
      <c r="E1193">
        <v>53894922518</v>
      </c>
      <c r="F1193">
        <v>306381</v>
      </c>
      <c r="G1193">
        <v>49704753965</v>
      </c>
      <c r="H1193" t="s">
        <v>35</v>
      </c>
      <c r="I1193" s="36">
        <v>4676.3999999999996</v>
      </c>
      <c r="J1193" s="36">
        <v>4676.3999999999996</v>
      </c>
      <c r="K1193" s="85">
        <v>0</v>
      </c>
      <c r="L1193" s="36">
        <v>389.7</v>
      </c>
      <c r="M1193" s="36">
        <v>0</v>
      </c>
      <c r="N1193" s="36">
        <v>0</v>
      </c>
      <c r="O1193" s="36">
        <v>389.7</v>
      </c>
      <c r="P1193" t="s">
        <v>116</v>
      </c>
      <c r="Q1193" t="s">
        <v>111</v>
      </c>
      <c r="R1193" t="s">
        <v>111</v>
      </c>
      <c r="S1193" s="1">
        <v>46044</v>
      </c>
      <c r="T1193" s="1">
        <v>46054</v>
      </c>
      <c r="U1193" s="1">
        <v>46067</v>
      </c>
      <c r="V1193" s="1">
        <v>46432</v>
      </c>
      <c r="W1193" t="s">
        <v>38</v>
      </c>
      <c r="X1193">
        <v>12</v>
      </c>
      <c r="Y1193" t="s">
        <v>49</v>
      </c>
      <c r="Z1193" t="s">
        <v>81</v>
      </c>
      <c r="AA1193" t="s">
        <v>117</v>
      </c>
      <c r="AB1193">
        <v>1</v>
      </c>
      <c r="AC1193" t="s">
        <v>113</v>
      </c>
      <c r="AD1193" t="s">
        <v>125</v>
      </c>
      <c r="AE1193" t="s">
        <v>43</v>
      </c>
      <c r="AF1193" t="s">
        <v>47</v>
      </c>
      <c r="AG1193" t="str">
        <f t="shared" si="19"/>
        <v>À Vista</v>
      </c>
      <c r="AH1193" t="str">
        <f>IF(AND(SUMIF(E:E,E1193,I:I)&gt;=400000,Q1193="B2G"),"n","")</f>
        <v/>
      </c>
    </row>
    <row r="1194" spans="1:34">
      <c r="A1194">
        <v>2026</v>
      </c>
      <c r="B1194">
        <v>2</v>
      </c>
      <c r="C1194" s="83">
        <v>19435650070</v>
      </c>
      <c r="D1194" t="s">
        <v>1191</v>
      </c>
      <c r="E1194">
        <v>44858944148</v>
      </c>
      <c r="G1194">
        <v>52153650268</v>
      </c>
      <c r="H1194" t="s">
        <v>35</v>
      </c>
      <c r="I1194" s="36">
        <v>34500</v>
      </c>
      <c r="J1194" s="36">
        <v>27600</v>
      </c>
      <c r="K1194" s="85">
        <v>6900</v>
      </c>
      <c r="L1194" s="36">
        <v>2300</v>
      </c>
      <c r="M1194" s="36">
        <v>2300</v>
      </c>
      <c r="N1194" s="36">
        <v>0</v>
      </c>
      <c r="O1194" s="36">
        <v>0</v>
      </c>
      <c r="P1194" t="s">
        <v>1192</v>
      </c>
      <c r="Q1194" t="s">
        <v>1193</v>
      </c>
      <c r="R1194" t="s">
        <v>1193</v>
      </c>
      <c r="S1194" s="1">
        <v>46076</v>
      </c>
      <c r="T1194" s="1">
        <v>46076</v>
      </c>
      <c r="U1194" s="1"/>
      <c r="V1194" s="1"/>
      <c r="W1194" t="s">
        <v>1194</v>
      </c>
      <c r="Y1194" t="s">
        <v>49</v>
      </c>
      <c r="AA1194" t="s">
        <v>92</v>
      </c>
      <c r="AB1194">
        <v>15</v>
      </c>
      <c r="AC1194" t="s">
        <v>1195</v>
      </c>
      <c r="AD1194" t="s">
        <v>1196</v>
      </c>
      <c r="AE1194" t="s">
        <v>106</v>
      </c>
      <c r="AF1194" t="s">
        <v>59</v>
      </c>
      <c r="AG1194" t="str">
        <f t="shared" si="19"/>
        <v>Recorrente</v>
      </c>
      <c r="AH1194" t="str">
        <f>IF(AND(SUMIF(E:E,E1194,I:I)&gt;=400000,Q1194="B2G"),"n","")</f>
        <v/>
      </c>
    </row>
    <row r="1195" spans="1:34">
      <c r="A1195">
        <v>2026</v>
      </c>
      <c r="B1195">
        <v>2</v>
      </c>
      <c r="C1195" s="83">
        <v>19435650090</v>
      </c>
      <c r="D1195" t="s">
        <v>1197</v>
      </c>
      <c r="E1195">
        <v>53635044450</v>
      </c>
      <c r="F1195">
        <v>304140</v>
      </c>
      <c r="G1195">
        <v>48944379178</v>
      </c>
      <c r="H1195" t="s">
        <v>35</v>
      </c>
      <c r="I1195" s="36">
        <v>4890.84</v>
      </c>
      <c r="J1195" s="36">
        <v>4890.84</v>
      </c>
      <c r="K1195" s="85">
        <v>0</v>
      </c>
      <c r="L1195" s="36">
        <v>407.57</v>
      </c>
      <c r="M1195" s="36">
        <v>0</v>
      </c>
      <c r="N1195" s="36">
        <v>3.4750000000000001</v>
      </c>
      <c r="O1195" s="36">
        <v>404.1</v>
      </c>
      <c r="P1195" t="s">
        <v>110</v>
      </c>
      <c r="Q1195" t="s">
        <v>111</v>
      </c>
      <c r="R1195" t="s">
        <v>111</v>
      </c>
      <c r="S1195" s="1">
        <v>46036</v>
      </c>
      <c r="T1195" s="1">
        <v>46054</v>
      </c>
      <c r="U1195" s="1">
        <v>46052</v>
      </c>
      <c r="V1195" s="1">
        <v>46417</v>
      </c>
      <c r="W1195" t="s">
        <v>38</v>
      </c>
      <c r="X1195">
        <v>12</v>
      </c>
      <c r="Y1195" t="s">
        <v>49</v>
      </c>
      <c r="Z1195" t="s">
        <v>81</v>
      </c>
      <c r="AA1195" t="s">
        <v>112</v>
      </c>
      <c r="AB1195">
        <v>12</v>
      </c>
      <c r="AC1195" t="s">
        <v>113</v>
      </c>
      <c r="AD1195" t="s">
        <v>85</v>
      </c>
      <c r="AE1195" t="s">
        <v>46</v>
      </c>
      <c r="AF1195" t="s">
        <v>44</v>
      </c>
      <c r="AG1195" t="str">
        <f t="shared" si="19"/>
        <v>CC 12x</v>
      </c>
      <c r="AH1195" t="str">
        <f>IF(AND(SUMIF(E:E,E1195,I:I)&gt;=400000,Q1195="B2G"),"n","")</f>
        <v/>
      </c>
    </row>
    <row r="1196" spans="1:34">
      <c r="A1196">
        <v>2026</v>
      </c>
      <c r="B1196">
        <v>2</v>
      </c>
      <c r="C1196" s="83">
        <v>19435659294</v>
      </c>
      <c r="D1196" t="s">
        <v>1198</v>
      </c>
      <c r="E1196">
        <v>53706370664</v>
      </c>
      <c r="F1196">
        <v>328278</v>
      </c>
      <c r="G1196">
        <v>49256531280</v>
      </c>
      <c r="H1196" t="s">
        <v>35</v>
      </c>
      <c r="I1196" s="36">
        <v>7057.02</v>
      </c>
      <c r="J1196" s="36">
        <v>7057.02</v>
      </c>
      <c r="K1196" s="85">
        <v>0</v>
      </c>
      <c r="L1196" s="36">
        <v>588.08500000000004</v>
      </c>
      <c r="M1196" s="36">
        <v>0</v>
      </c>
      <c r="N1196" s="36">
        <v>158.58250000000001</v>
      </c>
      <c r="O1196" s="36">
        <v>429.5</v>
      </c>
      <c r="P1196" t="s">
        <v>127</v>
      </c>
      <c r="Q1196" t="s">
        <v>111</v>
      </c>
      <c r="R1196" t="s">
        <v>111</v>
      </c>
      <c r="S1196" s="1">
        <v>46038</v>
      </c>
      <c r="T1196" s="1">
        <v>46054</v>
      </c>
      <c r="U1196" s="1">
        <v>46038</v>
      </c>
      <c r="V1196" s="1">
        <v>46403</v>
      </c>
      <c r="W1196" t="s">
        <v>38</v>
      </c>
      <c r="X1196">
        <v>12</v>
      </c>
      <c r="Y1196" t="s">
        <v>49</v>
      </c>
      <c r="Z1196" t="s">
        <v>76</v>
      </c>
      <c r="AA1196" t="s">
        <v>122</v>
      </c>
      <c r="AB1196">
        <v>12</v>
      </c>
      <c r="AC1196" t="s">
        <v>113</v>
      </c>
      <c r="AD1196" t="s">
        <v>149</v>
      </c>
      <c r="AE1196" t="s">
        <v>43</v>
      </c>
      <c r="AF1196" t="s">
        <v>96</v>
      </c>
      <c r="AG1196" t="str">
        <f t="shared" ref="AG1196:AG1259" si="20">IF(IFERROR(SEARCH("Recorrente",AA1196),0)&gt;0,"Recorrente",IF(AB1196=1,"À Vista",IF(AB1196&lt;=3,"CC 3x",IF(AB1196&lt;=12,"CC 12x",IF(AB1196&gt;12,"Recorrente","")))))</f>
        <v>Recorrente</v>
      </c>
      <c r="AH1196" t="str">
        <f>IF(AND(SUMIF(E:E,E1196,I:I)&gt;=400000,Q1196="B2G"),"n","")</f>
        <v/>
      </c>
    </row>
    <row r="1197" spans="1:34">
      <c r="A1197">
        <v>2026</v>
      </c>
      <c r="B1197">
        <v>2</v>
      </c>
      <c r="C1197" s="83">
        <v>19435659294</v>
      </c>
      <c r="D1197" t="s">
        <v>1198</v>
      </c>
      <c r="E1197">
        <v>53706370664</v>
      </c>
      <c r="F1197">
        <v>328278</v>
      </c>
      <c r="G1197">
        <v>49256531281</v>
      </c>
      <c r="H1197" t="s">
        <v>35</v>
      </c>
      <c r="I1197" s="36">
        <v>7057.02</v>
      </c>
      <c r="J1197" s="36">
        <v>7057.02</v>
      </c>
      <c r="K1197" s="85">
        <v>0</v>
      </c>
      <c r="L1197" s="36">
        <v>588.08500000000004</v>
      </c>
      <c r="M1197" s="36">
        <v>0</v>
      </c>
      <c r="N1197" s="36">
        <v>158.58250000000001</v>
      </c>
      <c r="O1197" s="36">
        <v>429.5</v>
      </c>
      <c r="P1197" t="s">
        <v>127</v>
      </c>
      <c r="Q1197" t="s">
        <v>111</v>
      </c>
      <c r="R1197" t="s">
        <v>111</v>
      </c>
      <c r="S1197" s="1">
        <v>46038</v>
      </c>
      <c r="T1197" s="1">
        <v>46054</v>
      </c>
      <c r="U1197" s="1">
        <v>46038</v>
      </c>
      <c r="V1197" s="1">
        <v>46403</v>
      </c>
      <c r="W1197" t="s">
        <v>38</v>
      </c>
      <c r="X1197">
        <v>12</v>
      </c>
      <c r="Y1197" t="s">
        <v>49</v>
      </c>
      <c r="Z1197" t="s">
        <v>76</v>
      </c>
      <c r="AA1197" t="s">
        <v>122</v>
      </c>
      <c r="AB1197">
        <v>12</v>
      </c>
      <c r="AC1197" t="s">
        <v>113</v>
      </c>
      <c r="AD1197" t="s">
        <v>131</v>
      </c>
      <c r="AE1197" t="s">
        <v>46</v>
      </c>
      <c r="AF1197" t="s">
        <v>96</v>
      </c>
      <c r="AG1197" t="str">
        <f t="shared" si="20"/>
        <v>Recorrente</v>
      </c>
      <c r="AH1197" t="str">
        <f>IF(AND(SUMIF(E:E,E1197,I:I)&gt;=400000,Q1197="B2G"),"n","")</f>
        <v/>
      </c>
    </row>
    <row r="1198" spans="1:34">
      <c r="A1198">
        <v>2026</v>
      </c>
      <c r="B1198">
        <v>2</v>
      </c>
      <c r="C1198" s="83">
        <v>19435665026</v>
      </c>
      <c r="D1198" t="s">
        <v>1199</v>
      </c>
      <c r="E1198">
        <v>55071193236</v>
      </c>
      <c r="F1198">
        <v>535151</v>
      </c>
      <c r="G1198">
        <v>50608146770</v>
      </c>
      <c r="H1198" t="s">
        <v>35</v>
      </c>
      <c r="I1198" s="36">
        <v>1185.24</v>
      </c>
      <c r="J1198" s="36">
        <v>4203.24</v>
      </c>
      <c r="K1198" s="85">
        <v>0</v>
      </c>
      <c r="L1198" s="36">
        <v>350.27</v>
      </c>
      <c r="M1198" s="36">
        <v>0</v>
      </c>
      <c r="N1198" s="36">
        <v>350.27</v>
      </c>
      <c r="O1198" s="36">
        <v>0</v>
      </c>
      <c r="P1198" t="s">
        <v>190</v>
      </c>
      <c r="Q1198" t="s">
        <v>191</v>
      </c>
      <c r="R1198" t="s">
        <v>191</v>
      </c>
      <c r="S1198" s="1">
        <v>46055</v>
      </c>
      <c r="T1198" s="1">
        <v>46055</v>
      </c>
      <c r="U1198" s="1">
        <v>46158</v>
      </c>
      <c r="V1198" s="1">
        <v>46158</v>
      </c>
      <c r="W1198" t="s">
        <v>38</v>
      </c>
      <c r="X1198">
        <v>3</v>
      </c>
      <c r="Y1198" t="s">
        <v>49</v>
      </c>
      <c r="Z1198" t="s">
        <v>324</v>
      </c>
      <c r="AA1198" t="s">
        <v>122</v>
      </c>
      <c r="AB1198">
        <v>3</v>
      </c>
      <c r="AC1198" t="s">
        <v>192</v>
      </c>
      <c r="AD1198" t="s">
        <v>154</v>
      </c>
      <c r="AE1198" t="s">
        <v>46</v>
      </c>
      <c r="AF1198" t="s">
        <v>47</v>
      </c>
      <c r="AG1198" t="str">
        <f t="shared" si="20"/>
        <v>Recorrente</v>
      </c>
      <c r="AH1198" t="str">
        <f>IF(AND(SUMIF(E:E,E1198,I:I)&gt;=400000,Q1198="B2G"),"n","")</f>
        <v/>
      </c>
    </row>
    <row r="1199" spans="1:34">
      <c r="A1199">
        <v>2026</v>
      </c>
      <c r="B1199">
        <v>2</v>
      </c>
      <c r="C1199" s="83">
        <v>19435672369</v>
      </c>
      <c r="D1199" t="s">
        <v>1200</v>
      </c>
      <c r="E1199">
        <v>56850364023</v>
      </c>
      <c r="F1199">
        <v>526487</v>
      </c>
      <c r="G1199">
        <v>52251242306</v>
      </c>
      <c r="H1199" t="s">
        <v>35</v>
      </c>
      <c r="I1199" s="36">
        <v>6777.84</v>
      </c>
      <c r="J1199" s="36">
        <v>6777.84</v>
      </c>
      <c r="K1199" s="85">
        <v>0</v>
      </c>
      <c r="L1199" s="36">
        <v>564.82000000000005</v>
      </c>
      <c r="M1199" s="36">
        <v>0</v>
      </c>
      <c r="N1199" s="36">
        <v>47.174999999999997</v>
      </c>
      <c r="O1199" s="36">
        <v>517.65</v>
      </c>
      <c r="P1199" t="s">
        <v>110</v>
      </c>
      <c r="Q1199" t="s">
        <v>111</v>
      </c>
      <c r="R1199" t="s">
        <v>111</v>
      </c>
      <c r="S1199" s="1">
        <v>46079</v>
      </c>
      <c r="T1199" s="1">
        <v>46079</v>
      </c>
      <c r="U1199" s="1">
        <v>46076</v>
      </c>
      <c r="V1199" s="1">
        <v>46441</v>
      </c>
      <c r="W1199" t="s">
        <v>38</v>
      </c>
      <c r="X1199">
        <v>12</v>
      </c>
      <c r="Y1199" t="s">
        <v>49</v>
      </c>
      <c r="Z1199" t="s">
        <v>81</v>
      </c>
      <c r="AA1199" t="s">
        <v>82</v>
      </c>
      <c r="AB1199">
        <v>1</v>
      </c>
      <c r="AC1199" t="s">
        <v>113</v>
      </c>
      <c r="AD1199" t="s">
        <v>131</v>
      </c>
      <c r="AE1199" t="s">
        <v>46</v>
      </c>
      <c r="AF1199" t="s">
        <v>96</v>
      </c>
      <c r="AG1199" t="str">
        <f t="shared" si="20"/>
        <v>À Vista</v>
      </c>
      <c r="AH1199" t="str">
        <f>IF(AND(SUMIF(E:E,E1199,I:I)&gt;=400000,Q1199="B2G"),"n","")</f>
        <v/>
      </c>
    </row>
    <row r="1200" spans="1:34">
      <c r="A1200">
        <v>2026</v>
      </c>
      <c r="B1200">
        <v>2</v>
      </c>
      <c r="C1200" s="83">
        <v>19435672369</v>
      </c>
      <c r="D1200" t="s">
        <v>1200</v>
      </c>
      <c r="E1200">
        <v>56850364023</v>
      </c>
      <c r="F1200">
        <v>526487</v>
      </c>
      <c r="G1200">
        <v>52251242307</v>
      </c>
      <c r="H1200" t="s">
        <v>35</v>
      </c>
      <c r="I1200" s="36">
        <v>6777.84</v>
      </c>
      <c r="J1200" s="36">
        <v>6777.84</v>
      </c>
      <c r="K1200" s="85">
        <v>0</v>
      </c>
      <c r="L1200" s="36">
        <v>564.82000000000005</v>
      </c>
      <c r="M1200" s="36">
        <v>0</v>
      </c>
      <c r="N1200" s="36">
        <v>47.174999999999997</v>
      </c>
      <c r="O1200" s="36">
        <v>517.65</v>
      </c>
      <c r="P1200" t="s">
        <v>110</v>
      </c>
      <c r="Q1200" t="s">
        <v>111</v>
      </c>
      <c r="R1200" t="s">
        <v>111</v>
      </c>
      <c r="S1200" s="1">
        <v>46079</v>
      </c>
      <c r="T1200" s="1">
        <v>46079</v>
      </c>
      <c r="U1200" s="1">
        <v>46076</v>
      </c>
      <c r="V1200" s="1">
        <v>46441</v>
      </c>
      <c r="W1200" t="s">
        <v>38</v>
      </c>
      <c r="X1200">
        <v>12</v>
      </c>
      <c r="Y1200" t="s">
        <v>49</v>
      </c>
      <c r="Z1200" t="s">
        <v>81</v>
      </c>
      <c r="AA1200" t="s">
        <v>82</v>
      </c>
      <c r="AB1200">
        <v>1</v>
      </c>
      <c r="AC1200" t="s">
        <v>113</v>
      </c>
      <c r="AD1200" t="s">
        <v>149</v>
      </c>
      <c r="AE1200" t="s">
        <v>43</v>
      </c>
      <c r="AF1200" t="s">
        <v>96</v>
      </c>
      <c r="AG1200" t="str">
        <f t="shared" si="20"/>
        <v>À Vista</v>
      </c>
      <c r="AH1200" t="str">
        <f>IF(AND(SUMIF(E:E,E1200,I:I)&gt;=400000,Q1200="B2G"),"n","")</f>
        <v/>
      </c>
    </row>
    <row r="1201" spans="1:34">
      <c r="A1201">
        <v>2026</v>
      </c>
      <c r="B1201">
        <v>2</v>
      </c>
      <c r="C1201" s="83">
        <v>19435672491</v>
      </c>
      <c r="D1201" t="s">
        <v>197</v>
      </c>
      <c r="E1201">
        <v>55813445718</v>
      </c>
      <c r="F1201">
        <v>636014</v>
      </c>
      <c r="G1201">
        <v>51226146591</v>
      </c>
      <c r="H1201" t="s">
        <v>35</v>
      </c>
      <c r="I1201" s="36">
        <v>8081.76</v>
      </c>
      <c r="J1201" s="36">
        <v>3119.16246</v>
      </c>
      <c r="K1201" s="85">
        <v>4962.5975399999998</v>
      </c>
      <c r="L1201" s="36">
        <v>259.930205</v>
      </c>
      <c r="M1201" s="36">
        <v>0</v>
      </c>
      <c r="N1201" s="36">
        <v>259.930205</v>
      </c>
      <c r="O1201" s="36">
        <v>0</v>
      </c>
      <c r="P1201" t="s">
        <v>323</v>
      </c>
      <c r="Q1201" t="s">
        <v>191</v>
      </c>
      <c r="R1201" t="s">
        <v>191</v>
      </c>
      <c r="S1201" s="1">
        <v>46063</v>
      </c>
      <c r="T1201" s="1">
        <v>46063</v>
      </c>
      <c r="V1201" s="1">
        <v>46428</v>
      </c>
      <c r="W1201" t="s">
        <v>38</v>
      </c>
      <c r="Y1201" t="s">
        <v>49</v>
      </c>
      <c r="AA1201" t="s">
        <v>122</v>
      </c>
      <c r="AB1201">
        <v>12</v>
      </c>
      <c r="AC1201" t="s">
        <v>192</v>
      </c>
      <c r="AD1201" t="s">
        <v>134</v>
      </c>
      <c r="AE1201" t="s">
        <v>135</v>
      </c>
      <c r="AF1201" t="s">
        <v>44</v>
      </c>
      <c r="AG1201" t="str">
        <f t="shared" si="20"/>
        <v>Recorrente</v>
      </c>
      <c r="AH1201" t="str">
        <f>IF(AND(SUMIF(E:E,E1201,I:I)&gt;=400000,Q1201="B2G"),"n","")</f>
        <v/>
      </c>
    </row>
    <row r="1202" spans="1:34">
      <c r="A1202">
        <v>2026</v>
      </c>
      <c r="B1202">
        <v>2</v>
      </c>
      <c r="C1202" s="83">
        <v>19435681448</v>
      </c>
      <c r="D1202" t="s">
        <v>1201</v>
      </c>
      <c r="E1202">
        <v>56925536312</v>
      </c>
      <c r="F1202">
        <v>528118</v>
      </c>
      <c r="G1202">
        <v>52282765576</v>
      </c>
      <c r="H1202" t="s">
        <v>35</v>
      </c>
      <c r="I1202" s="36">
        <v>5160</v>
      </c>
      <c r="J1202" s="36">
        <v>5160</v>
      </c>
      <c r="K1202" s="85">
        <v>0</v>
      </c>
      <c r="L1202" s="36">
        <v>430</v>
      </c>
      <c r="M1202" s="36">
        <v>0</v>
      </c>
      <c r="N1202" s="36">
        <v>1.0001</v>
      </c>
      <c r="O1202" s="36">
        <v>429</v>
      </c>
      <c r="P1202" t="s">
        <v>190</v>
      </c>
      <c r="Q1202" t="s">
        <v>111</v>
      </c>
      <c r="R1202" t="s">
        <v>111</v>
      </c>
      <c r="S1202" s="1">
        <v>46078</v>
      </c>
      <c r="T1202" s="1">
        <v>46078</v>
      </c>
      <c r="U1202" s="1">
        <v>46080</v>
      </c>
      <c r="V1202" s="1">
        <v>46445</v>
      </c>
      <c r="W1202" t="s">
        <v>38</v>
      </c>
      <c r="X1202">
        <v>12</v>
      </c>
      <c r="Y1202" t="s">
        <v>49</v>
      </c>
      <c r="Z1202" t="s">
        <v>81</v>
      </c>
      <c r="AA1202" t="s">
        <v>122</v>
      </c>
      <c r="AB1202">
        <v>12</v>
      </c>
      <c r="AC1202" t="s">
        <v>113</v>
      </c>
      <c r="AD1202" t="s">
        <v>138</v>
      </c>
      <c r="AE1202" t="s">
        <v>135</v>
      </c>
      <c r="AF1202" t="s">
        <v>119</v>
      </c>
      <c r="AG1202" t="str">
        <f t="shared" si="20"/>
        <v>Recorrente</v>
      </c>
      <c r="AH1202" t="str">
        <f>IF(AND(SUMIF(E:E,E1202,I:I)&gt;=400000,Q1202="B2G"),"n","")</f>
        <v/>
      </c>
    </row>
    <row r="1203" spans="1:34">
      <c r="A1203">
        <v>2026</v>
      </c>
      <c r="B1203">
        <v>2</v>
      </c>
      <c r="C1203" s="83">
        <v>19435714721</v>
      </c>
      <c r="D1203" t="s">
        <v>1202</v>
      </c>
      <c r="E1203">
        <v>53415346839</v>
      </c>
      <c r="F1203">
        <v>524939</v>
      </c>
      <c r="G1203">
        <v>48560919647</v>
      </c>
      <c r="H1203" t="s">
        <v>35</v>
      </c>
      <c r="I1203" s="36">
        <v>4660.68</v>
      </c>
      <c r="J1203" s="36">
        <v>4660.68</v>
      </c>
      <c r="K1203" s="85">
        <v>0</v>
      </c>
      <c r="L1203" s="36">
        <v>388.39</v>
      </c>
      <c r="M1203" s="36">
        <v>0</v>
      </c>
      <c r="N1203" s="36">
        <v>1.395</v>
      </c>
      <c r="O1203" s="36">
        <v>387</v>
      </c>
      <c r="P1203" t="s">
        <v>133</v>
      </c>
      <c r="Q1203" t="s">
        <v>111</v>
      </c>
      <c r="R1203" t="s">
        <v>111</v>
      </c>
      <c r="S1203" s="1">
        <v>46035</v>
      </c>
      <c r="T1203" s="1">
        <v>46054</v>
      </c>
      <c r="U1203" s="1">
        <v>46038</v>
      </c>
      <c r="V1203" s="1">
        <v>46418</v>
      </c>
      <c r="W1203" t="s">
        <v>38</v>
      </c>
      <c r="X1203">
        <v>12</v>
      </c>
      <c r="Y1203" t="s">
        <v>49</v>
      </c>
      <c r="Z1203" t="s">
        <v>81</v>
      </c>
      <c r="AA1203" t="s">
        <v>112</v>
      </c>
      <c r="AB1203">
        <v>12</v>
      </c>
      <c r="AC1203" t="s">
        <v>113</v>
      </c>
      <c r="AD1203" t="s">
        <v>85</v>
      </c>
      <c r="AE1203" t="s">
        <v>46</v>
      </c>
      <c r="AF1203" t="s">
        <v>44</v>
      </c>
      <c r="AG1203" t="str">
        <f t="shared" si="20"/>
        <v>CC 12x</v>
      </c>
      <c r="AH1203" t="str">
        <f>IF(AND(SUMIF(E:E,E1203,I:I)&gt;=400000,Q1203="B2G"),"n","")</f>
        <v/>
      </c>
    </row>
    <row r="1204" spans="1:34">
      <c r="A1204">
        <v>2026</v>
      </c>
      <c r="B1204">
        <v>2</v>
      </c>
      <c r="C1204" s="83">
        <v>19435717985</v>
      </c>
      <c r="D1204" t="s">
        <v>1203</v>
      </c>
      <c r="E1204">
        <v>56276707083</v>
      </c>
      <c r="F1204">
        <v>505809</v>
      </c>
      <c r="G1204">
        <v>51841818727</v>
      </c>
      <c r="H1204" t="s">
        <v>35</v>
      </c>
      <c r="I1204" s="36">
        <v>4603.2</v>
      </c>
      <c r="J1204" s="36">
        <v>4603.2</v>
      </c>
      <c r="K1204" s="85">
        <v>0</v>
      </c>
      <c r="L1204" s="36">
        <v>383.6</v>
      </c>
      <c r="M1204" s="36">
        <v>0</v>
      </c>
      <c r="N1204" s="36">
        <v>60.84</v>
      </c>
      <c r="O1204" s="36">
        <v>322.76</v>
      </c>
      <c r="P1204" t="s">
        <v>133</v>
      </c>
      <c r="Q1204" t="s">
        <v>111</v>
      </c>
      <c r="R1204" t="s">
        <v>111</v>
      </c>
      <c r="S1204" s="1">
        <v>46072</v>
      </c>
      <c r="T1204" s="1">
        <v>46072</v>
      </c>
      <c r="U1204" s="1">
        <v>46068</v>
      </c>
      <c r="V1204" s="1">
        <v>46433</v>
      </c>
      <c r="W1204" t="s">
        <v>38</v>
      </c>
      <c r="X1204">
        <v>12</v>
      </c>
      <c r="Y1204" t="s">
        <v>49</v>
      </c>
      <c r="Z1204" t="s">
        <v>81</v>
      </c>
      <c r="AA1204" t="s">
        <v>92</v>
      </c>
      <c r="AB1204">
        <v>12</v>
      </c>
      <c r="AC1204" t="s">
        <v>113</v>
      </c>
      <c r="AD1204" t="s">
        <v>85</v>
      </c>
      <c r="AE1204" t="s">
        <v>46</v>
      </c>
      <c r="AF1204" t="s">
        <v>44</v>
      </c>
      <c r="AG1204" t="str">
        <f t="shared" si="20"/>
        <v>Recorrente</v>
      </c>
      <c r="AH1204" t="str">
        <f>IF(AND(SUMIF(E:E,E1204,I:I)&gt;=400000,Q1204="B2G"),"n","")</f>
        <v/>
      </c>
    </row>
    <row r="1205" spans="1:34">
      <c r="A1205">
        <v>2026</v>
      </c>
      <c r="B1205">
        <v>2</v>
      </c>
      <c r="C1205" s="83">
        <v>19435721757</v>
      </c>
      <c r="D1205" t="s">
        <v>1204</v>
      </c>
      <c r="E1205">
        <v>52522325546</v>
      </c>
      <c r="F1205">
        <v>608864</v>
      </c>
      <c r="G1205">
        <v>47696261297</v>
      </c>
      <c r="H1205" t="s">
        <v>35</v>
      </c>
      <c r="I1205" s="36">
        <v>4074</v>
      </c>
      <c r="J1205" s="36">
        <v>4074</v>
      </c>
      <c r="K1205" s="85">
        <v>0</v>
      </c>
      <c r="L1205" s="36">
        <v>339.5</v>
      </c>
      <c r="M1205" s="36">
        <v>0</v>
      </c>
      <c r="N1205" s="36">
        <v>61.4</v>
      </c>
      <c r="O1205" s="36">
        <v>278.10000000000002</v>
      </c>
      <c r="P1205" t="s">
        <v>165</v>
      </c>
      <c r="Q1205" t="s">
        <v>166</v>
      </c>
      <c r="R1205" t="s">
        <v>166</v>
      </c>
      <c r="S1205" s="1">
        <v>46061</v>
      </c>
      <c r="T1205" s="1">
        <v>46061</v>
      </c>
      <c r="U1205" s="1">
        <v>46061</v>
      </c>
      <c r="V1205" s="1">
        <v>46426</v>
      </c>
      <c r="W1205" t="s">
        <v>38</v>
      </c>
      <c r="X1205">
        <v>12</v>
      </c>
      <c r="Y1205" t="s">
        <v>49</v>
      </c>
      <c r="Z1205" t="s">
        <v>81</v>
      </c>
      <c r="AA1205" t="s">
        <v>112</v>
      </c>
      <c r="AB1205">
        <v>12</v>
      </c>
      <c r="AC1205" t="s">
        <v>166</v>
      </c>
      <c r="AD1205" t="s">
        <v>160</v>
      </c>
      <c r="AE1205" t="s">
        <v>43</v>
      </c>
      <c r="AF1205" t="s">
        <v>44</v>
      </c>
      <c r="AG1205" t="str">
        <f t="shared" si="20"/>
        <v>CC 12x</v>
      </c>
      <c r="AH1205" t="str">
        <f>IF(AND(SUMIF(E:E,E1205,I:I)&gt;=400000,Q1205="B2G"),"n","")</f>
        <v/>
      </c>
    </row>
    <row r="1206" spans="1:34">
      <c r="A1206">
        <v>2026</v>
      </c>
      <c r="B1206">
        <v>2</v>
      </c>
      <c r="C1206" s="83">
        <v>194426231586</v>
      </c>
      <c r="D1206" t="s">
        <v>1205</v>
      </c>
      <c r="E1206">
        <v>54206194273</v>
      </c>
      <c r="F1206">
        <v>625817</v>
      </c>
      <c r="G1206">
        <v>49779098553</v>
      </c>
      <c r="H1206" t="s">
        <v>35</v>
      </c>
      <c r="I1206" s="36">
        <v>7675.2</v>
      </c>
      <c r="J1206" s="36">
        <v>7675.2</v>
      </c>
      <c r="K1206" s="85">
        <v>0</v>
      </c>
      <c r="L1206" s="36">
        <v>639.6</v>
      </c>
      <c r="M1206" s="36">
        <v>0</v>
      </c>
      <c r="N1206" s="36">
        <v>109.14</v>
      </c>
      <c r="O1206" s="36">
        <v>530.46</v>
      </c>
      <c r="P1206" t="s">
        <v>121</v>
      </c>
      <c r="Q1206" t="s">
        <v>111</v>
      </c>
      <c r="R1206" t="s">
        <v>111</v>
      </c>
      <c r="S1206" s="1">
        <v>46045</v>
      </c>
      <c r="T1206" s="1">
        <v>46054</v>
      </c>
      <c r="U1206" s="1">
        <v>46045</v>
      </c>
      <c r="V1206" s="1">
        <v>46410</v>
      </c>
      <c r="W1206" t="s">
        <v>38</v>
      </c>
      <c r="X1206">
        <v>12</v>
      </c>
      <c r="Y1206" t="s">
        <v>49</v>
      </c>
      <c r="Z1206" t="s">
        <v>81</v>
      </c>
      <c r="AA1206" t="s">
        <v>122</v>
      </c>
      <c r="AB1206">
        <v>12</v>
      </c>
      <c r="AC1206" t="s">
        <v>113</v>
      </c>
      <c r="AD1206" t="s">
        <v>131</v>
      </c>
      <c r="AE1206" t="s">
        <v>46</v>
      </c>
      <c r="AF1206" t="s">
        <v>96</v>
      </c>
      <c r="AG1206" t="str">
        <f t="shared" si="20"/>
        <v>Recorrente</v>
      </c>
      <c r="AH1206" t="str">
        <f>IF(AND(SUMIF(E:E,E1206,I:I)&gt;=400000,Q1206="B2G"),"n","")</f>
        <v/>
      </c>
    </row>
    <row r="1207" spans="1:34">
      <c r="A1207">
        <v>2026</v>
      </c>
      <c r="B1207">
        <v>2</v>
      </c>
      <c r="C1207" s="83">
        <v>194621269653</v>
      </c>
      <c r="D1207" t="s">
        <v>1206</v>
      </c>
      <c r="E1207">
        <v>54256125257</v>
      </c>
      <c r="F1207">
        <v>635957</v>
      </c>
      <c r="G1207">
        <v>50922613367</v>
      </c>
      <c r="H1207" t="s">
        <v>35</v>
      </c>
      <c r="I1207" s="36">
        <v>7932</v>
      </c>
      <c r="J1207" s="36">
        <v>7932</v>
      </c>
      <c r="K1207" s="85">
        <v>0</v>
      </c>
      <c r="L1207" s="36">
        <v>661</v>
      </c>
      <c r="M1207" s="36">
        <v>661</v>
      </c>
      <c r="N1207" s="36">
        <v>0</v>
      </c>
      <c r="O1207" s="36">
        <v>0</v>
      </c>
      <c r="P1207" t="s">
        <v>1073</v>
      </c>
      <c r="Q1207" t="s">
        <v>314</v>
      </c>
      <c r="R1207" t="s">
        <v>314</v>
      </c>
      <c r="S1207" s="1">
        <v>46059</v>
      </c>
      <c r="T1207" s="1">
        <v>46059</v>
      </c>
      <c r="U1207" s="1"/>
      <c r="V1207" s="1">
        <v>46424</v>
      </c>
      <c r="W1207" t="s">
        <v>38</v>
      </c>
      <c r="X1207">
        <v>12</v>
      </c>
      <c r="Y1207" t="s">
        <v>49</v>
      </c>
      <c r="AA1207" t="s">
        <v>112</v>
      </c>
      <c r="AB1207">
        <v>12</v>
      </c>
      <c r="AC1207" t="s">
        <v>315</v>
      </c>
      <c r="AD1207" t="s">
        <v>131</v>
      </c>
      <c r="AE1207" t="s">
        <v>46</v>
      </c>
      <c r="AF1207" t="s">
        <v>96</v>
      </c>
      <c r="AG1207" t="str">
        <f t="shared" si="20"/>
        <v>CC 12x</v>
      </c>
      <c r="AH1207" t="str">
        <f>IF(AND(SUMIF(E:E,E1207,I:I)&gt;=400000,Q1207="B2G"),"n","")</f>
        <v/>
      </c>
    </row>
    <row r="1208" spans="1:34">
      <c r="A1208">
        <v>2026</v>
      </c>
      <c r="B1208">
        <v>2</v>
      </c>
      <c r="C1208" s="83">
        <v>19485519000</v>
      </c>
      <c r="D1208" t="s">
        <v>1207</v>
      </c>
      <c r="E1208">
        <v>54599999519</v>
      </c>
      <c r="F1208">
        <v>526430</v>
      </c>
      <c r="G1208">
        <v>50969000531</v>
      </c>
      <c r="H1208" t="s">
        <v>35</v>
      </c>
      <c r="I1208" s="36">
        <v>7200</v>
      </c>
      <c r="J1208" s="36">
        <v>7200</v>
      </c>
      <c r="K1208" s="85">
        <v>0</v>
      </c>
      <c r="L1208" s="36">
        <v>600</v>
      </c>
      <c r="M1208" s="36">
        <v>0</v>
      </c>
      <c r="N1208" s="36">
        <v>6.9</v>
      </c>
      <c r="O1208" s="36">
        <v>593.1</v>
      </c>
      <c r="P1208" t="s">
        <v>127</v>
      </c>
      <c r="Q1208" t="s">
        <v>111</v>
      </c>
      <c r="R1208" t="s">
        <v>111</v>
      </c>
      <c r="S1208" s="1">
        <v>46067</v>
      </c>
      <c r="T1208" s="1">
        <v>46067</v>
      </c>
      <c r="U1208" s="1">
        <v>46074</v>
      </c>
      <c r="V1208" s="1">
        <v>46439</v>
      </c>
      <c r="W1208" t="s">
        <v>38</v>
      </c>
      <c r="X1208">
        <v>12</v>
      </c>
      <c r="Y1208" t="s">
        <v>49</v>
      </c>
      <c r="Z1208" t="s">
        <v>81</v>
      </c>
      <c r="AA1208" t="s">
        <v>92</v>
      </c>
      <c r="AB1208">
        <v>12</v>
      </c>
      <c r="AC1208" t="s">
        <v>113</v>
      </c>
      <c r="AD1208" t="s">
        <v>1208</v>
      </c>
      <c r="AE1208" t="s">
        <v>95</v>
      </c>
      <c r="AF1208" t="s">
        <v>96</v>
      </c>
      <c r="AG1208" t="str">
        <f t="shared" si="20"/>
        <v>Recorrente</v>
      </c>
      <c r="AH1208" t="str">
        <f>IF(AND(SUMIF(E:E,E1208,I:I)&gt;=400000,Q1208="B2G"),"n","")</f>
        <v/>
      </c>
    </row>
    <row r="1209" spans="1:34">
      <c r="A1209">
        <v>2026</v>
      </c>
      <c r="B1209">
        <v>2</v>
      </c>
      <c r="C1209" s="83">
        <v>19485527308</v>
      </c>
      <c r="D1209" t="s">
        <v>1209</v>
      </c>
      <c r="E1209">
        <v>54256122789</v>
      </c>
      <c r="F1209">
        <v>635953</v>
      </c>
      <c r="G1209">
        <v>50935295549</v>
      </c>
      <c r="H1209" t="s">
        <v>35</v>
      </c>
      <c r="I1209" s="36">
        <v>7218.84</v>
      </c>
      <c r="J1209" s="36">
        <v>7218.84</v>
      </c>
      <c r="K1209" s="85">
        <v>9.0949500000000005E-13</v>
      </c>
      <c r="L1209" s="36">
        <v>601.57000000000005</v>
      </c>
      <c r="M1209" s="36">
        <v>601.57000000000005</v>
      </c>
      <c r="N1209" s="36">
        <v>0</v>
      </c>
      <c r="O1209" s="36">
        <v>0</v>
      </c>
      <c r="P1209" t="s">
        <v>1210</v>
      </c>
      <c r="Q1209" t="s">
        <v>91</v>
      </c>
      <c r="R1209" t="s">
        <v>91</v>
      </c>
      <c r="S1209" s="1">
        <v>46059</v>
      </c>
      <c r="T1209" s="1">
        <v>46059</v>
      </c>
      <c r="U1209" s="1"/>
      <c r="V1209" s="1">
        <v>46424</v>
      </c>
      <c r="W1209" t="s">
        <v>38</v>
      </c>
      <c r="X1209">
        <v>12</v>
      </c>
      <c r="Y1209" t="s">
        <v>49</v>
      </c>
      <c r="AA1209" t="s">
        <v>82</v>
      </c>
      <c r="AB1209">
        <v>1</v>
      </c>
      <c r="AC1209" t="s">
        <v>93</v>
      </c>
      <c r="AD1209" t="s">
        <v>94</v>
      </c>
      <c r="AE1209" t="s">
        <v>95</v>
      </c>
      <c r="AF1209" t="s">
        <v>96</v>
      </c>
      <c r="AG1209" t="str">
        <f t="shared" si="20"/>
        <v>À Vista</v>
      </c>
      <c r="AH1209" t="str">
        <f>IF(AND(SUMIF(E:E,E1209,I:I)&gt;=400000,Q1209="B2G"),"n","")</f>
        <v/>
      </c>
    </row>
    <row r="1210" spans="1:34">
      <c r="A1210">
        <v>2026</v>
      </c>
      <c r="B1210">
        <v>2</v>
      </c>
      <c r="C1210" s="83">
        <v>19485540164</v>
      </c>
      <c r="D1210" t="s">
        <v>1211</v>
      </c>
      <c r="E1210">
        <v>50469564748</v>
      </c>
      <c r="F1210">
        <v>635969</v>
      </c>
      <c r="G1210">
        <v>50947222430</v>
      </c>
      <c r="H1210" t="s">
        <v>35</v>
      </c>
      <c r="I1210" s="36">
        <v>916.92</v>
      </c>
      <c r="J1210" s="36">
        <v>916.98</v>
      </c>
      <c r="K1210" s="85">
        <v>0</v>
      </c>
      <c r="L1210" s="36">
        <v>76.415000000000006</v>
      </c>
      <c r="M1210" s="36">
        <v>0</v>
      </c>
      <c r="N1210" s="36">
        <v>49.406048239999997</v>
      </c>
      <c r="O1210" s="36">
        <v>27.008951759999999</v>
      </c>
      <c r="P1210" t="s">
        <v>520</v>
      </c>
      <c r="Q1210" t="s">
        <v>191</v>
      </c>
      <c r="R1210" t="s">
        <v>191</v>
      </c>
      <c r="S1210" s="1">
        <v>46059</v>
      </c>
      <c r="T1210" s="1">
        <v>46059</v>
      </c>
      <c r="U1210" s="1"/>
      <c r="V1210" s="1">
        <v>46424</v>
      </c>
      <c r="W1210" t="s">
        <v>38</v>
      </c>
      <c r="Y1210" t="s">
        <v>49</v>
      </c>
      <c r="AA1210" t="s">
        <v>122</v>
      </c>
      <c r="AB1210">
        <v>12</v>
      </c>
      <c r="AC1210" t="s">
        <v>192</v>
      </c>
      <c r="AD1210" t="s">
        <v>368</v>
      </c>
      <c r="AE1210" t="s">
        <v>95</v>
      </c>
      <c r="AF1210" t="s">
        <v>59</v>
      </c>
      <c r="AG1210" t="str">
        <f t="shared" si="20"/>
        <v>Recorrente</v>
      </c>
      <c r="AH1210" t="str">
        <f>IF(AND(SUMIF(E:E,E1210,I:I)&gt;=400000,Q1210="B2G"),"n","")</f>
        <v/>
      </c>
    </row>
    <row r="1211" spans="1:34">
      <c r="A1211">
        <v>2026</v>
      </c>
      <c r="B1211">
        <v>2</v>
      </c>
      <c r="C1211" s="83">
        <v>19485540164</v>
      </c>
      <c r="D1211" t="s">
        <v>1211</v>
      </c>
      <c r="E1211">
        <v>50469564748</v>
      </c>
      <c r="F1211">
        <v>635969</v>
      </c>
      <c r="G1211">
        <v>50947222431</v>
      </c>
      <c r="H1211" t="s">
        <v>35</v>
      </c>
      <c r="I1211" s="36">
        <v>10801.8</v>
      </c>
      <c r="J1211" s="36">
        <v>10801.8</v>
      </c>
      <c r="K1211" s="85">
        <v>0</v>
      </c>
      <c r="L1211" s="36">
        <v>900.15</v>
      </c>
      <c r="M1211" s="36">
        <v>0</v>
      </c>
      <c r="N1211" s="36">
        <v>581.9911578</v>
      </c>
      <c r="O1211" s="36">
        <v>318.15884219999998</v>
      </c>
      <c r="P1211" t="s">
        <v>520</v>
      </c>
      <c r="Q1211" t="s">
        <v>191</v>
      </c>
      <c r="R1211" t="s">
        <v>191</v>
      </c>
      <c r="S1211" s="1">
        <v>46059</v>
      </c>
      <c r="T1211" s="1">
        <v>46059</v>
      </c>
      <c r="U1211" s="1"/>
      <c r="V1211" s="1">
        <v>46424</v>
      </c>
      <c r="W1211" t="s">
        <v>38</v>
      </c>
      <c r="Y1211" t="s">
        <v>49</v>
      </c>
      <c r="AA1211" t="s">
        <v>122</v>
      </c>
      <c r="AB1211">
        <v>12</v>
      </c>
      <c r="AC1211" t="s">
        <v>192</v>
      </c>
      <c r="AD1211" t="s">
        <v>1167</v>
      </c>
      <c r="AE1211" t="s">
        <v>95</v>
      </c>
      <c r="AF1211" t="s">
        <v>96</v>
      </c>
      <c r="AG1211" t="str">
        <f t="shared" si="20"/>
        <v>Recorrente</v>
      </c>
      <c r="AH1211" t="str">
        <f>IF(AND(SUMIF(E:E,E1211,I:I)&gt;=400000,Q1211="B2G"),"n","")</f>
        <v/>
      </c>
    </row>
    <row r="1212" spans="1:34">
      <c r="A1212">
        <v>2026</v>
      </c>
      <c r="B1212">
        <v>2</v>
      </c>
      <c r="C1212" s="83">
        <v>19485540164</v>
      </c>
      <c r="D1212" t="s">
        <v>1211</v>
      </c>
      <c r="E1212">
        <v>50469564748</v>
      </c>
      <c r="F1212">
        <v>635969</v>
      </c>
      <c r="G1212">
        <v>50947222432</v>
      </c>
      <c r="H1212" t="s">
        <v>35</v>
      </c>
      <c r="I1212" s="36">
        <v>29617.200000000001</v>
      </c>
      <c r="J1212" s="36">
        <v>29617.200000000001</v>
      </c>
      <c r="K1212" s="85">
        <v>3.6379800000000002E-12</v>
      </c>
      <c r="L1212" s="36">
        <v>2468.1</v>
      </c>
      <c r="M1212" s="36">
        <v>0</v>
      </c>
      <c r="N1212" s="36">
        <v>1595.7477940000001</v>
      </c>
      <c r="O1212" s="36">
        <v>872.35220609999999</v>
      </c>
      <c r="P1212" t="s">
        <v>520</v>
      </c>
      <c r="Q1212" t="s">
        <v>191</v>
      </c>
      <c r="R1212" t="s">
        <v>191</v>
      </c>
      <c r="S1212" s="1">
        <v>46059</v>
      </c>
      <c r="T1212" s="1">
        <v>46059</v>
      </c>
      <c r="U1212" s="1"/>
      <c r="V1212" s="1">
        <v>46424</v>
      </c>
      <c r="W1212" t="s">
        <v>38</v>
      </c>
      <c r="Y1212" t="s">
        <v>49</v>
      </c>
      <c r="AA1212" t="s">
        <v>122</v>
      </c>
      <c r="AB1212">
        <v>12</v>
      </c>
      <c r="AC1212" t="s">
        <v>192</v>
      </c>
      <c r="AD1212" t="s">
        <v>125</v>
      </c>
      <c r="AE1212" t="s">
        <v>43</v>
      </c>
      <c r="AF1212" t="s">
        <v>47</v>
      </c>
      <c r="AG1212" t="str">
        <f t="shared" si="20"/>
        <v>Recorrente</v>
      </c>
      <c r="AH1212" t="str">
        <f>IF(AND(SUMIF(E:E,E1212,I:I)&gt;=400000,Q1212="B2G"),"n","")</f>
        <v/>
      </c>
    </row>
    <row r="1213" spans="1:34">
      <c r="A1213">
        <v>2026</v>
      </c>
      <c r="B1213">
        <v>2</v>
      </c>
      <c r="C1213" s="83">
        <v>19485556617</v>
      </c>
      <c r="D1213" t="s">
        <v>1212</v>
      </c>
      <c r="E1213">
        <v>54219289732</v>
      </c>
      <c r="F1213">
        <v>524993</v>
      </c>
      <c r="G1213">
        <v>49699739550</v>
      </c>
      <c r="H1213" t="s">
        <v>35</v>
      </c>
      <c r="I1213" s="36">
        <v>5110.92</v>
      </c>
      <c r="J1213" s="36">
        <v>5110.92</v>
      </c>
      <c r="K1213" s="85">
        <v>0</v>
      </c>
      <c r="L1213" s="36">
        <v>425.91</v>
      </c>
      <c r="M1213" s="36">
        <v>0</v>
      </c>
      <c r="N1213" s="36">
        <v>47.704599999999999</v>
      </c>
      <c r="O1213" s="36">
        <v>378.21</v>
      </c>
      <c r="P1213" t="s">
        <v>162</v>
      </c>
      <c r="Q1213" t="s">
        <v>111</v>
      </c>
      <c r="R1213" t="s">
        <v>111</v>
      </c>
      <c r="S1213" s="1">
        <v>46044</v>
      </c>
      <c r="T1213" s="1">
        <v>46054</v>
      </c>
      <c r="U1213" s="1">
        <v>46041</v>
      </c>
      <c r="V1213" s="1">
        <v>46406</v>
      </c>
      <c r="W1213" t="s">
        <v>38</v>
      </c>
      <c r="X1213">
        <v>12</v>
      </c>
      <c r="Y1213" t="s">
        <v>49</v>
      </c>
      <c r="Z1213" t="s">
        <v>81</v>
      </c>
      <c r="AA1213" t="s">
        <v>112</v>
      </c>
      <c r="AB1213">
        <v>1</v>
      </c>
      <c r="AC1213" t="s">
        <v>113</v>
      </c>
      <c r="AD1213" t="s">
        <v>174</v>
      </c>
      <c r="AE1213" t="s">
        <v>43</v>
      </c>
      <c r="AF1213" t="s">
        <v>47</v>
      </c>
      <c r="AG1213" t="str">
        <f t="shared" si="20"/>
        <v>À Vista</v>
      </c>
      <c r="AH1213" t="str">
        <f>IF(AND(SUMIF(E:E,E1213,I:I)&gt;=400000,Q1213="B2G"),"n","")</f>
        <v/>
      </c>
    </row>
    <row r="1214" spans="1:34">
      <c r="A1214">
        <v>2026</v>
      </c>
      <c r="B1214">
        <v>2</v>
      </c>
      <c r="C1214" s="83">
        <v>19485556617</v>
      </c>
      <c r="D1214" t="s">
        <v>1212</v>
      </c>
      <c r="E1214">
        <v>54219289732</v>
      </c>
      <c r="F1214">
        <v>524993</v>
      </c>
      <c r="G1214">
        <v>49699739551</v>
      </c>
      <c r="H1214" t="s">
        <v>35</v>
      </c>
      <c r="I1214" s="36">
        <v>5110.92</v>
      </c>
      <c r="J1214" s="36">
        <v>5110.92</v>
      </c>
      <c r="K1214" s="85">
        <v>0</v>
      </c>
      <c r="L1214" s="36">
        <v>425.91</v>
      </c>
      <c r="M1214" s="36">
        <v>0</v>
      </c>
      <c r="N1214" s="36">
        <v>47.704599999999999</v>
      </c>
      <c r="O1214" s="36">
        <v>378.21</v>
      </c>
      <c r="P1214" t="s">
        <v>162</v>
      </c>
      <c r="Q1214" t="s">
        <v>111</v>
      </c>
      <c r="R1214" t="s">
        <v>111</v>
      </c>
      <c r="S1214" s="1">
        <v>46044</v>
      </c>
      <c r="T1214" s="1">
        <v>46054</v>
      </c>
      <c r="U1214" s="1">
        <v>46041</v>
      </c>
      <c r="V1214" s="1">
        <v>46406</v>
      </c>
      <c r="W1214" t="s">
        <v>38</v>
      </c>
      <c r="X1214">
        <v>12</v>
      </c>
      <c r="Y1214" t="s">
        <v>49</v>
      </c>
      <c r="Z1214" t="s">
        <v>81</v>
      </c>
      <c r="AA1214" t="s">
        <v>112</v>
      </c>
      <c r="AB1214">
        <v>1</v>
      </c>
      <c r="AC1214" t="s">
        <v>113</v>
      </c>
      <c r="AD1214" t="s">
        <v>125</v>
      </c>
      <c r="AE1214" t="s">
        <v>43</v>
      </c>
      <c r="AF1214" t="s">
        <v>47</v>
      </c>
      <c r="AG1214" t="str">
        <f t="shared" si="20"/>
        <v>À Vista</v>
      </c>
      <c r="AH1214" t="str">
        <f>IF(AND(SUMIF(E:E,E1214,I:I)&gt;=400000,Q1214="B2G"),"n","")</f>
        <v/>
      </c>
    </row>
    <row r="1215" spans="1:34">
      <c r="A1215">
        <v>2026</v>
      </c>
      <c r="B1215">
        <v>2</v>
      </c>
      <c r="C1215" s="83">
        <v>19485560083</v>
      </c>
      <c r="D1215" t="s">
        <v>1213</v>
      </c>
      <c r="E1215">
        <v>54504620558</v>
      </c>
      <c r="F1215">
        <v>527113</v>
      </c>
      <c r="G1215">
        <v>51226083380</v>
      </c>
      <c r="H1215" t="s">
        <v>35</v>
      </c>
      <c r="I1215" s="36">
        <v>14608.47</v>
      </c>
      <c r="J1215" s="36">
        <v>14608.47</v>
      </c>
      <c r="K1215" s="85">
        <v>0</v>
      </c>
      <c r="L1215" s="36">
        <v>1217.3724999999999</v>
      </c>
      <c r="M1215" s="36">
        <v>0</v>
      </c>
      <c r="N1215" s="36">
        <v>543.27374999999995</v>
      </c>
      <c r="O1215" s="36">
        <v>674.1</v>
      </c>
      <c r="P1215" t="s">
        <v>78</v>
      </c>
      <c r="Q1215" t="s">
        <v>79</v>
      </c>
      <c r="R1215" t="s">
        <v>80</v>
      </c>
      <c r="S1215" s="1">
        <v>46063</v>
      </c>
      <c r="T1215" s="1">
        <v>46063</v>
      </c>
      <c r="U1215" s="1">
        <v>46063</v>
      </c>
      <c r="V1215" s="1">
        <v>46428</v>
      </c>
      <c r="W1215" t="s">
        <v>38</v>
      </c>
      <c r="X1215">
        <v>12</v>
      </c>
      <c r="Y1215" t="s">
        <v>49</v>
      </c>
      <c r="Z1215" t="s">
        <v>76</v>
      </c>
      <c r="AA1215" t="s">
        <v>82</v>
      </c>
      <c r="AB1215">
        <v>1</v>
      </c>
      <c r="AC1215" t="s">
        <v>83</v>
      </c>
      <c r="AD1215" t="s">
        <v>73</v>
      </c>
      <c r="AE1215" t="s">
        <v>51</v>
      </c>
      <c r="AF1215" t="s">
        <v>47</v>
      </c>
      <c r="AG1215" t="str">
        <f t="shared" si="20"/>
        <v>À Vista</v>
      </c>
      <c r="AH1215" t="str">
        <f>IF(AND(SUMIF(E:E,E1215,I:I)&gt;=400000,Q1215="B2G"),"n","")</f>
        <v/>
      </c>
    </row>
    <row r="1216" spans="1:34">
      <c r="A1216">
        <v>2026</v>
      </c>
      <c r="B1216">
        <v>2</v>
      </c>
      <c r="C1216" s="83">
        <v>19485560083</v>
      </c>
      <c r="D1216" t="s">
        <v>1213</v>
      </c>
      <c r="E1216">
        <v>54504620558</v>
      </c>
      <c r="F1216">
        <v>527113</v>
      </c>
      <c r="G1216">
        <v>51226083381</v>
      </c>
      <c r="H1216" t="s">
        <v>35</v>
      </c>
      <c r="I1216" s="36">
        <v>14608.47</v>
      </c>
      <c r="J1216" s="36">
        <v>14608.47</v>
      </c>
      <c r="K1216" s="85">
        <v>0</v>
      </c>
      <c r="L1216" s="36">
        <v>1217.3724999999999</v>
      </c>
      <c r="M1216" s="36">
        <v>0</v>
      </c>
      <c r="N1216" s="36">
        <v>543.27374999999995</v>
      </c>
      <c r="O1216" s="36">
        <v>674.1</v>
      </c>
      <c r="P1216" t="s">
        <v>78</v>
      </c>
      <c r="Q1216" t="s">
        <v>79</v>
      </c>
      <c r="R1216" t="s">
        <v>80</v>
      </c>
      <c r="S1216" s="1">
        <v>46063</v>
      </c>
      <c r="T1216" s="1">
        <v>46063</v>
      </c>
      <c r="U1216" s="1">
        <v>46063</v>
      </c>
      <c r="V1216" s="1">
        <v>46428</v>
      </c>
      <c r="W1216" t="s">
        <v>38</v>
      </c>
      <c r="X1216">
        <v>12</v>
      </c>
      <c r="Y1216" t="s">
        <v>49</v>
      </c>
      <c r="Z1216" t="s">
        <v>76</v>
      </c>
      <c r="AA1216" t="s">
        <v>82</v>
      </c>
      <c r="AB1216">
        <v>1</v>
      </c>
      <c r="AC1216" t="s">
        <v>83</v>
      </c>
      <c r="AD1216" t="s">
        <v>564</v>
      </c>
      <c r="AE1216" t="s">
        <v>257</v>
      </c>
      <c r="AF1216" t="s">
        <v>59</v>
      </c>
      <c r="AG1216" t="str">
        <f t="shared" si="20"/>
        <v>À Vista</v>
      </c>
      <c r="AH1216" t="str">
        <f>IF(AND(SUMIF(E:E,E1216,I:I)&gt;=400000,Q1216="B2G"),"n","")</f>
        <v/>
      </c>
    </row>
    <row r="1217" spans="1:34">
      <c r="A1217">
        <v>2026</v>
      </c>
      <c r="B1217">
        <v>2</v>
      </c>
      <c r="C1217" s="83">
        <v>19485560083</v>
      </c>
      <c r="D1217" t="s">
        <v>1213</v>
      </c>
      <c r="E1217">
        <v>54504620558</v>
      </c>
      <c r="F1217">
        <v>527113</v>
      </c>
      <c r="G1217">
        <v>51226083382</v>
      </c>
      <c r="H1217" t="s">
        <v>35</v>
      </c>
      <c r="I1217" s="36">
        <v>14608.47</v>
      </c>
      <c r="J1217" s="36">
        <v>14608.47</v>
      </c>
      <c r="K1217" s="85">
        <v>0</v>
      </c>
      <c r="L1217" s="36">
        <v>1217.3724999999999</v>
      </c>
      <c r="M1217" s="36">
        <v>0</v>
      </c>
      <c r="N1217" s="36">
        <v>543.27374999999995</v>
      </c>
      <c r="O1217" s="36">
        <v>674.1</v>
      </c>
      <c r="P1217" t="s">
        <v>78</v>
      </c>
      <c r="Q1217" t="s">
        <v>79</v>
      </c>
      <c r="R1217" t="s">
        <v>80</v>
      </c>
      <c r="S1217" s="1">
        <v>46063</v>
      </c>
      <c r="T1217" s="1">
        <v>46063</v>
      </c>
      <c r="U1217" s="1">
        <v>46063</v>
      </c>
      <c r="V1217" s="1">
        <v>46428</v>
      </c>
      <c r="W1217" t="s">
        <v>38</v>
      </c>
      <c r="X1217">
        <v>12</v>
      </c>
      <c r="Y1217" t="s">
        <v>49</v>
      </c>
      <c r="Z1217" t="s">
        <v>76</v>
      </c>
      <c r="AA1217" t="s">
        <v>82</v>
      </c>
      <c r="AB1217">
        <v>1</v>
      </c>
      <c r="AC1217" t="s">
        <v>83</v>
      </c>
      <c r="AD1217" t="s">
        <v>70</v>
      </c>
      <c r="AE1217" t="s">
        <v>43</v>
      </c>
      <c r="AF1217" t="s">
        <v>47</v>
      </c>
      <c r="AG1217" t="str">
        <f t="shared" si="20"/>
        <v>À Vista</v>
      </c>
      <c r="AH1217" t="str">
        <f>IF(AND(SUMIF(E:E,E1217,I:I)&gt;=400000,Q1217="B2G"),"n","")</f>
        <v/>
      </c>
    </row>
    <row r="1218" spans="1:34">
      <c r="A1218">
        <v>2026</v>
      </c>
      <c r="B1218">
        <v>2</v>
      </c>
      <c r="C1218" s="83">
        <v>19485560083</v>
      </c>
      <c r="D1218" t="s">
        <v>1213</v>
      </c>
      <c r="E1218">
        <v>54504620558</v>
      </c>
      <c r="F1218">
        <v>527113</v>
      </c>
      <c r="G1218">
        <v>51226083383</v>
      </c>
      <c r="H1218" t="s">
        <v>35</v>
      </c>
      <c r="I1218" s="36">
        <v>14608.47</v>
      </c>
      <c r="J1218" s="36">
        <v>14608.47</v>
      </c>
      <c r="K1218" s="85">
        <v>0</v>
      </c>
      <c r="L1218" s="36">
        <v>1217.3724999999999</v>
      </c>
      <c r="M1218" s="36">
        <v>0</v>
      </c>
      <c r="N1218" s="36">
        <v>543.27374999999995</v>
      </c>
      <c r="O1218" s="36">
        <v>674.1</v>
      </c>
      <c r="P1218" t="s">
        <v>78</v>
      </c>
      <c r="Q1218" t="s">
        <v>79</v>
      </c>
      <c r="R1218" t="s">
        <v>80</v>
      </c>
      <c r="S1218" s="1">
        <v>46063</v>
      </c>
      <c r="T1218" s="1">
        <v>46063</v>
      </c>
      <c r="U1218" s="1">
        <v>46063</v>
      </c>
      <c r="V1218" s="1">
        <v>46428</v>
      </c>
      <c r="W1218" t="s">
        <v>38</v>
      </c>
      <c r="X1218">
        <v>12</v>
      </c>
      <c r="Y1218" t="s">
        <v>49</v>
      </c>
      <c r="Z1218" t="s">
        <v>76</v>
      </c>
      <c r="AA1218" t="s">
        <v>82</v>
      </c>
      <c r="AB1218">
        <v>1</v>
      </c>
      <c r="AC1218" t="s">
        <v>83</v>
      </c>
      <c r="AD1218" t="s">
        <v>100</v>
      </c>
      <c r="AE1218" t="s">
        <v>46</v>
      </c>
      <c r="AF1218" t="s">
        <v>47</v>
      </c>
      <c r="AG1218" t="str">
        <f t="shared" si="20"/>
        <v>À Vista</v>
      </c>
      <c r="AH1218" t="str">
        <f>IF(AND(SUMIF(E:E,E1218,I:I)&gt;=400000,Q1218="B2G"),"n","")</f>
        <v/>
      </c>
    </row>
    <row r="1219" spans="1:34">
      <c r="A1219">
        <v>2026</v>
      </c>
      <c r="B1219">
        <v>2</v>
      </c>
      <c r="C1219" s="83">
        <v>19485579865</v>
      </c>
      <c r="D1219" t="s">
        <v>1214</v>
      </c>
      <c r="E1219">
        <v>55628746157</v>
      </c>
      <c r="F1219">
        <v>631476</v>
      </c>
      <c r="G1219">
        <v>50975703568</v>
      </c>
      <c r="H1219" t="s">
        <v>35</v>
      </c>
      <c r="I1219" s="36">
        <v>631.79999999999995</v>
      </c>
      <c r="J1219" s="36">
        <v>1318.68</v>
      </c>
      <c r="K1219" s="85">
        <v>0</v>
      </c>
      <c r="L1219" s="36">
        <v>109.89</v>
      </c>
      <c r="M1219" s="36">
        <v>0</v>
      </c>
      <c r="N1219" s="36">
        <v>109.89</v>
      </c>
      <c r="O1219" s="36">
        <v>0</v>
      </c>
      <c r="P1219" t="s">
        <v>520</v>
      </c>
      <c r="Q1219" t="s">
        <v>191</v>
      </c>
      <c r="R1219" t="s">
        <v>191</v>
      </c>
      <c r="S1219" s="1">
        <v>46059</v>
      </c>
      <c r="T1219" s="1">
        <v>46059</v>
      </c>
      <c r="U1219" s="1">
        <v>46234</v>
      </c>
      <c r="V1219" s="1">
        <v>46234</v>
      </c>
      <c r="W1219" t="s">
        <v>38</v>
      </c>
      <c r="X1219">
        <v>5</v>
      </c>
      <c r="Y1219" t="s">
        <v>49</v>
      </c>
      <c r="Z1219" t="s">
        <v>324</v>
      </c>
      <c r="AA1219" t="s">
        <v>92</v>
      </c>
      <c r="AB1219">
        <v>5</v>
      </c>
      <c r="AC1219" t="s">
        <v>192</v>
      </c>
      <c r="AD1219" t="s">
        <v>1215</v>
      </c>
      <c r="AE1219" t="s">
        <v>257</v>
      </c>
      <c r="AF1219" t="s">
        <v>59</v>
      </c>
      <c r="AG1219" t="str">
        <f t="shared" si="20"/>
        <v>Recorrente</v>
      </c>
      <c r="AH1219" t="str">
        <f>IF(AND(SUMIF(E:E,E1219,I:I)&gt;=400000,Q1219="B2G"),"n","")</f>
        <v/>
      </c>
    </row>
    <row r="1220" spans="1:34">
      <c r="A1220">
        <v>2026</v>
      </c>
      <c r="B1220">
        <v>2</v>
      </c>
      <c r="C1220" s="83">
        <v>19485589866</v>
      </c>
      <c r="D1220" t="s">
        <v>1216</v>
      </c>
      <c r="E1220">
        <v>56204020235</v>
      </c>
      <c r="F1220">
        <v>636085</v>
      </c>
      <c r="G1220">
        <v>51492004436</v>
      </c>
      <c r="H1220" t="s">
        <v>35</v>
      </c>
      <c r="I1220" s="36">
        <v>2874</v>
      </c>
      <c r="J1220" s="36">
        <v>2874</v>
      </c>
      <c r="K1220" s="85">
        <v>0</v>
      </c>
      <c r="L1220" s="36">
        <v>239.5</v>
      </c>
      <c r="M1220" s="36">
        <v>239.5</v>
      </c>
      <c r="N1220" s="36">
        <v>0</v>
      </c>
      <c r="O1220" s="36">
        <v>0</v>
      </c>
      <c r="P1220" t="s">
        <v>129</v>
      </c>
      <c r="Q1220" t="s">
        <v>91</v>
      </c>
      <c r="R1220" t="s">
        <v>91</v>
      </c>
      <c r="S1220" s="1">
        <v>46066</v>
      </c>
      <c r="T1220" s="1">
        <v>46066</v>
      </c>
      <c r="U1220" s="1"/>
      <c r="V1220" s="1">
        <v>46431</v>
      </c>
      <c r="W1220" t="s">
        <v>38</v>
      </c>
      <c r="X1220">
        <v>12</v>
      </c>
      <c r="Y1220" t="s">
        <v>49</v>
      </c>
      <c r="AA1220" t="s">
        <v>92</v>
      </c>
      <c r="AB1220">
        <v>12</v>
      </c>
      <c r="AC1220" t="s">
        <v>93</v>
      </c>
      <c r="AD1220" t="s">
        <v>140</v>
      </c>
      <c r="AE1220" t="s">
        <v>46</v>
      </c>
      <c r="AF1220" t="s">
        <v>119</v>
      </c>
      <c r="AG1220" t="str">
        <f t="shared" si="20"/>
        <v>Recorrente</v>
      </c>
      <c r="AH1220" t="str">
        <f>IF(AND(SUMIF(E:E,E1220,I:I)&gt;=400000,Q1220="B2G"),"n","")</f>
        <v/>
      </c>
    </row>
    <row r="1221" spans="1:34">
      <c r="A1221">
        <v>2026</v>
      </c>
      <c r="B1221">
        <v>2</v>
      </c>
      <c r="C1221" s="83">
        <v>19485589917</v>
      </c>
      <c r="D1221" t="s">
        <v>1217</v>
      </c>
      <c r="E1221">
        <v>56020672838</v>
      </c>
      <c r="F1221">
        <v>635359</v>
      </c>
      <c r="G1221">
        <v>51427186606</v>
      </c>
      <c r="H1221" t="s">
        <v>35</v>
      </c>
      <c r="I1221" s="36">
        <v>2323.8000000000002</v>
      </c>
      <c r="J1221" s="36">
        <v>2788.56</v>
      </c>
      <c r="K1221" s="85">
        <v>0</v>
      </c>
      <c r="L1221" s="36">
        <v>232.38</v>
      </c>
      <c r="M1221" s="36">
        <v>0</v>
      </c>
      <c r="N1221" s="36">
        <v>232.38</v>
      </c>
      <c r="O1221" s="36">
        <v>0</v>
      </c>
      <c r="P1221" t="s">
        <v>1073</v>
      </c>
      <c r="Q1221" t="s">
        <v>314</v>
      </c>
      <c r="R1221" t="s">
        <v>314</v>
      </c>
      <c r="S1221" s="1">
        <v>46064</v>
      </c>
      <c r="T1221" s="1">
        <v>46064</v>
      </c>
      <c r="U1221" s="1">
        <v>46374</v>
      </c>
      <c r="V1221" s="1">
        <v>46374</v>
      </c>
      <c r="W1221" t="s">
        <v>38</v>
      </c>
      <c r="X1221">
        <v>10</v>
      </c>
      <c r="Y1221" t="s">
        <v>49</v>
      </c>
      <c r="Z1221" t="s">
        <v>324</v>
      </c>
      <c r="AA1221" t="s">
        <v>122</v>
      </c>
      <c r="AB1221">
        <v>10</v>
      </c>
      <c r="AC1221" t="s">
        <v>315</v>
      </c>
      <c r="AD1221" t="s">
        <v>85</v>
      </c>
      <c r="AE1221" t="s">
        <v>46</v>
      </c>
      <c r="AF1221" t="s">
        <v>44</v>
      </c>
      <c r="AG1221" t="str">
        <f t="shared" si="20"/>
        <v>Recorrente</v>
      </c>
      <c r="AH1221" t="str">
        <f>IF(AND(SUMIF(E:E,E1221,I:I)&gt;=400000,Q1221="B2G"),"n","")</f>
        <v/>
      </c>
    </row>
    <row r="1222" spans="1:34">
      <c r="A1222">
        <v>2026</v>
      </c>
      <c r="B1222">
        <v>2</v>
      </c>
      <c r="C1222" s="83">
        <v>19485599351</v>
      </c>
      <c r="D1222" t="s">
        <v>1218</v>
      </c>
      <c r="E1222">
        <v>53633487912</v>
      </c>
      <c r="F1222">
        <v>627017</v>
      </c>
      <c r="G1222">
        <v>48899464963</v>
      </c>
      <c r="H1222" t="s">
        <v>35</v>
      </c>
      <c r="I1222" s="36">
        <v>3834</v>
      </c>
      <c r="J1222" s="36">
        <v>3834</v>
      </c>
      <c r="K1222" s="85">
        <v>0</v>
      </c>
      <c r="L1222" s="36">
        <v>319.5</v>
      </c>
      <c r="M1222" s="36">
        <v>0</v>
      </c>
      <c r="N1222" s="36">
        <v>21.5</v>
      </c>
      <c r="O1222" s="36">
        <v>298</v>
      </c>
      <c r="P1222" t="s">
        <v>165</v>
      </c>
      <c r="Q1222" t="s">
        <v>166</v>
      </c>
      <c r="R1222" t="s">
        <v>166</v>
      </c>
      <c r="S1222" s="1">
        <v>46077</v>
      </c>
      <c r="T1222" s="1">
        <v>46077</v>
      </c>
      <c r="U1222" s="1">
        <v>46080</v>
      </c>
      <c r="V1222" s="1">
        <v>46445</v>
      </c>
      <c r="W1222" t="s">
        <v>38</v>
      </c>
      <c r="X1222">
        <v>12</v>
      </c>
      <c r="Y1222" t="s">
        <v>49</v>
      </c>
      <c r="Z1222" t="s">
        <v>81</v>
      </c>
      <c r="AA1222" t="s">
        <v>122</v>
      </c>
      <c r="AB1222">
        <v>12</v>
      </c>
      <c r="AC1222" t="s">
        <v>166</v>
      </c>
      <c r="AD1222" t="s">
        <v>142</v>
      </c>
      <c r="AE1222" t="s">
        <v>95</v>
      </c>
      <c r="AF1222" t="s">
        <v>44</v>
      </c>
      <c r="AG1222" t="str">
        <f t="shared" si="20"/>
        <v>Recorrente</v>
      </c>
      <c r="AH1222" t="str">
        <f>IF(AND(SUMIF(E:E,E1222,I:I)&gt;=400000,Q1222="B2G"),"n","")</f>
        <v/>
      </c>
    </row>
    <row r="1223" spans="1:34">
      <c r="A1223">
        <v>2026</v>
      </c>
      <c r="B1223">
        <v>2</v>
      </c>
      <c r="C1223" s="83">
        <v>19485602913</v>
      </c>
      <c r="D1223" t="s">
        <v>1219</v>
      </c>
      <c r="E1223">
        <v>54994409023</v>
      </c>
      <c r="F1223">
        <v>626020</v>
      </c>
      <c r="G1223">
        <v>50778063702</v>
      </c>
      <c r="H1223" t="s">
        <v>35</v>
      </c>
      <c r="I1223" s="36">
        <v>3666.6</v>
      </c>
      <c r="J1223" s="36">
        <v>3666.6</v>
      </c>
      <c r="K1223" s="85">
        <v>0</v>
      </c>
      <c r="L1223" s="36">
        <v>305.55</v>
      </c>
      <c r="M1223" s="36">
        <v>0</v>
      </c>
      <c r="N1223" s="36">
        <v>0</v>
      </c>
      <c r="O1223" s="36">
        <v>305.55</v>
      </c>
      <c r="P1223" t="s">
        <v>110</v>
      </c>
      <c r="Q1223" t="s">
        <v>111</v>
      </c>
      <c r="R1223" t="s">
        <v>111</v>
      </c>
      <c r="S1223" s="1">
        <v>46057</v>
      </c>
      <c r="T1223" s="1">
        <v>46054</v>
      </c>
      <c r="U1223" s="1">
        <v>46052</v>
      </c>
      <c r="V1223" s="1">
        <v>46422</v>
      </c>
      <c r="W1223" t="s">
        <v>38</v>
      </c>
      <c r="X1223">
        <v>13</v>
      </c>
      <c r="Y1223" t="s">
        <v>49</v>
      </c>
      <c r="Z1223" t="s">
        <v>76</v>
      </c>
      <c r="AA1223" t="s">
        <v>117</v>
      </c>
      <c r="AB1223">
        <v>1</v>
      </c>
      <c r="AC1223" t="s">
        <v>113</v>
      </c>
      <c r="AD1223" t="s">
        <v>160</v>
      </c>
      <c r="AE1223" t="s">
        <v>43</v>
      </c>
      <c r="AF1223" t="s">
        <v>44</v>
      </c>
      <c r="AG1223" t="str">
        <f t="shared" si="20"/>
        <v>À Vista</v>
      </c>
      <c r="AH1223" t="str">
        <f>IF(AND(SUMIF(E:E,E1223,I:I)&gt;=400000,Q1223="B2G"),"n","")</f>
        <v/>
      </c>
    </row>
    <row r="1224" spans="1:34">
      <c r="A1224">
        <v>2026</v>
      </c>
      <c r="B1224">
        <v>2</v>
      </c>
      <c r="C1224" s="83">
        <v>19485907771</v>
      </c>
      <c r="D1224" t="s">
        <v>1220</v>
      </c>
      <c r="E1224">
        <v>56611833134</v>
      </c>
      <c r="F1224">
        <v>636141</v>
      </c>
      <c r="G1224">
        <v>51938906765</v>
      </c>
      <c r="H1224" t="s">
        <v>35</v>
      </c>
      <c r="I1224" s="36">
        <v>10102.799999999999</v>
      </c>
      <c r="J1224" s="36">
        <v>7280.4530050000003</v>
      </c>
      <c r="K1224" s="85">
        <v>2822.3469949999999</v>
      </c>
      <c r="L1224" s="36">
        <v>606.7044171</v>
      </c>
      <c r="M1224" s="36">
        <v>0</v>
      </c>
      <c r="N1224" s="36">
        <v>108.9066049</v>
      </c>
      <c r="O1224" s="36">
        <v>497.79781220000001</v>
      </c>
      <c r="P1224" t="s">
        <v>162</v>
      </c>
      <c r="Q1224" t="s">
        <v>111</v>
      </c>
      <c r="R1224" t="s">
        <v>111</v>
      </c>
      <c r="S1224" s="1">
        <v>46072</v>
      </c>
      <c r="T1224" s="1">
        <v>46072</v>
      </c>
      <c r="U1224" s="1"/>
      <c r="V1224" s="1">
        <v>46437</v>
      </c>
      <c r="W1224" t="s">
        <v>38</v>
      </c>
      <c r="Y1224" t="s">
        <v>49</v>
      </c>
      <c r="AA1224" t="s">
        <v>117</v>
      </c>
      <c r="AB1224">
        <v>1</v>
      </c>
      <c r="AC1224" t="s">
        <v>113</v>
      </c>
      <c r="AD1224" t="s">
        <v>174</v>
      </c>
      <c r="AE1224" t="s">
        <v>43</v>
      </c>
      <c r="AF1224" t="s">
        <v>47</v>
      </c>
      <c r="AG1224" t="str">
        <f t="shared" si="20"/>
        <v>À Vista</v>
      </c>
      <c r="AH1224" t="str">
        <f>IF(AND(SUMIF(E:E,E1224,I:I)&gt;=400000,Q1224="B2G"),"n","")</f>
        <v/>
      </c>
    </row>
    <row r="1225" spans="1:34">
      <c r="A1225">
        <v>2026</v>
      </c>
      <c r="B1225">
        <v>2</v>
      </c>
      <c r="C1225" s="83">
        <v>19485907771</v>
      </c>
      <c r="D1225" t="s">
        <v>1220</v>
      </c>
      <c r="E1225">
        <v>56611833134</v>
      </c>
      <c r="F1225">
        <v>636141</v>
      </c>
      <c r="G1225">
        <v>51938906766</v>
      </c>
      <c r="H1225" t="s">
        <v>35</v>
      </c>
      <c r="I1225" s="36">
        <v>16520.16</v>
      </c>
      <c r="J1225" s="36">
        <v>11904.97206</v>
      </c>
      <c r="K1225" s="85">
        <v>4615.1879440000002</v>
      </c>
      <c r="L1225" s="36">
        <v>992.08100469999999</v>
      </c>
      <c r="M1225" s="36">
        <v>0</v>
      </c>
      <c r="N1225" s="36">
        <v>178.0837109</v>
      </c>
      <c r="O1225" s="36">
        <v>813.99729379999997</v>
      </c>
      <c r="P1225" t="s">
        <v>162</v>
      </c>
      <c r="Q1225" t="s">
        <v>111</v>
      </c>
      <c r="R1225" t="s">
        <v>111</v>
      </c>
      <c r="S1225" s="1">
        <v>46072</v>
      </c>
      <c r="T1225" s="1">
        <v>46072</v>
      </c>
      <c r="U1225" s="1"/>
      <c r="V1225" s="1">
        <v>46437</v>
      </c>
      <c r="W1225" t="s">
        <v>38</v>
      </c>
      <c r="Y1225" t="s">
        <v>49</v>
      </c>
      <c r="AA1225" t="s">
        <v>117</v>
      </c>
      <c r="AB1225">
        <v>1</v>
      </c>
      <c r="AC1225" t="s">
        <v>113</v>
      </c>
      <c r="AD1225" t="s">
        <v>125</v>
      </c>
      <c r="AE1225" t="s">
        <v>43</v>
      </c>
      <c r="AF1225" t="s">
        <v>47</v>
      </c>
      <c r="AG1225" t="str">
        <f t="shared" si="20"/>
        <v>À Vista</v>
      </c>
      <c r="AH1225" t="str">
        <f>IF(AND(SUMIF(E:E,E1225,I:I)&gt;=400000,Q1225="B2G"),"n","")</f>
        <v/>
      </c>
    </row>
    <row r="1226" spans="1:34">
      <c r="A1226">
        <v>2026</v>
      </c>
      <c r="B1226">
        <v>2</v>
      </c>
      <c r="C1226" s="83">
        <v>19485907771</v>
      </c>
      <c r="D1226" t="s">
        <v>1220</v>
      </c>
      <c r="E1226">
        <v>56611833134</v>
      </c>
      <c r="F1226">
        <v>636141</v>
      </c>
      <c r="G1226">
        <v>51938906767</v>
      </c>
      <c r="H1226" t="s">
        <v>35</v>
      </c>
      <c r="I1226" s="36">
        <v>15257.4</v>
      </c>
      <c r="J1226" s="36">
        <v>10994.94946</v>
      </c>
      <c r="K1226" s="85">
        <v>4262.4505410000002</v>
      </c>
      <c r="L1226" s="36">
        <v>916.24578819999999</v>
      </c>
      <c r="M1226" s="36">
        <v>0</v>
      </c>
      <c r="N1226" s="36">
        <v>164.4708943</v>
      </c>
      <c r="O1226" s="36">
        <v>751.77489400000002</v>
      </c>
      <c r="P1226" t="s">
        <v>162</v>
      </c>
      <c r="Q1226" t="s">
        <v>111</v>
      </c>
      <c r="R1226" t="s">
        <v>111</v>
      </c>
      <c r="S1226" s="1">
        <v>46072</v>
      </c>
      <c r="T1226" s="1">
        <v>46072</v>
      </c>
      <c r="U1226" s="1"/>
      <c r="V1226" s="1">
        <v>46437</v>
      </c>
      <c r="W1226" t="s">
        <v>38</v>
      </c>
      <c r="Y1226" t="s">
        <v>49</v>
      </c>
      <c r="AA1226" t="s">
        <v>117</v>
      </c>
      <c r="AB1226">
        <v>1</v>
      </c>
      <c r="AC1226" t="s">
        <v>113</v>
      </c>
      <c r="AD1226" t="s">
        <v>154</v>
      </c>
      <c r="AE1226" t="s">
        <v>46</v>
      </c>
      <c r="AF1226" t="s">
        <v>47</v>
      </c>
      <c r="AG1226" t="str">
        <f t="shared" si="20"/>
        <v>À Vista</v>
      </c>
      <c r="AH1226" t="str">
        <f>IF(AND(SUMIF(E:E,E1226,I:I)&gt;=400000,Q1226="B2G"),"n","")</f>
        <v/>
      </c>
    </row>
    <row r="1227" spans="1:34">
      <c r="A1227">
        <v>2026</v>
      </c>
      <c r="B1227">
        <v>2</v>
      </c>
      <c r="C1227" s="83">
        <v>19485910615</v>
      </c>
      <c r="D1227" t="s">
        <v>1221</v>
      </c>
      <c r="E1227">
        <v>55882054151</v>
      </c>
      <c r="F1227">
        <v>606999</v>
      </c>
      <c r="G1227">
        <v>51226016823</v>
      </c>
      <c r="H1227" t="s">
        <v>35</v>
      </c>
      <c r="I1227" s="36">
        <v>3851.04</v>
      </c>
      <c r="J1227" s="36">
        <v>3851.04</v>
      </c>
      <c r="K1227" s="85">
        <v>0</v>
      </c>
      <c r="L1227" s="36">
        <v>320.92</v>
      </c>
      <c r="M1227" s="36">
        <v>0</v>
      </c>
      <c r="N1227" s="36">
        <v>15.817500000000001</v>
      </c>
      <c r="O1227" s="36">
        <v>305.10000000000002</v>
      </c>
      <c r="P1227" t="s">
        <v>110</v>
      </c>
      <c r="Q1227" t="s">
        <v>111</v>
      </c>
      <c r="R1227" t="s">
        <v>111</v>
      </c>
      <c r="S1227" s="1">
        <v>46063</v>
      </c>
      <c r="T1227" s="1">
        <v>46062</v>
      </c>
      <c r="U1227" s="1">
        <v>46031</v>
      </c>
      <c r="V1227" s="1">
        <v>46446</v>
      </c>
      <c r="W1227" t="s">
        <v>38</v>
      </c>
      <c r="X1227">
        <v>13</v>
      </c>
      <c r="Y1227" t="s">
        <v>49</v>
      </c>
      <c r="Z1227" t="s">
        <v>81</v>
      </c>
      <c r="AA1227" t="s">
        <v>117</v>
      </c>
      <c r="AB1227">
        <v>1</v>
      </c>
      <c r="AC1227" t="s">
        <v>113</v>
      </c>
      <c r="AD1227" t="s">
        <v>84</v>
      </c>
      <c r="AE1227" t="s">
        <v>43</v>
      </c>
      <c r="AF1227" t="s">
        <v>44</v>
      </c>
      <c r="AG1227" t="str">
        <f t="shared" si="20"/>
        <v>À Vista</v>
      </c>
      <c r="AH1227" t="str">
        <f>IF(AND(SUMIF(E:E,E1227,I:I)&gt;=400000,Q1227="B2G"),"n","")</f>
        <v/>
      </c>
    </row>
    <row r="1228" spans="1:34">
      <c r="A1228">
        <v>2026</v>
      </c>
      <c r="B1228">
        <v>2</v>
      </c>
      <c r="C1228" s="83">
        <v>19485913859</v>
      </c>
      <c r="D1228" t="s">
        <v>1222</v>
      </c>
      <c r="E1228">
        <v>54033589943</v>
      </c>
      <c r="F1228">
        <v>607200</v>
      </c>
      <c r="G1228">
        <v>49671120184</v>
      </c>
      <c r="H1228" t="s">
        <v>35</v>
      </c>
      <c r="I1228" s="36">
        <v>7195.44</v>
      </c>
      <c r="J1228" s="36">
        <v>7195.44</v>
      </c>
      <c r="K1228" s="85">
        <v>0</v>
      </c>
      <c r="L1228" s="36">
        <v>599.62</v>
      </c>
      <c r="M1228" s="36">
        <v>0</v>
      </c>
      <c r="N1228" s="36">
        <v>20.945</v>
      </c>
      <c r="O1228" s="36">
        <v>578.67999999999995</v>
      </c>
      <c r="P1228" t="s">
        <v>133</v>
      </c>
      <c r="Q1228" t="s">
        <v>111</v>
      </c>
      <c r="R1228" t="s">
        <v>111</v>
      </c>
      <c r="S1228" s="1">
        <v>46045</v>
      </c>
      <c r="T1228" s="1">
        <v>46054</v>
      </c>
      <c r="U1228" s="1">
        <v>46037</v>
      </c>
      <c r="V1228" s="1">
        <v>46433</v>
      </c>
      <c r="W1228" t="s">
        <v>38</v>
      </c>
      <c r="X1228">
        <v>13</v>
      </c>
      <c r="Y1228" t="s">
        <v>49</v>
      </c>
      <c r="Z1228" t="s">
        <v>81</v>
      </c>
      <c r="AA1228" t="s">
        <v>112</v>
      </c>
      <c r="AB1228">
        <v>12</v>
      </c>
      <c r="AC1228" t="s">
        <v>113</v>
      </c>
      <c r="AD1228" t="s">
        <v>131</v>
      </c>
      <c r="AE1228" t="s">
        <v>46</v>
      </c>
      <c r="AF1228" t="s">
        <v>96</v>
      </c>
      <c r="AG1228" t="str">
        <f t="shared" si="20"/>
        <v>CC 12x</v>
      </c>
      <c r="AH1228" t="str">
        <f>IF(AND(SUMIF(E:E,E1228,I:I)&gt;=400000,Q1228="B2G"),"n","")</f>
        <v/>
      </c>
    </row>
    <row r="1229" spans="1:34">
      <c r="A1229">
        <v>2026</v>
      </c>
      <c r="B1229">
        <v>2</v>
      </c>
      <c r="C1229" s="83">
        <v>19485920877</v>
      </c>
      <c r="D1229" t="s">
        <v>1223</v>
      </c>
      <c r="E1229">
        <v>55042495532</v>
      </c>
      <c r="F1229">
        <v>635997</v>
      </c>
      <c r="G1229">
        <v>51050942640</v>
      </c>
      <c r="H1229" t="s">
        <v>35</v>
      </c>
      <c r="I1229" s="36">
        <v>9210.24</v>
      </c>
      <c r="J1229" s="36">
        <v>9210.24</v>
      </c>
      <c r="K1229" s="85">
        <v>0</v>
      </c>
      <c r="L1229" s="36">
        <v>767.52</v>
      </c>
      <c r="M1229" s="36">
        <v>767.52</v>
      </c>
      <c r="N1229" s="36">
        <v>0</v>
      </c>
      <c r="O1229" s="36">
        <v>0</v>
      </c>
      <c r="P1229" t="s">
        <v>506</v>
      </c>
      <c r="Q1229" t="s">
        <v>300</v>
      </c>
      <c r="R1229" t="s">
        <v>300</v>
      </c>
      <c r="S1229" s="1">
        <v>46062</v>
      </c>
      <c r="T1229" s="1">
        <v>46062</v>
      </c>
      <c r="U1229" s="1"/>
      <c r="V1229" s="1">
        <v>46427</v>
      </c>
      <c r="W1229" t="s">
        <v>38</v>
      </c>
      <c r="X1229">
        <v>12</v>
      </c>
      <c r="Y1229" t="s">
        <v>49</v>
      </c>
      <c r="AA1229" t="s">
        <v>122</v>
      </c>
      <c r="AB1229">
        <v>12</v>
      </c>
      <c r="AC1229" t="s">
        <v>301</v>
      </c>
      <c r="AD1229" t="s">
        <v>131</v>
      </c>
      <c r="AE1229" t="s">
        <v>46</v>
      </c>
      <c r="AF1229" t="s">
        <v>96</v>
      </c>
      <c r="AG1229" t="str">
        <f t="shared" si="20"/>
        <v>Recorrente</v>
      </c>
      <c r="AH1229" t="str">
        <f>IF(AND(SUMIF(E:E,E1229,I:I)&gt;=400000,Q1229="B2G"),"n","")</f>
        <v/>
      </c>
    </row>
    <row r="1230" spans="1:34">
      <c r="A1230">
        <v>2026</v>
      </c>
      <c r="B1230">
        <v>2</v>
      </c>
      <c r="C1230" s="83">
        <v>19485936279</v>
      </c>
      <c r="D1230" t="s">
        <v>1224</v>
      </c>
      <c r="E1230">
        <v>53996754873</v>
      </c>
      <c r="F1230">
        <v>607372</v>
      </c>
      <c r="G1230">
        <v>49624074271</v>
      </c>
      <c r="H1230" t="s">
        <v>35</v>
      </c>
      <c r="I1230" s="36">
        <v>3289.8</v>
      </c>
      <c r="J1230" s="36">
        <v>3289.8</v>
      </c>
      <c r="K1230" s="85">
        <v>0</v>
      </c>
      <c r="L1230" s="36">
        <v>274.14999999999998</v>
      </c>
      <c r="M1230" s="36">
        <v>0</v>
      </c>
      <c r="N1230" s="36">
        <v>54.206249999999997</v>
      </c>
      <c r="O1230" s="36">
        <v>219.94</v>
      </c>
      <c r="P1230" t="s">
        <v>137</v>
      </c>
      <c r="Q1230" t="s">
        <v>111</v>
      </c>
      <c r="R1230" t="s">
        <v>111</v>
      </c>
      <c r="S1230" s="1">
        <v>46042</v>
      </c>
      <c r="T1230" s="1">
        <v>46054</v>
      </c>
      <c r="U1230" s="1">
        <v>46037</v>
      </c>
      <c r="V1230" s="1">
        <v>46407</v>
      </c>
      <c r="W1230" t="s">
        <v>38</v>
      </c>
      <c r="X1230">
        <v>12</v>
      </c>
      <c r="Y1230" t="s">
        <v>49</v>
      </c>
      <c r="Z1230" t="s">
        <v>76</v>
      </c>
      <c r="AA1230" t="s">
        <v>122</v>
      </c>
      <c r="AB1230">
        <v>12</v>
      </c>
      <c r="AC1230" t="s">
        <v>113</v>
      </c>
      <c r="AD1230" t="s">
        <v>114</v>
      </c>
      <c r="AE1230" t="s">
        <v>43</v>
      </c>
      <c r="AF1230" t="s">
        <v>44</v>
      </c>
      <c r="AG1230" t="str">
        <f t="shared" si="20"/>
        <v>Recorrente</v>
      </c>
      <c r="AH1230" t="str">
        <f>IF(AND(SUMIF(E:E,E1230,I:I)&gt;=400000,Q1230="B2G"),"n","")</f>
        <v/>
      </c>
    </row>
    <row r="1231" spans="1:34">
      <c r="A1231">
        <v>2026</v>
      </c>
      <c r="B1231">
        <v>2</v>
      </c>
      <c r="C1231" s="83">
        <v>19485936279</v>
      </c>
      <c r="D1231" t="s">
        <v>1224</v>
      </c>
      <c r="E1231">
        <v>53996754873</v>
      </c>
      <c r="F1231">
        <v>607372</v>
      </c>
      <c r="G1231">
        <v>49624074272</v>
      </c>
      <c r="H1231" t="s">
        <v>35</v>
      </c>
      <c r="I1231" s="36">
        <v>3289.8</v>
      </c>
      <c r="J1231" s="36">
        <v>3289.8</v>
      </c>
      <c r="K1231" s="85">
        <v>0</v>
      </c>
      <c r="L1231" s="36">
        <v>274.14999999999998</v>
      </c>
      <c r="M1231" s="36">
        <v>0</v>
      </c>
      <c r="N1231" s="36">
        <v>54.206249999999997</v>
      </c>
      <c r="O1231" s="36">
        <v>219.94</v>
      </c>
      <c r="P1231" t="s">
        <v>137</v>
      </c>
      <c r="Q1231" t="s">
        <v>111</v>
      </c>
      <c r="R1231" t="s">
        <v>111</v>
      </c>
      <c r="S1231" s="1">
        <v>46042</v>
      </c>
      <c r="T1231" s="1">
        <v>46054</v>
      </c>
      <c r="U1231" s="1">
        <v>46037</v>
      </c>
      <c r="V1231" s="1">
        <v>46407</v>
      </c>
      <c r="W1231" t="s">
        <v>38</v>
      </c>
      <c r="X1231">
        <v>12</v>
      </c>
      <c r="Y1231" t="s">
        <v>49</v>
      </c>
      <c r="Z1231" t="s">
        <v>76</v>
      </c>
      <c r="AA1231" t="s">
        <v>122</v>
      </c>
      <c r="AB1231">
        <v>12</v>
      </c>
      <c r="AC1231" t="s">
        <v>113</v>
      </c>
      <c r="AD1231" t="s">
        <v>114</v>
      </c>
      <c r="AE1231" t="s">
        <v>43</v>
      </c>
      <c r="AF1231" t="s">
        <v>44</v>
      </c>
      <c r="AG1231" t="str">
        <f t="shared" si="20"/>
        <v>Recorrente</v>
      </c>
      <c r="AH1231" t="str">
        <f>IF(AND(SUMIF(E:E,E1231,I:I)&gt;=400000,Q1231="B2G"),"n","")</f>
        <v/>
      </c>
    </row>
    <row r="1232" spans="1:34">
      <c r="A1232">
        <v>2026</v>
      </c>
      <c r="B1232">
        <v>2</v>
      </c>
      <c r="C1232" s="83">
        <v>19485939216</v>
      </c>
      <c r="D1232" t="s">
        <v>1225</v>
      </c>
      <c r="E1232">
        <v>54829370020</v>
      </c>
      <c r="F1232">
        <v>304461</v>
      </c>
      <c r="G1232">
        <v>50778087837</v>
      </c>
      <c r="H1232" t="s">
        <v>35</v>
      </c>
      <c r="I1232" s="36">
        <v>2586.6</v>
      </c>
      <c r="J1232" s="36">
        <v>2586.6</v>
      </c>
      <c r="K1232" s="85">
        <v>0</v>
      </c>
      <c r="L1232" s="36">
        <v>215.55</v>
      </c>
      <c r="M1232" s="36">
        <v>0</v>
      </c>
      <c r="N1232" s="36">
        <v>0.45</v>
      </c>
      <c r="O1232" s="36">
        <v>215.1</v>
      </c>
      <c r="P1232" t="s">
        <v>127</v>
      </c>
      <c r="Q1232" t="s">
        <v>111</v>
      </c>
      <c r="R1232" t="s">
        <v>111</v>
      </c>
      <c r="S1232" s="1">
        <v>46059</v>
      </c>
      <c r="T1232" s="1">
        <v>46059</v>
      </c>
      <c r="U1232" s="1">
        <v>46075</v>
      </c>
      <c r="V1232" s="1">
        <v>46440</v>
      </c>
      <c r="W1232" t="s">
        <v>38</v>
      </c>
      <c r="X1232">
        <v>12</v>
      </c>
      <c r="Y1232" t="s">
        <v>49</v>
      </c>
      <c r="Z1232" t="s">
        <v>81</v>
      </c>
      <c r="AA1232" t="s">
        <v>117</v>
      </c>
      <c r="AB1232">
        <v>1</v>
      </c>
      <c r="AC1232" t="s">
        <v>113</v>
      </c>
      <c r="AD1232" t="s">
        <v>140</v>
      </c>
      <c r="AE1232" t="s">
        <v>46</v>
      </c>
      <c r="AF1232" t="s">
        <v>119</v>
      </c>
      <c r="AG1232" t="str">
        <f t="shared" si="20"/>
        <v>À Vista</v>
      </c>
      <c r="AH1232" t="str">
        <f>IF(AND(SUMIF(E:E,E1232,I:I)&gt;=400000,Q1232="B2G"),"n","")</f>
        <v/>
      </c>
    </row>
    <row r="1233" spans="1:34">
      <c r="A1233">
        <v>2026</v>
      </c>
      <c r="B1233">
        <v>2</v>
      </c>
      <c r="C1233" s="83">
        <v>19485946005</v>
      </c>
      <c r="D1233" t="s">
        <v>1226</v>
      </c>
      <c r="E1233">
        <v>56878402578</v>
      </c>
      <c r="F1233">
        <v>610374</v>
      </c>
      <c r="G1233">
        <v>52460744449</v>
      </c>
      <c r="H1233" t="s">
        <v>35</v>
      </c>
      <c r="I1233" s="36">
        <v>6439.02</v>
      </c>
      <c r="J1233" s="36">
        <v>6439.02</v>
      </c>
      <c r="K1233" s="85">
        <v>0</v>
      </c>
      <c r="L1233" s="36">
        <v>536.58500000000004</v>
      </c>
      <c r="M1233" s="36">
        <v>0</v>
      </c>
      <c r="N1233" s="36">
        <v>70.703749999999999</v>
      </c>
      <c r="O1233" s="36">
        <v>465.88</v>
      </c>
      <c r="P1233" t="s">
        <v>804</v>
      </c>
      <c r="Q1233" t="s">
        <v>111</v>
      </c>
      <c r="R1233" t="s">
        <v>111</v>
      </c>
      <c r="S1233" s="1">
        <v>46080</v>
      </c>
      <c r="T1233" s="1">
        <v>46080</v>
      </c>
      <c r="U1233" s="1">
        <v>46081</v>
      </c>
      <c r="V1233" s="1">
        <v>46446</v>
      </c>
      <c r="W1233" t="s">
        <v>38</v>
      </c>
      <c r="X1233">
        <v>12</v>
      </c>
      <c r="Y1233" t="s">
        <v>49</v>
      </c>
      <c r="Z1233" t="s">
        <v>81</v>
      </c>
      <c r="AA1233" t="s">
        <v>112</v>
      </c>
      <c r="AB1233">
        <v>12</v>
      </c>
      <c r="AC1233" t="s">
        <v>113</v>
      </c>
      <c r="AD1233" t="s">
        <v>149</v>
      </c>
      <c r="AE1233" t="s">
        <v>43</v>
      </c>
      <c r="AF1233" t="s">
        <v>96</v>
      </c>
      <c r="AG1233" t="str">
        <f t="shared" si="20"/>
        <v>CC 12x</v>
      </c>
      <c r="AH1233" t="str">
        <f>IF(AND(SUMIF(E:E,E1233,I:I)&gt;=400000,Q1233="B2G"),"n","")</f>
        <v/>
      </c>
    </row>
    <row r="1234" spans="1:34">
      <c r="A1234">
        <v>2026</v>
      </c>
      <c r="B1234">
        <v>2</v>
      </c>
      <c r="C1234" s="83">
        <v>19485946005</v>
      </c>
      <c r="D1234" t="s">
        <v>1226</v>
      </c>
      <c r="E1234">
        <v>56878402578</v>
      </c>
      <c r="F1234">
        <v>610374</v>
      </c>
      <c r="G1234">
        <v>52460744450</v>
      </c>
      <c r="H1234" t="s">
        <v>35</v>
      </c>
      <c r="I1234" s="36">
        <v>6439.02</v>
      </c>
      <c r="J1234" s="36">
        <v>6439.02</v>
      </c>
      <c r="K1234" s="85">
        <v>0</v>
      </c>
      <c r="L1234" s="36">
        <v>536.58500000000004</v>
      </c>
      <c r="M1234" s="36">
        <v>0</v>
      </c>
      <c r="N1234" s="36">
        <v>70.703749999999999</v>
      </c>
      <c r="O1234" s="36">
        <v>465.88</v>
      </c>
      <c r="P1234" t="s">
        <v>804</v>
      </c>
      <c r="Q1234" t="s">
        <v>111</v>
      </c>
      <c r="R1234" t="s">
        <v>111</v>
      </c>
      <c r="S1234" s="1">
        <v>46080</v>
      </c>
      <c r="T1234" s="1">
        <v>46080</v>
      </c>
      <c r="U1234" s="1">
        <v>46081</v>
      </c>
      <c r="V1234" s="1">
        <v>46446</v>
      </c>
      <c r="W1234" t="s">
        <v>38</v>
      </c>
      <c r="X1234">
        <v>12</v>
      </c>
      <c r="Y1234" t="s">
        <v>49</v>
      </c>
      <c r="Z1234" t="s">
        <v>81</v>
      </c>
      <c r="AA1234" t="s">
        <v>112</v>
      </c>
      <c r="AB1234">
        <v>12</v>
      </c>
      <c r="AC1234" t="s">
        <v>113</v>
      </c>
      <c r="AD1234" t="s">
        <v>131</v>
      </c>
      <c r="AE1234" t="s">
        <v>46</v>
      </c>
      <c r="AF1234" t="s">
        <v>96</v>
      </c>
      <c r="AG1234" t="str">
        <f t="shared" si="20"/>
        <v>CC 12x</v>
      </c>
      <c r="AH1234" t="str">
        <f>IF(AND(SUMIF(E:E,E1234,I:I)&gt;=400000,Q1234="B2G"),"n","")</f>
        <v/>
      </c>
    </row>
    <row r="1235" spans="1:34">
      <c r="A1235">
        <v>2026</v>
      </c>
      <c r="B1235">
        <v>2</v>
      </c>
      <c r="C1235" s="83">
        <v>19485952690</v>
      </c>
      <c r="D1235" t="s">
        <v>1227</v>
      </c>
      <c r="E1235">
        <v>51953709996</v>
      </c>
      <c r="F1235">
        <v>636313</v>
      </c>
      <c r="G1235">
        <v>52355378734</v>
      </c>
      <c r="H1235" t="s">
        <v>35</v>
      </c>
      <c r="I1235" s="36">
        <v>11691.36</v>
      </c>
      <c r="J1235" s="36">
        <v>11691.36</v>
      </c>
      <c r="K1235" s="85">
        <v>0</v>
      </c>
      <c r="L1235" s="36">
        <v>974.28</v>
      </c>
      <c r="M1235" s="36">
        <v>974.28</v>
      </c>
      <c r="N1235" s="36">
        <v>0</v>
      </c>
      <c r="O1235" s="36">
        <v>0</v>
      </c>
      <c r="P1235" t="s">
        <v>90</v>
      </c>
      <c r="Q1235" t="s">
        <v>91</v>
      </c>
      <c r="R1235" t="s">
        <v>91</v>
      </c>
      <c r="S1235" s="1">
        <v>46080</v>
      </c>
      <c r="T1235" s="1">
        <v>46080</v>
      </c>
      <c r="U1235" s="1"/>
      <c r="V1235" s="1">
        <v>46445</v>
      </c>
      <c r="W1235" t="s">
        <v>38</v>
      </c>
      <c r="X1235">
        <v>12</v>
      </c>
      <c r="Y1235" t="s">
        <v>49</v>
      </c>
      <c r="AA1235" t="s">
        <v>92</v>
      </c>
      <c r="AB1235">
        <v>12</v>
      </c>
      <c r="AC1235" t="s">
        <v>93</v>
      </c>
      <c r="AD1235" t="s">
        <v>1167</v>
      </c>
      <c r="AE1235" t="s">
        <v>95</v>
      </c>
      <c r="AF1235" t="s">
        <v>96</v>
      </c>
      <c r="AG1235" t="str">
        <f t="shared" si="20"/>
        <v>Recorrente</v>
      </c>
      <c r="AH1235" t="str">
        <f>IF(AND(SUMIF(E:E,E1235,I:I)&gt;=400000,Q1235="B2G"),"n","")</f>
        <v/>
      </c>
    </row>
    <row r="1236" spans="1:34">
      <c r="A1236">
        <v>2026</v>
      </c>
      <c r="B1236">
        <v>2</v>
      </c>
      <c r="C1236" s="83">
        <v>19485952690</v>
      </c>
      <c r="D1236" t="s">
        <v>1227</v>
      </c>
      <c r="E1236">
        <v>51953709996</v>
      </c>
      <c r="F1236">
        <v>636313</v>
      </c>
      <c r="G1236">
        <v>52355378735</v>
      </c>
      <c r="H1236" t="s">
        <v>35</v>
      </c>
      <c r="I1236" s="36">
        <v>5928.48</v>
      </c>
      <c r="J1236" s="36">
        <v>5928.48</v>
      </c>
      <c r="K1236" s="85">
        <v>0</v>
      </c>
      <c r="L1236" s="36">
        <v>494.04</v>
      </c>
      <c r="M1236" s="36">
        <v>494.04</v>
      </c>
      <c r="N1236" s="36">
        <v>0</v>
      </c>
      <c r="O1236" s="36">
        <v>0</v>
      </c>
      <c r="P1236" t="s">
        <v>90</v>
      </c>
      <c r="Q1236" t="s">
        <v>91</v>
      </c>
      <c r="R1236" t="s">
        <v>91</v>
      </c>
      <c r="S1236" s="1">
        <v>46080</v>
      </c>
      <c r="T1236" s="1">
        <v>46080</v>
      </c>
      <c r="V1236" s="1">
        <v>46445</v>
      </c>
      <c r="W1236" t="s">
        <v>38</v>
      </c>
      <c r="X1236">
        <v>12</v>
      </c>
      <c r="Y1236" t="s">
        <v>49</v>
      </c>
      <c r="AA1236" t="s">
        <v>92</v>
      </c>
      <c r="AB1236">
        <v>12</v>
      </c>
      <c r="AC1236" t="s">
        <v>93</v>
      </c>
      <c r="AD1236" t="s">
        <v>256</v>
      </c>
      <c r="AE1236" t="s">
        <v>257</v>
      </c>
      <c r="AF1236" t="s">
        <v>59</v>
      </c>
      <c r="AG1236" t="str">
        <f t="shared" si="20"/>
        <v>Recorrente</v>
      </c>
      <c r="AH1236" t="str">
        <f>IF(AND(SUMIF(E:E,E1236,I:I)&gt;=400000,Q1236="B2G"),"n","")</f>
        <v/>
      </c>
    </row>
    <row r="1237" spans="1:34">
      <c r="A1237">
        <v>2026</v>
      </c>
      <c r="B1237">
        <v>2</v>
      </c>
      <c r="C1237" s="83">
        <v>19485952690</v>
      </c>
      <c r="D1237" t="s">
        <v>1227</v>
      </c>
      <c r="E1237">
        <v>57093320627</v>
      </c>
      <c r="F1237">
        <v>636314</v>
      </c>
      <c r="G1237">
        <v>52402122599</v>
      </c>
      <c r="H1237" t="s">
        <v>673</v>
      </c>
      <c r="I1237" s="36">
        <v>16000</v>
      </c>
      <c r="J1237" s="36">
        <v>0</v>
      </c>
      <c r="K1237" s="85">
        <v>0</v>
      </c>
      <c r="L1237" s="36">
        <v>0</v>
      </c>
      <c r="M1237" s="36">
        <v>0</v>
      </c>
      <c r="N1237" s="36">
        <v>0</v>
      </c>
      <c r="O1237" s="36">
        <v>0</v>
      </c>
      <c r="P1237" t="s">
        <v>90</v>
      </c>
      <c r="Q1237" t="s">
        <v>91</v>
      </c>
      <c r="R1237" t="s">
        <v>91</v>
      </c>
      <c r="S1237" s="1">
        <v>46080</v>
      </c>
      <c r="T1237" s="1">
        <v>46080</v>
      </c>
      <c r="U1237" s="1"/>
      <c r="V1237" s="1">
        <v>46169</v>
      </c>
      <c r="W1237" t="s">
        <v>1228</v>
      </c>
      <c r="X1237">
        <v>3</v>
      </c>
      <c r="Y1237" t="s">
        <v>1229</v>
      </c>
      <c r="AA1237" t="s">
        <v>117</v>
      </c>
      <c r="AB1237">
        <v>1</v>
      </c>
      <c r="AC1237" t="s">
        <v>93</v>
      </c>
      <c r="AD1237" t="s">
        <v>1230</v>
      </c>
      <c r="AE1237" t="s">
        <v>106</v>
      </c>
      <c r="AF1237" t="s">
        <v>44</v>
      </c>
      <c r="AG1237" t="str">
        <f t="shared" si="20"/>
        <v>À Vista</v>
      </c>
      <c r="AH1237" t="str">
        <f>IF(AND(SUMIF(E:E,E1237,I:I)&gt;=400000,Q1237="B2G"),"n","")</f>
        <v/>
      </c>
    </row>
    <row r="1238" spans="1:34">
      <c r="A1238">
        <v>2026</v>
      </c>
      <c r="B1238">
        <v>2</v>
      </c>
      <c r="C1238" s="83">
        <v>19485990795</v>
      </c>
      <c r="D1238" t="s">
        <v>1231</v>
      </c>
      <c r="E1238">
        <v>55624158615</v>
      </c>
      <c r="F1238">
        <v>635950</v>
      </c>
      <c r="G1238">
        <v>50925872747</v>
      </c>
      <c r="H1238" t="s">
        <v>35</v>
      </c>
      <c r="I1238" s="36">
        <v>8014.32</v>
      </c>
      <c r="J1238" s="36">
        <v>8014.32</v>
      </c>
      <c r="K1238" s="85">
        <v>0</v>
      </c>
      <c r="L1238" s="36">
        <v>667.86</v>
      </c>
      <c r="M1238" s="36">
        <v>667.86</v>
      </c>
      <c r="N1238" s="36">
        <v>0</v>
      </c>
      <c r="O1238" s="36">
        <v>0</v>
      </c>
      <c r="P1238" t="s">
        <v>1165</v>
      </c>
      <c r="Q1238" t="s">
        <v>37</v>
      </c>
      <c r="R1238" t="s">
        <v>37</v>
      </c>
      <c r="S1238" s="1">
        <v>46058</v>
      </c>
      <c r="T1238" s="1">
        <v>46058</v>
      </c>
      <c r="U1238" s="1"/>
      <c r="V1238" s="1">
        <v>46423</v>
      </c>
      <c r="W1238" t="s">
        <v>38</v>
      </c>
      <c r="X1238">
        <v>12</v>
      </c>
      <c r="Y1238" t="s">
        <v>49</v>
      </c>
      <c r="AA1238" t="s">
        <v>40</v>
      </c>
      <c r="AB1238">
        <v>1</v>
      </c>
      <c r="AC1238" t="s">
        <v>41</v>
      </c>
      <c r="AD1238" t="s">
        <v>53</v>
      </c>
      <c r="AE1238" t="s">
        <v>43</v>
      </c>
      <c r="AF1238" t="s">
        <v>44</v>
      </c>
      <c r="AG1238" t="str">
        <f t="shared" si="20"/>
        <v>À Vista</v>
      </c>
      <c r="AH1238" t="str">
        <f>IF(AND(SUMIF(E:E,E1238,I:I)&gt;=400000,Q1238="B2G"),"n","")</f>
        <v/>
      </c>
    </row>
    <row r="1239" spans="1:34">
      <c r="A1239">
        <v>2026</v>
      </c>
      <c r="B1239">
        <v>2</v>
      </c>
      <c r="C1239" s="83">
        <v>19485990795</v>
      </c>
      <c r="D1239" t="s">
        <v>1231</v>
      </c>
      <c r="E1239">
        <v>55624158615</v>
      </c>
      <c r="F1239">
        <v>635950</v>
      </c>
      <c r="G1239">
        <v>50925872748</v>
      </c>
      <c r="H1239" t="s">
        <v>35</v>
      </c>
      <c r="I1239" s="36">
        <v>4644</v>
      </c>
      <c r="J1239" s="36">
        <v>4644</v>
      </c>
      <c r="K1239" s="85">
        <v>0</v>
      </c>
      <c r="L1239" s="36">
        <v>387</v>
      </c>
      <c r="M1239" s="36">
        <v>387</v>
      </c>
      <c r="N1239" s="36">
        <v>0</v>
      </c>
      <c r="O1239" s="36">
        <v>0</v>
      </c>
      <c r="P1239" t="s">
        <v>1165</v>
      </c>
      <c r="Q1239" t="s">
        <v>37</v>
      </c>
      <c r="R1239" t="s">
        <v>37</v>
      </c>
      <c r="S1239" s="1">
        <v>46058</v>
      </c>
      <c r="T1239" s="1">
        <v>46058</v>
      </c>
      <c r="U1239" s="1"/>
      <c r="V1239" s="1">
        <v>46423</v>
      </c>
      <c r="W1239" t="s">
        <v>38</v>
      </c>
      <c r="X1239">
        <v>12</v>
      </c>
      <c r="Y1239" t="s">
        <v>49</v>
      </c>
      <c r="AA1239" t="s">
        <v>40</v>
      </c>
      <c r="AB1239">
        <v>1</v>
      </c>
      <c r="AC1239" t="s">
        <v>41</v>
      </c>
      <c r="AD1239" t="s">
        <v>53</v>
      </c>
      <c r="AE1239" t="s">
        <v>43</v>
      </c>
      <c r="AF1239" t="s">
        <v>44</v>
      </c>
      <c r="AG1239" t="str">
        <f t="shared" si="20"/>
        <v>À Vista</v>
      </c>
      <c r="AH1239" t="str">
        <f>IF(AND(SUMIF(E:E,E1239,I:I)&gt;=400000,Q1239="B2G"),"n","")</f>
        <v/>
      </c>
    </row>
    <row r="1240" spans="1:34">
      <c r="A1240">
        <v>2026</v>
      </c>
      <c r="B1240">
        <v>2</v>
      </c>
      <c r="C1240" s="83">
        <v>19486010759</v>
      </c>
      <c r="D1240" t="s">
        <v>1232</v>
      </c>
      <c r="E1240">
        <v>52521195301</v>
      </c>
      <c r="F1240">
        <v>306263</v>
      </c>
      <c r="G1240">
        <v>47696223659</v>
      </c>
      <c r="H1240" t="s">
        <v>35</v>
      </c>
      <c r="I1240" s="36">
        <v>6354</v>
      </c>
      <c r="J1240" s="36">
        <v>6354</v>
      </c>
      <c r="K1240" s="85">
        <v>0</v>
      </c>
      <c r="L1240" s="36">
        <v>529.5</v>
      </c>
      <c r="M1240" s="36">
        <v>0</v>
      </c>
      <c r="N1240" s="36">
        <v>47.72</v>
      </c>
      <c r="O1240" s="36">
        <v>481.78</v>
      </c>
      <c r="P1240" t="s">
        <v>165</v>
      </c>
      <c r="Q1240" t="s">
        <v>166</v>
      </c>
      <c r="R1240" t="s">
        <v>166</v>
      </c>
      <c r="S1240" s="1">
        <v>46061</v>
      </c>
      <c r="T1240" s="1">
        <v>46061</v>
      </c>
      <c r="U1240" s="1">
        <v>46061</v>
      </c>
      <c r="V1240" s="1">
        <v>46426</v>
      </c>
      <c r="W1240" t="s">
        <v>38</v>
      </c>
      <c r="X1240">
        <v>12</v>
      </c>
      <c r="Y1240" t="s">
        <v>49</v>
      </c>
      <c r="Z1240" t="s">
        <v>81</v>
      </c>
      <c r="AA1240" t="s">
        <v>122</v>
      </c>
      <c r="AB1240">
        <v>6</v>
      </c>
      <c r="AC1240" t="s">
        <v>166</v>
      </c>
      <c r="AD1240" t="s">
        <v>149</v>
      </c>
      <c r="AE1240" t="s">
        <v>43</v>
      </c>
      <c r="AF1240" t="s">
        <v>96</v>
      </c>
      <c r="AG1240" t="str">
        <f t="shared" si="20"/>
        <v>Recorrente</v>
      </c>
      <c r="AH1240" t="str">
        <f>IF(AND(SUMIF(E:E,E1240,I:I)&gt;=400000,Q1240="B2G"),"n","")</f>
        <v/>
      </c>
    </row>
    <row r="1241" spans="1:34">
      <c r="A1241">
        <v>2026</v>
      </c>
      <c r="B1241">
        <v>2</v>
      </c>
      <c r="C1241" s="83">
        <v>19486010987</v>
      </c>
      <c r="D1241" t="s">
        <v>1233</v>
      </c>
      <c r="E1241">
        <v>53412184233</v>
      </c>
      <c r="F1241">
        <v>527954</v>
      </c>
      <c r="G1241">
        <v>48511081652</v>
      </c>
      <c r="H1241" t="s">
        <v>35</v>
      </c>
      <c r="I1241" s="36">
        <v>8154</v>
      </c>
      <c r="J1241" s="36">
        <v>8154</v>
      </c>
      <c r="K1241" s="85">
        <v>0</v>
      </c>
      <c r="L1241" s="36">
        <v>679.5</v>
      </c>
      <c r="M1241" s="36">
        <v>0</v>
      </c>
      <c r="N1241" s="36">
        <v>50.166666669999998</v>
      </c>
      <c r="O1241" s="36">
        <v>629.33333330000005</v>
      </c>
      <c r="P1241" t="s">
        <v>165</v>
      </c>
      <c r="Q1241" t="s">
        <v>166</v>
      </c>
      <c r="R1241" t="s">
        <v>166</v>
      </c>
      <c r="S1241" s="1">
        <v>46075</v>
      </c>
      <c r="T1241" s="1">
        <v>46075</v>
      </c>
      <c r="U1241" s="1">
        <v>46075</v>
      </c>
      <c r="V1241" s="1">
        <v>46440</v>
      </c>
      <c r="W1241" t="s">
        <v>38</v>
      </c>
      <c r="X1241">
        <v>12</v>
      </c>
      <c r="Y1241" t="s">
        <v>49</v>
      </c>
      <c r="Z1241" t="s">
        <v>81</v>
      </c>
      <c r="AA1241" t="s">
        <v>122</v>
      </c>
      <c r="AB1241">
        <v>12</v>
      </c>
      <c r="AC1241" t="s">
        <v>166</v>
      </c>
      <c r="AD1241" t="s">
        <v>84</v>
      </c>
      <c r="AE1241" t="s">
        <v>43</v>
      </c>
      <c r="AF1241" t="s">
        <v>44</v>
      </c>
      <c r="AG1241" t="str">
        <f t="shared" si="20"/>
        <v>Recorrente</v>
      </c>
      <c r="AH1241" t="str">
        <f>IF(AND(SUMIF(E:E,E1241,I:I)&gt;=400000,Q1241="B2G"),"n","")</f>
        <v/>
      </c>
    </row>
    <row r="1242" spans="1:34">
      <c r="A1242">
        <v>2026</v>
      </c>
      <c r="B1242">
        <v>2</v>
      </c>
      <c r="C1242" s="83">
        <v>19486010987</v>
      </c>
      <c r="D1242" t="s">
        <v>1233</v>
      </c>
      <c r="E1242">
        <v>53412184233</v>
      </c>
      <c r="F1242">
        <v>527954</v>
      </c>
      <c r="G1242">
        <v>48519502441</v>
      </c>
      <c r="H1242" t="s">
        <v>35</v>
      </c>
      <c r="I1242" s="36">
        <v>8154</v>
      </c>
      <c r="J1242" s="36">
        <v>8154</v>
      </c>
      <c r="K1242" s="85">
        <v>0</v>
      </c>
      <c r="L1242" s="36">
        <v>679.5</v>
      </c>
      <c r="M1242" s="36">
        <v>0</v>
      </c>
      <c r="N1242" s="36">
        <v>50.166666669999998</v>
      </c>
      <c r="O1242" s="36">
        <v>629.33333330000005</v>
      </c>
      <c r="P1242" t="s">
        <v>165</v>
      </c>
      <c r="Q1242" t="s">
        <v>166</v>
      </c>
      <c r="R1242" t="s">
        <v>166</v>
      </c>
      <c r="S1242" s="1">
        <v>46075</v>
      </c>
      <c r="T1242" s="1">
        <v>46075</v>
      </c>
      <c r="U1242" s="1">
        <v>46075</v>
      </c>
      <c r="V1242" s="1">
        <v>46440</v>
      </c>
      <c r="W1242" t="s">
        <v>38</v>
      </c>
      <c r="X1242">
        <v>12</v>
      </c>
      <c r="Y1242" t="s">
        <v>49</v>
      </c>
      <c r="Z1242" t="s">
        <v>81</v>
      </c>
      <c r="AA1242" t="s">
        <v>122</v>
      </c>
      <c r="AB1242">
        <v>12</v>
      </c>
      <c r="AC1242" t="s">
        <v>166</v>
      </c>
      <c r="AD1242" t="s">
        <v>154</v>
      </c>
      <c r="AE1242" t="s">
        <v>46</v>
      </c>
      <c r="AF1242" t="s">
        <v>47</v>
      </c>
      <c r="AG1242" t="str">
        <f t="shared" si="20"/>
        <v>Recorrente</v>
      </c>
      <c r="AH1242" t="str">
        <f>IF(AND(SUMIF(E:E,E1242,I:I)&gt;=400000,Q1242="B2G"),"n","")</f>
        <v/>
      </c>
    </row>
    <row r="1243" spans="1:34">
      <c r="A1243">
        <v>2026</v>
      </c>
      <c r="B1243">
        <v>2</v>
      </c>
      <c r="C1243" s="83">
        <v>19486010987</v>
      </c>
      <c r="D1243" t="s">
        <v>1233</v>
      </c>
      <c r="E1243">
        <v>53412184233</v>
      </c>
      <c r="F1243">
        <v>527954</v>
      </c>
      <c r="G1243">
        <v>48523630987</v>
      </c>
      <c r="H1243" t="s">
        <v>35</v>
      </c>
      <c r="I1243" s="36">
        <v>8154</v>
      </c>
      <c r="J1243" s="36">
        <v>8154</v>
      </c>
      <c r="K1243" s="85">
        <v>0</v>
      </c>
      <c r="L1243" s="36">
        <v>679.5</v>
      </c>
      <c r="M1243" s="36">
        <v>0</v>
      </c>
      <c r="N1243" s="36">
        <v>50.166666669999998</v>
      </c>
      <c r="O1243" s="36">
        <v>629.33333330000005</v>
      </c>
      <c r="P1243" t="s">
        <v>165</v>
      </c>
      <c r="Q1243" t="s">
        <v>166</v>
      </c>
      <c r="R1243" t="s">
        <v>166</v>
      </c>
      <c r="S1243" s="1">
        <v>46075</v>
      </c>
      <c r="T1243" s="1">
        <v>46075</v>
      </c>
      <c r="U1243" s="1">
        <v>46075</v>
      </c>
      <c r="V1243" s="1">
        <v>46440</v>
      </c>
      <c r="W1243" t="s">
        <v>38</v>
      </c>
      <c r="X1243">
        <v>12</v>
      </c>
      <c r="Y1243" t="s">
        <v>49</v>
      </c>
      <c r="Z1243" t="s">
        <v>81</v>
      </c>
      <c r="AA1243" t="s">
        <v>122</v>
      </c>
      <c r="AB1243">
        <v>12</v>
      </c>
      <c r="AC1243" t="s">
        <v>166</v>
      </c>
      <c r="AD1243" t="s">
        <v>84</v>
      </c>
      <c r="AE1243" t="s">
        <v>43</v>
      </c>
      <c r="AF1243" t="s">
        <v>44</v>
      </c>
      <c r="AG1243" t="str">
        <f t="shared" si="20"/>
        <v>Recorrente</v>
      </c>
      <c r="AH1243" t="str">
        <f>IF(AND(SUMIF(E:E,E1243,I:I)&gt;=400000,Q1243="B2G"),"n","")</f>
        <v/>
      </c>
    </row>
    <row r="1244" spans="1:34">
      <c r="A1244">
        <v>2026</v>
      </c>
      <c r="B1244">
        <v>2</v>
      </c>
      <c r="C1244" s="83">
        <v>19486017146</v>
      </c>
      <c r="D1244" t="s">
        <v>1234</v>
      </c>
      <c r="E1244">
        <v>56952947798</v>
      </c>
      <c r="F1244">
        <v>610075</v>
      </c>
      <c r="G1244">
        <v>52357247029</v>
      </c>
      <c r="H1244" t="s">
        <v>35</v>
      </c>
      <c r="I1244" s="36">
        <v>4631.28</v>
      </c>
      <c r="J1244" s="36">
        <v>4631.28</v>
      </c>
      <c r="K1244" s="85">
        <v>0</v>
      </c>
      <c r="L1244" s="36">
        <v>385.94</v>
      </c>
      <c r="M1244" s="36">
        <v>0</v>
      </c>
      <c r="N1244" s="36">
        <v>0</v>
      </c>
      <c r="O1244" s="36">
        <v>385.94</v>
      </c>
      <c r="P1244" t="s">
        <v>469</v>
      </c>
      <c r="Q1244" t="s">
        <v>111</v>
      </c>
      <c r="R1244" t="s">
        <v>111</v>
      </c>
      <c r="S1244" s="1">
        <v>46079</v>
      </c>
      <c r="T1244" s="1">
        <v>46079</v>
      </c>
      <c r="U1244" s="1">
        <v>46080</v>
      </c>
      <c r="V1244" s="1">
        <v>46445</v>
      </c>
      <c r="W1244" t="s">
        <v>38</v>
      </c>
      <c r="X1244">
        <v>12</v>
      </c>
      <c r="Y1244" t="s">
        <v>49</v>
      </c>
      <c r="Z1244" t="s">
        <v>81</v>
      </c>
      <c r="AA1244" t="s">
        <v>117</v>
      </c>
      <c r="AB1244">
        <v>1</v>
      </c>
      <c r="AC1244" t="s">
        <v>113</v>
      </c>
      <c r="AD1244" t="s">
        <v>84</v>
      </c>
      <c r="AE1244" t="s">
        <v>43</v>
      </c>
      <c r="AF1244" t="s">
        <v>44</v>
      </c>
      <c r="AG1244" t="str">
        <f t="shared" si="20"/>
        <v>À Vista</v>
      </c>
      <c r="AH1244" t="str">
        <f>IF(AND(SUMIF(E:E,E1244,I:I)&gt;=400000,Q1244="B2G"),"n","")</f>
        <v/>
      </c>
    </row>
    <row r="1245" spans="1:34">
      <c r="A1245">
        <v>2026</v>
      </c>
      <c r="B1245">
        <v>2</v>
      </c>
      <c r="C1245" s="83">
        <v>19486020458</v>
      </c>
      <c r="D1245" t="s">
        <v>1235</v>
      </c>
      <c r="E1245">
        <v>55005102861</v>
      </c>
      <c r="F1245">
        <v>626045</v>
      </c>
      <c r="G1245">
        <v>51504300985</v>
      </c>
      <c r="H1245" t="s">
        <v>35</v>
      </c>
      <c r="I1245" s="36">
        <v>4174.8</v>
      </c>
      <c r="J1245" s="36">
        <v>4174.8</v>
      </c>
      <c r="K1245" s="85">
        <v>0</v>
      </c>
      <c r="L1245" s="36">
        <v>347.9</v>
      </c>
      <c r="M1245" s="36">
        <v>0</v>
      </c>
      <c r="N1245" s="36">
        <v>0</v>
      </c>
      <c r="O1245" s="36">
        <v>347.90359000000001</v>
      </c>
      <c r="P1245" t="s">
        <v>116</v>
      </c>
      <c r="Q1245" t="s">
        <v>111</v>
      </c>
      <c r="R1245" t="s">
        <v>111</v>
      </c>
      <c r="S1245" s="1">
        <v>46071</v>
      </c>
      <c r="T1245" s="1">
        <v>46054</v>
      </c>
      <c r="U1245" s="1">
        <v>46053</v>
      </c>
      <c r="V1245" s="1">
        <v>46436</v>
      </c>
      <c r="W1245" t="s">
        <v>38</v>
      </c>
      <c r="X1245">
        <v>13</v>
      </c>
      <c r="Y1245" t="s">
        <v>49</v>
      </c>
      <c r="Z1245" t="s">
        <v>81</v>
      </c>
      <c r="AA1245" t="s">
        <v>112</v>
      </c>
      <c r="AB1245">
        <v>12</v>
      </c>
      <c r="AC1245" t="s">
        <v>113</v>
      </c>
      <c r="AD1245" t="s">
        <v>163</v>
      </c>
      <c r="AE1245" t="s">
        <v>43</v>
      </c>
      <c r="AF1245" t="s">
        <v>96</v>
      </c>
      <c r="AG1245" t="str">
        <f t="shared" si="20"/>
        <v>CC 12x</v>
      </c>
      <c r="AH1245" t="str">
        <f>IF(AND(SUMIF(E:E,E1245,I:I)&gt;=400000,Q1245="B2G"),"n","")</f>
        <v/>
      </c>
    </row>
    <row r="1246" spans="1:34">
      <c r="A1246">
        <v>2026</v>
      </c>
      <c r="B1246">
        <v>2</v>
      </c>
      <c r="C1246" s="83">
        <v>194961569899</v>
      </c>
      <c r="D1246" t="s">
        <v>1236</v>
      </c>
      <c r="E1246">
        <v>55389542236</v>
      </c>
      <c r="F1246">
        <v>635903</v>
      </c>
      <c r="G1246">
        <v>50773343335</v>
      </c>
      <c r="H1246" t="s">
        <v>35</v>
      </c>
      <c r="I1246" s="36">
        <v>361</v>
      </c>
      <c r="J1246" s="36">
        <v>4332</v>
      </c>
      <c r="K1246" s="85">
        <v>0</v>
      </c>
      <c r="L1246" s="36">
        <v>361</v>
      </c>
      <c r="M1246" s="36">
        <v>361</v>
      </c>
      <c r="N1246" s="36">
        <v>0</v>
      </c>
      <c r="O1246" s="36">
        <v>0</v>
      </c>
      <c r="P1246" t="s">
        <v>162</v>
      </c>
      <c r="Q1246" t="s">
        <v>111</v>
      </c>
      <c r="R1246" t="s">
        <v>111</v>
      </c>
      <c r="S1246" s="1">
        <v>46056</v>
      </c>
      <c r="T1246" s="1">
        <v>46056</v>
      </c>
      <c r="V1246" s="1">
        <v>46084</v>
      </c>
      <c r="W1246" t="s">
        <v>679</v>
      </c>
      <c r="X1246">
        <v>1</v>
      </c>
      <c r="Y1246" t="s">
        <v>49</v>
      </c>
      <c r="AA1246" t="s">
        <v>112</v>
      </c>
      <c r="AB1246">
        <v>1</v>
      </c>
      <c r="AC1246" t="s">
        <v>113</v>
      </c>
      <c r="AD1246" t="s">
        <v>140</v>
      </c>
      <c r="AE1246" t="s">
        <v>46</v>
      </c>
      <c r="AF1246" t="s">
        <v>119</v>
      </c>
      <c r="AG1246" t="str">
        <f t="shared" si="20"/>
        <v>À Vista</v>
      </c>
      <c r="AH1246" t="str">
        <f>IF(AND(SUMIF(E:E,E1246,I:I)&gt;=400000,Q1246="B2G"),"n","")</f>
        <v/>
      </c>
    </row>
    <row r="1247" spans="1:34">
      <c r="A1247">
        <v>2026</v>
      </c>
      <c r="B1247">
        <v>2</v>
      </c>
      <c r="C1247" s="83">
        <v>195126559543</v>
      </c>
      <c r="D1247" t="s">
        <v>1237</v>
      </c>
      <c r="E1247">
        <v>54997054044</v>
      </c>
      <c r="F1247">
        <v>635981</v>
      </c>
      <c r="G1247">
        <v>50750744223</v>
      </c>
      <c r="H1247" t="s">
        <v>35</v>
      </c>
      <c r="I1247" s="36">
        <v>5718.6</v>
      </c>
      <c r="J1247" s="36">
        <v>5718.6</v>
      </c>
      <c r="K1247" s="85">
        <v>0</v>
      </c>
      <c r="L1247" s="36">
        <v>476.55</v>
      </c>
      <c r="M1247" s="36">
        <v>476.55</v>
      </c>
      <c r="N1247" s="36">
        <v>0</v>
      </c>
      <c r="O1247" s="36">
        <v>0</v>
      </c>
      <c r="P1247" t="s">
        <v>804</v>
      </c>
      <c r="Q1247" t="s">
        <v>314</v>
      </c>
      <c r="R1247" t="s">
        <v>314</v>
      </c>
      <c r="S1247" s="1">
        <v>46059</v>
      </c>
      <c r="T1247" s="1">
        <v>46059</v>
      </c>
      <c r="U1247" s="1"/>
      <c r="V1247" s="1">
        <v>46424</v>
      </c>
      <c r="W1247" t="s">
        <v>38</v>
      </c>
      <c r="X1247">
        <v>12</v>
      </c>
      <c r="Y1247" t="s">
        <v>49</v>
      </c>
      <c r="AA1247" t="s">
        <v>112</v>
      </c>
      <c r="AB1247">
        <v>1</v>
      </c>
      <c r="AC1247" t="s">
        <v>315</v>
      </c>
      <c r="AD1247" t="s">
        <v>149</v>
      </c>
      <c r="AE1247" t="s">
        <v>43</v>
      </c>
      <c r="AF1247" t="s">
        <v>96</v>
      </c>
      <c r="AG1247" t="str">
        <f t="shared" si="20"/>
        <v>À Vista</v>
      </c>
      <c r="AH1247" t="str">
        <f>IF(AND(SUMIF(E:E,E1247,I:I)&gt;=400000,Q1247="B2G"),"n","")</f>
        <v/>
      </c>
    </row>
    <row r="1248" spans="1:34">
      <c r="A1248">
        <v>2026</v>
      </c>
      <c r="B1248">
        <v>2</v>
      </c>
      <c r="C1248" s="83">
        <v>19520736558</v>
      </c>
      <c r="D1248" t="s">
        <v>1238</v>
      </c>
      <c r="E1248">
        <v>57039297154</v>
      </c>
      <c r="F1248">
        <v>636301</v>
      </c>
      <c r="G1248">
        <v>52460760247</v>
      </c>
      <c r="H1248" t="s">
        <v>35</v>
      </c>
      <c r="I1248" s="36">
        <v>10800</v>
      </c>
      <c r="J1248" s="36">
        <v>10799.98992</v>
      </c>
      <c r="K1248" s="85">
        <v>1.008E-2</v>
      </c>
      <c r="L1248" s="36">
        <v>899.99915999999996</v>
      </c>
      <c r="M1248" s="36">
        <v>0</v>
      </c>
      <c r="N1248" s="36">
        <v>899.99915999999996</v>
      </c>
      <c r="O1248" s="36">
        <v>0</v>
      </c>
      <c r="P1248" t="s">
        <v>520</v>
      </c>
      <c r="Q1248" t="s">
        <v>191</v>
      </c>
      <c r="R1248" t="s">
        <v>191</v>
      </c>
      <c r="S1248" s="1">
        <v>46080</v>
      </c>
      <c r="T1248" s="1">
        <v>46080</v>
      </c>
      <c r="U1248" s="1"/>
      <c r="V1248" s="1">
        <v>46445</v>
      </c>
      <c r="W1248" t="s">
        <v>38</v>
      </c>
      <c r="X1248">
        <v>12</v>
      </c>
      <c r="Y1248" t="s">
        <v>49</v>
      </c>
      <c r="AA1248" t="s">
        <v>117</v>
      </c>
      <c r="AB1248">
        <v>1</v>
      </c>
      <c r="AC1248" t="s">
        <v>192</v>
      </c>
      <c r="AD1248" t="s">
        <v>125</v>
      </c>
      <c r="AE1248" t="s">
        <v>43</v>
      </c>
      <c r="AF1248" t="s">
        <v>47</v>
      </c>
      <c r="AG1248" t="str">
        <f t="shared" si="20"/>
        <v>À Vista</v>
      </c>
      <c r="AH1248" t="str">
        <f>IF(AND(SUMIF(E:E,E1248,I:I)&gt;=400000,Q1248="B2G"),"n","")</f>
        <v/>
      </c>
    </row>
    <row r="1249" spans="1:34">
      <c r="A1249">
        <v>2026</v>
      </c>
      <c r="B1249">
        <v>2</v>
      </c>
      <c r="C1249" s="83">
        <v>195213000236</v>
      </c>
      <c r="D1249" t="s">
        <v>1239</v>
      </c>
      <c r="E1249">
        <v>55662171228</v>
      </c>
      <c r="F1249">
        <v>635974</v>
      </c>
      <c r="G1249">
        <v>50966073347</v>
      </c>
      <c r="H1249" t="s">
        <v>35</v>
      </c>
      <c r="I1249" s="36">
        <v>2874</v>
      </c>
      <c r="J1249" s="36">
        <v>2874</v>
      </c>
      <c r="K1249" s="85">
        <v>0</v>
      </c>
      <c r="L1249" s="36">
        <v>239.5</v>
      </c>
      <c r="M1249" s="36">
        <v>239.5</v>
      </c>
      <c r="N1249" s="36">
        <v>0</v>
      </c>
      <c r="O1249" s="36">
        <v>0</v>
      </c>
      <c r="P1249" t="s">
        <v>511</v>
      </c>
      <c r="Q1249" t="s">
        <v>300</v>
      </c>
      <c r="R1249" t="s">
        <v>300</v>
      </c>
      <c r="S1249" s="1">
        <v>46059</v>
      </c>
      <c r="T1249" s="1">
        <v>46059</v>
      </c>
      <c r="U1249" s="1"/>
      <c r="V1249" s="1">
        <v>46424</v>
      </c>
      <c r="W1249" t="s">
        <v>38</v>
      </c>
      <c r="X1249">
        <v>12</v>
      </c>
      <c r="Y1249" t="s">
        <v>49</v>
      </c>
      <c r="AA1249" t="s">
        <v>122</v>
      </c>
      <c r="AB1249">
        <v>12</v>
      </c>
      <c r="AC1249" t="s">
        <v>301</v>
      </c>
      <c r="AD1249" t="s">
        <v>140</v>
      </c>
      <c r="AE1249" t="s">
        <v>46</v>
      </c>
      <c r="AF1249" t="s">
        <v>119</v>
      </c>
      <c r="AG1249" t="str">
        <f t="shared" si="20"/>
        <v>Recorrente</v>
      </c>
      <c r="AH1249" t="str">
        <f>IF(AND(SUMIF(E:E,E1249,I:I)&gt;=400000,Q1249="B2G"),"n","")</f>
        <v/>
      </c>
    </row>
    <row r="1250" spans="1:34">
      <c r="A1250">
        <v>2026</v>
      </c>
      <c r="B1250">
        <v>2</v>
      </c>
      <c r="C1250" s="83">
        <v>195259282007</v>
      </c>
      <c r="D1250" t="s">
        <v>1240</v>
      </c>
      <c r="E1250">
        <v>54349149625</v>
      </c>
      <c r="F1250">
        <v>626255</v>
      </c>
      <c r="G1250">
        <v>49778605323</v>
      </c>
      <c r="H1250" t="s">
        <v>35</v>
      </c>
      <c r="I1250" s="36">
        <v>2730.24</v>
      </c>
      <c r="J1250" s="36">
        <v>2730.24</v>
      </c>
      <c r="K1250" s="85">
        <v>0</v>
      </c>
      <c r="L1250" s="36">
        <v>227.52</v>
      </c>
      <c r="M1250" s="36">
        <v>0</v>
      </c>
      <c r="N1250" s="36">
        <v>0.47499999999999998</v>
      </c>
      <c r="O1250" s="36">
        <v>227.05</v>
      </c>
      <c r="P1250" t="s">
        <v>121</v>
      </c>
      <c r="Q1250" t="s">
        <v>111</v>
      </c>
      <c r="R1250" t="s">
        <v>111</v>
      </c>
      <c r="S1250" s="1">
        <v>46045</v>
      </c>
      <c r="T1250" s="1">
        <v>46054</v>
      </c>
      <c r="U1250" s="1">
        <v>46060</v>
      </c>
      <c r="V1250" s="1">
        <v>46425</v>
      </c>
      <c r="W1250" t="s">
        <v>38</v>
      </c>
      <c r="X1250">
        <v>12</v>
      </c>
      <c r="Y1250" t="s">
        <v>49</v>
      </c>
      <c r="Z1250" t="s">
        <v>81</v>
      </c>
      <c r="AA1250" t="s">
        <v>112</v>
      </c>
      <c r="AB1250">
        <v>12</v>
      </c>
      <c r="AC1250" t="s">
        <v>113</v>
      </c>
      <c r="AD1250" t="s">
        <v>140</v>
      </c>
      <c r="AE1250" t="s">
        <v>46</v>
      </c>
      <c r="AF1250" t="s">
        <v>119</v>
      </c>
      <c r="AG1250" t="str">
        <f t="shared" si="20"/>
        <v>CC 12x</v>
      </c>
      <c r="AH1250" t="str">
        <f>IF(AND(SUMIF(E:E,E1250,I:I)&gt;=400000,Q1250="B2G"),"n","")</f>
        <v/>
      </c>
    </row>
    <row r="1251" spans="1:34">
      <c r="A1251">
        <v>2026</v>
      </c>
      <c r="B1251">
        <v>2</v>
      </c>
      <c r="C1251" s="83">
        <v>19540695837</v>
      </c>
      <c r="D1251" t="s">
        <v>1241</v>
      </c>
      <c r="E1251">
        <v>56877395882</v>
      </c>
      <c r="F1251">
        <v>506003</v>
      </c>
      <c r="G1251">
        <v>52283181224</v>
      </c>
      <c r="H1251" t="s">
        <v>35</v>
      </c>
      <c r="I1251" s="36">
        <v>5514</v>
      </c>
      <c r="J1251" s="36">
        <v>5514</v>
      </c>
      <c r="K1251" s="85">
        <v>0</v>
      </c>
      <c r="L1251" s="36">
        <v>459.5</v>
      </c>
      <c r="M1251" s="36">
        <v>0</v>
      </c>
      <c r="N1251" s="36">
        <v>0</v>
      </c>
      <c r="O1251" s="36">
        <v>459.5</v>
      </c>
      <c r="P1251" t="s">
        <v>469</v>
      </c>
      <c r="Q1251" t="s">
        <v>111</v>
      </c>
      <c r="R1251" t="s">
        <v>111</v>
      </c>
      <c r="S1251" s="1">
        <v>46078</v>
      </c>
      <c r="T1251" s="1">
        <v>46078</v>
      </c>
      <c r="U1251" s="1">
        <v>46076</v>
      </c>
      <c r="V1251" s="1">
        <v>46443</v>
      </c>
      <c r="W1251" t="s">
        <v>38</v>
      </c>
      <c r="X1251">
        <v>12</v>
      </c>
      <c r="Y1251" t="s">
        <v>49</v>
      </c>
      <c r="Z1251" t="s">
        <v>76</v>
      </c>
      <c r="AA1251" t="s">
        <v>92</v>
      </c>
      <c r="AB1251">
        <v>12</v>
      </c>
      <c r="AC1251" t="s">
        <v>113</v>
      </c>
      <c r="AD1251" t="s">
        <v>138</v>
      </c>
      <c r="AE1251" t="s">
        <v>135</v>
      </c>
      <c r="AF1251" t="s">
        <v>119</v>
      </c>
      <c r="AG1251" t="str">
        <f t="shared" si="20"/>
        <v>Recorrente</v>
      </c>
      <c r="AH1251" t="str">
        <f>IF(AND(SUMIF(E:E,E1251,I:I)&gt;=400000,Q1251="B2G"),"n","")</f>
        <v/>
      </c>
    </row>
    <row r="1252" spans="1:34">
      <c r="A1252">
        <v>2026</v>
      </c>
      <c r="B1252">
        <v>2</v>
      </c>
      <c r="C1252" s="83">
        <v>19541580651</v>
      </c>
      <c r="D1252" t="s">
        <v>1242</v>
      </c>
      <c r="E1252">
        <v>39690074465</v>
      </c>
      <c r="F1252">
        <v>635921</v>
      </c>
      <c r="G1252">
        <v>50778464563</v>
      </c>
      <c r="H1252" t="s">
        <v>35</v>
      </c>
      <c r="I1252" s="36">
        <v>27180</v>
      </c>
      <c r="J1252" s="36">
        <v>27180</v>
      </c>
      <c r="K1252" s="85">
        <v>0</v>
      </c>
      <c r="L1252" s="36">
        <v>2265</v>
      </c>
      <c r="M1252" s="36">
        <v>2265</v>
      </c>
      <c r="N1252" s="36">
        <v>0</v>
      </c>
      <c r="O1252" s="36">
        <v>0</v>
      </c>
      <c r="P1252" t="s">
        <v>1243</v>
      </c>
      <c r="Q1252" t="s">
        <v>37</v>
      </c>
      <c r="R1252" t="s">
        <v>37</v>
      </c>
      <c r="S1252" s="1">
        <v>46057</v>
      </c>
      <c r="T1252" s="1">
        <v>46057</v>
      </c>
      <c r="U1252" s="1"/>
      <c r="V1252" s="1">
        <v>46422</v>
      </c>
      <c r="W1252" t="s">
        <v>38</v>
      </c>
      <c r="X1252">
        <v>12</v>
      </c>
      <c r="Y1252" t="s">
        <v>49</v>
      </c>
      <c r="AA1252" t="s">
        <v>40</v>
      </c>
      <c r="AB1252">
        <v>1</v>
      </c>
      <c r="AC1252" t="s">
        <v>41</v>
      </c>
      <c r="AD1252" t="s">
        <v>54</v>
      </c>
      <c r="AE1252" t="s">
        <v>46</v>
      </c>
      <c r="AF1252" t="s">
        <v>44</v>
      </c>
      <c r="AG1252" t="str">
        <f t="shared" si="20"/>
        <v>À Vista</v>
      </c>
      <c r="AH1252" t="str">
        <f>IF(AND(SUMIF(E:E,E1252,I:I)&gt;=400000,Q1252="B2G"),"n","")</f>
        <v/>
      </c>
    </row>
    <row r="1253" spans="1:34">
      <c r="A1253">
        <v>2026</v>
      </c>
      <c r="B1253">
        <v>2</v>
      </c>
      <c r="C1253" s="83">
        <v>19541580651</v>
      </c>
      <c r="D1253" t="s">
        <v>1242</v>
      </c>
      <c r="E1253">
        <v>39690074465</v>
      </c>
      <c r="F1253">
        <v>635921</v>
      </c>
      <c r="G1253">
        <v>50778464564</v>
      </c>
      <c r="H1253" t="s">
        <v>35</v>
      </c>
      <c r="I1253" s="36">
        <v>23220</v>
      </c>
      <c r="J1253" s="36">
        <v>23220</v>
      </c>
      <c r="K1253" s="85">
        <v>0</v>
      </c>
      <c r="L1253" s="36">
        <v>1935</v>
      </c>
      <c r="M1253" s="36">
        <v>1935</v>
      </c>
      <c r="N1253" s="36">
        <v>0</v>
      </c>
      <c r="O1253" s="36">
        <v>0</v>
      </c>
      <c r="P1253" t="s">
        <v>1243</v>
      </c>
      <c r="Q1253" t="s">
        <v>37</v>
      </c>
      <c r="R1253" t="s">
        <v>37</v>
      </c>
      <c r="S1253" s="1">
        <v>46057</v>
      </c>
      <c r="T1253" s="1">
        <v>46057</v>
      </c>
      <c r="V1253" s="1">
        <v>46422</v>
      </c>
      <c r="W1253" t="s">
        <v>38</v>
      </c>
      <c r="X1253">
        <v>12</v>
      </c>
      <c r="Y1253" t="s">
        <v>49</v>
      </c>
      <c r="AA1253" t="s">
        <v>40</v>
      </c>
      <c r="AB1253">
        <v>1</v>
      </c>
      <c r="AC1253" t="s">
        <v>41</v>
      </c>
      <c r="AD1253" t="s">
        <v>53</v>
      </c>
      <c r="AE1253" t="s">
        <v>43</v>
      </c>
      <c r="AF1253" t="s">
        <v>44</v>
      </c>
      <c r="AG1253" t="str">
        <f t="shared" si="20"/>
        <v>À Vista</v>
      </c>
      <c r="AH1253" t="str">
        <f>IF(AND(SUMIF(E:E,E1253,I:I)&gt;=400000,Q1253="B2G"),"n","")</f>
        <v/>
      </c>
    </row>
    <row r="1254" spans="1:34">
      <c r="A1254">
        <v>2026</v>
      </c>
      <c r="B1254">
        <v>2</v>
      </c>
      <c r="C1254" s="83">
        <v>19541709469</v>
      </c>
      <c r="D1254" t="s">
        <v>1244</v>
      </c>
      <c r="E1254">
        <v>55807102209</v>
      </c>
      <c r="F1254">
        <v>636098</v>
      </c>
      <c r="G1254">
        <v>51492001125</v>
      </c>
      <c r="H1254" t="s">
        <v>35</v>
      </c>
      <c r="I1254" s="36">
        <v>4074</v>
      </c>
      <c r="J1254" s="36">
        <v>4074</v>
      </c>
      <c r="K1254" s="85">
        <v>0</v>
      </c>
      <c r="L1254" s="36">
        <v>339.5</v>
      </c>
      <c r="M1254" s="36">
        <v>339.5</v>
      </c>
      <c r="N1254" s="36">
        <v>0</v>
      </c>
      <c r="O1254" s="36">
        <v>0</v>
      </c>
      <c r="P1254" t="s">
        <v>348</v>
      </c>
      <c r="Q1254" t="s">
        <v>349</v>
      </c>
      <c r="R1254" t="s">
        <v>349</v>
      </c>
      <c r="S1254" s="1">
        <v>46066</v>
      </c>
      <c r="T1254" s="1">
        <v>46066</v>
      </c>
      <c r="V1254" s="1">
        <v>46431</v>
      </c>
      <c r="W1254" t="s">
        <v>38</v>
      </c>
      <c r="X1254">
        <v>12</v>
      </c>
      <c r="Y1254" t="s">
        <v>49</v>
      </c>
      <c r="AA1254" t="s">
        <v>112</v>
      </c>
      <c r="AB1254">
        <v>12</v>
      </c>
      <c r="AC1254" t="s">
        <v>350</v>
      </c>
      <c r="AD1254" t="s">
        <v>160</v>
      </c>
      <c r="AE1254" t="s">
        <v>43</v>
      </c>
      <c r="AF1254" t="s">
        <v>44</v>
      </c>
      <c r="AG1254" t="str">
        <f t="shared" si="20"/>
        <v>CC 12x</v>
      </c>
      <c r="AH1254" t="str">
        <f>IF(AND(SUMIF(E:E,E1254,I:I)&gt;=400000,Q1254="B2G"),"n","")</f>
        <v/>
      </c>
    </row>
    <row r="1255" spans="1:34">
      <c r="A1255">
        <v>2026</v>
      </c>
      <c r="B1255">
        <v>2</v>
      </c>
      <c r="C1255" s="83">
        <v>19542002258</v>
      </c>
      <c r="D1255" t="s">
        <v>1245</v>
      </c>
      <c r="E1255">
        <v>53574187591</v>
      </c>
      <c r="F1255">
        <v>524531</v>
      </c>
      <c r="G1255">
        <v>49240023353</v>
      </c>
      <c r="H1255" t="s">
        <v>35</v>
      </c>
      <c r="I1255" s="36">
        <v>5455.8</v>
      </c>
      <c r="J1255" s="36">
        <v>5455.8</v>
      </c>
      <c r="K1255" s="85">
        <v>0</v>
      </c>
      <c r="L1255" s="36">
        <v>454.65</v>
      </c>
      <c r="M1255" s="36">
        <v>0</v>
      </c>
      <c r="N1255" s="36">
        <v>0</v>
      </c>
      <c r="O1255" s="36">
        <v>454.65</v>
      </c>
      <c r="P1255" t="s">
        <v>127</v>
      </c>
      <c r="Q1255" t="s">
        <v>111</v>
      </c>
      <c r="R1255" t="s">
        <v>111</v>
      </c>
      <c r="S1255" s="1">
        <v>46044</v>
      </c>
      <c r="T1255" s="1">
        <v>46054</v>
      </c>
      <c r="U1255" s="1">
        <v>46031</v>
      </c>
      <c r="V1255" s="1">
        <v>46409</v>
      </c>
      <c r="W1255" t="s">
        <v>38</v>
      </c>
      <c r="X1255">
        <v>12</v>
      </c>
      <c r="Y1255" t="s">
        <v>49</v>
      </c>
      <c r="Z1255" t="s">
        <v>81</v>
      </c>
      <c r="AA1255" t="s">
        <v>112</v>
      </c>
      <c r="AB1255">
        <v>12</v>
      </c>
      <c r="AC1255" t="s">
        <v>113</v>
      </c>
      <c r="AD1255" t="s">
        <v>125</v>
      </c>
      <c r="AE1255" t="s">
        <v>43</v>
      </c>
      <c r="AF1255" t="s">
        <v>47</v>
      </c>
      <c r="AG1255" t="str">
        <f t="shared" si="20"/>
        <v>CC 12x</v>
      </c>
      <c r="AH1255" t="str">
        <f>IF(AND(SUMIF(E:E,E1255,I:I)&gt;=400000,Q1255="B2G"),"n","")</f>
        <v/>
      </c>
    </row>
    <row r="1256" spans="1:34">
      <c r="A1256">
        <v>2026</v>
      </c>
      <c r="B1256">
        <v>2</v>
      </c>
      <c r="C1256" s="83">
        <v>19542022657</v>
      </c>
      <c r="D1256" t="s">
        <v>1246</v>
      </c>
      <c r="E1256">
        <v>54188904483</v>
      </c>
      <c r="F1256">
        <v>617325</v>
      </c>
      <c r="G1256">
        <v>52402103335</v>
      </c>
      <c r="H1256" t="s">
        <v>35</v>
      </c>
      <c r="I1256" s="36">
        <v>5673.24</v>
      </c>
      <c r="J1256" s="36">
        <v>4587.42</v>
      </c>
      <c r="K1256" s="85">
        <v>1085.82</v>
      </c>
      <c r="L1256" s="36">
        <v>382.28500000000003</v>
      </c>
      <c r="M1256" s="36">
        <v>0</v>
      </c>
      <c r="N1256" s="36">
        <v>382.28500000000003</v>
      </c>
      <c r="O1256" s="36">
        <v>0</v>
      </c>
      <c r="P1256" t="s">
        <v>190</v>
      </c>
      <c r="Q1256" t="s">
        <v>191</v>
      </c>
      <c r="R1256" t="s">
        <v>191</v>
      </c>
      <c r="S1256" s="1">
        <v>46080</v>
      </c>
      <c r="T1256" s="1">
        <v>46080</v>
      </c>
      <c r="U1256" s="1">
        <v>46564</v>
      </c>
      <c r="V1256" s="1">
        <v>46564</v>
      </c>
      <c r="W1256" t="s">
        <v>102</v>
      </c>
      <c r="X1256">
        <v>16</v>
      </c>
      <c r="Y1256" t="s">
        <v>49</v>
      </c>
      <c r="Z1256" t="s">
        <v>324</v>
      </c>
      <c r="AA1256" t="s">
        <v>122</v>
      </c>
      <c r="AB1256">
        <v>15</v>
      </c>
      <c r="AC1256" t="s">
        <v>192</v>
      </c>
      <c r="AD1256" t="s">
        <v>84</v>
      </c>
      <c r="AE1256" t="s">
        <v>43</v>
      </c>
      <c r="AF1256" t="s">
        <v>44</v>
      </c>
      <c r="AG1256" t="str">
        <f t="shared" si="20"/>
        <v>Recorrente</v>
      </c>
      <c r="AH1256" t="str">
        <f>IF(AND(SUMIF(E:E,E1256,I:I)&gt;=400000,Q1256="B2G"),"n","")</f>
        <v/>
      </c>
    </row>
    <row r="1257" spans="1:34">
      <c r="A1257">
        <v>2026</v>
      </c>
      <c r="B1257">
        <v>2</v>
      </c>
      <c r="C1257" s="83">
        <v>19542022657</v>
      </c>
      <c r="D1257" t="s">
        <v>1246</v>
      </c>
      <c r="E1257">
        <v>54188904483</v>
      </c>
      <c r="F1257">
        <v>617325</v>
      </c>
      <c r="G1257">
        <v>52402103336</v>
      </c>
      <c r="H1257" t="s">
        <v>35</v>
      </c>
      <c r="I1257" s="36">
        <v>6483.6</v>
      </c>
      <c r="J1257" s="36">
        <v>4587.42</v>
      </c>
      <c r="K1257" s="85">
        <v>1896.18</v>
      </c>
      <c r="L1257" s="36">
        <v>382.28500000000003</v>
      </c>
      <c r="M1257" s="36">
        <v>0</v>
      </c>
      <c r="N1257" s="36">
        <v>382.28500000000003</v>
      </c>
      <c r="O1257" s="36">
        <v>0</v>
      </c>
      <c r="P1257" t="s">
        <v>190</v>
      </c>
      <c r="Q1257" t="s">
        <v>191</v>
      </c>
      <c r="R1257" t="s">
        <v>191</v>
      </c>
      <c r="S1257" s="1">
        <v>46080</v>
      </c>
      <c r="T1257" s="1">
        <v>46080</v>
      </c>
      <c r="U1257" s="1">
        <v>46564</v>
      </c>
      <c r="V1257" s="1">
        <v>46564</v>
      </c>
      <c r="W1257" t="s">
        <v>102</v>
      </c>
      <c r="X1257">
        <v>16</v>
      </c>
      <c r="Y1257" t="s">
        <v>49</v>
      </c>
      <c r="Z1257" t="s">
        <v>324</v>
      </c>
      <c r="AA1257" t="s">
        <v>122</v>
      </c>
      <c r="AB1257">
        <v>15</v>
      </c>
      <c r="AC1257" t="s">
        <v>192</v>
      </c>
      <c r="AD1257" t="s">
        <v>85</v>
      </c>
      <c r="AE1257" t="s">
        <v>46</v>
      </c>
      <c r="AF1257" t="s">
        <v>44</v>
      </c>
      <c r="AG1257" t="str">
        <f t="shared" si="20"/>
        <v>Recorrente</v>
      </c>
      <c r="AH1257" t="str">
        <f>IF(AND(SUMIF(E:E,E1257,I:I)&gt;=400000,Q1257="B2G"),"n","")</f>
        <v/>
      </c>
    </row>
    <row r="1258" spans="1:34">
      <c r="A1258">
        <v>2026</v>
      </c>
      <c r="B1258">
        <v>2</v>
      </c>
      <c r="C1258" s="83">
        <v>195486777101</v>
      </c>
      <c r="D1258" t="s">
        <v>1247</v>
      </c>
      <c r="E1258">
        <v>53129787809</v>
      </c>
      <c r="F1258">
        <v>505435</v>
      </c>
      <c r="G1258">
        <v>50697353249</v>
      </c>
      <c r="H1258" t="s">
        <v>35</v>
      </c>
      <c r="I1258" s="36">
        <v>7176.6</v>
      </c>
      <c r="J1258" s="36">
        <v>7176.6</v>
      </c>
      <c r="K1258" s="85">
        <v>0</v>
      </c>
      <c r="L1258" s="36">
        <v>598.04999999999995</v>
      </c>
      <c r="M1258" s="36">
        <v>0</v>
      </c>
      <c r="N1258" s="36">
        <v>15.62</v>
      </c>
      <c r="O1258" s="36">
        <v>582.42999999999995</v>
      </c>
      <c r="P1258" t="s">
        <v>162</v>
      </c>
      <c r="Q1258" t="s">
        <v>111</v>
      </c>
      <c r="R1258" t="s">
        <v>111</v>
      </c>
      <c r="S1258" s="1">
        <v>46055</v>
      </c>
      <c r="T1258" s="1">
        <v>46055</v>
      </c>
      <c r="U1258" s="1">
        <v>46055</v>
      </c>
      <c r="V1258" s="1">
        <v>46420</v>
      </c>
      <c r="W1258" t="s">
        <v>38</v>
      </c>
      <c r="X1258">
        <v>12</v>
      </c>
      <c r="Y1258" t="s">
        <v>49</v>
      </c>
      <c r="Z1258" t="s">
        <v>81</v>
      </c>
      <c r="AA1258" t="s">
        <v>122</v>
      </c>
      <c r="AB1258">
        <v>12</v>
      </c>
      <c r="AC1258" t="s">
        <v>113</v>
      </c>
      <c r="AD1258" t="s">
        <v>131</v>
      </c>
      <c r="AE1258" t="s">
        <v>46</v>
      </c>
      <c r="AF1258" t="s">
        <v>96</v>
      </c>
      <c r="AG1258" t="str">
        <f t="shared" si="20"/>
        <v>Recorrente</v>
      </c>
      <c r="AH1258" t="str">
        <f>IF(AND(SUMIF(E:E,E1258,I:I)&gt;=400000,Q1258="B2G"),"n","")</f>
        <v/>
      </c>
    </row>
    <row r="1259" spans="1:34">
      <c r="A1259">
        <v>2026</v>
      </c>
      <c r="B1259">
        <v>2</v>
      </c>
      <c r="C1259" s="83">
        <v>195486777101</v>
      </c>
      <c r="D1259" t="s">
        <v>1247</v>
      </c>
      <c r="E1259">
        <v>53129787809</v>
      </c>
      <c r="F1259">
        <v>505435</v>
      </c>
      <c r="G1259">
        <v>50697353250</v>
      </c>
      <c r="H1259" t="s">
        <v>35</v>
      </c>
      <c r="I1259" s="36">
        <v>7176.6</v>
      </c>
      <c r="J1259" s="36">
        <v>7176.6</v>
      </c>
      <c r="K1259" s="85">
        <v>0</v>
      </c>
      <c r="L1259" s="36">
        <v>598.04999999999995</v>
      </c>
      <c r="M1259" s="36">
        <v>0</v>
      </c>
      <c r="N1259" s="36">
        <v>15.62</v>
      </c>
      <c r="O1259" s="36">
        <v>582.42999999999995</v>
      </c>
      <c r="P1259" t="s">
        <v>162</v>
      </c>
      <c r="Q1259" t="s">
        <v>111</v>
      </c>
      <c r="R1259" t="s">
        <v>111</v>
      </c>
      <c r="S1259" s="1">
        <v>46055</v>
      </c>
      <c r="T1259" s="1">
        <v>46055</v>
      </c>
      <c r="U1259" s="1">
        <v>46055</v>
      </c>
      <c r="V1259" s="1">
        <v>46420</v>
      </c>
      <c r="W1259" t="s">
        <v>38</v>
      </c>
      <c r="X1259">
        <v>12</v>
      </c>
      <c r="Y1259" t="s">
        <v>49</v>
      </c>
      <c r="Z1259" t="s">
        <v>81</v>
      </c>
      <c r="AA1259" t="s">
        <v>122</v>
      </c>
      <c r="AB1259">
        <v>12</v>
      </c>
      <c r="AC1259" t="s">
        <v>113</v>
      </c>
      <c r="AD1259" t="s">
        <v>149</v>
      </c>
      <c r="AE1259" t="s">
        <v>43</v>
      </c>
      <c r="AF1259" t="s">
        <v>96</v>
      </c>
      <c r="AG1259" t="str">
        <f t="shared" si="20"/>
        <v>Recorrente</v>
      </c>
      <c r="AH1259" t="str">
        <f>IF(AND(SUMIF(E:E,E1259,I:I)&gt;=400000,Q1259="B2G"),"n","")</f>
        <v/>
      </c>
    </row>
    <row r="1260" spans="1:34">
      <c r="A1260">
        <v>2026</v>
      </c>
      <c r="B1260">
        <v>2</v>
      </c>
      <c r="C1260" s="83">
        <v>195732922687</v>
      </c>
      <c r="D1260" t="s">
        <v>1248</v>
      </c>
      <c r="E1260">
        <v>54591685257</v>
      </c>
      <c r="F1260">
        <v>635868</v>
      </c>
      <c r="G1260">
        <v>50352894110</v>
      </c>
      <c r="H1260" t="s">
        <v>35</v>
      </c>
      <c r="I1260" s="36">
        <v>8418.6</v>
      </c>
      <c r="J1260" s="36">
        <v>4239</v>
      </c>
      <c r="K1260" s="85">
        <v>4179.6000000000004</v>
      </c>
      <c r="L1260" s="36">
        <v>353.25</v>
      </c>
      <c r="M1260" s="36">
        <v>0</v>
      </c>
      <c r="N1260" s="36">
        <v>353.25</v>
      </c>
      <c r="O1260" s="36">
        <v>0</v>
      </c>
      <c r="P1260" t="s">
        <v>323</v>
      </c>
      <c r="Q1260" t="s">
        <v>191</v>
      </c>
      <c r="R1260" t="s">
        <v>191</v>
      </c>
      <c r="S1260" s="1">
        <v>46055</v>
      </c>
      <c r="T1260" s="1">
        <v>46055</v>
      </c>
      <c r="V1260" s="1">
        <v>46420</v>
      </c>
      <c r="W1260" t="s">
        <v>38</v>
      </c>
      <c r="Y1260" t="s">
        <v>49</v>
      </c>
      <c r="AA1260" t="s">
        <v>122</v>
      </c>
      <c r="AB1260">
        <v>12</v>
      </c>
      <c r="AC1260" t="s">
        <v>192</v>
      </c>
      <c r="AD1260" t="s">
        <v>134</v>
      </c>
      <c r="AE1260" t="s">
        <v>135</v>
      </c>
      <c r="AF1260" t="s">
        <v>44</v>
      </c>
      <c r="AG1260" t="str">
        <f t="shared" ref="AG1260:AG1323" si="21">IF(IFERROR(SEARCH("Recorrente",AA1260),0)&gt;0,"Recorrente",IF(AB1260=1,"À Vista",IF(AB1260&lt;=3,"CC 3x",IF(AB1260&lt;=12,"CC 12x",IF(AB1260&gt;12,"Recorrente","")))))</f>
        <v>Recorrente</v>
      </c>
      <c r="AH1260" t="str">
        <f>IF(AND(SUMIF(E:E,E1260,I:I)&gt;=400000,Q1260="B2G"),"n","")</f>
        <v/>
      </c>
    </row>
    <row r="1261" spans="1:34">
      <c r="A1261">
        <v>2026</v>
      </c>
      <c r="B1261">
        <v>2</v>
      </c>
      <c r="C1261" s="83">
        <v>196311997614</v>
      </c>
      <c r="D1261" t="s">
        <v>1249</v>
      </c>
      <c r="E1261">
        <v>54780609094</v>
      </c>
      <c r="F1261">
        <v>635935</v>
      </c>
      <c r="G1261">
        <v>50778189610</v>
      </c>
      <c r="H1261" t="s">
        <v>35</v>
      </c>
      <c r="I1261" s="36">
        <v>3684</v>
      </c>
      <c r="J1261" s="36">
        <v>3684</v>
      </c>
      <c r="K1261" s="85">
        <v>0</v>
      </c>
      <c r="L1261" s="36">
        <v>307</v>
      </c>
      <c r="M1261" s="36">
        <v>307</v>
      </c>
      <c r="N1261" s="36">
        <v>0</v>
      </c>
      <c r="O1261" s="36">
        <v>0</v>
      </c>
      <c r="P1261" t="s">
        <v>511</v>
      </c>
      <c r="Q1261" t="s">
        <v>300</v>
      </c>
      <c r="R1261" t="s">
        <v>300</v>
      </c>
      <c r="S1261" s="1">
        <v>46057</v>
      </c>
      <c r="T1261" s="1">
        <v>46057</v>
      </c>
      <c r="V1261" s="1">
        <v>46422</v>
      </c>
      <c r="W1261" t="s">
        <v>38</v>
      </c>
      <c r="X1261">
        <v>12</v>
      </c>
      <c r="Y1261" t="s">
        <v>49</v>
      </c>
      <c r="AA1261" t="s">
        <v>112</v>
      </c>
      <c r="AB1261">
        <v>12</v>
      </c>
      <c r="AC1261" t="s">
        <v>301</v>
      </c>
      <c r="AD1261" t="s">
        <v>160</v>
      </c>
      <c r="AE1261" t="s">
        <v>43</v>
      </c>
      <c r="AF1261" t="s">
        <v>44</v>
      </c>
      <c r="AG1261" t="str">
        <f t="shared" si="21"/>
        <v>CC 12x</v>
      </c>
      <c r="AH1261" t="str">
        <f>IF(AND(SUMIF(E:E,E1261,I:I)&gt;=400000,Q1261="B2G"),"n","")</f>
        <v/>
      </c>
    </row>
    <row r="1262" spans="1:34">
      <c r="A1262">
        <v>2026</v>
      </c>
      <c r="B1262">
        <v>2</v>
      </c>
      <c r="C1262" s="83">
        <v>19653653252</v>
      </c>
      <c r="D1262" t="s">
        <v>1250</v>
      </c>
      <c r="E1262">
        <v>53346534271</v>
      </c>
      <c r="F1262">
        <v>636017</v>
      </c>
      <c r="G1262">
        <v>51225955231</v>
      </c>
      <c r="H1262" t="s">
        <v>35</v>
      </c>
      <c r="I1262" s="36">
        <v>15535.8</v>
      </c>
      <c r="J1262" s="36">
        <v>10099.799999999999</v>
      </c>
      <c r="K1262" s="85">
        <v>5436</v>
      </c>
      <c r="L1262" s="36">
        <v>841.65</v>
      </c>
      <c r="M1262" s="36">
        <v>0</v>
      </c>
      <c r="N1262" s="36">
        <v>411.3</v>
      </c>
      <c r="O1262" s="36">
        <v>430.35</v>
      </c>
      <c r="P1262" t="s">
        <v>520</v>
      </c>
      <c r="Q1262" t="s">
        <v>191</v>
      </c>
      <c r="R1262" t="s">
        <v>191</v>
      </c>
      <c r="S1262" s="1">
        <v>46063</v>
      </c>
      <c r="T1262" s="1">
        <v>46063</v>
      </c>
      <c r="U1262" s="1"/>
      <c r="V1262" s="1">
        <v>46428</v>
      </c>
      <c r="W1262" t="s">
        <v>38</v>
      </c>
      <c r="Y1262" t="s">
        <v>49</v>
      </c>
      <c r="AA1262" t="s">
        <v>92</v>
      </c>
      <c r="AB1262">
        <v>12</v>
      </c>
      <c r="AC1262" t="s">
        <v>192</v>
      </c>
      <c r="AD1262" t="s">
        <v>85</v>
      </c>
      <c r="AE1262" t="s">
        <v>46</v>
      </c>
      <c r="AF1262" t="s">
        <v>44</v>
      </c>
      <c r="AG1262" t="str">
        <f t="shared" si="21"/>
        <v>Recorrente</v>
      </c>
      <c r="AH1262" t="str">
        <f>IF(AND(SUMIF(E:E,E1262,I:I)&gt;=400000,Q1262="B2G"),"n","")</f>
        <v/>
      </c>
    </row>
    <row r="1263" spans="1:34">
      <c r="A1263">
        <v>2026</v>
      </c>
      <c r="B1263">
        <v>2</v>
      </c>
      <c r="C1263" s="83">
        <v>196617223229</v>
      </c>
      <c r="D1263" t="s">
        <v>1251</v>
      </c>
      <c r="E1263">
        <v>54771328550</v>
      </c>
      <c r="F1263">
        <v>635952</v>
      </c>
      <c r="G1263">
        <v>50879757450</v>
      </c>
      <c r="H1263" t="s">
        <v>35</v>
      </c>
      <c r="I1263" s="36">
        <v>2874</v>
      </c>
      <c r="J1263" s="36">
        <v>2874</v>
      </c>
      <c r="K1263" s="85">
        <v>0</v>
      </c>
      <c r="L1263" s="36">
        <v>239.5</v>
      </c>
      <c r="M1263" s="36">
        <v>239.5</v>
      </c>
      <c r="N1263" s="36">
        <v>0</v>
      </c>
      <c r="O1263" s="36">
        <v>0</v>
      </c>
      <c r="P1263" t="s">
        <v>829</v>
      </c>
      <c r="Q1263" t="s">
        <v>300</v>
      </c>
      <c r="R1263" t="s">
        <v>300</v>
      </c>
      <c r="S1263" s="1">
        <v>46058</v>
      </c>
      <c r="T1263" s="1">
        <v>46058</v>
      </c>
      <c r="U1263" s="1"/>
      <c r="V1263" s="1">
        <v>46423</v>
      </c>
      <c r="W1263" t="s">
        <v>38</v>
      </c>
      <c r="X1263">
        <v>12</v>
      </c>
      <c r="Y1263" t="s">
        <v>49</v>
      </c>
      <c r="AA1263" t="s">
        <v>122</v>
      </c>
      <c r="AB1263">
        <v>12</v>
      </c>
      <c r="AC1263" t="s">
        <v>301</v>
      </c>
      <c r="AD1263" t="s">
        <v>118</v>
      </c>
      <c r="AE1263" t="s">
        <v>43</v>
      </c>
      <c r="AF1263" t="s">
        <v>119</v>
      </c>
      <c r="AG1263" t="str">
        <f t="shared" si="21"/>
        <v>Recorrente</v>
      </c>
      <c r="AH1263" t="str">
        <f>IF(AND(SUMIF(E:E,E1263,I:I)&gt;=400000,Q1263="B2G"),"n","")</f>
        <v/>
      </c>
    </row>
    <row r="1264" spans="1:34">
      <c r="A1264">
        <v>2026</v>
      </c>
      <c r="B1264">
        <v>2</v>
      </c>
      <c r="C1264" s="83">
        <v>196730684273</v>
      </c>
      <c r="D1264" t="s">
        <v>1252</v>
      </c>
      <c r="E1264">
        <v>54722256803</v>
      </c>
      <c r="F1264">
        <v>635888</v>
      </c>
      <c r="G1264">
        <v>50518347132</v>
      </c>
      <c r="H1264" t="s">
        <v>35</v>
      </c>
      <c r="I1264" s="36">
        <v>7932.24</v>
      </c>
      <c r="J1264" s="36">
        <v>3300.192</v>
      </c>
      <c r="K1264" s="85">
        <v>4632.0479999999998</v>
      </c>
      <c r="L1264" s="36">
        <v>275.01600000000002</v>
      </c>
      <c r="M1264" s="36">
        <v>0</v>
      </c>
      <c r="N1264" s="36">
        <v>275.01600000000002</v>
      </c>
      <c r="O1264" s="36">
        <v>0</v>
      </c>
      <c r="P1264" t="s">
        <v>323</v>
      </c>
      <c r="Q1264" t="s">
        <v>191</v>
      </c>
      <c r="R1264" t="s">
        <v>191</v>
      </c>
      <c r="S1264" s="1">
        <v>46056</v>
      </c>
      <c r="T1264" s="1">
        <v>46056</v>
      </c>
      <c r="U1264" s="1"/>
      <c r="V1264" s="1">
        <v>46421</v>
      </c>
      <c r="W1264" t="s">
        <v>38</v>
      </c>
      <c r="Y1264" t="s">
        <v>49</v>
      </c>
      <c r="AA1264" t="s">
        <v>122</v>
      </c>
      <c r="AB1264">
        <v>12</v>
      </c>
      <c r="AC1264" t="s">
        <v>192</v>
      </c>
      <c r="AD1264" t="s">
        <v>134</v>
      </c>
      <c r="AE1264" t="s">
        <v>135</v>
      </c>
      <c r="AF1264" t="s">
        <v>44</v>
      </c>
      <c r="AG1264" t="str">
        <f t="shared" si="21"/>
        <v>Recorrente</v>
      </c>
      <c r="AH1264" t="str">
        <f>IF(AND(SUMIF(E:E,E1264,I:I)&gt;=400000,Q1264="B2G"),"n","")</f>
        <v/>
      </c>
    </row>
    <row r="1265" spans="1:34">
      <c r="A1265">
        <v>2026</v>
      </c>
      <c r="B1265">
        <v>2</v>
      </c>
      <c r="C1265" s="83">
        <v>196803243123</v>
      </c>
      <c r="D1265" t="s">
        <v>1253</v>
      </c>
      <c r="E1265">
        <v>55200634409</v>
      </c>
      <c r="F1265">
        <v>635865</v>
      </c>
      <c r="G1265">
        <v>50697397029</v>
      </c>
      <c r="H1265" t="s">
        <v>35</v>
      </c>
      <c r="I1265" s="36">
        <v>2444.4</v>
      </c>
      <c r="J1265" s="36">
        <v>2444.4</v>
      </c>
      <c r="K1265" s="85">
        <v>4.5474699999999999E-13</v>
      </c>
      <c r="L1265" s="36">
        <v>203.7</v>
      </c>
      <c r="M1265" s="36">
        <v>203.7</v>
      </c>
      <c r="N1265" s="36">
        <v>0</v>
      </c>
      <c r="O1265" s="36">
        <v>0</v>
      </c>
      <c r="P1265" t="s">
        <v>511</v>
      </c>
      <c r="Q1265" t="s">
        <v>300</v>
      </c>
      <c r="R1265" t="s">
        <v>300</v>
      </c>
      <c r="S1265" s="1">
        <v>46055</v>
      </c>
      <c r="T1265" s="1">
        <v>46055</v>
      </c>
      <c r="U1265" s="1"/>
      <c r="V1265" s="1">
        <v>46420</v>
      </c>
      <c r="W1265" t="s">
        <v>38</v>
      </c>
      <c r="X1265">
        <v>12</v>
      </c>
      <c r="Y1265" t="s">
        <v>49</v>
      </c>
      <c r="AA1265" t="s">
        <v>112</v>
      </c>
      <c r="AB1265">
        <v>12</v>
      </c>
      <c r="AC1265" t="s">
        <v>301</v>
      </c>
      <c r="AD1265" t="s">
        <v>160</v>
      </c>
      <c r="AE1265" t="s">
        <v>43</v>
      </c>
      <c r="AF1265" t="s">
        <v>44</v>
      </c>
      <c r="AG1265" t="str">
        <f t="shared" si="21"/>
        <v>CC 12x</v>
      </c>
      <c r="AH1265" t="str">
        <f>IF(AND(SUMIF(E:E,E1265,I:I)&gt;=400000,Q1265="B2G"),"n","")</f>
        <v/>
      </c>
    </row>
    <row r="1266" spans="1:34">
      <c r="A1266">
        <v>2026</v>
      </c>
      <c r="B1266">
        <v>2</v>
      </c>
      <c r="C1266" s="83">
        <v>19699715089</v>
      </c>
      <c r="D1266" t="s">
        <v>1254</v>
      </c>
      <c r="E1266">
        <v>53947768721</v>
      </c>
      <c r="F1266">
        <v>328305</v>
      </c>
      <c r="G1266">
        <v>49321025148</v>
      </c>
      <c r="H1266" t="s">
        <v>35</v>
      </c>
      <c r="I1266" s="36">
        <v>6102</v>
      </c>
      <c r="J1266" s="36">
        <v>6102</v>
      </c>
      <c r="K1266" s="85">
        <v>0</v>
      </c>
      <c r="L1266" s="36">
        <v>508.5</v>
      </c>
      <c r="M1266" s="36">
        <v>0</v>
      </c>
      <c r="N1266" s="36">
        <v>85.291979999999995</v>
      </c>
      <c r="O1266" s="36">
        <v>423.21</v>
      </c>
      <c r="P1266" t="s">
        <v>127</v>
      </c>
      <c r="Q1266" t="s">
        <v>111</v>
      </c>
      <c r="R1266" t="s">
        <v>111</v>
      </c>
      <c r="S1266" s="1">
        <v>46038</v>
      </c>
      <c r="T1266" s="1">
        <v>46054</v>
      </c>
      <c r="U1266" s="1">
        <v>46038</v>
      </c>
      <c r="V1266" s="1">
        <v>46403</v>
      </c>
      <c r="W1266" t="s">
        <v>38</v>
      </c>
      <c r="X1266">
        <v>12</v>
      </c>
      <c r="Y1266" t="s">
        <v>49</v>
      </c>
      <c r="Z1266" t="s">
        <v>81</v>
      </c>
      <c r="AA1266" t="s">
        <v>112</v>
      </c>
      <c r="AB1266">
        <v>12</v>
      </c>
      <c r="AC1266" t="s">
        <v>113</v>
      </c>
      <c r="AD1266" t="s">
        <v>149</v>
      </c>
      <c r="AE1266" t="s">
        <v>43</v>
      </c>
      <c r="AF1266" t="s">
        <v>96</v>
      </c>
      <c r="AG1266" t="str">
        <f t="shared" si="21"/>
        <v>CC 12x</v>
      </c>
      <c r="AH1266" t="str">
        <f>IF(AND(SUMIF(E:E,E1266,I:I)&gt;=400000,Q1266="B2G"),"n","")</f>
        <v/>
      </c>
    </row>
    <row r="1267" spans="1:34">
      <c r="A1267">
        <v>2026</v>
      </c>
      <c r="B1267">
        <v>2</v>
      </c>
      <c r="C1267" s="83">
        <v>19699715089</v>
      </c>
      <c r="D1267" t="s">
        <v>1254</v>
      </c>
      <c r="E1267">
        <v>53947768721</v>
      </c>
      <c r="F1267">
        <v>328305</v>
      </c>
      <c r="G1267">
        <v>49321025149</v>
      </c>
      <c r="H1267" t="s">
        <v>35</v>
      </c>
      <c r="I1267" s="36">
        <v>6102</v>
      </c>
      <c r="J1267" s="36">
        <v>6102</v>
      </c>
      <c r="K1267" s="85">
        <v>0</v>
      </c>
      <c r="L1267" s="36">
        <v>508.5</v>
      </c>
      <c r="M1267" s="36">
        <v>0</v>
      </c>
      <c r="N1267" s="36">
        <v>85.291979999999995</v>
      </c>
      <c r="O1267" s="36">
        <v>423.21</v>
      </c>
      <c r="P1267" t="s">
        <v>127</v>
      </c>
      <c r="Q1267" t="s">
        <v>111</v>
      </c>
      <c r="R1267" t="s">
        <v>111</v>
      </c>
      <c r="S1267" s="1">
        <v>46038</v>
      </c>
      <c r="T1267" s="1">
        <v>46054</v>
      </c>
      <c r="U1267" s="1">
        <v>46038</v>
      </c>
      <c r="V1267" s="1">
        <v>46403</v>
      </c>
      <c r="W1267" t="s">
        <v>38</v>
      </c>
      <c r="X1267">
        <v>12</v>
      </c>
      <c r="Y1267" t="s">
        <v>49</v>
      </c>
      <c r="Z1267" t="s">
        <v>81</v>
      </c>
      <c r="AA1267" t="s">
        <v>112</v>
      </c>
      <c r="AB1267">
        <v>12</v>
      </c>
      <c r="AC1267" t="s">
        <v>113</v>
      </c>
      <c r="AD1267" t="s">
        <v>131</v>
      </c>
      <c r="AE1267" t="s">
        <v>46</v>
      </c>
      <c r="AF1267" t="s">
        <v>96</v>
      </c>
      <c r="AG1267" t="str">
        <f t="shared" si="21"/>
        <v>CC 12x</v>
      </c>
      <c r="AH1267" t="str">
        <f>IF(AND(SUMIF(E:E,E1267,I:I)&gt;=400000,Q1267="B2G"),"n","")</f>
        <v/>
      </c>
    </row>
    <row r="1268" spans="1:34">
      <c r="A1268">
        <v>2026</v>
      </c>
      <c r="B1268">
        <v>2</v>
      </c>
      <c r="C1268" s="83">
        <v>19699728190</v>
      </c>
      <c r="D1268" t="s">
        <v>1255</v>
      </c>
      <c r="E1268">
        <v>56562629498</v>
      </c>
      <c r="F1268">
        <v>527625</v>
      </c>
      <c r="G1268">
        <v>51909786781</v>
      </c>
      <c r="H1268" t="s">
        <v>35</v>
      </c>
      <c r="I1268" s="36">
        <v>3655.2</v>
      </c>
      <c r="J1268" s="36">
        <v>3655.2</v>
      </c>
      <c r="K1268" s="85">
        <v>0</v>
      </c>
      <c r="L1268" s="36">
        <v>304.60000000000002</v>
      </c>
      <c r="M1268" s="36">
        <v>0</v>
      </c>
      <c r="N1268" s="36">
        <v>33.936</v>
      </c>
      <c r="O1268" s="36">
        <v>270.66500000000002</v>
      </c>
      <c r="P1268" t="s">
        <v>162</v>
      </c>
      <c r="Q1268" t="s">
        <v>111</v>
      </c>
      <c r="R1268" t="s">
        <v>111</v>
      </c>
      <c r="S1268" s="1">
        <v>46071</v>
      </c>
      <c r="T1268" s="1">
        <v>46071</v>
      </c>
      <c r="U1268" s="1">
        <v>46070</v>
      </c>
      <c r="V1268" s="1">
        <v>46435</v>
      </c>
      <c r="W1268" t="s">
        <v>38</v>
      </c>
      <c r="X1268">
        <v>12</v>
      </c>
      <c r="Y1268" t="s">
        <v>49</v>
      </c>
      <c r="Z1268" t="s">
        <v>81</v>
      </c>
      <c r="AA1268" t="s">
        <v>117</v>
      </c>
      <c r="AB1268">
        <v>1</v>
      </c>
      <c r="AC1268" t="s">
        <v>113</v>
      </c>
      <c r="AD1268" t="s">
        <v>85</v>
      </c>
      <c r="AE1268" t="s">
        <v>46</v>
      </c>
      <c r="AF1268" t="s">
        <v>44</v>
      </c>
      <c r="AG1268" t="str">
        <f t="shared" si="21"/>
        <v>À Vista</v>
      </c>
      <c r="AH1268" t="str">
        <f>IF(AND(SUMIF(E:E,E1268,I:I)&gt;=400000,Q1268="B2G"),"n","")</f>
        <v/>
      </c>
    </row>
    <row r="1269" spans="1:34">
      <c r="A1269">
        <v>2026</v>
      </c>
      <c r="B1269">
        <v>2</v>
      </c>
      <c r="C1269" s="83">
        <v>19699728190</v>
      </c>
      <c r="D1269" t="s">
        <v>1255</v>
      </c>
      <c r="E1269">
        <v>56562629498</v>
      </c>
      <c r="F1269">
        <v>527625</v>
      </c>
      <c r="G1269">
        <v>51909786782</v>
      </c>
      <c r="H1269" t="s">
        <v>35</v>
      </c>
      <c r="I1269" s="36">
        <v>3655.2</v>
      </c>
      <c r="J1269" s="36">
        <v>3655.2</v>
      </c>
      <c r="K1269" s="85">
        <v>0</v>
      </c>
      <c r="L1269" s="36">
        <v>304.60000000000002</v>
      </c>
      <c r="M1269" s="36">
        <v>0</v>
      </c>
      <c r="N1269" s="36">
        <v>33.936</v>
      </c>
      <c r="O1269" s="36">
        <v>270.66500000000002</v>
      </c>
      <c r="P1269" t="s">
        <v>162</v>
      </c>
      <c r="Q1269" t="s">
        <v>111</v>
      </c>
      <c r="R1269" t="s">
        <v>111</v>
      </c>
      <c r="S1269" s="1">
        <v>46071</v>
      </c>
      <c r="T1269" s="1">
        <v>46071</v>
      </c>
      <c r="U1269" s="1">
        <v>46070</v>
      </c>
      <c r="V1269" s="1">
        <v>46435</v>
      </c>
      <c r="W1269" t="s">
        <v>38</v>
      </c>
      <c r="X1269">
        <v>12</v>
      </c>
      <c r="Y1269" t="s">
        <v>49</v>
      </c>
      <c r="Z1269" t="s">
        <v>81</v>
      </c>
      <c r="AA1269" t="s">
        <v>117</v>
      </c>
      <c r="AB1269">
        <v>1</v>
      </c>
      <c r="AC1269" t="s">
        <v>113</v>
      </c>
      <c r="AD1269" t="s">
        <v>84</v>
      </c>
      <c r="AE1269" t="s">
        <v>43</v>
      </c>
      <c r="AF1269" t="s">
        <v>44</v>
      </c>
      <c r="AG1269" t="str">
        <f t="shared" si="21"/>
        <v>À Vista</v>
      </c>
      <c r="AH1269" t="str">
        <f>IF(AND(SUMIF(E:E,E1269,I:I)&gt;=400000,Q1269="B2G"),"n","")</f>
        <v/>
      </c>
    </row>
    <row r="1270" spans="1:34">
      <c r="A1270">
        <v>2026</v>
      </c>
      <c r="B1270">
        <v>2</v>
      </c>
      <c r="C1270" s="83">
        <v>19699738006</v>
      </c>
      <c r="D1270" t="s">
        <v>1256</v>
      </c>
      <c r="E1270">
        <v>55043570721</v>
      </c>
      <c r="F1270">
        <v>635980</v>
      </c>
      <c r="G1270">
        <v>50975697016</v>
      </c>
      <c r="H1270" t="s">
        <v>35</v>
      </c>
      <c r="I1270" s="36">
        <v>4000.08</v>
      </c>
      <c r="J1270" s="36">
        <v>1933.6336200000001</v>
      </c>
      <c r="K1270" s="85">
        <v>2066.4463799999999</v>
      </c>
      <c r="L1270" s="36">
        <v>161.136135</v>
      </c>
      <c r="M1270" s="36">
        <v>0</v>
      </c>
      <c r="N1270" s="36">
        <v>161.136135</v>
      </c>
      <c r="O1270" s="36">
        <v>0</v>
      </c>
      <c r="P1270" t="s">
        <v>367</v>
      </c>
      <c r="Q1270" t="s">
        <v>191</v>
      </c>
      <c r="R1270" t="s">
        <v>191</v>
      </c>
      <c r="S1270" s="1">
        <v>46059</v>
      </c>
      <c r="T1270" s="1">
        <v>46059</v>
      </c>
      <c r="U1270" s="1">
        <v>46097</v>
      </c>
      <c r="V1270" s="1">
        <v>46424</v>
      </c>
      <c r="W1270" t="s">
        <v>38</v>
      </c>
      <c r="X1270">
        <v>11</v>
      </c>
      <c r="Y1270" t="s">
        <v>49</v>
      </c>
      <c r="AA1270" t="s">
        <v>117</v>
      </c>
      <c r="AB1270">
        <v>1</v>
      </c>
      <c r="AC1270" t="s">
        <v>192</v>
      </c>
      <c r="AD1270" t="s">
        <v>174</v>
      </c>
      <c r="AE1270" t="s">
        <v>43</v>
      </c>
      <c r="AF1270" t="s">
        <v>47</v>
      </c>
      <c r="AG1270" t="str">
        <f t="shared" si="21"/>
        <v>À Vista</v>
      </c>
      <c r="AH1270" t="str">
        <f>IF(AND(SUMIF(E:E,E1270,I:I)&gt;=400000,Q1270="B2G"),"n","")</f>
        <v/>
      </c>
    </row>
    <row r="1271" spans="1:34">
      <c r="A1271">
        <v>2026</v>
      </c>
      <c r="B1271">
        <v>2</v>
      </c>
      <c r="C1271" s="83">
        <v>197045127506</v>
      </c>
      <c r="D1271" t="s">
        <v>1257</v>
      </c>
      <c r="E1271">
        <v>55820514645</v>
      </c>
      <c r="F1271">
        <v>636011</v>
      </c>
      <c r="G1271">
        <v>51121442097</v>
      </c>
      <c r="H1271" t="s">
        <v>35</v>
      </c>
      <c r="I1271" s="36">
        <v>2874</v>
      </c>
      <c r="J1271" s="36">
        <v>2874</v>
      </c>
      <c r="K1271" s="85">
        <v>0</v>
      </c>
      <c r="L1271" s="36">
        <v>239.5</v>
      </c>
      <c r="M1271" s="36">
        <v>239.5</v>
      </c>
      <c r="N1271" s="36">
        <v>0</v>
      </c>
      <c r="O1271" s="36">
        <v>0</v>
      </c>
      <c r="P1271" t="s">
        <v>506</v>
      </c>
      <c r="Q1271" t="s">
        <v>300</v>
      </c>
      <c r="R1271" t="s">
        <v>300</v>
      </c>
      <c r="S1271" s="1">
        <v>46063</v>
      </c>
      <c r="T1271" s="1">
        <v>46063</v>
      </c>
      <c r="V1271" s="1">
        <v>46428</v>
      </c>
      <c r="W1271" t="s">
        <v>38</v>
      </c>
      <c r="X1271">
        <v>12</v>
      </c>
      <c r="Y1271" t="s">
        <v>49</v>
      </c>
      <c r="AA1271" t="s">
        <v>122</v>
      </c>
      <c r="AB1271">
        <v>12</v>
      </c>
      <c r="AC1271" t="s">
        <v>301</v>
      </c>
      <c r="AD1271" t="s">
        <v>118</v>
      </c>
      <c r="AE1271" t="s">
        <v>43</v>
      </c>
      <c r="AF1271" t="s">
        <v>119</v>
      </c>
      <c r="AG1271" t="str">
        <f t="shared" si="21"/>
        <v>Recorrente</v>
      </c>
      <c r="AH1271" t="str">
        <f>IF(AND(SUMIF(E:E,E1271,I:I)&gt;=400000,Q1271="B2G"),"n","")</f>
        <v/>
      </c>
    </row>
    <row r="1272" spans="1:34">
      <c r="A1272">
        <v>2026</v>
      </c>
      <c r="B1272">
        <v>2</v>
      </c>
      <c r="C1272" s="83">
        <v>19733358689</v>
      </c>
      <c r="D1272" t="s">
        <v>1258</v>
      </c>
      <c r="E1272">
        <v>53605247858</v>
      </c>
      <c r="F1272">
        <v>607112</v>
      </c>
      <c r="G1272">
        <v>48938498342</v>
      </c>
      <c r="H1272" t="s">
        <v>35</v>
      </c>
      <c r="I1272" s="36">
        <v>3851.04</v>
      </c>
      <c r="J1272" s="36">
        <v>3851.04</v>
      </c>
      <c r="K1272" s="85">
        <v>0</v>
      </c>
      <c r="L1272" s="36">
        <v>320.92</v>
      </c>
      <c r="M1272" s="36">
        <v>0</v>
      </c>
      <c r="N1272" s="36">
        <v>0</v>
      </c>
      <c r="O1272" s="36">
        <v>320.91750000000002</v>
      </c>
      <c r="P1272" t="s">
        <v>133</v>
      </c>
      <c r="Q1272" t="s">
        <v>111</v>
      </c>
      <c r="R1272" t="s">
        <v>111</v>
      </c>
      <c r="S1272" s="1">
        <v>46035</v>
      </c>
      <c r="T1272" s="1">
        <v>46054</v>
      </c>
      <c r="U1272" s="1">
        <v>46031</v>
      </c>
      <c r="V1272" s="1">
        <v>46418</v>
      </c>
      <c r="W1272" t="s">
        <v>38</v>
      </c>
      <c r="X1272">
        <v>12</v>
      </c>
      <c r="Y1272" t="s">
        <v>49</v>
      </c>
      <c r="Z1272" t="s">
        <v>81</v>
      </c>
      <c r="AA1272" t="s">
        <v>112</v>
      </c>
      <c r="AB1272">
        <v>12</v>
      </c>
      <c r="AC1272" t="s">
        <v>113</v>
      </c>
      <c r="AD1272" t="s">
        <v>84</v>
      </c>
      <c r="AE1272" t="s">
        <v>43</v>
      </c>
      <c r="AF1272" t="s">
        <v>44</v>
      </c>
      <c r="AG1272" t="str">
        <f t="shared" si="21"/>
        <v>CC 12x</v>
      </c>
      <c r="AH1272" t="str">
        <f>IF(AND(SUMIF(E:E,E1272,I:I)&gt;=400000,Q1272="B2G"),"n","")</f>
        <v/>
      </c>
    </row>
    <row r="1273" spans="1:34">
      <c r="A1273">
        <v>2026</v>
      </c>
      <c r="B1273">
        <v>2</v>
      </c>
      <c r="C1273" s="83">
        <v>19733441173</v>
      </c>
      <c r="D1273" t="s">
        <v>1259</v>
      </c>
      <c r="E1273">
        <v>56863197459</v>
      </c>
      <c r="F1273">
        <v>626962</v>
      </c>
      <c r="G1273">
        <v>52356934990</v>
      </c>
      <c r="H1273" t="s">
        <v>35</v>
      </c>
      <c r="I1273" s="36">
        <v>4646.3999999999996</v>
      </c>
      <c r="J1273" s="36">
        <v>4646.3999999999996</v>
      </c>
      <c r="K1273" s="85">
        <v>0</v>
      </c>
      <c r="L1273" s="36">
        <v>387.2</v>
      </c>
      <c r="M1273" s="36">
        <v>0</v>
      </c>
      <c r="N1273" s="36">
        <v>42.92</v>
      </c>
      <c r="O1273" s="36">
        <v>344.28</v>
      </c>
      <c r="P1273" t="s">
        <v>162</v>
      </c>
      <c r="Q1273" t="s">
        <v>111</v>
      </c>
      <c r="R1273" t="s">
        <v>111</v>
      </c>
      <c r="S1273" s="1">
        <v>46079</v>
      </c>
      <c r="T1273" s="1">
        <v>46079</v>
      </c>
      <c r="U1273" s="1">
        <v>46079</v>
      </c>
      <c r="V1273" s="1">
        <v>46444</v>
      </c>
      <c r="W1273" t="s">
        <v>38</v>
      </c>
      <c r="X1273">
        <v>12</v>
      </c>
      <c r="Y1273" t="s">
        <v>49</v>
      </c>
      <c r="Z1273" t="s">
        <v>81</v>
      </c>
      <c r="AA1273" t="s">
        <v>117</v>
      </c>
      <c r="AB1273">
        <v>1</v>
      </c>
      <c r="AC1273" t="s">
        <v>113</v>
      </c>
      <c r="AD1273" t="s">
        <v>85</v>
      </c>
      <c r="AE1273" t="s">
        <v>46</v>
      </c>
      <c r="AF1273" t="s">
        <v>44</v>
      </c>
      <c r="AG1273" t="str">
        <f t="shared" si="21"/>
        <v>À Vista</v>
      </c>
      <c r="AH1273" t="str">
        <f>IF(AND(SUMIF(E:E,E1273,I:I)&gt;=400000,Q1273="B2G"),"n","")</f>
        <v/>
      </c>
    </row>
    <row r="1274" spans="1:34">
      <c r="A1274">
        <v>2026</v>
      </c>
      <c r="B1274">
        <v>2</v>
      </c>
      <c r="C1274" s="83">
        <v>197488333634</v>
      </c>
      <c r="D1274" t="s">
        <v>1260</v>
      </c>
      <c r="E1274">
        <v>54194449755</v>
      </c>
      <c r="F1274">
        <v>527862</v>
      </c>
      <c r="G1274">
        <v>50274413322</v>
      </c>
      <c r="H1274" t="s">
        <v>35</v>
      </c>
      <c r="I1274" s="36">
        <v>6313.92</v>
      </c>
      <c r="J1274" s="36">
        <v>6313.92</v>
      </c>
      <c r="K1274" s="85">
        <v>0</v>
      </c>
      <c r="L1274" s="36">
        <v>526.16</v>
      </c>
      <c r="M1274" s="36">
        <v>0</v>
      </c>
      <c r="N1274" s="36">
        <v>84.492500000000007</v>
      </c>
      <c r="O1274" s="36">
        <v>441.67</v>
      </c>
      <c r="P1274" t="s">
        <v>116</v>
      </c>
      <c r="Q1274" t="s">
        <v>111</v>
      </c>
      <c r="R1274" t="s">
        <v>111</v>
      </c>
      <c r="S1274" s="1">
        <v>46051</v>
      </c>
      <c r="T1274" s="1">
        <v>46054</v>
      </c>
      <c r="U1274" s="1">
        <v>46070</v>
      </c>
      <c r="V1274" s="1">
        <v>46435</v>
      </c>
      <c r="W1274" t="s">
        <v>38</v>
      </c>
      <c r="X1274">
        <v>12</v>
      </c>
      <c r="Y1274" t="s">
        <v>49</v>
      </c>
      <c r="Z1274" t="s">
        <v>81</v>
      </c>
      <c r="AA1274" t="s">
        <v>112</v>
      </c>
      <c r="AB1274">
        <v>12</v>
      </c>
      <c r="AC1274" t="s">
        <v>113</v>
      </c>
      <c r="AD1274" t="s">
        <v>134</v>
      </c>
      <c r="AE1274" t="s">
        <v>135</v>
      </c>
      <c r="AF1274" t="s">
        <v>44</v>
      </c>
      <c r="AG1274" t="str">
        <f t="shared" si="21"/>
        <v>CC 12x</v>
      </c>
      <c r="AH1274" t="str">
        <f>IF(AND(SUMIF(E:E,E1274,I:I)&gt;=400000,Q1274="B2G"),"n","")</f>
        <v/>
      </c>
    </row>
    <row r="1275" spans="1:34">
      <c r="A1275">
        <v>2026</v>
      </c>
      <c r="B1275">
        <v>2</v>
      </c>
      <c r="C1275" s="83">
        <v>197514379870</v>
      </c>
      <c r="D1275" t="s">
        <v>885</v>
      </c>
      <c r="E1275">
        <v>55945892164</v>
      </c>
      <c r="F1275">
        <v>635827</v>
      </c>
      <c r="G1275">
        <v>51418730913</v>
      </c>
      <c r="H1275" t="s">
        <v>35</v>
      </c>
      <c r="I1275" s="36">
        <v>1981.92</v>
      </c>
      <c r="J1275" s="36">
        <v>2050.8000000000002</v>
      </c>
      <c r="K1275" s="85">
        <v>0</v>
      </c>
      <c r="L1275" s="36">
        <v>170.9</v>
      </c>
      <c r="M1275" s="36">
        <v>0</v>
      </c>
      <c r="N1275" s="36">
        <v>170.9</v>
      </c>
      <c r="O1275" s="36">
        <v>0</v>
      </c>
      <c r="P1275" t="s">
        <v>469</v>
      </c>
      <c r="Q1275" t="s">
        <v>191</v>
      </c>
      <c r="R1275" t="s">
        <v>191</v>
      </c>
      <c r="S1275" s="1">
        <v>46064</v>
      </c>
      <c r="T1275" s="1">
        <v>46064</v>
      </c>
      <c r="U1275" s="1">
        <v>46417</v>
      </c>
      <c r="V1275" s="1">
        <v>46417</v>
      </c>
      <c r="W1275" t="s">
        <v>38</v>
      </c>
      <c r="X1275">
        <v>11</v>
      </c>
      <c r="Y1275" t="s">
        <v>49</v>
      </c>
      <c r="Z1275" t="s">
        <v>324</v>
      </c>
      <c r="AA1275" t="s">
        <v>117</v>
      </c>
      <c r="AB1275">
        <v>1</v>
      </c>
      <c r="AC1275" t="s">
        <v>192</v>
      </c>
      <c r="AD1275" t="s">
        <v>84</v>
      </c>
      <c r="AE1275" t="s">
        <v>43</v>
      </c>
      <c r="AF1275" t="s">
        <v>44</v>
      </c>
      <c r="AG1275" t="str">
        <f t="shared" si="21"/>
        <v>À Vista</v>
      </c>
      <c r="AH1275" t="str">
        <f>IF(AND(SUMIF(E:E,E1275,I:I)&gt;=400000,Q1275="B2G"),"n","")</f>
        <v/>
      </c>
    </row>
    <row r="1276" spans="1:34">
      <c r="A1276">
        <v>2026</v>
      </c>
      <c r="B1276">
        <v>2</v>
      </c>
      <c r="C1276" s="83">
        <v>197518901769</v>
      </c>
      <c r="D1276" t="s">
        <v>1261</v>
      </c>
      <c r="E1276">
        <v>55380602007</v>
      </c>
      <c r="F1276">
        <v>635860</v>
      </c>
      <c r="G1276">
        <v>50691069467</v>
      </c>
      <c r="H1276" t="s">
        <v>35</v>
      </c>
      <c r="I1276" s="36">
        <v>4676.3999999999996</v>
      </c>
      <c r="J1276" s="36">
        <v>4676.3999999999996</v>
      </c>
      <c r="K1276" s="85">
        <v>0</v>
      </c>
      <c r="L1276" s="36">
        <v>389.7</v>
      </c>
      <c r="M1276" s="36">
        <v>389.7</v>
      </c>
      <c r="N1276" s="36">
        <v>0</v>
      </c>
      <c r="O1276" s="36">
        <v>0</v>
      </c>
      <c r="P1276" t="s">
        <v>829</v>
      </c>
      <c r="Q1276" t="s">
        <v>300</v>
      </c>
      <c r="R1276" t="s">
        <v>80</v>
      </c>
      <c r="S1276" s="1">
        <v>46055</v>
      </c>
      <c r="T1276" s="1">
        <v>46055</v>
      </c>
      <c r="U1276" s="1"/>
      <c r="V1276" s="1">
        <v>46420</v>
      </c>
      <c r="W1276" t="s">
        <v>38</v>
      </c>
      <c r="X1276">
        <v>12</v>
      </c>
      <c r="Y1276" t="s">
        <v>49</v>
      </c>
      <c r="AA1276" t="s">
        <v>112</v>
      </c>
      <c r="AB1276">
        <v>12</v>
      </c>
      <c r="AC1276" t="s">
        <v>495</v>
      </c>
      <c r="AD1276" t="s">
        <v>125</v>
      </c>
      <c r="AE1276" t="s">
        <v>43</v>
      </c>
      <c r="AF1276" t="s">
        <v>47</v>
      </c>
      <c r="AG1276" t="str">
        <f t="shared" si="21"/>
        <v>CC 12x</v>
      </c>
      <c r="AH1276" t="str">
        <f>IF(AND(SUMIF(E:E,E1276,I:I)&gt;=400000,Q1276="B2G"),"n","")</f>
        <v/>
      </c>
    </row>
    <row r="1277" spans="1:34">
      <c r="A1277">
        <v>2026</v>
      </c>
      <c r="B1277">
        <v>2</v>
      </c>
      <c r="C1277" s="83">
        <v>197527298652</v>
      </c>
      <c r="D1277" t="s">
        <v>1262</v>
      </c>
      <c r="E1277">
        <v>57043644975</v>
      </c>
      <c r="F1277">
        <v>636272</v>
      </c>
      <c r="G1277">
        <v>52283163042</v>
      </c>
      <c r="H1277" t="s">
        <v>35</v>
      </c>
      <c r="I1277" s="36">
        <v>2877</v>
      </c>
      <c r="J1277" s="36">
        <v>2877</v>
      </c>
      <c r="K1277" s="85">
        <v>0</v>
      </c>
      <c r="L1277" s="36">
        <v>239.75</v>
      </c>
      <c r="M1277" s="36">
        <v>239.75</v>
      </c>
      <c r="N1277" s="36">
        <v>0</v>
      </c>
      <c r="O1277" s="36">
        <v>0</v>
      </c>
      <c r="P1277" t="s">
        <v>829</v>
      </c>
      <c r="Q1277" t="s">
        <v>300</v>
      </c>
      <c r="R1277" t="s">
        <v>80</v>
      </c>
      <c r="S1277" s="1">
        <v>46079</v>
      </c>
      <c r="T1277" s="1">
        <v>46079</v>
      </c>
      <c r="U1277" s="1"/>
      <c r="V1277" s="1">
        <v>46444</v>
      </c>
      <c r="W1277" t="s">
        <v>38</v>
      </c>
      <c r="X1277">
        <v>12</v>
      </c>
      <c r="Y1277" t="s">
        <v>49</v>
      </c>
      <c r="AA1277" t="s">
        <v>117</v>
      </c>
      <c r="AB1277">
        <v>1</v>
      </c>
      <c r="AC1277" t="s">
        <v>495</v>
      </c>
      <c r="AD1277" t="s">
        <v>85</v>
      </c>
      <c r="AE1277" t="s">
        <v>46</v>
      </c>
      <c r="AF1277" t="s">
        <v>44</v>
      </c>
      <c r="AG1277" t="str">
        <f t="shared" si="21"/>
        <v>À Vista</v>
      </c>
      <c r="AH1277" t="str">
        <f>IF(AND(SUMIF(E:E,E1277,I:I)&gt;=400000,Q1277="B2G"),"n","")</f>
        <v/>
      </c>
    </row>
    <row r="1278" spans="1:34">
      <c r="A1278">
        <v>2026</v>
      </c>
      <c r="B1278">
        <v>2</v>
      </c>
      <c r="C1278" s="83">
        <v>198020172942</v>
      </c>
      <c r="D1278" t="s">
        <v>1263</v>
      </c>
      <c r="E1278">
        <v>55384269154</v>
      </c>
      <c r="F1278">
        <v>636068</v>
      </c>
      <c r="G1278">
        <v>51224008212</v>
      </c>
      <c r="H1278" t="s">
        <v>35</v>
      </c>
      <c r="I1278" s="36">
        <v>8154.84</v>
      </c>
      <c r="J1278" s="36">
        <v>8154.9</v>
      </c>
      <c r="K1278" s="85">
        <v>0</v>
      </c>
      <c r="L1278" s="36">
        <v>679.57500000000005</v>
      </c>
      <c r="M1278" s="36">
        <v>679.57500000000005</v>
      </c>
      <c r="N1278" s="36">
        <v>0</v>
      </c>
      <c r="O1278" s="36">
        <v>0</v>
      </c>
      <c r="P1278" t="s">
        <v>323</v>
      </c>
      <c r="Q1278" t="s">
        <v>314</v>
      </c>
      <c r="R1278" t="s">
        <v>314</v>
      </c>
      <c r="S1278" s="1">
        <v>46065</v>
      </c>
      <c r="T1278" s="1">
        <v>46065</v>
      </c>
      <c r="V1278" s="1">
        <v>46430</v>
      </c>
      <c r="W1278" t="s">
        <v>38</v>
      </c>
      <c r="X1278">
        <v>12</v>
      </c>
      <c r="Y1278" t="s">
        <v>49</v>
      </c>
      <c r="AA1278" t="s">
        <v>112</v>
      </c>
      <c r="AB1278">
        <v>12</v>
      </c>
      <c r="AC1278" t="s">
        <v>315</v>
      </c>
      <c r="AD1278" t="s">
        <v>131</v>
      </c>
      <c r="AE1278" t="s">
        <v>46</v>
      </c>
      <c r="AF1278" t="s">
        <v>96</v>
      </c>
      <c r="AG1278" t="str">
        <f t="shared" si="21"/>
        <v>CC 12x</v>
      </c>
      <c r="AH1278" t="str">
        <f>IF(AND(SUMIF(E:E,E1278,I:I)&gt;=400000,Q1278="B2G"),"n","")</f>
        <v/>
      </c>
    </row>
    <row r="1279" spans="1:34">
      <c r="A1279">
        <v>2026</v>
      </c>
      <c r="B1279">
        <v>2</v>
      </c>
      <c r="C1279" s="83">
        <v>198028970350</v>
      </c>
      <c r="D1279" t="s">
        <v>1264</v>
      </c>
      <c r="E1279">
        <v>55326072853</v>
      </c>
      <c r="F1279">
        <v>635975</v>
      </c>
      <c r="G1279">
        <v>50975185513</v>
      </c>
      <c r="H1279" t="s">
        <v>35</v>
      </c>
      <c r="I1279" s="36">
        <v>9354</v>
      </c>
      <c r="J1279" s="36">
        <v>9354</v>
      </c>
      <c r="K1279" s="85">
        <v>0</v>
      </c>
      <c r="L1279" s="36">
        <v>779.5</v>
      </c>
      <c r="M1279" s="36">
        <v>779.5</v>
      </c>
      <c r="N1279" s="36">
        <v>0</v>
      </c>
      <c r="O1279" s="36">
        <v>0</v>
      </c>
      <c r="P1279" t="s">
        <v>829</v>
      </c>
      <c r="Q1279" t="s">
        <v>300</v>
      </c>
      <c r="R1279" t="s">
        <v>300</v>
      </c>
      <c r="S1279" s="1">
        <v>46059</v>
      </c>
      <c r="T1279" s="1">
        <v>46059</v>
      </c>
      <c r="U1279" s="1"/>
      <c r="V1279" s="1">
        <v>46424</v>
      </c>
      <c r="W1279" t="s">
        <v>38</v>
      </c>
      <c r="X1279">
        <v>12</v>
      </c>
      <c r="Y1279" t="s">
        <v>49</v>
      </c>
      <c r="AA1279" t="s">
        <v>122</v>
      </c>
      <c r="AB1279">
        <v>12</v>
      </c>
      <c r="AC1279" t="s">
        <v>301</v>
      </c>
      <c r="AD1279" t="s">
        <v>134</v>
      </c>
      <c r="AE1279" t="s">
        <v>135</v>
      </c>
      <c r="AF1279" t="s">
        <v>44</v>
      </c>
      <c r="AG1279" t="str">
        <f t="shared" si="21"/>
        <v>Recorrente</v>
      </c>
      <c r="AH1279" t="str">
        <f>IF(AND(SUMIF(E:E,E1279,I:I)&gt;=400000,Q1279="B2G"),"n","")</f>
        <v/>
      </c>
    </row>
    <row r="1280" spans="1:34">
      <c r="A1280">
        <v>2026</v>
      </c>
      <c r="B1280">
        <v>2</v>
      </c>
      <c r="C1280" s="83">
        <v>198208844949</v>
      </c>
      <c r="D1280" t="s">
        <v>1265</v>
      </c>
      <c r="E1280">
        <v>55219373639</v>
      </c>
      <c r="F1280">
        <v>304178</v>
      </c>
      <c r="G1280">
        <v>50518704715</v>
      </c>
      <c r="H1280" t="s">
        <v>35</v>
      </c>
      <c r="I1280" s="36">
        <v>4315.4399999999996</v>
      </c>
      <c r="J1280" s="36">
        <v>4315.4399999999996</v>
      </c>
      <c r="K1280" s="85">
        <v>0</v>
      </c>
      <c r="L1280" s="36">
        <v>359.62</v>
      </c>
      <c r="M1280" s="36">
        <v>0</v>
      </c>
      <c r="N1280" s="36">
        <v>87.825000000000003</v>
      </c>
      <c r="O1280" s="36">
        <v>271.8</v>
      </c>
      <c r="P1280" t="s">
        <v>162</v>
      </c>
      <c r="Q1280" t="s">
        <v>111</v>
      </c>
      <c r="R1280" t="s">
        <v>111</v>
      </c>
      <c r="S1280" s="1">
        <v>46055</v>
      </c>
      <c r="T1280" s="1">
        <v>46055</v>
      </c>
      <c r="U1280" s="1">
        <v>46054</v>
      </c>
      <c r="V1280" s="1">
        <v>46419</v>
      </c>
      <c r="W1280" t="s">
        <v>38</v>
      </c>
      <c r="X1280">
        <v>12</v>
      </c>
      <c r="Y1280" t="s">
        <v>49</v>
      </c>
      <c r="Z1280" t="s">
        <v>81</v>
      </c>
      <c r="AA1280" t="s">
        <v>122</v>
      </c>
      <c r="AB1280">
        <v>12</v>
      </c>
      <c r="AC1280" t="s">
        <v>113</v>
      </c>
      <c r="AD1280" t="s">
        <v>85</v>
      </c>
      <c r="AE1280" t="s">
        <v>46</v>
      </c>
      <c r="AF1280" t="s">
        <v>44</v>
      </c>
      <c r="AG1280" t="str">
        <f t="shared" si="21"/>
        <v>Recorrente</v>
      </c>
      <c r="AH1280" t="str">
        <f>IF(AND(SUMIF(E:E,E1280,I:I)&gt;=400000,Q1280="B2G"),"n","")</f>
        <v/>
      </c>
    </row>
    <row r="1281" spans="1:34">
      <c r="A1281">
        <v>2026</v>
      </c>
      <c r="B1281">
        <v>2</v>
      </c>
      <c r="C1281" s="83">
        <v>198695416883</v>
      </c>
      <c r="D1281" t="s">
        <v>1266</v>
      </c>
      <c r="E1281">
        <v>51797542810</v>
      </c>
      <c r="F1281">
        <v>607611</v>
      </c>
      <c r="G1281">
        <v>47263683688</v>
      </c>
      <c r="H1281" t="s">
        <v>35</v>
      </c>
      <c r="I1281" s="36">
        <v>4102.68</v>
      </c>
      <c r="J1281" s="36">
        <v>4102.68</v>
      </c>
      <c r="K1281" s="85">
        <v>0</v>
      </c>
      <c r="L1281" s="36">
        <v>341.89</v>
      </c>
      <c r="M1281" s="36">
        <v>0</v>
      </c>
      <c r="N1281" s="36">
        <v>45.630974999999999</v>
      </c>
      <c r="O1281" s="36">
        <v>296.26</v>
      </c>
      <c r="P1281" t="s">
        <v>137</v>
      </c>
      <c r="Q1281" t="s">
        <v>111</v>
      </c>
      <c r="R1281" t="s">
        <v>111</v>
      </c>
      <c r="S1281" s="1">
        <v>46042</v>
      </c>
      <c r="T1281" s="1">
        <v>46054</v>
      </c>
      <c r="U1281" s="1">
        <v>46041</v>
      </c>
      <c r="V1281" s="1">
        <v>46406</v>
      </c>
      <c r="W1281" t="s">
        <v>38</v>
      </c>
      <c r="X1281">
        <v>12</v>
      </c>
      <c r="Y1281" t="s">
        <v>49</v>
      </c>
      <c r="Z1281" t="s">
        <v>81</v>
      </c>
      <c r="AA1281" t="s">
        <v>122</v>
      </c>
      <c r="AB1281">
        <v>12</v>
      </c>
      <c r="AC1281" t="s">
        <v>113</v>
      </c>
      <c r="AD1281" t="s">
        <v>138</v>
      </c>
      <c r="AE1281" t="s">
        <v>135</v>
      </c>
      <c r="AF1281" t="s">
        <v>119</v>
      </c>
      <c r="AG1281" t="str">
        <f t="shared" si="21"/>
        <v>Recorrente</v>
      </c>
      <c r="AH1281" t="str">
        <f>IF(AND(SUMIF(E:E,E1281,I:I)&gt;=400000,Q1281="B2G"),"n","")</f>
        <v/>
      </c>
    </row>
    <row r="1282" spans="1:34">
      <c r="A1282">
        <v>2026</v>
      </c>
      <c r="B1282">
        <v>2</v>
      </c>
      <c r="C1282" s="83">
        <v>198812727719</v>
      </c>
      <c r="D1282" t="s">
        <v>1267</v>
      </c>
      <c r="E1282">
        <v>55471686769</v>
      </c>
      <c r="F1282">
        <v>635983</v>
      </c>
      <c r="G1282">
        <v>50986659739</v>
      </c>
      <c r="H1282" t="s">
        <v>35</v>
      </c>
      <c r="I1282" s="36">
        <v>4962.6000000000004</v>
      </c>
      <c r="J1282" s="36">
        <v>4962.6000000000004</v>
      </c>
      <c r="K1282" s="85">
        <v>0</v>
      </c>
      <c r="L1282" s="36">
        <v>413.55</v>
      </c>
      <c r="M1282" s="36">
        <v>0</v>
      </c>
      <c r="N1282" s="36">
        <v>100.83</v>
      </c>
      <c r="O1282" s="36">
        <v>312.72000000000003</v>
      </c>
      <c r="P1282" t="s">
        <v>804</v>
      </c>
      <c r="Q1282" t="s">
        <v>191</v>
      </c>
      <c r="R1282" t="s">
        <v>191</v>
      </c>
      <c r="S1282" s="1">
        <v>46059</v>
      </c>
      <c r="T1282" s="1">
        <v>46059</v>
      </c>
      <c r="U1282" s="1"/>
      <c r="V1282" s="1">
        <v>46424</v>
      </c>
      <c r="W1282" t="s">
        <v>38</v>
      </c>
      <c r="Y1282" t="s">
        <v>49</v>
      </c>
      <c r="AA1282" t="s">
        <v>112</v>
      </c>
      <c r="AB1282">
        <v>12</v>
      </c>
      <c r="AC1282" t="s">
        <v>192</v>
      </c>
      <c r="AD1282" t="s">
        <v>138</v>
      </c>
      <c r="AE1282" t="s">
        <v>135</v>
      </c>
      <c r="AF1282" t="s">
        <v>119</v>
      </c>
      <c r="AG1282" t="str">
        <f t="shared" si="21"/>
        <v>CC 12x</v>
      </c>
      <c r="AH1282" t="str">
        <f>IF(AND(SUMIF(E:E,E1282,I:I)&gt;=400000,Q1282="B2G"),"n","")</f>
        <v/>
      </c>
    </row>
    <row r="1283" spans="1:34">
      <c r="A1283">
        <v>2026</v>
      </c>
      <c r="B1283">
        <v>2</v>
      </c>
      <c r="C1283" s="83">
        <v>198814476361</v>
      </c>
      <c r="D1283" t="s">
        <v>1268</v>
      </c>
      <c r="E1283">
        <v>55393768620</v>
      </c>
      <c r="F1283">
        <v>635908</v>
      </c>
      <c r="G1283">
        <v>50743295666</v>
      </c>
      <c r="H1283" t="s">
        <v>35</v>
      </c>
      <c r="I1283" s="36">
        <v>20150.400000000001</v>
      </c>
      <c r="J1283" s="36">
        <v>884.4</v>
      </c>
      <c r="K1283" s="85">
        <v>19266</v>
      </c>
      <c r="L1283" s="36">
        <v>73.7</v>
      </c>
      <c r="M1283" s="36">
        <v>0</v>
      </c>
      <c r="N1283" s="36">
        <v>73.7</v>
      </c>
      <c r="O1283" s="36">
        <v>0</v>
      </c>
      <c r="P1283" t="s">
        <v>469</v>
      </c>
      <c r="Q1283" t="s">
        <v>191</v>
      </c>
      <c r="R1283" t="s">
        <v>191</v>
      </c>
      <c r="S1283" s="1">
        <v>46056</v>
      </c>
      <c r="T1283" s="1">
        <v>46056</v>
      </c>
      <c r="V1283" s="1">
        <v>46786</v>
      </c>
      <c r="W1283" t="s">
        <v>56</v>
      </c>
      <c r="Y1283" t="s">
        <v>49</v>
      </c>
      <c r="AA1283" t="s">
        <v>122</v>
      </c>
      <c r="AB1283">
        <v>24</v>
      </c>
      <c r="AC1283" t="s">
        <v>192</v>
      </c>
      <c r="AD1283" t="s">
        <v>146</v>
      </c>
      <c r="AE1283" t="s">
        <v>135</v>
      </c>
      <c r="AF1283" t="s">
        <v>96</v>
      </c>
      <c r="AG1283" t="str">
        <f t="shared" si="21"/>
        <v>Recorrente</v>
      </c>
      <c r="AH1283" t="str">
        <f>IF(AND(SUMIF(E:E,E1283,I:I)&gt;=400000,Q1283="B2G"),"n","")</f>
        <v/>
      </c>
    </row>
    <row r="1284" spans="1:34">
      <c r="A1284">
        <v>2026</v>
      </c>
      <c r="B1284">
        <v>2</v>
      </c>
      <c r="C1284" s="83">
        <v>198839665930</v>
      </c>
      <c r="D1284" t="s">
        <v>1269</v>
      </c>
      <c r="E1284">
        <v>55641151413</v>
      </c>
      <c r="F1284">
        <v>635961</v>
      </c>
      <c r="G1284">
        <v>50922683977</v>
      </c>
      <c r="H1284" t="s">
        <v>35</v>
      </c>
      <c r="I1284" s="36">
        <v>675</v>
      </c>
      <c r="J1284" s="36">
        <v>675</v>
      </c>
      <c r="K1284" s="85">
        <v>0</v>
      </c>
      <c r="L1284" s="36">
        <v>56.25</v>
      </c>
      <c r="M1284" s="36">
        <v>0</v>
      </c>
      <c r="N1284" s="36">
        <v>10.074446740000001</v>
      </c>
      <c r="O1284" s="36">
        <v>46.175553260000001</v>
      </c>
      <c r="P1284" t="s">
        <v>323</v>
      </c>
      <c r="Q1284" t="s">
        <v>191</v>
      </c>
      <c r="R1284" t="s">
        <v>191</v>
      </c>
      <c r="S1284" s="1">
        <v>46058</v>
      </c>
      <c r="T1284" s="1">
        <v>46058</v>
      </c>
      <c r="V1284" s="1">
        <v>46424</v>
      </c>
      <c r="W1284" t="s">
        <v>38</v>
      </c>
      <c r="Y1284" t="s">
        <v>49</v>
      </c>
      <c r="AA1284" t="s">
        <v>122</v>
      </c>
      <c r="AB1284">
        <v>12</v>
      </c>
      <c r="AC1284" t="s">
        <v>192</v>
      </c>
      <c r="AD1284" t="s">
        <v>1270</v>
      </c>
      <c r="AE1284" t="s">
        <v>95</v>
      </c>
      <c r="AF1284" t="s">
        <v>244</v>
      </c>
      <c r="AG1284" t="str">
        <f t="shared" si="21"/>
        <v>Recorrente</v>
      </c>
      <c r="AH1284" t="str">
        <f>IF(AND(SUMIF(E:E,E1284,I:I)&gt;=400000,Q1284="B2G"),"n","")</f>
        <v/>
      </c>
    </row>
    <row r="1285" spans="1:34">
      <c r="A1285">
        <v>2026</v>
      </c>
      <c r="B1285">
        <v>2</v>
      </c>
      <c r="C1285" s="83">
        <v>198839665930</v>
      </c>
      <c r="D1285" t="s">
        <v>1269</v>
      </c>
      <c r="E1285">
        <v>55641151413</v>
      </c>
      <c r="F1285">
        <v>635961</v>
      </c>
      <c r="G1285">
        <v>50922683978</v>
      </c>
      <c r="H1285" t="s">
        <v>35</v>
      </c>
      <c r="I1285" s="36">
        <v>8679.6</v>
      </c>
      <c r="J1285" s="36">
        <v>8679.5766000000003</v>
      </c>
      <c r="K1285" s="85">
        <v>2.3400000000000001E-2</v>
      </c>
      <c r="L1285" s="36">
        <v>723.29804999999999</v>
      </c>
      <c r="M1285" s="36">
        <v>0</v>
      </c>
      <c r="N1285" s="36">
        <v>129.5436033</v>
      </c>
      <c r="O1285" s="36">
        <v>593.75444670000002</v>
      </c>
      <c r="P1285" t="s">
        <v>323</v>
      </c>
      <c r="Q1285" t="s">
        <v>191</v>
      </c>
      <c r="R1285" t="s">
        <v>191</v>
      </c>
      <c r="S1285" s="1">
        <v>46058</v>
      </c>
      <c r="T1285" s="1">
        <v>46058</v>
      </c>
      <c r="V1285" s="1">
        <v>46424</v>
      </c>
      <c r="W1285" t="s">
        <v>38</v>
      </c>
      <c r="Y1285" t="s">
        <v>49</v>
      </c>
      <c r="AA1285" t="s">
        <v>122</v>
      </c>
      <c r="AB1285">
        <v>12</v>
      </c>
      <c r="AC1285" t="s">
        <v>192</v>
      </c>
      <c r="AD1285" t="s">
        <v>134</v>
      </c>
      <c r="AE1285" t="s">
        <v>135</v>
      </c>
      <c r="AF1285" t="s">
        <v>44</v>
      </c>
      <c r="AG1285" t="str">
        <f t="shared" si="21"/>
        <v>Recorrente</v>
      </c>
      <c r="AH1285" t="str">
        <f>IF(AND(SUMIF(E:E,E1285,I:I)&gt;=400000,Q1285="B2G"),"n","")</f>
        <v/>
      </c>
    </row>
    <row r="1286" spans="1:34">
      <c r="A1286">
        <v>2026</v>
      </c>
      <c r="B1286">
        <v>2</v>
      </c>
      <c r="C1286" s="83">
        <v>198840158250</v>
      </c>
      <c r="D1286" t="s">
        <v>1271</v>
      </c>
      <c r="E1286">
        <v>55397340512</v>
      </c>
      <c r="F1286">
        <v>635866</v>
      </c>
      <c r="G1286">
        <v>50649338184</v>
      </c>
      <c r="H1286" t="s">
        <v>35</v>
      </c>
      <c r="I1286" s="36">
        <v>4742.04</v>
      </c>
      <c r="J1286" s="36">
        <v>4742.04</v>
      </c>
      <c r="K1286" s="85">
        <v>0</v>
      </c>
      <c r="L1286" s="36">
        <v>395.17</v>
      </c>
      <c r="M1286" s="36">
        <v>0</v>
      </c>
      <c r="N1286" s="36">
        <v>395.17</v>
      </c>
      <c r="O1286" s="36">
        <v>0</v>
      </c>
      <c r="P1286" t="s">
        <v>323</v>
      </c>
      <c r="Q1286" t="s">
        <v>191</v>
      </c>
      <c r="R1286" t="s">
        <v>191</v>
      </c>
      <c r="S1286" s="1">
        <v>46055</v>
      </c>
      <c r="T1286" s="1">
        <v>46055</v>
      </c>
      <c r="V1286" s="1">
        <v>46420</v>
      </c>
      <c r="W1286" t="s">
        <v>38</v>
      </c>
      <c r="X1286">
        <v>12</v>
      </c>
      <c r="Y1286" t="s">
        <v>49</v>
      </c>
      <c r="AA1286" t="s">
        <v>112</v>
      </c>
      <c r="AB1286">
        <v>12</v>
      </c>
      <c r="AC1286" t="s">
        <v>192</v>
      </c>
      <c r="AD1286" t="s">
        <v>138</v>
      </c>
      <c r="AE1286" t="s">
        <v>135</v>
      </c>
      <c r="AF1286" t="s">
        <v>119</v>
      </c>
      <c r="AG1286" t="str">
        <f t="shared" si="21"/>
        <v>CC 12x</v>
      </c>
      <c r="AH1286" t="str">
        <f>IF(AND(SUMIF(E:E,E1286,I:I)&gt;=400000,Q1286="B2G"),"n","")</f>
        <v/>
      </c>
    </row>
    <row r="1287" spans="1:34">
      <c r="A1287">
        <v>2026</v>
      </c>
      <c r="B1287">
        <v>2</v>
      </c>
      <c r="C1287" s="83">
        <v>198840158250</v>
      </c>
      <c r="D1287" t="s">
        <v>1271</v>
      </c>
      <c r="E1287">
        <v>55453781581</v>
      </c>
      <c r="F1287">
        <v>635866</v>
      </c>
      <c r="G1287">
        <v>50777884314</v>
      </c>
      <c r="H1287" t="s">
        <v>35</v>
      </c>
      <c r="I1287" s="36">
        <v>3293.16</v>
      </c>
      <c r="J1287" s="36">
        <v>3304.68</v>
      </c>
      <c r="K1287" s="85">
        <v>0</v>
      </c>
      <c r="L1287" s="36">
        <v>275.39</v>
      </c>
      <c r="M1287" s="36">
        <v>0</v>
      </c>
      <c r="N1287" s="36">
        <v>275.39</v>
      </c>
      <c r="O1287" s="36">
        <v>0</v>
      </c>
      <c r="P1287" t="s">
        <v>323</v>
      </c>
      <c r="Q1287" t="s">
        <v>191</v>
      </c>
      <c r="R1287" t="s">
        <v>191</v>
      </c>
      <c r="S1287" s="1">
        <v>46056</v>
      </c>
      <c r="T1287" s="1">
        <v>46056</v>
      </c>
      <c r="U1287" s="1"/>
      <c r="V1287" s="1">
        <v>46420</v>
      </c>
      <c r="W1287" t="s">
        <v>38</v>
      </c>
      <c r="X1287">
        <v>12</v>
      </c>
      <c r="Y1287" t="s">
        <v>49</v>
      </c>
      <c r="Z1287" t="s">
        <v>324</v>
      </c>
      <c r="AA1287" t="s">
        <v>112</v>
      </c>
      <c r="AB1287">
        <v>12</v>
      </c>
      <c r="AC1287" t="s">
        <v>192</v>
      </c>
      <c r="AD1287" t="s">
        <v>134</v>
      </c>
      <c r="AE1287" t="s">
        <v>135</v>
      </c>
      <c r="AF1287" t="s">
        <v>44</v>
      </c>
      <c r="AG1287" t="str">
        <f t="shared" si="21"/>
        <v>CC 12x</v>
      </c>
      <c r="AH1287" t="str">
        <f>IF(AND(SUMIF(E:E,E1287,I:I)&gt;=400000,Q1287="B2G"),"n","")</f>
        <v/>
      </c>
    </row>
    <row r="1288" spans="1:34">
      <c r="A1288">
        <v>2026</v>
      </c>
      <c r="B1288">
        <v>2</v>
      </c>
      <c r="C1288" s="83">
        <v>198946935476</v>
      </c>
      <c r="D1288" t="s">
        <v>1272</v>
      </c>
      <c r="E1288">
        <v>56037478674</v>
      </c>
      <c r="F1288">
        <v>636069</v>
      </c>
      <c r="G1288">
        <v>51471793524</v>
      </c>
      <c r="H1288" t="s">
        <v>35</v>
      </c>
      <c r="I1288" s="36">
        <v>4920.6000000000004</v>
      </c>
      <c r="J1288" s="36">
        <v>4920.6481800000001</v>
      </c>
      <c r="K1288" s="85">
        <v>0</v>
      </c>
      <c r="L1288" s="36">
        <v>410.05401499999999</v>
      </c>
      <c r="M1288" s="36">
        <v>410.05401499999999</v>
      </c>
      <c r="N1288" s="36">
        <v>0</v>
      </c>
      <c r="O1288" s="36">
        <v>0</v>
      </c>
      <c r="P1288" t="s">
        <v>323</v>
      </c>
      <c r="Q1288" t="s">
        <v>314</v>
      </c>
      <c r="R1288" t="s">
        <v>314</v>
      </c>
      <c r="S1288" s="1">
        <v>46065</v>
      </c>
      <c r="T1288" s="1">
        <v>46065</v>
      </c>
      <c r="U1288" s="1"/>
      <c r="V1288" s="1">
        <v>46430</v>
      </c>
      <c r="W1288" t="s">
        <v>38</v>
      </c>
      <c r="X1288">
        <v>12</v>
      </c>
      <c r="Y1288" t="s">
        <v>49</v>
      </c>
      <c r="AA1288" t="s">
        <v>122</v>
      </c>
      <c r="AB1288">
        <v>12</v>
      </c>
      <c r="AC1288" t="s">
        <v>315</v>
      </c>
      <c r="AD1288" t="s">
        <v>85</v>
      </c>
      <c r="AE1288" t="s">
        <v>46</v>
      </c>
      <c r="AF1288" t="s">
        <v>44</v>
      </c>
      <c r="AG1288" t="str">
        <f t="shared" si="21"/>
        <v>Recorrente</v>
      </c>
      <c r="AH1288" t="str">
        <f>IF(AND(SUMIF(E:E,E1288,I:I)&gt;=400000,Q1288="B2G"),"n","")</f>
        <v/>
      </c>
    </row>
    <row r="1289" spans="1:34">
      <c r="A1289">
        <v>2026</v>
      </c>
      <c r="B1289">
        <v>2</v>
      </c>
      <c r="C1289" s="83">
        <v>198946935476</v>
      </c>
      <c r="D1289" t="s">
        <v>1272</v>
      </c>
      <c r="E1289">
        <v>57036884301</v>
      </c>
      <c r="F1289">
        <v>636069</v>
      </c>
      <c r="G1289">
        <v>52283114040</v>
      </c>
      <c r="H1289" t="s">
        <v>35</v>
      </c>
      <c r="I1289" s="36">
        <v>3471.72</v>
      </c>
      <c r="J1289" s="36">
        <v>3602.64</v>
      </c>
      <c r="K1289" s="85">
        <v>0</v>
      </c>
      <c r="L1289" s="36">
        <v>300.22000000000003</v>
      </c>
      <c r="M1289" s="36">
        <v>0</v>
      </c>
      <c r="N1289" s="36">
        <v>300.22000000000003</v>
      </c>
      <c r="O1289" s="36">
        <v>0</v>
      </c>
      <c r="P1289" t="s">
        <v>323</v>
      </c>
      <c r="Q1289" t="s">
        <v>314</v>
      </c>
      <c r="R1289" t="s">
        <v>314</v>
      </c>
      <c r="S1289" s="1">
        <v>46078</v>
      </c>
      <c r="T1289" s="1">
        <v>46078</v>
      </c>
      <c r="U1289" s="1">
        <v>46430</v>
      </c>
      <c r="V1289" s="1">
        <v>46430</v>
      </c>
      <c r="W1289" t="s">
        <v>38</v>
      </c>
      <c r="X1289">
        <v>12</v>
      </c>
      <c r="Y1289" t="s">
        <v>49</v>
      </c>
      <c r="Z1289" t="s">
        <v>324</v>
      </c>
      <c r="AA1289" t="s">
        <v>122</v>
      </c>
      <c r="AB1289">
        <v>11</v>
      </c>
      <c r="AC1289" t="s">
        <v>315</v>
      </c>
      <c r="AD1289" t="s">
        <v>134</v>
      </c>
      <c r="AE1289" t="s">
        <v>135</v>
      </c>
      <c r="AF1289" t="s">
        <v>44</v>
      </c>
      <c r="AG1289" t="str">
        <f t="shared" si="21"/>
        <v>Recorrente</v>
      </c>
      <c r="AH1289" t="str">
        <f>IF(AND(SUMIF(E:E,E1289,I:I)&gt;=400000,Q1289="B2G"),"n","")</f>
        <v/>
      </c>
    </row>
    <row r="1290" spans="1:34">
      <c r="A1290">
        <v>2026</v>
      </c>
      <c r="B1290">
        <v>2</v>
      </c>
      <c r="C1290" s="83">
        <v>199022466562</v>
      </c>
      <c r="D1290" t="s">
        <v>1273</v>
      </c>
      <c r="E1290">
        <v>55063852833</v>
      </c>
      <c r="F1290">
        <v>328512</v>
      </c>
      <c r="G1290">
        <v>50778396994</v>
      </c>
      <c r="H1290" t="s">
        <v>35</v>
      </c>
      <c r="I1290" s="36">
        <v>8500.92</v>
      </c>
      <c r="J1290" s="36">
        <v>8500.92</v>
      </c>
      <c r="K1290" s="85">
        <v>0</v>
      </c>
      <c r="L1290" s="36">
        <v>708.41</v>
      </c>
      <c r="M1290" s="36">
        <v>0</v>
      </c>
      <c r="N1290" s="36">
        <v>139.9</v>
      </c>
      <c r="O1290" s="36">
        <v>568.51</v>
      </c>
      <c r="P1290" t="s">
        <v>137</v>
      </c>
      <c r="Q1290" t="s">
        <v>111</v>
      </c>
      <c r="R1290" t="s">
        <v>111</v>
      </c>
      <c r="S1290" s="1">
        <v>46059</v>
      </c>
      <c r="T1290" s="1">
        <v>46054</v>
      </c>
      <c r="U1290" s="1">
        <v>46051</v>
      </c>
      <c r="V1290" s="1">
        <v>46424</v>
      </c>
      <c r="W1290" t="s">
        <v>38</v>
      </c>
      <c r="X1290">
        <v>13</v>
      </c>
      <c r="Y1290" t="s">
        <v>49</v>
      </c>
      <c r="Z1290" t="s">
        <v>81</v>
      </c>
      <c r="AA1290" t="s">
        <v>112</v>
      </c>
      <c r="AB1290">
        <v>12</v>
      </c>
      <c r="AC1290" t="s">
        <v>113</v>
      </c>
      <c r="AD1290" t="s">
        <v>146</v>
      </c>
      <c r="AE1290" t="s">
        <v>135</v>
      </c>
      <c r="AF1290" t="s">
        <v>96</v>
      </c>
      <c r="AG1290" t="str">
        <f t="shared" si="21"/>
        <v>CC 12x</v>
      </c>
      <c r="AH1290" t="str">
        <f>IF(AND(SUMIF(E:E,E1290,I:I)&gt;=400000,Q1290="B2G"),"n","")</f>
        <v/>
      </c>
    </row>
    <row r="1291" spans="1:34">
      <c r="A1291">
        <v>2026</v>
      </c>
      <c r="B1291">
        <v>2</v>
      </c>
      <c r="C1291" s="83">
        <v>199030389616</v>
      </c>
      <c r="D1291" t="s">
        <v>1274</v>
      </c>
      <c r="E1291">
        <v>55451639908</v>
      </c>
      <c r="F1291">
        <v>635909</v>
      </c>
      <c r="G1291">
        <v>50756879694</v>
      </c>
      <c r="H1291" t="s">
        <v>35</v>
      </c>
      <c r="I1291" s="36">
        <v>5293.44</v>
      </c>
      <c r="J1291" s="36">
        <v>5293.44</v>
      </c>
      <c r="K1291" s="85">
        <v>0</v>
      </c>
      <c r="L1291" s="36">
        <v>441.12</v>
      </c>
      <c r="M1291" s="36">
        <v>441.12</v>
      </c>
      <c r="N1291" s="36">
        <v>0</v>
      </c>
      <c r="O1291" s="36">
        <v>0</v>
      </c>
      <c r="P1291" t="s">
        <v>511</v>
      </c>
      <c r="Q1291" t="s">
        <v>300</v>
      </c>
      <c r="R1291" t="s">
        <v>300</v>
      </c>
      <c r="S1291" s="1">
        <v>46056</v>
      </c>
      <c r="T1291" s="1">
        <v>46056</v>
      </c>
      <c r="V1291" s="1">
        <v>46421</v>
      </c>
      <c r="W1291" t="s">
        <v>38</v>
      </c>
      <c r="X1291">
        <v>12</v>
      </c>
      <c r="Y1291" t="s">
        <v>49</v>
      </c>
      <c r="AA1291" t="s">
        <v>112</v>
      </c>
      <c r="AB1291">
        <v>10</v>
      </c>
      <c r="AC1291" t="s">
        <v>301</v>
      </c>
      <c r="AD1291" t="s">
        <v>138</v>
      </c>
      <c r="AE1291" t="s">
        <v>135</v>
      </c>
      <c r="AF1291" t="s">
        <v>119</v>
      </c>
      <c r="AG1291" t="str">
        <f t="shared" si="21"/>
        <v>CC 12x</v>
      </c>
      <c r="AH1291" t="str">
        <f>IF(AND(SUMIF(E:E,E1291,I:I)&gt;=400000,Q1291="B2G"),"n","")</f>
        <v/>
      </c>
    </row>
    <row r="1292" spans="1:34">
      <c r="A1292">
        <v>2026</v>
      </c>
      <c r="B1292">
        <v>2</v>
      </c>
      <c r="C1292" s="83">
        <v>199117363988</v>
      </c>
      <c r="D1292" t="s">
        <v>1275</v>
      </c>
      <c r="E1292">
        <v>53727243337</v>
      </c>
      <c r="F1292">
        <v>524251</v>
      </c>
      <c r="G1292">
        <v>49007705346</v>
      </c>
      <c r="H1292" t="s">
        <v>35</v>
      </c>
      <c r="I1292" s="36">
        <v>2868</v>
      </c>
      <c r="J1292" s="36">
        <v>2868</v>
      </c>
      <c r="K1292" s="85">
        <v>0</v>
      </c>
      <c r="L1292" s="36">
        <v>239</v>
      </c>
      <c r="M1292" s="36">
        <v>0</v>
      </c>
      <c r="N1292" s="36">
        <v>0</v>
      </c>
      <c r="O1292" s="36">
        <v>239</v>
      </c>
      <c r="P1292" t="s">
        <v>137</v>
      </c>
      <c r="Q1292" t="s">
        <v>111</v>
      </c>
      <c r="R1292" t="s">
        <v>111</v>
      </c>
      <c r="S1292" s="1">
        <v>46044</v>
      </c>
      <c r="T1292" s="1">
        <v>46054</v>
      </c>
      <c r="U1292" s="1">
        <v>46048</v>
      </c>
      <c r="V1292" s="1">
        <v>46413</v>
      </c>
      <c r="W1292" t="s">
        <v>38</v>
      </c>
      <c r="X1292">
        <v>12</v>
      </c>
      <c r="Y1292" t="s">
        <v>49</v>
      </c>
      <c r="Z1292" t="s">
        <v>76</v>
      </c>
      <c r="AA1292" t="s">
        <v>122</v>
      </c>
      <c r="AB1292">
        <v>12</v>
      </c>
      <c r="AC1292" t="s">
        <v>113</v>
      </c>
      <c r="AD1292" t="s">
        <v>140</v>
      </c>
      <c r="AE1292" t="s">
        <v>46</v>
      </c>
      <c r="AF1292" t="s">
        <v>119</v>
      </c>
      <c r="AG1292" t="str">
        <f t="shared" si="21"/>
        <v>Recorrente</v>
      </c>
      <c r="AH1292" t="str">
        <f>IF(AND(SUMIF(E:E,E1292,I:I)&gt;=400000,Q1292="B2G"),"n","")</f>
        <v/>
      </c>
    </row>
    <row r="1293" spans="1:34">
      <c r="A1293">
        <v>2026</v>
      </c>
      <c r="B1293">
        <v>2</v>
      </c>
      <c r="C1293" s="83">
        <v>199208479582</v>
      </c>
      <c r="D1293" t="s">
        <v>1276</v>
      </c>
      <c r="E1293">
        <v>55671506747</v>
      </c>
      <c r="F1293">
        <v>635929</v>
      </c>
      <c r="G1293">
        <v>50778061617</v>
      </c>
      <c r="H1293" t="s">
        <v>35</v>
      </c>
      <c r="I1293" s="36">
        <v>4878.84</v>
      </c>
      <c r="J1293" s="36">
        <v>4878.8166000000001</v>
      </c>
      <c r="K1293" s="85">
        <v>2.3400000000000001E-2</v>
      </c>
      <c r="L1293" s="36">
        <v>406.56805000000003</v>
      </c>
      <c r="M1293" s="36">
        <v>406.56805000000003</v>
      </c>
      <c r="N1293" s="36">
        <v>0</v>
      </c>
      <c r="O1293" s="36">
        <v>0</v>
      </c>
      <c r="P1293" t="s">
        <v>348</v>
      </c>
      <c r="Q1293" t="s">
        <v>349</v>
      </c>
      <c r="R1293" t="s">
        <v>349</v>
      </c>
      <c r="S1293" s="1">
        <v>46057</v>
      </c>
      <c r="T1293" s="1">
        <v>46057</v>
      </c>
      <c r="V1293" s="1">
        <v>46422</v>
      </c>
      <c r="W1293" t="s">
        <v>38</v>
      </c>
      <c r="X1293">
        <v>12</v>
      </c>
      <c r="Y1293" t="s">
        <v>49</v>
      </c>
      <c r="AA1293" t="s">
        <v>112</v>
      </c>
      <c r="AB1293">
        <v>12</v>
      </c>
      <c r="AC1293" t="s">
        <v>350</v>
      </c>
      <c r="AD1293" t="s">
        <v>85</v>
      </c>
      <c r="AE1293" t="s">
        <v>46</v>
      </c>
      <c r="AF1293" t="s">
        <v>44</v>
      </c>
      <c r="AG1293" t="str">
        <f t="shared" si="21"/>
        <v>CC 12x</v>
      </c>
      <c r="AH1293" t="str">
        <f>IF(AND(SUMIF(E:E,E1293,I:I)&gt;=400000,Q1293="B2G"),"n","")</f>
        <v/>
      </c>
    </row>
    <row r="1294" spans="1:34">
      <c r="A1294">
        <v>2026</v>
      </c>
      <c r="B1294">
        <v>2</v>
      </c>
      <c r="C1294" s="83">
        <v>199221861761</v>
      </c>
      <c r="D1294" t="s">
        <v>1277</v>
      </c>
      <c r="E1294">
        <v>55419303279</v>
      </c>
      <c r="F1294">
        <v>635881</v>
      </c>
      <c r="G1294">
        <v>50701980961</v>
      </c>
      <c r="H1294" t="s">
        <v>104</v>
      </c>
      <c r="I1294" s="36">
        <v>1078.8</v>
      </c>
      <c r="J1294" s="36">
        <v>1078.8</v>
      </c>
      <c r="K1294" s="85">
        <v>0</v>
      </c>
      <c r="L1294" s="36">
        <v>89.9</v>
      </c>
      <c r="M1294" s="36">
        <v>89.9</v>
      </c>
      <c r="N1294" s="36">
        <v>0</v>
      </c>
      <c r="O1294" s="36">
        <v>0</v>
      </c>
      <c r="P1294" t="s">
        <v>497</v>
      </c>
      <c r="Q1294" t="s">
        <v>498</v>
      </c>
      <c r="R1294" t="s">
        <v>498</v>
      </c>
      <c r="S1294" s="1">
        <v>46055</v>
      </c>
      <c r="T1294" s="1">
        <v>46055</v>
      </c>
      <c r="V1294" s="1">
        <v>46420</v>
      </c>
      <c r="W1294" t="s">
        <v>38</v>
      </c>
      <c r="X1294">
        <v>12</v>
      </c>
      <c r="Y1294" t="s">
        <v>49</v>
      </c>
      <c r="AA1294" t="s">
        <v>112</v>
      </c>
      <c r="AB1294">
        <v>12</v>
      </c>
      <c r="AC1294" t="s">
        <v>499</v>
      </c>
      <c r="AD1294" t="s">
        <v>699</v>
      </c>
      <c r="AE1294" t="s">
        <v>106</v>
      </c>
      <c r="AF1294" t="s">
        <v>59</v>
      </c>
      <c r="AG1294" t="str">
        <f t="shared" si="21"/>
        <v>CC 12x</v>
      </c>
      <c r="AH1294" t="str">
        <f>IF(AND(SUMIF(E:E,E1294,I:I)&gt;=400000,Q1294="B2G"),"n","")</f>
        <v/>
      </c>
    </row>
    <row r="1295" spans="1:34">
      <c r="A1295">
        <v>2026</v>
      </c>
      <c r="B1295">
        <v>2</v>
      </c>
      <c r="C1295" s="83">
        <v>199253558618</v>
      </c>
      <c r="D1295" t="s">
        <v>1278</v>
      </c>
      <c r="E1295">
        <v>55509898092</v>
      </c>
      <c r="F1295">
        <v>635916</v>
      </c>
      <c r="G1295">
        <v>50799841711</v>
      </c>
      <c r="H1295" t="s">
        <v>104</v>
      </c>
      <c r="I1295" s="36">
        <v>718.8</v>
      </c>
      <c r="J1295" s="36">
        <v>718.8</v>
      </c>
      <c r="K1295" s="85">
        <v>0</v>
      </c>
      <c r="L1295" s="36">
        <v>59.9</v>
      </c>
      <c r="M1295" s="36">
        <v>59.9</v>
      </c>
      <c r="N1295" s="36">
        <v>0</v>
      </c>
      <c r="O1295" s="36">
        <v>0</v>
      </c>
      <c r="P1295" t="s">
        <v>497</v>
      </c>
      <c r="Q1295" t="s">
        <v>498</v>
      </c>
      <c r="R1295" t="s">
        <v>498</v>
      </c>
      <c r="S1295" s="1">
        <v>46057</v>
      </c>
      <c r="T1295" s="1">
        <v>46057</v>
      </c>
      <c r="V1295" s="1">
        <v>46422</v>
      </c>
      <c r="W1295" t="s">
        <v>38</v>
      </c>
      <c r="X1295">
        <v>12</v>
      </c>
      <c r="Y1295" t="s">
        <v>49</v>
      </c>
      <c r="AA1295" t="s">
        <v>117</v>
      </c>
      <c r="AB1295">
        <v>1</v>
      </c>
      <c r="AC1295" t="s">
        <v>499</v>
      </c>
      <c r="AD1295" t="s">
        <v>105</v>
      </c>
      <c r="AE1295" t="s">
        <v>106</v>
      </c>
      <c r="AF1295" t="s">
        <v>59</v>
      </c>
      <c r="AG1295" t="str">
        <f t="shared" si="21"/>
        <v>À Vista</v>
      </c>
      <c r="AH1295" t="str">
        <f>IF(AND(SUMIF(E:E,E1295,I:I)&gt;=400000,Q1295="B2G"),"n","")</f>
        <v/>
      </c>
    </row>
    <row r="1296" spans="1:34">
      <c r="A1296">
        <v>2026</v>
      </c>
      <c r="B1296">
        <v>2</v>
      </c>
      <c r="C1296" s="83">
        <v>199262392400</v>
      </c>
      <c r="D1296" t="s">
        <v>1279</v>
      </c>
      <c r="E1296">
        <v>55473645464</v>
      </c>
      <c r="F1296">
        <v>635979</v>
      </c>
      <c r="G1296">
        <v>50986597929</v>
      </c>
      <c r="H1296" t="s">
        <v>35</v>
      </c>
      <c r="I1296" s="36">
        <v>5100</v>
      </c>
      <c r="J1296" s="36">
        <v>5100</v>
      </c>
      <c r="K1296" s="85">
        <v>0</v>
      </c>
      <c r="L1296" s="36">
        <v>425</v>
      </c>
      <c r="M1296" s="36">
        <v>425</v>
      </c>
      <c r="N1296" s="36">
        <v>0</v>
      </c>
      <c r="O1296" s="36">
        <v>0</v>
      </c>
      <c r="P1296" t="s">
        <v>511</v>
      </c>
      <c r="Q1296" t="s">
        <v>300</v>
      </c>
      <c r="R1296" t="s">
        <v>300</v>
      </c>
      <c r="S1296" s="1">
        <v>46059</v>
      </c>
      <c r="T1296" s="1">
        <v>46059</v>
      </c>
      <c r="U1296" s="1"/>
      <c r="V1296" s="1">
        <v>46424</v>
      </c>
      <c r="W1296" t="s">
        <v>38</v>
      </c>
      <c r="X1296">
        <v>12</v>
      </c>
      <c r="Y1296" t="s">
        <v>49</v>
      </c>
      <c r="AA1296" t="s">
        <v>112</v>
      </c>
      <c r="AB1296">
        <v>12</v>
      </c>
      <c r="AC1296" t="s">
        <v>301</v>
      </c>
      <c r="AD1296" t="s">
        <v>85</v>
      </c>
      <c r="AE1296" t="s">
        <v>46</v>
      </c>
      <c r="AF1296" t="s">
        <v>44</v>
      </c>
      <c r="AG1296" t="str">
        <f t="shared" si="21"/>
        <v>CC 12x</v>
      </c>
      <c r="AH1296" t="str">
        <f>IF(AND(SUMIF(E:E,E1296,I:I)&gt;=400000,Q1296="B2G"),"n","")</f>
        <v/>
      </c>
    </row>
    <row r="1297" spans="1:34">
      <c r="A1297">
        <v>2026</v>
      </c>
      <c r="B1297">
        <v>2</v>
      </c>
      <c r="C1297" s="83">
        <v>199635494512</v>
      </c>
      <c r="D1297" t="s">
        <v>1280</v>
      </c>
      <c r="E1297">
        <v>55579999760</v>
      </c>
      <c r="F1297">
        <v>633589</v>
      </c>
      <c r="G1297">
        <v>52042364694</v>
      </c>
      <c r="H1297" t="s">
        <v>35</v>
      </c>
      <c r="I1297" s="36">
        <v>713.88</v>
      </c>
      <c r="J1297" s="36">
        <v>1077.48</v>
      </c>
      <c r="K1297" s="85">
        <v>0</v>
      </c>
      <c r="L1297" s="36">
        <v>89.79</v>
      </c>
      <c r="M1297" s="36">
        <v>0</v>
      </c>
      <c r="N1297" s="36">
        <v>89.79</v>
      </c>
      <c r="O1297" s="36">
        <v>0</v>
      </c>
      <c r="P1297" t="s">
        <v>804</v>
      </c>
      <c r="Q1297" t="s">
        <v>191</v>
      </c>
      <c r="R1297" t="s">
        <v>191</v>
      </c>
      <c r="S1297" s="1">
        <v>46076</v>
      </c>
      <c r="T1297" s="1">
        <v>46076</v>
      </c>
      <c r="U1297" s="1">
        <v>46318</v>
      </c>
      <c r="V1297" s="1">
        <v>46318</v>
      </c>
      <c r="W1297" t="s">
        <v>38</v>
      </c>
      <c r="X1297">
        <v>8</v>
      </c>
      <c r="Y1297" t="s">
        <v>49</v>
      </c>
      <c r="Z1297" t="s">
        <v>324</v>
      </c>
      <c r="AA1297" t="s">
        <v>112</v>
      </c>
      <c r="AB1297">
        <v>8</v>
      </c>
      <c r="AC1297" t="s">
        <v>192</v>
      </c>
      <c r="AD1297" t="s">
        <v>163</v>
      </c>
      <c r="AE1297" t="s">
        <v>43</v>
      </c>
      <c r="AF1297" t="s">
        <v>96</v>
      </c>
      <c r="AG1297" t="str">
        <f t="shared" si="21"/>
        <v>CC 12x</v>
      </c>
      <c r="AH1297" t="str">
        <f>IF(AND(SUMIF(E:E,E1297,I:I)&gt;=400000,Q1297="B2G"),"n","")</f>
        <v/>
      </c>
    </row>
    <row r="1298" spans="1:34">
      <c r="A1298">
        <v>2026</v>
      </c>
      <c r="B1298">
        <v>2</v>
      </c>
      <c r="C1298" s="83">
        <v>199688739140</v>
      </c>
      <c r="D1298" t="s">
        <v>1281</v>
      </c>
      <c r="E1298">
        <v>55567842922</v>
      </c>
      <c r="F1298">
        <v>635942</v>
      </c>
      <c r="G1298">
        <v>50925790624</v>
      </c>
      <c r="H1298" t="s">
        <v>35</v>
      </c>
      <c r="I1298" s="36">
        <v>9356.0400000000009</v>
      </c>
      <c r="J1298" s="36">
        <v>9356.1</v>
      </c>
      <c r="K1298" s="85">
        <v>0</v>
      </c>
      <c r="L1298" s="36">
        <v>779.67499999999995</v>
      </c>
      <c r="M1298" s="36">
        <v>0</v>
      </c>
      <c r="N1298" s="36">
        <v>779.67499999999995</v>
      </c>
      <c r="O1298" s="36">
        <v>0</v>
      </c>
      <c r="P1298" t="s">
        <v>323</v>
      </c>
      <c r="Q1298" t="s">
        <v>191</v>
      </c>
      <c r="R1298" t="s">
        <v>191</v>
      </c>
      <c r="S1298" s="1">
        <v>46058</v>
      </c>
      <c r="T1298" s="1">
        <v>46058</v>
      </c>
      <c r="V1298" s="1">
        <v>46423</v>
      </c>
      <c r="W1298" t="s">
        <v>38</v>
      </c>
      <c r="X1298">
        <v>12</v>
      </c>
      <c r="Y1298" t="s">
        <v>49</v>
      </c>
      <c r="AA1298" t="s">
        <v>112</v>
      </c>
      <c r="AB1298">
        <v>12</v>
      </c>
      <c r="AC1298" t="s">
        <v>192</v>
      </c>
      <c r="AD1298" t="s">
        <v>154</v>
      </c>
      <c r="AE1298" t="s">
        <v>46</v>
      </c>
      <c r="AF1298" t="s">
        <v>47</v>
      </c>
      <c r="AG1298" t="str">
        <f t="shared" si="21"/>
        <v>CC 12x</v>
      </c>
      <c r="AH1298" t="str">
        <f>IF(AND(SUMIF(E:E,E1298,I:I)&gt;=400000,Q1298="B2G"),"n","")</f>
        <v/>
      </c>
    </row>
    <row r="1299" spans="1:34">
      <c r="A1299">
        <v>2026</v>
      </c>
      <c r="B1299">
        <v>2</v>
      </c>
      <c r="C1299" s="83">
        <v>199705765457</v>
      </c>
      <c r="D1299" t="s">
        <v>1282</v>
      </c>
      <c r="E1299">
        <v>55684277869</v>
      </c>
      <c r="F1299">
        <v>305026</v>
      </c>
      <c r="G1299">
        <v>51087492005</v>
      </c>
      <c r="H1299" t="s">
        <v>35</v>
      </c>
      <c r="I1299" s="36">
        <v>2327.88</v>
      </c>
      <c r="J1299" s="36">
        <v>2327.88</v>
      </c>
      <c r="K1299" s="85">
        <v>0</v>
      </c>
      <c r="L1299" s="36">
        <v>193.99</v>
      </c>
      <c r="M1299" s="36">
        <v>0</v>
      </c>
      <c r="N1299" s="36">
        <v>0.66500000000000004</v>
      </c>
      <c r="O1299" s="36">
        <v>193.33</v>
      </c>
      <c r="P1299" t="s">
        <v>110</v>
      </c>
      <c r="Q1299" t="s">
        <v>111</v>
      </c>
      <c r="R1299" t="s">
        <v>111</v>
      </c>
      <c r="S1299" s="1">
        <v>46062</v>
      </c>
      <c r="T1299" s="1">
        <v>46062</v>
      </c>
      <c r="U1299" s="1">
        <v>46059</v>
      </c>
      <c r="V1299" s="1">
        <v>46424</v>
      </c>
      <c r="W1299" t="s">
        <v>38</v>
      </c>
      <c r="X1299">
        <v>12</v>
      </c>
      <c r="Y1299" t="s">
        <v>49</v>
      </c>
      <c r="Z1299" t="s">
        <v>81</v>
      </c>
      <c r="AA1299" t="s">
        <v>117</v>
      </c>
      <c r="AB1299">
        <v>1</v>
      </c>
      <c r="AC1299" t="s">
        <v>113</v>
      </c>
      <c r="AD1299" t="s">
        <v>140</v>
      </c>
      <c r="AE1299" t="s">
        <v>46</v>
      </c>
      <c r="AF1299" t="s">
        <v>119</v>
      </c>
      <c r="AG1299" t="str">
        <f t="shared" si="21"/>
        <v>À Vista</v>
      </c>
      <c r="AH1299" t="str">
        <f>IF(AND(SUMIF(E:E,E1299,I:I)&gt;=400000,Q1299="B2G"),"n","")</f>
        <v/>
      </c>
    </row>
    <row r="1300" spans="1:34">
      <c r="A1300">
        <v>2026</v>
      </c>
      <c r="B1300">
        <v>2</v>
      </c>
      <c r="C1300" s="83">
        <v>199724530042</v>
      </c>
      <c r="D1300" t="s">
        <v>1283</v>
      </c>
      <c r="E1300">
        <v>55353851816</v>
      </c>
      <c r="F1300">
        <v>306679</v>
      </c>
      <c r="G1300">
        <v>50743310435</v>
      </c>
      <c r="H1300" t="s">
        <v>35</v>
      </c>
      <c r="I1300" s="36">
        <v>6658.2</v>
      </c>
      <c r="J1300" s="36">
        <v>6658.2</v>
      </c>
      <c r="K1300" s="85">
        <v>0</v>
      </c>
      <c r="L1300" s="36">
        <v>554.85</v>
      </c>
      <c r="M1300" s="36">
        <v>0</v>
      </c>
      <c r="N1300" s="36">
        <v>0</v>
      </c>
      <c r="O1300" s="36">
        <v>554.84810000000004</v>
      </c>
      <c r="P1300" t="s">
        <v>116</v>
      </c>
      <c r="Q1300" t="s">
        <v>111</v>
      </c>
      <c r="R1300" t="s">
        <v>111</v>
      </c>
      <c r="S1300" s="1">
        <v>46066</v>
      </c>
      <c r="T1300" s="1">
        <v>46066</v>
      </c>
      <c r="U1300" s="1">
        <v>46067</v>
      </c>
      <c r="V1300" s="1">
        <v>46432</v>
      </c>
      <c r="W1300" t="s">
        <v>38</v>
      </c>
      <c r="X1300">
        <v>12</v>
      </c>
      <c r="Y1300" t="s">
        <v>49</v>
      </c>
      <c r="Z1300" t="s">
        <v>81</v>
      </c>
      <c r="AA1300" t="s">
        <v>112</v>
      </c>
      <c r="AB1300">
        <v>1</v>
      </c>
      <c r="AC1300" t="s">
        <v>113</v>
      </c>
      <c r="AD1300" t="s">
        <v>134</v>
      </c>
      <c r="AE1300" t="s">
        <v>135</v>
      </c>
      <c r="AF1300" t="s">
        <v>44</v>
      </c>
      <c r="AG1300" t="str">
        <f t="shared" si="21"/>
        <v>À Vista</v>
      </c>
      <c r="AH1300" t="str">
        <f>IF(AND(SUMIF(E:E,E1300,I:I)&gt;=400000,Q1300="B2G"),"n","")</f>
        <v/>
      </c>
    </row>
    <row r="1301" spans="1:34">
      <c r="A1301">
        <v>2026</v>
      </c>
      <c r="B1301">
        <v>2</v>
      </c>
      <c r="C1301" s="83">
        <v>199724561530</v>
      </c>
      <c r="D1301" t="s">
        <v>1284</v>
      </c>
      <c r="E1301">
        <v>55516197294</v>
      </c>
      <c r="F1301">
        <v>635960</v>
      </c>
      <c r="G1301">
        <v>50935310442</v>
      </c>
      <c r="H1301" t="s">
        <v>35</v>
      </c>
      <c r="I1301" s="36">
        <v>2759.04</v>
      </c>
      <c r="J1301" s="36">
        <v>2759.04</v>
      </c>
      <c r="K1301" s="85">
        <v>0</v>
      </c>
      <c r="L1301" s="36">
        <v>229.92</v>
      </c>
      <c r="M1301" s="36">
        <v>229.92</v>
      </c>
      <c r="N1301" s="36">
        <v>0</v>
      </c>
      <c r="O1301" s="36">
        <v>0</v>
      </c>
      <c r="P1301" t="s">
        <v>829</v>
      </c>
      <c r="Q1301" t="s">
        <v>300</v>
      </c>
      <c r="R1301" t="s">
        <v>300</v>
      </c>
      <c r="S1301" s="1">
        <v>46058</v>
      </c>
      <c r="T1301" s="1">
        <v>46058</v>
      </c>
      <c r="V1301" s="1">
        <v>46424</v>
      </c>
      <c r="W1301" t="s">
        <v>38</v>
      </c>
      <c r="X1301">
        <v>12</v>
      </c>
      <c r="Y1301" t="s">
        <v>49</v>
      </c>
      <c r="AA1301" t="s">
        <v>112</v>
      </c>
      <c r="AB1301">
        <v>12</v>
      </c>
      <c r="AC1301" t="s">
        <v>301</v>
      </c>
      <c r="AD1301" t="s">
        <v>140</v>
      </c>
      <c r="AE1301" t="s">
        <v>46</v>
      </c>
      <c r="AF1301" t="s">
        <v>119</v>
      </c>
      <c r="AG1301" t="str">
        <f t="shared" si="21"/>
        <v>CC 12x</v>
      </c>
      <c r="AH1301" t="str">
        <f>IF(AND(SUMIF(E:E,E1301,I:I)&gt;=400000,Q1301="B2G"),"n","")</f>
        <v/>
      </c>
    </row>
    <row r="1302" spans="1:34">
      <c r="A1302">
        <v>2026</v>
      </c>
      <c r="B1302">
        <v>2</v>
      </c>
      <c r="C1302" s="83">
        <v>199724561530</v>
      </c>
      <c r="D1302" t="s">
        <v>1284</v>
      </c>
      <c r="E1302">
        <v>56792600206</v>
      </c>
      <c r="F1302">
        <v>635960</v>
      </c>
      <c r="G1302">
        <v>52357246135</v>
      </c>
      <c r="H1302" t="s">
        <v>35</v>
      </c>
      <c r="I1302" s="36">
        <v>2586</v>
      </c>
      <c r="J1302" s="36">
        <v>2737.92</v>
      </c>
      <c r="K1302" s="85">
        <v>0</v>
      </c>
      <c r="L1302" s="36">
        <v>228.16</v>
      </c>
      <c r="M1302" s="36">
        <v>0</v>
      </c>
      <c r="N1302" s="36">
        <v>228.16</v>
      </c>
      <c r="O1302" s="36">
        <v>0</v>
      </c>
      <c r="P1302" t="s">
        <v>469</v>
      </c>
      <c r="Q1302" t="s">
        <v>191</v>
      </c>
      <c r="R1302" t="s">
        <v>191</v>
      </c>
      <c r="S1302" s="1">
        <v>46079</v>
      </c>
      <c r="T1302" s="1">
        <v>46079</v>
      </c>
      <c r="U1302" s="1">
        <v>46424</v>
      </c>
      <c r="V1302" s="1">
        <v>46424</v>
      </c>
      <c r="W1302" t="s">
        <v>38</v>
      </c>
      <c r="X1302">
        <v>12</v>
      </c>
      <c r="Y1302" t="s">
        <v>49</v>
      </c>
      <c r="Z1302" t="s">
        <v>324</v>
      </c>
      <c r="AA1302" t="s">
        <v>112</v>
      </c>
      <c r="AB1302">
        <v>12</v>
      </c>
      <c r="AC1302" t="s">
        <v>192</v>
      </c>
      <c r="AD1302" t="s">
        <v>85</v>
      </c>
      <c r="AE1302" t="s">
        <v>46</v>
      </c>
      <c r="AF1302" t="s">
        <v>44</v>
      </c>
      <c r="AG1302" t="str">
        <f t="shared" si="21"/>
        <v>CC 12x</v>
      </c>
      <c r="AH1302" t="str">
        <f>IF(AND(SUMIF(E:E,E1302,I:I)&gt;=400000,Q1302="B2G"),"n","")</f>
        <v/>
      </c>
    </row>
    <row r="1303" spans="1:34">
      <c r="A1303">
        <v>2026</v>
      </c>
      <c r="B1303">
        <v>2</v>
      </c>
      <c r="C1303" s="83">
        <v>199758170915</v>
      </c>
      <c r="D1303" t="s">
        <v>1285</v>
      </c>
      <c r="E1303">
        <v>55576218382</v>
      </c>
      <c r="F1303">
        <v>626283</v>
      </c>
      <c r="G1303">
        <v>50975433879</v>
      </c>
      <c r="H1303" t="s">
        <v>35</v>
      </c>
      <c r="I1303" s="36">
        <v>2471.64</v>
      </c>
      <c r="J1303" s="36">
        <v>2471.64</v>
      </c>
      <c r="K1303" s="85">
        <v>0</v>
      </c>
      <c r="L1303" s="36">
        <v>205.97</v>
      </c>
      <c r="M1303" s="36">
        <v>0</v>
      </c>
      <c r="N1303" s="36">
        <v>0</v>
      </c>
      <c r="O1303" s="36">
        <v>205.97</v>
      </c>
      <c r="P1303" t="s">
        <v>127</v>
      </c>
      <c r="Q1303" t="s">
        <v>111</v>
      </c>
      <c r="R1303" t="s">
        <v>111</v>
      </c>
      <c r="S1303" s="1">
        <v>46059</v>
      </c>
      <c r="T1303" s="1">
        <v>46059</v>
      </c>
      <c r="U1303" s="1">
        <v>46060</v>
      </c>
      <c r="V1303" s="1">
        <v>46425</v>
      </c>
      <c r="W1303" t="s">
        <v>38</v>
      </c>
      <c r="X1303">
        <v>12</v>
      </c>
      <c r="Y1303" t="s">
        <v>49</v>
      </c>
      <c r="Z1303" t="s">
        <v>76</v>
      </c>
      <c r="AA1303" t="s">
        <v>117</v>
      </c>
      <c r="AB1303">
        <v>1</v>
      </c>
      <c r="AC1303" t="s">
        <v>113</v>
      </c>
      <c r="AD1303" t="s">
        <v>118</v>
      </c>
      <c r="AE1303" t="s">
        <v>43</v>
      </c>
      <c r="AF1303" t="s">
        <v>119</v>
      </c>
      <c r="AG1303" t="str">
        <f t="shared" si="21"/>
        <v>À Vista</v>
      </c>
      <c r="AH1303" t="str">
        <f>IF(AND(SUMIF(E:E,E1303,I:I)&gt;=400000,Q1303="B2G"),"n","")</f>
        <v/>
      </c>
    </row>
    <row r="1304" spans="1:34">
      <c r="A1304">
        <v>2026</v>
      </c>
      <c r="B1304">
        <v>2</v>
      </c>
      <c r="C1304" s="83">
        <v>199769193236</v>
      </c>
      <c r="D1304" t="s">
        <v>1286</v>
      </c>
      <c r="E1304">
        <v>55541688900</v>
      </c>
      <c r="F1304">
        <v>626128</v>
      </c>
      <c r="G1304">
        <v>50922645076</v>
      </c>
      <c r="H1304" t="s">
        <v>35</v>
      </c>
      <c r="I1304" s="36">
        <v>4401.84</v>
      </c>
      <c r="J1304" s="36">
        <v>4401.84</v>
      </c>
      <c r="K1304" s="85">
        <v>0</v>
      </c>
      <c r="L1304" s="36">
        <v>366.82</v>
      </c>
      <c r="M1304" s="36">
        <v>0</v>
      </c>
      <c r="N1304" s="36">
        <v>42.42</v>
      </c>
      <c r="O1304" s="36">
        <v>324.39999999999998</v>
      </c>
      <c r="P1304" t="s">
        <v>137</v>
      </c>
      <c r="Q1304" t="s">
        <v>111</v>
      </c>
      <c r="R1304" t="s">
        <v>111</v>
      </c>
      <c r="S1304" s="1">
        <v>46058</v>
      </c>
      <c r="T1304" s="1">
        <v>46058</v>
      </c>
      <c r="U1304" s="1">
        <v>46057</v>
      </c>
      <c r="V1304" s="1">
        <v>46422</v>
      </c>
      <c r="W1304" t="s">
        <v>38</v>
      </c>
      <c r="X1304">
        <v>12</v>
      </c>
      <c r="Y1304" t="s">
        <v>49</v>
      </c>
      <c r="Z1304" t="s">
        <v>81</v>
      </c>
      <c r="AA1304" t="s">
        <v>112</v>
      </c>
      <c r="AB1304">
        <v>12</v>
      </c>
      <c r="AC1304" t="s">
        <v>113</v>
      </c>
      <c r="AD1304" t="s">
        <v>85</v>
      </c>
      <c r="AE1304" t="s">
        <v>46</v>
      </c>
      <c r="AF1304" t="s">
        <v>44</v>
      </c>
      <c r="AG1304" t="str">
        <f t="shared" si="21"/>
        <v>CC 12x</v>
      </c>
      <c r="AH1304" t="str">
        <f>IF(AND(SUMIF(E:E,E1304,I:I)&gt;=400000,Q1304="B2G"),"n","")</f>
        <v/>
      </c>
    </row>
    <row r="1305" spans="1:34">
      <c r="A1305">
        <v>2026</v>
      </c>
      <c r="B1305">
        <v>2</v>
      </c>
      <c r="C1305" s="83">
        <v>199853711746</v>
      </c>
      <c r="D1305" t="s">
        <v>1287</v>
      </c>
      <c r="E1305">
        <v>55728012405</v>
      </c>
      <c r="F1305">
        <v>635986</v>
      </c>
      <c r="G1305">
        <v>50988743958</v>
      </c>
      <c r="H1305" t="s">
        <v>104</v>
      </c>
      <c r="I1305" s="36">
        <v>718.8</v>
      </c>
      <c r="J1305" s="36">
        <v>718.8</v>
      </c>
      <c r="K1305" s="85">
        <v>0</v>
      </c>
      <c r="L1305" s="36">
        <v>59.9</v>
      </c>
      <c r="M1305" s="36">
        <v>59.9</v>
      </c>
      <c r="N1305" s="36">
        <v>0</v>
      </c>
      <c r="O1305" s="36">
        <v>0</v>
      </c>
      <c r="P1305" t="s">
        <v>497</v>
      </c>
      <c r="Q1305" t="s">
        <v>498</v>
      </c>
      <c r="R1305" t="s">
        <v>498</v>
      </c>
      <c r="S1305" s="1">
        <v>46059</v>
      </c>
      <c r="T1305" s="1">
        <v>46059</v>
      </c>
      <c r="V1305" s="1">
        <v>46424</v>
      </c>
      <c r="W1305" t="s">
        <v>38</v>
      </c>
      <c r="X1305">
        <v>12</v>
      </c>
      <c r="Y1305" t="s">
        <v>49</v>
      </c>
      <c r="AA1305" t="s">
        <v>112</v>
      </c>
      <c r="AB1305">
        <v>10</v>
      </c>
      <c r="AC1305" t="s">
        <v>499</v>
      </c>
      <c r="AD1305" t="s">
        <v>105</v>
      </c>
      <c r="AE1305" t="s">
        <v>106</v>
      </c>
      <c r="AF1305" t="s">
        <v>59</v>
      </c>
      <c r="AG1305" t="str">
        <f t="shared" si="21"/>
        <v>CC 12x</v>
      </c>
      <c r="AH1305" t="str">
        <f>IF(AND(SUMIF(E:E,E1305,I:I)&gt;=400000,Q1305="B2G"),"n","")</f>
        <v/>
      </c>
    </row>
    <row r="1306" spans="1:34">
      <c r="A1306">
        <v>2026</v>
      </c>
      <c r="B1306">
        <v>2</v>
      </c>
      <c r="C1306" s="83">
        <v>199945070253</v>
      </c>
      <c r="D1306" t="s">
        <v>1288</v>
      </c>
      <c r="E1306">
        <v>55600208219</v>
      </c>
      <c r="F1306">
        <v>635947</v>
      </c>
      <c r="G1306">
        <v>50858438280</v>
      </c>
      <c r="H1306" t="s">
        <v>35</v>
      </c>
      <c r="I1306" s="36">
        <v>2874</v>
      </c>
      <c r="J1306" s="36">
        <v>2874</v>
      </c>
      <c r="K1306" s="85">
        <v>0</v>
      </c>
      <c r="L1306" s="36">
        <v>239.5</v>
      </c>
      <c r="M1306" s="36">
        <v>239.5</v>
      </c>
      <c r="N1306" s="36">
        <v>0</v>
      </c>
      <c r="O1306" s="36">
        <v>0</v>
      </c>
      <c r="P1306" t="s">
        <v>497</v>
      </c>
      <c r="Q1306" t="s">
        <v>498</v>
      </c>
      <c r="R1306" t="s">
        <v>498</v>
      </c>
      <c r="S1306" s="1">
        <v>46058</v>
      </c>
      <c r="T1306" s="1">
        <v>46058</v>
      </c>
      <c r="U1306" s="1"/>
      <c r="V1306" s="1">
        <v>46423</v>
      </c>
      <c r="W1306" t="s">
        <v>38</v>
      </c>
      <c r="X1306">
        <v>12</v>
      </c>
      <c r="Y1306" t="s">
        <v>49</v>
      </c>
      <c r="AA1306" t="s">
        <v>112</v>
      </c>
      <c r="AB1306">
        <v>12</v>
      </c>
      <c r="AC1306" t="s">
        <v>499</v>
      </c>
      <c r="AD1306" t="s">
        <v>118</v>
      </c>
      <c r="AE1306" t="s">
        <v>43</v>
      </c>
      <c r="AF1306" t="s">
        <v>119</v>
      </c>
      <c r="AG1306" t="str">
        <f t="shared" si="21"/>
        <v>CC 12x</v>
      </c>
      <c r="AH1306" t="str">
        <f>IF(AND(SUMIF(E:E,E1306,I:I)&gt;=400000,Q1306="B2G"),"n","")</f>
        <v/>
      </c>
    </row>
    <row r="1307" spans="1:34">
      <c r="A1307">
        <v>2026</v>
      </c>
      <c r="B1307">
        <v>2</v>
      </c>
      <c r="C1307" s="83">
        <v>199957419615</v>
      </c>
      <c r="D1307" t="s">
        <v>1289</v>
      </c>
      <c r="E1307">
        <v>55475179854</v>
      </c>
      <c r="F1307">
        <v>524239</v>
      </c>
      <c r="G1307">
        <v>50778109227</v>
      </c>
      <c r="H1307" t="s">
        <v>35</v>
      </c>
      <c r="I1307" s="36">
        <v>2586.6</v>
      </c>
      <c r="J1307" s="36">
        <v>2586.6</v>
      </c>
      <c r="K1307" s="85">
        <v>0</v>
      </c>
      <c r="L1307" s="36">
        <v>215.55</v>
      </c>
      <c r="M1307" s="36">
        <v>215.55</v>
      </c>
      <c r="N1307" s="36">
        <v>0</v>
      </c>
      <c r="O1307" s="36">
        <v>0</v>
      </c>
      <c r="P1307" t="s">
        <v>162</v>
      </c>
      <c r="Q1307" t="s">
        <v>111</v>
      </c>
      <c r="R1307" t="s">
        <v>111</v>
      </c>
      <c r="S1307" s="1">
        <v>46057</v>
      </c>
      <c r="T1307" s="1">
        <v>46057</v>
      </c>
      <c r="U1307" s="1">
        <v>46021</v>
      </c>
      <c r="V1307" s="1">
        <v>46446</v>
      </c>
      <c r="W1307" t="s">
        <v>38</v>
      </c>
      <c r="X1307">
        <v>14</v>
      </c>
      <c r="Y1307" t="s">
        <v>49</v>
      </c>
      <c r="Z1307" t="s">
        <v>81</v>
      </c>
      <c r="AA1307" t="s">
        <v>122</v>
      </c>
      <c r="AB1307">
        <v>12</v>
      </c>
      <c r="AC1307" t="s">
        <v>113</v>
      </c>
      <c r="AD1307" t="s">
        <v>140</v>
      </c>
      <c r="AE1307" t="s">
        <v>46</v>
      </c>
      <c r="AF1307" t="s">
        <v>119</v>
      </c>
      <c r="AG1307" t="str">
        <f t="shared" si="21"/>
        <v>Recorrente</v>
      </c>
      <c r="AH1307" t="str">
        <f>IF(AND(SUMIF(E:E,E1307,I:I)&gt;=400000,Q1307="B2G"),"n","")</f>
        <v/>
      </c>
    </row>
    <row r="1308" spans="1:34">
      <c r="A1308">
        <v>2026</v>
      </c>
      <c r="B1308">
        <v>2</v>
      </c>
      <c r="C1308" s="83">
        <v>199979488611</v>
      </c>
      <c r="D1308" t="s">
        <v>1290</v>
      </c>
      <c r="E1308">
        <v>55694631326</v>
      </c>
      <c r="F1308">
        <v>636022</v>
      </c>
      <c r="G1308">
        <v>51121165464</v>
      </c>
      <c r="H1308" t="s">
        <v>35</v>
      </c>
      <c r="I1308" s="36">
        <v>7644</v>
      </c>
      <c r="J1308" s="36">
        <v>7644</v>
      </c>
      <c r="K1308" s="85">
        <v>0</v>
      </c>
      <c r="L1308" s="36">
        <v>637</v>
      </c>
      <c r="M1308" s="36">
        <v>637</v>
      </c>
      <c r="N1308" s="36">
        <v>0</v>
      </c>
      <c r="O1308" s="36">
        <v>0</v>
      </c>
      <c r="P1308" t="s">
        <v>1073</v>
      </c>
      <c r="Q1308" t="s">
        <v>314</v>
      </c>
      <c r="R1308" t="s">
        <v>314</v>
      </c>
      <c r="S1308" s="1">
        <v>46063</v>
      </c>
      <c r="T1308" s="1">
        <v>46063</v>
      </c>
      <c r="V1308" s="1">
        <v>46428</v>
      </c>
      <c r="W1308" t="s">
        <v>38</v>
      </c>
      <c r="X1308">
        <v>12</v>
      </c>
      <c r="Y1308" t="s">
        <v>49</v>
      </c>
      <c r="AA1308" t="s">
        <v>112</v>
      </c>
      <c r="AB1308">
        <v>12</v>
      </c>
      <c r="AC1308" t="s">
        <v>315</v>
      </c>
      <c r="AD1308" t="s">
        <v>134</v>
      </c>
      <c r="AE1308" t="s">
        <v>135</v>
      </c>
      <c r="AF1308" t="s">
        <v>44</v>
      </c>
      <c r="AG1308" t="str">
        <f t="shared" si="21"/>
        <v>CC 12x</v>
      </c>
      <c r="AH1308" t="str">
        <f>IF(AND(SUMIF(E:E,E1308,I:I)&gt;=400000,Q1308="B2G"),"n","")</f>
        <v/>
      </c>
    </row>
    <row r="1309" spans="1:34">
      <c r="A1309">
        <v>2026</v>
      </c>
      <c r="B1309">
        <v>2</v>
      </c>
      <c r="C1309" s="83">
        <v>200090408075</v>
      </c>
      <c r="D1309" t="s">
        <v>1291</v>
      </c>
      <c r="E1309">
        <v>52835631449</v>
      </c>
      <c r="F1309">
        <v>609195</v>
      </c>
      <c r="G1309">
        <v>49004614433</v>
      </c>
      <c r="H1309" t="s">
        <v>35</v>
      </c>
      <c r="I1309" s="36">
        <v>3866.28</v>
      </c>
      <c r="J1309" s="36">
        <v>3866.28</v>
      </c>
      <c r="K1309" s="85">
        <v>4.5474699999999999E-13</v>
      </c>
      <c r="L1309" s="36">
        <v>322.19</v>
      </c>
      <c r="M1309" s="36">
        <v>0</v>
      </c>
      <c r="N1309" s="36">
        <v>0</v>
      </c>
      <c r="O1309" s="36">
        <v>322.19</v>
      </c>
      <c r="P1309" t="s">
        <v>127</v>
      </c>
      <c r="Q1309" t="s">
        <v>111</v>
      </c>
      <c r="R1309" t="s">
        <v>111</v>
      </c>
      <c r="S1309" s="1">
        <v>46058</v>
      </c>
      <c r="T1309" s="1">
        <v>46058</v>
      </c>
      <c r="U1309" s="1">
        <v>46067</v>
      </c>
      <c r="V1309" s="1">
        <v>46432</v>
      </c>
      <c r="W1309" t="s">
        <v>38</v>
      </c>
      <c r="X1309">
        <v>12</v>
      </c>
      <c r="Y1309" t="s">
        <v>49</v>
      </c>
      <c r="Z1309" t="s">
        <v>81</v>
      </c>
      <c r="AA1309" t="s">
        <v>117</v>
      </c>
      <c r="AB1309">
        <v>1</v>
      </c>
      <c r="AC1309" t="s">
        <v>113</v>
      </c>
      <c r="AD1309" t="s">
        <v>138</v>
      </c>
      <c r="AE1309" t="s">
        <v>135</v>
      </c>
      <c r="AF1309" t="s">
        <v>119</v>
      </c>
      <c r="AG1309" t="str">
        <f t="shared" si="21"/>
        <v>À Vista</v>
      </c>
      <c r="AH1309" t="str">
        <f>IF(AND(SUMIF(E:E,E1309,I:I)&gt;=400000,Q1309="B2G"),"n","")</f>
        <v/>
      </c>
    </row>
    <row r="1310" spans="1:34">
      <c r="A1310">
        <v>2026</v>
      </c>
      <c r="B1310">
        <v>2</v>
      </c>
      <c r="C1310" s="83">
        <v>200112489873</v>
      </c>
      <c r="D1310" t="s">
        <v>1292</v>
      </c>
      <c r="E1310">
        <v>55637757827</v>
      </c>
      <c r="F1310">
        <v>635962</v>
      </c>
      <c r="G1310">
        <v>50935314358</v>
      </c>
      <c r="H1310" t="s">
        <v>35</v>
      </c>
      <c r="I1310" s="36">
        <v>4782.24</v>
      </c>
      <c r="J1310" s="36">
        <v>4782.3</v>
      </c>
      <c r="K1310" s="85">
        <v>0</v>
      </c>
      <c r="L1310" s="36">
        <v>398.52499999999998</v>
      </c>
      <c r="M1310" s="36">
        <v>398.52499999999998</v>
      </c>
      <c r="N1310" s="36">
        <v>0</v>
      </c>
      <c r="O1310" s="36">
        <v>0</v>
      </c>
      <c r="P1310" t="s">
        <v>511</v>
      </c>
      <c r="Q1310" t="s">
        <v>300</v>
      </c>
      <c r="R1310" t="s">
        <v>300</v>
      </c>
      <c r="S1310" s="1">
        <v>46058</v>
      </c>
      <c r="T1310" s="1">
        <v>46058</v>
      </c>
      <c r="U1310" s="1"/>
      <c r="V1310" s="1">
        <v>46423</v>
      </c>
      <c r="W1310" t="s">
        <v>38</v>
      </c>
      <c r="X1310">
        <v>12</v>
      </c>
      <c r="Y1310" t="s">
        <v>49</v>
      </c>
      <c r="AA1310" t="s">
        <v>112</v>
      </c>
      <c r="AB1310">
        <v>12</v>
      </c>
      <c r="AC1310" t="s">
        <v>301</v>
      </c>
      <c r="AD1310" t="s">
        <v>84</v>
      </c>
      <c r="AE1310" t="s">
        <v>43</v>
      </c>
      <c r="AF1310" t="s">
        <v>44</v>
      </c>
      <c r="AG1310" t="str">
        <f t="shared" si="21"/>
        <v>CC 12x</v>
      </c>
      <c r="AH1310" t="str">
        <f>IF(AND(SUMIF(E:E,E1310,I:I)&gt;=400000,Q1310="B2G"),"n","")</f>
        <v/>
      </c>
    </row>
    <row r="1311" spans="1:34">
      <c r="A1311">
        <v>2026</v>
      </c>
      <c r="B1311">
        <v>2</v>
      </c>
      <c r="C1311" s="83">
        <v>200115784079</v>
      </c>
      <c r="D1311" t="s">
        <v>1293</v>
      </c>
      <c r="E1311">
        <v>55488157617</v>
      </c>
      <c r="F1311">
        <v>626126</v>
      </c>
      <c r="G1311">
        <v>51050923807</v>
      </c>
      <c r="H1311" t="s">
        <v>35</v>
      </c>
      <c r="I1311" s="36">
        <v>8059.2</v>
      </c>
      <c r="J1311" s="36">
        <v>8059.2</v>
      </c>
      <c r="K1311" s="85">
        <v>0</v>
      </c>
      <c r="L1311" s="36">
        <v>671.6</v>
      </c>
      <c r="M1311" s="36">
        <v>0</v>
      </c>
      <c r="N1311" s="36">
        <v>291.98</v>
      </c>
      <c r="O1311" s="36">
        <v>379.62</v>
      </c>
      <c r="P1311" t="s">
        <v>110</v>
      </c>
      <c r="Q1311" t="s">
        <v>111</v>
      </c>
      <c r="R1311" t="s">
        <v>111</v>
      </c>
      <c r="S1311" s="1">
        <v>46062</v>
      </c>
      <c r="T1311" s="1">
        <v>46062</v>
      </c>
      <c r="U1311" s="1">
        <v>46057</v>
      </c>
      <c r="V1311" s="1">
        <v>46427</v>
      </c>
      <c r="W1311" t="s">
        <v>38</v>
      </c>
      <c r="X1311">
        <v>12</v>
      </c>
      <c r="Y1311" t="s">
        <v>49</v>
      </c>
      <c r="Z1311" t="s">
        <v>76</v>
      </c>
      <c r="AA1311" t="s">
        <v>112</v>
      </c>
      <c r="AB1311">
        <v>12</v>
      </c>
      <c r="AC1311" t="s">
        <v>113</v>
      </c>
      <c r="AD1311" t="s">
        <v>85</v>
      </c>
      <c r="AE1311" t="s">
        <v>46</v>
      </c>
      <c r="AF1311" t="s">
        <v>44</v>
      </c>
      <c r="AG1311" t="str">
        <f t="shared" si="21"/>
        <v>CC 12x</v>
      </c>
      <c r="AH1311" t="str">
        <f>IF(AND(SUMIF(E:E,E1311,I:I)&gt;=400000,Q1311="B2G"),"n","")</f>
        <v/>
      </c>
    </row>
    <row r="1312" spans="1:34">
      <c r="A1312">
        <v>2026</v>
      </c>
      <c r="B1312">
        <v>2</v>
      </c>
      <c r="C1312" s="83">
        <v>200115784079</v>
      </c>
      <c r="D1312" t="s">
        <v>1293</v>
      </c>
      <c r="E1312">
        <v>55488157617</v>
      </c>
      <c r="F1312">
        <v>626126</v>
      </c>
      <c r="G1312">
        <v>51050923808</v>
      </c>
      <c r="H1312" t="s">
        <v>35</v>
      </c>
      <c r="I1312" s="36">
        <v>8059.2</v>
      </c>
      <c r="J1312" s="36">
        <v>8059.2</v>
      </c>
      <c r="K1312" s="85">
        <v>0</v>
      </c>
      <c r="L1312" s="36">
        <v>671.6</v>
      </c>
      <c r="M1312" s="36">
        <v>0</v>
      </c>
      <c r="N1312" s="36">
        <v>291.98</v>
      </c>
      <c r="O1312" s="36">
        <v>379.62</v>
      </c>
      <c r="P1312" t="s">
        <v>110</v>
      </c>
      <c r="Q1312" t="s">
        <v>111</v>
      </c>
      <c r="R1312" t="s">
        <v>111</v>
      </c>
      <c r="S1312" s="1">
        <v>46062</v>
      </c>
      <c r="T1312" s="1">
        <v>46062</v>
      </c>
      <c r="U1312" s="1">
        <v>46057</v>
      </c>
      <c r="V1312" s="1">
        <v>46427</v>
      </c>
      <c r="W1312" t="s">
        <v>38</v>
      </c>
      <c r="X1312">
        <v>12</v>
      </c>
      <c r="Y1312" t="s">
        <v>49</v>
      </c>
      <c r="Z1312" t="s">
        <v>76</v>
      </c>
      <c r="AA1312" t="s">
        <v>112</v>
      </c>
      <c r="AB1312">
        <v>12</v>
      </c>
      <c r="AC1312" t="s">
        <v>113</v>
      </c>
      <c r="AD1312" t="s">
        <v>154</v>
      </c>
      <c r="AE1312" t="s">
        <v>46</v>
      </c>
      <c r="AF1312" t="s">
        <v>47</v>
      </c>
      <c r="AG1312" t="str">
        <f t="shared" si="21"/>
        <v>CC 12x</v>
      </c>
      <c r="AH1312" t="str">
        <f>IF(AND(SUMIF(E:E,E1312,I:I)&gt;=400000,Q1312="B2G"),"n","")</f>
        <v/>
      </c>
    </row>
    <row r="1313" spans="1:34">
      <c r="A1313">
        <v>2026</v>
      </c>
      <c r="B1313">
        <v>2</v>
      </c>
      <c r="C1313" s="83">
        <v>200201854474</v>
      </c>
      <c r="D1313" t="s">
        <v>1294</v>
      </c>
      <c r="E1313">
        <v>51443378255</v>
      </c>
      <c r="F1313">
        <v>625313</v>
      </c>
      <c r="G1313">
        <v>49363053399</v>
      </c>
      <c r="H1313" t="s">
        <v>35</v>
      </c>
      <c r="I1313" s="36">
        <v>3775.44</v>
      </c>
      <c r="J1313" s="36">
        <v>3775.44</v>
      </c>
      <c r="K1313" s="85">
        <v>0</v>
      </c>
      <c r="L1313" s="36">
        <v>314.62</v>
      </c>
      <c r="M1313" s="36">
        <v>314.62</v>
      </c>
      <c r="N1313" s="36">
        <v>0</v>
      </c>
      <c r="O1313" s="36">
        <v>0</v>
      </c>
      <c r="P1313" t="s">
        <v>133</v>
      </c>
      <c r="Q1313" t="s">
        <v>111</v>
      </c>
      <c r="R1313" t="s">
        <v>111</v>
      </c>
      <c r="S1313" s="1">
        <v>46038</v>
      </c>
      <c r="T1313" s="1">
        <v>46054</v>
      </c>
      <c r="U1313" s="1">
        <v>46030</v>
      </c>
      <c r="V1313" s="1">
        <v>46418</v>
      </c>
      <c r="W1313" t="s">
        <v>38</v>
      </c>
      <c r="X1313">
        <v>12</v>
      </c>
      <c r="Y1313" t="s">
        <v>49</v>
      </c>
      <c r="Z1313" t="s">
        <v>81</v>
      </c>
      <c r="AA1313" t="s">
        <v>112</v>
      </c>
      <c r="AB1313">
        <v>12</v>
      </c>
      <c r="AC1313" t="s">
        <v>113</v>
      </c>
      <c r="AD1313" t="s">
        <v>84</v>
      </c>
      <c r="AE1313" t="s">
        <v>43</v>
      </c>
      <c r="AF1313" t="s">
        <v>44</v>
      </c>
      <c r="AG1313" t="str">
        <f t="shared" si="21"/>
        <v>CC 12x</v>
      </c>
      <c r="AH1313" t="str">
        <f>IF(AND(SUMIF(E:E,E1313,I:I)&gt;=400000,Q1313="B2G"),"n","")</f>
        <v/>
      </c>
    </row>
    <row r="1314" spans="1:34">
      <c r="A1314">
        <v>2026</v>
      </c>
      <c r="B1314">
        <v>2</v>
      </c>
      <c r="C1314" s="83">
        <v>200408015450</v>
      </c>
      <c r="D1314" t="s">
        <v>1295</v>
      </c>
      <c r="E1314">
        <v>55775897678</v>
      </c>
      <c r="F1314">
        <v>636005</v>
      </c>
      <c r="G1314">
        <v>51120870667</v>
      </c>
      <c r="H1314" t="s">
        <v>35</v>
      </c>
      <c r="I1314" s="36">
        <v>2299.1999999999998</v>
      </c>
      <c r="J1314" s="36">
        <v>2299.1999999999998</v>
      </c>
      <c r="K1314" s="85">
        <v>0</v>
      </c>
      <c r="L1314" s="36">
        <v>191.6</v>
      </c>
      <c r="M1314" s="36">
        <v>191.6</v>
      </c>
      <c r="N1314" s="36">
        <v>0</v>
      </c>
      <c r="O1314" s="36">
        <v>0</v>
      </c>
      <c r="P1314" t="s">
        <v>506</v>
      </c>
      <c r="Q1314" t="s">
        <v>300</v>
      </c>
      <c r="R1314" t="s">
        <v>300</v>
      </c>
      <c r="S1314" s="1">
        <v>46062</v>
      </c>
      <c r="T1314" s="1">
        <v>46062</v>
      </c>
      <c r="U1314" s="1"/>
      <c r="V1314" s="1">
        <v>46427</v>
      </c>
      <c r="W1314" t="s">
        <v>38</v>
      </c>
      <c r="X1314">
        <v>12</v>
      </c>
      <c r="Y1314" t="s">
        <v>49</v>
      </c>
      <c r="AA1314" t="s">
        <v>122</v>
      </c>
      <c r="AB1314">
        <v>12</v>
      </c>
      <c r="AC1314" t="s">
        <v>301</v>
      </c>
      <c r="AD1314" t="s">
        <v>140</v>
      </c>
      <c r="AE1314" t="s">
        <v>46</v>
      </c>
      <c r="AF1314" t="s">
        <v>119</v>
      </c>
      <c r="AG1314" t="str">
        <f t="shared" si="21"/>
        <v>Recorrente</v>
      </c>
      <c r="AH1314" t="str">
        <f>IF(AND(SUMIF(E:E,E1314,I:I)&gt;=400000,Q1314="B2G"),"n","")</f>
        <v/>
      </c>
    </row>
    <row r="1315" spans="1:34">
      <c r="A1315">
        <v>2026</v>
      </c>
      <c r="B1315">
        <v>2</v>
      </c>
      <c r="C1315" s="83">
        <v>200566122818</v>
      </c>
      <c r="D1315" t="s">
        <v>1296</v>
      </c>
      <c r="E1315">
        <v>55716589836</v>
      </c>
      <c r="F1315">
        <v>526796</v>
      </c>
      <c r="G1315">
        <v>51427159990</v>
      </c>
      <c r="H1315" t="s">
        <v>35</v>
      </c>
      <c r="I1315" s="36">
        <v>9445.44</v>
      </c>
      <c r="J1315" s="36">
        <v>9445.44</v>
      </c>
      <c r="K1315" s="85">
        <v>0</v>
      </c>
      <c r="L1315" s="36">
        <v>787.12</v>
      </c>
      <c r="M1315" s="36">
        <v>0</v>
      </c>
      <c r="N1315" s="36">
        <v>122.255</v>
      </c>
      <c r="O1315" s="36">
        <v>664.87</v>
      </c>
      <c r="P1315" t="s">
        <v>121</v>
      </c>
      <c r="Q1315" t="s">
        <v>111</v>
      </c>
      <c r="R1315" t="s">
        <v>111</v>
      </c>
      <c r="S1315" s="1">
        <v>46065</v>
      </c>
      <c r="T1315" s="1">
        <v>46065</v>
      </c>
      <c r="U1315" s="1">
        <v>46061</v>
      </c>
      <c r="V1315" s="1">
        <v>46426</v>
      </c>
      <c r="W1315" t="s">
        <v>38</v>
      </c>
      <c r="X1315">
        <v>12</v>
      </c>
      <c r="Y1315" t="s">
        <v>49</v>
      </c>
      <c r="Z1315" t="s">
        <v>81</v>
      </c>
      <c r="AA1315" t="s">
        <v>122</v>
      </c>
      <c r="AB1315">
        <v>12</v>
      </c>
      <c r="AC1315" t="s">
        <v>113</v>
      </c>
      <c r="AD1315" t="s">
        <v>146</v>
      </c>
      <c r="AE1315" t="s">
        <v>135</v>
      </c>
      <c r="AF1315" t="s">
        <v>96</v>
      </c>
      <c r="AG1315" t="str">
        <f t="shared" si="21"/>
        <v>Recorrente</v>
      </c>
      <c r="AH1315" t="str">
        <f>IF(AND(SUMIF(E:E,E1315,I:I)&gt;=400000,Q1315="B2G"),"n","")</f>
        <v/>
      </c>
    </row>
    <row r="1316" spans="1:34">
      <c r="A1316">
        <v>2026</v>
      </c>
      <c r="B1316">
        <v>2</v>
      </c>
      <c r="C1316" s="83">
        <v>200602637424</v>
      </c>
      <c r="D1316" t="s">
        <v>1297</v>
      </c>
      <c r="E1316">
        <v>55815065646</v>
      </c>
      <c r="F1316">
        <v>636097</v>
      </c>
      <c r="G1316">
        <v>51492343089</v>
      </c>
      <c r="H1316" t="s">
        <v>35</v>
      </c>
      <c r="I1316" s="36">
        <v>4320</v>
      </c>
      <c r="J1316" s="36">
        <v>4320</v>
      </c>
      <c r="K1316" s="85">
        <v>0</v>
      </c>
      <c r="L1316" s="36">
        <v>360</v>
      </c>
      <c r="M1316" s="36">
        <v>360</v>
      </c>
      <c r="N1316" s="36">
        <v>0</v>
      </c>
      <c r="O1316" s="36">
        <v>0</v>
      </c>
      <c r="P1316" t="s">
        <v>511</v>
      </c>
      <c r="Q1316" t="s">
        <v>300</v>
      </c>
      <c r="R1316" t="s">
        <v>300</v>
      </c>
      <c r="S1316" s="1">
        <v>46066</v>
      </c>
      <c r="T1316" s="1">
        <v>46066</v>
      </c>
      <c r="U1316" s="1"/>
      <c r="V1316" s="1">
        <v>46431</v>
      </c>
      <c r="W1316" t="s">
        <v>38</v>
      </c>
      <c r="X1316">
        <v>12</v>
      </c>
      <c r="Y1316" t="s">
        <v>49</v>
      </c>
      <c r="AA1316" t="s">
        <v>112</v>
      </c>
      <c r="AB1316">
        <v>12</v>
      </c>
      <c r="AC1316" t="s">
        <v>301</v>
      </c>
      <c r="AD1316" t="s">
        <v>163</v>
      </c>
      <c r="AE1316" t="s">
        <v>43</v>
      </c>
      <c r="AF1316" t="s">
        <v>96</v>
      </c>
      <c r="AG1316" t="str">
        <f t="shared" si="21"/>
        <v>CC 12x</v>
      </c>
      <c r="AH1316" t="str">
        <f>IF(AND(SUMIF(E:E,E1316,I:I)&gt;=400000,Q1316="B2G"),"n","")</f>
        <v/>
      </c>
    </row>
    <row r="1317" spans="1:34">
      <c r="A1317">
        <v>2026</v>
      </c>
      <c r="B1317">
        <v>2</v>
      </c>
      <c r="C1317" s="83">
        <v>200602680176</v>
      </c>
      <c r="D1317" t="s">
        <v>1298</v>
      </c>
      <c r="E1317">
        <v>56026102620</v>
      </c>
      <c r="F1317">
        <v>636117</v>
      </c>
      <c r="G1317">
        <v>51889167533</v>
      </c>
      <c r="H1317" t="s">
        <v>35</v>
      </c>
      <c r="I1317" s="36">
        <v>3666.6</v>
      </c>
      <c r="J1317" s="36">
        <v>3666.6</v>
      </c>
      <c r="K1317" s="85">
        <v>0</v>
      </c>
      <c r="L1317" s="36">
        <v>305.55</v>
      </c>
      <c r="M1317" s="36">
        <v>305.55</v>
      </c>
      <c r="N1317" s="36">
        <v>0</v>
      </c>
      <c r="O1317" s="36">
        <v>0</v>
      </c>
      <c r="P1317" t="s">
        <v>511</v>
      </c>
      <c r="Q1317" t="s">
        <v>300</v>
      </c>
      <c r="R1317" t="s">
        <v>300</v>
      </c>
      <c r="S1317" s="1">
        <v>46071</v>
      </c>
      <c r="T1317" s="1">
        <v>46071</v>
      </c>
      <c r="V1317" s="1">
        <v>46436</v>
      </c>
      <c r="W1317" t="s">
        <v>38</v>
      </c>
      <c r="X1317">
        <v>12</v>
      </c>
      <c r="Y1317" t="s">
        <v>49</v>
      </c>
      <c r="AA1317" t="s">
        <v>112</v>
      </c>
      <c r="AB1317">
        <v>12</v>
      </c>
      <c r="AC1317" t="s">
        <v>301</v>
      </c>
      <c r="AD1317" t="s">
        <v>160</v>
      </c>
      <c r="AE1317" t="s">
        <v>43</v>
      </c>
      <c r="AF1317" t="s">
        <v>44</v>
      </c>
      <c r="AG1317" t="str">
        <f t="shared" si="21"/>
        <v>CC 12x</v>
      </c>
      <c r="AH1317" t="str">
        <f>IF(AND(SUMIF(E:E,E1317,I:I)&gt;=400000,Q1317="B2G"),"n","")</f>
        <v/>
      </c>
    </row>
    <row r="1318" spans="1:34">
      <c r="A1318">
        <v>2026</v>
      </c>
      <c r="B1318">
        <v>2</v>
      </c>
      <c r="C1318" s="83">
        <v>200672330074</v>
      </c>
      <c r="D1318" t="s">
        <v>1299</v>
      </c>
      <c r="E1318">
        <v>55843277354</v>
      </c>
      <c r="F1318">
        <v>636076</v>
      </c>
      <c r="G1318">
        <v>51425091929</v>
      </c>
      <c r="H1318" t="s">
        <v>35</v>
      </c>
      <c r="I1318" s="36">
        <v>4500</v>
      </c>
      <c r="J1318" s="36">
        <v>4500</v>
      </c>
      <c r="K1318" s="85">
        <v>0</v>
      </c>
      <c r="L1318" s="36">
        <v>375</v>
      </c>
      <c r="M1318" s="36">
        <v>375</v>
      </c>
      <c r="N1318" s="36">
        <v>0</v>
      </c>
      <c r="O1318" s="36">
        <v>0</v>
      </c>
      <c r="P1318" t="s">
        <v>1073</v>
      </c>
      <c r="Q1318" t="s">
        <v>314</v>
      </c>
      <c r="R1318" t="s">
        <v>314</v>
      </c>
      <c r="S1318" s="1">
        <v>46065</v>
      </c>
      <c r="T1318" s="1">
        <v>46065</v>
      </c>
      <c r="U1318" s="1"/>
      <c r="V1318" s="1">
        <v>46430</v>
      </c>
      <c r="W1318" t="s">
        <v>38</v>
      </c>
      <c r="X1318">
        <v>12</v>
      </c>
      <c r="Y1318" t="s">
        <v>49</v>
      </c>
      <c r="AA1318" t="s">
        <v>112</v>
      </c>
      <c r="AB1318">
        <v>12</v>
      </c>
      <c r="AC1318" t="s">
        <v>315</v>
      </c>
      <c r="AD1318" t="s">
        <v>138</v>
      </c>
      <c r="AE1318" t="s">
        <v>135</v>
      </c>
      <c r="AF1318" t="s">
        <v>119</v>
      </c>
      <c r="AG1318" t="str">
        <f t="shared" si="21"/>
        <v>CC 12x</v>
      </c>
      <c r="AH1318" t="str">
        <f>IF(AND(SUMIF(E:E,E1318,I:I)&gt;=400000,Q1318="B2G"),"n","")</f>
        <v/>
      </c>
    </row>
    <row r="1319" spans="1:34">
      <c r="A1319">
        <v>2026</v>
      </c>
      <c r="B1319">
        <v>2</v>
      </c>
      <c r="C1319" s="83">
        <v>200682840492</v>
      </c>
      <c r="D1319" t="s">
        <v>1300</v>
      </c>
      <c r="E1319">
        <v>55727704686</v>
      </c>
      <c r="F1319">
        <v>526508</v>
      </c>
      <c r="G1319">
        <v>51226455882</v>
      </c>
      <c r="H1319" t="s">
        <v>35</v>
      </c>
      <c r="I1319" s="36">
        <v>4603.2</v>
      </c>
      <c r="J1319" s="36">
        <v>4603.2</v>
      </c>
      <c r="K1319" s="85">
        <v>0</v>
      </c>
      <c r="L1319" s="36">
        <v>383.6</v>
      </c>
      <c r="M1319" s="36">
        <v>0</v>
      </c>
      <c r="N1319" s="36">
        <v>56.6</v>
      </c>
      <c r="O1319" s="36">
        <v>327</v>
      </c>
      <c r="P1319" t="s">
        <v>121</v>
      </c>
      <c r="Q1319" t="s">
        <v>111</v>
      </c>
      <c r="R1319" t="s">
        <v>111</v>
      </c>
      <c r="S1319" s="1">
        <v>46063</v>
      </c>
      <c r="T1319" s="1">
        <v>46063</v>
      </c>
      <c r="U1319" s="1">
        <v>46059</v>
      </c>
      <c r="V1319" s="1">
        <v>46424</v>
      </c>
      <c r="W1319" t="s">
        <v>38</v>
      </c>
      <c r="X1319">
        <v>12</v>
      </c>
      <c r="Y1319" t="s">
        <v>49</v>
      </c>
      <c r="Z1319" t="s">
        <v>81</v>
      </c>
      <c r="AA1319" t="s">
        <v>117</v>
      </c>
      <c r="AB1319">
        <v>1</v>
      </c>
      <c r="AC1319" t="s">
        <v>113</v>
      </c>
      <c r="AD1319" t="s">
        <v>85</v>
      </c>
      <c r="AE1319" t="s">
        <v>46</v>
      </c>
      <c r="AF1319" t="s">
        <v>44</v>
      </c>
      <c r="AG1319" t="str">
        <f t="shared" si="21"/>
        <v>À Vista</v>
      </c>
      <c r="AH1319" t="str">
        <f>IF(AND(SUMIF(E:E,E1319,I:I)&gt;=400000,Q1319="B2G"),"n","")</f>
        <v/>
      </c>
    </row>
    <row r="1320" spans="1:34">
      <c r="A1320">
        <v>2026</v>
      </c>
      <c r="B1320">
        <v>2</v>
      </c>
      <c r="C1320" s="83">
        <v>200827331662</v>
      </c>
      <c r="D1320" t="s">
        <v>1301</v>
      </c>
      <c r="E1320">
        <v>53411278508</v>
      </c>
      <c r="F1320">
        <v>608646</v>
      </c>
      <c r="G1320">
        <v>50059377317</v>
      </c>
      <c r="H1320" t="s">
        <v>35</v>
      </c>
      <c r="I1320" s="36">
        <v>5523.84</v>
      </c>
      <c r="J1320" s="36">
        <v>5523.84</v>
      </c>
      <c r="K1320" s="85">
        <v>0</v>
      </c>
      <c r="L1320" s="36">
        <v>460.32</v>
      </c>
      <c r="M1320" s="36">
        <v>0</v>
      </c>
      <c r="N1320" s="36">
        <v>0</v>
      </c>
      <c r="O1320" s="36">
        <v>460.32</v>
      </c>
      <c r="P1320" t="s">
        <v>127</v>
      </c>
      <c r="Q1320" t="s">
        <v>111</v>
      </c>
      <c r="R1320" t="s">
        <v>111</v>
      </c>
      <c r="S1320" s="1">
        <v>46049</v>
      </c>
      <c r="T1320" s="1">
        <v>46054</v>
      </c>
      <c r="U1320" s="1">
        <v>46055</v>
      </c>
      <c r="V1320" s="1">
        <v>46420</v>
      </c>
      <c r="W1320" t="s">
        <v>38</v>
      </c>
      <c r="X1320">
        <v>12</v>
      </c>
      <c r="Y1320" t="s">
        <v>49</v>
      </c>
      <c r="Z1320" t="s">
        <v>76</v>
      </c>
      <c r="AA1320" t="s">
        <v>112</v>
      </c>
      <c r="AB1320">
        <v>12</v>
      </c>
      <c r="AC1320" t="s">
        <v>113</v>
      </c>
      <c r="AD1320" t="s">
        <v>85</v>
      </c>
      <c r="AE1320" t="s">
        <v>46</v>
      </c>
      <c r="AF1320" t="s">
        <v>44</v>
      </c>
      <c r="AG1320" t="str">
        <f t="shared" si="21"/>
        <v>CC 12x</v>
      </c>
      <c r="AH1320" t="str">
        <f>IF(AND(SUMIF(E:E,E1320,I:I)&gt;=400000,Q1320="B2G"),"n","")</f>
        <v/>
      </c>
    </row>
    <row r="1321" spans="1:34">
      <c r="A1321">
        <v>2026</v>
      </c>
      <c r="B1321">
        <v>2</v>
      </c>
      <c r="C1321" s="83">
        <v>201029297436</v>
      </c>
      <c r="D1321" t="s">
        <v>1302</v>
      </c>
      <c r="E1321">
        <v>55941877323</v>
      </c>
      <c r="F1321">
        <v>636012</v>
      </c>
      <c r="G1321">
        <v>51232505444</v>
      </c>
      <c r="H1321" t="s">
        <v>104</v>
      </c>
      <c r="I1321" s="36">
        <v>718.8</v>
      </c>
      <c r="J1321" s="36">
        <v>718.8</v>
      </c>
      <c r="K1321" s="85">
        <v>0</v>
      </c>
      <c r="L1321" s="36">
        <v>59.9</v>
      </c>
      <c r="M1321" s="36">
        <v>59.9</v>
      </c>
      <c r="N1321" s="36">
        <v>0</v>
      </c>
      <c r="O1321" s="36">
        <v>0</v>
      </c>
      <c r="P1321" t="s">
        <v>497</v>
      </c>
      <c r="Q1321" t="s">
        <v>498</v>
      </c>
      <c r="R1321" t="s">
        <v>498</v>
      </c>
      <c r="S1321" s="1">
        <v>46063</v>
      </c>
      <c r="T1321" s="1">
        <v>46063</v>
      </c>
      <c r="V1321" s="1">
        <v>46428</v>
      </c>
      <c r="W1321" t="s">
        <v>38</v>
      </c>
      <c r="X1321">
        <v>12</v>
      </c>
      <c r="Y1321" t="s">
        <v>49</v>
      </c>
      <c r="AA1321" t="s">
        <v>112</v>
      </c>
      <c r="AB1321">
        <v>1</v>
      </c>
      <c r="AC1321" t="s">
        <v>499</v>
      </c>
      <c r="AD1321" t="s">
        <v>105</v>
      </c>
      <c r="AE1321" t="s">
        <v>106</v>
      </c>
      <c r="AF1321" t="s">
        <v>59</v>
      </c>
      <c r="AG1321" t="str">
        <f t="shared" si="21"/>
        <v>À Vista</v>
      </c>
      <c r="AH1321" t="str">
        <f>IF(AND(SUMIF(E:E,E1321,I:I)&gt;=400000,Q1321="B2G"),"n","")</f>
        <v/>
      </c>
    </row>
    <row r="1322" spans="1:34">
      <c r="A1322">
        <v>2026</v>
      </c>
      <c r="B1322">
        <v>2</v>
      </c>
      <c r="C1322" s="83">
        <v>201037598275</v>
      </c>
      <c r="D1322" t="s">
        <v>1303</v>
      </c>
      <c r="E1322">
        <v>56831857503</v>
      </c>
      <c r="F1322">
        <v>625345</v>
      </c>
      <c r="G1322">
        <v>52099018865</v>
      </c>
      <c r="H1322" t="s">
        <v>35</v>
      </c>
      <c r="I1322" s="36">
        <v>2371.08</v>
      </c>
      <c r="J1322" s="36">
        <v>2371.08</v>
      </c>
      <c r="K1322" s="85">
        <v>0</v>
      </c>
      <c r="L1322" s="36">
        <v>197.59</v>
      </c>
      <c r="M1322" s="36">
        <v>197.59</v>
      </c>
      <c r="N1322" s="36">
        <v>0</v>
      </c>
      <c r="O1322" s="36">
        <v>0</v>
      </c>
      <c r="P1322" t="s">
        <v>133</v>
      </c>
      <c r="Q1322" t="s">
        <v>111</v>
      </c>
      <c r="R1322" t="s">
        <v>111</v>
      </c>
      <c r="S1322" s="1">
        <v>46076</v>
      </c>
      <c r="T1322" s="1">
        <v>46076</v>
      </c>
      <c r="U1322" s="1">
        <v>46031</v>
      </c>
      <c r="V1322" s="1">
        <v>46446</v>
      </c>
      <c r="W1322" t="s">
        <v>38</v>
      </c>
      <c r="X1322">
        <v>13</v>
      </c>
      <c r="Y1322" t="s">
        <v>49</v>
      </c>
      <c r="Z1322" t="s">
        <v>81</v>
      </c>
      <c r="AA1322" t="s">
        <v>117</v>
      </c>
      <c r="AB1322">
        <v>1</v>
      </c>
      <c r="AC1322" t="s">
        <v>113</v>
      </c>
      <c r="AD1322" t="s">
        <v>140</v>
      </c>
      <c r="AE1322" t="s">
        <v>46</v>
      </c>
      <c r="AF1322" t="s">
        <v>119</v>
      </c>
      <c r="AG1322" t="str">
        <f t="shared" si="21"/>
        <v>À Vista</v>
      </c>
      <c r="AH1322" t="str">
        <f>IF(AND(SUMIF(E:E,E1322,I:I)&gt;=400000,Q1322="B2G"),"n","")</f>
        <v/>
      </c>
    </row>
    <row r="1323" spans="1:34">
      <c r="A1323">
        <v>2026</v>
      </c>
      <c r="B1323">
        <v>2</v>
      </c>
      <c r="C1323" s="83">
        <v>201043360104</v>
      </c>
      <c r="D1323" t="s">
        <v>1304</v>
      </c>
      <c r="E1323">
        <v>52414830245</v>
      </c>
      <c r="F1323">
        <v>626217</v>
      </c>
      <c r="G1323">
        <v>47443532162</v>
      </c>
      <c r="H1323" t="s">
        <v>35</v>
      </c>
      <c r="I1323" s="36">
        <v>4530.6000000000004</v>
      </c>
      <c r="J1323" s="36">
        <v>4530.6000000000004</v>
      </c>
      <c r="K1323" s="85">
        <v>0</v>
      </c>
      <c r="L1323" s="36">
        <v>377.55</v>
      </c>
      <c r="M1323" s="36">
        <v>0</v>
      </c>
      <c r="N1323" s="36">
        <v>89.4</v>
      </c>
      <c r="O1323" s="36">
        <v>288.14999999999998</v>
      </c>
      <c r="P1323" t="s">
        <v>165</v>
      </c>
      <c r="Q1323" t="s">
        <v>166</v>
      </c>
      <c r="R1323" t="s">
        <v>166</v>
      </c>
      <c r="S1323" s="1">
        <v>46059</v>
      </c>
      <c r="T1323" s="1">
        <v>46059</v>
      </c>
      <c r="U1323" s="1">
        <v>46059</v>
      </c>
      <c r="V1323" s="1">
        <v>46424</v>
      </c>
      <c r="W1323" t="s">
        <v>38</v>
      </c>
      <c r="X1323">
        <v>12</v>
      </c>
      <c r="Y1323" t="s">
        <v>49</v>
      </c>
      <c r="Z1323" t="s">
        <v>81</v>
      </c>
      <c r="AA1323" t="s">
        <v>122</v>
      </c>
      <c r="AB1323">
        <v>12</v>
      </c>
      <c r="AC1323" t="s">
        <v>166</v>
      </c>
      <c r="AD1323" t="s">
        <v>84</v>
      </c>
      <c r="AE1323" t="s">
        <v>43</v>
      </c>
      <c r="AF1323" t="s">
        <v>44</v>
      </c>
      <c r="AG1323" t="str">
        <f t="shared" si="21"/>
        <v>Recorrente</v>
      </c>
      <c r="AH1323" t="str">
        <f>IF(AND(SUMIF(E:E,E1323,I:I)&gt;=400000,Q1323="B2G"),"n","")</f>
        <v/>
      </c>
    </row>
    <row r="1324" spans="1:34">
      <c r="A1324">
        <v>2026</v>
      </c>
      <c r="B1324">
        <v>2</v>
      </c>
      <c r="C1324" s="83">
        <v>201113451896</v>
      </c>
      <c r="D1324" t="s">
        <v>1305</v>
      </c>
      <c r="E1324">
        <v>52425492620</v>
      </c>
      <c r="F1324">
        <v>305925</v>
      </c>
      <c r="G1324">
        <v>51100958577</v>
      </c>
      <c r="H1324" t="s">
        <v>35</v>
      </c>
      <c r="I1324" s="36">
        <v>4320.72</v>
      </c>
      <c r="J1324" s="36">
        <v>4320.72</v>
      </c>
      <c r="K1324" s="85">
        <v>0</v>
      </c>
      <c r="L1324" s="36">
        <v>360.06</v>
      </c>
      <c r="M1324" s="36">
        <v>0</v>
      </c>
      <c r="N1324" s="36">
        <v>41.56</v>
      </c>
      <c r="O1324" s="36">
        <v>318.5</v>
      </c>
      <c r="P1324" t="s">
        <v>110</v>
      </c>
      <c r="Q1324" t="s">
        <v>111</v>
      </c>
      <c r="R1324" t="s">
        <v>111</v>
      </c>
      <c r="S1324" s="1">
        <v>46062</v>
      </c>
      <c r="T1324" s="1">
        <v>46062</v>
      </c>
      <c r="U1324" s="1">
        <v>46059</v>
      </c>
      <c r="V1324" s="1">
        <v>46424</v>
      </c>
      <c r="W1324" t="s">
        <v>38</v>
      </c>
      <c r="X1324">
        <v>12</v>
      </c>
      <c r="Y1324" t="s">
        <v>49</v>
      </c>
      <c r="Z1324" t="s">
        <v>81</v>
      </c>
      <c r="AA1324" t="s">
        <v>117</v>
      </c>
      <c r="AB1324">
        <v>1</v>
      </c>
      <c r="AC1324" t="s">
        <v>113</v>
      </c>
      <c r="AD1324" t="s">
        <v>158</v>
      </c>
      <c r="AE1324" t="s">
        <v>43</v>
      </c>
      <c r="AF1324" t="s">
        <v>47</v>
      </c>
      <c r="AG1324" t="str">
        <f t="shared" ref="AG1324:AG1387" si="22">IF(IFERROR(SEARCH("Recorrente",AA1324),0)&gt;0,"Recorrente",IF(AB1324=1,"À Vista",IF(AB1324&lt;=3,"CC 3x",IF(AB1324&lt;=12,"CC 12x",IF(AB1324&gt;12,"Recorrente","")))))</f>
        <v>À Vista</v>
      </c>
      <c r="AH1324" t="str">
        <f>IF(AND(SUMIF(E:E,E1324,I:I)&gt;=400000,Q1324="B2G"),"n","")</f>
        <v/>
      </c>
    </row>
    <row r="1325" spans="1:34">
      <c r="A1325">
        <v>2026</v>
      </c>
      <c r="B1325">
        <v>2</v>
      </c>
      <c r="C1325" s="83">
        <v>201179504015</v>
      </c>
      <c r="D1325" t="s">
        <v>1306</v>
      </c>
      <c r="E1325">
        <v>56133989901</v>
      </c>
      <c r="F1325">
        <v>636034</v>
      </c>
      <c r="G1325">
        <v>51398428232</v>
      </c>
      <c r="H1325" t="s">
        <v>35</v>
      </c>
      <c r="I1325" s="36">
        <v>2874</v>
      </c>
      <c r="J1325" s="36">
        <v>2874</v>
      </c>
      <c r="K1325" s="85">
        <v>0</v>
      </c>
      <c r="L1325" s="36">
        <v>239.5</v>
      </c>
      <c r="M1325" s="36">
        <v>239.5</v>
      </c>
      <c r="N1325" s="36">
        <v>0</v>
      </c>
      <c r="O1325" s="36">
        <v>0</v>
      </c>
      <c r="P1325" t="s">
        <v>506</v>
      </c>
      <c r="Q1325" t="s">
        <v>300</v>
      </c>
      <c r="R1325" t="s">
        <v>300</v>
      </c>
      <c r="S1325" s="1">
        <v>46064</v>
      </c>
      <c r="T1325" s="1">
        <v>46064</v>
      </c>
      <c r="V1325" s="1">
        <v>46429</v>
      </c>
      <c r="W1325" t="s">
        <v>38</v>
      </c>
      <c r="X1325">
        <v>12</v>
      </c>
      <c r="Y1325" t="s">
        <v>49</v>
      </c>
      <c r="AA1325" t="s">
        <v>122</v>
      </c>
      <c r="AB1325">
        <v>12</v>
      </c>
      <c r="AC1325" t="s">
        <v>301</v>
      </c>
      <c r="AD1325" t="s">
        <v>140</v>
      </c>
      <c r="AE1325" t="s">
        <v>46</v>
      </c>
      <c r="AF1325" t="s">
        <v>119</v>
      </c>
      <c r="AG1325" t="str">
        <f t="shared" si="22"/>
        <v>Recorrente</v>
      </c>
      <c r="AH1325" t="str">
        <f>IF(AND(SUMIF(E:E,E1325,I:I)&gt;=400000,Q1325="B2G"),"n","")</f>
        <v/>
      </c>
    </row>
    <row r="1326" spans="1:34">
      <c r="A1326">
        <v>2026</v>
      </c>
      <c r="B1326">
        <v>2</v>
      </c>
      <c r="C1326" s="83">
        <v>201204707600</v>
      </c>
      <c r="D1326" t="s">
        <v>1307</v>
      </c>
      <c r="E1326">
        <v>53565445176</v>
      </c>
      <c r="F1326">
        <v>527091</v>
      </c>
      <c r="G1326">
        <v>51427218723</v>
      </c>
      <c r="H1326" t="s">
        <v>35</v>
      </c>
      <c r="I1326" s="36">
        <v>7560</v>
      </c>
      <c r="J1326" s="36">
        <v>7560</v>
      </c>
      <c r="K1326" s="85">
        <v>0</v>
      </c>
      <c r="L1326" s="36">
        <v>630</v>
      </c>
      <c r="M1326" s="36">
        <v>0</v>
      </c>
      <c r="N1326" s="36">
        <v>45.9</v>
      </c>
      <c r="O1326" s="36">
        <v>584.1</v>
      </c>
      <c r="P1326" t="s">
        <v>127</v>
      </c>
      <c r="Q1326" t="s">
        <v>111</v>
      </c>
      <c r="R1326" t="s">
        <v>111</v>
      </c>
      <c r="S1326" s="1">
        <v>46064</v>
      </c>
      <c r="T1326" s="1">
        <v>46064</v>
      </c>
      <c r="U1326" s="1">
        <v>46063</v>
      </c>
      <c r="V1326" s="1">
        <v>46428</v>
      </c>
      <c r="W1326" t="s">
        <v>38</v>
      </c>
      <c r="X1326">
        <v>12</v>
      </c>
      <c r="Y1326" t="s">
        <v>49</v>
      </c>
      <c r="Z1326" t="s">
        <v>81</v>
      </c>
      <c r="AA1326" t="s">
        <v>122</v>
      </c>
      <c r="AB1326">
        <v>12</v>
      </c>
      <c r="AC1326" t="s">
        <v>113</v>
      </c>
      <c r="AD1326" t="s">
        <v>134</v>
      </c>
      <c r="AE1326" t="s">
        <v>135</v>
      </c>
      <c r="AF1326" t="s">
        <v>44</v>
      </c>
      <c r="AG1326" t="str">
        <f t="shared" si="22"/>
        <v>Recorrente</v>
      </c>
      <c r="AH1326" t="str">
        <f>IF(AND(SUMIF(E:E,E1326,I:I)&gt;=400000,Q1326="B2G"),"n","")</f>
        <v/>
      </c>
    </row>
    <row r="1327" spans="1:34">
      <c r="A1327">
        <v>2026</v>
      </c>
      <c r="B1327">
        <v>2</v>
      </c>
      <c r="C1327" s="83">
        <v>201211577705</v>
      </c>
      <c r="D1327" t="s">
        <v>1308</v>
      </c>
      <c r="E1327">
        <v>55435686828</v>
      </c>
      <c r="F1327">
        <v>526689</v>
      </c>
      <c r="G1327">
        <v>51473806894</v>
      </c>
      <c r="H1327" t="s">
        <v>35</v>
      </c>
      <c r="I1327" s="36">
        <v>2586.6</v>
      </c>
      <c r="J1327" s="36">
        <v>2586.6</v>
      </c>
      <c r="K1327" s="85">
        <v>0</v>
      </c>
      <c r="L1327" s="36">
        <v>215.55</v>
      </c>
      <c r="M1327" s="36">
        <v>0</v>
      </c>
      <c r="N1327" s="36">
        <v>0</v>
      </c>
      <c r="O1327" s="36">
        <v>215.55410000000001</v>
      </c>
      <c r="P1327" t="s">
        <v>137</v>
      </c>
      <c r="Q1327" t="s">
        <v>111</v>
      </c>
      <c r="R1327" t="s">
        <v>111</v>
      </c>
      <c r="S1327" s="1">
        <v>46065</v>
      </c>
      <c r="T1327" s="1">
        <v>46065</v>
      </c>
      <c r="U1327" s="1">
        <v>46067</v>
      </c>
      <c r="V1327" s="1">
        <v>46432</v>
      </c>
      <c r="W1327" t="s">
        <v>38</v>
      </c>
      <c r="X1327">
        <v>12</v>
      </c>
      <c r="Y1327" t="s">
        <v>49</v>
      </c>
      <c r="Z1327" t="s">
        <v>76</v>
      </c>
      <c r="AA1327" t="s">
        <v>112</v>
      </c>
      <c r="AB1327">
        <v>1</v>
      </c>
      <c r="AC1327" t="s">
        <v>113</v>
      </c>
      <c r="AD1327" t="s">
        <v>140</v>
      </c>
      <c r="AE1327" t="s">
        <v>46</v>
      </c>
      <c r="AF1327" t="s">
        <v>119</v>
      </c>
      <c r="AG1327" t="str">
        <f t="shared" si="22"/>
        <v>À Vista</v>
      </c>
      <c r="AH1327" t="str">
        <f>IF(AND(SUMIF(E:E,E1327,I:I)&gt;=400000,Q1327="B2G"),"n","")</f>
        <v/>
      </c>
    </row>
    <row r="1328" spans="1:34">
      <c r="A1328">
        <v>2026</v>
      </c>
      <c r="B1328">
        <v>2</v>
      </c>
      <c r="C1328" s="83">
        <v>201456721242</v>
      </c>
      <c r="D1328" t="s">
        <v>1309</v>
      </c>
      <c r="E1328">
        <v>56037722770</v>
      </c>
      <c r="F1328">
        <v>304463</v>
      </c>
      <c r="G1328">
        <v>51418737700</v>
      </c>
      <c r="H1328" t="s">
        <v>35</v>
      </c>
      <c r="I1328" s="36">
        <v>4962.6000000000004</v>
      </c>
      <c r="J1328" s="36">
        <v>4962.6000000000004</v>
      </c>
      <c r="K1328" s="85">
        <v>0</v>
      </c>
      <c r="L1328" s="36">
        <v>413.55</v>
      </c>
      <c r="M1328" s="36">
        <v>0</v>
      </c>
      <c r="N1328" s="36">
        <v>0</v>
      </c>
      <c r="O1328" s="36">
        <v>413.55</v>
      </c>
      <c r="P1328" t="s">
        <v>162</v>
      </c>
      <c r="Q1328" t="s">
        <v>111</v>
      </c>
      <c r="R1328" t="s">
        <v>111</v>
      </c>
      <c r="S1328" s="1">
        <v>46064</v>
      </c>
      <c r="T1328" s="1">
        <v>46064</v>
      </c>
      <c r="U1328" s="1">
        <v>46063</v>
      </c>
      <c r="V1328" s="1">
        <v>46428</v>
      </c>
      <c r="W1328" t="s">
        <v>38</v>
      </c>
      <c r="X1328">
        <v>12</v>
      </c>
      <c r="Y1328" t="s">
        <v>49</v>
      </c>
      <c r="Z1328" t="s">
        <v>81</v>
      </c>
      <c r="AA1328" t="s">
        <v>112</v>
      </c>
      <c r="AB1328">
        <v>12</v>
      </c>
      <c r="AC1328" t="s">
        <v>113</v>
      </c>
      <c r="AD1328" t="s">
        <v>138</v>
      </c>
      <c r="AE1328" t="s">
        <v>135</v>
      </c>
      <c r="AF1328" t="s">
        <v>119</v>
      </c>
      <c r="AG1328" t="str">
        <f t="shared" si="22"/>
        <v>CC 12x</v>
      </c>
      <c r="AH1328" t="str">
        <f>IF(AND(SUMIF(E:E,E1328,I:I)&gt;=400000,Q1328="B2G"),"n","")</f>
        <v/>
      </c>
    </row>
    <row r="1329" spans="1:34">
      <c r="A1329">
        <v>2026</v>
      </c>
      <c r="B1329">
        <v>2</v>
      </c>
      <c r="C1329" s="83">
        <v>201456728950</v>
      </c>
      <c r="D1329" t="s">
        <v>1310</v>
      </c>
      <c r="E1329">
        <v>55804649601</v>
      </c>
      <c r="F1329">
        <v>636036</v>
      </c>
      <c r="G1329">
        <v>51398430341</v>
      </c>
      <c r="H1329" t="s">
        <v>35</v>
      </c>
      <c r="I1329" s="36">
        <v>5514</v>
      </c>
      <c r="J1329" s="36">
        <v>5514</v>
      </c>
      <c r="K1329" s="85">
        <v>0</v>
      </c>
      <c r="L1329" s="36">
        <v>459.5</v>
      </c>
      <c r="M1329" s="36">
        <v>459.5</v>
      </c>
      <c r="N1329" s="36">
        <v>0</v>
      </c>
      <c r="O1329" s="36">
        <v>0</v>
      </c>
      <c r="P1329" t="s">
        <v>511</v>
      </c>
      <c r="Q1329" t="s">
        <v>300</v>
      </c>
      <c r="R1329" t="s">
        <v>300</v>
      </c>
      <c r="S1329" s="1">
        <v>46064</v>
      </c>
      <c r="T1329" s="1">
        <v>46064</v>
      </c>
      <c r="V1329" s="1">
        <v>46429</v>
      </c>
      <c r="W1329" t="s">
        <v>38</v>
      </c>
      <c r="X1329">
        <v>12</v>
      </c>
      <c r="Y1329" t="s">
        <v>49</v>
      </c>
      <c r="AA1329" t="s">
        <v>122</v>
      </c>
      <c r="AB1329">
        <v>12</v>
      </c>
      <c r="AC1329" t="s">
        <v>301</v>
      </c>
      <c r="AD1329" t="s">
        <v>138</v>
      </c>
      <c r="AE1329" t="s">
        <v>135</v>
      </c>
      <c r="AF1329" t="s">
        <v>119</v>
      </c>
      <c r="AG1329" t="str">
        <f t="shared" si="22"/>
        <v>Recorrente</v>
      </c>
      <c r="AH1329" t="str">
        <f>IF(AND(SUMIF(E:E,E1329,I:I)&gt;=400000,Q1329="B2G"),"n","")</f>
        <v/>
      </c>
    </row>
    <row r="1330" spans="1:34">
      <c r="A1330">
        <v>2026</v>
      </c>
      <c r="B1330">
        <v>2</v>
      </c>
      <c r="C1330" s="83">
        <v>201477941844</v>
      </c>
      <c r="D1330" t="s">
        <v>1311</v>
      </c>
      <c r="E1330">
        <v>54841511594</v>
      </c>
      <c r="F1330">
        <v>626249</v>
      </c>
      <c r="G1330">
        <v>50262796865</v>
      </c>
      <c r="H1330" t="s">
        <v>35</v>
      </c>
      <c r="I1330" s="36">
        <v>4574.88</v>
      </c>
      <c r="J1330" s="36">
        <v>4574.88</v>
      </c>
      <c r="K1330" s="85">
        <v>0</v>
      </c>
      <c r="L1330" s="36">
        <v>381.24</v>
      </c>
      <c r="M1330" s="36">
        <v>0</v>
      </c>
      <c r="N1330" s="36">
        <v>0</v>
      </c>
      <c r="O1330" s="36">
        <v>381.24</v>
      </c>
      <c r="P1330" t="s">
        <v>116</v>
      </c>
      <c r="Q1330" t="s">
        <v>111</v>
      </c>
      <c r="R1330" t="s">
        <v>111</v>
      </c>
      <c r="S1330" s="1">
        <v>46050</v>
      </c>
      <c r="T1330" s="1">
        <v>46054</v>
      </c>
      <c r="U1330" s="1">
        <v>46060</v>
      </c>
      <c r="V1330" s="1">
        <v>46425</v>
      </c>
      <c r="W1330" t="s">
        <v>38</v>
      </c>
      <c r="X1330">
        <v>12</v>
      </c>
      <c r="Y1330" t="s">
        <v>49</v>
      </c>
      <c r="Z1330" t="s">
        <v>76</v>
      </c>
      <c r="AA1330" t="s">
        <v>117</v>
      </c>
      <c r="AB1330">
        <v>1</v>
      </c>
      <c r="AC1330" t="s">
        <v>113</v>
      </c>
      <c r="AD1330" t="s">
        <v>149</v>
      </c>
      <c r="AE1330" t="s">
        <v>43</v>
      </c>
      <c r="AF1330" t="s">
        <v>96</v>
      </c>
      <c r="AG1330" t="str">
        <f t="shared" si="22"/>
        <v>À Vista</v>
      </c>
      <c r="AH1330" t="str">
        <f>IF(AND(SUMIF(E:E,E1330,I:I)&gt;=400000,Q1330="B2G"),"n","")</f>
        <v/>
      </c>
    </row>
    <row r="1331" spans="1:34">
      <c r="A1331">
        <v>2026</v>
      </c>
      <c r="B1331">
        <v>2</v>
      </c>
      <c r="C1331" s="83">
        <v>201477941844</v>
      </c>
      <c r="D1331" t="s">
        <v>1311</v>
      </c>
      <c r="E1331">
        <v>54841511594</v>
      </c>
      <c r="F1331">
        <v>626249</v>
      </c>
      <c r="G1331">
        <v>50262796866</v>
      </c>
      <c r="H1331" t="s">
        <v>35</v>
      </c>
      <c r="I1331" s="36">
        <v>4574.88</v>
      </c>
      <c r="J1331" s="36">
        <v>4574.88</v>
      </c>
      <c r="K1331" s="85">
        <v>0</v>
      </c>
      <c r="L1331" s="36">
        <v>381.24</v>
      </c>
      <c r="M1331" s="36">
        <v>0</v>
      </c>
      <c r="N1331" s="36">
        <v>0</v>
      </c>
      <c r="O1331" s="36">
        <v>381.24</v>
      </c>
      <c r="P1331" t="s">
        <v>116</v>
      </c>
      <c r="Q1331" t="s">
        <v>111</v>
      </c>
      <c r="R1331" t="s">
        <v>111</v>
      </c>
      <c r="S1331" s="1">
        <v>46050</v>
      </c>
      <c r="T1331" s="1">
        <v>46054</v>
      </c>
      <c r="U1331" s="1">
        <v>46060</v>
      </c>
      <c r="V1331" s="1">
        <v>46425</v>
      </c>
      <c r="W1331" t="s">
        <v>38</v>
      </c>
      <c r="X1331">
        <v>12</v>
      </c>
      <c r="Y1331" t="s">
        <v>49</v>
      </c>
      <c r="Z1331" t="s">
        <v>76</v>
      </c>
      <c r="AA1331" t="s">
        <v>117</v>
      </c>
      <c r="AB1331">
        <v>1</v>
      </c>
      <c r="AC1331" t="s">
        <v>113</v>
      </c>
      <c r="AD1331" t="s">
        <v>149</v>
      </c>
      <c r="AE1331" t="s">
        <v>43</v>
      </c>
      <c r="AF1331" t="s">
        <v>96</v>
      </c>
      <c r="AG1331" t="str">
        <f t="shared" si="22"/>
        <v>À Vista</v>
      </c>
      <c r="AH1331" t="str">
        <f>IF(AND(SUMIF(E:E,E1331,I:I)&gt;=400000,Q1331="B2G"),"n","")</f>
        <v/>
      </c>
    </row>
    <row r="1332" spans="1:34">
      <c r="A1332">
        <v>2026</v>
      </c>
      <c r="B1332">
        <v>2</v>
      </c>
      <c r="C1332" s="83">
        <v>201504445465</v>
      </c>
      <c r="D1332" t="s">
        <v>1312</v>
      </c>
      <c r="E1332">
        <v>56020391988</v>
      </c>
      <c r="F1332">
        <v>636055</v>
      </c>
      <c r="G1332">
        <v>51425058667</v>
      </c>
      <c r="H1332" t="s">
        <v>35</v>
      </c>
      <c r="I1332" s="36">
        <v>1724.4</v>
      </c>
      <c r="J1332" s="36">
        <v>1724.4</v>
      </c>
      <c r="K1332" s="85">
        <v>2.2737400000000001E-13</v>
      </c>
      <c r="L1332" s="36">
        <v>143.69999999999999</v>
      </c>
      <c r="M1332" s="36">
        <v>143.69999999999999</v>
      </c>
      <c r="N1332" s="36">
        <v>0</v>
      </c>
      <c r="O1332" s="36">
        <v>0</v>
      </c>
      <c r="P1332" t="s">
        <v>829</v>
      </c>
      <c r="Q1332" t="s">
        <v>300</v>
      </c>
      <c r="R1332" t="s">
        <v>80</v>
      </c>
      <c r="S1332" s="1">
        <v>46064</v>
      </c>
      <c r="T1332" s="1">
        <v>46064</v>
      </c>
      <c r="U1332" s="1"/>
      <c r="V1332" s="1">
        <v>46429</v>
      </c>
      <c r="W1332" t="s">
        <v>38</v>
      </c>
      <c r="X1332">
        <v>12</v>
      </c>
      <c r="Y1332" t="s">
        <v>49</v>
      </c>
      <c r="AA1332" t="s">
        <v>112</v>
      </c>
      <c r="AB1332">
        <v>12</v>
      </c>
      <c r="AC1332" t="s">
        <v>495</v>
      </c>
      <c r="AD1332" t="s">
        <v>118</v>
      </c>
      <c r="AE1332" t="s">
        <v>43</v>
      </c>
      <c r="AF1332" t="s">
        <v>119</v>
      </c>
      <c r="AG1332" t="str">
        <f t="shared" si="22"/>
        <v>CC 12x</v>
      </c>
      <c r="AH1332" t="str">
        <f>IF(AND(SUMIF(E:E,E1332,I:I)&gt;=400000,Q1332="B2G"),"n","")</f>
        <v/>
      </c>
    </row>
    <row r="1333" spans="1:34">
      <c r="A1333">
        <v>2026</v>
      </c>
      <c r="B1333">
        <v>2</v>
      </c>
      <c r="C1333" s="83">
        <v>201531263547</v>
      </c>
      <c r="D1333" t="s">
        <v>1313</v>
      </c>
      <c r="E1333">
        <v>54054507947</v>
      </c>
      <c r="F1333">
        <v>624175</v>
      </c>
      <c r="G1333">
        <v>51983604505</v>
      </c>
      <c r="H1333" t="s">
        <v>35</v>
      </c>
      <c r="I1333" s="36">
        <v>4278.84</v>
      </c>
      <c r="J1333" s="36">
        <v>4278.84</v>
      </c>
      <c r="K1333" s="85">
        <v>0</v>
      </c>
      <c r="L1333" s="36">
        <v>356.57</v>
      </c>
      <c r="M1333" s="36">
        <v>356.57</v>
      </c>
      <c r="N1333" s="36">
        <v>0</v>
      </c>
      <c r="O1333" s="36">
        <v>0</v>
      </c>
      <c r="P1333" t="s">
        <v>121</v>
      </c>
      <c r="Q1333" t="s">
        <v>111</v>
      </c>
      <c r="R1333" t="s">
        <v>111</v>
      </c>
      <c r="S1333" s="1">
        <v>46073</v>
      </c>
      <c r="T1333" s="1">
        <v>46073</v>
      </c>
      <c r="U1333" s="1">
        <v>45987</v>
      </c>
      <c r="V1333" s="1">
        <v>46445</v>
      </c>
      <c r="W1333" t="s">
        <v>38</v>
      </c>
      <c r="X1333">
        <v>15</v>
      </c>
      <c r="Y1333" t="s">
        <v>49</v>
      </c>
      <c r="Z1333" t="s">
        <v>81</v>
      </c>
      <c r="AA1333" t="s">
        <v>122</v>
      </c>
      <c r="AB1333">
        <v>12</v>
      </c>
      <c r="AC1333" t="s">
        <v>113</v>
      </c>
      <c r="AD1333" t="s">
        <v>84</v>
      </c>
      <c r="AE1333" t="s">
        <v>43</v>
      </c>
      <c r="AF1333" t="s">
        <v>44</v>
      </c>
      <c r="AG1333" t="str">
        <f t="shared" si="22"/>
        <v>Recorrente</v>
      </c>
      <c r="AH1333" t="str">
        <f>IF(AND(SUMIF(E:E,E1333,I:I)&gt;=400000,Q1333="B2G"),"n","")</f>
        <v/>
      </c>
    </row>
    <row r="1334" spans="1:34">
      <c r="A1334">
        <v>2026</v>
      </c>
      <c r="B1334">
        <v>2</v>
      </c>
      <c r="C1334" s="83">
        <v>201566179859</v>
      </c>
      <c r="D1334" t="s">
        <v>1314</v>
      </c>
      <c r="E1334">
        <v>52335399556</v>
      </c>
      <c r="F1334">
        <v>608644</v>
      </c>
      <c r="G1334">
        <v>47455703906</v>
      </c>
      <c r="H1334" t="s">
        <v>35</v>
      </c>
      <c r="I1334" s="36">
        <v>2874</v>
      </c>
      <c r="J1334" s="36">
        <v>2874</v>
      </c>
      <c r="K1334" s="85">
        <v>0</v>
      </c>
      <c r="L1334" s="36">
        <v>239.5</v>
      </c>
      <c r="M1334" s="36">
        <v>0</v>
      </c>
      <c r="N1334" s="36">
        <v>20.420000000000002</v>
      </c>
      <c r="O1334" s="36">
        <v>219.08</v>
      </c>
      <c r="P1334" t="s">
        <v>165</v>
      </c>
      <c r="Q1334" t="s">
        <v>166</v>
      </c>
      <c r="R1334" t="s">
        <v>166</v>
      </c>
      <c r="S1334" s="1">
        <v>46058</v>
      </c>
      <c r="T1334" s="1">
        <v>46058</v>
      </c>
      <c r="U1334" s="1">
        <v>46058</v>
      </c>
      <c r="V1334" s="1">
        <v>46423</v>
      </c>
      <c r="W1334" t="s">
        <v>38</v>
      </c>
      <c r="X1334">
        <v>12</v>
      </c>
      <c r="Y1334" t="s">
        <v>49</v>
      </c>
      <c r="Z1334" t="s">
        <v>81</v>
      </c>
      <c r="AA1334" t="s">
        <v>122</v>
      </c>
      <c r="AB1334">
        <v>12</v>
      </c>
      <c r="AC1334" t="s">
        <v>166</v>
      </c>
      <c r="AD1334" t="s">
        <v>118</v>
      </c>
      <c r="AE1334" t="s">
        <v>43</v>
      </c>
      <c r="AF1334" t="s">
        <v>119</v>
      </c>
      <c r="AG1334" t="str">
        <f t="shared" si="22"/>
        <v>Recorrente</v>
      </c>
      <c r="AH1334" t="str">
        <f>IF(AND(SUMIF(E:E,E1334,I:I)&gt;=400000,Q1334="B2G"),"n","")</f>
        <v/>
      </c>
    </row>
    <row r="1335" spans="1:34">
      <c r="A1335">
        <v>2026</v>
      </c>
      <c r="B1335">
        <v>2</v>
      </c>
      <c r="C1335" s="83">
        <v>201576925857</v>
      </c>
      <c r="D1335" t="s">
        <v>1315</v>
      </c>
      <c r="E1335">
        <v>56037334890</v>
      </c>
      <c r="F1335">
        <v>636056</v>
      </c>
      <c r="G1335">
        <v>51427242578</v>
      </c>
      <c r="H1335" t="s">
        <v>35</v>
      </c>
      <c r="I1335" s="36">
        <v>4832.6400000000003</v>
      </c>
      <c r="J1335" s="36">
        <v>4832.6400000000003</v>
      </c>
      <c r="K1335" s="85">
        <v>9.0949500000000005E-13</v>
      </c>
      <c r="L1335" s="36">
        <v>402.72</v>
      </c>
      <c r="M1335" s="36">
        <v>402.72</v>
      </c>
      <c r="N1335" s="36">
        <v>0</v>
      </c>
      <c r="O1335" s="36">
        <v>0</v>
      </c>
      <c r="P1335" t="s">
        <v>829</v>
      </c>
      <c r="Q1335" t="s">
        <v>300</v>
      </c>
      <c r="R1335" t="s">
        <v>300</v>
      </c>
      <c r="S1335" s="1">
        <v>46064</v>
      </c>
      <c r="T1335" s="1">
        <v>46064</v>
      </c>
      <c r="U1335" s="1"/>
      <c r="V1335" s="1">
        <v>46429</v>
      </c>
      <c r="W1335" t="s">
        <v>38</v>
      </c>
      <c r="X1335">
        <v>12</v>
      </c>
      <c r="Y1335" t="s">
        <v>49</v>
      </c>
      <c r="AA1335" t="s">
        <v>112</v>
      </c>
      <c r="AB1335">
        <v>12</v>
      </c>
      <c r="AC1335" t="s">
        <v>301</v>
      </c>
      <c r="AD1335" t="s">
        <v>84</v>
      </c>
      <c r="AE1335" t="s">
        <v>43</v>
      </c>
      <c r="AF1335" t="s">
        <v>44</v>
      </c>
      <c r="AG1335" t="str">
        <f t="shared" si="22"/>
        <v>CC 12x</v>
      </c>
      <c r="AH1335" t="str">
        <f>IF(AND(SUMIF(E:E,E1335,I:I)&gt;=400000,Q1335="B2G"),"n","")</f>
        <v/>
      </c>
    </row>
    <row r="1336" spans="1:34">
      <c r="A1336">
        <v>2026</v>
      </c>
      <c r="B1336">
        <v>2</v>
      </c>
      <c r="C1336" s="83">
        <v>201585977372</v>
      </c>
      <c r="D1336" t="s">
        <v>1316</v>
      </c>
      <c r="E1336">
        <v>56146820685</v>
      </c>
      <c r="F1336">
        <v>636090</v>
      </c>
      <c r="G1336">
        <v>51425099634</v>
      </c>
      <c r="H1336" t="s">
        <v>35</v>
      </c>
      <c r="I1336" s="36">
        <v>2340</v>
      </c>
      <c r="J1336" s="36">
        <v>2340</v>
      </c>
      <c r="K1336" s="85">
        <v>0</v>
      </c>
      <c r="L1336" s="36">
        <v>195</v>
      </c>
      <c r="M1336" s="36">
        <v>195</v>
      </c>
      <c r="N1336" s="36">
        <v>0</v>
      </c>
      <c r="O1336" s="36">
        <v>0</v>
      </c>
      <c r="P1336" t="s">
        <v>511</v>
      </c>
      <c r="Q1336" t="s">
        <v>300</v>
      </c>
      <c r="R1336" t="s">
        <v>300</v>
      </c>
      <c r="S1336" s="1">
        <v>46066</v>
      </c>
      <c r="T1336" s="1">
        <v>46066</v>
      </c>
      <c r="U1336" s="1"/>
      <c r="V1336" s="1">
        <v>46431</v>
      </c>
      <c r="W1336" t="s">
        <v>38</v>
      </c>
      <c r="X1336">
        <v>12</v>
      </c>
      <c r="Y1336" t="s">
        <v>49</v>
      </c>
      <c r="AA1336" t="s">
        <v>112</v>
      </c>
      <c r="AB1336">
        <v>12</v>
      </c>
      <c r="AC1336" t="s">
        <v>301</v>
      </c>
      <c r="AD1336" t="s">
        <v>140</v>
      </c>
      <c r="AE1336" t="s">
        <v>46</v>
      </c>
      <c r="AF1336" t="s">
        <v>119</v>
      </c>
      <c r="AG1336" t="str">
        <f t="shared" si="22"/>
        <v>CC 12x</v>
      </c>
      <c r="AH1336" t="str">
        <f>IF(AND(SUMIF(E:E,E1336,I:I)&gt;=400000,Q1336="B2G"),"n","")</f>
        <v/>
      </c>
    </row>
    <row r="1337" spans="1:34">
      <c r="A1337">
        <v>2026</v>
      </c>
      <c r="B1337">
        <v>2</v>
      </c>
      <c r="C1337" s="83">
        <v>201590847897</v>
      </c>
      <c r="D1337" t="s">
        <v>1317</v>
      </c>
      <c r="E1337">
        <v>53629705109</v>
      </c>
      <c r="F1337">
        <v>504887</v>
      </c>
      <c r="G1337">
        <v>51101025933</v>
      </c>
      <c r="H1337" t="s">
        <v>35</v>
      </c>
      <c r="I1337" s="36">
        <v>5514</v>
      </c>
      <c r="J1337" s="36">
        <v>5514</v>
      </c>
      <c r="K1337" s="85">
        <v>0</v>
      </c>
      <c r="L1337" s="36">
        <v>459.5</v>
      </c>
      <c r="M1337" s="36">
        <v>0</v>
      </c>
      <c r="N1337" s="36">
        <v>0</v>
      </c>
      <c r="O1337" s="36">
        <v>459.5</v>
      </c>
      <c r="P1337" t="s">
        <v>127</v>
      </c>
      <c r="Q1337" t="s">
        <v>111</v>
      </c>
      <c r="R1337" t="s">
        <v>111</v>
      </c>
      <c r="S1337" s="1">
        <v>46062</v>
      </c>
      <c r="T1337" s="1">
        <v>46054</v>
      </c>
      <c r="U1337" s="1">
        <v>46033</v>
      </c>
      <c r="V1337" s="1">
        <v>46427</v>
      </c>
      <c r="W1337" t="s">
        <v>38</v>
      </c>
      <c r="X1337">
        <v>13</v>
      </c>
      <c r="Y1337" t="s">
        <v>49</v>
      </c>
      <c r="Z1337" t="s">
        <v>76</v>
      </c>
      <c r="AA1337" t="s">
        <v>122</v>
      </c>
      <c r="AB1337">
        <v>12</v>
      </c>
      <c r="AC1337" t="s">
        <v>113</v>
      </c>
      <c r="AD1337" t="s">
        <v>138</v>
      </c>
      <c r="AE1337" t="s">
        <v>135</v>
      </c>
      <c r="AF1337" t="s">
        <v>119</v>
      </c>
      <c r="AG1337" t="str">
        <f t="shared" si="22"/>
        <v>Recorrente</v>
      </c>
      <c r="AH1337" t="str">
        <f>IF(AND(SUMIF(E:E,E1337,I:I)&gt;=400000,Q1337="B2G"),"n","")</f>
        <v/>
      </c>
    </row>
    <row r="1338" spans="1:34">
      <c r="A1338">
        <v>2026</v>
      </c>
      <c r="B1338">
        <v>2</v>
      </c>
      <c r="C1338" s="83">
        <v>201862359855</v>
      </c>
      <c r="D1338" t="s">
        <v>1318</v>
      </c>
      <c r="E1338">
        <v>56178130279</v>
      </c>
      <c r="F1338">
        <v>636080</v>
      </c>
      <c r="G1338">
        <v>51441175093</v>
      </c>
      <c r="H1338" t="s">
        <v>35</v>
      </c>
      <c r="I1338" s="36">
        <v>2874</v>
      </c>
      <c r="J1338" s="36">
        <v>2874</v>
      </c>
      <c r="K1338" s="85">
        <v>0</v>
      </c>
      <c r="L1338" s="36">
        <v>239.5</v>
      </c>
      <c r="M1338" s="36">
        <v>239.5</v>
      </c>
      <c r="N1338" s="36">
        <v>0</v>
      </c>
      <c r="O1338" s="36">
        <v>0</v>
      </c>
      <c r="P1338" t="s">
        <v>497</v>
      </c>
      <c r="Q1338" t="s">
        <v>498</v>
      </c>
      <c r="R1338" t="s">
        <v>498</v>
      </c>
      <c r="S1338" s="1">
        <v>46065</v>
      </c>
      <c r="T1338" s="1">
        <v>46065</v>
      </c>
      <c r="U1338" s="1"/>
      <c r="V1338" s="1">
        <v>46430</v>
      </c>
      <c r="W1338" t="s">
        <v>38</v>
      </c>
      <c r="X1338">
        <v>12</v>
      </c>
      <c r="Y1338" t="s">
        <v>49</v>
      </c>
      <c r="AA1338" t="s">
        <v>112</v>
      </c>
      <c r="AB1338">
        <v>12</v>
      </c>
      <c r="AC1338" t="s">
        <v>499</v>
      </c>
      <c r="AD1338" t="s">
        <v>118</v>
      </c>
      <c r="AE1338" t="s">
        <v>43</v>
      </c>
      <c r="AF1338" t="s">
        <v>119</v>
      </c>
      <c r="AG1338" t="str">
        <f t="shared" si="22"/>
        <v>CC 12x</v>
      </c>
      <c r="AH1338" t="str">
        <f>IF(AND(SUMIF(E:E,E1338,I:I)&gt;=400000,Q1338="B2G"),"n","")</f>
        <v/>
      </c>
    </row>
    <row r="1339" spans="1:34">
      <c r="A1339">
        <v>2026</v>
      </c>
      <c r="B1339">
        <v>2</v>
      </c>
      <c r="C1339" s="83">
        <v>201865313954</v>
      </c>
      <c r="D1339" t="s">
        <v>1319</v>
      </c>
      <c r="E1339">
        <v>56204711718</v>
      </c>
      <c r="F1339">
        <v>636086</v>
      </c>
      <c r="G1339">
        <v>51494179402</v>
      </c>
      <c r="H1339" t="s">
        <v>35</v>
      </c>
      <c r="I1339" s="36">
        <v>3519.96</v>
      </c>
      <c r="J1339" s="36">
        <v>3519.96</v>
      </c>
      <c r="K1339" s="85">
        <v>0</v>
      </c>
      <c r="L1339" s="36">
        <v>293.33</v>
      </c>
      <c r="M1339" s="36">
        <v>293.33</v>
      </c>
      <c r="N1339" s="36">
        <v>0</v>
      </c>
      <c r="O1339" s="36">
        <v>0</v>
      </c>
      <c r="P1339" t="s">
        <v>1073</v>
      </c>
      <c r="Q1339" t="s">
        <v>314</v>
      </c>
      <c r="R1339" t="s">
        <v>314</v>
      </c>
      <c r="S1339" s="1">
        <v>46066</v>
      </c>
      <c r="T1339" s="1">
        <v>46066</v>
      </c>
      <c r="U1339" s="1"/>
      <c r="V1339" s="1">
        <v>46431</v>
      </c>
      <c r="W1339" t="s">
        <v>38</v>
      </c>
      <c r="X1339">
        <v>12</v>
      </c>
      <c r="Y1339" t="s">
        <v>49</v>
      </c>
      <c r="AA1339" t="s">
        <v>112</v>
      </c>
      <c r="AB1339">
        <v>12</v>
      </c>
      <c r="AC1339" t="s">
        <v>315</v>
      </c>
      <c r="AD1339" t="s">
        <v>160</v>
      </c>
      <c r="AE1339" t="s">
        <v>43</v>
      </c>
      <c r="AF1339" t="s">
        <v>44</v>
      </c>
      <c r="AG1339" t="str">
        <f t="shared" si="22"/>
        <v>CC 12x</v>
      </c>
      <c r="AH1339" t="str">
        <f>IF(AND(SUMIF(E:E,E1339,I:I)&gt;=400000,Q1339="B2G"),"n","")</f>
        <v/>
      </c>
    </row>
    <row r="1340" spans="1:34">
      <c r="A1340">
        <v>2026</v>
      </c>
      <c r="B1340">
        <v>2</v>
      </c>
      <c r="C1340" s="83">
        <v>201888899072</v>
      </c>
      <c r="D1340" t="s">
        <v>1320</v>
      </c>
      <c r="E1340">
        <v>56178629985</v>
      </c>
      <c r="F1340">
        <v>636082</v>
      </c>
      <c r="G1340">
        <v>51336343983</v>
      </c>
      <c r="H1340" t="s">
        <v>104</v>
      </c>
      <c r="I1340" s="36">
        <v>718.8</v>
      </c>
      <c r="J1340" s="36">
        <v>718.8</v>
      </c>
      <c r="K1340" s="85">
        <v>0</v>
      </c>
      <c r="L1340" s="36">
        <v>59.9</v>
      </c>
      <c r="M1340" s="36">
        <v>59.9</v>
      </c>
      <c r="N1340" s="36">
        <v>0</v>
      </c>
      <c r="O1340" s="36">
        <v>0</v>
      </c>
      <c r="P1340" t="s">
        <v>497</v>
      </c>
      <c r="Q1340" t="s">
        <v>498</v>
      </c>
      <c r="R1340" t="s">
        <v>498</v>
      </c>
      <c r="S1340" s="1">
        <v>46065</v>
      </c>
      <c r="T1340" s="1">
        <v>46065</v>
      </c>
      <c r="V1340" s="1">
        <v>46430</v>
      </c>
      <c r="W1340" t="s">
        <v>38</v>
      </c>
      <c r="X1340">
        <v>12</v>
      </c>
      <c r="Y1340" t="s">
        <v>49</v>
      </c>
      <c r="AA1340" t="s">
        <v>117</v>
      </c>
      <c r="AB1340">
        <v>1</v>
      </c>
      <c r="AC1340" t="s">
        <v>499</v>
      </c>
      <c r="AD1340" t="s">
        <v>105</v>
      </c>
      <c r="AE1340" t="s">
        <v>106</v>
      </c>
      <c r="AF1340" t="s">
        <v>59</v>
      </c>
      <c r="AG1340" t="str">
        <f t="shared" si="22"/>
        <v>À Vista</v>
      </c>
      <c r="AH1340" t="str">
        <f>IF(AND(SUMIF(E:E,E1340,I:I)&gt;=400000,Q1340="B2G"),"n","")</f>
        <v/>
      </c>
    </row>
    <row r="1341" spans="1:34">
      <c r="A1341">
        <v>2026</v>
      </c>
      <c r="B1341">
        <v>2</v>
      </c>
      <c r="C1341" s="83">
        <v>201912050953</v>
      </c>
      <c r="D1341" t="s">
        <v>1321</v>
      </c>
      <c r="E1341">
        <v>56179167075</v>
      </c>
      <c r="F1341">
        <v>636083</v>
      </c>
      <c r="G1341">
        <v>51479909511</v>
      </c>
      <c r="H1341" t="s">
        <v>104</v>
      </c>
      <c r="I1341" s="36">
        <v>718.8</v>
      </c>
      <c r="J1341" s="36">
        <v>718.8</v>
      </c>
      <c r="K1341" s="85">
        <v>0</v>
      </c>
      <c r="L1341" s="36">
        <v>59.9</v>
      </c>
      <c r="M1341" s="36">
        <v>59.9</v>
      </c>
      <c r="N1341" s="36">
        <v>0</v>
      </c>
      <c r="O1341" s="36">
        <v>0</v>
      </c>
      <c r="P1341" t="s">
        <v>497</v>
      </c>
      <c r="Q1341" t="s">
        <v>498</v>
      </c>
      <c r="R1341" t="s">
        <v>498</v>
      </c>
      <c r="S1341" s="1">
        <v>46065</v>
      </c>
      <c r="T1341" s="1">
        <v>46065</v>
      </c>
      <c r="U1341" s="1"/>
      <c r="V1341" s="1">
        <v>46430</v>
      </c>
      <c r="W1341" t="s">
        <v>38</v>
      </c>
      <c r="X1341">
        <v>12</v>
      </c>
      <c r="Y1341" t="s">
        <v>49</v>
      </c>
      <c r="AA1341" t="s">
        <v>112</v>
      </c>
      <c r="AB1341">
        <v>8</v>
      </c>
      <c r="AC1341" t="s">
        <v>499</v>
      </c>
      <c r="AD1341" t="s">
        <v>105</v>
      </c>
      <c r="AE1341" t="s">
        <v>106</v>
      </c>
      <c r="AF1341" t="s">
        <v>59</v>
      </c>
      <c r="AG1341" t="str">
        <f t="shared" si="22"/>
        <v>CC 12x</v>
      </c>
      <c r="AH1341" t="str">
        <f>IF(AND(SUMIF(E:E,E1341,I:I)&gt;=400000,Q1341="B2G"),"n","")</f>
        <v/>
      </c>
    </row>
    <row r="1342" spans="1:34">
      <c r="A1342">
        <v>2026</v>
      </c>
      <c r="B1342">
        <v>2</v>
      </c>
      <c r="C1342" s="83">
        <v>202021484919</v>
      </c>
      <c r="D1342" t="s">
        <v>1322</v>
      </c>
      <c r="E1342">
        <v>56177643601</v>
      </c>
      <c r="F1342">
        <v>621003</v>
      </c>
      <c r="G1342">
        <v>51504604468</v>
      </c>
      <c r="H1342" t="s">
        <v>35</v>
      </c>
      <c r="I1342" s="36">
        <v>2982.24</v>
      </c>
      <c r="J1342" s="36">
        <v>1868.4</v>
      </c>
      <c r="K1342" s="85">
        <v>1113.8399999999999</v>
      </c>
      <c r="L1342" s="36">
        <v>155.69999999999999</v>
      </c>
      <c r="M1342" s="36">
        <v>0</v>
      </c>
      <c r="N1342" s="36">
        <v>155.69999999999999</v>
      </c>
      <c r="O1342" s="36">
        <v>0</v>
      </c>
      <c r="P1342" t="s">
        <v>804</v>
      </c>
      <c r="Q1342" t="s">
        <v>191</v>
      </c>
      <c r="R1342" t="s">
        <v>191</v>
      </c>
      <c r="S1342" s="1">
        <v>46066</v>
      </c>
      <c r="T1342" s="1">
        <v>46066</v>
      </c>
      <c r="U1342" s="1">
        <v>46649</v>
      </c>
      <c r="V1342" s="1">
        <v>46649</v>
      </c>
      <c r="W1342" t="s">
        <v>102</v>
      </c>
      <c r="X1342">
        <v>19</v>
      </c>
      <c r="Y1342" t="s">
        <v>49</v>
      </c>
      <c r="Z1342" t="s">
        <v>324</v>
      </c>
      <c r="AA1342" t="s">
        <v>122</v>
      </c>
      <c r="AB1342">
        <v>19</v>
      </c>
      <c r="AC1342" t="s">
        <v>192</v>
      </c>
      <c r="AD1342" t="s">
        <v>118</v>
      </c>
      <c r="AE1342" t="s">
        <v>43</v>
      </c>
      <c r="AF1342" t="s">
        <v>119</v>
      </c>
      <c r="AG1342" t="str">
        <f t="shared" si="22"/>
        <v>Recorrente</v>
      </c>
      <c r="AH1342" t="str">
        <f>IF(AND(SUMIF(E:E,E1342,I:I)&gt;=400000,Q1342="B2G"),"n","")</f>
        <v/>
      </c>
    </row>
    <row r="1343" spans="1:34">
      <c r="A1343">
        <v>2026</v>
      </c>
      <c r="B1343">
        <v>2</v>
      </c>
      <c r="C1343" s="83">
        <v>202021648385</v>
      </c>
      <c r="D1343" t="s">
        <v>1323</v>
      </c>
      <c r="E1343">
        <v>56611507379</v>
      </c>
      <c r="F1343">
        <v>328240</v>
      </c>
      <c r="G1343">
        <v>51901984876</v>
      </c>
      <c r="H1343" t="s">
        <v>35</v>
      </c>
      <c r="I1343" s="36">
        <v>2874</v>
      </c>
      <c r="J1343" s="36">
        <v>2874</v>
      </c>
      <c r="K1343" s="85">
        <v>0</v>
      </c>
      <c r="L1343" s="36">
        <v>239.5</v>
      </c>
      <c r="M1343" s="36">
        <v>239.5</v>
      </c>
      <c r="N1343" s="36">
        <v>0</v>
      </c>
      <c r="O1343" s="36">
        <v>0</v>
      </c>
      <c r="P1343" t="s">
        <v>121</v>
      </c>
      <c r="Q1343" t="s">
        <v>111</v>
      </c>
      <c r="R1343" t="s">
        <v>111</v>
      </c>
      <c r="S1343" s="1">
        <v>46071</v>
      </c>
      <c r="T1343" s="1">
        <v>46071</v>
      </c>
      <c r="U1343" s="1">
        <v>46037</v>
      </c>
      <c r="V1343" s="1">
        <v>46446</v>
      </c>
      <c r="W1343" t="s">
        <v>38</v>
      </c>
      <c r="X1343">
        <v>13</v>
      </c>
      <c r="Y1343" t="s">
        <v>49</v>
      </c>
      <c r="Z1343" t="s">
        <v>76</v>
      </c>
      <c r="AA1343" t="s">
        <v>122</v>
      </c>
      <c r="AB1343">
        <v>12</v>
      </c>
      <c r="AC1343" t="s">
        <v>113</v>
      </c>
      <c r="AD1343" t="s">
        <v>140</v>
      </c>
      <c r="AE1343" t="s">
        <v>46</v>
      </c>
      <c r="AF1343" t="s">
        <v>119</v>
      </c>
      <c r="AG1343" t="str">
        <f t="shared" si="22"/>
        <v>Recorrente</v>
      </c>
      <c r="AH1343" t="str">
        <f>IF(AND(SUMIF(E:E,E1343,I:I)&gt;=400000,Q1343="B2G"),"n","")</f>
        <v/>
      </c>
    </row>
    <row r="1344" spans="1:34">
      <c r="A1344">
        <v>2026</v>
      </c>
      <c r="B1344">
        <v>2</v>
      </c>
      <c r="C1344" s="83">
        <v>202022731276</v>
      </c>
      <c r="D1344" t="s">
        <v>1324</v>
      </c>
      <c r="E1344">
        <v>56200075341</v>
      </c>
      <c r="F1344">
        <v>636087</v>
      </c>
      <c r="G1344">
        <v>51499247368</v>
      </c>
      <c r="H1344" t="s">
        <v>35</v>
      </c>
      <c r="I1344" s="36">
        <v>5698.08</v>
      </c>
      <c r="J1344" s="36">
        <v>5698.08</v>
      </c>
      <c r="K1344" s="85">
        <v>0</v>
      </c>
      <c r="L1344" s="36">
        <v>474.84</v>
      </c>
      <c r="M1344" s="36">
        <v>474.84</v>
      </c>
      <c r="N1344" s="36">
        <v>0</v>
      </c>
      <c r="O1344" s="36">
        <v>0</v>
      </c>
      <c r="P1344" t="s">
        <v>1073</v>
      </c>
      <c r="Q1344" t="s">
        <v>314</v>
      </c>
      <c r="R1344" t="s">
        <v>314</v>
      </c>
      <c r="S1344" s="1">
        <v>46066</v>
      </c>
      <c r="T1344" s="1">
        <v>46066</v>
      </c>
      <c r="V1344" s="1">
        <v>46431</v>
      </c>
      <c r="W1344" t="s">
        <v>38</v>
      </c>
      <c r="X1344">
        <v>12</v>
      </c>
      <c r="Y1344" t="s">
        <v>49</v>
      </c>
      <c r="AA1344" t="s">
        <v>117</v>
      </c>
      <c r="AB1344">
        <v>1</v>
      </c>
      <c r="AC1344" t="s">
        <v>315</v>
      </c>
      <c r="AD1344" t="s">
        <v>125</v>
      </c>
      <c r="AE1344" t="s">
        <v>43</v>
      </c>
      <c r="AF1344" t="s">
        <v>47</v>
      </c>
      <c r="AG1344" t="str">
        <f t="shared" si="22"/>
        <v>À Vista</v>
      </c>
      <c r="AH1344" t="str">
        <f>IF(AND(SUMIF(E:E,E1344,I:I)&gt;=400000,Q1344="B2G"),"n","")</f>
        <v/>
      </c>
    </row>
    <row r="1345" spans="1:34">
      <c r="A1345">
        <v>2026</v>
      </c>
      <c r="B1345">
        <v>2</v>
      </c>
      <c r="C1345" s="83">
        <v>202123753004</v>
      </c>
      <c r="D1345" t="s">
        <v>1325</v>
      </c>
      <c r="E1345">
        <v>54615658093</v>
      </c>
      <c r="F1345">
        <v>328531</v>
      </c>
      <c r="G1345">
        <v>51890190506</v>
      </c>
      <c r="H1345" t="s">
        <v>35</v>
      </c>
      <c r="I1345" s="36">
        <v>4581</v>
      </c>
      <c r="J1345" s="36">
        <v>4581</v>
      </c>
      <c r="K1345" s="85">
        <v>0</v>
      </c>
      <c r="L1345" s="36">
        <v>381.75</v>
      </c>
      <c r="M1345" s="36">
        <v>0</v>
      </c>
      <c r="N1345" s="36">
        <v>0</v>
      </c>
      <c r="O1345" s="36">
        <v>381.75259999999997</v>
      </c>
      <c r="P1345" t="s">
        <v>110</v>
      </c>
      <c r="Q1345" t="s">
        <v>111</v>
      </c>
      <c r="R1345" t="s">
        <v>111</v>
      </c>
      <c r="S1345" s="1">
        <v>46072</v>
      </c>
      <c r="T1345" s="1">
        <v>46072</v>
      </c>
      <c r="U1345" s="1">
        <v>46068</v>
      </c>
      <c r="V1345" s="1">
        <v>46433</v>
      </c>
      <c r="W1345" t="s">
        <v>38</v>
      </c>
      <c r="X1345">
        <v>12</v>
      </c>
      <c r="Y1345" t="s">
        <v>49</v>
      </c>
      <c r="Z1345" t="s">
        <v>81</v>
      </c>
      <c r="AA1345" t="s">
        <v>122</v>
      </c>
      <c r="AB1345">
        <v>12</v>
      </c>
      <c r="AC1345" t="s">
        <v>113</v>
      </c>
      <c r="AD1345" t="s">
        <v>138</v>
      </c>
      <c r="AE1345" t="s">
        <v>135</v>
      </c>
      <c r="AF1345" t="s">
        <v>119</v>
      </c>
      <c r="AG1345" t="str">
        <f t="shared" si="22"/>
        <v>Recorrente</v>
      </c>
      <c r="AH1345" t="str">
        <f>IF(AND(SUMIF(E:E,E1345,I:I)&gt;=400000,Q1345="B2G"),"n","")</f>
        <v/>
      </c>
    </row>
    <row r="1346" spans="1:34">
      <c r="A1346">
        <v>2026</v>
      </c>
      <c r="B1346">
        <v>2</v>
      </c>
      <c r="C1346" s="83">
        <v>202141970312</v>
      </c>
      <c r="D1346" t="s">
        <v>1326</v>
      </c>
      <c r="E1346">
        <v>55836189503</v>
      </c>
      <c r="F1346">
        <v>636004</v>
      </c>
      <c r="G1346">
        <v>51100909142</v>
      </c>
      <c r="H1346" t="s">
        <v>35</v>
      </c>
      <c r="I1346" s="36">
        <v>4411.2</v>
      </c>
      <c r="J1346" s="36">
        <v>4411.2</v>
      </c>
      <c r="K1346" s="85">
        <v>0</v>
      </c>
      <c r="L1346" s="36">
        <v>367.6</v>
      </c>
      <c r="M1346" s="36">
        <v>367.6</v>
      </c>
      <c r="N1346" s="36">
        <v>0</v>
      </c>
      <c r="O1346" s="36">
        <v>0</v>
      </c>
      <c r="P1346" t="s">
        <v>829</v>
      </c>
      <c r="Q1346" t="s">
        <v>300</v>
      </c>
      <c r="R1346" t="s">
        <v>300</v>
      </c>
      <c r="S1346" s="1">
        <v>46062</v>
      </c>
      <c r="T1346" s="1">
        <v>46062</v>
      </c>
      <c r="V1346" s="1">
        <v>46427</v>
      </c>
      <c r="W1346" t="s">
        <v>38</v>
      </c>
      <c r="X1346">
        <v>12</v>
      </c>
      <c r="Y1346" t="s">
        <v>49</v>
      </c>
      <c r="AA1346" t="s">
        <v>112</v>
      </c>
      <c r="AB1346">
        <v>12</v>
      </c>
      <c r="AC1346" t="s">
        <v>301</v>
      </c>
      <c r="AD1346" t="s">
        <v>138</v>
      </c>
      <c r="AE1346" t="s">
        <v>135</v>
      </c>
      <c r="AF1346" t="s">
        <v>119</v>
      </c>
      <c r="AG1346" t="str">
        <f t="shared" si="22"/>
        <v>CC 12x</v>
      </c>
      <c r="AH1346" t="str">
        <f>IF(AND(SUMIF(E:E,E1346,I:I)&gt;=400000,Q1346="B2G"),"n","")</f>
        <v/>
      </c>
    </row>
    <row r="1347" spans="1:34">
      <c r="A1347">
        <v>2026</v>
      </c>
      <c r="B1347">
        <v>2</v>
      </c>
      <c r="C1347" s="83">
        <v>202167296891</v>
      </c>
      <c r="D1347" t="s">
        <v>1327</v>
      </c>
      <c r="E1347">
        <v>56253419181</v>
      </c>
      <c r="F1347">
        <v>636105</v>
      </c>
      <c r="G1347">
        <v>51567710305</v>
      </c>
      <c r="H1347" t="s">
        <v>35</v>
      </c>
      <c r="I1347" s="36">
        <v>2586.6</v>
      </c>
      <c r="J1347" s="36">
        <v>2586.6</v>
      </c>
      <c r="K1347" s="85">
        <v>0</v>
      </c>
      <c r="L1347" s="36">
        <v>215.55</v>
      </c>
      <c r="M1347" s="36">
        <v>215.55</v>
      </c>
      <c r="N1347" s="36">
        <v>0</v>
      </c>
      <c r="O1347" s="36">
        <v>0</v>
      </c>
      <c r="P1347" t="s">
        <v>511</v>
      </c>
      <c r="Q1347" t="s">
        <v>300</v>
      </c>
      <c r="R1347" t="s">
        <v>300</v>
      </c>
      <c r="S1347" s="1">
        <v>46066</v>
      </c>
      <c r="T1347" s="1">
        <v>46066</v>
      </c>
      <c r="V1347" s="1">
        <v>46431</v>
      </c>
      <c r="W1347" t="s">
        <v>38</v>
      </c>
      <c r="X1347">
        <v>12</v>
      </c>
      <c r="Y1347" t="s">
        <v>49</v>
      </c>
      <c r="AA1347" t="s">
        <v>112</v>
      </c>
      <c r="AB1347">
        <v>12</v>
      </c>
      <c r="AC1347" t="s">
        <v>301</v>
      </c>
      <c r="AD1347" t="s">
        <v>118</v>
      </c>
      <c r="AE1347" t="s">
        <v>43</v>
      </c>
      <c r="AF1347" t="s">
        <v>119</v>
      </c>
      <c r="AG1347" t="str">
        <f t="shared" si="22"/>
        <v>CC 12x</v>
      </c>
      <c r="AH1347" t="str">
        <f>IF(AND(SUMIF(E:E,E1347,I:I)&gt;=400000,Q1347="B2G"),"n","")</f>
        <v/>
      </c>
    </row>
    <row r="1348" spans="1:34">
      <c r="A1348">
        <v>2026</v>
      </c>
      <c r="B1348">
        <v>2</v>
      </c>
      <c r="C1348" s="83">
        <v>202196284417</v>
      </c>
      <c r="D1348" t="s">
        <v>1328</v>
      </c>
      <c r="E1348">
        <v>56599294322</v>
      </c>
      <c r="F1348">
        <v>528422</v>
      </c>
      <c r="G1348">
        <v>51905409674</v>
      </c>
      <c r="H1348" t="s">
        <v>35</v>
      </c>
      <c r="I1348" s="36">
        <v>5178.6000000000004</v>
      </c>
      <c r="J1348" s="36">
        <v>5178.6000000000004</v>
      </c>
      <c r="K1348" s="85">
        <v>0</v>
      </c>
      <c r="L1348" s="36">
        <v>431.55</v>
      </c>
      <c r="M1348" s="36">
        <v>0</v>
      </c>
      <c r="N1348" s="36">
        <v>32.4</v>
      </c>
      <c r="O1348" s="36">
        <v>399.15</v>
      </c>
      <c r="P1348" t="s">
        <v>127</v>
      </c>
      <c r="Q1348" t="s">
        <v>111</v>
      </c>
      <c r="R1348" t="s">
        <v>111</v>
      </c>
      <c r="S1348" s="1">
        <v>46071</v>
      </c>
      <c r="T1348" s="1">
        <v>46071</v>
      </c>
      <c r="U1348" s="1">
        <v>46080</v>
      </c>
      <c r="V1348" s="1">
        <v>46445</v>
      </c>
      <c r="W1348" t="s">
        <v>38</v>
      </c>
      <c r="X1348">
        <v>12</v>
      </c>
      <c r="Y1348" t="s">
        <v>49</v>
      </c>
      <c r="Z1348" t="s">
        <v>81</v>
      </c>
      <c r="AA1348" t="s">
        <v>112</v>
      </c>
      <c r="AB1348">
        <v>12</v>
      </c>
      <c r="AC1348" t="s">
        <v>113</v>
      </c>
      <c r="AD1348" t="s">
        <v>85</v>
      </c>
      <c r="AE1348" t="s">
        <v>46</v>
      </c>
      <c r="AF1348" t="s">
        <v>44</v>
      </c>
      <c r="AG1348" t="str">
        <f t="shared" si="22"/>
        <v>CC 12x</v>
      </c>
      <c r="AH1348" t="str">
        <f>IF(AND(SUMIF(E:E,E1348,I:I)&gt;=400000,Q1348="B2G"),"n","")</f>
        <v/>
      </c>
    </row>
    <row r="1349" spans="1:34">
      <c r="A1349">
        <v>2026</v>
      </c>
      <c r="B1349">
        <v>2</v>
      </c>
      <c r="C1349" s="83">
        <v>202422155686</v>
      </c>
      <c r="D1349" t="s">
        <v>1329</v>
      </c>
      <c r="E1349">
        <v>56239345829</v>
      </c>
      <c r="F1349">
        <v>636104</v>
      </c>
      <c r="G1349">
        <v>51504426338</v>
      </c>
      <c r="H1349" t="s">
        <v>35</v>
      </c>
      <c r="I1349" s="36">
        <v>2638.32</v>
      </c>
      <c r="J1349" s="36">
        <v>2638.3319999999999</v>
      </c>
      <c r="K1349" s="85">
        <v>0</v>
      </c>
      <c r="L1349" s="36">
        <v>219.86099999999999</v>
      </c>
      <c r="M1349" s="36">
        <v>219.86099999999999</v>
      </c>
      <c r="N1349" s="36">
        <v>0</v>
      </c>
      <c r="O1349" s="36">
        <v>0</v>
      </c>
      <c r="P1349" t="s">
        <v>506</v>
      </c>
      <c r="Q1349" t="s">
        <v>300</v>
      </c>
      <c r="R1349" t="s">
        <v>300</v>
      </c>
      <c r="S1349" s="1">
        <v>46066</v>
      </c>
      <c r="T1349" s="1">
        <v>46066</v>
      </c>
      <c r="V1349" s="1">
        <v>46431</v>
      </c>
      <c r="W1349" t="s">
        <v>38</v>
      </c>
      <c r="X1349">
        <v>12</v>
      </c>
      <c r="Y1349" t="s">
        <v>49</v>
      </c>
      <c r="AA1349" t="s">
        <v>112</v>
      </c>
      <c r="AB1349">
        <v>12</v>
      </c>
      <c r="AC1349" t="s">
        <v>301</v>
      </c>
      <c r="AD1349" t="s">
        <v>118</v>
      </c>
      <c r="AE1349" t="s">
        <v>43</v>
      </c>
      <c r="AF1349" t="s">
        <v>119</v>
      </c>
      <c r="AG1349" t="str">
        <f t="shared" si="22"/>
        <v>CC 12x</v>
      </c>
      <c r="AH1349" t="str">
        <f>IF(AND(SUMIF(E:E,E1349,I:I)&gt;=400000,Q1349="B2G"),"n","")</f>
        <v/>
      </c>
    </row>
    <row r="1350" spans="1:34">
      <c r="A1350">
        <v>2026</v>
      </c>
      <c r="B1350">
        <v>2</v>
      </c>
      <c r="C1350" s="83">
        <v>203045734728</v>
      </c>
      <c r="D1350" t="s">
        <v>1330</v>
      </c>
      <c r="E1350">
        <v>52930295162</v>
      </c>
      <c r="F1350">
        <v>319942</v>
      </c>
      <c r="G1350">
        <v>48221846304</v>
      </c>
      <c r="H1350" t="s">
        <v>35</v>
      </c>
      <c r="I1350" s="36">
        <v>5754</v>
      </c>
      <c r="J1350" s="36">
        <v>5754</v>
      </c>
      <c r="K1350" s="85">
        <v>0</v>
      </c>
      <c r="L1350" s="36">
        <v>479.5</v>
      </c>
      <c r="M1350" s="36">
        <v>0</v>
      </c>
      <c r="N1350" s="36">
        <v>26.5</v>
      </c>
      <c r="O1350" s="36">
        <v>453</v>
      </c>
      <c r="P1350" t="s">
        <v>165</v>
      </c>
      <c r="Q1350" t="s">
        <v>166</v>
      </c>
      <c r="R1350" t="s">
        <v>166</v>
      </c>
      <c r="S1350" s="1">
        <v>46069</v>
      </c>
      <c r="T1350" s="1">
        <v>46069</v>
      </c>
      <c r="U1350" s="1">
        <v>46069</v>
      </c>
      <c r="V1350" s="1">
        <v>46434</v>
      </c>
      <c r="W1350" t="s">
        <v>38</v>
      </c>
      <c r="X1350">
        <v>12</v>
      </c>
      <c r="Y1350" t="s">
        <v>49</v>
      </c>
      <c r="Z1350" t="s">
        <v>81</v>
      </c>
      <c r="AA1350" t="s">
        <v>122</v>
      </c>
      <c r="AB1350">
        <v>11</v>
      </c>
      <c r="AC1350" t="s">
        <v>166</v>
      </c>
      <c r="AD1350" t="s">
        <v>85</v>
      </c>
      <c r="AE1350" t="s">
        <v>46</v>
      </c>
      <c r="AF1350" t="s">
        <v>44</v>
      </c>
      <c r="AG1350" t="str">
        <f t="shared" si="22"/>
        <v>Recorrente</v>
      </c>
      <c r="AH1350" t="str">
        <f>IF(AND(SUMIF(E:E,E1350,I:I)&gt;=400000,Q1350="B2G"),"n","")</f>
        <v/>
      </c>
    </row>
    <row r="1351" spans="1:34">
      <c r="A1351">
        <v>2026</v>
      </c>
      <c r="B1351">
        <v>2</v>
      </c>
      <c r="C1351" s="83">
        <v>203082748529</v>
      </c>
      <c r="D1351" t="s">
        <v>1331</v>
      </c>
      <c r="E1351">
        <v>52886654272</v>
      </c>
      <c r="F1351">
        <v>626566</v>
      </c>
      <c r="G1351">
        <v>47980605482</v>
      </c>
      <c r="H1351" t="s">
        <v>35</v>
      </c>
      <c r="I1351" s="36">
        <v>2874</v>
      </c>
      <c r="J1351" s="36">
        <v>2874</v>
      </c>
      <c r="K1351" s="85">
        <v>0</v>
      </c>
      <c r="L1351" s="36">
        <v>239.5</v>
      </c>
      <c r="M1351" s="36">
        <v>0</v>
      </c>
      <c r="N1351" s="36">
        <v>0.5</v>
      </c>
      <c r="O1351" s="36">
        <v>239</v>
      </c>
      <c r="P1351" t="s">
        <v>165</v>
      </c>
      <c r="Q1351" t="s">
        <v>166</v>
      </c>
      <c r="R1351" t="s">
        <v>166</v>
      </c>
      <c r="S1351" s="1">
        <v>46066</v>
      </c>
      <c r="T1351" s="1">
        <v>46066</v>
      </c>
      <c r="U1351" s="1">
        <v>46066</v>
      </c>
      <c r="V1351" s="1">
        <v>46431</v>
      </c>
      <c r="W1351" t="s">
        <v>38</v>
      </c>
      <c r="X1351">
        <v>12</v>
      </c>
      <c r="Y1351" t="s">
        <v>49</v>
      </c>
      <c r="Z1351" t="s">
        <v>81</v>
      </c>
      <c r="AA1351" t="s">
        <v>112</v>
      </c>
      <c r="AB1351">
        <v>12</v>
      </c>
      <c r="AC1351" t="s">
        <v>166</v>
      </c>
      <c r="AD1351" t="s">
        <v>140</v>
      </c>
      <c r="AE1351" t="s">
        <v>46</v>
      </c>
      <c r="AF1351" t="s">
        <v>119</v>
      </c>
      <c r="AG1351" t="str">
        <f t="shared" si="22"/>
        <v>CC 12x</v>
      </c>
      <c r="AH1351" t="str">
        <f>IF(AND(SUMIF(E:E,E1351,I:I)&gt;=400000,Q1351="B2G"),"n","")</f>
        <v/>
      </c>
    </row>
    <row r="1352" spans="1:34">
      <c r="A1352">
        <v>2026</v>
      </c>
      <c r="B1352">
        <v>2</v>
      </c>
      <c r="C1352" s="83">
        <v>203328618335</v>
      </c>
      <c r="D1352" t="s">
        <v>1332</v>
      </c>
      <c r="E1352">
        <v>56501319226</v>
      </c>
      <c r="F1352">
        <v>636179</v>
      </c>
      <c r="G1352">
        <v>51984214904</v>
      </c>
      <c r="H1352" t="s">
        <v>35</v>
      </c>
      <c r="I1352" s="36">
        <v>5514</v>
      </c>
      <c r="J1352" s="36">
        <v>5514</v>
      </c>
      <c r="K1352" s="85">
        <v>0</v>
      </c>
      <c r="L1352" s="36">
        <v>459.5</v>
      </c>
      <c r="M1352" s="36">
        <v>459.5</v>
      </c>
      <c r="N1352" s="36">
        <v>0</v>
      </c>
      <c r="O1352" s="36">
        <v>0</v>
      </c>
      <c r="P1352" t="s">
        <v>829</v>
      </c>
      <c r="Q1352" t="s">
        <v>300</v>
      </c>
      <c r="R1352" t="s">
        <v>300</v>
      </c>
      <c r="S1352" s="1">
        <v>46073</v>
      </c>
      <c r="T1352" s="1">
        <v>46073</v>
      </c>
      <c r="V1352" s="1">
        <v>46438</v>
      </c>
      <c r="W1352" t="s">
        <v>38</v>
      </c>
      <c r="X1352">
        <v>12</v>
      </c>
      <c r="Y1352" t="s">
        <v>49</v>
      </c>
      <c r="AA1352" t="s">
        <v>122</v>
      </c>
      <c r="AB1352">
        <v>12</v>
      </c>
      <c r="AC1352" t="s">
        <v>301</v>
      </c>
      <c r="AD1352" t="s">
        <v>138</v>
      </c>
      <c r="AE1352" t="s">
        <v>135</v>
      </c>
      <c r="AF1352" t="s">
        <v>119</v>
      </c>
      <c r="AG1352" t="str">
        <f t="shared" si="22"/>
        <v>Recorrente</v>
      </c>
      <c r="AH1352" t="str">
        <f>IF(AND(SUMIF(E:E,E1352,I:I)&gt;=400000,Q1352="B2G"),"n","")</f>
        <v/>
      </c>
    </row>
    <row r="1353" spans="1:34">
      <c r="A1353">
        <v>2026</v>
      </c>
      <c r="B1353">
        <v>2</v>
      </c>
      <c r="C1353" s="83">
        <v>203336750959</v>
      </c>
      <c r="D1353" t="s">
        <v>1333</v>
      </c>
      <c r="E1353">
        <v>56546026655</v>
      </c>
      <c r="F1353">
        <v>636113</v>
      </c>
      <c r="G1353">
        <v>51801629794</v>
      </c>
      <c r="H1353" t="s">
        <v>35</v>
      </c>
      <c r="I1353" s="36">
        <v>2874</v>
      </c>
      <c r="J1353" s="36">
        <v>2874</v>
      </c>
      <c r="K1353" s="85">
        <v>0</v>
      </c>
      <c r="L1353" s="36">
        <v>239.5</v>
      </c>
      <c r="M1353" s="36">
        <v>239.5</v>
      </c>
      <c r="N1353" s="36">
        <v>0</v>
      </c>
      <c r="O1353" s="36">
        <v>0</v>
      </c>
      <c r="P1353" t="s">
        <v>497</v>
      </c>
      <c r="Q1353" t="s">
        <v>498</v>
      </c>
      <c r="R1353" t="s">
        <v>498</v>
      </c>
      <c r="S1353" s="1">
        <v>46070</v>
      </c>
      <c r="T1353" s="1">
        <v>46070</v>
      </c>
      <c r="U1353" s="1"/>
      <c r="V1353" s="1">
        <v>46435</v>
      </c>
      <c r="W1353" t="s">
        <v>38</v>
      </c>
      <c r="X1353">
        <v>12</v>
      </c>
      <c r="Y1353" t="s">
        <v>49</v>
      </c>
      <c r="AA1353" t="s">
        <v>117</v>
      </c>
      <c r="AB1353">
        <v>1</v>
      </c>
      <c r="AC1353" t="s">
        <v>499</v>
      </c>
      <c r="AD1353" t="s">
        <v>118</v>
      </c>
      <c r="AE1353" t="s">
        <v>43</v>
      </c>
      <c r="AF1353" t="s">
        <v>119</v>
      </c>
      <c r="AG1353" t="str">
        <f t="shared" si="22"/>
        <v>À Vista</v>
      </c>
      <c r="AH1353" t="str">
        <f>IF(AND(SUMIF(E:E,E1353,I:I)&gt;=400000,Q1353="B2G"),"n","")</f>
        <v/>
      </c>
    </row>
    <row r="1354" spans="1:34">
      <c r="A1354">
        <v>2026</v>
      </c>
      <c r="B1354">
        <v>2</v>
      </c>
      <c r="C1354" s="83">
        <v>203390997847</v>
      </c>
      <c r="D1354" t="s">
        <v>1334</v>
      </c>
      <c r="E1354">
        <v>53076681497</v>
      </c>
      <c r="F1354">
        <v>626090</v>
      </c>
      <c r="G1354">
        <v>52098996511</v>
      </c>
      <c r="H1354" t="s">
        <v>35</v>
      </c>
      <c r="I1354" s="36">
        <v>2730.24</v>
      </c>
      <c r="J1354" s="36">
        <v>2730.24</v>
      </c>
      <c r="K1354" s="85">
        <v>0</v>
      </c>
      <c r="L1354" s="36">
        <v>227.52</v>
      </c>
      <c r="M1354" s="36">
        <v>227.52</v>
      </c>
      <c r="N1354" s="36">
        <v>0</v>
      </c>
      <c r="O1354" s="36">
        <v>0</v>
      </c>
      <c r="P1354" t="s">
        <v>121</v>
      </c>
      <c r="Q1354" t="s">
        <v>111</v>
      </c>
      <c r="R1354" t="s">
        <v>111</v>
      </c>
      <c r="S1354" s="1">
        <v>46076</v>
      </c>
      <c r="T1354" s="1">
        <v>46076</v>
      </c>
      <c r="U1354" s="1">
        <v>46054</v>
      </c>
      <c r="V1354" s="1">
        <v>46441</v>
      </c>
      <c r="W1354" t="s">
        <v>38</v>
      </c>
      <c r="X1354">
        <v>12</v>
      </c>
      <c r="Y1354" t="s">
        <v>49</v>
      </c>
      <c r="Z1354" t="s">
        <v>81</v>
      </c>
      <c r="AA1354" t="s">
        <v>112</v>
      </c>
      <c r="AB1354">
        <v>12</v>
      </c>
      <c r="AC1354" t="s">
        <v>113</v>
      </c>
      <c r="AD1354" t="s">
        <v>140</v>
      </c>
      <c r="AE1354" t="s">
        <v>46</v>
      </c>
      <c r="AF1354" t="s">
        <v>119</v>
      </c>
      <c r="AG1354" t="str">
        <f t="shared" si="22"/>
        <v>CC 12x</v>
      </c>
      <c r="AH1354" t="str">
        <f>IF(AND(SUMIF(E:E,E1354,I:I)&gt;=400000,Q1354="B2G"),"n","")</f>
        <v/>
      </c>
    </row>
    <row r="1355" spans="1:34">
      <c r="A1355">
        <v>2026</v>
      </c>
      <c r="B1355">
        <v>2</v>
      </c>
      <c r="C1355" s="83">
        <v>203410582645</v>
      </c>
      <c r="D1355" t="s">
        <v>1335</v>
      </c>
      <c r="E1355">
        <v>56497318765</v>
      </c>
      <c r="F1355">
        <v>636116</v>
      </c>
      <c r="G1355">
        <v>51870256420</v>
      </c>
      <c r="H1355" t="s">
        <v>35</v>
      </c>
      <c r="I1355" s="36">
        <v>5514</v>
      </c>
      <c r="J1355" s="36">
        <v>5514</v>
      </c>
      <c r="K1355" s="85">
        <v>0</v>
      </c>
      <c r="L1355" s="36">
        <v>459.5</v>
      </c>
      <c r="M1355" s="36">
        <v>459.5</v>
      </c>
      <c r="N1355" s="36">
        <v>0</v>
      </c>
      <c r="O1355" s="36">
        <v>0</v>
      </c>
      <c r="P1355" t="s">
        <v>829</v>
      </c>
      <c r="Q1355" t="s">
        <v>300</v>
      </c>
      <c r="R1355" t="s">
        <v>300</v>
      </c>
      <c r="S1355" s="1">
        <v>46071</v>
      </c>
      <c r="T1355" s="1">
        <v>46071</v>
      </c>
      <c r="V1355" s="1">
        <v>46436</v>
      </c>
      <c r="W1355" t="s">
        <v>38</v>
      </c>
      <c r="X1355">
        <v>12</v>
      </c>
      <c r="Y1355" t="s">
        <v>49</v>
      </c>
      <c r="AA1355" t="s">
        <v>122</v>
      </c>
      <c r="AB1355">
        <v>12</v>
      </c>
      <c r="AC1355" t="s">
        <v>301</v>
      </c>
      <c r="AD1355" t="s">
        <v>138</v>
      </c>
      <c r="AE1355" t="s">
        <v>135</v>
      </c>
      <c r="AF1355" t="s">
        <v>119</v>
      </c>
      <c r="AG1355" t="str">
        <f t="shared" si="22"/>
        <v>Recorrente</v>
      </c>
      <c r="AH1355" t="str">
        <f>IF(AND(SUMIF(E:E,E1355,I:I)&gt;=400000,Q1355="B2G"),"n","")</f>
        <v/>
      </c>
    </row>
    <row r="1356" spans="1:34">
      <c r="A1356">
        <v>2026</v>
      </c>
      <c r="B1356">
        <v>2</v>
      </c>
      <c r="C1356" s="83">
        <v>203568971539</v>
      </c>
      <c r="D1356" t="s">
        <v>1336</v>
      </c>
      <c r="E1356">
        <v>55789862926</v>
      </c>
      <c r="F1356">
        <v>523921</v>
      </c>
      <c r="G1356">
        <v>51841765957</v>
      </c>
      <c r="H1356" t="s">
        <v>35</v>
      </c>
      <c r="I1356" s="36">
        <v>2586.6</v>
      </c>
      <c r="J1356" s="36">
        <v>2586.6</v>
      </c>
      <c r="K1356" s="85">
        <v>0</v>
      </c>
      <c r="L1356" s="36">
        <v>215.55</v>
      </c>
      <c r="M1356" s="36">
        <v>215.55</v>
      </c>
      <c r="N1356" s="36">
        <v>0</v>
      </c>
      <c r="O1356" s="36">
        <v>0</v>
      </c>
      <c r="P1356" t="s">
        <v>133</v>
      </c>
      <c r="Q1356" t="s">
        <v>111</v>
      </c>
      <c r="R1356" t="s">
        <v>111</v>
      </c>
      <c r="S1356" s="1">
        <v>46071</v>
      </c>
      <c r="T1356" s="1">
        <v>46071</v>
      </c>
      <c r="U1356" s="1">
        <v>46050</v>
      </c>
      <c r="V1356" s="1">
        <v>46446</v>
      </c>
      <c r="W1356" t="s">
        <v>38</v>
      </c>
      <c r="X1356">
        <v>13</v>
      </c>
      <c r="Y1356" t="s">
        <v>49</v>
      </c>
      <c r="Z1356" t="s">
        <v>81</v>
      </c>
      <c r="AA1356" t="s">
        <v>122</v>
      </c>
      <c r="AB1356">
        <v>12</v>
      </c>
      <c r="AC1356" t="s">
        <v>113</v>
      </c>
      <c r="AD1356" t="s">
        <v>140</v>
      </c>
      <c r="AE1356" t="s">
        <v>46</v>
      </c>
      <c r="AF1356" t="s">
        <v>119</v>
      </c>
      <c r="AG1356" t="str">
        <f t="shared" si="22"/>
        <v>Recorrente</v>
      </c>
      <c r="AH1356" t="str">
        <f>IF(AND(SUMIF(E:E,E1356,I:I)&gt;=400000,Q1356="B2G"),"n","")</f>
        <v/>
      </c>
    </row>
    <row r="1357" spans="1:34">
      <c r="A1357">
        <v>2026</v>
      </c>
      <c r="B1357">
        <v>2</v>
      </c>
      <c r="C1357" s="83">
        <v>203569621788</v>
      </c>
      <c r="D1357" t="s">
        <v>1337</v>
      </c>
      <c r="E1357">
        <v>56584490836</v>
      </c>
      <c r="F1357">
        <v>636172</v>
      </c>
      <c r="G1357">
        <v>51909829803</v>
      </c>
      <c r="H1357" t="s">
        <v>35</v>
      </c>
      <c r="I1357" s="36">
        <v>5514</v>
      </c>
      <c r="J1357" s="36">
        <v>5514</v>
      </c>
      <c r="K1357" s="85">
        <v>0</v>
      </c>
      <c r="L1357" s="36">
        <v>459.5</v>
      </c>
      <c r="M1357" s="36">
        <v>459.5</v>
      </c>
      <c r="N1357" s="36">
        <v>0</v>
      </c>
      <c r="O1357" s="36">
        <v>0</v>
      </c>
      <c r="P1357" t="s">
        <v>829</v>
      </c>
      <c r="Q1357" t="s">
        <v>300</v>
      </c>
      <c r="R1357" t="s">
        <v>300</v>
      </c>
      <c r="S1357" s="1">
        <v>46073</v>
      </c>
      <c r="T1357" s="1">
        <v>46073</v>
      </c>
      <c r="V1357" s="1">
        <v>46438</v>
      </c>
      <c r="W1357" t="s">
        <v>38</v>
      </c>
      <c r="X1357">
        <v>12</v>
      </c>
      <c r="Y1357" t="s">
        <v>49</v>
      </c>
      <c r="AA1357" t="s">
        <v>122</v>
      </c>
      <c r="AB1357">
        <v>12</v>
      </c>
      <c r="AC1357" t="s">
        <v>301</v>
      </c>
      <c r="AD1357" t="s">
        <v>138</v>
      </c>
      <c r="AE1357" t="s">
        <v>135</v>
      </c>
      <c r="AF1357" t="s">
        <v>119</v>
      </c>
      <c r="AG1357" t="str">
        <f t="shared" si="22"/>
        <v>Recorrente</v>
      </c>
      <c r="AH1357" t="str">
        <f>IF(AND(SUMIF(E:E,E1357,I:I)&gt;=400000,Q1357="B2G"),"n","")</f>
        <v/>
      </c>
    </row>
    <row r="1358" spans="1:34">
      <c r="A1358">
        <v>2026</v>
      </c>
      <c r="B1358">
        <v>2</v>
      </c>
      <c r="C1358" s="83">
        <v>203579313743</v>
      </c>
      <c r="D1358" t="s">
        <v>1338</v>
      </c>
      <c r="E1358">
        <v>56611684715</v>
      </c>
      <c r="F1358">
        <v>636121</v>
      </c>
      <c r="G1358">
        <v>51905795414</v>
      </c>
      <c r="H1358" t="s">
        <v>35</v>
      </c>
      <c r="I1358" s="36">
        <v>2874</v>
      </c>
      <c r="J1358" s="36">
        <v>2874</v>
      </c>
      <c r="K1358" s="85">
        <v>0</v>
      </c>
      <c r="L1358" s="36">
        <v>239.5</v>
      </c>
      <c r="M1358" s="36">
        <v>239.5</v>
      </c>
      <c r="N1358" s="36">
        <v>0</v>
      </c>
      <c r="O1358" s="36">
        <v>0</v>
      </c>
      <c r="P1358" t="s">
        <v>1339</v>
      </c>
      <c r="Q1358" t="s">
        <v>498</v>
      </c>
      <c r="R1358" t="s">
        <v>498</v>
      </c>
      <c r="S1358" s="1">
        <v>46071</v>
      </c>
      <c r="T1358" s="1">
        <v>46071</v>
      </c>
      <c r="U1358" s="1"/>
      <c r="V1358" s="1">
        <v>46436</v>
      </c>
      <c r="W1358" t="s">
        <v>38</v>
      </c>
      <c r="X1358">
        <v>12</v>
      </c>
      <c r="Y1358" t="s">
        <v>49</v>
      </c>
      <c r="AB1358">
        <v>12</v>
      </c>
      <c r="AC1358" t="s">
        <v>499</v>
      </c>
      <c r="AD1358" t="s">
        <v>118</v>
      </c>
      <c r="AE1358" t="s">
        <v>43</v>
      </c>
      <c r="AF1358" t="s">
        <v>119</v>
      </c>
      <c r="AG1358" t="str">
        <f t="shared" si="22"/>
        <v>CC 12x</v>
      </c>
      <c r="AH1358" t="str">
        <f>IF(AND(SUMIF(E:E,E1358,I:I)&gt;=400000,Q1358="B2G"),"n","")</f>
        <v/>
      </c>
    </row>
    <row r="1359" spans="1:34">
      <c r="A1359">
        <v>2026</v>
      </c>
      <c r="B1359">
        <v>2</v>
      </c>
      <c r="C1359" s="83">
        <v>203669743756</v>
      </c>
      <c r="D1359" t="s">
        <v>1340</v>
      </c>
      <c r="E1359">
        <v>56599022935</v>
      </c>
      <c r="F1359">
        <v>636125</v>
      </c>
      <c r="G1359">
        <v>51901981963</v>
      </c>
      <c r="H1359" t="s">
        <v>35</v>
      </c>
      <c r="I1359" s="36">
        <v>4074</v>
      </c>
      <c r="J1359" s="36">
        <v>4074</v>
      </c>
      <c r="K1359" s="85">
        <v>0</v>
      </c>
      <c r="L1359" s="36">
        <v>339.5</v>
      </c>
      <c r="M1359" s="36">
        <v>339.5</v>
      </c>
      <c r="N1359" s="36">
        <v>0</v>
      </c>
      <c r="O1359" s="36">
        <v>0</v>
      </c>
      <c r="P1359" t="s">
        <v>829</v>
      </c>
      <c r="Q1359" t="s">
        <v>300</v>
      </c>
      <c r="R1359" t="s">
        <v>300</v>
      </c>
      <c r="S1359" s="1">
        <v>46071</v>
      </c>
      <c r="T1359" s="1">
        <v>46071</v>
      </c>
      <c r="U1359" s="1"/>
      <c r="V1359" s="1">
        <v>46436</v>
      </c>
      <c r="W1359" t="s">
        <v>38</v>
      </c>
      <c r="X1359">
        <v>12</v>
      </c>
      <c r="Y1359" t="s">
        <v>49</v>
      </c>
      <c r="AA1359" t="s">
        <v>112</v>
      </c>
      <c r="AB1359">
        <v>12</v>
      </c>
      <c r="AC1359" t="s">
        <v>301</v>
      </c>
      <c r="AD1359" t="s">
        <v>160</v>
      </c>
      <c r="AE1359" t="s">
        <v>43</v>
      </c>
      <c r="AF1359" t="s">
        <v>44</v>
      </c>
      <c r="AG1359" t="str">
        <f t="shared" si="22"/>
        <v>CC 12x</v>
      </c>
      <c r="AH1359" t="str">
        <f>IF(AND(SUMIF(E:E,E1359,I:I)&gt;=400000,Q1359="B2G"),"n","")</f>
        <v/>
      </c>
    </row>
    <row r="1360" spans="1:34">
      <c r="A1360">
        <v>2026</v>
      </c>
      <c r="B1360">
        <v>2</v>
      </c>
      <c r="C1360" s="83">
        <v>203739240709</v>
      </c>
      <c r="D1360" t="s">
        <v>1341</v>
      </c>
      <c r="E1360">
        <v>56645898343</v>
      </c>
      <c r="F1360">
        <v>636142</v>
      </c>
      <c r="G1360">
        <v>51943170865</v>
      </c>
      <c r="H1360" t="s">
        <v>35</v>
      </c>
      <c r="I1360" s="36">
        <v>2874</v>
      </c>
      <c r="J1360" s="36">
        <v>2874</v>
      </c>
      <c r="K1360" s="85">
        <v>0</v>
      </c>
      <c r="L1360" s="36">
        <v>239.5</v>
      </c>
      <c r="M1360" s="36">
        <v>239.5</v>
      </c>
      <c r="N1360" s="36">
        <v>0</v>
      </c>
      <c r="O1360" s="36">
        <v>0</v>
      </c>
      <c r="P1360" t="s">
        <v>562</v>
      </c>
      <c r="Q1360" t="s">
        <v>498</v>
      </c>
      <c r="R1360" t="s">
        <v>498</v>
      </c>
      <c r="S1360" s="1">
        <v>46072</v>
      </c>
      <c r="T1360" s="1">
        <v>46072</v>
      </c>
      <c r="V1360" s="1">
        <v>46437</v>
      </c>
      <c r="W1360" t="s">
        <v>38</v>
      </c>
      <c r="X1360">
        <v>12</v>
      </c>
      <c r="Y1360" t="s">
        <v>49</v>
      </c>
      <c r="AA1360" t="s">
        <v>112</v>
      </c>
      <c r="AB1360">
        <v>12</v>
      </c>
      <c r="AC1360" t="s">
        <v>499</v>
      </c>
      <c r="AD1360" t="s">
        <v>140</v>
      </c>
      <c r="AE1360" t="s">
        <v>46</v>
      </c>
      <c r="AF1360" t="s">
        <v>119</v>
      </c>
      <c r="AG1360" t="str">
        <f t="shared" si="22"/>
        <v>CC 12x</v>
      </c>
      <c r="AH1360" t="str">
        <f>IF(AND(SUMIF(E:E,E1360,I:I)&gt;=400000,Q1360="B2G"),"n","")</f>
        <v/>
      </c>
    </row>
    <row r="1361" spans="1:34">
      <c r="A1361">
        <v>2026</v>
      </c>
      <c r="B1361">
        <v>2</v>
      </c>
      <c r="C1361" s="83">
        <v>203865043014</v>
      </c>
      <c r="D1361" t="s">
        <v>1342</v>
      </c>
      <c r="E1361">
        <v>56599254402</v>
      </c>
      <c r="F1361">
        <v>636135</v>
      </c>
      <c r="G1361">
        <v>51938965059</v>
      </c>
      <c r="H1361" t="s">
        <v>35</v>
      </c>
      <c r="I1361" s="36">
        <v>2874</v>
      </c>
      <c r="J1361" s="36">
        <v>2874</v>
      </c>
      <c r="K1361" s="85">
        <v>0</v>
      </c>
      <c r="L1361" s="36">
        <v>239.5</v>
      </c>
      <c r="M1361" s="36">
        <v>239.5</v>
      </c>
      <c r="N1361" s="36">
        <v>0</v>
      </c>
      <c r="O1361" s="36">
        <v>0</v>
      </c>
      <c r="P1361" t="s">
        <v>506</v>
      </c>
      <c r="Q1361" t="s">
        <v>300</v>
      </c>
      <c r="R1361" t="s">
        <v>300</v>
      </c>
      <c r="S1361" s="1">
        <v>46072</v>
      </c>
      <c r="T1361" s="1">
        <v>46072</v>
      </c>
      <c r="V1361" s="1">
        <v>46437</v>
      </c>
      <c r="W1361" t="s">
        <v>38</v>
      </c>
      <c r="X1361">
        <v>12</v>
      </c>
      <c r="Y1361" t="s">
        <v>49</v>
      </c>
      <c r="AA1361" t="s">
        <v>122</v>
      </c>
      <c r="AB1361">
        <v>12</v>
      </c>
      <c r="AC1361" t="s">
        <v>301</v>
      </c>
      <c r="AD1361" t="s">
        <v>140</v>
      </c>
      <c r="AE1361" t="s">
        <v>46</v>
      </c>
      <c r="AF1361" t="s">
        <v>119</v>
      </c>
      <c r="AG1361" t="str">
        <f t="shared" si="22"/>
        <v>Recorrente</v>
      </c>
      <c r="AH1361" t="str">
        <f>IF(AND(SUMIF(E:E,E1361,I:I)&gt;=400000,Q1361="B2G"),"n","")</f>
        <v/>
      </c>
    </row>
    <row r="1362" spans="1:34">
      <c r="A1362">
        <v>2026</v>
      </c>
      <c r="B1362">
        <v>2</v>
      </c>
      <c r="C1362" s="83">
        <v>203898790308</v>
      </c>
      <c r="D1362" t="s">
        <v>1343</v>
      </c>
      <c r="E1362">
        <v>53177917452</v>
      </c>
      <c r="F1362">
        <v>626713</v>
      </c>
      <c r="G1362">
        <v>48294536841</v>
      </c>
      <c r="H1362" t="s">
        <v>35</v>
      </c>
      <c r="I1362" s="36">
        <v>2874</v>
      </c>
      <c r="J1362" s="36">
        <v>2874</v>
      </c>
      <c r="K1362" s="85">
        <v>0</v>
      </c>
      <c r="L1362" s="36">
        <v>239.5</v>
      </c>
      <c r="M1362" s="36">
        <v>0</v>
      </c>
      <c r="N1362" s="36">
        <v>7.67</v>
      </c>
      <c r="O1362" s="36">
        <v>231.83</v>
      </c>
      <c r="P1362" t="s">
        <v>165</v>
      </c>
      <c r="Q1362" t="s">
        <v>166</v>
      </c>
      <c r="R1362" t="s">
        <v>166</v>
      </c>
      <c r="S1362" s="1">
        <v>46071</v>
      </c>
      <c r="T1362" s="1">
        <v>46071</v>
      </c>
      <c r="U1362" s="1">
        <v>46071</v>
      </c>
      <c r="V1362" s="1">
        <v>46436</v>
      </c>
      <c r="W1362" t="s">
        <v>38</v>
      </c>
      <c r="X1362">
        <v>12</v>
      </c>
      <c r="Y1362" t="s">
        <v>49</v>
      </c>
      <c r="Z1362" t="s">
        <v>81</v>
      </c>
      <c r="AA1362" t="s">
        <v>112</v>
      </c>
      <c r="AB1362">
        <v>12</v>
      </c>
      <c r="AC1362" t="s">
        <v>166</v>
      </c>
      <c r="AD1362" t="s">
        <v>140</v>
      </c>
      <c r="AE1362" t="s">
        <v>46</v>
      </c>
      <c r="AF1362" t="s">
        <v>119</v>
      </c>
      <c r="AG1362" t="str">
        <f t="shared" si="22"/>
        <v>CC 12x</v>
      </c>
      <c r="AH1362" t="str">
        <f>IF(AND(SUMIF(E:E,E1362,I:I)&gt;=400000,Q1362="B2G"),"n","")</f>
        <v/>
      </c>
    </row>
    <row r="1363" spans="1:34">
      <c r="A1363">
        <v>2026</v>
      </c>
      <c r="B1363">
        <v>2</v>
      </c>
      <c r="C1363" s="83">
        <v>203910591260</v>
      </c>
      <c r="D1363" t="s">
        <v>1344</v>
      </c>
      <c r="E1363">
        <v>56655552101</v>
      </c>
      <c r="F1363">
        <v>505885</v>
      </c>
      <c r="G1363">
        <v>51943054678</v>
      </c>
      <c r="H1363" t="s">
        <v>35</v>
      </c>
      <c r="I1363" s="36">
        <v>3300.24</v>
      </c>
      <c r="J1363" s="36">
        <v>3300.24</v>
      </c>
      <c r="K1363" s="85">
        <v>0</v>
      </c>
      <c r="L1363" s="36">
        <v>275.02</v>
      </c>
      <c r="M1363" s="36">
        <v>0</v>
      </c>
      <c r="N1363" s="36">
        <v>115.0625</v>
      </c>
      <c r="O1363" s="36">
        <v>159.95500000000001</v>
      </c>
      <c r="P1363" t="s">
        <v>116</v>
      </c>
      <c r="Q1363" t="s">
        <v>111</v>
      </c>
      <c r="R1363" t="s">
        <v>111</v>
      </c>
      <c r="S1363" s="1">
        <v>46072</v>
      </c>
      <c r="T1363" s="1">
        <v>46072</v>
      </c>
      <c r="U1363" s="1">
        <v>46069</v>
      </c>
      <c r="V1363" s="1">
        <v>46434</v>
      </c>
      <c r="W1363" t="s">
        <v>38</v>
      </c>
      <c r="X1363">
        <v>12</v>
      </c>
      <c r="Y1363" t="s">
        <v>49</v>
      </c>
      <c r="Z1363" t="s">
        <v>76</v>
      </c>
      <c r="AA1363" t="s">
        <v>112</v>
      </c>
      <c r="AB1363">
        <v>12</v>
      </c>
      <c r="AC1363" t="s">
        <v>113</v>
      </c>
      <c r="AD1363" t="s">
        <v>85</v>
      </c>
      <c r="AE1363" t="s">
        <v>46</v>
      </c>
      <c r="AF1363" t="s">
        <v>44</v>
      </c>
      <c r="AG1363" t="str">
        <f t="shared" si="22"/>
        <v>CC 12x</v>
      </c>
      <c r="AH1363" t="str">
        <f>IF(AND(SUMIF(E:E,E1363,I:I)&gt;=400000,Q1363="B2G"),"n","")</f>
        <v/>
      </c>
    </row>
    <row r="1364" spans="1:34">
      <c r="A1364">
        <v>2026</v>
      </c>
      <c r="B1364">
        <v>2</v>
      </c>
      <c r="C1364" s="83">
        <v>203910591260</v>
      </c>
      <c r="D1364" t="s">
        <v>1344</v>
      </c>
      <c r="E1364">
        <v>56655552101</v>
      </c>
      <c r="F1364">
        <v>505885</v>
      </c>
      <c r="G1364">
        <v>51943054679</v>
      </c>
      <c r="H1364" t="s">
        <v>35</v>
      </c>
      <c r="I1364" s="36">
        <v>3300.24</v>
      </c>
      <c r="J1364" s="36">
        <v>3300.24</v>
      </c>
      <c r="K1364" s="85">
        <v>0</v>
      </c>
      <c r="L1364" s="36">
        <v>275.02</v>
      </c>
      <c r="M1364" s="36">
        <v>0</v>
      </c>
      <c r="N1364" s="36">
        <v>115.0625</v>
      </c>
      <c r="O1364" s="36">
        <v>159.95500000000001</v>
      </c>
      <c r="P1364" t="s">
        <v>116</v>
      </c>
      <c r="Q1364" t="s">
        <v>111</v>
      </c>
      <c r="R1364" t="s">
        <v>111</v>
      </c>
      <c r="S1364" s="1">
        <v>46072</v>
      </c>
      <c r="T1364" s="1">
        <v>46072</v>
      </c>
      <c r="U1364" s="1">
        <v>46069</v>
      </c>
      <c r="V1364" s="1">
        <v>46434</v>
      </c>
      <c r="W1364" t="s">
        <v>38</v>
      </c>
      <c r="X1364">
        <v>12</v>
      </c>
      <c r="Y1364" t="s">
        <v>49</v>
      </c>
      <c r="Z1364" t="s">
        <v>76</v>
      </c>
      <c r="AA1364" t="s">
        <v>112</v>
      </c>
      <c r="AB1364">
        <v>12</v>
      </c>
      <c r="AC1364" t="s">
        <v>113</v>
      </c>
      <c r="AD1364" t="s">
        <v>118</v>
      </c>
      <c r="AE1364" t="s">
        <v>43</v>
      </c>
      <c r="AF1364" t="s">
        <v>119</v>
      </c>
      <c r="AG1364" t="str">
        <f t="shared" si="22"/>
        <v>CC 12x</v>
      </c>
      <c r="AH1364" t="str">
        <f>IF(AND(SUMIF(E:E,E1364,I:I)&gt;=400000,Q1364="B2G"),"n","")</f>
        <v/>
      </c>
    </row>
    <row r="1365" spans="1:34">
      <c r="A1365">
        <v>2026</v>
      </c>
      <c r="B1365">
        <v>2</v>
      </c>
      <c r="C1365" s="83">
        <v>204007031069</v>
      </c>
      <c r="D1365" t="s">
        <v>1345</v>
      </c>
      <c r="E1365">
        <v>56847521446</v>
      </c>
      <c r="F1365">
        <v>636198</v>
      </c>
      <c r="G1365">
        <v>52042368053</v>
      </c>
      <c r="H1365" t="s">
        <v>35</v>
      </c>
      <c r="I1365" s="36">
        <v>4968</v>
      </c>
      <c r="J1365" s="36">
        <v>4968</v>
      </c>
      <c r="K1365" s="85">
        <v>0</v>
      </c>
      <c r="L1365" s="36">
        <v>414</v>
      </c>
      <c r="M1365" s="36">
        <v>414</v>
      </c>
      <c r="N1365" s="36">
        <v>0</v>
      </c>
      <c r="O1365" s="36">
        <v>0</v>
      </c>
      <c r="P1365" t="s">
        <v>511</v>
      </c>
      <c r="Q1365" t="s">
        <v>300</v>
      </c>
      <c r="R1365" t="s">
        <v>300</v>
      </c>
      <c r="S1365" s="1">
        <v>46076</v>
      </c>
      <c r="T1365" s="1">
        <v>46076</v>
      </c>
      <c r="V1365" s="1">
        <v>46441</v>
      </c>
      <c r="W1365" t="s">
        <v>38</v>
      </c>
      <c r="X1365">
        <v>12</v>
      </c>
      <c r="Y1365" t="s">
        <v>49</v>
      </c>
      <c r="AA1365" t="s">
        <v>112</v>
      </c>
      <c r="AB1365">
        <v>12</v>
      </c>
      <c r="AC1365" t="s">
        <v>301</v>
      </c>
      <c r="AD1365" t="s">
        <v>138</v>
      </c>
      <c r="AE1365" t="s">
        <v>135</v>
      </c>
      <c r="AF1365" t="s">
        <v>119</v>
      </c>
      <c r="AG1365" t="str">
        <f t="shared" si="22"/>
        <v>CC 12x</v>
      </c>
      <c r="AH1365" t="str">
        <f>IF(AND(SUMIF(E:E,E1365,I:I)&gt;=400000,Q1365="B2G"),"n","")</f>
        <v/>
      </c>
    </row>
    <row r="1366" spans="1:34">
      <c r="A1366">
        <v>2026</v>
      </c>
      <c r="B1366">
        <v>2</v>
      </c>
      <c r="C1366" s="83">
        <v>204087747434</v>
      </c>
      <c r="D1366" t="s">
        <v>1346</v>
      </c>
      <c r="E1366">
        <v>56825956876</v>
      </c>
      <c r="F1366">
        <v>636214</v>
      </c>
      <c r="G1366">
        <v>51984447371</v>
      </c>
      <c r="H1366" t="s">
        <v>35</v>
      </c>
      <c r="I1366" s="36">
        <v>2874</v>
      </c>
      <c r="J1366" s="36">
        <v>2874</v>
      </c>
      <c r="K1366" s="85">
        <v>0</v>
      </c>
      <c r="L1366" s="36">
        <v>239.5</v>
      </c>
      <c r="M1366" s="36">
        <v>239.5</v>
      </c>
      <c r="N1366" s="36">
        <v>0</v>
      </c>
      <c r="O1366" s="36">
        <v>0</v>
      </c>
      <c r="P1366" t="s">
        <v>829</v>
      </c>
      <c r="Q1366" t="s">
        <v>300</v>
      </c>
      <c r="R1366" t="s">
        <v>300</v>
      </c>
      <c r="S1366" s="1">
        <v>46076</v>
      </c>
      <c r="T1366" s="1">
        <v>46076</v>
      </c>
      <c r="V1366" s="1">
        <v>46441</v>
      </c>
      <c r="W1366" t="s">
        <v>38</v>
      </c>
      <c r="X1366">
        <v>12</v>
      </c>
      <c r="Y1366" t="s">
        <v>49</v>
      </c>
      <c r="AA1366" t="s">
        <v>122</v>
      </c>
      <c r="AB1366">
        <v>12</v>
      </c>
      <c r="AC1366" t="s">
        <v>301</v>
      </c>
      <c r="AD1366" t="s">
        <v>118</v>
      </c>
      <c r="AE1366" t="s">
        <v>43</v>
      </c>
      <c r="AF1366" t="s">
        <v>119</v>
      </c>
      <c r="AG1366" t="str">
        <f t="shared" si="22"/>
        <v>Recorrente</v>
      </c>
      <c r="AH1366" t="str">
        <f>IF(AND(SUMIF(E:E,E1366,I:I)&gt;=400000,Q1366="B2G"),"n","")</f>
        <v/>
      </c>
    </row>
    <row r="1367" spans="1:34">
      <c r="A1367">
        <v>2026</v>
      </c>
      <c r="B1367">
        <v>2</v>
      </c>
      <c r="C1367" s="83">
        <v>204102566675</v>
      </c>
      <c r="D1367" t="s">
        <v>1347</v>
      </c>
      <c r="E1367">
        <v>56745741089</v>
      </c>
      <c r="F1367">
        <v>636196</v>
      </c>
      <c r="G1367">
        <v>51983781298</v>
      </c>
      <c r="H1367" t="s">
        <v>35</v>
      </c>
      <c r="I1367" s="36">
        <v>3340.68</v>
      </c>
      <c r="J1367" s="36">
        <v>3340.68</v>
      </c>
      <c r="K1367" s="85">
        <v>0</v>
      </c>
      <c r="L1367" s="36">
        <v>278.39</v>
      </c>
      <c r="M1367" s="36">
        <v>278.39</v>
      </c>
      <c r="N1367" s="36">
        <v>0</v>
      </c>
      <c r="O1367" s="36">
        <v>0</v>
      </c>
      <c r="P1367" t="s">
        <v>506</v>
      </c>
      <c r="Q1367" t="s">
        <v>300</v>
      </c>
      <c r="R1367" t="s">
        <v>300</v>
      </c>
      <c r="S1367" s="1">
        <v>46076</v>
      </c>
      <c r="T1367" s="1">
        <v>46076</v>
      </c>
      <c r="V1367" s="1">
        <v>46441</v>
      </c>
      <c r="W1367" t="s">
        <v>38</v>
      </c>
      <c r="X1367">
        <v>12</v>
      </c>
      <c r="Y1367" t="s">
        <v>49</v>
      </c>
      <c r="AA1367" t="s">
        <v>117</v>
      </c>
      <c r="AB1367">
        <v>1</v>
      </c>
      <c r="AC1367" t="s">
        <v>301</v>
      </c>
      <c r="AD1367" t="s">
        <v>160</v>
      </c>
      <c r="AE1367" t="s">
        <v>43</v>
      </c>
      <c r="AF1367" t="s">
        <v>44</v>
      </c>
      <c r="AG1367" t="str">
        <f t="shared" si="22"/>
        <v>À Vista</v>
      </c>
      <c r="AH1367" t="str">
        <f>IF(AND(SUMIF(E:E,E1367,I:I)&gt;=400000,Q1367="B2G"),"n","")</f>
        <v/>
      </c>
    </row>
    <row r="1368" spans="1:34">
      <c r="A1368">
        <v>2026</v>
      </c>
      <c r="B1368">
        <v>2</v>
      </c>
      <c r="C1368" s="83">
        <v>204143465323</v>
      </c>
      <c r="D1368" t="s">
        <v>1348</v>
      </c>
      <c r="E1368">
        <v>56457352483</v>
      </c>
      <c r="F1368">
        <v>636110</v>
      </c>
      <c r="G1368">
        <v>51823291548</v>
      </c>
      <c r="H1368" t="s">
        <v>35</v>
      </c>
      <c r="I1368" s="36">
        <v>5514</v>
      </c>
      <c r="J1368" s="36">
        <v>5514</v>
      </c>
      <c r="K1368" s="85">
        <v>0</v>
      </c>
      <c r="L1368" s="36">
        <v>459.5</v>
      </c>
      <c r="M1368" s="36">
        <v>459.5</v>
      </c>
      <c r="N1368" s="36">
        <v>0</v>
      </c>
      <c r="O1368" s="36">
        <v>0</v>
      </c>
      <c r="P1368" t="s">
        <v>497</v>
      </c>
      <c r="Q1368" t="s">
        <v>498</v>
      </c>
      <c r="R1368" t="s">
        <v>498</v>
      </c>
      <c r="S1368" s="1">
        <v>46070</v>
      </c>
      <c r="T1368" s="1">
        <v>46070</v>
      </c>
      <c r="V1368" s="1">
        <v>46435</v>
      </c>
      <c r="W1368" t="s">
        <v>38</v>
      </c>
      <c r="X1368">
        <v>12</v>
      </c>
      <c r="Y1368" t="s">
        <v>49</v>
      </c>
      <c r="AA1368" t="s">
        <v>112</v>
      </c>
      <c r="AB1368">
        <v>12</v>
      </c>
      <c r="AC1368" t="s">
        <v>499</v>
      </c>
      <c r="AD1368" t="s">
        <v>138</v>
      </c>
      <c r="AE1368" t="s">
        <v>135</v>
      </c>
      <c r="AF1368" t="s">
        <v>119</v>
      </c>
      <c r="AG1368" t="str">
        <f t="shared" si="22"/>
        <v>CC 12x</v>
      </c>
      <c r="AH1368" t="str">
        <f>IF(AND(SUMIF(E:E,E1368,I:I)&gt;=400000,Q1368="B2G"),"n","")</f>
        <v/>
      </c>
    </row>
    <row r="1369" spans="1:34">
      <c r="A1369">
        <v>2026</v>
      </c>
      <c r="B1369">
        <v>2</v>
      </c>
      <c r="C1369" s="83">
        <v>204143744557</v>
      </c>
      <c r="D1369" t="s">
        <v>1349</v>
      </c>
      <c r="E1369">
        <v>56843920259</v>
      </c>
      <c r="F1369">
        <v>636194</v>
      </c>
      <c r="G1369">
        <v>52070772372</v>
      </c>
      <c r="H1369" t="s">
        <v>35</v>
      </c>
      <c r="I1369" s="36">
        <v>2874</v>
      </c>
      <c r="J1369" s="36">
        <v>2874</v>
      </c>
      <c r="K1369" s="85">
        <v>0</v>
      </c>
      <c r="L1369" s="36">
        <v>239.5</v>
      </c>
      <c r="M1369" s="36">
        <v>239.5</v>
      </c>
      <c r="N1369" s="36">
        <v>0</v>
      </c>
      <c r="O1369" s="36">
        <v>0</v>
      </c>
      <c r="P1369" t="s">
        <v>497</v>
      </c>
      <c r="Q1369" t="s">
        <v>498</v>
      </c>
      <c r="R1369" t="s">
        <v>498</v>
      </c>
      <c r="S1369" s="1">
        <v>46075</v>
      </c>
      <c r="T1369" s="1">
        <v>46075</v>
      </c>
      <c r="V1369" s="1">
        <v>46440</v>
      </c>
      <c r="W1369" t="s">
        <v>38</v>
      </c>
      <c r="X1369">
        <v>12</v>
      </c>
      <c r="Y1369" t="s">
        <v>49</v>
      </c>
      <c r="AA1369" t="s">
        <v>117</v>
      </c>
      <c r="AB1369">
        <v>1</v>
      </c>
      <c r="AC1369" t="s">
        <v>499</v>
      </c>
      <c r="AD1369" t="s">
        <v>140</v>
      </c>
      <c r="AE1369" t="s">
        <v>46</v>
      </c>
      <c r="AF1369" t="s">
        <v>119</v>
      </c>
      <c r="AG1369" t="str">
        <f t="shared" si="22"/>
        <v>À Vista</v>
      </c>
      <c r="AH1369" t="str">
        <f>IF(AND(SUMIF(E:E,E1369,I:I)&gt;=400000,Q1369="B2G"),"n","")</f>
        <v/>
      </c>
    </row>
    <row r="1370" spans="1:34">
      <c r="A1370">
        <v>2026</v>
      </c>
      <c r="B1370">
        <v>2</v>
      </c>
      <c r="C1370" s="83">
        <v>204180553304</v>
      </c>
      <c r="D1370" t="s">
        <v>1350</v>
      </c>
      <c r="E1370">
        <v>56713045010</v>
      </c>
      <c r="F1370">
        <v>609510</v>
      </c>
      <c r="G1370">
        <v>51983488259</v>
      </c>
      <c r="H1370" t="s">
        <v>35</v>
      </c>
      <c r="I1370" s="36">
        <v>7483.2</v>
      </c>
      <c r="J1370" s="36">
        <v>7483.2</v>
      </c>
      <c r="K1370" s="85">
        <v>0</v>
      </c>
      <c r="L1370" s="36">
        <v>623.6</v>
      </c>
      <c r="M1370" s="36">
        <v>623.6</v>
      </c>
      <c r="N1370" s="36">
        <v>0</v>
      </c>
      <c r="O1370" s="36">
        <v>0</v>
      </c>
      <c r="P1370" t="s">
        <v>121</v>
      </c>
      <c r="Q1370" t="s">
        <v>111</v>
      </c>
      <c r="R1370" t="s">
        <v>111</v>
      </c>
      <c r="S1370" s="1">
        <v>46073</v>
      </c>
      <c r="T1370" s="1">
        <v>46073</v>
      </c>
      <c r="U1370" s="1">
        <v>46072</v>
      </c>
      <c r="V1370" s="1">
        <v>46446</v>
      </c>
      <c r="W1370" t="s">
        <v>38</v>
      </c>
      <c r="X1370">
        <v>12</v>
      </c>
      <c r="Y1370" t="s">
        <v>49</v>
      </c>
      <c r="Z1370" t="s">
        <v>81</v>
      </c>
      <c r="AA1370" t="s">
        <v>122</v>
      </c>
      <c r="AB1370">
        <v>12</v>
      </c>
      <c r="AC1370" t="s">
        <v>113</v>
      </c>
      <c r="AD1370" t="s">
        <v>134</v>
      </c>
      <c r="AE1370" t="s">
        <v>135</v>
      </c>
      <c r="AF1370" t="s">
        <v>44</v>
      </c>
      <c r="AG1370" t="str">
        <f t="shared" si="22"/>
        <v>Recorrente</v>
      </c>
      <c r="AH1370" t="str">
        <f>IF(AND(SUMIF(E:E,E1370,I:I)&gt;=400000,Q1370="B2G"),"n","")</f>
        <v/>
      </c>
    </row>
    <row r="1371" spans="1:34">
      <c r="A1371">
        <v>2026</v>
      </c>
      <c r="B1371">
        <v>2</v>
      </c>
      <c r="C1371" s="83">
        <v>204239773084</v>
      </c>
      <c r="D1371" t="s">
        <v>1351</v>
      </c>
      <c r="E1371">
        <v>56768597907</v>
      </c>
      <c r="F1371">
        <v>636232</v>
      </c>
      <c r="G1371">
        <v>52162125616</v>
      </c>
      <c r="H1371" t="s">
        <v>35</v>
      </c>
      <c r="I1371" s="36">
        <v>1724.4</v>
      </c>
      <c r="J1371" s="36">
        <v>1724.4</v>
      </c>
      <c r="K1371" s="85">
        <v>2.2737400000000001E-13</v>
      </c>
      <c r="L1371" s="36">
        <v>143.69999999999999</v>
      </c>
      <c r="M1371" s="36">
        <v>143.69999999999999</v>
      </c>
      <c r="N1371" s="36">
        <v>0</v>
      </c>
      <c r="O1371" s="36">
        <v>0</v>
      </c>
      <c r="P1371" t="s">
        <v>829</v>
      </c>
      <c r="Q1371" t="s">
        <v>300</v>
      </c>
      <c r="R1371" t="s">
        <v>80</v>
      </c>
      <c r="S1371" s="1">
        <v>46077</v>
      </c>
      <c r="T1371" s="1">
        <v>46077</v>
      </c>
      <c r="U1371" s="1"/>
      <c r="V1371" s="1">
        <v>46442</v>
      </c>
      <c r="W1371" t="s">
        <v>38</v>
      </c>
      <c r="X1371">
        <v>12</v>
      </c>
      <c r="Y1371" t="s">
        <v>49</v>
      </c>
      <c r="AA1371" t="s">
        <v>112</v>
      </c>
      <c r="AB1371">
        <v>12</v>
      </c>
      <c r="AC1371" t="s">
        <v>495</v>
      </c>
      <c r="AD1371" t="s">
        <v>118</v>
      </c>
      <c r="AE1371" t="s">
        <v>43</v>
      </c>
      <c r="AF1371" t="s">
        <v>119</v>
      </c>
      <c r="AG1371" t="str">
        <f t="shared" si="22"/>
        <v>CC 12x</v>
      </c>
      <c r="AH1371" t="str">
        <f>IF(AND(SUMIF(E:E,E1371,I:I)&gt;=400000,Q1371="B2G"),"n","")</f>
        <v/>
      </c>
    </row>
    <row r="1372" spans="1:34">
      <c r="A1372">
        <v>2026</v>
      </c>
      <c r="B1372">
        <v>2</v>
      </c>
      <c r="C1372" s="83">
        <v>204239825769</v>
      </c>
      <c r="D1372" t="s">
        <v>1352</v>
      </c>
      <c r="E1372">
        <v>56882140496</v>
      </c>
      <c r="F1372">
        <v>636202</v>
      </c>
      <c r="G1372">
        <v>52101631631</v>
      </c>
      <c r="H1372" t="s">
        <v>35</v>
      </c>
      <c r="I1372" s="36">
        <v>4530.6000000000004</v>
      </c>
      <c r="J1372" s="36">
        <v>4530.6000000000004</v>
      </c>
      <c r="K1372" s="85">
        <v>0</v>
      </c>
      <c r="L1372" s="36">
        <v>377.55</v>
      </c>
      <c r="M1372" s="36">
        <v>377.55</v>
      </c>
      <c r="N1372" s="36">
        <v>0</v>
      </c>
      <c r="O1372" s="36">
        <v>0</v>
      </c>
      <c r="P1372" t="s">
        <v>511</v>
      </c>
      <c r="Q1372" t="s">
        <v>300</v>
      </c>
      <c r="R1372" t="s">
        <v>300</v>
      </c>
      <c r="S1372" s="1">
        <v>46076</v>
      </c>
      <c r="T1372" s="1">
        <v>46076</v>
      </c>
      <c r="U1372" s="1"/>
      <c r="V1372" s="1">
        <v>46441</v>
      </c>
      <c r="W1372" t="s">
        <v>38</v>
      </c>
      <c r="X1372">
        <v>12</v>
      </c>
      <c r="Y1372" t="s">
        <v>49</v>
      </c>
      <c r="AA1372" t="s">
        <v>112</v>
      </c>
      <c r="AB1372">
        <v>12</v>
      </c>
      <c r="AC1372" t="s">
        <v>301</v>
      </c>
      <c r="AD1372" t="s">
        <v>84</v>
      </c>
      <c r="AE1372" t="s">
        <v>43</v>
      </c>
      <c r="AF1372" t="s">
        <v>44</v>
      </c>
      <c r="AG1372" t="str">
        <f t="shared" si="22"/>
        <v>CC 12x</v>
      </c>
      <c r="AH1372" t="str">
        <f>IF(AND(SUMIF(E:E,E1372,I:I)&gt;=400000,Q1372="B2G"),"n","")</f>
        <v/>
      </c>
    </row>
    <row r="1373" spans="1:34">
      <c r="A1373">
        <v>2026</v>
      </c>
      <c r="B1373">
        <v>2</v>
      </c>
      <c r="C1373" s="83">
        <v>204254020895</v>
      </c>
      <c r="D1373" t="s">
        <v>1353</v>
      </c>
      <c r="E1373">
        <v>53893508642</v>
      </c>
      <c r="F1373">
        <v>528700</v>
      </c>
      <c r="G1373">
        <v>50273941601</v>
      </c>
      <c r="H1373" t="s">
        <v>35</v>
      </c>
      <c r="I1373" s="36">
        <v>3586.68</v>
      </c>
      <c r="J1373" s="36">
        <v>3586.68</v>
      </c>
      <c r="K1373" s="85">
        <v>0</v>
      </c>
      <c r="L1373" s="36">
        <v>298.89</v>
      </c>
      <c r="M1373" s="36">
        <v>0</v>
      </c>
      <c r="N1373" s="36">
        <v>55.08</v>
      </c>
      <c r="O1373" s="36">
        <v>243.81</v>
      </c>
      <c r="P1373" t="s">
        <v>162</v>
      </c>
      <c r="Q1373" t="s">
        <v>111</v>
      </c>
      <c r="R1373" t="s">
        <v>111</v>
      </c>
      <c r="S1373" s="1">
        <v>46051</v>
      </c>
      <c r="T1373" s="1">
        <v>46054</v>
      </c>
      <c r="U1373" s="1">
        <v>46081</v>
      </c>
      <c r="V1373" s="1">
        <v>46446</v>
      </c>
      <c r="W1373" t="s">
        <v>38</v>
      </c>
      <c r="X1373">
        <v>12</v>
      </c>
      <c r="Y1373" t="s">
        <v>49</v>
      </c>
      <c r="Z1373" t="s">
        <v>81</v>
      </c>
      <c r="AA1373" t="s">
        <v>112</v>
      </c>
      <c r="AB1373">
        <v>12</v>
      </c>
      <c r="AC1373" t="s">
        <v>113</v>
      </c>
      <c r="AD1373" t="s">
        <v>84</v>
      </c>
      <c r="AE1373" t="s">
        <v>43</v>
      </c>
      <c r="AF1373" t="s">
        <v>44</v>
      </c>
      <c r="AG1373" t="str">
        <f t="shared" si="22"/>
        <v>CC 12x</v>
      </c>
      <c r="AH1373" t="str">
        <f>IF(AND(SUMIF(E:E,E1373,I:I)&gt;=400000,Q1373="B2G"),"n","")</f>
        <v/>
      </c>
    </row>
    <row r="1374" spans="1:34">
      <c r="A1374">
        <v>2026</v>
      </c>
      <c r="B1374">
        <v>2</v>
      </c>
      <c r="C1374" s="83">
        <v>204254020895</v>
      </c>
      <c r="D1374" t="s">
        <v>1353</v>
      </c>
      <c r="E1374">
        <v>56288710477</v>
      </c>
      <c r="F1374">
        <v>528700</v>
      </c>
      <c r="G1374">
        <v>52282672163</v>
      </c>
      <c r="H1374" t="s">
        <v>35</v>
      </c>
      <c r="I1374" s="36">
        <v>1328.52</v>
      </c>
      <c r="J1374" s="36">
        <v>1318.68</v>
      </c>
      <c r="K1374" s="85">
        <v>9.84</v>
      </c>
      <c r="L1374" s="36">
        <v>109.89</v>
      </c>
      <c r="M1374" s="36">
        <v>0</v>
      </c>
      <c r="N1374" s="36">
        <v>109.89</v>
      </c>
      <c r="O1374" s="36">
        <v>0</v>
      </c>
      <c r="P1374" t="s">
        <v>469</v>
      </c>
      <c r="Q1374" t="s">
        <v>191</v>
      </c>
      <c r="R1374" t="s">
        <v>191</v>
      </c>
      <c r="S1374" s="1">
        <v>46078</v>
      </c>
      <c r="T1374" s="1">
        <v>46078</v>
      </c>
      <c r="U1374" s="1">
        <v>46446</v>
      </c>
      <c r="V1374" s="1">
        <v>46446</v>
      </c>
      <c r="W1374" t="s">
        <v>38</v>
      </c>
      <c r="X1374">
        <v>12</v>
      </c>
      <c r="Y1374" t="s">
        <v>49</v>
      </c>
      <c r="Z1374" t="s">
        <v>324</v>
      </c>
      <c r="AA1374" t="s">
        <v>112</v>
      </c>
      <c r="AB1374">
        <v>12</v>
      </c>
      <c r="AC1374" t="s">
        <v>192</v>
      </c>
      <c r="AD1374" t="s">
        <v>149</v>
      </c>
      <c r="AE1374" t="s">
        <v>43</v>
      </c>
      <c r="AF1374" t="s">
        <v>96</v>
      </c>
      <c r="AG1374" t="str">
        <f t="shared" si="22"/>
        <v>CC 12x</v>
      </c>
      <c r="AH1374" t="str">
        <f>IF(AND(SUMIF(E:E,E1374,I:I)&gt;=400000,Q1374="B2G"),"n","")</f>
        <v/>
      </c>
    </row>
    <row r="1375" spans="1:34">
      <c r="A1375">
        <v>2026</v>
      </c>
      <c r="B1375">
        <v>2</v>
      </c>
      <c r="C1375" s="83">
        <v>204268082007</v>
      </c>
      <c r="D1375" t="s">
        <v>1354</v>
      </c>
      <c r="E1375">
        <v>56779438936</v>
      </c>
      <c r="F1375">
        <v>636190</v>
      </c>
      <c r="G1375">
        <v>52057988894</v>
      </c>
      <c r="H1375" t="s">
        <v>35</v>
      </c>
      <c r="I1375" s="36">
        <v>2874</v>
      </c>
      <c r="J1375" s="36">
        <v>2874</v>
      </c>
      <c r="K1375" s="85">
        <v>0</v>
      </c>
      <c r="L1375" s="36">
        <v>239.5</v>
      </c>
      <c r="M1375" s="36">
        <v>239.5</v>
      </c>
      <c r="N1375" s="36">
        <v>0</v>
      </c>
      <c r="O1375" s="36">
        <v>0</v>
      </c>
      <c r="P1375" t="s">
        <v>497</v>
      </c>
      <c r="Q1375" t="s">
        <v>498</v>
      </c>
      <c r="R1375" t="s">
        <v>498</v>
      </c>
      <c r="S1375" s="1">
        <v>46073</v>
      </c>
      <c r="T1375" s="1">
        <v>46073</v>
      </c>
      <c r="V1375" s="1">
        <v>46438</v>
      </c>
      <c r="W1375" t="s">
        <v>38</v>
      </c>
      <c r="X1375">
        <v>12</v>
      </c>
      <c r="Y1375" t="s">
        <v>49</v>
      </c>
      <c r="AA1375" t="s">
        <v>112</v>
      </c>
      <c r="AB1375">
        <v>12</v>
      </c>
      <c r="AC1375" t="s">
        <v>499</v>
      </c>
      <c r="AD1375" t="s">
        <v>140</v>
      </c>
      <c r="AE1375" t="s">
        <v>46</v>
      </c>
      <c r="AF1375" t="s">
        <v>119</v>
      </c>
      <c r="AG1375" t="str">
        <f t="shared" si="22"/>
        <v>CC 12x</v>
      </c>
      <c r="AH1375" t="str">
        <f>IF(AND(SUMIF(E:E,E1375,I:I)&gt;=400000,Q1375="B2G"),"n","")</f>
        <v/>
      </c>
    </row>
    <row r="1376" spans="1:34">
      <c r="A1376">
        <v>2026</v>
      </c>
      <c r="B1376">
        <v>2</v>
      </c>
      <c r="C1376" s="83">
        <v>204346248601</v>
      </c>
      <c r="D1376" t="s">
        <v>1355</v>
      </c>
      <c r="E1376">
        <v>56879862806</v>
      </c>
      <c r="F1376">
        <v>522171</v>
      </c>
      <c r="G1376">
        <v>52402047621</v>
      </c>
      <c r="H1376" t="s">
        <v>35</v>
      </c>
      <c r="I1376" s="36">
        <v>4646.3999999999996</v>
      </c>
      <c r="J1376" s="36">
        <v>4646.3999999999996</v>
      </c>
      <c r="K1376" s="85">
        <v>0</v>
      </c>
      <c r="L1376" s="36">
        <v>387.2</v>
      </c>
      <c r="M1376" s="36">
        <v>387.2</v>
      </c>
      <c r="N1376" s="36">
        <v>0</v>
      </c>
      <c r="O1376" s="36">
        <v>0</v>
      </c>
      <c r="P1376" t="s">
        <v>162</v>
      </c>
      <c r="Q1376" t="s">
        <v>111</v>
      </c>
      <c r="R1376" t="s">
        <v>111</v>
      </c>
      <c r="S1376" s="1">
        <v>46080</v>
      </c>
      <c r="T1376" s="1">
        <v>46080</v>
      </c>
      <c r="U1376" s="1">
        <v>45992</v>
      </c>
      <c r="V1376" s="1">
        <v>46445</v>
      </c>
      <c r="W1376" t="s">
        <v>38</v>
      </c>
      <c r="X1376">
        <v>14</v>
      </c>
      <c r="Y1376" t="s">
        <v>49</v>
      </c>
      <c r="Z1376" t="s">
        <v>81</v>
      </c>
      <c r="AA1376" t="s">
        <v>122</v>
      </c>
      <c r="AB1376">
        <v>12</v>
      </c>
      <c r="AC1376" t="s">
        <v>113</v>
      </c>
      <c r="AD1376" t="s">
        <v>85</v>
      </c>
      <c r="AE1376" t="s">
        <v>46</v>
      </c>
      <c r="AF1376" t="s">
        <v>44</v>
      </c>
      <c r="AG1376" t="str">
        <f t="shared" si="22"/>
        <v>Recorrente</v>
      </c>
      <c r="AH1376" t="str">
        <f>IF(AND(SUMIF(E:E,E1376,I:I)&gt;=400000,Q1376="B2G"),"n","")</f>
        <v/>
      </c>
    </row>
    <row r="1377" spans="1:34">
      <c r="A1377">
        <v>2026</v>
      </c>
      <c r="B1377">
        <v>2</v>
      </c>
      <c r="C1377" s="83">
        <v>20455887685</v>
      </c>
      <c r="D1377" t="s">
        <v>1356</v>
      </c>
      <c r="E1377">
        <v>32736769881</v>
      </c>
      <c r="F1377">
        <v>636066</v>
      </c>
      <c r="G1377">
        <v>51464289409</v>
      </c>
      <c r="H1377" t="s">
        <v>35</v>
      </c>
      <c r="I1377" s="36">
        <v>28992</v>
      </c>
      <c r="J1377" s="36">
        <v>14496</v>
      </c>
      <c r="K1377" s="85">
        <v>14496</v>
      </c>
      <c r="L1377" s="36">
        <v>1208</v>
      </c>
      <c r="M1377" s="36">
        <v>1208</v>
      </c>
      <c r="N1377" s="36">
        <v>0</v>
      </c>
      <c r="O1377" s="36">
        <v>0</v>
      </c>
      <c r="P1377" t="s">
        <v>1165</v>
      </c>
      <c r="Q1377" t="s">
        <v>37</v>
      </c>
      <c r="R1377" t="s">
        <v>37</v>
      </c>
      <c r="S1377" s="1">
        <v>46065</v>
      </c>
      <c r="T1377" s="1">
        <v>46065</v>
      </c>
      <c r="V1377" s="1">
        <v>46795</v>
      </c>
      <c r="W1377" t="s">
        <v>56</v>
      </c>
      <c r="X1377">
        <v>24</v>
      </c>
      <c r="Y1377" t="s">
        <v>49</v>
      </c>
      <c r="AA1377" t="s">
        <v>40</v>
      </c>
      <c r="AB1377">
        <v>1</v>
      </c>
      <c r="AC1377" t="s">
        <v>41</v>
      </c>
      <c r="AD1377" t="s">
        <v>70</v>
      </c>
      <c r="AE1377" t="s">
        <v>43</v>
      </c>
      <c r="AF1377" t="s">
        <v>47</v>
      </c>
      <c r="AG1377" t="str">
        <f t="shared" si="22"/>
        <v>À Vista</v>
      </c>
      <c r="AH1377" t="str">
        <f>IF(AND(SUMIF(E:E,E1377,I:I)&gt;=400000,Q1377="B2G"),"n","")</f>
        <v/>
      </c>
    </row>
    <row r="1378" spans="1:34">
      <c r="A1378">
        <v>2026</v>
      </c>
      <c r="B1378">
        <v>2</v>
      </c>
      <c r="C1378" s="83">
        <v>20455887685</v>
      </c>
      <c r="D1378" t="s">
        <v>1356</v>
      </c>
      <c r="E1378">
        <v>32736769881</v>
      </c>
      <c r="F1378">
        <v>636066</v>
      </c>
      <c r="G1378">
        <v>51464289410</v>
      </c>
      <c r="H1378" t="s">
        <v>35</v>
      </c>
      <c r="I1378" s="36">
        <v>53472</v>
      </c>
      <c r="J1378" s="36">
        <v>26736</v>
      </c>
      <c r="K1378" s="85">
        <v>26736</v>
      </c>
      <c r="L1378" s="36">
        <v>2228</v>
      </c>
      <c r="M1378" s="36">
        <v>2228</v>
      </c>
      <c r="N1378" s="36">
        <v>0</v>
      </c>
      <c r="O1378" s="36">
        <v>0</v>
      </c>
      <c r="P1378" t="s">
        <v>1165</v>
      </c>
      <c r="Q1378" t="s">
        <v>37</v>
      </c>
      <c r="R1378" t="s">
        <v>37</v>
      </c>
      <c r="S1378" s="1">
        <v>46065</v>
      </c>
      <c r="T1378" s="1">
        <v>46065</v>
      </c>
      <c r="U1378" s="1"/>
      <c r="V1378" s="1">
        <v>46795</v>
      </c>
      <c r="W1378" t="s">
        <v>56</v>
      </c>
      <c r="X1378">
        <v>24</v>
      </c>
      <c r="Y1378" t="s">
        <v>49</v>
      </c>
      <c r="AA1378" t="s">
        <v>40</v>
      </c>
      <c r="AB1378">
        <v>1</v>
      </c>
      <c r="AC1378" t="s">
        <v>41</v>
      </c>
      <c r="AD1378" t="s">
        <v>100</v>
      </c>
      <c r="AE1378" t="s">
        <v>46</v>
      </c>
      <c r="AF1378" t="s">
        <v>47</v>
      </c>
      <c r="AG1378" t="str">
        <f t="shared" si="22"/>
        <v>À Vista</v>
      </c>
      <c r="AH1378" t="str">
        <f>IF(AND(SUMIF(E:E,E1378,I:I)&gt;=400000,Q1378="B2G"),"n","")</f>
        <v/>
      </c>
    </row>
    <row r="1379" spans="1:34">
      <c r="A1379">
        <v>2026</v>
      </c>
      <c r="B1379">
        <v>2</v>
      </c>
      <c r="C1379" s="83">
        <v>20458020611</v>
      </c>
      <c r="D1379" t="s">
        <v>1357</v>
      </c>
      <c r="E1379">
        <v>55568397236</v>
      </c>
      <c r="F1379">
        <v>635971</v>
      </c>
      <c r="G1379">
        <v>50966461536</v>
      </c>
      <c r="H1379" t="s">
        <v>35</v>
      </c>
      <c r="I1379" s="36">
        <v>5748</v>
      </c>
      <c r="J1379" s="36">
        <v>781.82164469999998</v>
      </c>
      <c r="K1379" s="85">
        <v>4966.178355</v>
      </c>
      <c r="L1379" s="36">
        <v>65.151803720000004</v>
      </c>
      <c r="M1379" s="36">
        <v>0</v>
      </c>
      <c r="N1379" s="36">
        <v>65.151803720000004</v>
      </c>
      <c r="O1379" s="36">
        <v>0</v>
      </c>
      <c r="P1379" t="s">
        <v>367</v>
      </c>
      <c r="Q1379" t="s">
        <v>191</v>
      </c>
      <c r="R1379" t="s">
        <v>191</v>
      </c>
      <c r="S1379" s="1">
        <v>46059</v>
      </c>
      <c r="T1379" s="1">
        <v>46059</v>
      </c>
      <c r="V1379" s="1">
        <v>46789</v>
      </c>
      <c r="W1379" t="s">
        <v>56</v>
      </c>
      <c r="Y1379" t="s">
        <v>49</v>
      </c>
      <c r="AA1379" t="s">
        <v>122</v>
      </c>
      <c r="AB1379">
        <v>24</v>
      </c>
      <c r="AC1379" t="s">
        <v>192</v>
      </c>
      <c r="AD1379" t="s">
        <v>118</v>
      </c>
      <c r="AE1379" t="s">
        <v>43</v>
      </c>
      <c r="AF1379" t="s">
        <v>119</v>
      </c>
      <c r="AG1379" t="str">
        <f t="shared" si="22"/>
        <v>Recorrente</v>
      </c>
      <c r="AH1379" t="str">
        <f>IF(AND(SUMIF(E:E,E1379,I:I)&gt;=400000,Q1379="B2G"),"n","")</f>
        <v/>
      </c>
    </row>
    <row r="1380" spans="1:34">
      <c r="A1380">
        <v>2026</v>
      </c>
      <c r="B1380">
        <v>2</v>
      </c>
      <c r="C1380" s="83">
        <v>20458020611</v>
      </c>
      <c r="D1380" t="s">
        <v>1357</v>
      </c>
      <c r="E1380">
        <v>55568397236</v>
      </c>
      <c r="F1380">
        <v>635971</v>
      </c>
      <c r="G1380">
        <v>50966461537</v>
      </c>
      <c r="H1380" t="s">
        <v>35</v>
      </c>
      <c r="I1380" s="36">
        <v>25188</v>
      </c>
      <c r="J1380" s="36">
        <v>3425.9783550000002</v>
      </c>
      <c r="K1380" s="85">
        <v>21762.021639999999</v>
      </c>
      <c r="L1380" s="36">
        <v>285.49819630000002</v>
      </c>
      <c r="M1380" s="36">
        <v>0</v>
      </c>
      <c r="N1380" s="36">
        <v>285.49819630000002</v>
      </c>
      <c r="O1380" s="36">
        <v>0</v>
      </c>
      <c r="P1380" t="s">
        <v>367</v>
      </c>
      <c r="Q1380" t="s">
        <v>191</v>
      </c>
      <c r="R1380" t="s">
        <v>191</v>
      </c>
      <c r="S1380" s="1">
        <v>46059</v>
      </c>
      <c r="T1380" s="1">
        <v>46059</v>
      </c>
      <c r="V1380" s="1">
        <v>46789</v>
      </c>
      <c r="W1380" t="s">
        <v>56</v>
      </c>
      <c r="Y1380" t="s">
        <v>49</v>
      </c>
      <c r="AA1380" t="s">
        <v>122</v>
      </c>
      <c r="AB1380">
        <v>24</v>
      </c>
      <c r="AC1380" t="s">
        <v>192</v>
      </c>
      <c r="AD1380" t="s">
        <v>146</v>
      </c>
      <c r="AE1380" t="s">
        <v>135</v>
      </c>
      <c r="AF1380" t="s">
        <v>96</v>
      </c>
      <c r="AG1380" t="str">
        <f t="shared" si="22"/>
        <v>Recorrente</v>
      </c>
      <c r="AH1380" t="str">
        <f>IF(AND(SUMIF(E:E,E1380,I:I)&gt;=400000,Q1380="B2G"),"n","")</f>
        <v/>
      </c>
    </row>
    <row r="1381" spans="1:34">
      <c r="A1381">
        <v>2026</v>
      </c>
      <c r="B1381">
        <v>2</v>
      </c>
      <c r="C1381" s="83">
        <v>204722985073</v>
      </c>
      <c r="D1381" t="s">
        <v>1358</v>
      </c>
      <c r="E1381">
        <v>56885658718</v>
      </c>
      <c r="F1381">
        <v>609851</v>
      </c>
      <c r="G1381">
        <v>52162232961</v>
      </c>
      <c r="H1381" t="s">
        <v>35</v>
      </c>
      <c r="I1381" s="36">
        <v>3499.08</v>
      </c>
      <c r="J1381" s="36">
        <v>3499.08</v>
      </c>
      <c r="K1381" s="85">
        <v>0</v>
      </c>
      <c r="L1381" s="36">
        <v>291.58999999999997</v>
      </c>
      <c r="M1381" s="36">
        <v>0</v>
      </c>
      <c r="N1381" s="36">
        <v>12.71</v>
      </c>
      <c r="O1381" s="36">
        <v>278.88</v>
      </c>
      <c r="P1381" t="s">
        <v>127</v>
      </c>
      <c r="Q1381" t="s">
        <v>111</v>
      </c>
      <c r="R1381" t="s">
        <v>111</v>
      </c>
      <c r="S1381" s="1">
        <v>46077</v>
      </c>
      <c r="T1381" s="1">
        <v>46077</v>
      </c>
      <c r="U1381" s="1">
        <v>46076</v>
      </c>
      <c r="V1381" s="1">
        <v>46441</v>
      </c>
      <c r="W1381" t="s">
        <v>38</v>
      </c>
      <c r="X1381">
        <v>12</v>
      </c>
      <c r="Y1381" t="s">
        <v>49</v>
      </c>
      <c r="Z1381" t="s">
        <v>81</v>
      </c>
      <c r="AA1381" t="s">
        <v>117</v>
      </c>
      <c r="AB1381">
        <v>1</v>
      </c>
      <c r="AC1381" t="s">
        <v>113</v>
      </c>
      <c r="AD1381" t="s">
        <v>160</v>
      </c>
      <c r="AE1381" t="s">
        <v>43</v>
      </c>
      <c r="AF1381" t="s">
        <v>44</v>
      </c>
      <c r="AG1381" t="str">
        <f t="shared" si="22"/>
        <v>À Vista</v>
      </c>
      <c r="AH1381" t="str">
        <f>IF(AND(SUMIF(E:E,E1381,I:I)&gt;=400000,Q1381="B2G"),"n","")</f>
        <v/>
      </c>
    </row>
    <row r="1382" spans="1:34">
      <c r="A1382">
        <v>2026</v>
      </c>
      <c r="B1382">
        <v>2</v>
      </c>
      <c r="C1382" s="83">
        <v>204725682691</v>
      </c>
      <c r="D1382" t="s">
        <v>1359</v>
      </c>
      <c r="E1382">
        <v>56875617972</v>
      </c>
      <c r="F1382">
        <v>636195</v>
      </c>
      <c r="G1382">
        <v>52039076239</v>
      </c>
      <c r="H1382" t="s">
        <v>104</v>
      </c>
      <c r="I1382" s="36">
        <v>718.8</v>
      </c>
      <c r="J1382" s="36">
        <v>718.8</v>
      </c>
      <c r="K1382" s="85">
        <v>0</v>
      </c>
      <c r="L1382" s="36">
        <v>59.9</v>
      </c>
      <c r="M1382" s="36">
        <v>59.9</v>
      </c>
      <c r="N1382" s="36">
        <v>0</v>
      </c>
      <c r="O1382" s="36">
        <v>0</v>
      </c>
      <c r="P1382" t="s">
        <v>497</v>
      </c>
      <c r="Q1382" t="s">
        <v>498</v>
      </c>
      <c r="R1382" t="s">
        <v>498</v>
      </c>
      <c r="S1382" s="1">
        <v>46076</v>
      </c>
      <c r="T1382" s="1">
        <v>46076</v>
      </c>
      <c r="U1382" s="1"/>
      <c r="V1382" s="1">
        <v>46441</v>
      </c>
      <c r="W1382" t="s">
        <v>38</v>
      </c>
      <c r="X1382">
        <v>12</v>
      </c>
      <c r="Y1382" t="s">
        <v>49</v>
      </c>
      <c r="AA1382" t="s">
        <v>112</v>
      </c>
      <c r="AB1382">
        <v>12</v>
      </c>
      <c r="AC1382" t="s">
        <v>499</v>
      </c>
      <c r="AD1382" t="s">
        <v>105</v>
      </c>
      <c r="AE1382" t="s">
        <v>106</v>
      </c>
      <c r="AF1382" t="s">
        <v>59</v>
      </c>
      <c r="AG1382" t="str">
        <f t="shared" si="22"/>
        <v>CC 12x</v>
      </c>
      <c r="AH1382" t="str">
        <f>IF(AND(SUMIF(E:E,E1382,I:I)&gt;=400000,Q1382="B2G"),"n","")</f>
        <v/>
      </c>
    </row>
    <row r="1383" spans="1:34">
      <c r="A1383">
        <v>2026</v>
      </c>
      <c r="B1383">
        <v>2</v>
      </c>
      <c r="C1383" s="83">
        <v>204727190077</v>
      </c>
      <c r="D1383" t="s">
        <v>1360</v>
      </c>
      <c r="E1383">
        <v>56849278990</v>
      </c>
      <c r="F1383">
        <v>609739</v>
      </c>
      <c r="G1383">
        <v>51984450181</v>
      </c>
      <c r="H1383" t="s">
        <v>35</v>
      </c>
      <c r="I1383" s="36">
        <v>4962.6000000000004</v>
      </c>
      <c r="J1383" s="36">
        <v>4962.6000000000004</v>
      </c>
      <c r="K1383" s="85">
        <v>0</v>
      </c>
      <c r="L1383" s="36">
        <v>413.55</v>
      </c>
      <c r="M1383" s="36">
        <v>0</v>
      </c>
      <c r="N1383" s="36">
        <v>103.55</v>
      </c>
      <c r="O1383" s="36">
        <v>310</v>
      </c>
      <c r="P1383" t="s">
        <v>127</v>
      </c>
      <c r="Q1383" t="s">
        <v>111</v>
      </c>
      <c r="R1383" t="s">
        <v>111</v>
      </c>
      <c r="S1383" s="1">
        <v>46077</v>
      </c>
      <c r="T1383" s="1">
        <v>46077</v>
      </c>
      <c r="U1383" s="1">
        <v>46075</v>
      </c>
      <c r="V1383" s="1">
        <v>46440</v>
      </c>
      <c r="W1383" t="s">
        <v>38</v>
      </c>
      <c r="X1383">
        <v>12</v>
      </c>
      <c r="Y1383" t="s">
        <v>49</v>
      </c>
      <c r="Z1383" t="s">
        <v>81</v>
      </c>
      <c r="AA1383" t="s">
        <v>122</v>
      </c>
      <c r="AB1383">
        <v>12</v>
      </c>
      <c r="AC1383" t="s">
        <v>113</v>
      </c>
      <c r="AD1383" t="s">
        <v>138</v>
      </c>
      <c r="AE1383" t="s">
        <v>135</v>
      </c>
      <c r="AF1383" t="s">
        <v>119</v>
      </c>
      <c r="AG1383" t="str">
        <f t="shared" si="22"/>
        <v>Recorrente</v>
      </c>
      <c r="AH1383" t="str">
        <f>IF(AND(SUMIF(E:E,E1383,I:I)&gt;=400000,Q1383="B2G"),"n","")</f>
        <v/>
      </c>
    </row>
    <row r="1384" spans="1:34">
      <c r="A1384">
        <v>2026</v>
      </c>
      <c r="B1384">
        <v>2</v>
      </c>
      <c r="C1384" s="83">
        <v>204753646407</v>
      </c>
      <c r="D1384" t="s">
        <v>1361</v>
      </c>
      <c r="E1384">
        <v>56892845417</v>
      </c>
      <c r="F1384">
        <v>636329</v>
      </c>
      <c r="G1384">
        <v>52473502223</v>
      </c>
      <c r="H1384" t="s">
        <v>35</v>
      </c>
      <c r="I1384" s="36">
        <v>2586.6</v>
      </c>
      <c r="J1384" s="36">
        <v>2586.6</v>
      </c>
      <c r="K1384" s="85">
        <v>0</v>
      </c>
      <c r="L1384" s="36">
        <v>215.55</v>
      </c>
      <c r="M1384" s="36">
        <v>215.55</v>
      </c>
      <c r="N1384" s="36">
        <v>0</v>
      </c>
      <c r="O1384" s="36">
        <v>0</v>
      </c>
      <c r="P1384" t="s">
        <v>313</v>
      </c>
      <c r="Q1384" t="s">
        <v>314</v>
      </c>
      <c r="R1384" t="s">
        <v>314</v>
      </c>
      <c r="S1384" s="1">
        <v>46081</v>
      </c>
      <c r="T1384" s="1">
        <v>46081</v>
      </c>
      <c r="U1384" s="1"/>
      <c r="V1384" s="1">
        <v>46446</v>
      </c>
      <c r="W1384" t="s">
        <v>38</v>
      </c>
      <c r="X1384">
        <v>12</v>
      </c>
      <c r="Y1384" t="s">
        <v>49</v>
      </c>
      <c r="AA1384" t="s">
        <v>112</v>
      </c>
      <c r="AB1384">
        <v>12</v>
      </c>
      <c r="AC1384" t="s">
        <v>315</v>
      </c>
      <c r="AD1384" t="s">
        <v>140</v>
      </c>
      <c r="AE1384" t="s">
        <v>46</v>
      </c>
      <c r="AF1384" t="s">
        <v>119</v>
      </c>
      <c r="AG1384" t="str">
        <f t="shared" si="22"/>
        <v>CC 12x</v>
      </c>
      <c r="AH1384" t="str">
        <f>IF(AND(SUMIF(E:E,E1384,I:I)&gt;=400000,Q1384="B2G"),"n","")</f>
        <v/>
      </c>
    </row>
    <row r="1385" spans="1:34">
      <c r="A1385">
        <v>2026</v>
      </c>
      <c r="B1385">
        <v>2</v>
      </c>
      <c r="C1385" s="83">
        <v>204769842204</v>
      </c>
      <c r="D1385" t="s">
        <v>1362</v>
      </c>
      <c r="E1385">
        <v>56883816759</v>
      </c>
      <c r="F1385">
        <v>636203</v>
      </c>
      <c r="G1385">
        <v>52112174383</v>
      </c>
      <c r="H1385" t="s">
        <v>104</v>
      </c>
      <c r="I1385" s="36">
        <v>718.8</v>
      </c>
      <c r="J1385" s="36">
        <v>718.8</v>
      </c>
      <c r="K1385" s="85">
        <v>0</v>
      </c>
      <c r="L1385" s="36">
        <v>59.9</v>
      </c>
      <c r="M1385" s="36">
        <v>59.9</v>
      </c>
      <c r="N1385" s="36">
        <v>0</v>
      </c>
      <c r="O1385" s="36">
        <v>0</v>
      </c>
      <c r="P1385" t="s">
        <v>497</v>
      </c>
      <c r="Q1385" t="s">
        <v>498</v>
      </c>
      <c r="R1385" t="s">
        <v>498</v>
      </c>
      <c r="S1385" s="1">
        <v>46076</v>
      </c>
      <c r="T1385" s="1">
        <v>46076</v>
      </c>
      <c r="V1385" s="1">
        <v>46441</v>
      </c>
      <c r="W1385" t="s">
        <v>38</v>
      </c>
      <c r="X1385">
        <v>12</v>
      </c>
      <c r="Y1385" t="s">
        <v>49</v>
      </c>
      <c r="AA1385" t="s">
        <v>112</v>
      </c>
      <c r="AB1385">
        <v>12</v>
      </c>
      <c r="AC1385" t="s">
        <v>499</v>
      </c>
      <c r="AD1385" t="s">
        <v>105</v>
      </c>
      <c r="AE1385" t="s">
        <v>106</v>
      </c>
      <c r="AF1385" t="s">
        <v>59</v>
      </c>
      <c r="AG1385" t="str">
        <f t="shared" si="22"/>
        <v>CC 12x</v>
      </c>
      <c r="AH1385" t="str">
        <f>IF(AND(SUMIF(E:E,E1385,I:I)&gt;=400000,Q1385="B2G"),"n","")</f>
        <v/>
      </c>
    </row>
    <row r="1386" spans="1:34">
      <c r="A1386">
        <v>2026</v>
      </c>
      <c r="B1386">
        <v>2</v>
      </c>
      <c r="C1386" s="83">
        <v>204792567141</v>
      </c>
      <c r="D1386" t="s">
        <v>1363</v>
      </c>
      <c r="E1386">
        <v>56894902853</v>
      </c>
      <c r="F1386">
        <v>636222</v>
      </c>
      <c r="G1386">
        <v>52162618711</v>
      </c>
      <c r="H1386" t="s">
        <v>35</v>
      </c>
      <c r="I1386" s="36">
        <v>5178.6000000000004</v>
      </c>
      <c r="J1386" s="36">
        <v>5178.6000000000004</v>
      </c>
      <c r="K1386" s="85">
        <v>0</v>
      </c>
      <c r="L1386" s="36">
        <v>431.55</v>
      </c>
      <c r="M1386" s="36">
        <v>431.55</v>
      </c>
      <c r="N1386" s="36">
        <v>0</v>
      </c>
      <c r="O1386" s="36">
        <v>0</v>
      </c>
      <c r="P1386" t="s">
        <v>511</v>
      </c>
      <c r="Q1386" t="s">
        <v>300</v>
      </c>
      <c r="R1386" t="s">
        <v>300</v>
      </c>
      <c r="S1386" s="1">
        <v>46076</v>
      </c>
      <c r="T1386" s="1">
        <v>46076</v>
      </c>
      <c r="V1386" s="1">
        <v>46441</v>
      </c>
      <c r="W1386" t="s">
        <v>38</v>
      </c>
      <c r="X1386">
        <v>12</v>
      </c>
      <c r="Y1386" t="s">
        <v>49</v>
      </c>
      <c r="AA1386" t="s">
        <v>112</v>
      </c>
      <c r="AB1386">
        <v>12</v>
      </c>
      <c r="AC1386" t="s">
        <v>301</v>
      </c>
      <c r="AD1386" t="s">
        <v>85</v>
      </c>
      <c r="AE1386" t="s">
        <v>46</v>
      </c>
      <c r="AF1386" t="s">
        <v>44</v>
      </c>
      <c r="AG1386" t="str">
        <f t="shared" si="22"/>
        <v>CC 12x</v>
      </c>
      <c r="AH1386" t="str">
        <f>IF(AND(SUMIF(E:E,E1386,I:I)&gt;=400000,Q1386="B2G"),"n","")</f>
        <v/>
      </c>
    </row>
    <row r="1387" spans="1:34">
      <c r="A1387">
        <v>2026</v>
      </c>
      <c r="B1387">
        <v>2</v>
      </c>
      <c r="C1387" s="83">
        <v>204810351431</v>
      </c>
      <c r="D1387" t="s">
        <v>1364</v>
      </c>
      <c r="E1387">
        <v>56899197598</v>
      </c>
      <c r="F1387">
        <v>636217</v>
      </c>
      <c r="G1387">
        <v>52164527909</v>
      </c>
      <c r="H1387" t="s">
        <v>35</v>
      </c>
      <c r="I1387" s="36">
        <v>12594</v>
      </c>
      <c r="J1387" s="36">
        <v>12594</v>
      </c>
      <c r="K1387" s="85">
        <v>0</v>
      </c>
      <c r="L1387" s="36">
        <v>1049.5</v>
      </c>
      <c r="M1387" s="36">
        <v>1049.5</v>
      </c>
      <c r="N1387" s="36">
        <v>0</v>
      </c>
      <c r="O1387" s="36">
        <v>0</v>
      </c>
      <c r="P1387" t="s">
        <v>497</v>
      </c>
      <c r="Q1387" t="s">
        <v>498</v>
      </c>
      <c r="R1387" t="s">
        <v>498</v>
      </c>
      <c r="S1387" s="1">
        <v>46076</v>
      </c>
      <c r="T1387" s="1">
        <v>46076</v>
      </c>
      <c r="V1387" s="1">
        <v>46441</v>
      </c>
      <c r="W1387" t="s">
        <v>38</v>
      </c>
      <c r="X1387">
        <v>12</v>
      </c>
      <c r="Y1387" t="s">
        <v>49</v>
      </c>
      <c r="AA1387" t="s">
        <v>112</v>
      </c>
      <c r="AB1387">
        <v>1</v>
      </c>
      <c r="AC1387" t="s">
        <v>499</v>
      </c>
      <c r="AD1387" t="s">
        <v>146</v>
      </c>
      <c r="AE1387" t="s">
        <v>135</v>
      </c>
      <c r="AF1387" t="s">
        <v>96</v>
      </c>
      <c r="AG1387" t="str">
        <f t="shared" si="22"/>
        <v>À Vista</v>
      </c>
      <c r="AH1387" t="str">
        <f>IF(AND(SUMIF(E:E,E1387,I:I)&gt;=400000,Q1387="B2G"),"n","")</f>
        <v/>
      </c>
    </row>
    <row r="1388" spans="1:34">
      <c r="A1388">
        <v>2026</v>
      </c>
      <c r="B1388">
        <v>2</v>
      </c>
      <c r="C1388" s="83">
        <v>204817328647</v>
      </c>
      <c r="D1388" t="s">
        <v>1365</v>
      </c>
      <c r="E1388">
        <v>54829371501</v>
      </c>
      <c r="F1388">
        <v>277955</v>
      </c>
      <c r="G1388">
        <v>51288928694</v>
      </c>
      <c r="H1388" t="s">
        <v>35</v>
      </c>
      <c r="I1388" s="36">
        <v>7155.84</v>
      </c>
      <c r="J1388" s="36">
        <v>7155.84</v>
      </c>
      <c r="K1388" s="85">
        <v>0</v>
      </c>
      <c r="L1388" s="36">
        <v>596.32000000000005</v>
      </c>
      <c r="M1388" s="36">
        <v>596.32000000000005</v>
      </c>
      <c r="N1388" s="36">
        <v>0</v>
      </c>
      <c r="O1388" s="36">
        <v>0</v>
      </c>
      <c r="P1388" t="s">
        <v>110</v>
      </c>
      <c r="Q1388" t="s">
        <v>111</v>
      </c>
      <c r="R1388" t="s">
        <v>111</v>
      </c>
      <c r="S1388" s="1">
        <v>46076</v>
      </c>
      <c r="T1388" s="1">
        <v>46076</v>
      </c>
      <c r="U1388" s="1">
        <v>46077</v>
      </c>
      <c r="V1388" s="1">
        <v>46442</v>
      </c>
      <c r="W1388" t="s">
        <v>38</v>
      </c>
      <c r="X1388">
        <v>12</v>
      </c>
      <c r="Y1388" t="s">
        <v>49</v>
      </c>
      <c r="Z1388" t="s">
        <v>81</v>
      </c>
      <c r="AA1388" t="s">
        <v>112</v>
      </c>
      <c r="AB1388">
        <v>12</v>
      </c>
      <c r="AC1388" t="s">
        <v>113</v>
      </c>
      <c r="AD1388" t="s">
        <v>134</v>
      </c>
      <c r="AE1388" t="s">
        <v>135</v>
      </c>
      <c r="AF1388" t="s">
        <v>44</v>
      </c>
      <c r="AG1388" t="str">
        <f t="shared" ref="AG1388:AG1451" si="23">IF(IFERROR(SEARCH("Recorrente",AA1388),0)&gt;0,"Recorrente",IF(AB1388=1,"À Vista",IF(AB1388&lt;=3,"CC 3x",IF(AB1388&lt;=12,"CC 12x",IF(AB1388&gt;12,"Recorrente","")))))</f>
        <v>CC 12x</v>
      </c>
      <c r="AH1388" t="str">
        <f>IF(AND(SUMIF(E:E,E1388,I:I)&gt;=400000,Q1388="B2G"),"n","")</f>
        <v/>
      </c>
    </row>
    <row r="1389" spans="1:34">
      <c r="A1389">
        <v>2026</v>
      </c>
      <c r="B1389">
        <v>2</v>
      </c>
      <c r="C1389" s="83">
        <v>204850663346</v>
      </c>
      <c r="D1389" t="s">
        <v>1366</v>
      </c>
      <c r="E1389">
        <v>56958372952</v>
      </c>
      <c r="F1389">
        <v>636235</v>
      </c>
      <c r="G1389">
        <v>52162163491</v>
      </c>
      <c r="H1389" t="s">
        <v>35</v>
      </c>
      <c r="I1389" s="36">
        <v>9354</v>
      </c>
      <c r="J1389" s="36">
        <v>9354</v>
      </c>
      <c r="K1389" s="85">
        <v>0</v>
      </c>
      <c r="L1389" s="36">
        <v>779.5</v>
      </c>
      <c r="M1389" s="36">
        <v>779.5</v>
      </c>
      <c r="N1389" s="36">
        <v>0</v>
      </c>
      <c r="O1389" s="36">
        <v>0</v>
      </c>
      <c r="P1389" t="s">
        <v>511</v>
      </c>
      <c r="Q1389" t="s">
        <v>300</v>
      </c>
      <c r="R1389" t="s">
        <v>300</v>
      </c>
      <c r="S1389" s="1">
        <v>46077</v>
      </c>
      <c r="T1389" s="1">
        <v>46077</v>
      </c>
      <c r="U1389" s="1"/>
      <c r="V1389" s="1">
        <v>46442</v>
      </c>
      <c r="W1389" t="s">
        <v>38</v>
      </c>
      <c r="X1389">
        <v>12</v>
      </c>
      <c r="Y1389" t="s">
        <v>49</v>
      </c>
      <c r="AA1389" t="s">
        <v>122</v>
      </c>
      <c r="AB1389">
        <v>12</v>
      </c>
      <c r="AC1389" t="s">
        <v>301</v>
      </c>
      <c r="AD1389" t="s">
        <v>134</v>
      </c>
      <c r="AE1389" t="s">
        <v>135</v>
      </c>
      <c r="AF1389" t="s">
        <v>44</v>
      </c>
      <c r="AG1389" t="str">
        <f t="shared" si="23"/>
        <v>Recorrente</v>
      </c>
      <c r="AH1389" t="str">
        <f>IF(AND(SUMIF(E:E,E1389,I:I)&gt;=400000,Q1389="B2G"),"n","")</f>
        <v/>
      </c>
    </row>
    <row r="1390" spans="1:34">
      <c r="A1390">
        <v>2026</v>
      </c>
      <c r="B1390">
        <v>2</v>
      </c>
      <c r="C1390" s="83">
        <v>204869210239</v>
      </c>
      <c r="D1390" t="s">
        <v>1367</v>
      </c>
      <c r="E1390">
        <v>56945681556</v>
      </c>
      <c r="F1390">
        <v>631304</v>
      </c>
      <c r="G1390">
        <v>52162724931</v>
      </c>
      <c r="H1390" t="s">
        <v>35</v>
      </c>
      <c r="I1390" s="36">
        <v>705.24</v>
      </c>
      <c r="J1390" s="36">
        <v>1717.32</v>
      </c>
      <c r="K1390" s="85">
        <v>0</v>
      </c>
      <c r="L1390" s="36">
        <v>143.11000000000001</v>
      </c>
      <c r="M1390" s="36">
        <v>0</v>
      </c>
      <c r="N1390" s="36">
        <v>143.11000000000001</v>
      </c>
      <c r="O1390" s="36">
        <v>0</v>
      </c>
      <c r="P1390" t="s">
        <v>804</v>
      </c>
      <c r="Q1390" t="s">
        <v>191</v>
      </c>
      <c r="R1390" t="s">
        <v>191</v>
      </c>
      <c r="S1390" s="1">
        <v>46077</v>
      </c>
      <c r="T1390" s="1">
        <v>46077</v>
      </c>
      <c r="U1390" s="1">
        <v>46227</v>
      </c>
      <c r="V1390" s="1">
        <v>46227</v>
      </c>
      <c r="W1390" t="s">
        <v>38</v>
      </c>
      <c r="X1390">
        <v>5</v>
      </c>
      <c r="Y1390" t="s">
        <v>49</v>
      </c>
      <c r="Z1390" t="s">
        <v>324</v>
      </c>
      <c r="AA1390" t="s">
        <v>122</v>
      </c>
      <c r="AB1390">
        <v>4</v>
      </c>
      <c r="AC1390" t="s">
        <v>192</v>
      </c>
      <c r="AD1390" t="s">
        <v>138</v>
      </c>
      <c r="AE1390" t="s">
        <v>135</v>
      </c>
      <c r="AF1390" t="s">
        <v>119</v>
      </c>
      <c r="AG1390" t="str">
        <f t="shared" si="23"/>
        <v>Recorrente</v>
      </c>
      <c r="AH1390" t="str">
        <f>IF(AND(SUMIF(E:E,E1390,I:I)&gt;=400000,Q1390="B2G"),"n","")</f>
        <v/>
      </c>
    </row>
    <row r="1391" spans="1:34">
      <c r="A1391">
        <v>2026</v>
      </c>
      <c r="B1391">
        <v>2</v>
      </c>
      <c r="C1391" s="83">
        <v>205023329604</v>
      </c>
      <c r="D1391" t="s">
        <v>1368</v>
      </c>
      <c r="E1391">
        <v>53541070117</v>
      </c>
      <c r="F1391">
        <v>626899</v>
      </c>
      <c r="G1391">
        <v>48782732641</v>
      </c>
      <c r="H1391" t="s">
        <v>35</v>
      </c>
      <c r="I1391" s="36">
        <v>2874</v>
      </c>
      <c r="J1391" s="36">
        <v>2874</v>
      </c>
      <c r="K1391" s="85">
        <v>0</v>
      </c>
      <c r="L1391" s="36">
        <v>239.5</v>
      </c>
      <c r="M1391" s="36">
        <v>0</v>
      </c>
      <c r="N1391" s="36">
        <v>36.35</v>
      </c>
      <c r="O1391" s="36">
        <v>203.15</v>
      </c>
      <c r="P1391" t="s">
        <v>165</v>
      </c>
      <c r="Q1391" t="s">
        <v>166</v>
      </c>
      <c r="R1391" t="s">
        <v>166</v>
      </c>
      <c r="S1391" s="1">
        <v>46077</v>
      </c>
      <c r="T1391" s="1">
        <v>46077</v>
      </c>
      <c r="U1391" s="1">
        <v>46078</v>
      </c>
      <c r="V1391" s="1">
        <v>46443</v>
      </c>
      <c r="W1391" t="s">
        <v>38</v>
      </c>
      <c r="X1391">
        <v>12</v>
      </c>
      <c r="Y1391" t="s">
        <v>49</v>
      </c>
      <c r="Z1391" t="s">
        <v>81</v>
      </c>
      <c r="AA1391" t="s">
        <v>112</v>
      </c>
      <c r="AB1391">
        <v>12</v>
      </c>
      <c r="AC1391" t="s">
        <v>166</v>
      </c>
      <c r="AD1391" t="s">
        <v>140</v>
      </c>
      <c r="AE1391" t="s">
        <v>46</v>
      </c>
      <c r="AF1391" t="s">
        <v>119</v>
      </c>
      <c r="AG1391" t="str">
        <f t="shared" si="23"/>
        <v>CC 12x</v>
      </c>
      <c r="AH1391" t="str">
        <f>IF(AND(SUMIF(E:E,E1391,I:I)&gt;=400000,Q1391="B2G"),"n","")</f>
        <v/>
      </c>
    </row>
    <row r="1392" spans="1:34">
      <c r="A1392">
        <v>2026</v>
      </c>
      <c r="B1392">
        <v>2</v>
      </c>
      <c r="C1392" s="83">
        <v>205031946320</v>
      </c>
      <c r="D1392" t="s">
        <v>1369</v>
      </c>
      <c r="E1392">
        <v>56958663948</v>
      </c>
      <c r="F1392">
        <v>326186</v>
      </c>
      <c r="G1392">
        <v>52251227572</v>
      </c>
      <c r="H1392" t="s">
        <v>35</v>
      </c>
      <c r="I1392" s="36">
        <v>2630.04</v>
      </c>
      <c r="J1392" s="36">
        <v>3842.76</v>
      </c>
      <c r="K1392" s="85">
        <v>0</v>
      </c>
      <c r="L1392" s="36">
        <v>320.23</v>
      </c>
      <c r="M1392" s="36">
        <v>0</v>
      </c>
      <c r="N1392" s="36">
        <v>320.23</v>
      </c>
      <c r="O1392" s="36">
        <v>0</v>
      </c>
      <c r="P1392" t="s">
        <v>469</v>
      </c>
      <c r="Q1392" t="s">
        <v>191</v>
      </c>
      <c r="R1392" t="s">
        <v>191</v>
      </c>
      <c r="S1392" s="1">
        <v>46077</v>
      </c>
      <c r="T1392" s="1">
        <v>46077</v>
      </c>
      <c r="U1392" s="1">
        <v>46327</v>
      </c>
      <c r="V1392" s="1">
        <v>46327</v>
      </c>
      <c r="W1392" t="s">
        <v>38</v>
      </c>
      <c r="X1392">
        <v>9</v>
      </c>
      <c r="Y1392" t="s">
        <v>49</v>
      </c>
      <c r="Z1392" t="s">
        <v>324</v>
      </c>
      <c r="AA1392" t="s">
        <v>112</v>
      </c>
      <c r="AB1392">
        <v>9</v>
      </c>
      <c r="AC1392" t="s">
        <v>192</v>
      </c>
      <c r="AD1392" t="s">
        <v>134</v>
      </c>
      <c r="AE1392" t="s">
        <v>135</v>
      </c>
      <c r="AF1392" t="s">
        <v>44</v>
      </c>
      <c r="AG1392" t="str">
        <f t="shared" si="23"/>
        <v>CC 12x</v>
      </c>
      <c r="AH1392" t="str">
        <f>IF(AND(SUMIF(E:E,E1392,I:I)&gt;=400000,Q1392="B2G"),"n","")</f>
        <v/>
      </c>
    </row>
    <row r="1393" spans="1:34">
      <c r="A1393">
        <v>2026</v>
      </c>
      <c r="B1393">
        <v>2</v>
      </c>
      <c r="C1393" s="83">
        <v>205037302079</v>
      </c>
      <c r="D1393" t="s">
        <v>1370</v>
      </c>
      <c r="E1393">
        <v>56925692320</v>
      </c>
      <c r="F1393">
        <v>304465</v>
      </c>
      <c r="G1393">
        <v>52198825217</v>
      </c>
      <c r="H1393" t="s">
        <v>35</v>
      </c>
      <c r="I1393" s="36">
        <v>4884</v>
      </c>
      <c r="J1393" s="36">
        <v>4884</v>
      </c>
      <c r="K1393" s="85">
        <v>0</v>
      </c>
      <c r="L1393" s="36">
        <v>407</v>
      </c>
      <c r="M1393" s="36">
        <v>0</v>
      </c>
      <c r="N1393" s="36">
        <v>130.65039999999999</v>
      </c>
      <c r="O1393" s="36">
        <v>276.3492</v>
      </c>
      <c r="P1393" t="s">
        <v>190</v>
      </c>
      <c r="Q1393" t="s">
        <v>111</v>
      </c>
      <c r="R1393" t="s">
        <v>111</v>
      </c>
      <c r="S1393" s="1">
        <v>46077</v>
      </c>
      <c r="T1393" s="1">
        <v>46077</v>
      </c>
      <c r="U1393" s="1">
        <v>46078</v>
      </c>
      <c r="V1393" s="1">
        <v>46443</v>
      </c>
      <c r="W1393" t="s">
        <v>38</v>
      </c>
      <c r="X1393">
        <v>12</v>
      </c>
      <c r="Y1393" t="s">
        <v>49</v>
      </c>
      <c r="Z1393" t="s">
        <v>81</v>
      </c>
      <c r="AA1393" t="s">
        <v>122</v>
      </c>
      <c r="AB1393">
        <v>12</v>
      </c>
      <c r="AC1393" t="s">
        <v>113</v>
      </c>
      <c r="AD1393" t="s">
        <v>85</v>
      </c>
      <c r="AE1393" t="s">
        <v>46</v>
      </c>
      <c r="AF1393" t="s">
        <v>44</v>
      </c>
      <c r="AG1393" t="str">
        <f t="shared" si="23"/>
        <v>Recorrente</v>
      </c>
      <c r="AH1393" t="str">
        <f>IF(AND(SUMIF(E:E,E1393,I:I)&gt;=400000,Q1393="B2G"),"n","")</f>
        <v/>
      </c>
    </row>
    <row r="1394" spans="1:34">
      <c r="A1394">
        <v>2026</v>
      </c>
      <c r="B1394">
        <v>2</v>
      </c>
      <c r="C1394" s="83">
        <v>205055239695</v>
      </c>
      <c r="D1394" t="s">
        <v>1371</v>
      </c>
      <c r="E1394">
        <v>45982035847</v>
      </c>
      <c r="F1394">
        <v>636197</v>
      </c>
      <c r="G1394">
        <v>52101623721</v>
      </c>
      <c r="H1394" t="s">
        <v>35</v>
      </c>
      <c r="I1394" s="36">
        <v>4686.84</v>
      </c>
      <c r="J1394" s="36">
        <v>4686.8999999999996</v>
      </c>
      <c r="K1394" s="85">
        <v>0</v>
      </c>
      <c r="L1394" s="36">
        <v>390.57499999999999</v>
      </c>
      <c r="M1394" s="36">
        <v>390.57499999999999</v>
      </c>
      <c r="N1394" s="36">
        <v>0</v>
      </c>
      <c r="O1394" s="36">
        <v>0</v>
      </c>
      <c r="P1394" t="s">
        <v>323</v>
      </c>
      <c r="Q1394" t="s">
        <v>314</v>
      </c>
      <c r="R1394" t="s">
        <v>314</v>
      </c>
      <c r="S1394" s="1">
        <v>46076</v>
      </c>
      <c r="T1394" s="1">
        <v>46076</v>
      </c>
      <c r="V1394" s="1">
        <v>46441</v>
      </c>
      <c r="W1394" t="s">
        <v>38</v>
      </c>
      <c r="X1394">
        <v>12</v>
      </c>
      <c r="Y1394" t="s">
        <v>49</v>
      </c>
      <c r="AA1394" t="s">
        <v>112</v>
      </c>
      <c r="AB1394">
        <v>12</v>
      </c>
      <c r="AC1394" t="s">
        <v>315</v>
      </c>
      <c r="AD1394" t="s">
        <v>138</v>
      </c>
      <c r="AE1394" t="s">
        <v>135</v>
      </c>
      <c r="AF1394" t="s">
        <v>119</v>
      </c>
      <c r="AG1394" t="str">
        <f t="shared" si="23"/>
        <v>CC 12x</v>
      </c>
      <c r="AH1394" t="str">
        <f>IF(AND(SUMIF(E:E,E1394,I:I)&gt;=400000,Q1394="B2G"),"n","")</f>
        <v/>
      </c>
    </row>
    <row r="1395" spans="1:34">
      <c r="A1395">
        <v>2026</v>
      </c>
      <c r="B1395">
        <v>2</v>
      </c>
      <c r="C1395" s="83">
        <v>205064866614</v>
      </c>
      <c r="D1395" t="s">
        <v>1372</v>
      </c>
      <c r="E1395">
        <v>53709222784</v>
      </c>
      <c r="F1395">
        <v>307704</v>
      </c>
      <c r="G1395">
        <v>52245141765</v>
      </c>
      <c r="H1395" t="s">
        <v>35</v>
      </c>
      <c r="I1395" s="36">
        <v>4157.28</v>
      </c>
      <c r="J1395" s="36">
        <v>4157.28</v>
      </c>
      <c r="K1395" s="85">
        <v>0</v>
      </c>
      <c r="L1395" s="36">
        <v>346.44</v>
      </c>
      <c r="M1395" s="36">
        <v>0</v>
      </c>
      <c r="N1395" s="36">
        <v>184.71195</v>
      </c>
      <c r="O1395" s="36">
        <v>161.7268</v>
      </c>
      <c r="P1395" t="s">
        <v>137</v>
      </c>
      <c r="Q1395" t="s">
        <v>111</v>
      </c>
      <c r="R1395" t="s">
        <v>111</v>
      </c>
      <c r="S1395" s="1">
        <v>46077</v>
      </c>
      <c r="T1395" s="1">
        <v>46077</v>
      </c>
      <c r="U1395" s="1">
        <v>46081</v>
      </c>
      <c r="V1395" s="1">
        <v>46446</v>
      </c>
      <c r="W1395" t="s">
        <v>38</v>
      </c>
      <c r="X1395">
        <v>12</v>
      </c>
      <c r="Y1395" t="s">
        <v>49</v>
      </c>
      <c r="Z1395" t="s">
        <v>81</v>
      </c>
      <c r="AA1395" t="s">
        <v>117</v>
      </c>
      <c r="AB1395">
        <v>1</v>
      </c>
      <c r="AC1395" t="s">
        <v>113</v>
      </c>
      <c r="AD1395" t="s">
        <v>85</v>
      </c>
      <c r="AE1395" t="s">
        <v>46</v>
      </c>
      <c r="AF1395" t="s">
        <v>44</v>
      </c>
      <c r="AG1395" t="str">
        <f t="shared" si="23"/>
        <v>À Vista</v>
      </c>
      <c r="AH1395" t="str">
        <f>IF(AND(SUMIF(E:E,E1395,I:I)&gt;=400000,Q1395="B2G"),"n","")</f>
        <v/>
      </c>
    </row>
    <row r="1396" spans="1:34">
      <c r="A1396">
        <v>2026</v>
      </c>
      <c r="B1396">
        <v>2</v>
      </c>
      <c r="C1396" s="83">
        <v>205092843158</v>
      </c>
      <c r="D1396" t="s">
        <v>1373</v>
      </c>
      <c r="E1396">
        <v>57050947428</v>
      </c>
      <c r="F1396">
        <v>636265</v>
      </c>
      <c r="G1396">
        <v>52283251081</v>
      </c>
      <c r="H1396" t="s">
        <v>35</v>
      </c>
      <c r="I1396" s="36">
        <v>1724.4</v>
      </c>
      <c r="J1396" s="36">
        <v>1724.4</v>
      </c>
      <c r="K1396" s="85">
        <v>2.2737400000000001E-13</v>
      </c>
      <c r="L1396" s="36">
        <v>143.69999999999999</v>
      </c>
      <c r="M1396" s="36">
        <v>143.69999999999999</v>
      </c>
      <c r="N1396" s="36">
        <v>0</v>
      </c>
      <c r="O1396" s="36">
        <v>0</v>
      </c>
      <c r="P1396" t="s">
        <v>829</v>
      </c>
      <c r="Q1396" t="s">
        <v>300</v>
      </c>
      <c r="R1396" t="s">
        <v>300</v>
      </c>
      <c r="S1396" s="1">
        <v>46078</v>
      </c>
      <c r="T1396" s="1">
        <v>46078</v>
      </c>
      <c r="U1396" s="1"/>
      <c r="V1396" s="1">
        <v>46443</v>
      </c>
      <c r="W1396" t="s">
        <v>38</v>
      </c>
      <c r="X1396">
        <v>12</v>
      </c>
      <c r="Y1396" t="s">
        <v>49</v>
      </c>
      <c r="AA1396" t="s">
        <v>112</v>
      </c>
      <c r="AB1396">
        <v>12</v>
      </c>
      <c r="AC1396" t="s">
        <v>301</v>
      </c>
      <c r="AD1396" t="s">
        <v>140</v>
      </c>
      <c r="AE1396" t="s">
        <v>46</v>
      </c>
      <c r="AF1396" t="s">
        <v>119</v>
      </c>
      <c r="AG1396" t="str">
        <f t="shared" si="23"/>
        <v>CC 12x</v>
      </c>
      <c r="AH1396" t="str">
        <f>IF(AND(SUMIF(E:E,E1396,I:I)&gt;=400000,Q1396="B2G"),"n","")</f>
        <v/>
      </c>
    </row>
    <row r="1397" spans="1:34">
      <c r="A1397">
        <v>2026</v>
      </c>
      <c r="B1397">
        <v>2</v>
      </c>
      <c r="C1397" s="83">
        <v>205104455461</v>
      </c>
      <c r="D1397" t="s">
        <v>1374</v>
      </c>
      <c r="E1397">
        <v>56924637334</v>
      </c>
      <c r="F1397">
        <v>636276</v>
      </c>
      <c r="G1397">
        <v>52283109038</v>
      </c>
      <c r="H1397" t="s">
        <v>35</v>
      </c>
      <c r="I1397" s="36">
        <v>2580</v>
      </c>
      <c r="J1397" s="36">
        <v>2579.9897999999998</v>
      </c>
      <c r="K1397" s="85">
        <v>1.0200000000000001E-2</v>
      </c>
      <c r="L1397" s="36">
        <v>214.99914999999999</v>
      </c>
      <c r="M1397" s="36">
        <v>214.99914999999999</v>
      </c>
      <c r="N1397" s="36">
        <v>0</v>
      </c>
      <c r="O1397" s="36">
        <v>0</v>
      </c>
      <c r="P1397" t="s">
        <v>506</v>
      </c>
      <c r="Q1397" t="s">
        <v>300</v>
      </c>
      <c r="R1397" t="s">
        <v>300</v>
      </c>
      <c r="S1397" s="1">
        <v>46079</v>
      </c>
      <c r="T1397" s="1">
        <v>46079</v>
      </c>
      <c r="V1397" s="1">
        <v>46444</v>
      </c>
      <c r="W1397" t="s">
        <v>38</v>
      </c>
      <c r="X1397">
        <v>12</v>
      </c>
      <c r="Y1397" t="s">
        <v>49</v>
      </c>
      <c r="AA1397" t="s">
        <v>112</v>
      </c>
      <c r="AB1397">
        <v>12</v>
      </c>
      <c r="AC1397" t="s">
        <v>301</v>
      </c>
      <c r="AD1397" t="s">
        <v>118</v>
      </c>
      <c r="AE1397" t="s">
        <v>43</v>
      </c>
      <c r="AF1397" t="s">
        <v>119</v>
      </c>
      <c r="AG1397" t="str">
        <f t="shared" si="23"/>
        <v>CC 12x</v>
      </c>
      <c r="AH1397" t="str">
        <f>IF(AND(SUMIF(E:E,E1397,I:I)&gt;=400000,Q1397="B2G"),"n","")</f>
        <v/>
      </c>
    </row>
    <row r="1398" spans="1:34">
      <c r="A1398">
        <v>2026</v>
      </c>
      <c r="B1398">
        <v>2</v>
      </c>
      <c r="C1398" s="83">
        <v>205162736540</v>
      </c>
      <c r="D1398" t="s">
        <v>1375</v>
      </c>
      <c r="E1398">
        <v>57006513778</v>
      </c>
      <c r="F1398">
        <v>636248</v>
      </c>
      <c r="G1398">
        <v>52282767460</v>
      </c>
      <c r="H1398" t="s">
        <v>35</v>
      </c>
      <c r="I1398" s="36">
        <v>2759.04</v>
      </c>
      <c r="J1398" s="36">
        <v>2759.04</v>
      </c>
      <c r="K1398" s="85">
        <v>0</v>
      </c>
      <c r="L1398" s="36">
        <v>229.92</v>
      </c>
      <c r="M1398" s="36">
        <v>229.92</v>
      </c>
      <c r="N1398" s="36">
        <v>0</v>
      </c>
      <c r="O1398" s="36">
        <v>0</v>
      </c>
      <c r="P1398" t="s">
        <v>829</v>
      </c>
      <c r="Q1398" t="s">
        <v>300</v>
      </c>
      <c r="R1398" t="s">
        <v>300</v>
      </c>
      <c r="S1398" s="1">
        <v>46078</v>
      </c>
      <c r="T1398" s="1">
        <v>46078</v>
      </c>
      <c r="U1398" s="1"/>
      <c r="V1398" s="1">
        <v>46443</v>
      </c>
      <c r="W1398" t="s">
        <v>38</v>
      </c>
      <c r="X1398">
        <v>12</v>
      </c>
      <c r="Y1398" t="s">
        <v>49</v>
      </c>
      <c r="AA1398" t="s">
        <v>112</v>
      </c>
      <c r="AB1398">
        <v>12</v>
      </c>
      <c r="AC1398" t="s">
        <v>301</v>
      </c>
      <c r="AD1398" t="s">
        <v>118</v>
      </c>
      <c r="AE1398" t="s">
        <v>43</v>
      </c>
      <c r="AF1398" t="s">
        <v>119</v>
      </c>
      <c r="AG1398" t="str">
        <f t="shared" si="23"/>
        <v>CC 12x</v>
      </c>
      <c r="AH1398" t="str">
        <f>IF(AND(SUMIF(E:E,E1398,I:I)&gt;=400000,Q1398="B2G"),"n","")</f>
        <v/>
      </c>
    </row>
    <row r="1399" spans="1:34">
      <c r="A1399">
        <v>2026</v>
      </c>
      <c r="B1399">
        <v>2</v>
      </c>
      <c r="C1399" s="83">
        <v>205162736540</v>
      </c>
      <c r="D1399" t="s">
        <v>1375</v>
      </c>
      <c r="E1399">
        <v>57006513778</v>
      </c>
      <c r="F1399">
        <v>636248</v>
      </c>
      <c r="G1399">
        <v>52282767461</v>
      </c>
      <c r="H1399" t="s">
        <v>35</v>
      </c>
      <c r="I1399" s="36">
        <v>900</v>
      </c>
      <c r="J1399" s="36">
        <v>900</v>
      </c>
      <c r="K1399" s="85">
        <v>0</v>
      </c>
      <c r="L1399" s="36">
        <v>75</v>
      </c>
      <c r="M1399" s="36">
        <v>75</v>
      </c>
      <c r="N1399" s="36">
        <v>0</v>
      </c>
      <c r="O1399" s="36">
        <v>0</v>
      </c>
      <c r="P1399" t="s">
        <v>829</v>
      </c>
      <c r="Q1399" t="s">
        <v>300</v>
      </c>
      <c r="R1399" t="s">
        <v>300</v>
      </c>
      <c r="S1399" s="1">
        <v>46078</v>
      </c>
      <c r="T1399" s="1">
        <v>46078</v>
      </c>
      <c r="U1399" s="1"/>
      <c r="V1399" s="1">
        <v>46443</v>
      </c>
      <c r="W1399" t="s">
        <v>38</v>
      </c>
      <c r="X1399">
        <v>12</v>
      </c>
      <c r="Y1399" t="s">
        <v>49</v>
      </c>
      <c r="AA1399" t="s">
        <v>112</v>
      </c>
      <c r="AB1399">
        <v>12</v>
      </c>
      <c r="AC1399" t="s">
        <v>301</v>
      </c>
      <c r="AD1399" t="s">
        <v>1270</v>
      </c>
      <c r="AE1399" t="s">
        <v>95</v>
      </c>
      <c r="AF1399" t="s">
        <v>244</v>
      </c>
      <c r="AG1399" t="str">
        <f t="shared" si="23"/>
        <v>CC 12x</v>
      </c>
      <c r="AH1399" t="str">
        <f>IF(AND(SUMIF(E:E,E1399,I:I)&gt;=400000,Q1399="B2G"),"n","")</f>
        <v/>
      </c>
    </row>
    <row r="1400" spans="1:34">
      <c r="A1400">
        <v>2026</v>
      </c>
      <c r="B1400">
        <v>2</v>
      </c>
      <c r="C1400" s="83">
        <v>205308362306</v>
      </c>
      <c r="D1400" t="s">
        <v>1376</v>
      </c>
      <c r="E1400">
        <v>57033134703</v>
      </c>
      <c r="F1400">
        <v>636263</v>
      </c>
      <c r="G1400">
        <v>52283122321</v>
      </c>
      <c r="H1400" t="s">
        <v>35</v>
      </c>
      <c r="I1400" s="36">
        <v>4962.6000000000004</v>
      </c>
      <c r="J1400" s="36">
        <v>4962.6000000000004</v>
      </c>
      <c r="K1400" s="85">
        <v>0</v>
      </c>
      <c r="L1400" s="36">
        <v>413.55</v>
      </c>
      <c r="M1400" s="36">
        <v>413.55</v>
      </c>
      <c r="N1400" s="36">
        <v>0</v>
      </c>
      <c r="O1400" s="36">
        <v>0</v>
      </c>
      <c r="P1400" t="s">
        <v>506</v>
      </c>
      <c r="Q1400" t="s">
        <v>300</v>
      </c>
      <c r="R1400" t="s">
        <v>300</v>
      </c>
      <c r="S1400" s="1">
        <v>46078</v>
      </c>
      <c r="T1400" s="1">
        <v>46078</v>
      </c>
      <c r="U1400" s="1"/>
      <c r="V1400" s="1">
        <v>46443</v>
      </c>
      <c r="W1400" t="s">
        <v>38</v>
      </c>
      <c r="X1400">
        <v>12</v>
      </c>
      <c r="Y1400" t="s">
        <v>49</v>
      </c>
      <c r="AA1400" t="s">
        <v>112</v>
      </c>
      <c r="AB1400">
        <v>12</v>
      </c>
      <c r="AC1400" t="s">
        <v>301</v>
      </c>
      <c r="AD1400" t="s">
        <v>138</v>
      </c>
      <c r="AE1400" t="s">
        <v>135</v>
      </c>
      <c r="AF1400" t="s">
        <v>119</v>
      </c>
      <c r="AG1400" t="str">
        <f t="shared" si="23"/>
        <v>CC 12x</v>
      </c>
      <c r="AH1400" t="str">
        <f>IF(AND(SUMIF(E:E,E1400,I:I)&gt;=400000,Q1400="B2G"),"n","")</f>
        <v/>
      </c>
    </row>
    <row r="1401" spans="1:34">
      <c r="A1401">
        <v>2026</v>
      </c>
      <c r="B1401">
        <v>2</v>
      </c>
      <c r="C1401" s="83">
        <v>205309269283</v>
      </c>
      <c r="D1401" t="s">
        <v>1377</v>
      </c>
      <c r="E1401">
        <v>52860458807</v>
      </c>
      <c r="F1401">
        <v>306450</v>
      </c>
      <c r="G1401">
        <v>47985684381</v>
      </c>
      <c r="H1401" t="s">
        <v>35</v>
      </c>
      <c r="I1401" s="36">
        <v>5178.6000000000004</v>
      </c>
      <c r="J1401" s="36">
        <v>5178.6000000000004</v>
      </c>
      <c r="K1401" s="85">
        <v>0</v>
      </c>
      <c r="L1401" s="36">
        <v>431.55</v>
      </c>
      <c r="M1401" s="36">
        <v>0</v>
      </c>
      <c r="N1401" s="36">
        <v>84.95</v>
      </c>
      <c r="O1401" s="36">
        <v>346.6</v>
      </c>
      <c r="P1401" t="s">
        <v>165</v>
      </c>
      <c r="Q1401" t="s">
        <v>166</v>
      </c>
      <c r="R1401" t="s">
        <v>166</v>
      </c>
      <c r="S1401" s="1">
        <v>46066</v>
      </c>
      <c r="T1401" s="1">
        <v>46066</v>
      </c>
      <c r="U1401" s="1">
        <v>46066</v>
      </c>
      <c r="V1401" s="1">
        <v>46431</v>
      </c>
      <c r="W1401" t="s">
        <v>38</v>
      </c>
      <c r="X1401">
        <v>12</v>
      </c>
      <c r="Y1401" t="s">
        <v>49</v>
      </c>
      <c r="Z1401" t="s">
        <v>81</v>
      </c>
      <c r="AA1401" t="s">
        <v>122</v>
      </c>
      <c r="AB1401">
        <v>12</v>
      </c>
      <c r="AC1401" t="s">
        <v>166</v>
      </c>
      <c r="AD1401" t="s">
        <v>85</v>
      </c>
      <c r="AE1401" t="s">
        <v>46</v>
      </c>
      <c r="AF1401" t="s">
        <v>44</v>
      </c>
      <c r="AG1401" t="str">
        <f t="shared" si="23"/>
        <v>Recorrente</v>
      </c>
      <c r="AH1401" t="str">
        <f>IF(AND(SUMIF(E:E,E1401,I:I)&gt;=400000,Q1401="B2G"),"n","")</f>
        <v/>
      </c>
    </row>
    <row r="1402" spans="1:34">
      <c r="A1402">
        <v>2026</v>
      </c>
      <c r="B1402">
        <v>2</v>
      </c>
      <c r="C1402" s="83">
        <v>205322249642</v>
      </c>
      <c r="D1402" t="s">
        <v>1378</v>
      </c>
      <c r="E1402">
        <v>54127407144</v>
      </c>
      <c r="F1402">
        <v>608888</v>
      </c>
      <c r="G1402">
        <v>49631528582</v>
      </c>
      <c r="H1402" t="s">
        <v>35</v>
      </c>
      <c r="I1402" s="36">
        <v>6664.68</v>
      </c>
      <c r="J1402" s="36">
        <v>6664.68</v>
      </c>
      <c r="K1402" s="85">
        <v>0</v>
      </c>
      <c r="L1402" s="36">
        <v>555.39</v>
      </c>
      <c r="M1402" s="36">
        <v>0</v>
      </c>
      <c r="N1402" s="36">
        <v>165.99</v>
      </c>
      <c r="O1402" s="36">
        <v>389.4</v>
      </c>
      <c r="P1402" t="s">
        <v>127</v>
      </c>
      <c r="Q1402" t="s">
        <v>111</v>
      </c>
      <c r="R1402" t="s">
        <v>111</v>
      </c>
      <c r="S1402" s="1">
        <v>46061</v>
      </c>
      <c r="T1402" s="1">
        <v>46061</v>
      </c>
      <c r="U1402" s="1">
        <v>46062</v>
      </c>
      <c r="V1402" s="1">
        <v>46427</v>
      </c>
      <c r="W1402" t="s">
        <v>38</v>
      </c>
      <c r="X1402">
        <v>12</v>
      </c>
      <c r="Y1402" t="s">
        <v>49</v>
      </c>
      <c r="Z1402" t="s">
        <v>81</v>
      </c>
      <c r="AA1402" t="s">
        <v>122</v>
      </c>
      <c r="AB1402">
        <v>12</v>
      </c>
      <c r="AC1402" t="s">
        <v>113</v>
      </c>
      <c r="AD1402" t="s">
        <v>134</v>
      </c>
      <c r="AE1402" t="s">
        <v>135</v>
      </c>
      <c r="AF1402" t="s">
        <v>44</v>
      </c>
      <c r="AG1402" t="str">
        <f t="shared" si="23"/>
        <v>Recorrente</v>
      </c>
      <c r="AH1402" t="str">
        <f>IF(AND(SUMIF(E:E,E1402,I:I)&gt;=400000,Q1402="B2G"),"n","")</f>
        <v/>
      </c>
    </row>
    <row r="1403" spans="1:34">
      <c r="A1403">
        <v>2026</v>
      </c>
      <c r="B1403">
        <v>2</v>
      </c>
      <c r="C1403" s="83">
        <v>205359150339</v>
      </c>
      <c r="D1403" t="s">
        <v>1379</v>
      </c>
      <c r="E1403">
        <v>52860381719</v>
      </c>
      <c r="F1403">
        <v>608378</v>
      </c>
      <c r="G1403">
        <v>50756887442</v>
      </c>
      <c r="H1403" t="s">
        <v>35</v>
      </c>
      <c r="I1403" s="36">
        <v>7014.6</v>
      </c>
      <c r="J1403" s="36">
        <v>7014.6</v>
      </c>
      <c r="K1403" s="85">
        <v>0</v>
      </c>
      <c r="L1403" s="36">
        <v>584.54999999999995</v>
      </c>
      <c r="M1403" s="36">
        <v>0</v>
      </c>
      <c r="N1403" s="36">
        <v>123.7</v>
      </c>
      <c r="O1403" s="36">
        <v>460.85</v>
      </c>
      <c r="P1403" t="s">
        <v>121</v>
      </c>
      <c r="Q1403" t="s">
        <v>111</v>
      </c>
      <c r="R1403" t="s">
        <v>111</v>
      </c>
      <c r="S1403" s="1">
        <v>46056</v>
      </c>
      <c r="T1403" s="1">
        <v>46056</v>
      </c>
      <c r="U1403" s="1">
        <v>46052</v>
      </c>
      <c r="V1403" s="1">
        <v>46417</v>
      </c>
      <c r="W1403" t="s">
        <v>38</v>
      </c>
      <c r="X1403">
        <v>12</v>
      </c>
      <c r="Y1403" t="s">
        <v>49</v>
      </c>
      <c r="Z1403" t="s">
        <v>81</v>
      </c>
      <c r="AA1403" t="s">
        <v>122</v>
      </c>
      <c r="AB1403">
        <v>12</v>
      </c>
      <c r="AC1403" t="s">
        <v>113</v>
      </c>
      <c r="AD1403" t="s">
        <v>125</v>
      </c>
      <c r="AE1403" t="s">
        <v>43</v>
      </c>
      <c r="AF1403" t="s">
        <v>47</v>
      </c>
      <c r="AG1403" t="str">
        <f t="shared" si="23"/>
        <v>Recorrente</v>
      </c>
      <c r="AH1403" t="str">
        <f>IF(AND(SUMIF(E:E,E1403,I:I)&gt;=400000,Q1403="B2G"),"n","")</f>
        <v/>
      </c>
    </row>
    <row r="1404" spans="1:34">
      <c r="A1404">
        <v>2026</v>
      </c>
      <c r="B1404">
        <v>2</v>
      </c>
      <c r="C1404" s="83">
        <v>205359150339</v>
      </c>
      <c r="D1404" t="s">
        <v>1379</v>
      </c>
      <c r="E1404">
        <v>56873933957</v>
      </c>
      <c r="F1404">
        <v>608378</v>
      </c>
      <c r="G1404">
        <v>52284879285</v>
      </c>
      <c r="H1404" t="s">
        <v>35</v>
      </c>
      <c r="I1404" s="36">
        <v>2667.96</v>
      </c>
      <c r="J1404" s="36">
        <v>2874.72</v>
      </c>
      <c r="K1404" s="85">
        <v>0</v>
      </c>
      <c r="L1404" s="36">
        <v>239.56</v>
      </c>
      <c r="M1404" s="36">
        <v>0</v>
      </c>
      <c r="N1404" s="36">
        <v>239.56</v>
      </c>
      <c r="O1404" s="36">
        <v>0</v>
      </c>
      <c r="P1404" t="s">
        <v>804</v>
      </c>
      <c r="Q1404" t="s">
        <v>191</v>
      </c>
      <c r="R1404" t="s">
        <v>191</v>
      </c>
      <c r="S1404" s="1">
        <v>46078</v>
      </c>
      <c r="T1404" s="1">
        <v>46078</v>
      </c>
      <c r="U1404" s="1">
        <v>46417</v>
      </c>
      <c r="V1404" s="1">
        <v>46417</v>
      </c>
      <c r="W1404" t="s">
        <v>38</v>
      </c>
      <c r="X1404">
        <v>11</v>
      </c>
      <c r="Y1404" t="s">
        <v>49</v>
      </c>
      <c r="Z1404" t="s">
        <v>324</v>
      </c>
      <c r="AA1404" t="s">
        <v>122</v>
      </c>
      <c r="AB1404">
        <v>11</v>
      </c>
      <c r="AC1404" t="s">
        <v>192</v>
      </c>
      <c r="AD1404" t="s">
        <v>118</v>
      </c>
      <c r="AE1404" t="s">
        <v>43</v>
      </c>
      <c r="AF1404" t="s">
        <v>119</v>
      </c>
      <c r="AG1404" t="str">
        <f t="shared" si="23"/>
        <v>Recorrente</v>
      </c>
      <c r="AH1404" t="str">
        <f>IF(AND(SUMIF(E:E,E1404,I:I)&gt;=400000,Q1404="B2G"),"n","")</f>
        <v/>
      </c>
    </row>
    <row r="1405" spans="1:34">
      <c r="A1405">
        <v>2026</v>
      </c>
      <c r="B1405">
        <v>2</v>
      </c>
      <c r="C1405" s="83">
        <v>205444792632</v>
      </c>
      <c r="D1405" t="s">
        <v>1380</v>
      </c>
      <c r="E1405">
        <v>57032235938</v>
      </c>
      <c r="F1405">
        <v>636267</v>
      </c>
      <c r="G1405">
        <v>52294882624</v>
      </c>
      <c r="H1405" t="s">
        <v>35</v>
      </c>
      <c r="I1405" s="36">
        <v>2874</v>
      </c>
      <c r="J1405" s="36">
        <v>2874</v>
      </c>
      <c r="K1405" s="85">
        <v>0</v>
      </c>
      <c r="L1405" s="36">
        <v>239.5</v>
      </c>
      <c r="M1405" s="36">
        <v>239.5</v>
      </c>
      <c r="N1405" s="36">
        <v>0</v>
      </c>
      <c r="O1405" s="36">
        <v>0</v>
      </c>
      <c r="P1405" t="s">
        <v>497</v>
      </c>
      <c r="Q1405" t="s">
        <v>498</v>
      </c>
      <c r="R1405" t="s">
        <v>498</v>
      </c>
      <c r="S1405" s="1">
        <v>46078</v>
      </c>
      <c r="T1405" s="1">
        <v>46078</v>
      </c>
      <c r="V1405" s="1">
        <v>46443</v>
      </c>
      <c r="W1405" t="s">
        <v>38</v>
      </c>
      <c r="X1405">
        <v>12</v>
      </c>
      <c r="Y1405" t="s">
        <v>49</v>
      </c>
      <c r="AA1405" t="s">
        <v>112</v>
      </c>
      <c r="AB1405">
        <v>1</v>
      </c>
      <c r="AC1405" t="s">
        <v>499</v>
      </c>
      <c r="AD1405" t="s">
        <v>118</v>
      </c>
      <c r="AE1405" t="s">
        <v>43</v>
      </c>
      <c r="AF1405" t="s">
        <v>119</v>
      </c>
      <c r="AG1405" t="str">
        <f t="shared" si="23"/>
        <v>À Vista</v>
      </c>
      <c r="AH1405" t="str">
        <f>IF(AND(SUMIF(E:E,E1405,I:I)&gt;=400000,Q1405="B2G"),"n","")</f>
        <v/>
      </c>
    </row>
    <row r="1406" spans="1:34">
      <c r="A1406">
        <v>2026</v>
      </c>
      <c r="B1406">
        <v>2</v>
      </c>
      <c r="C1406" s="83">
        <v>20559096450</v>
      </c>
      <c r="D1406" t="s">
        <v>1381</v>
      </c>
      <c r="E1406">
        <v>55655404173</v>
      </c>
      <c r="F1406">
        <v>635363</v>
      </c>
      <c r="G1406">
        <v>50986598219</v>
      </c>
      <c r="H1406" t="s">
        <v>35</v>
      </c>
      <c r="I1406" s="36">
        <v>14182.2</v>
      </c>
      <c r="J1406" s="36">
        <v>4952.6400000000003</v>
      </c>
      <c r="K1406" s="85">
        <v>9229.56</v>
      </c>
      <c r="L1406" s="36">
        <v>412.72</v>
      </c>
      <c r="M1406" s="36">
        <v>0</v>
      </c>
      <c r="N1406" s="36">
        <v>412.72</v>
      </c>
      <c r="O1406" s="36">
        <v>0</v>
      </c>
      <c r="P1406" t="s">
        <v>367</v>
      </c>
      <c r="Q1406" t="s">
        <v>191</v>
      </c>
      <c r="R1406" t="s">
        <v>191</v>
      </c>
      <c r="S1406" s="1">
        <v>46059</v>
      </c>
      <c r="T1406" s="1">
        <v>46059</v>
      </c>
      <c r="U1406" s="1">
        <v>47105</v>
      </c>
      <c r="V1406" s="1">
        <v>47105</v>
      </c>
      <c r="W1406" t="s">
        <v>102</v>
      </c>
      <c r="X1406">
        <v>34</v>
      </c>
      <c r="Y1406" t="s">
        <v>49</v>
      </c>
      <c r="Z1406" t="s">
        <v>324</v>
      </c>
      <c r="AA1406" t="s">
        <v>122</v>
      </c>
      <c r="AB1406">
        <v>34</v>
      </c>
      <c r="AC1406" t="s">
        <v>192</v>
      </c>
      <c r="AD1406" t="s">
        <v>85</v>
      </c>
      <c r="AE1406" t="s">
        <v>46</v>
      </c>
      <c r="AF1406" t="s">
        <v>44</v>
      </c>
      <c r="AG1406" t="str">
        <f t="shared" si="23"/>
        <v>Recorrente</v>
      </c>
      <c r="AH1406" t="str">
        <f>IF(AND(SUMIF(E:E,E1406,I:I)&gt;=400000,Q1406="B2G"),"n","")</f>
        <v/>
      </c>
    </row>
    <row r="1407" spans="1:34">
      <c r="A1407">
        <v>2026</v>
      </c>
      <c r="B1407">
        <v>2</v>
      </c>
      <c r="C1407" s="83">
        <v>205607663738</v>
      </c>
      <c r="D1407" t="s">
        <v>1382</v>
      </c>
      <c r="E1407">
        <v>54985501332</v>
      </c>
      <c r="F1407">
        <v>528780</v>
      </c>
      <c r="G1407">
        <v>52402117152</v>
      </c>
      <c r="H1407" t="s">
        <v>35</v>
      </c>
      <c r="I1407" s="36">
        <v>7483.2</v>
      </c>
      <c r="J1407" s="36">
        <v>7483.2</v>
      </c>
      <c r="K1407" s="85">
        <v>0</v>
      </c>
      <c r="L1407" s="36">
        <v>623.6</v>
      </c>
      <c r="M1407" s="36">
        <v>0</v>
      </c>
      <c r="N1407" s="36">
        <v>275.60000000000002</v>
      </c>
      <c r="O1407" s="36">
        <v>348</v>
      </c>
      <c r="P1407" t="s">
        <v>110</v>
      </c>
      <c r="Q1407" t="s">
        <v>111</v>
      </c>
      <c r="R1407" t="s">
        <v>111</v>
      </c>
      <c r="S1407" s="1">
        <v>46080</v>
      </c>
      <c r="T1407" s="1">
        <v>46080</v>
      </c>
      <c r="U1407" s="1">
        <v>46081</v>
      </c>
      <c r="V1407" s="1">
        <v>46446</v>
      </c>
      <c r="W1407" t="s">
        <v>38</v>
      </c>
      <c r="X1407">
        <v>12</v>
      </c>
      <c r="Y1407" t="s">
        <v>49</v>
      </c>
      <c r="Z1407" t="s">
        <v>76</v>
      </c>
      <c r="AA1407" t="s">
        <v>122</v>
      </c>
      <c r="AB1407">
        <v>12</v>
      </c>
      <c r="AC1407" t="s">
        <v>113</v>
      </c>
      <c r="AD1407" t="s">
        <v>134</v>
      </c>
      <c r="AE1407" t="s">
        <v>135</v>
      </c>
      <c r="AF1407" t="s">
        <v>44</v>
      </c>
      <c r="AG1407" t="str">
        <f t="shared" si="23"/>
        <v>Recorrente</v>
      </c>
      <c r="AH1407" t="str">
        <f>IF(AND(SUMIF(E:E,E1407,I:I)&gt;=400000,Q1407="B2G"),"n","")</f>
        <v/>
      </c>
    </row>
    <row r="1408" spans="1:34">
      <c r="A1408">
        <v>2026</v>
      </c>
      <c r="B1408">
        <v>2</v>
      </c>
      <c r="C1408" s="83">
        <v>205618342039</v>
      </c>
      <c r="D1408" t="s">
        <v>1383</v>
      </c>
      <c r="E1408">
        <v>57159817125</v>
      </c>
      <c r="F1408">
        <v>620262</v>
      </c>
      <c r="G1408">
        <v>52401639319</v>
      </c>
      <c r="H1408" t="s">
        <v>35</v>
      </c>
      <c r="I1408" s="36">
        <v>532.55999999999995</v>
      </c>
      <c r="J1408" s="36">
        <v>1080.72</v>
      </c>
      <c r="K1408" s="85">
        <v>0</v>
      </c>
      <c r="L1408" s="36">
        <v>90.06</v>
      </c>
      <c r="M1408" s="36">
        <v>0</v>
      </c>
      <c r="N1408" s="36">
        <v>90.06</v>
      </c>
      <c r="O1408" s="36">
        <v>0</v>
      </c>
      <c r="P1408" t="s">
        <v>469</v>
      </c>
      <c r="Q1408" t="s">
        <v>191</v>
      </c>
      <c r="R1408" t="s">
        <v>191</v>
      </c>
      <c r="S1408" s="1">
        <v>46080</v>
      </c>
      <c r="T1408" s="1">
        <v>46080</v>
      </c>
      <c r="U1408" s="1">
        <v>46260</v>
      </c>
      <c r="V1408" s="1">
        <v>46260</v>
      </c>
      <c r="W1408" t="s">
        <v>38</v>
      </c>
      <c r="X1408">
        <v>6</v>
      </c>
      <c r="Y1408" t="s">
        <v>49</v>
      </c>
      <c r="Z1408" t="s">
        <v>324</v>
      </c>
      <c r="AA1408" t="s">
        <v>122</v>
      </c>
      <c r="AB1408">
        <v>5</v>
      </c>
      <c r="AC1408" t="s">
        <v>192</v>
      </c>
      <c r="AD1408" t="s">
        <v>163</v>
      </c>
      <c r="AE1408" t="s">
        <v>43</v>
      </c>
      <c r="AF1408" t="s">
        <v>96</v>
      </c>
      <c r="AG1408" t="str">
        <f t="shared" si="23"/>
        <v>Recorrente</v>
      </c>
      <c r="AH1408" t="str">
        <f>IF(AND(SUMIF(E:E,E1408,I:I)&gt;=400000,Q1408="B2G"),"n","")</f>
        <v/>
      </c>
    </row>
    <row r="1409" spans="1:34">
      <c r="A1409">
        <v>2026</v>
      </c>
      <c r="B1409">
        <v>2</v>
      </c>
      <c r="C1409" s="83">
        <v>205618457760</v>
      </c>
      <c r="D1409" t="s">
        <v>1384</v>
      </c>
      <c r="E1409">
        <v>57061448115</v>
      </c>
      <c r="F1409">
        <v>636274</v>
      </c>
      <c r="G1409">
        <v>52283160732</v>
      </c>
      <c r="H1409" t="s">
        <v>35</v>
      </c>
      <c r="I1409" s="36">
        <v>6925.68</v>
      </c>
      <c r="J1409" s="36">
        <v>3462.9</v>
      </c>
      <c r="K1409" s="85">
        <v>3462.78</v>
      </c>
      <c r="L1409" s="36">
        <v>288.57499999999999</v>
      </c>
      <c r="M1409" s="36">
        <v>288.57499999999999</v>
      </c>
      <c r="N1409" s="36">
        <v>0</v>
      </c>
      <c r="O1409" s="36">
        <v>0</v>
      </c>
      <c r="P1409" t="s">
        <v>313</v>
      </c>
      <c r="Q1409" t="s">
        <v>314</v>
      </c>
      <c r="R1409" t="s">
        <v>314</v>
      </c>
      <c r="S1409" s="1">
        <v>46079</v>
      </c>
      <c r="T1409" s="1">
        <v>46079</v>
      </c>
      <c r="V1409" s="1">
        <v>46809</v>
      </c>
      <c r="W1409" t="s">
        <v>56</v>
      </c>
      <c r="X1409">
        <v>24</v>
      </c>
      <c r="Y1409" t="s">
        <v>49</v>
      </c>
      <c r="AA1409" t="s">
        <v>122</v>
      </c>
      <c r="AB1409">
        <v>24</v>
      </c>
      <c r="AC1409" t="s">
        <v>315</v>
      </c>
      <c r="AD1409" t="s">
        <v>160</v>
      </c>
      <c r="AE1409" t="s">
        <v>43</v>
      </c>
      <c r="AF1409" t="s">
        <v>44</v>
      </c>
      <c r="AG1409" t="str">
        <f t="shared" si="23"/>
        <v>Recorrente</v>
      </c>
      <c r="AH1409" t="str">
        <f>IF(AND(SUMIF(E:E,E1409,I:I)&gt;=400000,Q1409="B2G"),"n","")</f>
        <v/>
      </c>
    </row>
    <row r="1410" spans="1:34">
      <c r="A1410">
        <v>2026</v>
      </c>
      <c r="B1410">
        <v>2</v>
      </c>
      <c r="C1410" s="83">
        <v>205764818452</v>
      </c>
      <c r="D1410" t="s">
        <v>1385</v>
      </c>
      <c r="E1410">
        <v>57138224253</v>
      </c>
      <c r="F1410">
        <v>636300</v>
      </c>
      <c r="G1410">
        <v>52401669714</v>
      </c>
      <c r="H1410" t="s">
        <v>35</v>
      </c>
      <c r="I1410" s="36">
        <v>1724.4</v>
      </c>
      <c r="J1410" s="36">
        <v>1724.4</v>
      </c>
      <c r="K1410" s="85">
        <v>2.2737400000000001E-13</v>
      </c>
      <c r="L1410" s="36">
        <v>143.69999999999999</v>
      </c>
      <c r="M1410" s="36">
        <v>143.69999999999999</v>
      </c>
      <c r="N1410" s="36">
        <v>0</v>
      </c>
      <c r="O1410" s="36">
        <v>0</v>
      </c>
      <c r="P1410" t="s">
        <v>829</v>
      </c>
      <c r="Q1410" t="s">
        <v>300</v>
      </c>
      <c r="R1410" t="s">
        <v>80</v>
      </c>
      <c r="S1410" s="1">
        <v>46080</v>
      </c>
      <c r="T1410" s="1">
        <v>46080</v>
      </c>
      <c r="U1410" s="1"/>
      <c r="V1410" s="1">
        <v>46445</v>
      </c>
      <c r="W1410" t="s">
        <v>38</v>
      </c>
      <c r="X1410">
        <v>12</v>
      </c>
      <c r="Y1410" t="s">
        <v>49</v>
      </c>
      <c r="AA1410" t="s">
        <v>112</v>
      </c>
      <c r="AB1410">
        <v>12</v>
      </c>
      <c r="AC1410" t="s">
        <v>495</v>
      </c>
      <c r="AD1410" t="s">
        <v>118</v>
      </c>
      <c r="AE1410" t="s">
        <v>43</v>
      </c>
      <c r="AF1410" t="s">
        <v>119</v>
      </c>
      <c r="AG1410" t="str">
        <f t="shared" si="23"/>
        <v>CC 12x</v>
      </c>
      <c r="AH1410" t="str">
        <f>IF(AND(SUMIF(E:E,E1410,I:I)&gt;=400000,Q1410="B2G"),"n","")</f>
        <v/>
      </c>
    </row>
    <row r="1411" spans="1:34">
      <c r="A1411">
        <v>2026</v>
      </c>
      <c r="B1411">
        <v>2</v>
      </c>
      <c r="C1411" s="83">
        <v>205782181225</v>
      </c>
      <c r="D1411" t="s">
        <v>1386</v>
      </c>
      <c r="E1411">
        <v>57019593219</v>
      </c>
      <c r="F1411">
        <v>636252</v>
      </c>
      <c r="G1411">
        <v>52251298193</v>
      </c>
      <c r="H1411" t="s">
        <v>35</v>
      </c>
      <c r="I1411" s="36">
        <v>2874</v>
      </c>
      <c r="J1411" s="36">
        <v>2874</v>
      </c>
      <c r="K1411" s="85">
        <v>0</v>
      </c>
      <c r="L1411" s="36">
        <v>239.5</v>
      </c>
      <c r="M1411" s="36">
        <v>239.5</v>
      </c>
      <c r="N1411" s="36">
        <v>0</v>
      </c>
      <c r="O1411" s="36">
        <v>0</v>
      </c>
      <c r="P1411" t="s">
        <v>506</v>
      </c>
      <c r="Q1411" t="s">
        <v>300</v>
      </c>
      <c r="R1411" t="s">
        <v>300</v>
      </c>
      <c r="S1411" s="1">
        <v>46078</v>
      </c>
      <c r="T1411" s="1">
        <v>46078</v>
      </c>
      <c r="U1411" s="1"/>
      <c r="V1411" s="1">
        <v>46443</v>
      </c>
      <c r="W1411" t="s">
        <v>38</v>
      </c>
      <c r="X1411">
        <v>12</v>
      </c>
      <c r="Y1411" t="s">
        <v>49</v>
      </c>
      <c r="AA1411" t="s">
        <v>122</v>
      </c>
      <c r="AB1411">
        <v>12</v>
      </c>
      <c r="AC1411" t="s">
        <v>301</v>
      </c>
      <c r="AD1411" t="s">
        <v>118</v>
      </c>
      <c r="AE1411" t="s">
        <v>43</v>
      </c>
      <c r="AF1411" t="s">
        <v>119</v>
      </c>
      <c r="AG1411" t="str">
        <f t="shared" si="23"/>
        <v>Recorrente</v>
      </c>
      <c r="AH1411" t="str">
        <f>IF(AND(SUMIF(E:E,E1411,I:I)&gt;=400000,Q1411="B2G"),"n","")</f>
        <v/>
      </c>
    </row>
    <row r="1412" spans="1:34">
      <c r="A1412">
        <v>2026</v>
      </c>
      <c r="B1412">
        <v>2</v>
      </c>
      <c r="C1412" s="83">
        <v>205833878388</v>
      </c>
      <c r="D1412" t="s">
        <v>1387</v>
      </c>
      <c r="E1412">
        <v>57154363748</v>
      </c>
      <c r="F1412">
        <v>636289</v>
      </c>
      <c r="G1412">
        <v>52399255213</v>
      </c>
      <c r="H1412" t="s">
        <v>35</v>
      </c>
      <c r="I1412" s="36">
        <v>7794</v>
      </c>
      <c r="J1412" s="36">
        <v>7794</v>
      </c>
      <c r="K1412" s="85">
        <v>0</v>
      </c>
      <c r="L1412" s="36">
        <v>649.5</v>
      </c>
      <c r="M1412" s="36">
        <v>649.5</v>
      </c>
      <c r="N1412" s="36">
        <v>0</v>
      </c>
      <c r="O1412" s="36">
        <v>0</v>
      </c>
      <c r="P1412" t="s">
        <v>497</v>
      </c>
      <c r="Q1412" t="s">
        <v>498</v>
      </c>
      <c r="R1412" t="s">
        <v>498</v>
      </c>
      <c r="S1412" s="1">
        <v>46080</v>
      </c>
      <c r="T1412" s="1">
        <v>46080</v>
      </c>
      <c r="U1412" s="1"/>
      <c r="V1412" s="1">
        <v>46445</v>
      </c>
      <c r="W1412" t="s">
        <v>38</v>
      </c>
      <c r="X1412">
        <v>12</v>
      </c>
      <c r="Y1412" t="s">
        <v>49</v>
      </c>
      <c r="AA1412" t="s">
        <v>112</v>
      </c>
      <c r="AB1412">
        <v>12</v>
      </c>
      <c r="AC1412" t="s">
        <v>499</v>
      </c>
      <c r="AD1412" t="s">
        <v>125</v>
      </c>
      <c r="AE1412" t="s">
        <v>43</v>
      </c>
      <c r="AF1412" t="s">
        <v>47</v>
      </c>
      <c r="AG1412" t="str">
        <f t="shared" si="23"/>
        <v>CC 12x</v>
      </c>
      <c r="AH1412" t="str">
        <f>IF(AND(SUMIF(E:E,E1412,I:I)&gt;=400000,Q1412="B2G"),"n","")</f>
        <v/>
      </c>
    </row>
    <row r="1413" spans="1:34">
      <c r="A1413">
        <v>2026</v>
      </c>
      <c r="B1413">
        <v>2</v>
      </c>
      <c r="C1413" s="83">
        <v>205837443342</v>
      </c>
      <c r="D1413" t="s">
        <v>1388</v>
      </c>
      <c r="E1413">
        <v>56775011096</v>
      </c>
      <c r="F1413">
        <v>636193</v>
      </c>
      <c r="G1413">
        <v>52087179928</v>
      </c>
      <c r="H1413" t="s">
        <v>104</v>
      </c>
      <c r="I1413" s="36">
        <v>718.8</v>
      </c>
      <c r="J1413" s="36">
        <v>718.8</v>
      </c>
      <c r="K1413" s="85">
        <v>0</v>
      </c>
      <c r="L1413" s="36">
        <v>59.9</v>
      </c>
      <c r="M1413" s="36">
        <v>59.9</v>
      </c>
      <c r="N1413" s="36">
        <v>0</v>
      </c>
      <c r="O1413" s="36">
        <v>0</v>
      </c>
      <c r="P1413" t="s">
        <v>497</v>
      </c>
      <c r="Q1413" t="s">
        <v>498</v>
      </c>
      <c r="R1413" t="s">
        <v>498</v>
      </c>
      <c r="S1413" s="1">
        <v>46074</v>
      </c>
      <c r="T1413" s="1">
        <v>46074</v>
      </c>
      <c r="U1413" s="1"/>
      <c r="V1413" s="1">
        <v>46439</v>
      </c>
      <c r="W1413" t="s">
        <v>38</v>
      </c>
      <c r="X1413">
        <v>12</v>
      </c>
      <c r="Y1413" t="s">
        <v>49</v>
      </c>
      <c r="AA1413" t="s">
        <v>112</v>
      </c>
      <c r="AB1413">
        <v>12</v>
      </c>
      <c r="AC1413" t="s">
        <v>499</v>
      </c>
      <c r="AD1413" t="s">
        <v>105</v>
      </c>
      <c r="AE1413" t="s">
        <v>106</v>
      </c>
      <c r="AF1413" t="s">
        <v>59</v>
      </c>
      <c r="AG1413" t="str">
        <f t="shared" si="23"/>
        <v>CC 12x</v>
      </c>
      <c r="AH1413" t="str">
        <f>IF(AND(SUMIF(E:E,E1413,I:I)&gt;=400000,Q1413="B2G"),"n","")</f>
        <v/>
      </c>
    </row>
    <row r="1414" spans="1:34">
      <c r="A1414">
        <v>2026</v>
      </c>
      <c r="B1414">
        <v>2</v>
      </c>
      <c r="C1414" s="83">
        <v>2059572</v>
      </c>
      <c r="D1414" t="s">
        <v>1389</v>
      </c>
      <c r="E1414">
        <v>55406938671</v>
      </c>
      <c r="F1414">
        <v>635883</v>
      </c>
      <c r="G1414">
        <v>50691165052</v>
      </c>
      <c r="H1414" t="s">
        <v>35</v>
      </c>
      <c r="I1414" s="36">
        <v>4432.4399999999996</v>
      </c>
      <c r="J1414" s="36">
        <v>4432.4399999999996</v>
      </c>
      <c r="K1414" s="85">
        <v>0</v>
      </c>
      <c r="L1414" s="36">
        <v>369.37</v>
      </c>
      <c r="M1414" s="36">
        <v>0</v>
      </c>
      <c r="N1414" s="36">
        <v>369.37</v>
      </c>
      <c r="O1414" s="36">
        <v>0</v>
      </c>
      <c r="P1414" t="s">
        <v>804</v>
      </c>
      <c r="Q1414" t="s">
        <v>191</v>
      </c>
      <c r="R1414" t="s">
        <v>191</v>
      </c>
      <c r="S1414" s="1">
        <v>46056</v>
      </c>
      <c r="T1414" s="1">
        <v>46056</v>
      </c>
      <c r="V1414" s="1">
        <v>46421</v>
      </c>
      <c r="W1414" t="s">
        <v>38</v>
      </c>
      <c r="X1414">
        <v>12</v>
      </c>
      <c r="Y1414" t="s">
        <v>49</v>
      </c>
      <c r="AA1414" t="s">
        <v>117</v>
      </c>
      <c r="AB1414">
        <v>1</v>
      </c>
      <c r="AC1414" t="s">
        <v>192</v>
      </c>
      <c r="AD1414" t="s">
        <v>163</v>
      </c>
      <c r="AE1414" t="s">
        <v>43</v>
      </c>
      <c r="AF1414" t="s">
        <v>96</v>
      </c>
      <c r="AG1414" t="str">
        <f t="shared" si="23"/>
        <v>À Vista</v>
      </c>
      <c r="AH1414" t="str">
        <f>IF(AND(SUMIF(E:E,E1414,I:I)&gt;=400000,Q1414="B2G"),"n","")</f>
        <v/>
      </c>
    </row>
    <row r="1415" spans="1:34">
      <c r="A1415">
        <v>2026</v>
      </c>
      <c r="B1415">
        <v>2</v>
      </c>
      <c r="C1415" s="83">
        <v>2060604</v>
      </c>
      <c r="D1415" t="s">
        <v>1390</v>
      </c>
      <c r="E1415">
        <v>53458657948</v>
      </c>
      <c r="F1415">
        <v>327931</v>
      </c>
      <c r="G1415">
        <v>48671474445</v>
      </c>
      <c r="H1415" t="s">
        <v>35</v>
      </c>
      <c r="I1415" s="36">
        <v>3865.56</v>
      </c>
      <c r="J1415" s="36">
        <v>3865.56</v>
      </c>
      <c r="K1415" s="85">
        <v>0</v>
      </c>
      <c r="L1415" s="36">
        <v>322.13</v>
      </c>
      <c r="M1415" s="36">
        <v>0</v>
      </c>
      <c r="N1415" s="36">
        <v>0</v>
      </c>
      <c r="O1415" s="36">
        <v>322.13</v>
      </c>
      <c r="P1415" t="s">
        <v>133</v>
      </c>
      <c r="Q1415" t="s">
        <v>111</v>
      </c>
      <c r="R1415" t="s">
        <v>111</v>
      </c>
      <c r="S1415" s="1">
        <v>46032</v>
      </c>
      <c r="T1415" s="1">
        <v>46054</v>
      </c>
      <c r="U1415" s="1">
        <v>46030</v>
      </c>
      <c r="V1415" s="1">
        <v>46395</v>
      </c>
      <c r="W1415" t="s">
        <v>38</v>
      </c>
      <c r="X1415">
        <v>12</v>
      </c>
      <c r="Y1415" t="s">
        <v>49</v>
      </c>
      <c r="Z1415" t="s">
        <v>81</v>
      </c>
      <c r="AA1415" t="s">
        <v>112</v>
      </c>
      <c r="AB1415">
        <v>12</v>
      </c>
      <c r="AC1415" t="s">
        <v>113</v>
      </c>
      <c r="AD1415" t="s">
        <v>85</v>
      </c>
      <c r="AE1415" t="s">
        <v>46</v>
      </c>
      <c r="AF1415" t="s">
        <v>44</v>
      </c>
      <c r="AG1415" t="str">
        <f t="shared" si="23"/>
        <v>CC 12x</v>
      </c>
      <c r="AH1415" t="str">
        <f>IF(AND(SUMIF(E:E,E1415,I:I)&gt;=400000,Q1415="B2G"),"n","")</f>
        <v/>
      </c>
    </row>
    <row r="1416" spans="1:34">
      <c r="A1416">
        <v>2026</v>
      </c>
      <c r="B1416">
        <v>2</v>
      </c>
      <c r="C1416" s="83">
        <v>2060615</v>
      </c>
      <c r="D1416" t="s">
        <v>1391</v>
      </c>
      <c r="E1416">
        <v>53035281409</v>
      </c>
      <c r="F1416">
        <v>289289</v>
      </c>
      <c r="G1416">
        <v>50262548102</v>
      </c>
      <c r="H1416" t="s">
        <v>35</v>
      </c>
      <c r="I1416" s="36">
        <v>4603.2</v>
      </c>
      <c r="J1416" s="36">
        <v>4603.2</v>
      </c>
      <c r="K1416" s="85">
        <v>0</v>
      </c>
      <c r="L1416" s="36">
        <v>383.6</v>
      </c>
      <c r="M1416" s="36">
        <v>0</v>
      </c>
      <c r="N1416" s="36">
        <v>0</v>
      </c>
      <c r="O1416" s="36">
        <v>383.6</v>
      </c>
      <c r="P1416" t="s">
        <v>133</v>
      </c>
      <c r="Q1416" t="s">
        <v>111</v>
      </c>
      <c r="R1416" t="s">
        <v>111</v>
      </c>
      <c r="S1416" s="1">
        <v>46057</v>
      </c>
      <c r="T1416" s="1">
        <v>46057</v>
      </c>
      <c r="U1416" s="1">
        <v>46068</v>
      </c>
      <c r="V1416" s="1">
        <v>46446</v>
      </c>
      <c r="W1416" t="s">
        <v>38</v>
      </c>
      <c r="X1416">
        <v>12</v>
      </c>
      <c r="Y1416" t="s">
        <v>49</v>
      </c>
      <c r="Z1416" t="s">
        <v>81</v>
      </c>
      <c r="AA1416" t="s">
        <v>112</v>
      </c>
      <c r="AB1416">
        <v>12</v>
      </c>
      <c r="AC1416" t="s">
        <v>113</v>
      </c>
      <c r="AD1416" t="s">
        <v>85</v>
      </c>
      <c r="AE1416" t="s">
        <v>46</v>
      </c>
      <c r="AF1416" t="s">
        <v>44</v>
      </c>
      <c r="AG1416" t="str">
        <f t="shared" si="23"/>
        <v>CC 12x</v>
      </c>
      <c r="AH1416" t="str">
        <f>IF(AND(SUMIF(E:E,E1416,I:I)&gt;=400000,Q1416="B2G"),"n","")</f>
        <v/>
      </c>
    </row>
    <row r="1417" spans="1:34">
      <c r="A1417">
        <v>2026</v>
      </c>
      <c r="B1417">
        <v>2</v>
      </c>
      <c r="C1417" s="83">
        <v>2060882</v>
      </c>
      <c r="D1417" t="s">
        <v>1392</v>
      </c>
      <c r="E1417">
        <v>52485208192</v>
      </c>
      <c r="F1417">
        <v>304549</v>
      </c>
      <c r="G1417">
        <v>47543428639</v>
      </c>
      <c r="H1417" t="s">
        <v>35</v>
      </c>
      <c r="I1417" s="36">
        <v>8418.6</v>
      </c>
      <c r="J1417" s="36">
        <v>8418.6</v>
      </c>
      <c r="K1417" s="85">
        <v>0</v>
      </c>
      <c r="L1417" s="36">
        <v>701.55</v>
      </c>
      <c r="M1417" s="36">
        <v>0</v>
      </c>
      <c r="N1417" s="36">
        <v>88.18</v>
      </c>
      <c r="O1417" s="36">
        <v>613.37</v>
      </c>
      <c r="P1417" t="s">
        <v>165</v>
      </c>
      <c r="Q1417" t="s">
        <v>166</v>
      </c>
      <c r="R1417" t="s">
        <v>166</v>
      </c>
      <c r="S1417" s="1">
        <v>46060</v>
      </c>
      <c r="T1417" s="1">
        <v>46060</v>
      </c>
      <c r="U1417" s="1">
        <v>46060</v>
      </c>
      <c r="V1417" s="1">
        <v>46425</v>
      </c>
      <c r="W1417" t="s">
        <v>38</v>
      </c>
      <c r="X1417">
        <v>12</v>
      </c>
      <c r="Y1417" t="s">
        <v>49</v>
      </c>
      <c r="Z1417" t="s">
        <v>81</v>
      </c>
      <c r="AA1417" t="s">
        <v>122</v>
      </c>
      <c r="AB1417">
        <v>12</v>
      </c>
      <c r="AC1417" t="s">
        <v>166</v>
      </c>
      <c r="AD1417" t="s">
        <v>134</v>
      </c>
      <c r="AE1417" t="s">
        <v>135</v>
      </c>
      <c r="AF1417" t="s">
        <v>44</v>
      </c>
      <c r="AG1417" t="str">
        <f t="shared" si="23"/>
        <v>Recorrente</v>
      </c>
      <c r="AH1417" t="str">
        <f>IF(AND(SUMIF(E:E,E1417,I:I)&gt;=400000,Q1417="B2G"),"n","")</f>
        <v/>
      </c>
    </row>
    <row r="1418" spans="1:34">
      <c r="A1418">
        <v>2026</v>
      </c>
      <c r="B1418">
        <v>2</v>
      </c>
      <c r="C1418" s="83">
        <v>2061771</v>
      </c>
      <c r="D1418" t="s">
        <v>1393</v>
      </c>
      <c r="E1418">
        <v>53416679718</v>
      </c>
      <c r="F1418">
        <v>306941</v>
      </c>
      <c r="G1418">
        <v>48497702949</v>
      </c>
      <c r="H1418" t="s">
        <v>35</v>
      </c>
      <c r="I1418" s="36">
        <v>4315.4399999999996</v>
      </c>
      <c r="J1418" s="36">
        <v>4315.4399999999996</v>
      </c>
      <c r="K1418" s="85">
        <v>0</v>
      </c>
      <c r="L1418" s="36">
        <v>359.62</v>
      </c>
      <c r="M1418" s="36">
        <v>0</v>
      </c>
      <c r="N1418" s="36">
        <v>61.284999999999997</v>
      </c>
      <c r="O1418" s="36">
        <v>298.33999999999997</v>
      </c>
      <c r="P1418" t="s">
        <v>165</v>
      </c>
      <c r="Q1418" t="s">
        <v>166</v>
      </c>
      <c r="R1418" t="s">
        <v>166</v>
      </c>
      <c r="S1418" s="1">
        <v>46075</v>
      </c>
      <c r="T1418" s="1">
        <v>46075</v>
      </c>
      <c r="U1418" s="1">
        <v>46075</v>
      </c>
      <c r="V1418" s="1">
        <v>46440</v>
      </c>
      <c r="W1418" t="s">
        <v>38</v>
      </c>
      <c r="X1418">
        <v>12</v>
      </c>
      <c r="Y1418" t="s">
        <v>49</v>
      </c>
      <c r="Z1418" t="s">
        <v>81</v>
      </c>
      <c r="AA1418" t="s">
        <v>122</v>
      </c>
      <c r="AB1418">
        <v>12</v>
      </c>
      <c r="AC1418" t="s">
        <v>166</v>
      </c>
      <c r="AD1418" t="s">
        <v>85</v>
      </c>
      <c r="AE1418" t="s">
        <v>46</v>
      </c>
      <c r="AF1418" t="s">
        <v>44</v>
      </c>
      <c r="AG1418" t="str">
        <f t="shared" si="23"/>
        <v>Recorrente</v>
      </c>
      <c r="AH1418" t="str">
        <f>IF(AND(SUMIF(E:E,E1418,I:I)&gt;=400000,Q1418="B2G"),"n","")</f>
        <v/>
      </c>
    </row>
    <row r="1419" spans="1:34">
      <c r="A1419">
        <v>2026</v>
      </c>
      <c r="B1419">
        <v>2</v>
      </c>
      <c r="C1419" s="83">
        <v>2062169</v>
      </c>
      <c r="D1419" t="s">
        <v>1394</v>
      </c>
      <c r="E1419">
        <v>55475039132</v>
      </c>
      <c r="F1419">
        <v>304457</v>
      </c>
      <c r="G1419">
        <v>50778008166</v>
      </c>
      <c r="H1419" t="s">
        <v>35</v>
      </c>
      <c r="I1419" s="36">
        <v>5221.92</v>
      </c>
      <c r="J1419" s="36">
        <v>5221.92</v>
      </c>
      <c r="K1419" s="85">
        <v>0</v>
      </c>
      <c r="L1419" s="36">
        <v>435.16</v>
      </c>
      <c r="M1419" s="36">
        <v>435.16</v>
      </c>
      <c r="N1419" s="36">
        <v>0</v>
      </c>
      <c r="O1419" s="36">
        <v>0</v>
      </c>
      <c r="P1419" t="s">
        <v>133</v>
      </c>
      <c r="Q1419" t="s">
        <v>111</v>
      </c>
      <c r="R1419" t="s">
        <v>111</v>
      </c>
      <c r="S1419" s="1">
        <v>46058</v>
      </c>
      <c r="T1419" s="1">
        <v>46058</v>
      </c>
      <c r="U1419" s="1">
        <v>46055</v>
      </c>
      <c r="V1419" s="1">
        <v>46446</v>
      </c>
      <c r="W1419" t="s">
        <v>38</v>
      </c>
      <c r="X1419">
        <v>12</v>
      </c>
      <c r="Y1419" t="s">
        <v>49</v>
      </c>
      <c r="Z1419" t="s">
        <v>81</v>
      </c>
      <c r="AA1419" t="s">
        <v>112</v>
      </c>
      <c r="AB1419">
        <v>12</v>
      </c>
      <c r="AC1419" t="s">
        <v>113</v>
      </c>
      <c r="AD1419" t="s">
        <v>125</v>
      </c>
      <c r="AE1419" t="s">
        <v>43</v>
      </c>
      <c r="AF1419" t="s">
        <v>47</v>
      </c>
      <c r="AG1419" t="str">
        <f t="shared" si="23"/>
        <v>CC 12x</v>
      </c>
      <c r="AH1419" t="str">
        <f>IF(AND(SUMIF(E:E,E1419,I:I)&gt;=400000,Q1419="B2G"),"n","")</f>
        <v/>
      </c>
    </row>
    <row r="1420" spans="1:34">
      <c r="A1420">
        <v>2026</v>
      </c>
      <c r="B1420">
        <v>2</v>
      </c>
      <c r="C1420" s="83">
        <v>2062323</v>
      </c>
      <c r="D1420" t="s">
        <v>1395</v>
      </c>
      <c r="E1420">
        <v>53789984534</v>
      </c>
      <c r="F1420">
        <v>625431</v>
      </c>
      <c r="G1420">
        <v>49268402039</v>
      </c>
      <c r="H1420" t="s">
        <v>35</v>
      </c>
      <c r="I1420" s="36">
        <v>4315.4399999999996</v>
      </c>
      <c r="J1420" s="36">
        <v>4315.4399999999996</v>
      </c>
      <c r="K1420" s="85">
        <v>0</v>
      </c>
      <c r="L1420" s="36">
        <v>359.62</v>
      </c>
      <c r="M1420" s="36">
        <v>0</v>
      </c>
      <c r="N1420" s="36">
        <v>140.54499999999999</v>
      </c>
      <c r="O1420" s="36">
        <v>219.08</v>
      </c>
      <c r="P1420" t="s">
        <v>127</v>
      </c>
      <c r="Q1420" t="s">
        <v>111</v>
      </c>
      <c r="R1420" t="s">
        <v>111</v>
      </c>
      <c r="S1420" s="1">
        <v>46037</v>
      </c>
      <c r="T1420" s="1">
        <v>46054</v>
      </c>
      <c r="U1420" s="1">
        <v>46035</v>
      </c>
      <c r="V1420" s="1">
        <v>46400</v>
      </c>
      <c r="W1420" t="s">
        <v>38</v>
      </c>
      <c r="X1420">
        <v>12</v>
      </c>
      <c r="Y1420" t="s">
        <v>49</v>
      </c>
      <c r="Z1420" t="s">
        <v>76</v>
      </c>
      <c r="AA1420" t="s">
        <v>112</v>
      </c>
      <c r="AB1420">
        <v>12</v>
      </c>
      <c r="AC1420" t="s">
        <v>113</v>
      </c>
      <c r="AD1420" t="s">
        <v>85</v>
      </c>
      <c r="AE1420" t="s">
        <v>46</v>
      </c>
      <c r="AF1420" t="s">
        <v>44</v>
      </c>
      <c r="AG1420" t="str">
        <f t="shared" si="23"/>
        <v>CC 12x</v>
      </c>
      <c r="AH1420" t="str">
        <f>IF(AND(SUMIF(E:E,E1420,I:I)&gt;=400000,Q1420="B2G"),"n","")</f>
        <v/>
      </c>
    </row>
    <row r="1421" spans="1:34">
      <c r="A1421">
        <v>2026</v>
      </c>
      <c r="B1421">
        <v>2</v>
      </c>
      <c r="C1421" s="83">
        <v>2062391</v>
      </c>
      <c r="D1421" t="s">
        <v>1396</v>
      </c>
      <c r="E1421">
        <v>53629879140</v>
      </c>
      <c r="F1421">
        <v>327897</v>
      </c>
      <c r="G1421">
        <v>49704337169</v>
      </c>
      <c r="H1421" t="s">
        <v>35</v>
      </c>
      <c r="I1421" s="36">
        <v>2902.68</v>
      </c>
      <c r="J1421" s="36">
        <v>2902.68</v>
      </c>
      <c r="K1421" s="85">
        <v>0</v>
      </c>
      <c r="L1421" s="36">
        <v>241.89</v>
      </c>
      <c r="M1421" s="36">
        <v>0</v>
      </c>
      <c r="N1421" s="36">
        <v>43.94</v>
      </c>
      <c r="O1421" s="36">
        <v>197.95</v>
      </c>
      <c r="P1421" t="s">
        <v>162</v>
      </c>
      <c r="Q1421" t="s">
        <v>111</v>
      </c>
      <c r="R1421" t="s">
        <v>111</v>
      </c>
      <c r="S1421" s="1">
        <v>46045</v>
      </c>
      <c r="T1421" s="1">
        <v>46054</v>
      </c>
      <c r="U1421" s="1">
        <v>46033</v>
      </c>
      <c r="V1421" s="1">
        <v>46410</v>
      </c>
      <c r="W1421" t="s">
        <v>38</v>
      </c>
      <c r="X1421">
        <v>12</v>
      </c>
      <c r="Y1421" t="s">
        <v>49</v>
      </c>
      <c r="Z1421" t="s">
        <v>81</v>
      </c>
      <c r="AA1421" t="s">
        <v>122</v>
      </c>
      <c r="AB1421">
        <v>12</v>
      </c>
      <c r="AC1421" t="s">
        <v>113</v>
      </c>
      <c r="AD1421" t="s">
        <v>160</v>
      </c>
      <c r="AE1421" t="s">
        <v>43</v>
      </c>
      <c r="AF1421" t="s">
        <v>44</v>
      </c>
      <c r="AG1421" t="str">
        <f t="shared" si="23"/>
        <v>Recorrente</v>
      </c>
      <c r="AH1421" t="str">
        <f>IF(AND(SUMIF(E:E,E1421,I:I)&gt;=400000,Q1421="B2G"),"n","")</f>
        <v/>
      </c>
    </row>
    <row r="1422" spans="1:34">
      <c r="A1422">
        <v>2026</v>
      </c>
      <c r="B1422">
        <v>2</v>
      </c>
      <c r="C1422" s="83">
        <v>2062741</v>
      </c>
      <c r="D1422" t="s">
        <v>1397</v>
      </c>
      <c r="E1422">
        <v>54486073963</v>
      </c>
      <c r="F1422">
        <v>626259</v>
      </c>
      <c r="G1422">
        <v>51492079191</v>
      </c>
      <c r="H1422" t="s">
        <v>35</v>
      </c>
      <c r="I1422" s="36">
        <v>4646.3999999999996</v>
      </c>
      <c r="J1422" s="36">
        <v>4646.3999999999996</v>
      </c>
      <c r="K1422" s="85">
        <v>0</v>
      </c>
      <c r="L1422" s="36">
        <v>387.2</v>
      </c>
      <c r="M1422" s="36">
        <v>0</v>
      </c>
      <c r="N1422" s="36">
        <v>27.99625</v>
      </c>
      <c r="O1422" s="36">
        <v>359.2</v>
      </c>
      <c r="P1422" t="s">
        <v>137</v>
      </c>
      <c r="Q1422" t="s">
        <v>111</v>
      </c>
      <c r="R1422" t="s">
        <v>111</v>
      </c>
      <c r="S1422" s="1">
        <v>46066</v>
      </c>
      <c r="T1422" s="1">
        <v>46066</v>
      </c>
      <c r="U1422" s="1">
        <v>46060</v>
      </c>
      <c r="V1422" s="1">
        <v>46431</v>
      </c>
      <c r="W1422" t="s">
        <v>38</v>
      </c>
      <c r="X1422">
        <v>12</v>
      </c>
      <c r="Y1422" t="s">
        <v>49</v>
      </c>
      <c r="Z1422" t="s">
        <v>81</v>
      </c>
      <c r="AA1422" t="s">
        <v>112</v>
      </c>
      <c r="AB1422">
        <v>12</v>
      </c>
      <c r="AC1422" t="s">
        <v>113</v>
      </c>
      <c r="AD1422" t="s">
        <v>85</v>
      </c>
      <c r="AE1422" t="s">
        <v>46</v>
      </c>
      <c r="AF1422" t="s">
        <v>44</v>
      </c>
      <c r="AG1422" t="str">
        <f t="shared" si="23"/>
        <v>CC 12x</v>
      </c>
      <c r="AH1422" t="str">
        <f>IF(AND(SUMIF(E:E,E1422,I:I)&gt;=400000,Q1422="B2G"),"n","")</f>
        <v/>
      </c>
    </row>
    <row r="1423" spans="1:34">
      <c r="A1423">
        <v>2026</v>
      </c>
      <c r="B1423">
        <v>2</v>
      </c>
      <c r="C1423" s="83">
        <v>2063153</v>
      </c>
      <c r="D1423" t="s">
        <v>1398</v>
      </c>
      <c r="E1423">
        <v>55943882097</v>
      </c>
      <c r="F1423">
        <v>636050</v>
      </c>
      <c r="G1423">
        <v>51398444579</v>
      </c>
      <c r="H1423" t="s">
        <v>35</v>
      </c>
      <c r="I1423" s="36">
        <v>2442.84</v>
      </c>
      <c r="J1423" s="36">
        <v>2442.9</v>
      </c>
      <c r="K1423" s="85">
        <v>0</v>
      </c>
      <c r="L1423" s="36">
        <v>203.57499999999999</v>
      </c>
      <c r="M1423" s="36">
        <v>203.57499999999999</v>
      </c>
      <c r="N1423" s="36">
        <v>0</v>
      </c>
      <c r="O1423" s="36">
        <v>0</v>
      </c>
      <c r="P1423" t="s">
        <v>1073</v>
      </c>
      <c r="Q1423" t="s">
        <v>314</v>
      </c>
      <c r="R1423" t="s">
        <v>314</v>
      </c>
      <c r="S1423" s="1">
        <v>46064</v>
      </c>
      <c r="T1423" s="1">
        <v>46064</v>
      </c>
      <c r="V1423" s="1">
        <v>46429</v>
      </c>
      <c r="W1423" t="s">
        <v>38</v>
      </c>
      <c r="X1423">
        <v>12</v>
      </c>
      <c r="Y1423" t="s">
        <v>49</v>
      </c>
      <c r="AA1423" t="s">
        <v>122</v>
      </c>
      <c r="AB1423">
        <v>12</v>
      </c>
      <c r="AC1423" t="s">
        <v>315</v>
      </c>
      <c r="AD1423" t="s">
        <v>118</v>
      </c>
      <c r="AE1423" t="s">
        <v>43</v>
      </c>
      <c r="AF1423" t="s">
        <v>119</v>
      </c>
      <c r="AG1423" t="str">
        <f t="shared" si="23"/>
        <v>Recorrente</v>
      </c>
      <c r="AH1423" t="str">
        <f>IF(AND(SUMIF(E:E,E1423,I:I)&gt;=400000,Q1423="B2G"),"n","")</f>
        <v/>
      </c>
    </row>
    <row r="1424" spans="1:34">
      <c r="A1424">
        <v>2026</v>
      </c>
      <c r="B1424">
        <v>2</v>
      </c>
      <c r="C1424" s="83">
        <v>2064168</v>
      </c>
      <c r="D1424" t="s">
        <v>1399</v>
      </c>
      <c r="E1424">
        <v>53699902329</v>
      </c>
      <c r="F1424">
        <v>635966</v>
      </c>
      <c r="G1424">
        <v>50935303606</v>
      </c>
      <c r="H1424" t="s">
        <v>35</v>
      </c>
      <c r="I1424" s="36">
        <v>4000.08</v>
      </c>
      <c r="J1424" s="36">
        <v>4000.116</v>
      </c>
      <c r="K1424" s="85">
        <v>0</v>
      </c>
      <c r="L1424" s="36">
        <v>333.34300000000002</v>
      </c>
      <c r="M1424" s="36">
        <v>333.34300000000002</v>
      </c>
      <c r="N1424" s="36">
        <v>0</v>
      </c>
      <c r="O1424" s="36">
        <v>0</v>
      </c>
      <c r="P1424" t="s">
        <v>1073</v>
      </c>
      <c r="Q1424" t="s">
        <v>314</v>
      </c>
      <c r="R1424" t="s">
        <v>314</v>
      </c>
      <c r="S1424" s="1">
        <v>46058</v>
      </c>
      <c r="T1424" s="1">
        <v>46058</v>
      </c>
      <c r="U1424" s="1"/>
      <c r="V1424" s="1">
        <v>46424</v>
      </c>
      <c r="W1424" t="s">
        <v>38</v>
      </c>
      <c r="X1424">
        <v>12</v>
      </c>
      <c r="Y1424" t="s">
        <v>49</v>
      </c>
      <c r="AA1424" t="s">
        <v>117</v>
      </c>
      <c r="AB1424">
        <v>1</v>
      </c>
      <c r="AC1424" t="s">
        <v>315</v>
      </c>
      <c r="AD1424" t="s">
        <v>85</v>
      </c>
      <c r="AE1424" t="s">
        <v>46</v>
      </c>
      <c r="AF1424" t="s">
        <v>44</v>
      </c>
      <c r="AG1424" t="str">
        <f t="shared" si="23"/>
        <v>À Vista</v>
      </c>
      <c r="AH1424" t="str">
        <f>IF(AND(SUMIF(E:E,E1424,I:I)&gt;=400000,Q1424="B2G"),"n","")</f>
        <v/>
      </c>
    </row>
    <row r="1425" spans="1:34">
      <c r="A1425">
        <v>2026</v>
      </c>
      <c r="B1425">
        <v>2</v>
      </c>
      <c r="C1425" s="83">
        <v>206460664237</v>
      </c>
      <c r="D1425" t="s">
        <v>1400</v>
      </c>
      <c r="E1425">
        <v>52489744919</v>
      </c>
      <c r="F1425">
        <v>505498</v>
      </c>
      <c r="G1425">
        <v>47551260535</v>
      </c>
      <c r="H1425" t="s">
        <v>35</v>
      </c>
      <c r="I1425" s="36">
        <v>4045.44</v>
      </c>
      <c r="J1425" s="36">
        <v>4045.44</v>
      </c>
      <c r="K1425" s="85">
        <v>0</v>
      </c>
      <c r="L1425" s="36">
        <v>337.12</v>
      </c>
      <c r="M1425" s="36">
        <v>0</v>
      </c>
      <c r="N1425" s="36">
        <v>46.064999999999998</v>
      </c>
      <c r="O1425" s="36">
        <v>291.06</v>
      </c>
      <c r="P1425" t="s">
        <v>165</v>
      </c>
      <c r="Q1425" t="s">
        <v>166</v>
      </c>
      <c r="R1425" t="s">
        <v>166</v>
      </c>
      <c r="S1425" s="1">
        <v>46060</v>
      </c>
      <c r="T1425" s="1">
        <v>46060</v>
      </c>
      <c r="U1425" s="1">
        <v>46060</v>
      </c>
      <c r="V1425" s="1">
        <v>46425</v>
      </c>
      <c r="W1425" t="s">
        <v>38</v>
      </c>
      <c r="X1425">
        <v>12</v>
      </c>
      <c r="Y1425" t="s">
        <v>49</v>
      </c>
      <c r="Z1425" t="s">
        <v>81</v>
      </c>
      <c r="AA1425" t="s">
        <v>112</v>
      </c>
      <c r="AB1425">
        <v>12</v>
      </c>
      <c r="AC1425" t="s">
        <v>166</v>
      </c>
      <c r="AD1425" t="s">
        <v>85</v>
      </c>
      <c r="AE1425" t="s">
        <v>46</v>
      </c>
      <c r="AF1425" t="s">
        <v>44</v>
      </c>
      <c r="AG1425" t="str">
        <f t="shared" si="23"/>
        <v>CC 12x</v>
      </c>
      <c r="AH1425" t="str">
        <f>IF(AND(SUMIF(E:E,E1425,I:I)&gt;=400000,Q1425="B2G"),"n","")</f>
        <v/>
      </c>
    </row>
    <row r="1426" spans="1:34">
      <c r="A1426">
        <v>2026</v>
      </c>
      <c r="B1426">
        <v>2</v>
      </c>
      <c r="C1426" s="83">
        <v>206460664237</v>
      </c>
      <c r="D1426" t="s">
        <v>1400</v>
      </c>
      <c r="E1426">
        <v>52489744919</v>
      </c>
      <c r="F1426">
        <v>505498</v>
      </c>
      <c r="G1426">
        <v>47664794168</v>
      </c>
      <c r="H1426" t="s">
        <v>35</v>
      </c>
      <c r="I1426" s="36">
        <v>4045.44</v>
      </c>
      <c r="J1426" s="36">
        <v>4045.44</v>
      </c>
      <c r="K1426" s="85">
        <v>0</v>
      </c>
      <c r="L1426" s="36">
        <v>337.12</v>
      </c>
      <c r="M1426" s="36">
        <v>0</v>
      </c>
      <c r="N1426" s="36">
        <v>46.064999999999998</v>
      </c>
      <c r="O1426" s="36">
        <v>291.06</v>
      </c>
      <c r="P1426" t="s">
        <v>165</v>
      </c>
      <c r="Q1426" t="s">
        <v>166</v>
      </c>
      <c r="R1426" t="s">
        <v>166</v>
      </c>
      <c r="S1426" s="1">
        <v>46060</v>
      </c>
      <c r="T1426" s="1">
        <v>46060</v>
      </c>
      <c r="U1426" s="1">
        <v>46060</v>
      </c>
      <c r="V1426" s="1">
        <v>46425</v>
      </c>
      <c r="W1426" t="s">
        <v>38</v>
      </c>
      <c r="X1426">
        <v>12</v>
      </c>
      <c r="Y1426" t="s">
        <v>49</v>
      </c>
      <c r="Z1426" t="s">
        <v>81</v>
      </c>
      <c r="AA1426" t="s">
        <v>112</v>
      </c>
      <c r="AB1426">
        <v>12</v>
      </c>
      <c r="AC1426" t="s">
        <v>166</v>
      </c>
      <c r="AD1426" t="s">
        <v>84</v>
      </c>
      <c r="AE1426" t="s">
        <v>43</v>
      </c>
      <c r="AF1426" t="s">
        <v>44</v>
      </c>
      <c r="AG1426" t="str">
        <f t="shared" si="23"/>
        <v>CC 12x</v>
      </c>
      <c r="AH1426" t="str">
        <f>IF(AND(SUMIF(E:E,E1426,I:I)&gt;=400000,Q1426="B2G"),"n","")</f>
        <v/>
      </c>
    </row>
    <row r="1427" spans="1:34">
      <c r="A1427">
        <v>2026</v>
      </c>
      <c r="B1427">
        <v>2</v>
      </c>
      <c r="C1427" s="83">
        <v>2064823</v>
      </c>
      <c r="D1427" t="s">
        <v>1401</v>
      </c>
      <c r="E1427">
        <v>55563898216</v>
      </c>
      <c r="F1427">
        <v>635973</v>
      </c>
      <c r="G1427">
        <v>50966457195</v>
      </c>
      <c r="H1427" t="s">
        <v>35</v>
      </c>
      <c r="I1427" s="36">
        <v>4971.3599999999997</v>
      </c>
      <c r="J1427" s="36">
        <v>4971.3599999999997</v>
      </c>
      <c r="K1427" s="85">
        <v>0</v>
      </c>
      <c r="L1427" s="36">
        <v>414.28</v>
      </c>
      <c r="M1427" s="36">
        <v>414.28</v>
      </c>
      <c r="N1427" s="36">
        <v>0</v>
      </c>
      <c r="O1427" s="36">
        <v>0</v>
      </c>
      <c r="P1427" t="s">
        <v>1073</v>
      </c>
      <c r="Q1427" t="s">
        <v>314</v>
      </c>
      <c r="R1427" t="s">
        <v>314</v>
      </c>
      <c r="S1427" s="1">
        <v>46059</v>
      </c>
      <c r="T1427" s="1">
        <v>46059</v>
      </c>
      <c r="U1427" s="1"/>
      <c r="V1427" s="1">
        <v>46424</v>
      </c>
      <c r="W1427" t="s">
        <v>38</v>
      </c>
      <c r="X1427">
        <v>12</v>
      </c>
      <c r="Y1427" t="s">
        <v>49</v>
      </c>
      <c r="AA1427" t="s">
        <v>112</v>
      </c>
      <c r="AB1427">
        <v>12</v>
      </c>
      <c r="AC1427" t="s">
        <v>315</v>
      </c>
      <c r="AD1427" t="s">
        <v>85</v>
      </c>
      <c r="AE1427" t="s">
        <v>46</v>
      </c>
      <c r="AF1427" t="s">
        <v>44</v>
      </c>
      <c r="AG1427" t="str">
        <f t="shared" si="23"/>
        <v>CC 12x</v>
      </c>
      <c r="AH1427" t="str">
        <f>IF(AND(SUMIF(E:E,E1427,I:I)&gt;=400000,Q1427="B2G"),"n","")</f>
        <v/>
      </c>
    </row>
    <row r="1428" spans="1:34">
      <c r="A1428">
        <v>2026</v>
      </c>
      <c r="B1428">
        <v>2</v>
      </c>
      <c r="C1428" s="83">
        <v>2066783</v>
      </c>
      <c r="D1428" t="s">
        <v>1402</v>
      </c>
      <c r="E1428">
        <v>52033876247</v>
      </c>
      <c r="F1428">
        <v>303614</v>
      </c>
      <c r="G1428">
        <v>49007713913</v>
      </c>
      <c r="H1428" t="s">
        <v>35</v>
      </c>
      <c r="I1428" s="36">
        <v>3685.32</v>
      </c>
      <c r="J1428" s="36">
        <v>3685.32</v>
      </c>
      <c r="K1428" s="85">
        <v>0</v>
      </c>
      <c r="L1428" s="36">
        <v>307.11</v>
      </c>
      <c r="M1428" s="36">
        <v>0</v>
      </c>
      <c r="N1428" s="36">
        <v>5.36</v>
      </c>
      <c r="O1428" s="36">
        <v>301.75</v>
      </c>
      <c r="P1428" t="s">
        <v>133</v>
      </c>
      <c r="Q1428" t="s">
        <v>111</v>
      </c>
      <c r="R1428" t="s">
        <v>111</v>
      </c>
      <c r="S1428" s="1">
        <v>46036</v>
      </c>
      <c r="T1428" s="1">
        <v>46054</v>
      </c>
      <c r="U1428" s="1">
        <v>46042</v>
      </c>
      <c r="V1428" s="1">
        <v>46418</v>
      </c>
      <c r="W1428" t="s">
        <v>38</v>
      </c>
      <c r="X1428">
        <v>12</v>
      </c>
      <c r="Y1428" t="s">
        <v>49</v>
      </c>
      <c r="Z1428" t="s">
        <v>81</v>
      </c>
      <c r="AA1428" t="s">
        <v>117</v>
      </c>
      <c r="AB1428">
        <v>1</v>
      </c>
      <c r="AC1428" t="s">
        <v>113</v>
      </c>
      <c r="AD1428" t="s">
        <v>158</v>
      </c>
      <c r="AE1428" t="s">
        <v>43</v>
      </c>
      <c r="AF1428" t="s">
        <v>47</v>
      </c>
      <c r="AG1428" t="str">
        <f t="shared" si="23"/>
        <v>À Vista</v>
      </c>
      <c r="AH1428" t="str">
        <f>IF(AND(SUMIF(E:E,E1428,I:I)&gt;=400000,Q1428="B2G"),"n","")</f>
        <v/>
      </c>
    </row>
    <row r="1429" spans="1:34">
      <c r="A1429">
        <v>2026</v>
      </c>
      <c r="B1429">
        <v>2</v>
      </c>
      <c r="C1429" s="83">
        <v>2067075</v>
      </c>
      <c r="D1429" t="s">
        <v>1403</v>
      </c>
      <c r="E1429">
        <v>56651291426</v>
      </c>
      <c r="F1429">
        <v>636133</v>
      </c>
      <c r="G1429">
        <v>51911626065</v>
      </c>
      <c r="H1429" t="s">
        <v>35</v>
      </c>
      <c r="I1429" s="36">
        <v>2874</v>
      </c>
      <c r="J1429" s="36">
        <v>2874</v>
      </c>
      <c r="K1429" s="85">
        <v>0</v>
      </c>
      <c r="L1429" s="36">
        <v>239.5</v>
      </c>
      <c r="M1429" s="36">
        <v>239.5</v>
      </c>
      <c r="N1429" s="36">
        <v>0</v>
      </c>
      <c r="O1429" s="36">
        <v>0</v>
      </c>
      <c r="P1429" t="s">
        <v>497</v>
      </c>
      <c r="Q1429" t="s">
        <v>498</v>
      </c>
      <c r="R1429" t="s">
        <v>498</v>
      </c>
      <c r="S1429" s="1">
        <v>46072</v>
      </c>
      <c r="T1429" s="1">
        <v>46072</v>
      </c>
      <c r="U1429" s="1"/>
      <c r="V1429" s="1">
        <v>46437</v>
      </c>
      <c r="W1429" t="s">
        <v>38</v>
      </c>
      <c r="X1429">
        <v>12</v>
      </c>
      <c r="Y1429" t="s">
        <v>49</v>
      </c>
      <c r="AA1429" t="s">
        <v>112</v>
      </c>
      <c r="AB1429">
        <v>12</v>
      </c>
      <c r="AC1429" t="s">
        <v>499</v>
      </c>
      <c r="AD1429" t="s">
        <v>140</v>
      </c>
      <c r="AE1429" t="s">
        <v>46</v>
      </c>
      <c r="AF1429" t="s">
        <v>119</v>
      </c>
      <c r="AG1429" t="str">
        <f t="shared" si="23"/>
        <v>CC 12x</v>
      </c>
      <c r="AH1429" t="str">
        <f>IF(AND(SUMIF(E:E,E1429,I:I)&gt;=400000,Q1429="B2G"),"n","")</f>
        <v/>
      </c>
    </row>
    <row r="1430" spans="1:34">
      <c r="A1430">
        <v>2026</v>
      </c>
      <c r="B1430">
        <v>2</v>
      </c>
      <c r="C1430" s="83">
        <v>2067220</v>
      </c>
      <c r="D1430" t="s">
        <v>1404</v>
      </c>
      <c r="E1430">
        <v>53623216810</v>
      </c>
      <c r="F1430">
        <v>607257</v>
      </c>
      <c r="G1430">
        <v>48825768794</v>
      </c>
      <c r="H1430" t="s">
        <v>35</v>
      </c>
      <c r="I1430" s="36">
        <v>3970.08</v>
      </c>
      <c r="J1430" s="36">
        <v>3970.08</v>
      </c>
      <c r="K1430" s="85">
        <v>0</v>
      </c>
      <c r="L1430" s="36">
        <v>330.84</v>
      </c>
      <c r="M1430" s="36">
        <v>0</v>
      </c>
      <c r="N1430" s="36">
        <v>30.84</v>
      </c>
      <c r="O1430" s="36">
        <v>300</v>
      </c>
      <c r="P1430" t="s">
        <v>116</v>
      </c>
      <c r="Q1430" t="s">
        <v>111</v>
      </c>
      <c r="R1430" t="s">
        <v>111</v>
      </c>
      <c r="S1430" s="1">
        <v>46034</v>
      </c>
      <c r="T1430" s="1">
        <v>46054</v>
      </c>
      <c r="U1430" s="1">
        <v>46033</v>
      </c>
      <c r="V1430" s="1">
        <v>46399</v>
      </c>
      <c r="W1430" t="s">
        <v>38</v>
      </c>
      <c r="X1430">
        <v>12</v>
      </c>
      <c r="Y1430" t="s">
        <v>49</v>
      </c>
      <c r="Z1430" t="s">
        <v>81</v>
      </c>
      <c r="AA1430" t="s">
        <v>112</v>
      </c>
      <c r="AB1430">
        <v>12</v>
      </c>
      <c r="AC1430" t="s">
        <v>113</v>
      </c>
      <c r="AD1430" t="s">
        <v>138</v>
      </c>
      <c r="AE1430" t="s">
        <v>135</v>
      </c>
      <c r="AF1430" t="s">
        <v>119</v>
      </c>
      <c r="AG1430" t="str">
        <f t="shared" si="23"/>
        <v>CC 12x</v>
      </c>
      <c r="AH1430" t="str">
        <f>IF(AND(SUMIF(E:E,E1430,I:I)&gt;=400000,Q1430="B2G"),"n","")</f>
        <v/>
      </c>
    </row>
    <row r="1431" spans="1:34">
      <c r="A1431">
        <v>2026</v>
      </c>
      <c r="B1431">
        <v>2</v>
      </c>
      <c r="C1431" s="83">
        <v>206787550072</v>
      </c>
      <c r="D1431" t="s">
        <v>1405</v>
      </c>
      <c r="E1431">
        <v>55945128332</v>
      </c>
      <c r="F1431">
        <v>636306</v>
      </c>
      <c r="G1431">
        <v>52357449378</v>
      </c>
      <c r="H1431" t="s">
        <v>35</v>
      </c>
      <c r="I1431" s="36">
        <v>4764.12</v>
      </c>
      <c r="J1431" s="36">
        <v>4764.12</v>
      </c>
      <c r="K1431" s="85">
        <v>0</v>
      </c>
      <c r="L1431" s="36">
        <v>397.01</v>
      </c>
      <c r="M1431" s="36">
        <v>397.01</v>
      </c>
      <c r="N1431" s="36">
        <v>0</v>
      </c>
      <c r="O1431" s="36">
        <v>0</v>
      </c>
      <c r="P1431" t="s">
        <v>1073</v>
      </c>
      <c r="Q1431" t="s">
        <v>314</v>
      </c>
      <c r="R1431" t="s">
        <v>314</v>
      </c>
      <c r="S1431" s="1">
        <v>46080</v>
      </c>
      <c r="T1431" s="1">
        <v>46080</v>
      </c>
      <c r="U1431" s="1"/>
      <c r="V1431" s="1">
        <v>46445</v>
      </c>
      <c r="W1431" t="s">
        <v>38</v>
      </c>
      <c r="X1431">
        <v>12</v>
      </c>
      <c r="Y1431" t="s">
        <v>49</v>
      </c>
      <c r="AA1431" t="s">
        <v>112</v>
      </c>
      <c r="AB1431">
        <v>12</v>
      </c>
      <c r="AC1431" t="s">
        <v>315</v>
      </c>
      <c r="AD1431" t="s">
        <v>138</v>
      </c>
      <c r="AE1431" t="s">
        <v>135</v>
      </c>
      <c r="AF1431" t="s">
        <v>119</v>
      </c>
      <c r="AG1431" t="str">
        <f t="shared" si="23"/>
        <v>CC 12x</v>
      </c>
      <c r="AH1431" t="str">
        <f>IF(AND(SUMIF(E:E,E1431,I:I)&gt;=400000,Q1431="B2G"),"n","")</f>
        <v/>
      </c>
    </row>
    <row r="1432" spans="1:34">
      <c r="A1432">
        <v>2026</v>
      </c>
      <c r="B1432">
        <v>2</v>
      </c>
      <c r="C1432" s="83">
        <v>2068080</v>
      </c>
      <c r="D1432" t="s">
        <v>1406</v>
      </c>
      <c r="E1432">
        <v>54232366098</v>
      </c>
      <c r="F1432">
        <v>607724</v>
      </c>
      <c r="G1432">
        <v>49755732140</v>
      </c>
      <c r="H1432" t="s">
        <v>35</v>
      </c>
      <c r="I1432" s="36">
        <v>3865.56</v>
      </c>
      <c r="J1432" s="36">
        <v>3865.56</v>
      </c>
      <c r="K1432" s="85">
        <v>0</v>
      </c>
      <c r="L1432" s="36">
        <v>322.13</v>
      </c>
      <c r="M1432" s="36">
        <v>0</v>
      </c>
      <c r="N1432" s="36">
        <v>72.019295</v>
      </c>
      <c r="O1432" s="36">
        <v>250.11</v>
      </c>
      <c r="P1432" t="s">
        <v>137</v>
      </c>
      <c r="Q1432" t="s">
        <v>111</v>
      </c>
      <c r="R1432" t="s">
        <v>111</v>
      </c>
      <c r="S1432" s="1">
        <v>46045</v>
      </c>
      <c r="T1432" s="1">
        <v>46054</v>
      </c>
      <c r="U1432" s="1">
        <v>46041</v>
      </c>
      <c r="V1432" s="1">
        <v>46406</v>
      </c>
      <c r="W1432" t="s">
        <v>38</v>
      </c>
      <c r="X1432">
        <v>12</v>
      </c>
      <c r="Y1432" t="s">
        <v>49</v>
      </c>
      <c r="Z1432" t="s">
        <v>81</v>
      </c>
      <c r="AA1432" t="s">
        <v>122</v>
      </c>
      <c r="AB1432">
        <v>12</v>
      </c>
      <c r="AC1432" t="s">
        <v>113</v>
      </c>
      <c r="AD1432" t="s">
        <v>229</v>
      </c>
      <c r="AE1432" t="s">
        <v>43</v>
      </c>
      <c r="AF1432" t="s">
        <v>96</v>
      </c>
      <c r="AG1432" t="str">
        <f t="shared" si="23"/>
        <v>Recorrente</v>
      </c>
      <c r="AH1432" t="str">
        <f>IF(AND(SUMIF(E:E,E1432,I:I)&gt;=400000,Q1432="B2G"),"n","")</f>
        <v/>
      </c>
    </row>
    <row r="1433" spans="1:34">
      <c r="A1433">
        <v>2026</v>
      </c>
      <c r="B1433">
        <v>2</v>
      </c>
      <c r="C1433" s="83">
        <v>2068889</v>
      </c>
      <c r="D1433" t="s">
        <v>1407</v>
      </c>
      <c r="E1433">
        <v>55492679066</v>
      </c>
      <c r="F1433">
        <v>631974</v>
      </c>
      <c r="G1433">
        <v>50880070830</v>
      </c>
      <c r="H1433" t="s">
        <v>35</v>
      </c>
      <c r="I1433" s="36">
        <v>666.72</v>
      </c>
      <c r="J1433" s="36">
        <v>923.35199999999998</v>
      </c>
      <c r="K1433" s="85">
        <v>0</v>
      </c>
      <c r="L1433" s="36">
        <v>76.945999999999998</v>
      </c>
      <c r="M1433" s="36">
        <v>0</v>
      </c>
      <c r="N1433" s="36">
        <v>76.945999999999998</v>
      </c>
      <c r="O1433" s="36">
        <v>0</v>
      </c>
      <c r="P1433" t="s">
        <v>367</v>
      </c>
      <c r="Q1433" t="s">
        <v>191</v>
      </c>
      <c r="R1433" t="s">
        <v>191</v>
      </c>
      <c r="S1433" s="1">
        <v>46059</v>
      </c>
      <c r="T1433" s="1">
        <v>46059</v>
      </c>
      <c r="U1433" s="1">
        <v>46986</v>
      </c>
      <c r="V1433" s="1">
        <v>46986</v>
      </c>
      <c r="W1433" t="s">
        <v>102</v>
      </c>
      <c r="X1433">
        <v>30</v>
      </c>
      <c r="Y1433" t="s">
        <v>49</v>
      </c>
      <c r="Z1433" t="s">
        <v>324</v>
      </c>
      <c r="AA1433" t="s">
        <v>122</v>
      </c>
      <c r="AB1433">
        <v>30</v>
      </c>
      <c r="AC1433" t="s">
        <v>192</v>
      </c>
      <c r="AD1433" t="s">
        <v>527</v>
      </c>
      <c r="AE1433" t="s">
        <v>257</v>
      </c>
      <c r="AF1433" t="s">
        <v>59</v>
      </c>
      <c r="AG1433" t="str">
        <f t="shared" si="23"/>
        <v>Recorrente</v>
      </c>
      <c r="AH1433" t="str">
        <f>IF(AND(SUMIF(E:E,E1433,I:I)&gt;=400000,Q1433="B2G"),"n","")</f>
        <v/>
      </c>
    </row>
    <row r="1434" spans="1:34">
      <c r="A1434">
        <v>2026</v>
      </c>
      <c r="B1434">
        <v>2</v>
      </c>
      <c r="C1434" s="83">
        <v>2068889</v>
      </c>
      <c r="D1434" t="s">
        <v>1407</v>
      </c>
      <c r="E1434">
        <v>55492679066</v>
      </c>
      <c r="F1434">
        <v>631974</v>
      </c>
      <c r="G1434">
        <v>50880070832</v>
      </c>
      <c r="H1434" t="s">
        <v>35</v>
      </c>
      <c r="I1434" s="36">
        <v>666.72</v>
      </c>
      <c r="J1434" s="36">
        <v>923.35199999999998</v>
      </c>
      <c r="K1434" s="85">
        <v>0</v>
      </c>
      <c r="L1434" s="36">
        <v>76.945999999999998</v>
      </c>
      <c r="M1434" s="36">
        <v>0</v>
      </c>
      <c r="N1434" s="36">
        <v>76.945999999999998</v>
      </c>
      <c r="O1434" s="36">
        <v>0</v>
      </c>
      <c r="P1434" t="s">
        <v>367</v>
      </c>
      <c r="Q1434" t="s">
        <v>191</v>
      </c>
      <c r="R1434" t="s">
        <v>191</v>
      </c>
      <c r="S1434" s="1">
        <v>46059</v>
      </c>
      <c r="T1434" s="1">
        <v>46059</v>
      </c>
      <c r="U1434" s="1">
        <v>46986</v>
      </c>
      <c r="V1434" s="1">
        <v>46986</v>
      </c>
      <c r="W1434" t="s">
        <v>102</v>
      </c>
      <c r="X1434">
        <v>30</v>
      </c>
      <c r="Y1434" t="s">
        <v>49</v>
      </c>
      <c r="Z1434" t="s">
        <v>324</v>
      </c>
      <c r="AA1434" t="s">
        <v>122</v>
      </c>
      <c r="AB1434">
        <v>30</v>
      </c>
      <c r="AC1434" t="s">
        <v>192</v>
      </c>
      <c r="AD1434" t="s">
        <v>527</v>
      </c>
      <c r="AE1434" t="s">
        <v>257</v>
      </c>
      <c r="AF1434" t="s">
        <v>59</v>
      </c>
      <c r="AG1434" t="str">
        <f t="shared" si="23"/>
        <v>Recorrente</v>
      </c>
      <c r="AH1434" t="str">
        <f>IF(AND(SUMIF(E:E,E1434,I:I)&gt;=400000,Q1434="B2G"),"n","")</f>
        <v/>
      </c>
    </row>
    <row r="1435" spans="1:34">
      <c r="A1435">
        <v>2026</v>
      </c>
      <c r="B1435">
        <v>2</v>
      </c>
      <c r="C1435" s="83">
        <v>2068889</v>
      </c>
      <c r="D1435" t="s">
        <v>1407</v>
      </c>
      <c r="E1435">
        <v>55492679066</v>
      </c>
      <c r="F1435">
        <v>631974</v>
      </c>
      <c r="G1435">
        <v>50880070833</v>
      </c>
      <c r="H1435" t="s">
        <v>35</v>
      </c>
      <c r="I1435" s="36">
        <v>9029.52</v>
      </c>
      <c r="J1435" s="36">
        <v>923.35199999999998</v>
      </c>
      <c r="K1435" s="85">
        <v>8106.1679999999997</v>
      </c>
      <c r="L1435" s="36">
        <v>76.945999999999998</v>
      </c>
      <c r="M1435" s="36">
        <v>0</v>
      </c>
      <c r="N1435" s="36">
        <v>76.945999999999998</v>
      </c>
      <c r="O1435" s="36">
        <v>0</v>
      </c>
      <c r="P1435" t="s">
        <v>367</v>
      </c>
      <c r="Q1435" t="s">
        <v>191</v>
      </c>
      <c r="R1435" t="s">
        <v>191</v>
      </c>
      <c r="S1435" s="1">
        <v>46059</v>
      </c>
      <c r="T1435" s="1">
        <v>46059</v>
      </c>
      <c r="U1435" s="1">
        <v>46986</v>
      </c>
      <c r="V1435" s="1">
        <v>46986</v>
      </c>
      <c r="W1435" t="s">
        <v>102</v>
      </c>
      <c r="X1435">
        <v>30</v>
      </c>
      <c r="Y1435" t="s">
        <v>49</v>
      </c>
      <c r="Z1435" t="s">
        <v>324</v>
      </c>
      <c r="AA1435" t="s">
        <v>122</v>
      </c>
      <c r="AB1435">
        <v>30</v>
      </c>
      <c r="AC1435" t="s">
        <v>192</v>
      </c>
      <c r="AD1435" t="s">
        <v>174</v>
      </c>
      <c r="AE1435" t="s">
        <v>43</v>
      </c>
      <c r="AF1435" t="s">
        <v>47</v>
      </c>
      <c r="AG1435" t="str">
        <f t="shared" si="23"/>
        <v>Recorrente</v>
      </c>
      <c r="AH1435" t="str">
        <f>IF(AND(SUMIF(E:E,E1435,I:I)&gt;=400000,Q1435="B2G"),"n","")</f>
        <v/>
      </c>
    </row>
    <row r="1436" spans="1:34">
      <c r="A1436">
        <v>2026</v>
      </c>
      <c r="B1436">
        <v>2</v>
      </c>
      <c r="C1436" s="83">
        <v>2068889</v>
      </c>
      <c r="D1436" t="s">
        <v>1407</v>
      </c>
      <c r="E1436">
        <v>55492679066</v>
      </c>
      <c r="F1436">
        <v>631974</v>
      </c>
      <c r="G1436">
        <v>50880070834</v>
      </c>
      <c r="H1436" t="s">
        <v>35</v>
      </c>
      <c r="I1436" s="36">
        <v>682.92</v>
      </c>
      <c r="J1436" s="36">
        <v>923.35199999999998</v>
      </c>
      <c r="K1436" s="85">
        <v>0</v>
      </c>
      <c r="L1436" s="36">
        <v>76.945999999999998</v>
      </c>
      <c r="M1436" s="36">
        <v>0</v>
      </c>
      <c r="N1436" s="36">
        <v>76.945999999999998</v>
      </c>
      <c r="O1436" s="36">
        <v>0</v>
      </c>
      <c r="P1436" t="s">
        <v>367</v>
      </c>
      <c r="Q1436" t="s">
        <v>191</v>
      </c>
      <c r="R1436" t="s">
        <v>191</v>
      </c>
      <c r="S1436" s="1">
        <v>46059</v>
      </c>
      <c r="T1436" s="1">
        <v>46059</v>
      </c>
      <c r="U1436" s="1">
        <v>46986</v>
      </c>
      <c r="V1436" s="1">
        <v>46986</v>
      </c>
      <c r="W1436" t="s">
        <v>102</v>
      </c>
      <c r="X1436">
        <v>30</v>
      </c>
      <c r="Y1436" t="s">
        <v>49</v>
      </c>
      <c r="Z1436" t="s">
        <v>324</v>
      </c>
      <c r="AA1436" t="s">
        <v>122</v>
      </c>
      <c r="AB1436">
        <v>30</v>
      </c>
      <c r="AC1436" t="s">
        <v>192</v>
      </c>
      <c r="AD1436" t="s">
        <v>550</v>
      </c>
      <c r="AE1436" t="s">
        <v>363</v>
      </c>
      <c r="AF1436" t="s">
        <v>59</v>
      </c>
      <c r="AG1436" t="str">
        <f t="shared" si="23"/>
        <v>Recorrente</v>
      </c>
      <c r="AH1436" t="str">
        <f>IF(AND(SUMIF(E:E,E1436,I:I)&gt;=400000,Q1436="B2G"),"n","")</f>
        <v/>
      </c>
    </row>
    <row r="1437" spans="1:34">
      <c r="A1437">
        <v>2026</v>
      </c>
      <c r="B1437">
        <v>2</v>
      </c>
      <c r="C1437" s="83">
        <v>2068889</v>
      </c>
      <c r="D1437" t="s">
        <v>1407</v>
      </c>
      <c r="E1437">
        <v>55492679066</v>
      </c>
      <c r="F1437">
        <v>631974</v>
      </c>
      <c r="G1437">
        <v>50880070835</v>
      </c>
      <c r="H1437" t="s">
        <v>35</v>
      </c>
      <c r="I1437" s="36">
        <v>682.92</v>
      </c>
      <c r="J1437" s="36">
        <v>923.35199999999998</v>
      </c>
      <c r="K1437" s="85">
        <v>0</v>
      </c>
      <c r="L1437" s="36">
        <v>76.945999999999998</v>
      </c>
      <c r="M1437" s="36">
        <v>0</v>
      </c>
      <c r="N1437" s="36">
        <v>76.945999999999998</v>
      </c>
      <c r="O1437" s="36">
        <v>0</v>
      </c>
      <c r="P1437" t="s">
        <v>367</v>
      </c>
      <c r="Q1437" t="s">
        <v>191</v>
      </c>
      <c r="R1437" t="s">
        <v>191</v>
      </c>
      <c r="S1437" s="1">
        <v>46059</v>
      </c>
      <c r="T1437" s="1">
        <v>46059</v>
      </c>
      <c r="U1437" s="1">
        <v>46986</v>
      </c>
      <c r="V1437" s="1">
        <v>46986</v>
      </c>
      <c r="W1437" t="s">
        <v>102</v>
      </c>
      <c r="X1437">
        <v>30</v>
      </c>
      <c r="Y1437" t="s">
        <v>49</v>
      </c>
      <c r="Z1437" t="s">
        <v>324</v>
      </c>
      <c r="AA1437" t="s">
        <v>122</v>
      </c>
      <c r="AB1437">
        <v>30</v>
      </c>
      <c r="AC1437" t="s">
        <v>192</v>
      </c>
      <c r="AD1437" t="s">
        <v>550</v>
      </c>
      <c r="AE1437" t="s">
        <v>363</v>
      </c>
      <c r="AF1437" t="s">
        <v>59</v>
      </c>
      <c r="AG1437" t="str">
        <f t="shared" si="23"/>
        <v>Recorrente</v>
      </c>
      <c r="AH1437" t="str">
        <f>IF(AND(SUMIF(E:E,E1437,I:I)&gt;=400000,Q1437="B2G"),"n","")</f>
        <v/>
      </c>
    </row>
    <row r="1438" spans="1:34">
      <c r="A1438">
        <v>2026</v>
      </c>
      <c r="B1438">
        <v>2</v>
      </c>
      <c r="C1438" s="83">
        <v>2069050</v>
      </c>
      <c r="D1438" t="s">
        <v>1408</v>
      </c>
      <c r="E1438">
        <v>53683273995</v>
      </c>
      <c r="F1438">
        <v>504901</v>
      </c>
      <c r="G1438">
        <v>50697392182</v>
      </c>
      <c r="H1438" t="s">
        <v>35</v>
      </c>
      <c r="I1438" s="36">
        <v>4603.2</v>
      </c>
      <c r="J1438" s="36">
        <v>4603.2</v>
      </c>
      <c r="K1438" s="85">
        <v>0</v>
      </c>
      <c r="L1438" s="36">
        <v>383.6</v>
      </c>
      <c r="M1438" s="36">
        <v>0</v>
      </c>
      <c r="N1438" s="36">
        <v>40.11</v>
      </c>
      <c r="O1438" s="36">
        <v>343.49</v>
      </c>
      <c r="P1438" t="s">
        <v>121</v>
      </c>
      <c r="Q1438" t="s">
        <v>111</v>
      </c>
      <c r="R1438" t="s">
        <v>111</v>
      </c>
      <c r="S1438" s="1">
        <v>46057</v>
      </c>
      <c r="T1438" s="1">
        <v>46054</v>
      </c>
      <c r="U1438" s="1">
        <v>46034</v>
      </c>
      <c r="V1438" s="1">
        <v>46422</v>
      </c>
      <c r="W1438" t="s">
        <v>38</v>
      </c>
      <c r="X1438">
        <v>13</v>
      </c>
      <c r="Y1438" t="s">
        <v>49</v>
      </c>
      <c r="Z1438" t="s">
        <v>81</v>
      </c>
      <c r="AA1438" t="s">
        <v>122</v>
      </c>
      <c r="AB1438">
        <v>12</v>
      </c>
      <c r="AC1438" t="s">
        <v>113</v>
      </c>
      <c r="AD1438" t="s">
        <v>85</v>
      </c>
      <c r="AE1438" t="s">
        <v>46</v>
      </c>
      <c r="AF1438" t="s">
        <v>44</v>
      </c>
      <c r="AG1438" t="str">
        <f t="shared" si="23"/>
        <v>Recorrente</v>
      </c>
      <c r="AH1438" t="str">
        <f>IF(AND(SUMIF(E:E,E1438,I:I)&gt;=400000,Q1438="B2G"),"n","")</f>
        <v/>
      </c>
    </row>
    <row r="1439" spans="1:34">
      <c r="A1439">
        <v>2026</v>
      </c>
      <c r="B1439">
        <v>2</v>
      </c>
      <c r="C1439" s="83">
        <v>2069965</v>
      </c>
      <c r="D1439" t="s">
        <v>1409</v>
      </c>
      <c r="E1439">
        <v>54621961026</v>
      </c>
      <c r="F1439">
        <v>328339</v>
      </c>
      <c r="G1439">
        <v>51427183023</v>
      </c>
      <c r="H1439" t="s">
        <v>35</v>
      </c>
      <c r="I1439" s="36">
        <v>4499.6400000000003</v>
      </c>
      <c r="J1439" s="36">
        <v>4499.6400000000003</v>
      </c>
      <c r="K1439" s="85">
        <v>0</v>
      </c>
      <c r="L1439" s="36">
        <v>374.97</v>
      </c>
      <c r="M1439" s="36">
        <v>0</v>
      </c>
      <c r="N1439" s="36">
        <v>8.1389999999999993</v>
      </c>
      <c r="O1439" s="36">
        <v>366.83</v>
      </c>
      <c r="P1439" t="s">
        <v>133</v>
      </c>
      <c r="Q1439" t="s">
        <v>111</v>
      </c>
      <c r="R1439" t="s">
        <v>111</v>
      </c>
      <c r="S1439" s="1">
        <v>46064</v>
      </c>
      <c r="T1439" s="1">
        <v>46054</v>
      </c>
      <c r="U1439" s="1">
        <v>46048</v>
      </c>
      <c r="V1439" s="1">
        <v>46429</v>
      </c>
      <c r="W1439" t="s">
        <v>38</v>
      </c>
      <c r="X1439">
        <v>13</v>
      </c>
      <c r="Y1439" t="s">
        <v>49</v>
      </c>
      <c r="Z1439" t="s">
        <v>81</v>
      </c>
      <c r="AA1439" t="s">
        <v>112</v>
      </c>
      <c r="AB1439">
        <v>12</v>
      </c>
      <c r="AC1439" t="s">
        <v>113</v>
      </c>
      <c r="AD1439" t="s">
        <v>85</v>
      </c>
      <c r="AE1439" t="s">
        <v>46</v>
      </c>
      <c r="AF1439" t="s">
        <v>44</v>
      </c>
      <c r="AG1439" t="str">
        <f t="shared" si="23"/>
        <v>CC 12x</v>
      </c>
      <c r="AH1439" t="str">
        <f>IF(AND(SUMIF(E:E,E1439,I:I)&gt;=400000,Q1439="B2G"),"n","")</f>
        <v/>
      </c>
    </row>
    <row r="1440" spans="1:34">
      <c r="A1440">
        <v>2026</v>
      </c>
      <c r="B1440">
        <v>2</v>
      </c>
      <c r="C1440" s="83">
        <v>2070098</v>
      </c>
      <c r="D1440" t="s">
        <v>1410</v>
      </c>
      <c r="E1440">
        <v>52010175042</v>
      </c>
      <c r="F1440">
        <v>328230</v>
      </c>
      <c r="G1440">
        <v>48500026801</v>
      </c>
      <c r="H1440" t="s">
        <v>35</v>
      </c>
      <c r="I1440" s="36">
        <v>2456.4</v>
      </c>
      <c r="J1440" s="36">
        <v>2456.4</v>
      </c>
      <c r="K1440" s="85">
        <v>0</v>
      </c>
      <c r="L1440" s="36">
        <v>204.7</v>
      </c>
      <c r="M1440" s="36">
        <v>204.7</v>
      </c>
      <c r="N1440" s="36">
        <v>0</v>
      </c>
      <c r="O1440" s="36">
        <v>0</v>
      </c>
      <c r="P1440" t="s">
        <v>116</v>
      </c>
      <c r="Q1440" t="s">
        <v>111</v>
      </c>
      <c r="R1440" t="s">
        <v>111</v>
      </c>
      <c r="S1440" s="1">
        <v>46030</v>
      </c>
      <c r="T1440" s="1">
        <v>46054</v>
      </c>
      <c r="U1440" s="1">
        <v>46038</v>
      </c>
      <c r="V1440" s="1">
        <v>46403</v>
      </c>
      <c r="W1440" t="s">
        <v>38</v>
      </c>
      <c r="X1440">
        <v>12</v>
      </c>
      <c r="Y1440" t="s">
        <v>49</v>
      </c>
      <c r="Z1440" t="s">
        <v>76</v>
      </c>
      <c r="AA1440" t="s">
        <v>112</v>
      </c>
      <c r="AB1440">
        <v>12</v>
      </c>
      <c r="AC1440" t="s">
        <v>113</v>
      </c>
      <c r="AD1440" t="s">
        <v>140</v>
      </c>
      <c r="AE1440" t="s">
        <v>46</v>
      </c>
      <c r="AF1440" t="s">
        <v>119</v>
      </c>
      <c r="AG1440" t="str">
        <f t="shared" si="23"/>
        <v>CC 12x</v>
      </c>
      <c r="AH1440" t="str">
        <f>IF(AND(SUMIF(E:E,E1440,I:I)&gt;=400000,Q1440="B2G"),"n","")</f>
        <v/>
      </c>
    </row>
    <row r="1441" spans="1:34">
      <c r="A1441">
        <v>2026</v>
      </c>
      <c r="B1441">
        <v>2</v>
      </c>
      <c r="C1441" s="83">
        <v>207011330987</v>
      </c>
      <c r="D1441" t="s">
        <v>1411</v>
      </c>
      <c r="E1441">
        <v>53884007504</v>
      </c>
      <c r="F1441">
        <v>328242</v>
      </c>
      <c r="G1441">
        <v>50750726473</v>
      </c>
      <c r="H1441" t="s">
        <v>35</v>
      </c>
      <c r="I1441" s="36">
        <v>2328</v>
      </c>
      <c r="J1441" s="36">
        <v>2328</v>
      </c>
      <c r="K1441" s="85">
        <v>0</v>
      </c>
      <c r="L1441" s="36">
        <v>194</v>
      </c>
      <c r="M1441" s="36">
        <v>0</v>
      </c>
      <c r="N1441" s="36">
        <v>0</v>
      </c>
      <c r="O1441" s="36">
        <v>194.002185</v>
      </c>
      <c r="P1441" t="s">
        <v>116</v>
      </c>
      <c r="Q1441" t="s">
        <v>111</v>
      </c>
      <c r="R1441" t="s">
        <v>111</v>
      </c>
      <c r="S1441" s="1">
        <v>46065</v>
      </c>
      <c r="T1441" s="1">
        <v>46054</v>
      </c>
      <c r="U1441" s="1">
        <v>46038</v>
      </c>
      <c r="V1441" s="1">
        <v>46430</v>
      </c>
      <c r="W1441" t="s">
        <v>38</v>
      </c>
      <c r="X1441">
        <v>13</v>
      </c>
      <c r="Y1441" t="s">
        <v>49</v>
      </c>
      <c r="Z1441" t="s">
        <v>76</v>
      </c>
      <c r="AA1441" t="s">
        <v>122</v>
      </c>
      <c r="AB1441">
        <v>12</v>
      </c>
      <c r="AC1441" t="s">
        <v>113</v>
      </c>
      <c r="AD1441" t="s">
        <v>140</v>
      </c>
      <c r="AE1441" t="s">
        <v>46</v>
      </c>
      <c r="AF1441" t="s">
        <v>119</v>
      </c>
      <c r="AG1441" t="str">
        <f t="shared" si="23"/>
        <v>Recorrente</v>
      </c>
      <c r="AH1441" t="str">
        <f>IF(AND(SUMIF(E:E,E1441,I:I)&gt;=400000,Q1441="B2G"),"n","")</f>
        <v/>
      </c>
    </row>
    <row r="1442" spans="1:34">
      <c r="A1442">
        <v>2026</v>
      </c>
      <c r="B1442">
        <v>2</v>
      </c>
      <c r="C1442" s="83">
        <v>207043388517</v>
      </c>
      <c r="D1442" t="s">
        <v>1412</v>
      </c>
      <c r="E1442">
        <v>57155023474</v>
      </c>
      <c r="F1442">
        <v>636318</v>
      </c>
      <c r="G1442">
        <v>52393272399</v>
      </c>
      <c r="H1442" t="s">
        <v>35</v>
      </c>
      <c r="I1442" s="36">
        <v>10068</v>
      </c>
      <c r="J1442" s="36">
        <v>10068</v>
      </c>
      <c r="K1442" s="85">
        <v>0</v>
      </c>
      <c r="L1442" s="36">
        <v>839</v>
      </c>
      <c r="M1442" s="36">
        <v>839</v>
      </c>
      <c r="N1442" s="36">
        <v>0</v>
      </c>
      <c r="O1442" s="36">
        <v>0</v>
      </c>
      <c r="P1442" t="s">
        <v>497</v>
      </c>
      <c r="Q1442" t="s">
        <v>498</v>
      </c>
      <c r="R1442" t="s">
        <v>498</v>
      </c>
      <c r="S1442" s="1">
        <v>46080</v>
      </c>
      <c r="T1442" s="1">
        <v>46080</v>
      </c>
      <c r="U1442" s="1"/>
      <c r="V1442" s="1">
        <v>46445</v>
      </c>
      <c r="W1442" t="s">
        <v>38</v>
      </c>
      <c r="X1442">
        <v>12</v>
      </c>
      <c r="Y1442" t="s">
        <v>49</v>
      </c>
      <c r="AA1442" t="s">
        <v>112</v>
      </c>
      <c r="AB1442">
        <v>12</v>
      </c>
      <c r="AC1442" t="s">
        <v>499</v>
      </c>
      <c r="AD1442" t="s">
        <v>84</v>
      </c>
      <c r="AE1442" t="s">
        <v>43</v>
      </c>
      <c r="AF1442" t="s">
        <v>44</v>
      </c>
      <c r="AG1442" t="str">
        <f t="shared" si="23"/>
        <v>CC 12x</v>
      </c>
      <c r="AH1442" t="str">
        <f>IF(AND(SUMIF(E:E,E1442,I:I)&gt;=400000,Q1442="B2G"),"n","")</f>
        <v/>
      </c>
    </row>
    <row r="1443" spans="1:34">
      <c r="A1443">
        <v>2026</v>
      </c>
      <c r="B1443">
        <v>2</v>
      </c>
      <c r="C1443" s="83">
        <v>207065746046</v>
      </c>
      <c r="D1443" t="s">
        <v>1413</v>
      </c>
      <c r="E1443">
        <v>56752358231</v>
      </c>
      <c r="F1443">
        <v>627429</v>
      </c>
      <c r="G1443">
        <v>52042612632</v>
      </c>
      <c r="H1443" t="s">
        <v>35</v>
      </c>
      <c r="I1443" s="36">
        <v>4890.84</v>
      </c>
      <c r="J1443" s="36">
        <v>4890.84</v>
      </c>
      <c r="K1443" s="85">
        <v>0</v>
      </c>
      <c r="L1443" s="36">
        <v>407.57</v>
      </c>
      <c r="M1443" s="36">
        <v>0</v>
      </c>
      <c r="N1443" s="36">
        <v>63.295000000000002</v>
      </c>
      <c r="O1443" s="36">
        <v>344.28</v>
      </c>
      <c r="P1443" t="s">
        <v>162</v>
      </c>
      <c r="Q1443" t="s">
        <v>111</v>
      </c>
      <c r="R1443" t="s">
        <v>111</v>
      </c>
      <c r="S1443" s="1">
        <v>46076</v>
      </c>
      <c r="T1443" s="1">
        <v>46076</v>
      </c>
      <c r="U1443" s="1">
        <v>46074</v>
      </c>
      <c r="V1443" s="1">
        <v>46439</v>
      </c>
      <c r="W1443" t="s">
        <v>38</v>
      </c>
      <c r="X1443">
        <v>12</v>
      </c>
      <c r="Y1443" t="s">
        <v>49</v>
      </c>
      <c r="Z1443" t="s">
        <v>81</v>
      </c>
      <c r="AA1443" t="s">
        <v>112</v>
      </c>
      <c r="AB1443">
        <v>12</v>
      </c>
      <c r="AC1443" t="s">
        <v>113</v>
      </c>
      <c r="AD1443" t="s">
        <v>85</v>
      </c>
      <c r="AE1443" t="s">
        <v>46</v>
      </c>
      <c r="AF1443" t="s">
        <v>44</v>
      </c>
      <c r="AG1443" t="str">
        <f t="shared" si="23"/>
        <v>CC 12x</v>
      </c>
      <c r="AH1443" t="str">
        <f>IF(AND(SUMIF(E:E,E1443,I:I)&gt;=400000,Q1443="B2G"),"n","")</f>
        <v/>
      </c>
    </row>
    <row r="1444" spans="1:34">
      <c r="A1444">
        <v>2026</v>
      </c>
      <c r="B1444">
        <v>2</v>
      </c>
      <c r="C1444" s="83">
        <v>2071336</v>
      </c>
      <c r="D1444" t="s">
        <v>1414</v>
      </c>
      <c r="E1444">
        <v>56152312370</v>
      </c>
      <c r="F1444">
        <v>636134</v>
      </c>
      <c r="G1444">
        <v>51901983359</v>
      </c>
      <c r="H1444" t="s">
        <v>35</v>
      </c>
      <c r="I1444" s="36">
        <v>2874</v>
      </c>
      <c r="J1444" s="36">
        <v>2874</v>
      </c>
      <c r="K1444" s="85">
        <v>0</v>
      </c>
      <c r="L1444" s="36">
        <v>239.5</v>
      </c>
      <c r="M1444" s="36">
        <v>239.5</v>
      </c>
      <c r="N1444" s="36">
        <v>0</v>
      </c>
      <c r="O1444" s="36">
        <v>0</v>
      </c>
      <c r="P1444" t="s">
        <v>829</v>
      </c>
      <c r="Q1444" t="s">
        <v>300</v>
      </c>
      <c r="R1444" t="s">
        <v>300</v>
      </c>
      <c r="S1444" s="1">
        <v>46072</v>
      </c>
      <c r="T1444" s="1">
        <v>46072</v>
      </c>
      <c r="U1444" s="1"/>
      <c r="V1444" s="1">
        <v>46437</v>
      </c>
      <c r="W1444" t="s">
        <v>38</v>
      </c>
      <c r="X1444">
        <v>12</v>
      </c>
      <c r="Y1444" t="s">
        <v>49</v>
      </c>
      <c r="AA1444" t="s">
        <v>122</v>
      </c>
      <c r="AB1444">
        <v>12</v>
      </c>
      <c r="AC1444" t="s">
        <v>301</v>
      </c>
      <c r="AD1444" t="s">
        <v>118</v>
      </c>
      <c r="AE1444" t="s">
        <v>43</v>
      </c>
      <c r="AF1444" t="s">
        <v>119</v>
      </c>
      <c r="AG1444" t="str">
        <f t="shared" si="23"/>
        <v>Recorrente</v>
      </c>
      <c r="AH1444" t="str">
        <f>IF(AND(SUMIF(E:E,E1444,I:I)&gt;=400000,Q1444="B2G"),"n","")</f>
        <v/>
      </c>
    </row>
    <row r="1445" spans="1:34">
      <c r="A1445">
        <v>2026</v>
      </c>
      <c r="B1445">
        <v>2</v>
      </c>
      <c r="C1445" s="83">
        <v>2071526</v>
      </c>
      <c r="D1445" t="s">
        <v>1415</v>
      </c>
      <c r="E1445">
        <v>51444441919</v>
      </c>
      <c r="F1445">
        <v>524522</v>
      </c>
      <c r="G1445">
        <v>46901971783</v>
      </c>
      <c r="H1445" t="s">
        <v>35</v>
      </c>
      <c r="I1445" s="36">
        <v>3120</v>
      </c>
      <c r="J1445" s="36">
        <v>3120</v>
      </c>
      <c r="K1445" s="85">
        <v>0</v>
      </c>
      <c r="L1445" s="36">
        <v>260</v>
      </c>
      <c r="M1445" s="36">
        <v>0</v>
      </c>
      <c r="N1445" s="36">
        <v>44.05</v>
      </c>
      <c r="O1445" s="36">
        <v>215.95</v>
      </c>
      <c r="P1445" t="s">
        <v>162</v>
      </c>
      <c r="Q1445" t="s">
        <v>111</v>
      </c>
      <c r="R1445" t="s">
        <v>111</v>
      </c>
      <c r="S1445" s="1">
        <v>46002</v>
      </c>
      <c r="T1445" s="1">
        <v>46054</v>
      </c>
      <c r="U1445" s="1">
        <v>46031</v>
      </c>
      <c r="V1445" s="1">
        <v>46396</v>
      </c>
      <c r="W1445" t="s">
        <v>38</v>
      </c>
      <c r="X1445">
        <v>12</v>
      </c>
      <c r="Y1445" t="s">
        <v>49</v>
      </c>
      <c r="Z1445" t="s">
        <v>81</v>
      </c>
      <c r="AA1445" t="s">
        <v>112</v>
      </c>
      <c r="AB1445">
        <v>12</v>
      </c>
      <c r="AC1445" t="s">
        <v>113</v>
      </c>
      <c r="AD1445" t="s">
        <v>114</v>
      </c>
      <c r="AE1445" t="s">
        <v>43</v>
      </c>
      <c r="AF1445" t="s">
        <v>44</v>
      </c>
      <c r="AG1445" t="str">
        <f t="shared" si="23"/>
        <v>CC 12x</v>
      </c>
      <c r="AH1445" t="str">
        <f>IF(AND(SUMIF(E:E,E1445,I:I)&gt;=400000,Q1445="B2G"),"n","")</f>
        <v/>
      </c>
    </row>
    <row r="1446" spans="1:34">
      <c r="A1446">
        <v>2026</v>
      </c>
      <c r="B1446">
        <v>2</v>
      </c>
      <c r="C1446" s="83">
        <v>2072066</v>
      </c>
      <c r="D1446" t="s">
        <v>1416</v>
      </c>
      <c r="E1446">
        <v>52028161295</v>
      </c>
      <c r="F1446">
        <v>608585</v>
      </c>
      <c r="G1446">
        <v>47173786656</v>
      </c>
      <c r="H1446" t="s">
        <v>35</v>
      </c>
      <c r="I1446" s="36">
        <v>4074</v>
      </c>
      <c r="J1446" s="36">
        <v>4074</v>
      </c>
      <c r="K1446" s="85">
        <v>0</v>
      </c>
      <c r="L1446" s="36">
        <v>339.5</v>
      </c>
      <c r="M1446" s="36">
        <v>0</v>
      </c>
      <c r="N1446" s="36">
        <v>61.4</v>
      </c>
      <c r="O1446" s="36">
        <v>278.10000000000002</v>
      </c>
      <c r="P1446" t="s">
        <v>165</v>
      </c>
      <c r="Q1446" t="s">
        <v>166</v>
      </c>
      <c r="R1446" t="s">
        <v>166</v>
      </c>
      <c r="S1446" s="1">
        <v>46054</v>
      </c>
      <c r="T1446" s="1">
        <v>46054</v>
      </c>
      <c r="U1446" s="1">
        <v>46054</v>
      </c>
      <c r="V1446" s="1">
        <v>46419</v>
      </c>
      <c r="W1446" t="s">
        <v>38</v>
      </c>
      <c r="X1446">
        <v>12</v>
      </c>
      <c r="Y1446" t="s">
        <v>49</v>
      </c>
      <c r="Z1446" t="s">
        <v>81</v>
      </c>
      <c r="AA1446" t="s">
        <v>122</v>
      </c>
      <c r="AB1446">
        <v>12</v>
      </c>
      <c r="AC1446" t="s">
        <v>166</v>
      </c>
      <c r="AD1446" t="s">
        <v>160</v>
      </c>
      <c r="AE1446" t="s">
        <v>43</v>
      </c>
      <c r="AF1446" t="s">
        <v>44</v>
      </c>
      <c r="AG1446" t="str">
        <f t="shared" si="23"/>
        <v>Recorrente</v>
      </c>
      <c r="AH1446" t="str">
        <f>IF(AND(SUMIF(E:E,E1446,I:I)&gt;=400000,Q1446="B2G"),"n","")</f>
        <v/>
      </c>
    </row>
    <row r="1447" spans="1:34">
      <c r="A1447">
        <v>2026</v>
      </c>
      <c r="B1447">
        <v>2</v>
      </c>
      <c r="C1447" s="83">
        <v>2072104</v>
      </c>
      <c r="D1447" t="s">
        <v>1417</v>
      </c>
      <c r="E1447">
        <v>56169201427</v>
      </c>
      <c r="F1447">
        <v>636079</v>
      </c>
      <c r="G1447">
        <v>51473883535</v>
      </c>
      <c r="H1447" t="s">
        <v>35</v>
      </c>
      <c r="I1447" s="36">
        <v>15870.6</v>
      </c>
      <c r="J1447" s="36">
        <v>3248.16</v>
      </c>
      <c r="K1447" s="85">
        <v>12622.44</v>
      </c>
      <c r="L1447" s="36">
        <v>270.68</v>
      </c>
      <c r="M1447" s="36">
        <v>0</v>
      </c>
      <c r="N1447" s="36">
        <v>270.68</v>
      </c>
      <c r="O1447" s="36">
        <v>0</v>
      </c>
      <c r="P1447" t="s">
        <v>367</v>
      </c>
      <c r="Q1447" t="s">
        <v>191</v>
      </c>
      <c r="R1447" t="s">
        <v>191</v>
      </c>
      <c r="S1447" s="1">
        <v>46065</v>
      </c>
      <c r="T1447" s="1">
        <v>46065</v>
      </c>
      <c r="U1447" s="1"/>
      <c r="V1447" s="1">
        <v>46430</v>
      </c>
      <c r="W1447" t="s">
        <v>38</v>
      </c>
      <c r="Y1447" t="s">
        <v>49</v>
      </c>
      <c r="AA1447" t="s">
        <v>122</v>
      </c>
      <c r="AB1447">
        <v>12</v>
      </c>
      <c r="AC1447" t="s">
        <v>192</v>
      </c>
      <c r="AD1447" t="s">
        <v>336</v>
      </c>
      <c r="AE1447" t="s">
        <v>135</v>
      </c>
      <c r="AF1447" t="s">
        <v>47</v>
      </c>
      <c r="AG1447" t="str">
        <f t="shared" si="23"/>
        <v>Recorrente</v>
      </c>
      <c r="AH1447" t="str">
        <f>IF(AND(SUMIF(E:E,E1447,I:I)&gt;=400000,Q1447="B2G"),"n","")</f>
        <v/>
      </c>
    </row>
    <row r="1448" spans="1:34">
      <c r="A1448">
        <v>2026</v>
      </c>
      <c r="B1448">
        <v>2</v>
      </c>
      <c r="C1448" s="83">
        <v>2072546</v>
      </c>
      <c r="D1448" t="s">
        <v>1418</v>
      </c>
      <c r="E1448">
        <v>54019389822</v>
      </c>
      <c r="F1448">
        <v>303465</v>
      </c>
      <c r="G1448">
        <v>49592180899</v>
      </c>
      <c r="H1448" t="s">
        <v>35</v>
      </c>
      <c r="I1448" s="36">
        <v>3825.84</v>
      </c>
      <c r="J1448" s="36">
        <v>3825.84</v>
      </c>
      <c r="K1448" s="85">
        <v>0</v>
      </c>
      <c r="L1448" s="36">
        <v>318.82</v>
      </c>
      <c r="M1448" s="36">
        <v>0</v>
      </c>
      <c r="N1448" s="36">
        <v>44.23</v>
      </c>
      <c r="O1448" s="36">
        <v>274.58999999999997</v>
      </c>
      <c r="P1448" t="s">
        <v>121</v>
      </c>
      <c r="Q1448" t="s">
        <v>111</v>
      </c>
      <c r="R1448" t="s">
        <v>111</v>
      </c>
      <c r="S1448" s="1">
        <v>46042</v>
      </c>
      <c r="T1448" s="1">
        <v>46054</v>
      </c>
      <c r="U1448" s="1">
        <v>46039</v>
      </c>
      <c r="V1448" s="1">
        <v>46404</v>
      </c>
      <c r="W1448" t="s">
        <v>38</v>
      </c>
      <c r="X1448">
        <v>12</v>
      </c>
      <c r="Y1448" t="s">
        <v>49</v>
      </c>
      <c r="Z1448" t="s">
        <v>81</v>
      </c>
      <c r="AA1448" t="s">
        <v>122</v>
      </c>
      <c r="AB1448">
        <v>12</v>
      </c>
      <c r="AC1448" t="s">
        <v>113</v>
      </c>
      <c r="AD1448" t="s">
        <v>84</v>
      </c>
      <c r="AE1448" t="s">
        <v>43</v>
      </c>
      <c r="AF1448" t="s">
        <v>44</v>
      </c>
      <c r="AG1448" t="str">
        <f t="shared" si="23"/>
        <v>Recorrente</v>
      </c>
      <c r="AH1448" t="str">
        <f>IF(AND(SUMIF(E:E,E1448,I:I)&gt;=400000,Q1448="B2G"),"n","")</f>
        <v/>
      </c>
    </row>
    <row r="1449" spans="1:34">
      <c r="A1449">
        <v>2026</v>
      </c>
      <c r="B1449">
        <v>2</v>
      </c>
      <c r="C1449" s="83">
        <v>2072664</v>
      </c>
      <c r="D1449" t="s">
        <v>1419</v>
      </c>
      <c r="E1449">
        <v>53574035872</v>
      </c>
      <c r="F1449">
        <v>607127</v>
      </c>
      <c r="G1449">
        <v>48718214763</v>
      </c>
      <c r="H1449" t="s">
        <v>35</v>
      </c>
      <c r="I1449" s="36">
        <v>4218.24</v>
      </c>
      <c r="J1449" s="36">
        <v>4218.24</v>
      </c>
      <c r="K1449" s="85">
        <v>0</v>
      </c>
      <c r="L1449" s="36">
        <v>351.52</v>
      </c>
      <c r="M1449" s="36">
        <v>0</v>
      </c>
      <c r="N1449" s="36">
        <v>36.97</v>
      </c>
      <c r="O1449" s="36">
        <v>314.55</v>
      </c>
      <c r="P1449" t="s">
        <v>162</v>
      </c>
      <c r="Q1449" t="s">
        <v>111</v>
      </c>
      <c r="R1449" t="s">
        <v>111</v>
      </c>
      <c r="S1449" s="1">
        <v>46034</v>
      </c>
      <c r="T1449" s="1">
        <v>46054</v>
      </c>
      <c r="U1449" s="1">
        <v>46031</v>
      </c>
      <c r="V1449" s="1">
        <v>46396</v>
      </c>
      <c r="W1449" t="s">
        <v>38</v>
      </c>
      <c r="X1449">
        <v>12</v>
      </c>
      <c r="Y1449" t="s">
        <v>49</v>
      </c>
      <c r="Z1449" t="s">
        <v>81</v>
      </c>
      <c r="AA1449" t="s">
        <v>112</v>
      </c>
      <c r="AB1449">
        <v>12</v>
      </c>
      <c r="AC1449" t="s">
        <v>113</v>
      </c>
      <c r="AD1449" t="s">
        <v>138</v>
      </c>
      <c r="AE1449" t="s">
        <v>135</v>
      </c>
      <c r="AF1449" t="s">
        <v>119</v>
      </c>
      <c r="AG1449" t="str">
        <f t="shared" si="23"/>
        <v>CC 12x</v>
      </c>
      <c r="AH1449" t="str">
        <f>IF(AND(SUMIF(E:E,E1449,I:I)&gt;=400000,Q1449="B2G"),"n","")</f>
        <v/>
      </c>
    </row>
    <row r="1450" spans="1:34">
      <c r="A1450">
        <v>2026</v>
      </c>
      <c r="B1450">
        <v>2</v>
      </c>
      <c r="C1450" s="83">
        <v>2072968</v>
      </c>
      <c r="D1450" t="s">
        <v>1420</v>
      </c>
      <c r="E1450">
        <v>53138139672</v>
      </c>
      <c r="F1450">
        <v>280891</v>
      </c>
      <c r="G1450">
        <v>48178092332</v>
      </c>
      <c r="H1450" t="s">
        <v>35</v>
      </c>
      <c r="I1450" s="36">
        <v>9354</v>
      </c>
      <c r="J1450" s="36">
        <v>9354</v>
      </c>
      <c r="K1450" s="85">
        <v>0</v>
      </c>
      <c r="L1450" s="36">
        <v>779.5</v>
      </c>
      <c r="M1450" s="36">
        <v>0</v>
      </c>
      <c r="N1450" s="36">
        <v>40.5</v>
      </c>
      <c r="O1450" s="36">
        <v>739</v>
      </c>
      <c r="P1450" t="s">
        <v>165</v>
      </c>
      <c r="Q1450" t="s">
        <v>166</v>
      </c>
      <c r="R1450" t="s">
        <v>166</v>
      </c>
      <c r="S1450" s="1">
        <v>46070</v>
      </c>
      <c r="T1450" s="1">
        <v>46070</v>
      </c>
      <c r="U1450" s="1">
        <v>46070</v>
      </c>
      <c r="V1450" s="1">
        <v>46435</v>
      </c>
      <c r="W1450" t="s">
        <v>38</v>
      </c>
      <c r="X1450">
        <v>12</v>
      </c>
      <c r="Y1450" t="s">
        <v>49</v>
      </c>
      <c r="Z1450" t="s">
        <v>81</v>
      </c>
      <c r="AA1450" t="s">
        <v>122</v>
      </c>
      <c r="AB1450">
        <v>12</v>
      </c>
      <c r="AC1450" t="s">
        <v>166</v>
      </c>
      <c r="AD1450" t="s">
        <v>134</v>
      </c>
      <c r="AE1450" t="s">
        <v>135</v>
      </c>
      <c r="AF1450" t="s">
        <v>44</v>
      </c>
      <c r="AG1450" t="str">
        <f t="shared" si="23"/>
        <v>Recorrente</v>
      </c>
      <c r="AH1450" t="str">
        <f>IF(AND(SUMIF(E:E,E1450,I:I)&gt;=400000,Q1450="B2G"),"n","")</f>
        <v/>
      </c>
    </row>
    <row r="1451" spans="1:34">
      <c r="A1451">
        <v>2026</v>
      </c>
      <c r="B1451">
        <v>2</v>
      </c>
      <c r="C1451" s="83">
        <v>207326413732</v>
      </c>
      <c r="D1451" t="s">
        <v>1421</v>
      </c>
      <c r="E1451">
        <v>56771146049</v>
      </c>
      <c r="F1451">
        <v>636218</v>
      </c>
      <c r="G1451">
        <v>52153524751</v>
      </c>
      <c r="H1451" t="s">
        <v>35</v>
      </c>
      <c r="I1451" s="36">
        <v>5514</v>
      </c>
      <c r="J1451" s="36">
        <v>5514</v>
      </c>
      <c r="K1451" s="85">
        <v>0</v>
      </c>
      <c r="L1451" s="36">
        <v>459.5</v>
      </c>
      <c r="M1451" s="36">
        <v>459.5</v>
      </c>
      <c r="N1451" s="36">
        <v>0</v>
      </c>
      <c r="O1451" s="36">
        <v>0</v>
      </c>
      <c r="P1451" t="s">
        <v>829</v>
      </c>
      <c r="Q1451" t="s">
        <v>300</v>
      </c>
      <c r="R1451" t="s">
        <v>300</v>
      </c>
      <c r="S1451" s="1">
        <v>46076</v>
      </c>
      <c r="T1451" s="1">
        <v>46076</v>
      </c>
      <c r="V1451" s="1">
        <v>46441</v>
      </c>
      <c r="W1451" t="s">
        <v>38</v>
      </c>
      <c r="X1451">
        <v>12</v>
      </c>
      <c r="Y1451" t="s">
        <v>49</v>
      </c>
      <c r="AA1451" t="s">
        <v>122</v>
      </c>
      <c r="AB1451">
        <v>12</v>
      </c>
      <c r="AC1451" t="s">
        <v>301</v>
      </c>
      <c r="AD1451" t="s">
        <v>138</v>
      </c>
      <c r="AE1451" t="s">
        <v>135</v>
      </c>
      <c r="AF1451" t="s">
        <v>119</v>
      </c>
      <c r="AG1451" t="str">
        <f t="shared" si="23"/>
        <v>Recorrente</v>
      </c>
      <c r="AH1451" t="str">
        <f>IF(AND(SUMIF(E:E,E1451,I:I)&gt;=400000,Q1451="B2G"),"n","")</f>
        <v/>
      </c>
    </row>
    <row r="1452" spans="1:34">
      <c r="A1452">
        <v>2026</v>
      </c>
      <c r="B1452">
        <v>2</v>
      </c>
      <c r="C1452" s="83">
        <v>2073550</v>
      </c>
      <c r="D1452" t="s">
        <v>1422</v>
      </c>
      <c r="E1452">
        <v>55546571151</v>
      </c>
      <c r="F1452">
        <v>305034</v>
      </c>
      <c r="G1452">
        <v>51226157743</v>
      </c>
      <c r="H1452" t="s">
        <v>35</v>
      </c>
      <c r="I1452" s="36">
        <v>5754</v>
      </c>
      <c r="J1452" s="36">
        <v>5754</v>
      </c>
      <c r="K1452" s="85">
        <v>0</v>
      </c>
      <c r="L1452" s="36">
        <v>479.5</v>
      </c>
      <c r="M1452" s="36">
        <v>0</v>
      </c>
      <c r="N1452" s="36">
        <v>0</v>
      </c>
      <c r="O1452" s="36">
        <v>479.5</v>
      </c>
      <c r="P1452" t="s">
        <v>127</v>
      </c>
      <c r="Q1452" t="s">
        <v>111</v>
      </c>
      <c r="R1452" t="s">
        <v>111</v>
      </c>
      <c r="S1452" s="1">
        <v>46063</v>
      </c>
      <c r="T1452" s="1">
        <v>46063</v>
      </c>
      <c r="U1452" s="1">
        <v>46056</v>
      </c>
      <c r="V1452" s="1">
        <v>46428</v>
      </c>
      <c r="W1452" t="s">
        <v>38</v>
      </c>
      <c r="X1452">
        <v>12</v>
      </c>
      <c r="Y1452" t="s">
        <v>49</v>
      </c>
      <c r="Z1452" t="s">
        <v>76</v>
      </c>
      <c r="AA1452" t="s">
        <v>122</v>
      </c>
      <c r="AB1452">
        <v>12</v>
      </c>
      <c r="AC1452" t="s">
        <v>113</v>
      </c>
      <c r="AD1452" t="s">
        <v>85</v>
      </c>
      <c r="AE1452" t="s">
        <v>46</v>
      </c>
      <c r="AF1452" t="s">
        <v>44</v>
      </c>
      <c r="AG1452" t="str">
        <f t="shared" ref="AG1452:AG1515" si="24">IF(IFERROR(SEARCH("Recorrente",AA1452),0)&gt;0,"Recorrente",IF(AB1452=1,"À Vista",IF(AB1452&lt;=3,"CC 3x",IF(AB1452&lt;=12,"CC 12x",IF(AB1452&gt;12,"Recorrente","")))))</f>
        <v>Recorrente</v>
      </c>
      <c r="AH1452" t="str">
        <f>IF(AND(SUMIF(E:E,E1452,I:I)&gt;=400000,Q1452="B2G"),"n","")</f>
        <v/>
      </c>
    </row>
    <row r="1453" spans="1:34">
      <c r="A1453">
        <v>2026</v>
      </c>
      <c r="B1453">
        <v>2</v>
      </c>
      <c r="C1453" s="83">
        <v>2074008</v>
      </c>
      <c r="D1453" t="s">
        <v>1423</v>
      </c>
      <c r="E1453">
        <v>56204006197</v>
      </c>
      <c r="F1453">
        <v>636096</v>
      </c>
      <c r="G1453">
        <v>51492222604</v>
      </c>
      <c r="H1453" t="s">
        <v>35</v>
      </c>
      <c r="I1453" s="36">
        <v>10560</v>
      </c>
      <c r="J1453" s="36">
        <v>2995.6744100000001</v>
      </c>
      <c r="K1453" s="85">
        <v>7564.3255900000004</v>
      </c>
      <c r="L1453" s="36">
        <v>249.63953420000001</v>
      </c>
      <c r="M1453" s="36">
        <v>0</v>
      </c>
      <c r="N1453" s="36">
        <v>107.8363504</v>
      </c>
      <c r="O1453" s="36">
        <v>141.80318370000001</v>
      </c>
      <c r="P1453" t="s">
        <v>367</v>
      </c>
      <c r="Q1453" t="s">
        <v>191</v>
      </c>
      <c r="R1453" t="s">
        <v>191</v>
      </c>
      <c r="S1453" s="1">
        <v>46066</v>
      </c>
      <c r="T1453" s="1">
        <v>46066</v>
      </c>
      <c r="V1453" s="1">
        <v>46796</v>
      </c>
      <c r="W1453" t="s">
        <v>56</v>
      </c>
      <c r="Y1453" t="s">
        <v>49</v>
      </c>
      <c r="AA1453" t="s">
        <v>122</v>
      </c>
      <c r="AB1453">
        <v>24</v>
      </c>
      <c r="AC1453" t="s">
        <v>192</v>
      </c>
      <c r="AD1453" t="s">
        <v>85</v>
      </c>
      <c r="AE1453" t="s">
        <v>46</v>
      </c>
      <c r="AF1453" t="s">
        <v>44</v>
      </c>
      <c r="AG1453" t="str">
        <f t="shared" si="24"/>
        <v>Recorrente</v>
      </c>
      <c r="AH1453" t="str">
        <f>IF(AND(SUMIF(E:E,E1453,I:I)&gt;=400000,Q1453="B2G"),"n","")</f>
        <v/>
      </c>
    </row>
    <row r="1454" spans="1:34">
      <c r="A1454">
        <v>2026</v>
      </c>
      <c r="B1454">
        <v>2</v>
      </c>
      <c r="C1454" s="83">
        <v>2074008</v>
      </c>
      <c r="D1454" t="s">
        <v>1423</v>
      </c>
      <c r="E1454">
        <v>56204006197</v>
      </c>
      <c r="F1454">
        <v>636096</v>
      </c>
      <c r="G1454">
        <v>51492222605</v>
      </c>
      <c r="H1454" t="s">
        <v>35</v>
      </c>
      <c r="I1454" s="36">
        <v>10068</v>
      </c>
      <c r="J1454" s="36">
        <v>2856.1110699999999</v>
      </c>
      <c r="K1454" s="85">
        <v>7211.8889300000001</v>
      </c>
      <c r="L1454" s="36">
        <v>238.00925580000001</v>
      </c>
      <c r="M1454" s="36">
        <v>0</v>
      </c>
      <c r="N1454" s="36">
        <v>102.8124396</v>
      </c>
      <c r="O1454" s="36">
        <v>135.19681629999999</v>
      </c>
      <c r="P1454" t="s">
        <v>367</v>
      </c>
      <c r="Q1454" t="s">
        <v>191</v>
      </c>
      <c r="R1454" t="s">
        <v>191</v>
      </c>
      <c r="S1454" s="1">
        <v>46066</v>
      </c>
      <c r="T1454" s="1">
        <v>46066</v>
      </c>
      <c r="U1454" s="1"/>
      <c r="V1454" s="1">
        <v>46796</v>
      </c>
      <c r="W1454" t="s">
        <v>56</v>
      </c>
      <c r="Y1454" t="s">
        <v>49</v>
      </c>
      <c r="AA1454" t="s">
        <v>122</v>
      </c>
      <c r="AB1454">
        <v>24</v>
      </c>
      <c r="AC1454" t="s">
        <v>192</v>
      </c>
      <c r="AD1454" t="s">
        <v>84</v>
      </c>
      <c r="AE1454" t="s">
        <v>43</v>
      </c>
      <c r="AF1454" t="s">
        <v>44</v>
      </c>
      <c r="AG1454" t="str">
        <f t="shared" si="24"/>
        <v>Recorrente</v>
      </c>
      <c r="AH1454" t="str">
        <f>IF(AND(SUMIF(E:E,E1454,I:I)&gt;=400000,Q1454="B2G"),"n","")</f>
        <v/>
      </c>
    </row>
    <row r="1455" spans="1:34">
      <c r="A1455">
        <v>2026</v>
      </c>
      <c r="B1455">
        <v>2</v>
      </c>
      <c r="C1455" s="83">
        <v>207452365979</v>
      </c>
      <c r="D1455" t="s">
        <v>1424</v>
      </c>
      <c r="E1455">
        <v>53544159601</v>
      </c>
      <c r="F1455">
        <v>609071</v>
      </c>
      <c r="G1455">
        <v>50880054935</v>
      </c>
      <c r="H1455" t="s">
        <v>35</v>
      </c>
      <c r="I1455" s="36">
        <v>4401.84</v>
      </c>
      <c r="J1455" s="36">
        <v>4401.84</v>
      </c>
      <c r="K1455" s="85">
        <v>0</v>
      </c>
      <c r="L1455" s="36">
        <v>366.82</v>
      </c>
      <c r="M1455" s="36">
        <v>0</v>
      </c>
      <c r="N1455" s="36">
        <v>178.90229500000001</v>
      </c>
      <c r="O1455" s="36">
        <v>187.92</v>
      </c>
      <c r="P1455" t="s">
        <v>116</v>
      </c>
      <c r="Q1455" t="s">
        <v>111</v>
      </c>
      <c r="R1455" t="s">
        <v>111</v>
      </c>
      <c r="S1455" s="1">
        <v>46058</v>
      </c>
      <c r="T1455" s="1">
        <v>46058</v>
      </c>
      <c r="U1455" s="1">
        <v>46062</v>
      </c>
      <c r="V1455" s="1">
        <v>46427</v>
      </c>
      <c r="W1455" t="s">
        <v>38</v>
      </c>
      <c r="X1455">
        <v>12</v>
      </c>
      <c r="Y1455" t="s">
        <v>49</v>
      </c>
      <c r="Z1455" t="s">
        <v>76</v>
      </c>
      <c r="AA1455" t="s">
        <v>112</v>
      </c>
      <c r="AB1455">
        <v>12</v>
      </c>
      <c r="AC1455" t="s">
        <v>113</v>
      </c>
      <c r="AD1455" t="s">
        <v>85</v>
      </c>
      <c r="AE1455" t="s">
        <v>46</v>
      </c>
      <c r="AF1455" t="s">
        <v>44</v>
      </c>
      <c r="AG1455" t="str">
        <f t="shared" si="24"/>
        <v>CC 12x</v>
      </c>
      <c r="AH1455" t="str">
        <f>IF(AND(SUMIF(E:E,E1455,I:I)&gt;=400000,Q1455="B2G"),"n","")</f>
        <v/>
      </c>
    </row>
    <row r="1456" spans="1:34">
      <c r="A1456">
        <v>2026</v>
      </c>
      <c r="B1456">
        <v>2</v>
      </c>
      <c r="C1456" s="83">
        <v>207463477889</v>
      </c>
      <c r="D1456" t="s">
        <v>1425</v>
      </c>
      <c r="E1456">
        <v>55953439567</v>
      </c>
      <c r="F1456">
        <v>626778</v>
      </c>
      <c r="G1456">
        <v>51901921660</v>
      </c>
      <c r="H1456" t="s">
        <v>35</v>
      </c>
      <c r="I1456" s="36">
        <v>4161.84</v>
      </c>
      <c r="J1456" s="36">
        <v>4161.84</v>
      </c>
      <c r="K1456" s="85">
        <v>0</v>
      </c>
      <c r="L1456" s="36">
        <v>346.82</v>
      </c>
      <c r="M1456" s="36">
        <v>0</v>
      </c>
      <c r="N1456" s="36">
        <v>36.82</v>
      </c>
      <c r="O1456" s="36">
        <v>310</v>
      </c>
      <c r="P1456" t="s">
        <v>162</v>
      </c>
      <c r="Q1456" t="s">
        <v>111</v>
      </c>
      <c r="R1456" t="s">
        <v>111</v>
      </c>
      <c r="S1456" s="1">
        <v>46071</v>
      </c>
      <c r="T1456" s="1">
        <v>46071</v>
      </c>
      <c r="U1456" s="1">
        <v>46074</v>
      </c>
      <c r="V1456" s="1">
        <v>46439</v>
      </c>
      <c r="W1456" t="s">
        <v>38</v>
      </c>
      <c r="X1456">
        <v>12</v>
      </c>
      <c r="Y1456" t="s">
        <v>49</v>
      </c>
      <c r="Z1456" t="s">
        <v>81</v>
      </c>
      <c r="AA1456" t="s">
        <v>112</v>
      </c>
      <c r="AB1456">
        <v>12</v>
      </c>
      <c r="AC1456" t="s">
        <v>113</v>
      </c>
      <c r="AD1456" t="s">
        <v>229</v>
      </c>
      <c r="AE1456" t="s">
        <v>43</v>
      </c>
      <c r="AF1456" t="s">
        <v>96</v>
      </c>
      <c r="AG1456" t="str">
        <f t="shared" si="24"/>
        <v>CC 12x</v>
      </c>
      <c r="AH1456" t="str">
        <f>IF(AND(SUMIF(E:E,E1456,I:I)&gt;=400000,Q1456="B2G"),"n","")</f>
        <v/>
      </c>
    </row>
    <row r="1457" spans="1:34">
      <c r="A1457">
        <v>2026</v>
      </c>
      <c r="B1457">
        <v>2</v>
      </c>
      <c r="C1457" s="83">
        <v>2075372</v>
      </c>
      <c r="D1457" t="s">
        <v>1426</v>
      </c>
      <c r="E1457">
        <v>53575972768</v>
      </c>
      <c r="F1457">
        <v>626888</v>
      </c>
      <c r="G1457">
        <v>48783087148</v>
      </c>
      <c r="H1457" t="s">
        <v>35</v>
      </c>
      <c r="I1457" s="36">
        <v>4962.6000000000004</v>
      </c>
      <c r="J1457" s="36">
        <v>4962.6000000000004</v>
      </c>
      <c r="K1457" s="85">
        <v>0</v>
      </c>
      <c r="L1457" s="36">
        <v>413.55</v>
      </c>
      <c r="M1457" s="36">
        <v>0</v>
      </c>
      <c r="N1457" s="36">
        <v>48.9</v>
      </c>
      <c r="O1457" s="36">
        <v>364.65</v>
      </c>
      <c r="P1457" t="s">
        <v>165</v>
      </c>
      <c r="Q1457" t="s">
        <v>166</v>
      </c>
      <c r="R1457" t="s">
        <v>166</v>
      </c>
      <c r="S1457" s="1">
        <v>46077</v>
      </c>
      <c r="T1457" s="1">
        <v>46077</v>
      </c>
      <c r="U1457" s="1">
        <v>46078</v>
      </c>
      <c r="V1457" s="1">
        <v>46443</v>
      </c>
      <c r="W1457" t="s">
        <v>38</v>
      </c>
      <c r="X1457">
        <v>12</v>
      </c>
      <c r="Y1457" t="s">
        <v>49</v>
      </c>
      <c r="Z1457" t="s">
        <v>81</v>
      </c>
      <c r="AA1457" t="s">
        <v>122</v>
      </c>
      <c r="AB1457">
        <v>12</v>
      </c>
      <c r="AC1457" t="s">
        <v>166</v>
      </c>
      <c r="AD1457" t="s">
        <v>138</v>
      </c>
      <c r="AE1457" t="s">
        <v>135</v>
      </c>
      <c r="AF1457" t="s">
        <v>119</v>
      </c>
      <c r="AG1457" t="str">
        <f t="shared" si="24"/>
        <v>Recorrente</v>
      </c>
      <c r="AH1457" t="str">
        <f>IF(AND(SUMIF(E:E,E1457,I:I)&gt;=400000,Q1457="B2G"),"n","")</f>
        <v/>
      </c>
    </row>
    <row r="1458" spans="1:34">
      <c r="A1458">
        <v>2026</v>
      </c>
      <c r="B1458">
        <v>2</v>
      </c>
      <c r="C1458" s="83">
        <v>2076224</v>
      </c>
      <c r="D1458" t="s">
        <v>1427</v>
      </c>
      <c r="E1458">
        <v>56544478228</v>
      </c>
      <c r="F1458">
        <v>636205</v>
      </c>
      <c r="G1458">
        <v>52101621279</v>
      </c>
      <c r="H1458" t="s">
        <v>35</v>
      </c>
      <c r="I1458" s="36">
        <v>5875.8</v>
      </c>
      <c r="J1458" s="36">
        <v>5875.8</v>
      </c>
      <c r="K1458" s="85">
        <v>9.0949500000000005E-13</v>
      </c>
      <c r="L1458" s="36">
        <v>489.65</v>
      </c>
      <c r="M1458" s="36">
        <v>0</v>
      </c>
      <c r="N1458" s="36">
        <v>489.65</v>
      </c>
      <c r="O1458" s="36">
        <v>0</v>
      </c>
      <c r="P1458" t="s">
        <v>804</v>
      </c>
      <c r="Q1458" t="s">
        <v>191</v>
      </c>
      <c r="R1458" t="s">
        <v>191</v>
      </c>
      <c r="S1458" s="1">
        <v>46076</v>
      </c>
      <c r="T1458" s="1">
        <v>46076</v>
      </c>
      <c r="U1458" s="1"/>
      <c r="V1458" s="1">
        <v>46441</v>
      </c>
      <c r="W1458" t="s">
        <v>38</v>
      </c>
      <c r="X1458">
        <v>12</v>
      </c>
      <c r="Y1458" t="s">
        <v>49</v>
      </c>
      <c r="AA1458" t="s">
        <v>117</v>
      </c>
      <c r="AB1458">
        <v>1</v>
      </c>
      <c r="AC1458" t="s">
        <v>192</v>
      </c>
      <c r="AD1458" t="s">
        <v>94</v>
      </c>
      <c r="AE1458" t="s">
        <v>95</v>
      </c>
      <c r="AF1458" t="s">
        <v>96</v>
      </c>
      <c r="AG1458" t="str">
        <f t="shared" si="24"/>
        <v>À Vista</v>
      </c>
      <c r="AH1458" t="str">
        <f>IF(AND(SUMIF(E:E,E1458,I:I)&gt;=400000,Q1458="B2G"),"n","")</f>
        <v/>
      </c>
    </row>
    <row r="1459" spans="1:34">
      <c r="A1459">
        <v>2026</v>
      </c>
      <c r="B1459">
        <v>2</v>
      </c>
      <c r="C1459" s="83">
        <v>2076915</v>
      </c>
      <c r="D1459" t="s">
        <v>1428</v>
      </c>
      <c r="E1459">
        <v>52940232856</v>
      </c>
      <c r="F1459">
        <v>626575</v>
      </c>
      <c r="G1459">
        <v>48094349718</v>
      </c>
      <c r="H1459" t="s">
        <v>35</v>
      </c>
      <c r="I1459" s="36">
        <v>900</v>
      </c>
      <c r="J1459" s="36">
        <v>900</v>
      </c>
      <c r="K1459" s="85">
        <v>0</v>
      </c>
      <c r="L1459" s="36">
        <v>75</v>
      </c>
      <c r="M1459" s="36">
        <v>0</v>
      </c>
      <c r="N1459" s="36">
        <v>0</v>
      </c>
      <c r="O1459" s="36">
        <v>75</v>
      </c>
      <c r="P1459" t="s">
        <v>165</v>
      </c>
      <c r="Q1459" t="s">
        <v>166</v>
      </c>
      <c r="R1459" t="s">
        <v>166</v>
      </c>
      <c r="S1459" s="1">
        <v>46067</v>
      </c>
      <c r="T1459" s="1">
        <v>46067</v>
      </c>
      <c r="U1459" s="1">
        <v>46067</v>
      </c>
      <c r="V1459" s="1">
        <v>46432</v>
      </c>
      <c r="W1459" t="s">
        <v>38</v>
      </c>
      <c r="X1459">
        <v>12</v>
      </c>
      <c r="Y1459" t="s">
        <v>49</v>
      </c>
      <c r="Z1459" t="s">
        <v>81</v>
      </c>
      <c r="AA1459" t="s">
        <v>112</v>
      </c>
      <c r="AB1459">
        <v>10</v>
      </c>
      <c r="AC1459" t="s">
        <v>166</v>
      </c>
      <c r="AD1459" t="s">
        <v>1270</v>
      </c>
      <c r="AE1459" t="s">
        <v>95</v>
      </c>
      <c r="AF1459" t="s">
        <v>244</v>
      </c>
      <c r="AG1459" t="str">
        <f t="shared" si="24"/>
        <v>CC 12x</v>
      </c>
      <c r="AH1459" t="str">
        <f>IF(AND(SUMIF(E:E,E1459,I:I)&gt;=400000,Q1459="B2G"),"n","")</f>
        <v/>
      </c>
    </row>
    <row r="1460" spans="1:34">
      <c r="A1460">
        <v>2026</v>
      </c>
      <c r="B1460">
        <v>2</v>
      </c>
      <c r="C1460" s="83">
        <v>2077389</v>
      </c>
      <c r="D1460" t="s">
        <v>1429</v>
      </c>
      <c r="E1460">
        <v>57045341017</v>
      </c>
      <c r="F1460">
        <v>625062</v>
      </c>
      <c r="G1460">
        <v>52292281143</v>
      </c>
      <c r="H1460" t="s">
        <v>35</v>
      </c>
      <c r="I1460" s="36">
        <v>1870.08</v>
      </c>
      <c r="J1460" s="36">
        <v>2161.6799999999998</v>
      </c>
      <c r="K1460" s="85">
        <v>0</v>
      </c>
      <c r="L1460" s="36">
        <v>180.14</v>
      </c>
      <c r="M1460" s="36">
        <v>0</v>
      </c>
      <c r="N1460" s="36">
        <v>180.14</v>
      </c>
      <c r="O1460" s="36">
        <v>0</v>
      </c>
      <c r="P1460" t="s">
        <v>804</v>
      </c>
      <c r="Q1460" t="s">
        <v>191</v>
      </c>
      <c r="R1460" t="s">
        <v>191</v>
      </c>
      <c r="S1460" s="1">
        <v>46079</v>
      </c>
      <c r="T1460" s="1">
        <v>46079</v>
      </c>
      <c r="U1460" s="1">
        <v>46395</v>
      </c>
      <c r="V1460" s="1">
        <v>46395</v>
      </c>
      <c r="W1460" t="s">
        <v>38</v>
      </c>
      <c r="X1460">
        <v>11</v>
      </c>
      <c r="Y1460" t="s">
        <v>49</v>
      </c>
      <c r="Z1460" t="s">
        <v>324</v>
      </c>
      <c r="AA1460" t="s">
        <v>122</v>
      </c>
      <c r="AB1460">
        <v>10</v>
      </c>
      <c r="AC1460" t="s">
        <v>192</v>
      </c>
      <c r="AD1460" t="s">
        <v>84</v>
      </c>
      <c r="AE1460" t="s">
        <v>43</v>
      </c>
      <c r="AF1460" t="s">
        <v>44</v>
      </c>
      <c r="AG1460" t="str">
        <f t="shared" si="24"/>
        <v>Recorrente</v>
      </c>
      <c r="AH1460" t="str">
        <f>IF(AND(SUMIF(E:E,E1460,I:I)&gt;=400000,Q1460="B2G"),"n","")</f>
        <v/>
      </c>
    </row>
    <row r="1461" spans="1:34">
      <c r="A1461">
        <v>2026</v>
      </c>
      <c r="B1461">
        <v>2</v>
      </c>
      <c r="C1461" s="83">
        <v>2077412</v>
      </c>
      <c r="D1461" t="s">
        <v>1430</v>
      </c>
      <c r="E1461">
        <v>51043275569</v>
      </c>
      <c r="F1461">
        <v>328176</v>
      </c>
      <c r="G1461">
        <v>48500551324</v>
      </c>
      <c r="H1461" t="s">
        <v>35</v>
      </c>
      <c r="I1461" s="36">
        <v>5523.84</v>
      </c>
      <c r="J1461" s="36">
        <v>5523.84</v>
      </c>
      <c r="K1461" s="85">
        <v>0</v>
      </c>
      <c r="L1461" s="36">
        <v>460.32</v>
      </c>
      <c r="M1461" s="36">
        <v>0</v>
      </c>
      <c r="N1461" s="36">
        <v>0</v>
      </c>
      <c r="O1461" s="36">
        <v>460.32</v>
      </c>
      <c r="P1461" t="s">
        <v>162</v>
      </c>
      <c r="Q1461" t="s">
        <v>111</v>
      </c>
      <c r="R1461" t="s">
        <v>111</v>
      </c>
      <c r="S1461" s="1">
        <v>46029</v>
      </c>
      <c r="T1461" s="1">
        <v>46054</v>
      </c>
      <c r="U1461" s="1">
        <v>46030</v>
      </c>
      <c r="V1461" s="1">
        <v>46395</v>
      </c>
      <c r="W1461" t="s">
        <v>38</v>
      </c>
      <c r="X1461">
        <v>12</v>
      </c>
      <c r="Y1461" t="s">
        <v>49</v>
      </c>
      <c r="Z1461" t="s">
        <v>76</v>
      </c>
      <c r="AA1461" t="s">
        <v>112</v>
      </c>
      <c r="AB1461">
        <v>12</v>
      </c>
      <c r="AC1461" t="s">
        <v>113</v>
      </c>
      <c r="AD1461" t="s">
        <v>85</v>
      </c>
      <c r="AE1461" t="s">
        <v>46</v>
      </c>
      <c r="AF1461" t="s">
        <v>44</v>
      </c>
      <c r="AG1461" t="str">
        <f t="shared" si="24"/>
        <v>CC 12x</v>
      </c>
      <c r="AH1461" t="str">
        <f>IF(AND(SUMIF(E:E,E1461,I:I)&gt;=400000,Q1461="B2G"),"n","")</f>
        <v/>
      </c>
    </row>
    <row r="1462" spans="1:34">
      <c r="A1462">
        <v>2026</v>
      </c>
      <c r="B1462">
        <v>2</v>
      </c>
      <c r="C1462" s="83">
        <v>2077863</v>
      </c>
      <c r="D1462" t="s">
        <v>1431</v>
      </c>
      <c r="E1462">
        <v>53697239890</v>
      </c>
      <c r="F1462">
        <v>607002</v>
      </c>
      <c r="G1462">
        <v>48938546869</v>
      </c>
      <c r="H1462" t="s">
        <v>35</v>
      </c>
      <c r="I1462" s="36">
        <v>3452.4</v>
      </c>
      <c r="J1462" s="36">
        <v>3452.4</v>
      </c>
      <c r="K1462" s="85">
        <v>4.5474699999999999E-13</v>
      </c>
      <c r="L1462" s="36">
        <v>287.7</v>
      </c>
      <c r="M1462" s="36">
        <v>287.7</v>
      </c>
      <c r="N1462" s="36">
        <v>0</v>
      </c>
      <c r="O1462" s="36">
        <v>0</v>
      </c>
      <c r="P1462" t="s">
        <v>116</v>
      </c>
      <c r="Q1462" t="s">
        <v>111</v>
      </c>
      <c r="R1462" t="s">
        <v>111</v>
      </c>
      <c r="S1462" s="1">
        <v>46035</v>
      </c>
      <c r="T1462" s="1">
        <v>46054</v>
      </c>
      <c r="U1462" s="1">
        <v>46032</v>
      </c>
      <c r="V1462" s="1">
        <v>46424</v>
      </c>
      <c r="W1462" t="s">
        <v>38</v>
      </c>
      <c r="X1462">
        <v>13</v>
      </c>
      <c r="Y1462" t="s">
        <v>49</v>
      </c>
      <c r="Z1462" t="s">
        <v>81</v>
      </c>
      <c r="AA1462" t="s">
        <v>117</v>
      </c>
      <c r="AB1462">
        <v>1</v>
      </c>
      <c r="AC1462" t="s">
        <v>113</v>
      </c>
      <c r="AD1462" t="s">
        <v>85</v>
      </c>
      <c r="AE1462" t="s">
        <v>46</v>
      </c>
      <c r="AF1462" t="s">
        <v>44</v>
      </c>
      <c r="AG1462" t="str">
        <f t="shared" si="24"/>
        <v>À Vista</v>
      </c>
      <c r="AH1462" t="str">
        <f>IF(AND(SUMIF(E:E,E1462,I:I)&gt;=400000,Q1462="B2G"),"n","")</f>
        <v/>
      </c>
    </row>
    <row r="1463" spans="1:34">
      <c r="A1463">
        <v>2026</v>
      </c>
      <c r="B1463">
        <v>2</v>
      </c>
      <c r="C1463" s="83">
        <v>2077932</v>
      </c>
      <c r="D1463" t="s">
        <v>1432</v>
      </c>
      <c r="E1463">
        <v>57140552719</v>
      </c>
      <c r="F1463">
        <v>636299</v>
      </c>
      <c r="G1463">
        <v>52404684038</v>
      </c>
      <c r="H1463" t="s">
        <v>104</v>
      </c>
      <c r="I1463" s="36">
        <v>718.8</v>
      </c>
      <c r="J1463" s="36">
        <v>718.8</v>
      </c>
      <c r="K1463" s="85">
        <v>0</v>
      </c>
      <c r="L1463" s="36">
        <v>59.9</v>
      </c>
      <c r="M1463" s="36">
        <v>59.9</v>
      </c>
      <c r="N1463" s="36">
        <v>0</v>
      </c>
      <c r="O1463" s="36">
        <v>0</v>
      </c>
      <c r="P1463" t="s">
        <v>497</v>
      </c>
      <c r="Q1463" t="s">
        <v>498</v>
      </c>
      <c r="R1463" t="s">
        <v>498</v>
      </c>
      <c r="S1463" s="1">
        <v>46080</v>
      </c>
      <c r="T1463" s="1">
        <v>46080</v>
      </c>
      <c r="U1463" s="1"/>
      <c r="V1463" s="1">
        <v>46445</v>
      </c>
      <c r="W1463" t="s">
        <v>38</v>
      </c>
      <c r="X1463">
        <v>12</v>
      </c>
      <c r="Y1463" t="s">
        <v>49</v>
      </c>
      <c r="AA1463" t="s">
        <v>112</v>
      </c>
      <c r="AB1463">
        <v>12</v>
      </c>
      <c r="AC1463" t="s">
        <v>499</v>
      </c>
      <c r="AD1463" t="s">
        <v>105</v>
      </c>
      <c r="AE1463" t="s">
        <v>106</v>
      </c>
      <c r="AF1463" t="s">
        <v>59</v>
      </c>
      <c r="AG1463" t="str">
        <f t="shared" si="24"/>
        <v>CC 12x</v>
      </c>
      <c r="AH1463" t="str">
        <f>IF(AND(SUMIF(E:E,E1463,I:I)&gt;=400000,Q1463="B2G"),"n","")</f>
        <v/>
      </c>
    </row>
    <row r="1464" spans="1:34">
      <c r="A1464">
        <v>2026</v>
      </c>
      <c r="B1464">
        <v>2</v>
      </c>
      <c r="C1464" s="83">
        <v>2077968</v>
      </c>
      <c r="D1464" t="s">
        <v>1433</v>
      </c>
      <c r="E1464">
        <v>53380659755</v>
      </c>
      <c r="F1464">
        <v>525919</v>
      </c>
      <c r="G1464">
        <v>50649260100</v>
      </c>
      <c r="H1464" t="s">
        <v>35</v>
      </c>
      <c r="I1464" s="36">
        <v>5400.84</v>
      </c>
      <c r="J1464" s="36">
        <v>5400.84</v>
      </c>
      <c r="K1464" s="85">
        <v>0</v>
      </c>
      <c r="L1464" s="36">
        <v>450.07</v>
      </c>
      <c r="M1464" s="36">
        <v>0</v>
      </c>
      <c r="N1464" s="36">
        <v>54.585000000000001</v>
      </c>
      <c r="O1464" s="36">
        <v>395.49</v>
      </c>
      <c r="P1464" t="s">
        <v>121</v>
      </c>
      <c r="Q1464" t="s">
        <v>111</v>
      </c>
      <c r="R1464" t="s">
        <v>111</v>
      </c>
      <c r="S1464" s="1">
        <v>46057</v>
      </c>
      <c r="T1464" s="1">
        <v>46057</v>
      </c>
      <c r="U1464" s="1">
        <v>46063</v>
      </c>
      <c r="V1464" s="1">
        <v>46428</v>
      </c>
      <c r="W1464" t="s">
        <v>38</v>
      </c>
      <c r="X1464">
        <v>12</v>
      </c>
      <c r="Y1464" t="s">
        <v>49</v>
      </c>
      <c r="Z1464" t="s">
        <v>76</v>
      </c>
      <c r="AA1464" t="s">
        <v>122</v>
      </c>
      <c r="AB1464">
        <v>12</v>
      </c>
      <c r="AC1464" t="s">
        <v>113</v>
      </c>
      <c r="AD1464" t="s">
        <v>174</v>
      </c>
      <c r="AE1464" t="s">
        <v>43</v>
      </c>
      <c r="AF1464" t="s">
        <v>47</v>
      </c>
      <c r="AG1464" t="str">
        <f t="shared" si="24"/>
        <v>Recorrente</v>
      </c>
      <c r="AH1464" t="str">
        <f>IF(AND(SUMIF(E:E,E1464,I:I)&gt;=400000,Q1464="B2G"),"n","")</f>
        <v/>
      </c>
    </row>
    <row r="1465" spans="1:34">
      <c r="A1465">
        <v>2026</v>
      </c>
      <c r="B1465">
        <v>2</v>
      </c>
      <c r="C1465" s="83">
        <v>2078026</v>
      </c>
      <c r="D1465" t="s">
        <v>1434</v>
      </c>
      <c r="E1465">
        <v>55687203159</v>
      </c>
      <c r="F1465">
        <v>306083</v>
      </c>
      <c r="G1465">
        <v>52401692682</v>
      </c>
      <c r="H1465" t="s">
        <v>35</v>
      </c>
      <c r="I1465" s="36">
        <v>2730.24</v>
      </c>
      <c r="J1465" s="36">
        <v>2730.24</v>
      </c>
      <c r="K1465" s="85">
        <v>0</v>
      </c>
      <c r="L1465" s="36">
        <v>227.52</v>
      </c>
      <c r="M1465" s="36">
        <v>0</v>
      </c>
      <c r="N1465" s="36">
        <v>12.425000000000001</v>
      </c>
      <c r="O1465" s="36">
        <v>215.1</v>
      </c>
      <c r="P1465" t="s">
        <v>121</v>
      </c>
      <c r="Q1465" t="s">
        <v>111</v>
      </c>
      <c r="R1465" t="s">
        <v>111</v>
      </c>
      <c r="S1465" s="1">
        <v>46080</v>
      </c>
      <c r="T1465" s="1">
        <v>46080</v>
      </c>
      <c r="U1465" s="1">
        <v>46060</v>
      </c>
      <c r="V1465" s="1">
        <v>46445</v>
      </c>
      <c r="W1465" t="s">
        <v>38</v>
      </c>
      <c r="X1465">
        <v>12</v>
      </c>
      <c r="Y1465" t="s">
        <v>49</v>
      </c>
      <c r="Z1465" t="s">
        <v>81</v>
      </c>
      <c r="AA1465" t="s">
        <v>112</v>
      </c>
      <c r="AB1465">
        <v>12</v>
      </c>
      <c r="AC1465" t="s">
        <v>113</v>
      </c>
      <c r="AD1465" t="s">
        <v>140</v>
      </c>
      <c r="AE1465" t="s">
        <v>46</v>
      </c>
      <c r="AF1465" t="s">
        <v>119</v>
      </c>
      <c r="AG1465" t="str">
        <f t="shared" si="24"/>
        <v>CC 12x</v>
      </c>
      <c r="AH1465" t="str">
        <f>IF(AND(SUMIF(E:E,E1465,I:I)&gt;=400000,Q1465="B2G"),"n","")</f>
        <v/>
      </c>
    </row>
    <row r="1466" spans="1:34">
      <c r="A1466">
        <v>2026</v>
      </c>
      <c r="B1466">
        <v>2</v>
      </c>
      <c r="C1466" s="83">
        <v>2079289</v>
      </c>
      <c r="D1466" t="s">
        <v>1435</v>
      </c>
      <c r="E1466">
        <v>55843439434</v>
      </c>
      <c r="F1466">
        <v>636003</v>
      </c>
      <c r="G1466">
        <v>51121168143</v>
      </c>
      <c r="H1466" t="s">
        <v>35</v>
      </c>
      <c r="I1466" s="36">
        <v>21590.880000000001</v>
      </c>
      <c r="J1466" s="36">
        <v>10795.5</v>
      </c>
      <c r="K1466" s="85">
        <v>10795.38</v>
      </c>
      <c r="L1466" s="36">
        <v>899.625</v>
      </c>
      <c r="M1466" s="36">
        <v>0</v>
      </c>
      <c r="N1466" s="36">
        <v>235.1253542</v>
      </c>
      <c r="O1466" s="36">
        <v>664.49964580000005</v>
      </c>
      <c r="P1466" t="s">
        <v>367</v>
      </c>
      <c r="Q1466" t="s">
        <v>191</v>
      </c>
      <c r="R1466" t="s">
        <v>191</v>
      </c>
      <c r="S1466" s="1">
        <v>46062</v>
      </c>
      <c r="T1466" s="1">
        <v>46062</v>
      </c>
      <c r="U1466" s="1"/>
      <c r="V1466" s="1">
        <v>46792</v>
      </c>
      <c r="W1466" t="s">
        <v>56</v>
      </c>
      <c r="Y1466" t="s">
        <v>49</v>
      </c>
      <c r="AA1466" t="s">
        <v>122</v>
      </c>
      <c r="AB1466">
        <v>24</v>
      </c>
      <c r="AC1466" t="s">
        <v>192</v>
      </c>
      <c r="AD1466" t="s">
        <v>154</v>
      </c>
      <c r="AE1466" t="s">
        <v>46</v>
      </c>
      <c r="AF1466" t="s">
        <v>47</v>
      </c>
      <c r="AG1466" t="str">
        <f t="shared" si="24"/>
        <v>Recorrente</v>
      </c>
      <c r="AH1466" t="str">
        <f>IF(AND(SUMIF(E:E,E1466,I:I)&gt;=400000,Q1466="B2G"),"n","")</f>
        <v/>
      </c>
    </row>
    <row r="1467" spans="1:34">
      <c r="A1467">
        <v>2026</v>
      </c>
      <c r="B1467">
        <v>2</v>
      </c>
      <c r="C1467" s="83">
        <v>2079289</v>
      </c>
      <c r="D1467" t="s">
        <v>1435</v>
      </c>
      <c r="E1467">
        <v>55843439434</v>
      </c>
      <c r="F1467">
        <v>636003</v>
      </c>
      <c r="G1467">
        <v>51121168144</v>
      </c>
      <c r="H1467" t="s">
        <v>35</v>
      </c>
      <c r="I1467" s="36">
        <v>11690.88</v>
      </c>
      <c r="J1467" s="36">
        <v>5845.5</v>
      </c>
      <c r="K1467" s="85">
        <v>5845.38</v>
      </c>
      <c r="L1467" s="36">
        <v>487.125</v>
      </c>
      <c r="M1467" s="36">
        <v>0</v>
      </c>
      <c r="N1467" s="36">
        <v>127.31464579999999</v>
      </c>
      <c r="O1467" s="36">
        <v>359.81035420000001</v>
      </c>
      <c r="P1467" t="s">
        <v>367</v>
      </c>
      <c r="Q1467" t="s">
        <v>191</v>
      </c>
      <c r="R1467" t="s">
        <v>191</v>
      </c>
      <c r="S1467" s="1">
        <v>46062</v>
      </c>
      <c r="T1467" s="1">
        <v>46062</v>
      </c>
      <c r="U1467" s="1"/>
      <c r="V1467" s="1">
        <v>46792</v>
      </c>
      <c r="W1467" t="s">
        <v>56</v>
      </c>
      <c r="Y1467" t="s">
        <v>49</v>
      </c>
      <c r="AA1467" t="s">
        <v>122</v>
      </c>
      <c r="AB1467">
        <v>24</v>
      </c>
      <c r="AC1467" t="s">
        <v>192</v>
      </c>
      <c r="AD1467" t="s">
        <v>125</v>
      </c>
      <c r="AE1467" t="s">
        <v>43</v>
      </c>
      <c r="AF1467" t="s">
        <v>47</v>
      </c>
      <c r="AG1467" t="str">
        <f t="shared" si="24"/>
        <v>Recorrente</v>
      </c>
      <c r="AH1467" t="str">
        <f>IF(AND(SUMIF(E:E,E1467,I:I)&gt;=400000,Q1467="B2G"),"n","")</f>
        <v/>
      </c>
    </row>
    <row r="1468" spans="1:34">
      <c r="A1468">
        <v>2026</v>
      </c>
      <c r="B1468">
        <v>2</v>
      </c>
      <c r="C1468" s="83">
        <v>2079864</v>
      </c>
      <c r="D1468" t="s">
        <v>1436</v>
      </c>
      <c r="E1468">
        <v>53527929919</v>
      </c>
      <c r="F1468">
        <v>525183</v>
      </c>
      <c r="G1468">
        <v>48885813175</v>
      </c>
      <c r="H1468" t="s">
        <v>35</v>
      </c>
      <c r="I1468" s="36">
        <v>3990</v>
      </c>
      <c r="J1468" s="36">
        <v>3990</v>
      </c>
      <c r="K1468" s="85">
        <v>0</v>
      </c>
      <c r="L1468" s="36">
        <v>332.5</v>
      </c>
      <c r="M1468" s="36">
        <v>0</v>
      </c>
      <c r="N1468" s="36">
        <v>30</v>
      </c>
      <c r="O1468" s="36">
        <v>302.5</v>
      </c>
      <c r="P1468" t="s">
        <v>127</v>
      </c>
      <c r="Q1468" t="s">
        <v>111</v>
      </c>
      <c r="R1468" t="s">
        <v>111</v>
      </c>
      <c r="S1468" s="1">
        <v>46035</v>
      </c>
      <c r="T1468" s="1">
        <v>46054</v>
      </c>
      <c r="U1468" s="1">
        <v>46040</v>
      </c>
      <c r="V1468" s="1">
        <v>46405</v>
      </c>
      <c r="W1468" t="s">
        <v>38</v>
      </c>
      <c r="X1468">
        <v>12</v>
      </c>
      <c r="Y1468" t="s">
        <v>49</v>
      </c>
      <c r="Z1468" t="s">
        <v>81</v>
      </c>
      <c r="AA1468" t="s">
        <v>112</v>
      </c>
      <c r="AB1468">
        <v>1</v>
      </c>
      <c r="AC1468" t="s">
        <v>113</v>
      </c>
      <c r="AD1468" t="s">
        <v>85</v>
      </c>
      <c r="AE1468" t="s">
        <v>46</v>
      </c>
      <c r="AF1468" t="s">
        <v>44</v>
      </c>
      <c r="AG1468" t="str">
        <f t="shared" si="24"/>
        <v>À Vista</v>
      </c>
      <c r="AH1468" t="str">
        <f>IF(AND(SUMIF(E:E,E1468,I:I)&gt;=400000,Q1468="B2G"),"n","")</f>
        <v/>
      </c>
    </row>
    <row r="1469" spans="1:34">
      <c r="A1469">
        <v>2026</v>
      </c>
      <c r="B1469">
        <v>2</v>
      </c>
      <c r="C1469" s="83">
        <v>208030087580</v>
      </c>
      <c r="D1469" t="s">
        <v>1437</v>
      </c>
      <c r="E1469">
        <v>55544107574</v>
      </c>
      <c r="F1469">
        <v>526555</v>
      </c>
      <c r="G1469">
        <v>50778480539</v>
      </c>
      <c r="H1469" t="s">
        <v>35</v>
      </c>
      <c r="I1469" s="36">
        <v>3659.64</v>
      </c>
      <c r="J1469" s="36">
        <v>3659.64</v>
      </c>
      <c r="K1469" s="85">
        <v>4.5474699999999999E-13</v>
      </c>
      <c r="L1469" s="36">
        <v>304.97000000000003</v>
      </c>
      <c r="M1469" s="36">
        <v>0</v>
      </c>
      <c r="N1469" s="36">
        <v>154.24079</v>
      </c>
      <c r="O1469" s="36">
        <v>150.73079999999999</v>
      </c>
      <c r="P1469" t="s">
        <v>116</v>
      </c>
      <c r="Q1469" t="s">
        <v>111</v>
      </c>
      <c r="R1469" t="s">
        <v>111</v>
      </c>
      <c r="S1469" s="1">
        <v>46057</v>
      </c>
      <c r="T1469" s="1">
        <v>46057</v>
      </c>
      <c r="U1469" s="1">
        <v>46056</v>
      </c>
      <c r="V1469" s="1">
        <v>46421</v>
      </c>
      <c r="W1469" t="s">
        <v>38</v>
      </c>
      <c r="X1469">
        <v>12</v>
      </c>
      <c r="Y1469" t="s">
        <v>49</v>
      </c>
      <c r="Z1469" t="s">
        <v>81</v>
      </c>
      <c r="AA1469" t="s">
        <v>112</v>
      </c>
      <c r="AB1469">
        <v>12</v>
      </c>
      <c r="AC1469" t="s">
        <v>113</v>
      </c>
      <c r="AD1469" t="s">
        <v>85</v>
      </c>
      <c r="AE1469" t="s">
        <v>46</v>
      </c>
      <c r="AF1469" t="s">
        <v>44</v>
      </c>
      <c r="AG1469" t="str">
        <f t="shared" si="24"/>
        <v>CC 12x</v>
      </c>
      <c r="AH1469" t="str">
        <f>IF(AND(SUMIF(E:E,E1469,I:I)&gt;=400000,Q1469="B2G"),"n","")</f>
        <v/>
      </c>
    </row>
    <row r="1470" spans="1:34">
      <c r="A1470">
        <v>2026</v>
      </c>
      <c r="B1470">
        <v>2</v>
      </c>
      <c r="C1470" s="83">
        <v>2080360</v>
      </c>
      <c r="D1470" t="s">
        <v>1438</v>
      </c>
      <c r="E1470">
        <v>55842351674</v>
      </c>
      <c r="F1470">
        <v>636000</v>
      </c>
      <c r="G1470">
        <v>51100901795</v>
      </c>
      <c r="H1470" t="s">
        <v>35</v>
      </c>
      <c r="I1470" s="36">
        <v>2874</v>
      </c>
      <c r="J1470" s="36">
        <v>2874</v>
      </c>
      <c r="K1470" s="85">
        <v>0</v>
      </c>
      <c r="L1470" s="36">
        <v>239.5</v>
      </c>
      <c r="M1470" s="36">
        <v>0</v>
      </c>
      <c r="N1470" s="36">
        <v>24.4</v>
      </c>
      <c r="O1470" s="36">
        <v>215.1</v>
      </c>
      <c r="P1470" t="s">
        <v>367</v>
      </c>
      <c r="Q1470" t="s">
        <v>191</v>
      </c>
      <c r="R1470" t="s">
        <v>191</v>
      </c>
      <c r="S1470" s="1">
        <v>46062</v>
      </c>
      <c r="T1470" s="1">
        <v>46062</v>
      </c>
      <c r="U1470" s="1"/>
      <c r="V1470" s="1">
        <v>46427</v>
      </c>
      <c r="W1470" t="s">
        <v>38</v>
      </c>
      <c r="Y1470" t="s">
        <v>49</v>
      </c>
      <c r="AA1470" t="s">
        <v>112</v>
      </c>
      <c r="AB1470">
        <v>12</v>
      </c>
      <c r="AC1470" t="s">
        <v>192</v>
      </c>
      <c r="AD1470" t="s">
        <v>140</v>
      </c>
      <c r="AE1470" t="s">
        <v>46</v>
      </c>
      <c r="AF1470" t="s">
        <v>119</v>
      </c>
      <c r="AG1470" t="str">
        <f t="shared" si="24"/>
        <v>CC 12x</v>
      </c>
      <c r="AH1470" t="str">
        <f>IF(AND(SUMIF(E:E,E1470,I:I)&gt;=400000,Q1470="B2G"),"n","")</f>
        <v/>
      </c>
    </row>
    <row r="1471" spans="1:34">
      <c r="A1471">
        <v>2026</v>
      </c>
      <c r="B1471">
        <v>2</v>
      </c>
      <c r="C1471" s="83">
        <v>208089421828</v>
      </c>
      <c r="D1471" t="s">
        <v>1439</v>
      </c>
      <c r="E1471">
        <v>55831883434</v>
      </c>
      <c r="F1471">
        <v>636064</v>
      </c>
      <c r="G1471">
        <v>51398448184</v>
      </c>
      <c r="H1471" t="s">
        <v>35</v>
      </c>
      <c r="I1471" s="36">
        <v>4074</v>
      </c>
      <c r="J1471" s="36">
        <v>4074</v>
      </c>
      <c r="K1471" s="85">
        <v>0</v>
      </c>
      <c r="L1471" s="36">
        <v>339.5</v>
      </c>
      <c r="M1471" s="36">
        <v>339.5</v>
      </c>
      <c r="N1471" s="36">
        <v>0</v>
      </c>
      <c r="O1471" s="36">
        <v>0</v>
      </c>
      <c r="P1471" t="s">
        <v>506</v>
      </c>
      <c r="Q1471" t="s">
        <v>300</v>
      </c>
      <c r="R1471" t="s">
        <v>300</v>
      </c>
      <c r="S1471" s="1">
        <v>46065</v>
      </c>
      <c r="T1471" s="1">
        <v>46065</v>
      </c>
      <c r="U1471" s="1"/>
      <c r="V1471" s="1">
        <v>46430</v>
      </c>
      <c r="W1471" t="s">
        <v>38</v>
      </c>
      <c r="X1471">
        <v>12</v>
      </c>
      <c r="Y1471" t="s">
        <v>49</v>
      </c>
      <c r="AA1471" t="s">
        <v>122</v>
      </c>
      <c r="AB1471">
        <v>12</v>
      </c>
      <c r="AC1471" t="s">
        <v>301</v>
      </c>
      <c r="AD1471" t="s">
        <v>114</v>
      </c>
      <c r="AE1471" t="s">
        <v>43</v>
      </c>
      <c r="AF1471" t="s">
        <v>44</v>
      </c>
      <c r="AG1471" t="str">
        <f t="shared" si="24"/>
        <v>Recorrente</v>
      </c>
      <c r="AH1471" t="str">
        <f>IF(AND(SUMIF(E:E,E1471,I:I)&gt;=400000,Q1471="B2G"),"n","")</f>
        <v/>
      </c>
    </row>
    <row r="1472" spans="1:34">
      <c r="A1472">
        <v>2026</v>
      </c>
      <c r="B1472">
        <v>2</v>
      </c>
      <c r="C1472" s="83">
        <v>208093495561</v>
      </c>
      <c r="D1472" t="s">
        <v>1440</v>
      </c>
      <c r="E1472">
        <v>56718527359</v>
      </c>
      <c r="F1472">
        <v>636204</v>
      </c>
      <c r="G1472">
        <v>51984223404</v>
      </c>
      <c r="H1472" t="s">
        <v>35</v>
      </c>
      <c r="I1472" s="36">
        <v>9354</v>
      </c>
      <c r="J1472" s="36">
        <v>9354</v>
      </c>
      <c r="K1472" s="85">
        <v>0</v>
      </c>
      <c r="L1472" s="36">
        <v>779.5</v>
      </c>
      <c r="M1472" s="36">
        <v>779.5</v>
      </c>
      <c r="N1472" s="36">
        <v>0</v>
      </c>
      <c r="O1472" s="36">
        <v>0</v>
      </c>
      <c r="P1472" t="s">
        <v>511</v>
      </c>
      <c r="Q1472" t="s">
        <v>300</v>
      </c>
      <c r="R1472" t="s">
        <v>300</v>
      </c>
      <c r="S1472" s="1">
        <v>46074</v>
      </c>
      <c r="T1472" s="1">
        <v>46074</v>
      </c>
      <c r="V1472" s="1">
        <v>46441</v>
      </c>
      <c r="W1472" t="s">
        <v>38</v>
      </c>
      <c r="X1472">
        <v>12</v>
      </c>
      <c r="Y1472" t="s">
        <v>49</v>
      </c>
      <c r="AA1472" t="s">
        <v>122</v>
      </c>
      <c r="AB1472">
        <v>12</v>
      </c>
      <c r="AC1472" t="s">
        <v>301</v>
      </c>
      <c r="AD1472" t="s">
        <v>134</v>
      </c>
      <c r="AE1472" t="s">
        <v>135</v>
      </c>
      <c r="AF1472" t="s">
        <v>44</v>
      </c>
      <c r="AG1472" t="str">
        <f t="shared" si="24"/>
        <v>Recorrente</v>
      </c>
      <c r="AH1472" t="str">
        <f>IF(AND(SUMIF(E:E,E1472,I:I)&gt;=400000,Q1472="B2G"),"n","")</f>
        <v/>
      </c>
    </row>
    <row r="1473" spans="1:34">
      <c r="A1473">
        <v>2026</v>
      </c>
      <c r="B1473">
        <v>2</v>
      </c>
      <c r="C1473" s="83">
        <v>2081004</v>
      </c>
      <c r="D1473" t="s">
        <v>1441</v>
      </c>
      <c r="E1473">
        <v>51631563282</v>
      </c>
      <c r="F1473">
        <v>328235</v>
      </c>
      <c r="G1473">
        <v>49141871460</v>
      </c>
      <c r="H1473" t="s">
        <v>35</v>
      </c>
      <c r="I1473" s="36">
        <v>3259.2</v>
      </c>
      <c r="J1473" s="36">
        <v>3259.2</v>
      </c>
      <c r="K1473" s="85">
        <v>0</v>
      </c>
      <c r="L1473" s="36">
        <v>271.60000000000002</v>
      </c>
      <c r="M1473" s="36">
        <v>271.60000000000002</v>
      </c>
      <c r="N1473" s="36">
        <v>0</v>
      </c>
      <c r="O1473" s="36">
        <v>0</v>
      </c>
      <c r="P1473" t="s">
        <v>121</v>
      </c>
      <c r="Q1473" t="s">
        <v>111</v>
      </c>
      <c r="R1473" t="s">
        <v>111</v>
      </c>
      <c r="S1473" s="1">
        <v>46037</v>
      </c>
      <c r="T1473" s="1">
        <v>46054</v>
      </c>
      <c r="U1473" s="1">
        <v>46032</v>
      </c>
      <c r="V1473" s="1">
        <v>46402</v>
      </c>
      <c r="W1473" t="s">
        <v>38</v>
      </c>
      <c r="X1473">
        <v>12</v>
      </c>
      <c r="Y1473" t="s">
        <v>49</v>
      </c>
      <c r="Z1473" t="s">
        <v>81</v>
      </c>
      <c r="AA1473" t="s">
        <v>122</v>
      </c>
      <c r="AB1473">
        <v>12</v>
      </c>
      <c r="AC1473" t="s">
        <v>113</v>
      </c>
      <c r="AD1473" t="s">
        <v>160</v>
      </c>
      <c r="AE1473" t="s">
        <v>43</v>
      </c>
      <c r="AF1473" t="s">
        <v>44</v>
      </c>
      <c r="AG1473" t="str">
        <f t="shared" si="24"/>
        <v>Recorrente</v>
      </c>
      <c r="AH1473" t="str">
        <f>IF(AND(SUMIF(E:E,E1473,I:I)&gt;=400000,Q1473="B2G"),"n","")</f>
        <v/>
      </c>
    </row>
    <row r="1474" spans="1:34">
      <c r="A1474">
        <v>2026</v>
      </c>
      <c r="B1474">
        <v>2</v>
      </c>
      <c r="C1474" s="83">
        <v>2081511</v>
      </c>
      <c r="D1474" t="s">
        <v>1442</v>
      </c>
      <c r="E1474">
        <v>53463427476</v>
      </c>
      <c r="F1474">
        <v>506169</v>
      </c>
      <c r="G1474">
        <v>48603706764</v>
      </c>
      <c r="H1474" t="s">
        <v>35</v>
      </c>
      <c r="I1474" s="36">
        <v>5178.6000000000004</v>
      </c>
      <c r="J1474" s="36">
        <v>5178.6000000000004</v>
      </c>
      <c r="K1474" s="85">
        <v>0</v>
      </c>
      <c r="L1474" s="36">
        <v>431.55</v>
      </c>
      <c r="M1474" s="36">
        <v>0</v>
      </c>
      <c r="N1474" s="36">
        <v>57.24</v>
      </c>
      <c r="O1474" s="36">
        <v>374.31</v>
      </c>
      <c r="P1474" t="s">
        <v>165</v>
      </c>
      <c r="Q1474" t="s">
        <v>166</v>
      </c>
      <c r="R1474" t="s">
        <v>166</v>
      </c>
      <c r="S1474" s="1">
        <v>46076</v>
      </c>
      <c r="T1474" s="1">
        <v>46076</v>
      </c>
      <c r="U1474" s="1">
        <v>46076</v>
      </c>
      <c r="V1474" s="1">
        <v>46441</v>
      </c>
      <c r="W1474" t="s">
        <v>38</v>
      </c>
      <c r="X1474">
        <v>12</v>
      </c>
      <c r="Y1474" t="s">
        <v>49</v>
      </c>
      <c r="Z1474" t="s">
        <v>81</v>
      </c>
      <c r="AA1474" t="s">
        <v>122</v>
      </c>
      <c r="AB1474">
        <v>12</v>
      </c>
      <c r="AC1474" t="s">
        <v>166</v>
      </c>
      <c r="AD1474" t="s">
        <v>85</v>
      </c>
      <c r="AE1474" t="s">
        <v>46</v>
      </c>
      <c r="AF1474" t="s">
        <v>44</v>
      </c>
      <c r="AG1474" t="str">
        <f t="shared" si="24"/>
        <v>Recorrente</v>
      </c>
      <c r="AH1474" t="str">
        <f>IF(AND(SUMIF(E:E,E1474,I:I)&gt;=400000,Q1474="B2G"),"n","")</f>
        <v/>
      </c>
    </row>
    <row r="1475" spans="1:34">
      <c r="A1475">
        <v>2026</v>
      </c>
      <c r="B1475">
        <v>2</v>
      </c>
      <c r="C1475" s="83">
        <v>208206578816</v>
      </c>
      <c r="D1475" t="s">
        <v>1443</v>
      </c>
      <c r="E1475">
        <v>56929133575</v>
      </c>
      <c r="F1475">
        <v>636237</v>
      </c>
      <c r="G1475">
        <v>52162234136</v>
      </c>
      <c r="H1475" t="s">
        <v>35</v>
      </c>
      <c r="I1475" s="36">
        <v>4074</v>
      </c>
      <c r="J1475" s="36">
        <v>4074</v>
      </c>
      <c r="K1475" s="85">
        <v>0</v>
      </c>
      <c r="L1475" s="36">
        <v>339.5</v>
      </c>
      <c r="M1475" s="36">
        <v>339.5</v>
      </c>
      <c r="N1475" s="36">
        <v>0</v>
      </c>
      <c r="O1475" s="36">
        <v>0</v>
      </c>
      <c r="P1475" t="s">
        <v>829</v>
      </c>
      <c r="Q1475" t="s">
        <v>300</v>
      </c>
      <c r="R1475" t="s">
        <v>300</v>
      </c>
      <c r="S1475" s="1">
        <v>46077</v>
      </c>
      <c r="T1475" s="1">
        <v>46077</v>
      </c>
      <c r="V1475" s="1">
        <v>46442</v>
      </c>
      <c r="W1475" t="s">
        <v>38</v>
      </c>
      <c r="X1475">
        <v>12</v>
      </c>
      <c r="Y1475" t="s">
        <v>49</v>
      </c>
      <c r="AA1475" t="s">
        <v>122</v>
      </c>
      <c r="AB1475">
        <v>12</v>
      </c>
      <c r="AC1475" t="s">
        <v>301</v>
      </c>
      <c r="AD1475" t="s">
        <v>160</v>
      </c>
      <c r="AE1475" t="s">
        <v>43</v>
      </c>
      <c r="AF1475" t="s">
        <v>44</v>
      </c>
      <c r="AG1475" t="str">
        <f t="shared" si="24"/>
        <v>Recorrente</v>
      </c>
      <c r="AH1475" t="str">
        <f>IF(AND(SUMIF(E:E,E1475,I:I)&gt;=400000,Q1475="B2G"),"n","")</f>
        <v/>
      </c>
    </row>
    <row r="1476" spans="1:34">
      <c r="A1476">
        <v>2026</v>
      </c>
      <c r="B1476">
        <v>2</v>
      </c>
      <c r="C1476" s="83">
        <v>2082314</v>
      </c>
      <c r="D1476" t="s">
        <v>1444</v>
      </c>
      <c r="E1476">
        <v>56883167498</v>
      </c>
      <c r="F1476">
        <v>636251</v>
      </c>
      <c r="G1476">
        <v>52284863756</v>
      </c>
      <c r="H1476" t="s">
        <v>35</v>
      </c>
      <c r="I1476" s="36">
        <v>2483.04</v>
      </c>
      <c r="J1476" s="36">
        <v>2483.04</v>
      </c>
      <c r="K1476" s="85">
        <v>0</v>
      </c>
      <c r="L1476" s="36">
        <v>206.92</v>
      </c>
      <c r="M1476" s="36">
        <v>206.92</v>
      </c>
      <c r="N1476" s="36">
        <v>0</v>
      </c>
      <c r="O1476" s="36">
        <v>0</v>
      </c>
      <c r="P1476" t="s">
        <v>1073</v>
      </c>
      <c r="Q1476" t="s">
        <v>314</v>
      </c>
      <c r="R1476" t="s">
        <v>314</v>
      </c>
      <c r="S1476" s="1">
        <v>46078</v>
      </c>
      <c r="T1476" s="1">
        <v>46078</v>
      </c>
      <c r="U1476" s="1"/>
      <c r="V1476" s="1">
        <v>46443</v>
      </c>
      <c r="W1476" t="s">
        <v>38</v>
      </c>
      <c r="X1476">
        <v>12</v>
      </c>
      <c r="Y1476" t="s">
        <v>49</v>
      </c>
      <c r="AA1476" t="s">
        <v>112</v>
      </c>
      <c r="AB1476">
        <v>12</v>
      </c>
      <c r="AC1476" t="s">
        <v>315</v>
      </c>
      <c r="AD1476" t="s">
        <v>140</v>
      </c>
      <c r="AE1476" t="s">
        <v>46</v>
      </c>
      <c r="AF1476" t="s">
        <v>119</v>
      </c>
      <c r="AG1476" t="str">
        <f t="shared" si="24"/>
        <v>CC 12x</v>
      </c>
      <c r="AH1476" t="str">
        <f>IF(AND(SUMIF(E:E,E1476,I:I)&gt;=400000,Q1476="B2G"),"n","")</f>
        <v/>
      </c>
    </row>
    <row r="1477" spans="1:34">
      <c r="A1477">
        <v>2026</v>
      </c>
      <c r="B1477">
        <v>2</v>
      </c>
      <c r="C1477" s="83">
        <v>2082337</v>
      </c>
      <c r="D1477" t="s">
        <v>1445</v>
      </c>
      <c r="E1477">
        <v>55816881159</v>
      </c>
      <c r="F1477">
        <v>636095</v>
      </c>
      <c r="G1477">
        <v>51492280343</v>
      </c>
      <c r="H1477" t="s">
        <v>35</v>
      </c>
      <c r="I1477" s="36">
        <v>2874</v>
      </c>
      <c r="J1477" s="36">
        <v>2874</v>
      </c>
      <c r="K1477" s="85">
        <v>0</v>
      </c>
      <c r="L1477" s="36">
        <v>239.5</v>
      </c>
      <c r="M1477" s="36">
        <v>239.5</v>
      </c>
      <c r="N1477" s="36">
        <v>0</v>
      </c>
      <c r="O1477" s="36">
        <v>0</v>
      </c>
      <c r="P1477" t="s">
        <v>506</v>
      </c>
      <c r="Q1477" t="s">
        <v>300</v>
      </c>
      <c r="R1477" t="s">
        <v>300</v>
      </c>
      <c r="S1477" s="1">
        <v>46066</v>
      </c>
      <c r="T1477" s="1">
        <v>46066</v>
      </c>
      <c r="U1477" s="1"/>
      <c r="V1477" s="1">
        <v>46431</v>
      </c>
      <c r="W1477" t="s">
        <v>38</v>
      </c>
      <c r="X1477">
        <v>12</v>
      </c>
      <c r="Y1477" t="s">
        <v>49</v>
      </c>
      <c r="AA1477" t="s">
        <v>122</v>
      </c>
      <c r="AB1477">
        <v>12</v>
      </c>
      <c r="AC1477" t="s">
        <v>301</v>
      </c>
      <c r="AD1477" t="s">
        <v>140</v>
      </c>
      <c r="AE1477" t="s">
        <v>46</v>
      </c>
      <c r="AF1477" t="s">
        <v>119</v>
      </c>
      <c r="AG1477" t="str">
        <f t="shared" si="24"/>
        <v>Recorrente</v>
      </c>
      <c r="AH1477" t="str">
        <f>IF(AND(SUMIF(E:E,E1477,I:I)&gt;=400000,Q1477="B2G"),"n","")</f>
        <v/>
      </c>
    </row>
    <row r="1478" spans="1:34">
      <c r="A1478">
        <v>2026</v>
      </c>
      <c r="B1478">
        <v>2</v>
      </c>
      <c r="C1478" s="83">
        <v>208302160487</v>
      </c>
      <c r="D1478" t="s">
        <v>1446</v>
      </c>
      <c r="E1478">
        <v>55405239624</v>
      </c>
      <c r="F1478">
        <v>620274</v>
      </c>
      <c r="G1478">
        <v>50518374266</v>
      </c>
      <c r="H1478" t="s">
        <v>35</v>
      </c>
      <c r="I1478" s="36">
        <v>1557.72</v>
      </c>
      <c r="J1478" s="36">
        <v>2762.04</v>
      </c>
      <c r="K1478" s="85">
        <v>0</v>
      </c>
      <c r="L1478" s="36">
        <v>230.17</v>
      </c>
      <c r="M1478" s="36">
        <v>0</v>
      </c>
      <c r="N1478" s="36">
        <v>230.17</v>
      </c>
      <c r="O1478" s="36">
        <v>0</v>
      </c>
      <c r="P1478" t="s">
        <v>323</v>
      </c>
      <c r="Q1478" t="s">
        <v>191</v>
      </c>
      <c r="R1478" t="s">
        <v>191</v>
      </c>
      <c r="S1478" s="1">
        <v>46055</v>
      </c>
      <c r="T1478" s="1">
        <v>46055</v>
      </c>
      <c r="U1478" s="1">
        <v>46261</v>
      </c>
      <c r="V1478" s="1">
        <v>46261</v>
      </c>
      <c r="W1478" t="s">
        <v>38</v>
      </c>
      <c r="X1478">
        <v>6</v>
      </c>
      <c r="Y1478" t="s">
        <v>49</v>
      </c>
      <c r="Z1478" t="s">
        <v>324</v>
      </c>
      <c r="AA1478" t="s">
        <v>122</v>
      </c>
      <c r="AB1478">
        <v>6</v>
      </c>
      <c r="AC1478" t="s">
        <v>192</v>
      </c>
      <c r="AD1478" t="s">
        <v>125</v>
      </c>
      <c r="AE1478" t="s">
        <v>43</v>
      </c>
      <c r="AF1478" t="s">
        <v>47</v>
      </c>
      <c r="AG1478" t="str">
        <f t="shared" si="24"/>
        <v>Recorrente</v>
      </c>
      <c r="AH1478" t="str">
        <f>IF(AND(SUMIF(E:E,E1478,I:I)&gt;=400000,Q1478="B2G"),"n","")</f>
        <v/>
      </c>
    </row>
    <row r="1479" spans="1:34">
      <c r="A1479">
        <v>2026</v>
      </c>
      <c r="B1479">
        <v>2</v>
      </c>
      <c r="C1479" s="83">
        <v>2083178</v>
      </c>
      <c r="D1479" t="s">
        <v>1447</v>
      </c>
      <c r="E1479">
        <v>52553434521</v>
      </c>
      <c r="F1479">
        <v>306291</v>
      </c>
      <c r="G1479">
        <v>51425060676</v>
      </c>
      <c r="H1479" t="s">
        <v>35</v>
      </c>
      <c r="I1479" s="36">
        <v>4099.68</v>
      </c>
      <c r="J1479" s="36">
        <v>4099.68</v>
      </c>
      <c r="K1479" s="85">
        <v>0</v>
      </c>
      <c r="L1479" s="36">
        <v>341.64</v>
      </c>
      <c r="M1479" s="36">
        <v>0</v>
      </c>
      <c r="N1479" s="36">
        <v>101.1208</v>
      </c>
      <c r="O1479" s="36">
        <v>240.52</v>
      </c>
      <c r="P1479" t="s">
        <v>137</v>
      </c>
      <c r="Q1479" t="s">
        <v>111</v>
      </c>
      <c r="R1479" t="s">
        <v>111</v>
      </c>
      <c r="S1479" s="1">
        <v>46064</v>
      </c>
      <c r="T1479" s="1">
        <v>46064</v>
      </c>
      <c r="U1479" s="1">
        <v>46062</v>
      </c>
      <c r="V1479" s="1">
        <v>46427</v>
      </c>
      <c r="W1479" t="s">
        <v>38</v>
      </c>
      <c r="X1479">
        <v>12</v>
      </c>
      <c r="Y1479" t="s">
        <v>49</v>
      </c>
      <c r="Z1479" t="s">
        <v>81</v>
      </c>
      <c r="AA1479" t="s">
        <v>122</v>
      </c>
      <c r="AB1479">
        <v>12</v>
      </c>
      <c r="AC1479" t="s">
        <v>113</v>
      </c>
      <c r="AD1479" t="s">
        <v>84</v>
      </c>
      <c r="AE1479" t="s">
        <v>43</v>
      </c>
      <c r="AF1479" t="s">
        <v>44</v>
      </c>
      <c r="AG1479" t="str">
        <f t="shared" si="24"/>
        <v>Recorrente</v>
      </c>
      <c r="AH1479" t="str">
        <f>IF(AND(SUMIF(E:E,E1479,I:I)&gt;=400000,Q1479="B2G"),"n","")</f>
        <v/>
      </c>
    </row>
    <row r="1480" spans="1:34">
      <c r="A1480">
        <v>2026</v>
      </c>
      <c r="B1480">
        <v>2</v>
      </c>
      <c r="C1480" s="83">
        <v>2083330</v>
      </c>
      <c r="D1480" t="s">
        <v>1448</v>
      </c>
      <c r="E1480">
        <v>57040140960</v>
      </c>
      <c r="F1480">
        <v>636262</v>
      </c>
      <c r="G1480">
        <v>52292137319</v>
      </c>
      <c r="H1480" t="s">
        <v>35</v>
      </c>
      <c r="I1480" s="36">
        <v>3452.4</v>
      </c>
      <c r="J1480" s="36">
        <v>3452.4</v>
      </c>
      <c r="K1480" s="85">
        <v>4.5474699999999999E-13</v>
      </c>
      <c r="L1480" s="36">
        <v>287.7</v>
      </c>
      <c r="M1480" s="36">
        <v>287.7</v>
      </c>
      <c r="N1480" s="36">
        <v>0</v>
      </c>
      <c r="O1480" s="36">
        <v>0</v>
      </c>
      <c r="P1480" t="s">
        <v>506</v>
      </c>
      <c r="Q1480" t="s">
        <v>300</v>
      </c>
      <c r="R1480" t="s">
        <v>80</v>
      </c>
      <c r="S1480" s="1">
        <v>46078</v>
      </c>
      <c r="T1480" s="1">
        <v>46078</v>
      </c>
      <c r="U1480" s="1"/>
      <c r="V1480" s="1">
        <v>46443</v>
      </c>
      <c r="W1480" t="s">
        <v>38</v>
      </c>
      <c r="X1480">
        <v>12</v>
      </c>
      <c r="Y1480" t="s">
        <v>49</v>
      </c>
      <c r="AA1480" t="s">
        <v>112</v>
      </c>
      <c r="AB1480">
        <v>12</v>
      </c>
      <c r="AC1480" t="s">
        <v>495</v>
      </c>
      <c r="AD1480" t="s">
        <v>85</v>
      </c>
      <c r="AE1480" t="s">
        <v>46</v>
      </c>
      <c r="AF1480" t="s">
        <v>44</v>
      </c>
      <c r="AG1480" t="str">
        <f t="shared" si="24"/>
        <v>CC 12x</v>
      </c>
      <c r="AH1480" t="str">
        <f>IF(AND(SUMIF(E:E,E1480,I:I)&gt;=400000,Q1480="B2G"),"n","")</f>
        <v/>
      </c>
    </row>
    <row r="1481" spans="1:34">
      <c r="A1481">
        <v>2026</v>
      </c>
      <c r="B1481">
        <v>2</v>
      </c>
      <c r="C1481" s="83">
        <v>2083472</v>
      </c>
      <c r="D1481" t="s">
        <v>1449</v>
      </c>
      <c r="E1481">
        <v>53744883499</v>
      </c>
      <c r="F1481">
        <v>504260</v>
      </c>
      <c r="G1481">
        <v>49007635320</v>
      </c>
      <c r="H1481" t="s">
        <v>35</v>
      </c>
      <c r="I1481" s="36">
        <v>5178.6000000000004</v>
      </c>
      <c r="J1481" s="36">
        <v>5178.6000000000004</v>
      </c>
      <c r="K1481" s="85">
        <v>0</v>
      </c>
      <c r="L1481" s="36">
        <v>431.55</v>
      </c>
      <c r="M1481" s="36">
        <v>0</v>
      </c>
      <c r="N1481" s="36">
        <v>0</v>
      </c>
      <c r="O1481" s="36">
        <v>431.55</v>
      </c>
      <c r="P1481" t="s">
        <v>121</v>
      </c>
      <c r="Q1481" t="s">
        <v>111</v>
      </c>
      <c r="R1481" t="s">
        <v>111</v>
      </c>
      <c r="S1481" s="1">
        <v>46036</v>
      </c>
      <c r="T1481" s="1">
        <v>46054</v>
      </c>
      <c r="U1481" s="1">
        <v>46036</v>
      </c>
      <c r="V1481" s="1">
        <v>46401</v>
      </c>
      <c r="W1481" t="s">
        <v>38</v>
      </c>
      <c r="X1481">
        <v>12</v>
      </c>
      <c r="Y1481" t="s">
        <v>49</v>
      </c>
      <c r="Z1481" t="s">
        <v>81</v>
      </c>
      <c r="AA1481" t="s">
        <v>122</v>
      </c>
      <c r="AB1481">
        <v>12</v>
      </c>
      <c r="AC1481" t="s">
        <v>113</v>
      </c>
      <c r="AD1481" t="s">
        <v>85</v>
      </c>
      <c r="AE1481" t="s">
        <v>46</v>
      </c>
      <c r="AF1481" t="s">
        <v>44</v>
      </c>
      <c r="AG1481" t="str">
        <f t="shared" si="24"/>
        <v>Recorrente</v>
      </c>
      <c r="AH1481" t="str">
        <f>IF(AND(SUMIF(E:E,E1481,I:I)&gt;=400000,Q1481="B2G"),"n","")</f>
        <v/>
      </c>
    </row>
    <row r="1482" spans="1:34">
      <c r="A1482">
        <v>2026</v>
      </c>
      <c r="B1482">
        <v>2</v>
      </c>
      <c r="C1482" s="83">
        <v>2083534</v>
      </c>
      <c r="D1482" t="s">
        <v>1450</v>
      </c>
      <c r="E1482">
        <v>54793854324</v>
      </c>
      <c r="F1482">
        <v>626176</v>
      </c>
      <c r="G1482">
        <v>50880044845</v>
      </c>
      <c r="H1482" t="s">
        <v>35</v>
      </c>
      <c r="I1482" s="36">
        <v>2586.6</v>
      </c>
      <c r="J1482" s="36">
        <v>2586.6</v>
      </c>
      <c r="K1482" s="85">
        <v>0</v>
      </c>
      <c r="L1482" s="36">
        <v>215.55</v>
      </c>
      <c r="M1482" s="36">
        <v>0</v>
      </c>
      <c r="N1482" s="36">
        <v>18.45</v>
      </c>
      <c r="O1482" s="36">
        <v>197.1</v>
      </c>
      <c r="P1482" t="s">
        <v>110</v>
      </c>
      <c r="Q1482" t="s">
        <v>111</v>
      </c>
      <c r="R1482" t="s">
        <v>111</v>
      </c>
      <c r="S1482" s="1">
        <v>46058</v>
      </c>
      <c r="T1482" s="1">
        <v>46058</v>
      </c>
      <c r="U1482" s="1">
        <v>46058</v>
      </c>
      <c r="V1482" s="1">
        <v>46423</v>
      </c>
      <c r="W1482" t="s">
        <v>38</v>
      </c>
      <c r="X1482">
        <v>12</v>
      </c>
      <c r="Y1482" t="s">
        <v>49</v>
      </c>
      <c r="Z1482" t="s">
        <v>81</v>
      </c>
      <c r="AA1482" t="s">
        <v>112</v>
      </c>
      <c r="AB1482">
        <v>12</v>
      </c>
      <c r="AC1482" t="s">
        <v>113</v>
      </c>
      <c r="AD1482" t="s">
        <v>118</v>
      </c>
      <c r="AE1482" t="s">
        <v>43</v>
      </c>
      <c r="AF1482" t="s">
        <v>119</v>
      </c>
      <c r="AG1482" t="str">
        <f t="shared" si="24"/>
        <v>CC 12x</v>
      </c>
      <c r="AH1482" t="str">
        <f>IF(AND(SUMIF(E:E,E1482,I:I)&gt;=400000,Q1482="B2G"),"n","")</f>
        <v/>
      </c>
    </row>
    <row r="1483" spans="1:34">
      <c r="A1483">
        <v>2026</v>
      </c>
      <c r="B1483">
        <v>2</v>
      </c>
      <c r="C1483" s="83">
        <v>2084104</v>
      </c>
      <c r="D1483" t="s">
        <v>1451</v>
      </c>
      <c r="E1483">
        <v>56549311355</v>
      </c>
      <c r="F1483">
        <v>525099</v>
      </c>
      <c r="G1483">
        <v>51905329498</v>
      </c>
      <c r="H1483" t="s">
        <v>35</v>
      </c>
      <c r="I1483" s="36">
        <v>2874</v>
      </c>
      <c r="J1483" s="36">
        <v>2874</v>
      </c>
      <c r="K1483" s="85">
        <v>0</v>
      </c>
      <c r="L1483" s="36">
        <v>239.5</v>
      </c>
      <c r="M1483" s="36">
        <v>239.5</v>
      </c>
      <c r="N1483" s="36">
        <v>0</v>
      </c>
      <c r="O1483" s="36">
        <v>0</v>
      </c>
      <c r="P1483" t="s">
        <v>137</v>
      </c>
      <c r="Q1483" t="s">
        <v>111</v>
      </c>
      <c r="R1483" t="s">
        <v>111</v>
      </c>
      <c r="S1483" s="1">
        <v>46072</v>
      </c>
      <c r="T1483" s="1">
        <v>46072</v>
      </c>
      <c r="U1483" s="1">
        <v>46039</v>
      </c>
      <c r="V1483" s="1">
        <v>46446</v>
      </c>
      <c r="W1483" t="s">
        <v>38</v>
      </c>
      <c r="X1483">
        <v>13</v>
      </c>
      <c r="Y1483" t="s">
        <v>49</v>
      </c>
      <c r="Z1483" t="s">
        <v>76</v>
      </c>
      <c r="AA1483" t="s">
        <v>112</v>
      </c>
      <c r="AB1483">
        <v>12</v>
      </c>
      <c r="AC1483" t="s">
        <v>113</v>
      </c>
      <c r="AD1483" t="s">
        <v>140</v>
      </c>
      <c r="AE1483" t="s">
        <v>46</v>
      </c>
      <c r="AF1483" t="s">
        <v>119</v>
      </c>
      <c r="AG1483" t="str">
        <f t="shared" si="24"/>
        <v>CC 12x</v>
      </c>
      <c r="AH1483" t="str">
        <f>IF(AND(SUMIF(E:E,E1483,I:I)&gt;=400000,Q1483="B2G"),"n","")</f>
        <v/>
      </c>
    </row>
    <row r="1484" spans="1:34">
      <c r="A1484">
        <v>2026</v>
      </c>
      <c r="B1484">
        <v>2</v>
      </c>
      <c r="C1484" s="83">
        <v>2084373</v>
      </c>
      <c r="D1484" t="s">
        <v>1452</v>
      </c>
      <c r="E1484">
        <v>51557064876</v>
      </c>
      <c r="F1484">
        <v>327928</v>
      </c>
      <c r="G1484">
        <v>48380658491</v>
      </c>
      <c r="H1484" t="s">
        <v>35</v>
      </c>
      <c r="I1484" s="36">
        <v>5504.04</v>
      </c>
      <c r="J1484" s="36">
        <v>5504.04</v>
      </c>
      <c r="K1484" s="85">
        <v>0</v>
      </c>
      <c r="L1484" s="36">
        <v>458.67</v>
      </c>
      <c r="M1484" s="36">
        <v>0</v>
      </c>
      <c r="N1484" s="36">
        <v>0</v>
      </c>
      <c r="O1484" s="36">
        <v>458.66669999999999</v>
      </c>
      <c r="P1484" t="s">
        <v>127</v>
      </c>
      <c r="Q1484" t="s">
        <v>111</v>
      </c>
      <c r="R1484" t="s">
        <v>111</v>
      </c>
      <c r="S1484" s="1">
        <v>46028</v>
      </c>
      <c r="T1484" s="1">
        <v>46054</v>
      </c>
      <c r="U1484" s="1">
        <v>46026</v>
      </c>
      <c r="V1484" s="1">
        <v>46393</v>
      </c>
      <c r="W1484" t="s">
        <v>38</v>
      </c>
      <c r="X1484">
        <v>12</v>
      </c>
      <c r="Y1484" t="s">
        <v>49</v>
      </c>
      <c r="Z1484" t="s">
        <v>81</v>
      </c>
      <c r="AA1484" t="s">
        <v>112</v>
      </c>
      <c r="AB1484">
        <v>12</v>
      </c>
      <c r="AC1484" t="s">
        <v>113</v>
      </c>
      <c r="AD1484" t="s">
        <v>85</v>
      </c>
      <c r="AE1484" t="s">
        <v>46</v>
      </c>
      <c r="AF1484" t="s">
        <v>44</v>
      </c>
      <c r="AG1484" t="str">
        <f t="shared" si="24"/>
        <v>CC 12x</v>
      </c>
      <c r="AH1484" t="str">
        <f>IF(AND(SUMIF(E:E,E1484,I:I)&gt;=400000,Q1484="B2G"),"n","")</f>
        <v/>
      </c>
    </row>
    <row r="1485" spans="1:34">
      <c r="A1485">
        <v>2026</v>
      </c>
      <c r="B1485">
        <v>2</v>
      </c>
      <c r="C1485" s="83">
        <v>2084409</v>
      </c>
      <c r="D1485" t="s">
        <v>1453</v>
      </c>
      <c r="E1485">
        <v>54105822393</v>
      </c>
      <c r="F1485">
        <v>324076</v>
      </c>
      <c r="G1485">
        <v>51053986053</v>
      </c>
      <c r="H1485" t="s">
        <v>35</v>
      </c>
      <c r="I1485" s="36">
        <v>2710.92</v>
      </c>
      <c r="J1485" s="36">
        <v>4563.24</v>
      </c>
      <c r="K1485" s="85">
        <v>0</v>
      </c>
      <c r="L1485" s="36">
        <v>380.27</v>
      </c>
      <c r="M1485" s="36">
        <v>0</v>
      </c>
      <c r="N1485" s="36">
        <v>380.27</v>
      </c>
      <c r="O1485" s="36">
        <v>0</v>
      </c>
      <c r="P1485" t="s">
        <v>469</v>
      </c>
      <c r="Q1485" t="s">
        <v>191</v>
      </c>
      <c r="R1485" t="s">
        <v>191</v>
      </c>
      <c r="S1485" s="1">
        <v>46062</v>
      </c>
      <c r="T1485" s="1">
        <v>46062</v>
      </c>
      <c r="U1485" s="1">
        <v>46279</v>
      </c>
      <c r="V1485" s="1">
        <v>46279</v>
      </c>
      <c r="W1485" t="s">
        <v>38</v>
      </c>
      <c r="X1485">
        <v>7</v>
      </c>
      <c r="Y1485" t="s">
        <v>49</v>
      </c>
      <c r="Z1485" t="s">
        <v>324</v>
      </c>
      <c r="AA1485" t="s">
        <v>117</v>
      </c>
      <c r="AB1485">
        <v>1</v>
      </c>
      <c r="AC1485" t="s">
        <v>192</v>
      </c>
      <c r="AD1485" t="s">
        <v>154</v>
      </c>
      <c r="AE1485" t="s">
        <v>46</v>
      </c>
      <c r="AF1485" t="s">
        <v>47</v>
      </c>
      <c r="AG1485" t="str">
        <f t="shared" si="24"/>
        <v>À Vista</v>
      </c>
      <c r="AH1485" t="str">
        <f>IF(AND(SUMIF(E:E,E1485,I:I)&gt;=400000,Q1485="B2G"),"n","")</f>
        <v/>
      </c>
    </row>
    <row r="1486" spans="1:34">
      <c r="A1486">
        <v>2026</v>
      </c>
      <c r="B1486">
        <v>2</v>
      </c>
      <c r="C1486" s="83">
        <v>2085307</v>
      </c>
      <c r="D1486" t="s">
        <v>1454</v>
      </c>
      <c r="E1486">
        <v>55938798601</v>
      </c>
      <c r="F1486">
        <v>636058</v>
      </c>
      <c r="G1486">
        <v>51425059623</v>
      </c>
      <c r="H1486" t="s">
        <v>35</v>
      </c>
      <c r="I1486" s="36">
        <v>2352</v>
      </c>
      <c r="J1486" s="36">
        <v>2352</v>
      </c>
      <c r="K1486" s="85">
        <v>0</v>
      </c>
      <c r="L1486" s="36">
        <v>196</v>
      </c>
      <c r="M1486" s="36">
        <v>196</v>
      </c>
      <c r="N1486" s="36">
        <v>0</v>
      </c>
      <c r="O1486" s="36">
        <v>0</v>
      </c>
      <c r="P1486" t="s">
        <v>1073</v>
      </c>
      <c r="Q1486" t="s">
        <v>314</v>
      </c>
      <c r="R1486" t="s">
        <v>314</v>
      </c>
      <c r="S1486" s="1">
        <v>46065</v>
      </c>
      <c r="T1486" s="1">
        <v>46065</v>
      </c>
      <c r="U1486" s="1"/>
      <c r="V1486" s="1">
        <v>46430</v>
      </c>
      <c r="W1486" t="s">
        <v>38</v>
      </c>
      <c r="X1486">
        <v>12</v>
      </c>
      <c r="Y1486" t="s">
        <v>49</v>
      </c>
      <c r="AA1486" t="s">
        <v>112</v>
      </c>
      <c r="AB1486">
        <v>12</v>
      </c>
      <c r="AC1486" t="s">
        <v>315</v>
      </c>
      <c r="AD1486" t="s">
        <v>140</v>
      </c>
      <c r="AE1486" t="s">
        <v>46</v>
      </c>
      <c r="AF1486" t="s">
        <v>119</v>
      </c>
      <c r="AG1486" t="str">
        <f t="shared" si="24"/>
        <v>CC 12x</v>
      </c>
      <c r="AH1486" t="str">
        <f>IF(AND(SUMIF(E:E,E1486,I:I)&gt;=400000,Q1486="B2G"),"n","")</f>
        <v/>
      </c>
    </row>
    <row r="1487" spans="1:34">
      <c r="A1487">
        <v>2026</v>
      </c>
      <c r="B1487">
        <v>2</v>
      </c>
      <c r="C1487" s="83">
        <v>208552633436</v>
      </c>
      <c r="D1487" t="s">
        <v>1455</v>
      </c>
      <c r="E1487">
        <v>54346106208</v>
      </c>
      <c r="F1487">
        <v>304489</v>
      </c>
      <c r="G1487">
        <v>49754747437</v>
      </c>
      <c r="H1487" t="s">
        <v>35</v>
      </c>
      <c r="I1487" s="36">
        <v>5455.8</v>
      </c>
      <c r="J1487" s="36">
        <v>5455.8</v>
      </c>
      <c r="K1487" s="85">
        <v>0</v>
      </c>
      <c r="L1487" s="36">
        <v>454.65</v>
      </c>
      <c r="M1487" s="36">
        <v>0</v>
      </c>
      <c r="N1487" s="36">
        <v>26.14</v>
      </c>
      <c r="O1487" s="36">
        <v>428.51</v>
      </c>
      <c r="P1487" t="s">
        <v>110</v>
      </c>
      <c r="Q1487" t="s">
        <v>111</v>
      </c>
      <c r="R1487" t="s">
        <v>111</v>
      </c>
      <c r="S1487" s="1">
        <v>46045</v>
      </c>
      <c r="T1487" s="1">
        <v>46054</v>
      </c>
      <c r="U1487" s="1">
        <v>46055</v>
      </c>
      <c r="V1487" s="1">
        <v>46420</v>
      </c>
      <c r="W1487" t="s">
        <v>38</v>
      </c>
      <c r="X1487">
        <v>12</v>
      </c>
      <c r="Y1487" t="s">
        <v>49</v>
      </c>
      <c r="Z1487" t="s">
        <v>81</v>
      </c>
      <c r="AA1487" t="s">
        <v>112</v>
      </c>
      <c r="AB1487">
        <v>12</v>
      </c>
      <c r="AC1487" t="s">
        <v>113</v>
      </c>
      <c r="AD1487" t="s">
        <v>125</v>
      </c>
      <c r="AE1487" t="s">
        <v>43</v>
      </c>
      <c r="AF1487" t="s">
        <v>47</v>
      </c>
      <c r="AG1487" t="str">
        <f t="shared" si="24"/>
        <v>CC 12x</v>
      </c>
      <c r="AH1487" t="str">
        <f>IF(AND(SUMIF(E:E,E1487,I:I)&gt;=400000,Q1487="B2G"),"n","")</f>
        <v/>
      </c>
    </row>
    <row r="1488" spans="1:34">
      <c r="A1488">
        <v>2026</v>
      </c>
      <c r="B1488">
        <v>2</v>
      </c>
      <c r="C1488" s="83">
        <v>2086005</v>
      </c>
      <c r="D1488" t="s">
        <v>1456</v>
      </c>
      <c r="E1488">
        <v>52334710289</v>
      </c>
      <c r="F1488">
        <v>626166</v>
      </c>
      <c r="G1488">
        <v>47461526335</v>
      </c>
      <c r="H1488" t="s">
        <v>35</v>
      </c>
      <c r="I1488" s="36">
        <v>5178.6000000000004</v>
      </c>
      <c r="J1488" s="36">
        <v>5178.6000000000004</v>
      </c>
      <c r="K1488" s="85">
        <v>0</v>
      </c>
      <c r="L1488" s="36">
        <v>431.55</v>
      </c>
      <c r="M1488" s="36">
        <v>0</v>
      </c>
      <c r="N1488" s="36">
        <v>49.9</v>
      </c>
      <c r="O1488" s="36">
        <v>381.65</v>
      </c>
      <c r="P1488" t="s">
        <v>165</v>
      </c>
      <c r="Q1488" t="s">
        <v>166</v>
      </c>
      <c r="R1488" t="s">
        <v>166</v>
      </c>
      <c r="S1488" s="1">
        <v>46058</v>
      </c>
      <c r="T1488" s="1">
        <v>46058</v>
      </c>
      <c r="U1488" s="1">
        <v>46058</v>
      </c>
      <c r="V1488" s="1">
        <v>46423</v>
      </c>
      <c r="W1488" t="s">
        <v>38</v>
      </c>
      <c r="X1488">
        <v>12</v>
      </c>
      <c r="Y1488" t="s">
        <v>49</v>
      </c>
      <c r="Z1488" t="s">
        <v>81</v>
      </c>
      <c r="AA1488" t="s">
        <v>122</v>
      </c>
      <c r="AB1488">
        <v>12</v>
      </c>
      <c r="AC1488" t="s">
        <v>166</v>
      </c>
      <c r="AD1488" t="s">
        <v>85</v>
      </c>
      <c r="AE1488" t="s">
        <v>46</v>
      </c>
      <c r="AF1488" t="s">
        <v>44</v>
      </c>
      <c r="AG1488" t="str">
        <f t="shared" si="24"/>
        <v>Recorrente</v>
      </c>
      <c r="AH1488" t="str">
        <f>IF(AND(SUMIF(E:E,E1488,I:I)&gt;=400000,Q1488="B2G"),"n","")</f>
        <v/>
      </c>
    </row>
    <row r="1489" spans="1:34">
      <c r="A1489">
        <v>2026</v>
      </c>
      <c r="B1489">
        <v>2</v>
      </c>
      <c r="C1489" s="83">
        <v>2086135</v>
      </c>
      <c r="D1489" t="s">
        <v>1457</v>
      </c>
      <c r="E1489">
        <v>53498008759</v>
      </c>
      <c r="F1489">
        <v>506188</v>
      </c>
      <c r="G1489">
        <v>49704279932</v>
      </c>
      <c r="H1489" t="s">
        <v>35</v>
      </c>
      <c r="I1489" s="36">
        <v>8636.4</v>
      </c>
      <c r="J1489" s="36">
        <v>8636.4</v>
      </c>
      <c r="K1489" s="85">
        <v>0</v>
      </c>
      <c r="L1489" s="36">
        <v>719.7</v>
      </c>
      <c r="M1489" s="36">
        <v>0</v>
      </c>
      <c r="N1489" s="36">
        <v>28.46</v>
      </c>
      <c r="O1489" s="36">
        <v>691.24</v>
      </c>
      <c r="P1489" t="s">
        <v>137</v>
      </c>
      <c r="Q1489" t="s">
        <v>111</v>
      </c>
      <c r="R1489" t="s">
        <v>111</v>
      </c>
      <c r="S1489" s="1">
        <v>46048</v>
      </c>
      <c r="T1489" s="1">
        <v>46054</v>
      </c>
      <c r="U1489" s="1">
        <v>46076</v>
      </c>
      <c r="V1489" s="1">
        <v>46441</v>
      </c>
      <c r="W1489" t="s">
        <v>38</v>
      </c>
      <c r="X1489">
        <v>12</v>
      </c>
      <c r="Y1489" t="s">
        <v>49</v>
      </c>
      <c r="Z1489" t="s">
        <v>81</v>
      </c>
      <c r="AA1489" t="s">
        <v>117</v>
      </c>
      <c r="AB1489">
        <v>1</v>
      </c>
      <c r="AC1489" t="s">
        <v>113</v>
      </c>
      <c r="AD1489" t="s">
        <v>154</v>
      </c>
      <c r="AE1489" t="s">
        <v>46</v>
      </c>
      <c r="AF1489" t="s">
        <v>47</v>
      </c>
      <c r="AG1489" t="str">
        <f t="shared" si="24"/>
        <v>À Vista</v>
      </c>
      <c r="AH1489" t="str">
        <f>IF(AND(SUMIF(E:E,E1489,I:I)&gt;=400000,Q1489="B2G"),"n","")</f>
        <v/>
      </c>
    </row>
    <row r="1490" spans="1:34">
      <c r="A1490">
        <v>2026</v>
      </c>
      <c r="B1490">
        <v>2</v>
      </c>
      <c r="C1490" s="83">
        <v>2086396</v>
      </c>
      <c r="D1490" t="s">
        <v>1458</v>
      </c>
      <c r="E1490">
        <v>55263647233</v>
      </c>
      <c r="F1490">
        <v>635876</v>
      </c>
      <c r="G1490">
        <v>50697356649</v>
      </c>
      <c r="H1490" t="s">
        <v>35</v>
      </c>
      <c r="I1490" s="36">
        <v>2184.2399999999998</v>
      </c>
      <c r="J1490" s="36">
        <v>2184.2399999999998</v>
      </c>
      <c r="K1490" s="85">
        <v>0</v>
      </c>
      <c r="L1490" s="36">
        <v>182.02</v>
      </c>
      <c r="M1490" s="36">
        <v>182.02</v>
      </c>
      <c r="N1490" s="36">
        <v>0</v>
      </c>
      <c r="O1490" s="36">
        <v>0</v>
      </c>
      <c r="P1490" t="s">
        <v>469</v>
      </c>
      <c r="Q1490" t="s">
        <v>314</v>
      </c>
      <c r="R1490" t="s">
        <v>314</v>
      </c>
      <c r="S1490" s="1">
        <v>46055</v>
      </c>
      <c r="T1490" s="1">
        <v>46055</v>
      </c>
      <c r="V1490" s="1">
        <v>46420</v>
      </c>
      <c r="W1490" t="s">
        <v>38</v>
      </c>
      <c r="X1490">
        <v>12</v>
      </c>
      <c r="Y1490" t="s">
        <v>49</v>
      </c>
      <c r="AA1490" t="s">
        <v>117</v>
      </c>
      <c r="AB1490">
        <v>1</v>
      </c>
      <c r="AC1490" t="s">
        <v>315</v>
      </c>
      <c r="AD1490" t="s">
        <v>140</v>
      </c>
      <c r="AE1490" t="s">
        <v>46</v>
      </c>
      <c r="AF1490" t="s">
        <v>119</v>
      </c>
      <c r="AG1490" t="str">
        <f t="shared" si="24"/>
        <v>À Vista</v>
      </c>
      <c r="AH1490" t="str">
        <f>IF(AND(SUMIF(E:E,E1490,I:I)&gt;=400000,Q1490="B2G"),"n","")</f>
        <v/>
      </c>
    </row>
    <row r="1491" spans="1:34">
      <c r="A1491">
        <v>2026</v>
      </c>
      <c r="B1491">
        <v>2</v>
      </c>
      <c r="C1491" s="83">
        <v>2086396</v>
      </c>
      <c r="D1491" t="s">
        <v>1458</v>
      </c>
      <c r="E1491">
        <v>55440341159</v>
      </c>
      <c r="F1491">
        <v>635876</v>
      </c>
      <c r="G1491">
        <v>50773290247</v>
      </c>
      <c r="H1491" t="s">
        <v>35</v>
      </c>
      <c r="I1491" s="36">
        <v>2584.8000000000002</v>
      </c>
      <c r="J1491" s="36">
        <v>2593.8000000000002</v>
      </c>
      <c r="K1491" s="85">
        <v>0</v>
      </c>
      <c r="L1491" s="36">
        <v>216.15</v>
      </c>
      <c r="M1491" s="36">
        <v>0</v>
      </c>
      <c r="N1491" s="36">
        <v>216.15</v>
      </c>
      <c r="O1491" s="36">
        <v>0</v>
      </c>
      <c r="P1491" t="s">
        <v>469</v>
      </c>
      <c r="Q1491" t="s">
        <v>314</v>
      </c>
      <c r="R1491" t="s">
        <v>314</v>
      </c>
      <c r="S1491" s="1">
        <v>46056</v>
      </c>
      <c r="T1491" s="1">
        <v>46056</v>
      </c>
      <c r="U1491" s="1">
        <v>46420</v>
      </c>
      <c r="V1491" s="1">
        <v>46420</v>
      </c>
      <c r="W1491" t="s">
        <v>38</v>
      </c>
      <c r="X1491">
        <v>12</v>
      </c>
      <c r="Y1491" t="s">
        <v>49</v>
      </c>
      <c r="Z1491" t="s">
        <v>324</v>
      </c>
      <c r="AA1491" t="s">
        <v>117</v>
      </c>
      <c r="AB1491">
        <v>1</v>
      </c>
      <c r="AC1491" t="s">
        <v>315</v>
      </c>
      <c r="AD1491" t="s">
        <v>85</v>
      </c>
      <c r="AE1491" t="s">
        <v>46</v>
      </c>
      <c r="AF1491" t="s">
        <v>44</v>
      </c>
      <c r="AG1491" t="str">
        <f t="shared" si="24"/>
        <v>À Vista</v>
      </c>
      <c r="AH1491" t="str">
        <f>IF(AND(SUMIF(E:E,E1491,I:I)&gt;=400000,Q1491="B2G"),"n","")</f>
        <v/>
      </c>
    </row>
    <row r="1492" spans="1:34">
      <c r="A1492">
        <v>2026</v>
      </c>
      <c r="B1492">
        <v>2</v>
      </c>
      <c r="C1492" s="83">
        <v>208640539650</v>
      </c>
      <c r="D1492" t="s">
        <v>1459</v>
      </c>
      <c r="E1492">
        <v>57134874238</v>
      </c>
      <c r="F1492">
        <v>636302</v>
      </c>
      <c r="G1492">
        <v>52362059937</v>
      </c>
      <c r="H1492" t="s">
        <v>35</v>
      </c>
      <c r="I1492" s="36">
        <v>5034</v>
      </c>
      <c r="J1492" s="36">
        <v>5034</v>
      </c>
      <c r="K1492" s="85">
        <v>0</v>
      </c>
      <c r="L1492" s="36">
        <v>419.5</v>
      </c>
      <c r="M1492" s="36">
        <v>419.5</v>
      </c>
      <c r="N1492" s="36">
        <v>0</v>
      </c>
      <c r="O1492" s="36">
        <v>0</v>
      </c>
      <c r="P1492" t="s">
        <v>506</v>
      </c>
      <c r="Q1492" t="s">
        <v>300</v>
      </c>
      <c r="R1492" t="s">
        <v>300</v>
      </c>
      <c r="S1492" s="1">
        <v>46080</v>
      </c>
      <c r="T1492" s="1">
        <v>46080</v>
      </c>
      <c r="U1492" s="1"/>
      <c r="V1492" s="1">
        <v>46445</v>
      </c>
      <c r="W1492" t="s">
        <v>38</v>
      </c>
      <c r="X1492">
        <v>12</v>
      </c>
      <c r="Y1492" t="s">
        <v>49</v>
      </c>
      <c r="AA1492" t="s">
        <v>122</v>
      </c>
      <c r="AB1492">
        <v>12</v>
      </c>
      <c r="AC1492" t="s">
        <v>301</v>
      </c>
      <c r="AD1492" t="s">
        <v>84</v>
      </c>
      <c r="AE1492" t="s">
        <v>43</v>
      </c>
      <c r="AF1492" t="s">
        <v>44</v>
      </c>
      <c r="AG1492" t="str">
        <f t="shared" si="24"/>
        <v>Recorrente</v>
      </c>
      <c r="AH1492" t="str">
        <f>IF(AND(SUMIF(E:E,E1492,I:I)&gt;=400000,Q1492="B2G"),"n","")</f>
        <v/>
      </c>
    </row>
    <row r="1493" spans="1:34">
      <c r="A1493">
        <v>2026</v>
      </c>
      <c r="B1493">
        <v>2</v>
      </c>
      <c r="C1493" s="83">
        <v>2087133</v>
      </c>
      <c r="D1493" t="s">
        <v>1460</v>
      </c>
      <c r="E1493">
        <v>53645262106</v>
      </c>
      <c r="F1493">
        <v>320262</v>
      </c>
      <c r="G1493">
        <v>50274593911</v>
      </c>
      <c r="H1493" t="s">
        <v>35</v>
      </c>
      <c r="I1493" s="36">
        <v>4660.68</v>
      </c>
      <c r="J1493" s="36">
        <v>4660.68</v>
      </c>
      <c r="K1493" s="85">
        <v>0</v>
      </c>
      <c r="L1493" s="36">
        <v>388.39</v>
      </c>
      <c r="M1493" s="36">
        <v>0</v>
      </c>
      <c r="N1493" s="36">
        <v>1.085</v>
      </c>
      <c r="O1493" s="36">
        <v>387.31</v>
      </c>
      <c r="P1493" t="s">
        <v>133</v>
      </c>
      <c r="Q1493" t="s">
        <v>111</v>
      </c>
      <c r="R1493" t="s">
        <v>111</v>
      </c>
      <c r="S1493" s="1">
        <v>46076</v>
      </c>
      <c r="T1493" s="1">
        <v>46076</v>
      </c>
      <c r="U1493" s="1">
        <v>46077</v>
      </c>
      <c r="V1493" s="1">
        <v>46442</v>
      </c>
      <c r="W1493" t="s">
        <v>38</v>
      </c>
      <c r="X1493">
        <v>12</v>
      </c>
      <c r="Y1493" t="s">
        <v>49</v>
      </c>
      <c r="Z1493" t="s">
        <v>81</v>
      </c>
      <c r="AA1493" t="s">
        <v>112</v>
      </c>
      <c r="AB1493">
        <v>12</v>
      </c>
      <c r="AC1493" t="s">
        <v>113</v>
      </c>
      <c r="AD1493" t="s">
        <v>85</v>
      </c>
      <c r="AE1493" t="s">
        <v>46</v>
      </c>
      <c r="AF1493" t="s">
        <v>44</v>
      </c>
      <c r="AG1493" t="str">
        <f t="shared" si="24"/>
        <v>CC 12x</v>
      </c>
      <c r="AH1493" t="str">
        <f>IF(AND(SUMIF(E:E,E1493,I:I)&gt;=400000,Q1493="B2G"),"n","")</f>
        <v/>
      </c>
    </row>
    <row r="1494" spans="1:34">
      <c r="A1494">
        <v>2026</v>
      </c>
      <c r="B1494">
        <v>2</v>
      </c>
      <c r="C1494" s="83">
        <v>2088536</v>
      </c>
      <c r="D1494" t="s">
        <v>1461</v>
      </c>
      <c r="E1494">
        <v>53177883569</v>
      </c>
      <c r="F1494">
        <v>626710</v>
      </c>
      <c r="G1494">
        <v>48256270265</v>
      </c>
      <c r="H1494" t="s">
        <v>35</v>
      </c>
      <c r="I1494" s="36">
        <v>2874</v>
      </c>
      <c r="J1494" s="36">
        <v>2874</v>
      </c>
      <c r="K1494" s="85">
        <v>0</v>
      </c>
      <c r="L1494" s="36">
        <v>239.5</v>
      </c>
      <c r="M1494" s="36">
        <v>0</v>
      </c>
      <c r="N1494" s="36">
        <v>0.5</v>
      </c>
      <c r="O1494" s="36">
        <v>239</v>
      </c>
      <c r="P1494" t="s">
        <v>165</v>
      </c>
      <c r="Q1494" t="s">
        <v>166</v>
      </c>
      <c r="R1494" t="s">
        <v>166</v>
      </c>
      <c r="S1494" s="1">
        <v>46071</v>
      </c>
      <c r="T1494" s="1">
        <v>46071</v>
      </c>
      <c r="U1494" s="1">
        <v>46071</v>
      </c>
      <c r="V1494" s="1">
        <v>46436</v>
      </c>
      <c r="W1494" t="s">
        <v>38</v>
      </c>
      <c r="X1494">
        <v>12</v>
      </c>
      <c r="Y1494" t="s">
        <v>49</v>
      </c>
      <c r="Z1494" t="s">
        <v>81</v>
      </c>
      <c r="AA1494" t="s">
        <v>122</v>
      </c>
      <c r="AB1494">
        <v>12</v>
      </c>
      <c r="AC1494" t="s">
        <v>166</v>
      </c>
      <c r="AD1494" t="s">
        <v>140</v>
      </c>
      <c r="AE1494" t="s">
        <v>46</v>
      </c>
      <c r="AF1494" t="s">
        <v>119</v>
      </c>
      <c r="AG1494" t="str">
        <f t="shared" si="24"/>
        <v>Recorrente</v>
      </c>
      <c r="AH1494" t="str">
        <f>IF(AND(SUMIF(E:E,E1494,I:I)&gt;=400000,Q1494="B2G"),"n","")</f>
        <v/>
      </c>
    </row>
    <row r="1495" spans="1:34">
      <c r="A1495">
        <v>2026</v>
      </c>
      <c r="B1495">
        <v>2</v>
      </c>
      <c r="C1495" s="83">
        <v>2088688</v>
      </c>
      <c r="D1495" t="s">
        <v>1462</v>
      </c>
      <c r="E1495">
        <v>56878223945</v>
      </c>
      <c r="F1495">
        <v>528413</v>
      </c>
      <c r="G1495">
        <v>52282679139</v>
      </c>
      <c r="H1495" t="s">
        <v>35</v>
      </c>
      <c r="I1495" s="36">
        <v>2448.96</v>
      </c>
      <c r="J1495" s="36">
        <v>2448.96</v>
      </c>
      <c r="K1495" s="85">
        <v>0</v>
      </c>
      <c r="L1495" s="36">
        <v>204.08</v>
      </c>
      <c r="M1495" s="36">
        <v>0</v>
      </c>
      <c r="N1495" s="36">
        <v>0</v>
      </c>
      <c r="O1495" s="36">
        <v>204.08</v>
      </c>
      <c r="P1495" t="s">
        <v>127</v>
      </c>
      <c r="Q1495" t="s">
        <v>111</v>
      </c>
      <c r="R1495" t="s">
        <v>111</v>
      </c>
      <c r="S1495" s="1">
        <v>46078</v>
      </c>
      <c r="T1495" s="1">
        <v>46078</v>
      </c>
      <c r="U1495" s="1">
        <v>46080</v>
      </c>
      <c r="V1495" s="1">
        <v>46445</v>
      </c>
      <c r="W1495" t="s">
        <v>38</v>
      </c>
      <c r="X1495">
        <v>12</v>
      </c>
      <c r="Y1495" t="s">
        <v>49</v>
      </c>
      <c r="Z1495" t="s">
        <v>81</v>
      </c>
      <c r="AA1495" t="s">
        <v>117</v>
      </c>
      <c r="AB1495">
        <v>1</v>
      </c>
      <c r="AC1495" t="s">
        <v>113</v>
      </c>
      <c r="AD1495" t="s">
        <v>140</v>
      </c>
      <c r="AE1495" t="s">
        <v>46</v>
      </c>
      <c r="AF1495" t="s">
        <v>119</v>
      </c>
      <c r="AG1495" t="str">
        <f t="shared" si="24"/>
        <v>À Vista</v>
      </c>
      <c r="AH1495" t="str">
        <f>IF(AND(SUMIF(E:E,E1495,I:I)&gt;=400000,Q1495="B2G"),"n","")</f>
        <v/>
      </c>
    </row>
    <row r="1496" spans="1:34">
      <c r="A1496">
        <v>2026</v>
      </c>
      <c r="B1496">
        <v>2</v>
      </c>
      <c r="C1496" s="83">
        <v>2090082</v>
      </c>
      <c r="D1496" t="s">
        <v>1463</v>
      </c>
      <c r="E1496">
        <v>52102686524</v>
      </c>
      <c r="F1496">
        <v>306039</v>
      </c>
      <c r="G1496">
        <v>52153279855</v>
      </c>
      <c r="H1496" t="s">
        <v>35</v>
      </c>
      <c r="I1496" s="36">
        <v>6547.8</v>
      </c>
      <c r="J1496" s="36">
        <v>6547.8</v>
      </c>
      <c r="K1496" s="85">
        <v>9.0949500000000005E-13</v>
      </c>
      <c r="L1496" s="36">
        <v>545.65</v>
      </c>
      <c r="M1496" s="36">
        <v>0</v>
      </c>
      <c r="N1496" s="36">
        <v>52.4</v>
      </c>
      <c r="O1496" s="36">
        <v>493.25</v>
      </c>
      <c r="P1496" t="s">
        <v>133</v>
      </c>
      <c r="Q1496" t="s">
        <v>111</v>
      </c>
      <c r="R1496" t="s">
        <v>111</v>
      </c>
      <c r="S1496" s="1">
        <v>46076</v>
      </c>
      <c r="T1496" s="1">
        <v>46076</v>
      </c>
      <c r="U1496" s="1">
        <v>46055</v>
      </c>
      <c r="V1496" s="1">
        <v>46442</v>
      </c>
      <c r="W1496" t="s">
        <v>38</v>
      </c>
      <c r="X1496">
        <v>12</v>
      </c>
      <c r="Y1496" t="s">
        <v>49</v>
      </c>
      <c r="Z1496" t="s">
        <v>81</v>
      </c>
      <c r="AA1496" t="s">
        <v>112</v>
      </c>
      <c r="AB1496">
        <v>12</v>
      </c>
      <c r="AC1496" t="s">
        <v>113</v>
      </c>
      <c r="AD1496" t="s">
        <v>134</v>
      </c>
      <c r="AE1496" t="s">
        <v>135</v>
      </c>
      <c r="AF1496" t="s">
        <v>44</v>
      </c>
      <c r="AG1496" t="str">
        <f t="shared" si="24"/>
        <v>CC 12x</v>
      </c>
      <c r="AH1496" t="str">
        <f>IF(AND(SUMIF(E:E,E1496,I:I)&gt;=400000,Q1496="B2G"),"n","")</f>
        <v/>
      </c>
    </row>
    <row r="1497" spans="1:34">
      <c r="A1497">
        <v>2026</v>
      </c>
      <c r="B1497">
        <v>2</v>
      </c>
      <c r="C1497" s="83">
        <v>2091909</v>
      </c>
      <c r="D1497" t="s">
        <v>1464</v>
      </c>
      <c r="E1497">
        <v>54600459301</v>
      </c>
      <c r="F1497">
        <v>636261</v>
      </c>
      <c r="G1497">
        <v>52251370158</v>
      </c>
      <c r="H1497" t="s">
        <v>35</v>
      </c>
      <c r="I1497" s="36">
        <v>2224.44</v>
      </c>
      <c r="J1497" s="36">
        <v>2224.4760000000001</v>
      </c>
      <c r="K1497" s="85">
        <v>0</v>
      </c>
      <c r="L1497" s="36">
        <v>185.37299999999999</v>
      </c>
      <c r="M1497" s="36">
        <v>185.37299999999999</v>
      </c>
      <c r="N1497" s="36">
        <v>0</v>
      </c>
      <c r="O1497" s="36">
        <v>0</v>
      </c>
      <c r="P1497" t="s">
        <v>1073</v>
      </c>
      <c r="Q1497" t="s">
        <v>314</v>
      </c>
      <c r="R1497" t="s">
        <v>314</v>
      </c>
      <c r="S1497" s="1">
        <v>46078</v>
      </c>
      <c r="T1497" s="1">
        <v>46078</v>
      </c>
      <c r="V1497" s="1">
        <v>46443</v>
      </c>
      <c r="W1497" t="s">
        <v>38</v>
      </c>
      <c r="X1497">
        <v>12</v>
      </c>
      <c r="Y1497" t="s">
        <v>49</v>
      </c>
      <c r="AA1497" t="s">
        <v>117</v>
      </c>
      <c r="AB1497">
        <v>1</v>
      </c>
      <c r="AC1497" t="s">
        <v>315</v>
      </c>
      <c r="AD1497" t="s">
        <v>140</v>
      </c>
      <c r="AE1497" t="s">
        <v>46</v>
      </c>
      <c r="AF1497" t="s">
        <v>119</v>
      </c>
      <c r="AG1497" t="str">
        <f t="shared" si="24"/>
        <v>À Vista</v>
      </c>
      <c r="AH1497" t="str">
        <f>IF(AND(SUMIF(E:E,E1497,I:I)&gt;=400000,Q1497="B2G"),"n","")</f>
        <v/>
      </c>
    </row>
    <row r="1498" spans="1:34">
      <c r="A1498">
        <v>2026</v>
      </c>
      <c r="B1498">
        <v>2</v>
      </c>
      <c r="C1498" s="83">
        <v>2092023</v>
      </c>
      <c r="D1498" t="s">
        <v>1465</v>
      </c>
      <c r="E1498">
        <v>51994438527</v>
      </c>
      <c r="F1498">
        <v>303820</v>
      </c>
      <c r="G1498">
        <v>48500493855</v>
      </c>
      <c r="H1498" t="s">
        <v>35</v>
      </c>
      <c r="I1498" s="36">
        <v>2607.36</v>
      </c>
      <c r="J1498" s="36">
        <v>2607.36</v>
      </c>
      <c r="K1498" s="85">
        <v>0</v>
      </c>
      <c r="L1498" s="36">
        <v>217.28</v>
      </c>
      <c r="M1498" s="36">
        <v>0</v>
      </c>
      <c r="N1498" s="36">
        <v>21.98</v>
      </c>
      <c r="O1498" s="36">
        <v>195.3</v>
      </c>
      <c r="P1498" t="s">
        <v>110</v>
      </c>
      <c r="Q1498" t="s">
        <v>111</v>
      </c>
      <c r="R1498" t="s">
        <v>111</v>
      </c>
      <c r="S1498" s="1">
        <v>46030</v>
      </c>
      <c r="T1498" s="1">
        <v>46054</v>
      </c>
      <c r="U1498" s="1">
        <v>46045</v>
      </c>
      <c r="V1498" s="1">
        <v>46410</v>
      </c>
      <c r="W1498" t="s">
        <v>38</v>
      </c>
      <c r="X1498">
        <v>12</v>
      </c>
      <c r="Y1498" t="s">
        <v>49</v>
      </c>
      <c r="Z1498" t="s">
        <v>81</v>
      </c>
      <c r="AA1498" t="s">
        <v>112</v>
      </c>
      <c r="AB1498">
        <v>1</v>
      </c>
      <c r="AC1498" t="s">
        <v>113</v>
      </c>
      <c r="AD1498" t="s">
        <v>160</v>
      </c>
      <c r="AE1498" t="s">
        <v>43</v>
      </c>
      <c r="AF1498" t="s">
        <v>44</v>
      </c>
      <c r="AG1498" t="str">
        <f t="shared" si="24"/>
        <v>À Vista</v>
      </c>
      <c r="AH1498" t="str">
        <f>IF(AND(SUMIF(E:E,E1498,I:I)&gt;=400000,Q1498="B2G"),"n","")</f>
        <v/>
      </c>
    </row>
    <row r="1499" spans="1:34">
      <c r="A1499">
        <v>2026</v>
      </c>
      <c r="B1499">
        <v>2</v>
      </c>
      <c r="C1499" s="83">
        <v>2092098</v>
      </c>
      <c r="D1499" t="s">
        <v>1466</v>
      </c>
      <c r="E1499">
        <v>55926980001</v>
      </c>
      <c r="F1499">
        <v>304479</v>
      </c>
      <c r="G1499">
        <v>51504105564</v>
      </c>
      <c r="H1499" t="s">
        <v>35</v>
      </c>
      <c r="I1499" s="36">
        <v>6664.68</v>
      </c>
      <c r="J1499" s="36">
        <v>6664.68</v>
      </c>
      <c r="K1499" s="85">
        <v>0</v>
      </c>
      <c r="L1499" s="36">
        <v>555.39</v>
      </c>
      <c r="M1499" s="36">
        <v>0</v>
      </c>
      <c r="N1499" s="36">
        <v>56.573749999999997</v>
      </c>
      <c r="O1499" s="36">
        <v>498.82</v>
      </c>
      <c r="P1499" t="s">
        <v>137</v>
      </c>
      <c r="Q1499" t="s">
        <v>111</v>
      </c>
      <c r="R1499" t="s">
        <v>111</v>
      </c>
      <c r="S1499" s="1">
        <v>46066</v>
      </c>
      <c r="T1499" s="1">
        <v>46066</v>
      </c>
      <c r="U1499" s="1">
        <v>46067</v>
      </c>
      <c r="V1499" s="1">
        <v>46432</v>
      </c>
      <c r="W1499" t="s">
        <v>38</v>
      </c>
      <c r="X1499">
        <v>12</v>
      </c>
      <c r="Y1499" t="s">
        <v>49</v>
      </c>
      <c r="Z1499" t="s">
        <v>81</v>
      </c>
      <c r="AA1499" t="s">
        <v>112</v>
      </c>
      <c r="AB1499">
        <v>12</v>
      </c>
      <c r="AC1499" t="s">
        <v>113</v>
      </c>
      <c r="AD1499" t="s">
        <v>134</v>
      </c>
      <c r="AE1499" t="s">
        <v>135</v>
      </c>
      <c r="AF1499" t="s">
        <v>44</v>
      </c>
      <c r="AG1499" t="str">
        <f t="shared" si="24"/>
        <v>CC 12x</v>
      </c>
      <c r="AH1499" t="str">
        <f>IF(AND(SUMIF(E:E,E1499,I:I)&gt;=400000,Q1499="B2G"),"n","")</f>
        <v/>
      </c>
    </row>
    <row r="1500" spans="1:34">
      <c r="A1500">
        <v>2026</v>
      </c>
      <c r="B1500">
        <v>2</v>
      </c>
      <c r="C1500" s="83">
        <v>2092287</v>
      </c>
      <c r="D1500" t="s">
        <v>1467</v>
      </c>
      <c r="E1500">
        <v>55495243104</v>
      </c>
      <c r="F1500">
        <v>636015</v>
      </c>
      <c r="G1500">
        <v>51224005787</v>
      </c>
      <c r="H1500" t="s">
        <v>35</v>
      </c>
      <c r="I1500" s="36">
        <v>8081.88</v>
      </c>
      <c r="J1500" s="36">
        <v>8081.88</v>
      </c>
      <c r="K1500" s="85">
        <v>0</v>
      </c>
      <c r="L1500" s="36">
        <v>673.49</v>
      </c>
      <c r="M1500" s="36">
        <v>673.49</v>
      </c>
      <c r="N1500" s="36">
        <v>0</v>
      </c>
      <c r="O1500" s="36">
        <v>0</v>
      </c>
      <c r="P1500" t="s">
        <v>1073</v>
      </c>
      <c r="Q1500" t="s">
        <v>314</v>
      </c>
      <c r="R1500" t="s">
        <v>314</v>
      </c>
      <c r="S1500" s="1">
        <v>46063</v>
      </c>
      <c r="T1500" s="1">
        <v>46063</v>
      </c>
      <c r="V1500" s="1">
        <v>46428</v>
      </c>
      <c r="W1500" t="s">
        <v>38</v>
      </c>
      <c r="X1500">
        <v>12</v>
      </c>
      <c r="Y1500" t="s">
        <v>49</v>
      </c>
      <c r="AA1500" t="s">
        <v>112</v>
      </c>
      <c r="AB1500">
        <v>12</v>
      </c>
      <c r="AC1500" t="s">
        <v>315</v>
      </c>
      <c r="AD1500" t="s">
        <v>134</v>
      </c>
      <c r="AE1500" t="s">
        <v>135</v>
      </c>
      <c r="AF1500" t="s">
        <v>44</v>
      </c>
      <c r="AG1500" t="str">
        <f t="shared" si="24"/>
        <v>CC 12x</v>
      </c>
      <c r="AH1500" t="str">
        <f>IF(AND(SUMIF(E:E,E1500,I:I)&gt;=400000,Q1500="B2G"),"n","")</f>
        <v/>
      </c>
    </row>
    <row r="1501" spans="1:34">
      <c r="A1501">
        <v>2026</v>
      </c>
      <c r="B1501">
        <v>2</v>
      </c>
      <c r="C1501" s="83">
        <v>20942426548</v>
      </c>
      <c r="D1501" t="s">
        <v>1468</v>
      </c>
      <c r="E1501">
        <v>55642121127</v>
      </c>
      <c r="F1501">
        <v>636061</v>
      </c>
      <c r="G1501">
        <v>51427307165</v>
      </c>
      <c r="H1501" t="s">
        <v>35</v>
      </c>
      <c r="I1501" s="36">
        <v>5034</v>
      </c>
      <c r="J1501" s="36">
        <v>5034</v>
      </c>
      <c r="K1501" s="85">
        <v>0</v>
      </c>
      <c r="L1501" s="36">
        <v>419.5</v>
      </c>
      <c r="M1501" s="36">
        <v>0</v>
      </c>
      <c r="N1501" s="36">
        <v>79.520403090000002</v>
      </c>
      <c r="O1501" s="36">
        <v>339.97959689999999</v>
      </c>
      <c r="P1501" t="s">
        <v>367</v>
      </c>
      <c r="Q1501" t="s">
        <v>191</v>
      </c>
      <c r="R1501" t="s">
        <v>191</v>
      </c>
      <c r="S1501" s="1">
        <v>46065</v>
      </c>
      <c r="T1501" s="1">
        <v>46065</v>
      </c>
      <c r="V1501" s="1">
        <v>46430</v>
      </c>
      <c r="W1501" t="s">
        <v>38</v>
      </c>
      <c r="Y1501" t="s">
        <v>49</v>
      </c>
      <c r="AA1501" t="s">
        <v>112</v>
      </c>
      <c r="AB1501">
        <v>12</v>
      </c>
      <c r="AC1501" t="s">
        <v>192</v>
      </c>
      <c r="AD1501" t="s">
        <v>84</v>
      </c>
      <c r="AE1501" t="s">
        <v>43</v>
      </c>
      <c r="AF1501" t="s">
        <v>44</v>
      </c>
      <c r="AG1501" t="str">
        <f t="shared" si="24"/>
        <v>CC 12x</v>
      </c>
      <c r="AH1501" t="str">
        <f>IF(AND(SUMIF(E:E,E1501,I:I)&gt;=400000,Q1501="B2G"),"n","")</f>
        <v/>
      </c>
    </row>
    <row r="1502" spans="1:34">
      <c r="A1502">
        <v>2026</v>
      </c>
      <c r="B1502">
        <v>2</v>
      </c>
      <c r="C1502" s="83">
        <v>20942426548</v>
      </c>
      <c r="D1502" t="s">
        <v>1468</v>
      </c>
      <c r="E1502">
        <v>55642121127</v>
      </c>
      <c r="F1502">
        <v>636061</v>
      </c>
      <c r="G1502">
        <v>51427307166</v>
      </c>
      <c r="H1502" t="s">
        <v>35</v>
      </c>
      <c r="I1502" s="36">
        <v>7794</v>
      </c>
      <c r="J1502" s="36">
        <v>7794</v>
      </c>
      <c r="K1502" s="85">
        <v>0</v>
      </c>
      <c r="L1502" s="36">
        <v>649.5</v>
      </c>
      <c r="M1502" s="36">
        <v>0</v>
      </c>
      <c r="N1502" s="36">
        <v>123.11919380000001</v>
      </c>
      <c r="O1502" s="36">
        <v>526.38080620000005</v>
      </c>
      <c r="P1502" t="s">
        <v>367</v>
      </c>
      <c r="Q1502" t="s">
        <v>191</v>
      </c>
      <c r="R1502" t="s">
        <v>191</v>
      </c>
      <c r="S1502" s="1">
        <v>46065</v>
      </c>
      <c r="T1502" s="1">
        <v>46065</v>
      </c>
      <c r="V1502" s="1">
        <v>46430</v>
      </c>
      <c r="W1502" t="s">
        <v>38</v>
      </c>
      <c r="Y1502" t="s">
        <v>49</v>
      </c>
      <c r="AA1502" t="s">
        <v>112</v>
      </c>
      <c r="AB1502">
        <v>12</v>
      </c>
      <c r="AC1502" t="s">
        <v>192</v>
      </c>
      <c r="AD1502" t="s">
        <v>125</v>
      </c>
      <c r="AE1502" t="s">
        <v>43</v>
      </c>
      <c r="AF1502" t="s">
        <v>47</v>
      </c>
      <c r="AG1502" t="str">
        <f t="shared" si="24"/>
        <v>CC 12x</v>
      </c>
      <c r="AH1502" t="str">
        <f>IF(AND(SUMIF(E:E,E1502,I:I)&gt;=400000,Q1502="B2G"),"n","")</f>
        <v/>
      </c>
    </row>
    <row r="1503" spans="1:34">
      <c r="A1503">
        <v>2026</v>
      </c>
      <c r="B1503">
        <v>2</v>
      </c>
      <c r="C1503" s="83">
        <v>20942426548</v>
      </c>
      <c r="D1503" t="s">
        <v>1468</v>
      </c>
      <c r="E1503">
        <v>55642121127</v>
      </c>
      <c r="F1503">
        <v>636061</v>
      </c>
      <c r="G1503">
        <v>51427307167</v>
      </c>
      <c r="H1503" t="s">
        <v>35</v>
      </c>
      <c r="I1503" s="36">
        <v>5034</v>
      </c>
      <c r="J1503" s="36">
        <v>5034</v>
      </c>
      <c r="K1503" s="85">
        <v>0</v>
      </c>
      <c r="L1503" s="36">
        <v>419.5</v>
      </c>
      <c r="M1503" s="36">
        <v>0</v>
      </c>
      <c r="N1503" s="36">
        <v>79.520403090000002</v>
      </c>
      <c r="O1503" s="36">
        <v>339.97959689999999</v>
      </c>
      <c r="P1503" t="s">
        <v>367</v>
      </c>
      <c r="Q1503" t="s">
        <v>191</v>
      </c>
      <c r="R1503" t="s">
        <v>191</v>
      </c>
      <c r="S1503" s="1">
        <v>46065</v>
      </c>
      <c r="T1503" s="1">
        <v>46065</v>
      </c>
      <c r="V1503" s="1">
        <v>46430</v>
      </c>
      <c r="W1503" t="s">
        <v>38</v>
      </c>
      <c r="Y1503" t="s">
        <v>49</v>
      </c>
      <c r="AA1503" t="s">
        <v>112</v>
      </c>
      <c r="AB1503">
        <v>12</v>
      </c>
      <c r="AC1503" t="s">
        <v>192</v>
      </c>
      <c r="AD1503" t="s">
        <v>84</v>
      </c>
      <c r="AE1503" t="s">
        <v>43</v>
      </c>
      <c r="AF1503" t="s">
        <v>44</v>
      </c>
      <c r="AG1503" t="str">
        <f t="shared" si="24"/>
        <v>CC 12x</v>
      </c>
      <c r="AH1503" t="str">
        <f>IF(AND(SUMIF(E:E,E1503,I:I)&gt;=400000,Q1503="B2G"),"n","")</f>
        <v/>
      </c>
    </row>
    <row r="1504" spans="1:34">
      <c r="A1504">
        <v>2026</v>
      </c>
      <c r="B1504">
        <v>2</v>
      </c>
      <c r="C1504" s="83">
        <v>2094470</v>
      </c>
      <c r="D1504" t="s">
        <v>1469</v>
      </c>
      <c r="E1504">
        <v>55466635146</v>
      </c>
      <c r="F1504">
        <v>621239</v>
      </c>
      <c r="G1504">
        <v>50750736012</v>
      </c>
      <c r="H1504" t="s">
        <v>35</v>
      </c>
      <c r="I1504" s="36">
        <v>1846.2</v>
      </c>
      <c r="J1504" s="36">
        <v>2881.92</v>
      </c>
      <c r="K1504" s="85">
        <v>0</v>
      </c>
      <c r="L1504" s="36">
        <v>240.16</v>
      </c>
      <c r="M1504" s="36">
        <v>0</v>
      </c>
      <c r="N1504" s="36">
        <v>240.16</v>
      </c>
      <c r="O1504" s="36">
        <v>0</v>
      </c>
      <c r="P1504" t="s">
        <v>804</v>
      </c>
      <c r="Q1504" t="s">
        <v>191</v>
      </c>
      <c r="R1504" t="s">
        <v>191</v>
      </c>
      <c r="S1504" s="1">
        <v>46056</v>
      </c>
      <c r="T1504" s="1">
        <v>46056</v>
      </c>
      <c r="U1504" s="1">
        <v>46290</v>
      </c>
      <c r="V1504" s="1">
        <v>46290</v>
      </c>
      <c r="W1504" t="s">
        <v>38</v>
      </c>
      <c r="X1504">
        <v>7</v>
      </c>
      <c r="Y1504" t="s">
        <v>49</v>
      </c>
      <c r="Z1504" t="s">
        <v>324</v>
      </c>
      <c r="AA1504" t="s">
        <v>112</v>
      </c>
      <c r="AB1504">
        <v>7</v>
      </c>
      <c r="AC1504" t="s">
        <v>192</v>
      </c>
      <c r="AD1504" t="s">
        <v>85</v>
      </c>
      <c r="AE1504" t="s">
        <v>46</v>
      </c>
      <c r="AF1504" t="s">
        <v>44</v>
      </c>
      <c r="AG1504" t="str">
        <f t="shared" si="24"/>
        <v>CC 12x</v>
      </c>
      <c r="AH1504" t="str">
        <f>IF(AND(SUMIF(E:E,E1504,I:I)&gt;=400000,Q1504="B2G"),"n","")</f>
        <v/>
      </c>
    </row>
    <row r="1505" spans="1:34">
      <c r="A1505">
        <v>2026</v>
      </c>
      <c r="B1505">
        <v>2</v>
      </c>
      <c r="C1505" s="83">
        <v>20945088774</v>
      </c>
      <c r="D1505" t="s">
        <v>1470</v>
      </c>
      <c r="E1505">
        <v>56752510068</v>
      </c>
      <c r="F1505">
        <v>626787</v>
      </c>
      <c r="G1505">
        <v>52153643367</v>
      </c>
      <c r="H1505" t="s">
        <v>35</v>
      </c>
      <c r="I1505" s="36">
        <v>7176.6</v>
      </c>
      <c r="J1505" s="36">
        <v>7176.6</v>
      </c>
      <c r="K1505" s="85">
        <v>0</v>
      </c>
      <c r="L1505" s="36">
        <v>598.04999999999995</v>
      </c>
      <c r="M1505" s="36">
        <v>0</v>
      </c>
      <c r="N1505" s="36">
        <v>0</v>
      </c>
      <c r="O1505" s="36">
        <v>598.04999999999995</v>
      </c>
      <c r="P1505" t="s">
        <v>116</v>
      </c>
      <c r="Q1505" t="s">
        <v>111</v>
      </c>
      <c r="R1505" t="s">
        <v>111</v>
      </c>
      <c r="S1505" s="1">
        <v>46079</v>
      </c>
      <c r="T1505" s="1">
        <v>46079</v>
      </c>
      <c r="U1505" s="1">
        <v>46074</v>
      </c>
      <c r="V1505" s="1">
        <v>46444</v>
      </c>
      <c r="W1505" t="s">
        <v>38</v>
      </c>
      <c r="X1505">
        <v>12</v>
      </c>
      <c r="Y1505" t="s">
        <v>49</v>
      </c>
      <c r="Z1505" t="s">
        <v>81</v>
      </c>
      <c r="AA1505" t="s">
        <v>112</v>
      </c>
      <c r="AB1505">
        <v>1</v>
      </c>
      <c r="AC1505" t="s">
        <v>113</v>
      </c>
      <c r="AD1505" t="s">
        <v>149</v>
      </c>
      <c r="AE1505" t="s">
        <v>43</v>
      </c>
      <c r="AF1505" t="s">
        <v>96</v>
      </c>
      <c r="AG1505" t="str">
        <f t="shared" si="24"/>
        <v>À Vista</v>
      </c>
      <c r="AH1505" t="str">
        <f>IF(AND(SUMIF(E:E,E1505,I:I)&gt;=400000,Q1505="B2G"),"n","")</f>
        <v/>
      </c>
    </row>
    <row r="1506" spans="1:34">
      <c r="A1506">
        <v>2026</v>
      </c>
      <c r="B1506">
        <v>2</v>
      </c>
      <c r="C1506" s="83">
        <v>20945088774</v>
      </c>
      <c r="D1506" t="s">
        <v>1470</v>
      </c>
      <c r="E1506">
        <v>56752510068</v>
      </c>
      <c r="F1506">
        <v>626787</v>
      </c>
      <c r="G1506">
        <v>52153643368</v>
      </c>
      <c r="H1506" t="s">
        <v>35</v>
      </c>
      <c r="I1506" s="36">
        <v>7176.6</v>
      </c>
      <c r="J1506" s="36">
        <v>7176.6</v>
      </c>
      <c r="K1506" s="85">
        <v>0</v>
      </c>
      <c r="L1506" s="36">
        <v>598.04999999999995</v>
      </c>
      <c r="M1506" s="36">
        <v>0</v>
      </c>
      <c r="N1506" s="36">
        <v>0</v>
      </c>
      <c r="O1506" s="36">
        <v>598.04999999999995</v>
      </c>
      <c r="P1506" t="s">
        <v>116</v>
      </c>
      <c r="Q1506" t="s">
        <v>111</v>
      </c>
      <c r="R1506" t="s">
        <v>111</v>
      </c>
      <c r="S1506" s="1">
        <v>46079</v>
      </c>
      <c r="T1506" s="1">
        <v>46079</v>
      </c>
      <c r="U1506" s="1">
        <v>46074</v>
      </c>
      <c r="V1506" s="1">
        <v>46444</v>
      </c>
      <c r="W1506" t="s">
        <v>38</v>
      </c>
      <c r="X1506">
        <v>12</v>
      </c>
      <c r="Y1506" t="s">
        <v>49</v>
      </c>
      <c r="Z1506" t="s">
        <v>81</v>
      </c>
      <c r="AA1506" t="s">
        <v>112</v>
      </c>
      <c r="AB1506">
        <v>1</v>
      </c>
      <c r="AC1506" t="s">
        <v>113</v>
      </c>
      <c r="AD1506" t="s">
        <v>149</v>
      </c>
      <c r="AE1506" t="s">
        <v>43</v>
      </c>
      <c r="AF1506" t="s">
        <v>96</v>
      </c>
      <c r="AG1506" t="str">
        <f t="shared" si="24"/>
        <v>À Vista</v>
      </c>
      <c r="AH1506" t="str">
        <f>IF(AND(SUMIF(E:E,E1506,I:I)&gt;=400000,Q1506="B2G"),"n","")</f>
        <v/>
      </c>
    </row>
    <row r="1507" spans="1:34">
      <c r="A1507">
        <v>2026</v>
      </c>
      <c r="B1507">
        <v>2</v>
      </c>
      <c r="C1507" s="83">
        <v>20945088774</v>
      </c>
      <c r="D1507" t="s">
        <v>1470</v>
      </c>
      <c r="E1507">
        <v>56752510068</v>
      </c>
      <c r="F1507">
        <v>626787</v>
      </c>
      <c r="G1507">
        <v>52153643369</v>
      </c>
      <c r="H1507" t="s">
        <v>35</v>
      </c>
      <c r="I1507" s="36">
        <v>7176.6</v>
      </c>
      <c r="J1507" s="36">
        <v>7176.6</v>
      </c>
      <c r="K1507" s="85">
        <v>0</v>
      </c>
      <c r="L1507" s="36">
        <v>598.04999999999995</v>
      </c>
      <c r="M1507" s="36">
        <v>0</v>
      </c>
      <c r="N1507" s="36">
        <v>0</v>
      </c>
      <c r="O1507" s="36">
        <v>598.04999999999995</v>
      </c>
      <c r="P1507" t="s">
        <v>116</v>
      </c>
      <c r="Q1507" t="s">
        <v>111</v>
      </c>
      <c r="R1507" t="s">
        <v>111</v>
      </c>
      <c r="S1507" s="1">
        <v>46079</v>
      </c>
      <c r="T1507" s="1">
        <v>46079</v>
      </c>
      <c r="U1507" s="1">
        <v>46074</v>
      </c>
      <c r="V1507" s="1">
        <v>46444</v>
      </c>
      <c r="W1507" t="s">
        <v>38</v>
      </c>
      <c r="X1507">
        <v>12</v>
      </c>
      <c r="Y1507" t="s">
        <v>49</v>
      </c>
      <c r="Z1507" t="s">
        <v>81</v>
      </c>
      <c r="AA1507" t="s">
        <v>112</v>
      </c>
      <c r="AB1507">
        <v>1</v>
      </c>
      <c r="AC1507" t="s">
        <v>113</v>
      </c>
      <c r="AD1507" t="s">
        <v>131</v>
      </c>
      <c r="AE1507" t="s">
        <v>46</v>
      </c>
      <c r="AF1507" t="s">
        <v>96</v>
      </c>
      <c r="AG1507" t="str">
        <f t="shared" si="24"/>
        <v>À Vista</v>
      </c>
      <c r="AH1507" t="str">
        <f>IF(AND(SUMIF(E:E,E1507,I:I)&gt;=400000,Q1507="B2G"),"n","")</f>
        <v/>
      </c>
    </row>
    <row r="1508" spans="1:34">
      <c r="A1508">
        <v>2026</v>
      </c>
      <c r="B1508">
        <v>2</v>
      </c>
      <c r="C1508" s="83">
        <v>20945088774</v>
      </c>
      <c r="D1508" t="s">
        <v>1470</v>
      </c>
      <c r="E1508">
        <v>56752510068</v>
      </c>
      <c r="F1508">
        <v>626787</v>
      </c>
      <c r="G1508">
        <v>52153643370</v>
      </c>
      <c r="H1508" t="s">
        <v>35</v>
      </c>
      <c r="I1508" s="36">
        <v>7176.6</v>
      </c>
      <c r="J1508" s="36">
        <v>7176.6</v>
      </c>
      <c r="K1508" s="85">
        <v>0</v>
      </c>
      <c r="L1508" s="36">
        <v>598.04999999999995</v>
      </c>
      <c r="M1508" s="36">
        <v>0</v>
      </c>
      <c r="N1508" s="36">
        <v>0</v>
      </c>
      <c r="O1508" s="36">
        <v>598.04999999999995</v>
      </c>
      <c r="P1508" t="s">
        <v>116</v>
      </c>
      <c r="Q1508" t="s">
        <v>111</v>
      </c>
      <c r="R1508" t="s">
        <v>111</v>
      </c>
      <c r="S1508" s="1">
        <v>46079</v>
      </c>
      <c r="T1508" s="1">
        <v>46079</v>
      </c>
      <c r="U1508" s="1">
        <v>46074</v>
      </c>
      <c r="V1508" s="1">
        <v>46444</v>
      </c>
      <c r="W1508" t="s">
        <v>38</v>
      </c>
      <c r="X1508">
        <v>12</v>
      </c>
      <c r="Y1508" t="s">
        <v>49</v>
      </c>
      <c r="Z1508" t="s">
        <v>81</v>
      </c>
      <c r="AA1508" t="s">
        <v>112</v>
      </c>
      <c r="AB1508">
        <v>1</v>
      </c>
      <c r="AC1508" t="s">
        <v>113</v>
      </c>
      <c r="AD1508" t="s">
        <v>131</v>
      </c>
      <c r="AE1508" t="s">
        <v>46</v>
      </c>
      <c r="AF1508" t="s">
        <v>96</v>
      </c>
      <c r="AG1508" t="str">
        <f t="shared" si="24"/>
        <v>À Vista</v>
      </c>
      <c r="AH1508" t="str">
        <f>IF(AND(SUMIF(E:E,E1508,I:I)&gt;=400000,Q1508="B2G"),"n","")</f>
        <v/>
      </c>
    </row>
    <row r="1509" spans="1:34">
      <c r="A1509">
        <v>2026</v>
      </c>
      <c r="B1509">
        <v>2</v>
      </c>
      <c r="C1509" s="83">
        <v>20945105763</v>
      </c>
      <c r="D1509" t="s">
        <v>1471</v>
      </c>
      <c r="E1509">
        <v>56946932791</v>
      </c>
      <c r="F1509">
        <v>524450</v>
      </c>
      <c r="G1509">
        <v>52283190378</v>
      </c>
      <c r="H1509" t="s">
        <v>35</v>
      </c>
      <c r="I1509" s="36">
        <v>7675.2</v>
      </c>
      <c r="J1509" s="36">
        <v>7675.2</v>
      </c>
      <c r="K1509" s="85">
        <v>0</v>
      </c>
      <c r="L1509" s="36">
        <v>639.6</v>
      </c>
      <c r="M1509" s="36">
        <v>0</v>
      </c>
      <c r="N1509" s="36">
        <v>72.650000000000006</v>
      </c>
      <c r="O1509" s="36">
        <v>566.95000000000005</v>
      </c>
      <c r="P1509" t="s">
        <v>190</v>
      </c>
      <c r="Q1509" t="s">
        <v>111</v>
      </c>
      <c r="R1509" t="s">
        <v>111</v>
      </c>
      <c r="S1509" s="1">
        <v>46078</v>
      </c>
      <c r="T1509" s="1">
        <v>46078</v>
      </c>
      <c r="U1509" s="1">
        <v>46076</v>
      </c>
      <c r="V1509" s="1">
        <v>46441</v>
      </c>
      <c r="W1509" t="s">
        <v>38</v>
      </c>
      <c r="X1509">
        <v>12</v>
      </c>
      <c r="Y1509" t="s">
        <v>49</v>
      </c>
      <c r="Z1509" t="s">
        <v>81</v>
      </c>
      <c r="AA1509" t="s">
        <v>112</v>
      </c>
      <c r="AB1509">
        <v>12</v>
      </c>
      <c r="AC1509" t="s">
        <v>113</v>
      </c>
      <c r="AD1509" t="s">
        <v>131</v>
      </c>
      <c r="AE1509" t="s">
        <v>46</v>
      </c>
      <c r="AF1509" t="s">
        <v>96</v>
      </c>
      <c r="AG1509" t="str">
        <f t="shared" si="24"/>
        <v>CC 12x</v>
      </c>
      <c r="AH1509" t="str">
        <f>IF(AND(SUMIF(E:E,E1509,I:I)&gt;=400000,Q1509="B2G"),"n","")</f>
        <v/>
      </c>
    </row>
    <row r="1510" spans="1:34">
      <c r="A1510">
        <v>2026</v>
      </c>
      <c r="B1510">
        <v>2</v>
      </c>
      <c r="C1510" s="83">
        <v>20945235086</v>
      </c>
      <c r="D1510" t="s">
        <v>317</v>
      </c>
      <c r="E1510">
        <v>56022185142</v>
      </c>
      <c r="F1510">
        <v>306303</v>
      </c>
      <c r="G1510">
        <v>51504426152</v>
      </c>
      <c r="H1510" t="s">
        <v>35</v>
      </c>
      <c r="I1510" s="36">
        <v>4860.84</v>
      </c>
      <c r="J1510" s="36">
        <v>4860.84</v>
      </c>
      <c r="K1510" s="85">
        <v>0</v>
      </c>
      <c r="L1510" s="36">
        <v>405.07</v>
      </c>
      <c r="M1510" s="36">
        <v>0</v>
      </c>
      <c r="N1510" s="36">
        <v>65.680000000000007</v>
      </c>
      <c r="O1510" s="36">
        <v>339.39</v>
      </c>
      <c r="P1510" t="s">
        <v>127</v>
      </c>
      <c r="Q1510" t="s">
        <v>111</v>
      </c>
      <c r="R1510" t="s">
        <v>111</v>
      </c>
      <c r="S1510" s="1">
        <v>46066</v>
      </c>
      <c r="T1510" s="1">
        <v>46066</v>
      </c>
      <c r="U1510" s="1">
        <v>46063</v>
      </c>
      <c r="V1510" s="1">
        <v>46428</v>
      </c>
      <c r="W1510" t="s">
        <v>38</v>
      </c>
      <c r="X1510">
        <v>12</v>
      </c>
      <c r="Y1510" t="s">
        <v>49</v>
      </c>
      <c r="Z1510" t="s">
        <v>81</v>
      </c>
      <c r="AA1510" t="s">
        <v>112</v>
      </c>
      <c r="AB1510">
        <v>12</v>
      </c>
      <c r="AC1510" t="s">
        <v>113</v>
      </c>
      <c r="AD1510" t="s">
        <v>174</v>
      </c>
      <c r="AE1510" t="s">
        <v>43</v>
      </c>
      <c r="AF1510" t="s">
        <v>47</v>
      </c>
      <c r="AG1510" t="str">
        <f t="shared" si="24"/>
        <v>CC 12x</v>
      </c>
      <c r="AH1510" t="str">
        <f>IF(AND(SUMIF(E:E,E1510,I:I)&gt;=400000,Q1510="B2G"),"n","")</f>
        <v/>
      </c>
    </row>
    <row r="1511" spans="1:34">
      <c r="A1511">
        <v>2026</v>
      </c>
      <c r="B1511">
        <v>2</v>
      </c>
      <c r="C1511" s="83">
        <v>20945235086</v>
      </c>
      <c r="D1511" t="s">
        <v>317</v>
      </c>
      <c r="E1511">
        <v>56022185142</v>
      </c>
      <c r="F1511">
        <v>306303</v>
      </c>
      <c r="G1511">
        <v>51504426153</v>
      </c>
      <c r="H1511" t="s">
        <v>35</v>
      </c>
      <c r="I1511" s="36">
        <v>4860.84</v>
      </c>
      <c r="J1511" s="36">
        <v>4860.84</v>
      </c>
      <c r="K1511" s="85">
        <v>0</v>
      </c>
      <c r="L1511" s="36">
        <v>405.07</v>
      </c>
      <c r="M1511" s="36">
        <v>0</v>
      </c>
      <c r="N1511" s="36">
        <v>65.680000000000007</v>
      </c>
      <c r="O1511" s="36">
        <v>339.39</v>
      </c>
      <c r="P1511" t="s">
        <v>127</v>
      </c>
      <c r="Q1511" t="s">
        <v>111</v>
      </c>
      <c r="R1511" t="s">
        <v>111</v>
      </c>
      <c r="S1511" s="1">
        <v>46066</v>
      </c>
      <c r="T1511" s="1">
        <v>46066</v>
      </c>
      <c r="U1511" s="1">
        <v>46063</v>
      </c>
      <c r="V1511" s="1">
        <v>46428</v>
      </c>
      <c r="W1511" t="s">
        <v>38</v>
      </c>
      <c r="X1511">
        <v>12</v>
      </c>
      <c r="Y1511" t="s">
        <v>49</v>
      </c>
      <c r="Z1511" t="s">
        <v>81</v>
      </c>
      <c r="AA1511" t="s">
        <v>112</v>
      </c>
      <c r="AB1511">
        <v>12</v>
      </c>
      <c r="AC1511" t="s">
        <v>113</v>
      </c>
      <c r="AD1511" t="s">
        <v>158</v>
      </c>
      <c r="AE1511" t="s">
        <v>43</v>
      </c>
      <c r="AF1511" t="s">
        <v>47</v>
      </c>
      <c r="AG1511" t="str">
        <f t="shared" si="24"/>
        <v>CC 12x</v>
      </c>
      <c r="AH1511" t="str">
        <f>IF(AND(SUMIF(E:E,E1511,I:I)&gt;=400000,Q1511="B2G"),"n","")</f>
        <v/>
      </c>
    </row>
    <row r="1512" spans="1:34">
      <c r="A1512">
        <v>2026</v>
      </c>
      <c r="B1512">
        <v>2</v>
      </c>
      <c r="C1512" s="83">
        <v>20945264641</v>
      </c>
      <c r="D1512" t="s">
        <v>1472</v>
      </c>
      <c r="E1512">
        <v>54789338230</v>
      </c>
      <c r="F1512">
        <v>625885</v>
      </c>
      <c r="G1512">
        <v>51087489949</v>
      </c>
      <c r="H1512" t="s">
        <v>35</v>
      </c>
      <c r="I1512" s="36">
        <v>7209.42</v>
      </c>
      <c r="J1512" s="36">
        <v>7209.42</v>
      </c>
      <c r="K1512" s="85">
        <v>0</v>
      </c>
      <c r="L1512" s="36">
        <v>600.78499999999997</v>
      </c>
      <c r="M1512" s="36">
        <v>0</v>
      </c>
      <c r="N1512" s="36">
        <v>331.28750000000002</v>
      </c>
      <c r="O1512" s="36">
        <v>269.5</v>
      </c>
      <c r="P1512" t="s">
        <v>162</v>
      </c>
      <c r="Q1512" t="s">
        <v>111</v>
      </c>
      <c r="R1512" t="s">
        <v>111</v>
      </c>
      <c r="S1512" s="1">
        <v>46062</v>
      </c>
      <c r="T1512" s="1">
        <v>46054</v>
      </c>
      <c r="U1512" s="1">
        <v>46049</v>
      </c>
      <c r="V1512" s="1">
        <v>46427</v>
      </c>
      <c r="W1512" t="s">
        <v>38</v>
      </c>
      <c r="X1512">
        <v>13</v>
      </c>
      <c r="Y1512" t="s">
        <v>49</v>
      </c>
      <c r="Z1512" t="s">
        <v>76</v>
      </c>
      <c r="AA1512" t="s">
        <v>122</v>
      </c>
      <c r="AB1512">
        <v>12</v>
      </c>
      <c r="AC1512" t="s">
        <v>113</v>
      </c>
      <c r="AD1512" t="s">
        <v>125</v>
      </c>
      <c r="AE1512" t="s">
        <v>43</v>
      </c>
      <c r="AF1512" t="s">
        <v>47</v>
      </c>
      <c r="AG1512" t="str">
        <f t="shared" si="24"/>
        <v>Recorrente</v>
      </c>
      <c r="AH1512" t="str">
        <f>IF(AND(SUMIF(E:E,E1512,I:I)&gt;=400000,Q1512="B2G"),"n","")</f>
        <v/>
      </c>
    </row>
    <row r="1513" spans="1:34">
      <c r="A1513">
        <v>2026</v>
      </c>
      <c r="B1513">
        <v>2</v>
      </c>
      <c r="C1513" s="83">
        <v>20945264641</v>
      </c>
      <c r="D1513" t="s">
        <v>1472</v>
      </c>
      <c r="E1513">
        <v>54789338230</v>
      </c>
      <c r="F1513">
        <v>625885</v>
      </c>
      <c r="G1513">
        <v>51087489950</v>
      </c>
      <c r="H1513" t="s">
        <v>35</v>
      </c>
      <c r="I1513" s="36">
        <v>7209.42</v>
      </c>
      <c r="J1513" s="36">
        <v>7209.42</v>
      </c>
      <c r="K1513" s="85">
        <v>0</v>
      </c>
      <c r="L1513" s="36">
        <v>600.78499999999997</v>
      </c>
      <c r="M1513" s="36">
        <v>0</v>
      </c>
      <c r="N1513" s="36">
        <v>331.28750000000002</v>
      </c>
      <c r="O1513" s="36">
        <v>269.5</v>
      </c>
      <c r="P1513" t="s">
        <v>162</v>
      </c>
      <c r="Q1513" t="s">
        <v>111</v>
      </c>
      <c r="R1513" t="s">
        <v>111</v>
      </c>
      <c r="S1513" s="1">
        <v>46062</v>
      </c>
      <c r="T1513" s="1">
        <v>46054</v>
      </c>
      <c r="U1513" s="1">
        <v>46049</v>
      </c>
      <c r="V1513" s="1">
        <v>46427</v>
      </c>
      <c r="W1513" t="s">
        <v>38</v>
      </c>
      <c r="X1513">
        <v>13</v>
      </c>
      <c r="Y1513" t="s">
        <v>49</v>
      </c>
      <c r="Z1513" t="s">
        <v>76</v>
      </c>
      <c r="AA1513" t="s">
        <v>122</v>
      </c>
      <c r="AB1513">
        <v>12</v>
      </c>
      <c r="AC1513" t="s">
        <v>113</v>
      </c>
      <c r="AD1513" t="s">
        <v>125</v>
      </c>
      <c r="AE1513" t="s">
        <v>43</v>
      </c>
      <c r="AF1513" t="s">
        <v>47</v>
      </c>
      <c r="AG1513" t="str">
        <f t="shared" si="24"/>
        <v>Recorrente</v>
      </c>
      <c r="AH1513" t="str">
        <f>IF(AND(SUMIF(E:E,E1513,I:I)&gt;=400000,Q1513="B2G"),"n","")</f>
        <v/>
      </c>
    </row>
    <row r="1514" spans="1:34">
      <c r="A1514">
        <v>2026</v>
      </c>
      <c r="B1514">
        <v>2</v>
      </c>
      <c r="C1514" s="83">
        <v>20945264641</v>
      </c>
      <c r="D1514" t="s">
        <v>1472</v>
      </c>
      <c r="E1514">
        <v>55633744200</v>
      </c>
      <c r="F1514">
        <v>636229</v>
      </c>
      <c r="G1514">
        <v>52162705582</v>
      </c>
      <c r="H1514" t="s">
        <v>35</v>
      </c>
      <c r="I1514" s="36">
        <v>14808.6</v>
      </c>
      <c r="J1514" s="36">
        <v>14808.6</v>
      </c>
      <c r="K1514" s="85">
        <v>1.8189900000000001E-12</v>
      </c>
      <c r="L1514" s="36">
        <v>1234.05</v>
      </c>
      <c r="M1514" s="36">
        <v>0</v>
      </c>
      <c r="N1514" s="36">
        <v>1234.05</v>
      </c>
      <c r="O1514" s="36">
        <v>0</v>
      </c>
      <c r="P1514" t="s">
        <v>520</v>
      </c>
      <c r="Q1514" t="s">
        <v>191</v>
      </c>
      <c r="R1514" t="s">
        <v>191</v>
      </c>
      <c r="S1514" s="1">
        <v>46077</v>
      </c>
      <c r="T1514" s="1">
        <v>46077</v>
      </c>
      <c r="V1514" s="1">
        <v>46442</v>
      </c>
      <c r="W1514" t="s">
        <v>38</v>
      </c>
      <c r="X1514">
        <v>12</v>
      </c>
      <c r="Y1514" t="s">
        <v>49</v>
      </c>
      <c r="AA1514" t="s">
        <v>122</v>
      </c>
      <c r="AB1514">
        <v>12</v>
      </c>
      <c r="AC1514" t="s">
        <v>192</v>
      </c>
      <c r="AD1514" t="s">
        <v>125</v>
      </c>
      <c r="AE1514" t="s">
        <v>43</v>
      </c>
      <c r="AF1514" t="s">
        <v>47</v>
      </c>
      <c r="AG1514" t="str">
        <f t="shared" si="24"/>
        <v>Recorrente</v>
      </c>
      <c r="AH1514" t="str">
        <f>IF(AND(SUMIF(E:E,E1514,I:I)&gt;=400000,Q1514="B2G"),"n","")</f>
        <v/>
      </c>
    </row>
    <row r="1515" spans="1:34">
      <c r="A1515">
        <v>2026</v>
      </c>
      <c r="B1515">
        <v>2</v>
      </c>
      <c r="C1515" s="83">
        <v>2095503</v>
      </c>
      <c r="D1515" t="s">
        <v>1473</v>
      </c>
      <c r="E1515">
        <v>55451670705</v>
      </c>
      <c r="F1515">
        <v>635886</v>
      </c>
      <c r="G1515">
        <v>50756879993</v>
      </c>
      <c r="H1515" t="s">
        <v>35</v>
      </c>
      <c r="I1515" s="36">
        <v>5293.68</v>
      </c>
      <c r="J1515" s="36">
        <v>5293.68</v>
      </c>
      <c r="K1515" s="85">
        <v>0</v>
      </c>
      <c r="L1515" s="36">
        <v>441.14</v>
      </c>
      <c r="M1515" s="36">
        <v>441.14</v>
      </c>
      <c r="N1515" s="36">
        <v>0</v>
      </c>
      <c r="O1515" s="36">
        <v>0</v>
      </c>
      <c r="P1515" t="s">
        <v>829</v>
      </c>
      <c r="Q1515" t="s">
        <v>300</v>
      </c>
      <c r="R1515" t="s">
        <v>300</v>
      </c>
      <c r="S1515" s="1">
        <v>46056</v>
      </c>
      <c r="T1515" s="1">
        <v>46056</v>
      </c>
      <c r="V1515" s="1">
        <v>46421</v>
      </c>
      <c r="W1515" t="s">
        <v>38</v>
      </c>
      <c r="X1515">
        <v>12</v>
      </c>
      <c r="Y1515" t="s">
        <v>49</v>
      </c>
      <c r="AA1515" t="s">
        <v>112</v>
      </c>
      <c r="AB1515">
        <v>12</v>
      </c>
      <c r="AC1515" t="s">
        <v>301</v>
      </c>
      <c r="AD1515" t="s">
        <v>85</v>
      </c>
      <c r="AE1515" t="s">
        <v>46</v>
      </c>
      <c r="AF1515" t="s">
        <v>44</v>
      </c>
      <c r="AG1515" t="str">
        <f t="shared" si="24"/>
        <v>CC 12x</v>
      </c>
      <c r="AH1515" t="str">
        <f>IF(AND(SUMIF(E:E,E1515,I:I)&gt;=400000,Q1515="B2G"),"n","")</f>
        <v/>
      </c>
    </row>
    <row r="1516" spans="1:34">
      <c r="A1516">
        <v>2026</v>
      </c>
      <c r="B1516">
        <v>2</v>
      </c>
      <c r="C1516" s="83">
        <v>2095956</v>
      </c>
      <c r="D1516" t="s">
        <v>1474</v>
      </c>
      <c r="E1516">
        <v>53080095084</v>
      </c>
      <c r="F1516">
        <v>328347</v>
      </c>
      <c r="G1516">
        <v>50267656565</v>
      </c>
      <c r="H1516" t="s">
        <v>35</v>
      </c>
      <c r="I1516" s="36">
        <v>8886.24</v>
      </c>
      <c r="J1516" s="36">
        <v>8886.24</v>
      </c>
      <c r="K1516" s="85">
        <v>0</v>
      </c>
      <c r="L1516" s="36">
        <v>740.52</v>
      </c>
      <c r="M1516" s="36">
        <v>0</v>
      </c>
      <c r="N1516" s="36">
        <v>123.97499999999999</v>
      </c>
      <c r="O1516" s="36">
        <v>616.54999999999995</v>
      </c>
      <c r="P1516" t="s">
        <v>133</v>
      </c>
      <c r="Q1516" t="s">
        <v>111</v>
      </c>
      <c r="R1516" t="s">
        <v>111</v>
      </c>
      <c r="S1516" s="1">
        <v>46052</v>
      </c>
      <c r="T1516" s="1">
        <v>46054</v>
      </c>
      <c r="U1516" s="1">
        <v>46054</v>
      </c>
      <c r="V1516" s="1">
        <v>46419</v>
      </c>
      <c r="W1516" t="s">
        <v>38</v>
      </c>
      <c r="X1516">
        <v>12</v>
      </c>
      <c r="Y1516" t="s">
        <v>49</v>
      </c>
      <c r="Z1516" t="s">
        <v>81</v>
      </c>
      <c r="AA1516" t="s">
        <v>122</v>
      </c>
      <c r="AB1516">
        <v>12</v>
      </c>
      <c r="AC1516" t="s">
        <v>113</v>
      </c>
      <c r="AD1516" t="s">
        <v>134</v>
      </c>
      <c r="AE1516" t="s">
        <v>135</v>
      </c>
      <c r="AF1516" t="s">
        <v>44</v>
      </c>
      <c r="AG1516" t="str">
        <f t="shared" ref="AG1516:AG1579" si="25">IF(IFERROR(SEARCH("Recorrente",AA1516),0)&gt;0,"Recorrente",IF(AB1516=1,"À Vista",IF(AB1516&lt;=3,"CC 3x",IF(AB1516&lt;=12,"CC 12x",IF(AB1516&gt;12,"Recorrente","")))))</f>
        <v>Recorrente</v>
      </c>
      <c r="AH1516" t="str">
        <f>IF(AND(SUMIF(E:E,E1516,I:I)&gt;=400000,Q1516="B2G"),"n","")</f>
        <v/>
      </c>
    </row>
    <row r="1517" spans="1:34">
      <c r="A1517">
        <v>2026</v>
      </c>
      <c r="B1517">
        <v>2</v>
      </c>
      <c r="C1517" s="83">
        <v>2096444</v>
      </c>
      <c r="D1517" t="s">
        <v>1475</v>
      </c>
      <c r="E1517">
        <v>52252373329</v>
      </c>
      <c r="F1517">
        <v>626100</v>
      </c>
      <c r="G1517">
        <v>47445295382</v>
      </c>
      <c r="H1517" t="s">
        <v>35</v>
      </c>
      <c r="I1517" s="36">
        <v>5178.6000000000004</v>
      </c>
      <c r="J1517" s="36">
        <v>5178.6000000000004</v>
      </c>
      <c r="K1517" s="85">
        <v>0</v>
      </c>
      <c r="L1517" s="36">
        <v>431.55</v>
      </c>
      <c r="M1517" s="36">
        <v>0</v>
      </c>
      <c r="N1517" s="36">
        <v>72.349999999999994</v>
      </c>
      <c r="O1517" s="36">
        <v>359.2</v>
      </c>
      <c r="P1517" t="s">
        <v>165</v>
      </c>
      <c r="Q1517" t="s">
        <v>166</v>
      </c>
      <c r="R1517" t="s">
        <v>166</v>
      </c>
      <c r="S1517" s="1">
        <v>46056</v>
      </c>
      <c r="T1517" s="1">
        <v>46056</v>
      </c>
      <c r="U1517" s="1">
        <v>46056</v>
      </c>
      <c r="V1517" s="1">
        <v>46421</v>
      </c>
      <c r="W1517" t="s">
        <v>38</v>
      </c>
      <c r="X1517">
        <v>12</v>
      </c>
      <c r="Y1517" t="s">
        <v>49</v>
      </c>
      <c r="Z1517" t="s">
        <v>81</v>
      </c>
      <c r="AA1517" t="s">
        <v>122</v>
      </c>
      <c r="AB1517">
        <v>12</v>
      </c>
      <c r="AC1517" t="s">
        <v>166</v>
      </c>
      <c r="AD1517" t="s">
        <v>85</v>
      </c>
      <c r="AE1517" t="s">
        <v>46</v>
      </c>
      <c r="AF1517" t="s">
        <v>44</v>
      </c>
      <c r="AG1517" t="str">
        <f t="shared" si="25"/>
        <v>Recorrente</v>
      </c>
      <c r="AH1517" t="str">
        <f>IF(AND(SUMIF(E:E,E1517,I:I)&gt;=400000,Q1517="B2G"),"n","")</f>
        <v/>
      </c>
    </row>
    <row r="1518" spans="1:34">
      <c r="A1518">
        <v>2026</v>
      </c>
      <c r="B1518">
        <v>2</v>
      </c>
      <c r="C1518" s="83">
        <v>2097110</v>
      </c>
      <c r="D1518" t="s">
        <v>1476</v>
      </c>
      <c r="E1518">
        <v>56027293304</v>
      </c>
      <c r="F1518">
        <v>328536</v>
      </c>
      <c r="G1518">
        <v>51870285483</v>
      </c>
      <c r="H1518" t="s">
        <v>35</v>
      </c>
      <c r="I1518" s="36">
        <v>6547.8</v>
      </c>
      <c r="J1518" s="36">
        <v>6547.8</v>
      </c>
      <c r="K1518" s="85">
        <v>9.0949500000000005E-13</v>
      </c>
      <c r="L1518" s="36">
        <v>545.65</v>
      </c>
      <c r="M1518" s="36">
        <v>0</v>
      </c>
      <c r="N1518" s="36">
        <v>40.17</v>
      </c>
      <c r="O1518" s="36">
        <v>505.48</v>
      </c>
      <c r="P1518" t="s">
        <v>133</v>
      </c>
      <c r="Q1518" t="s">
        <v>111</v>
      </c>
      <c r="R1518" t="s">
        <v>111</v>
      </c>
      <c r="S1518" s="1">
        <v>46071</v>
      </c>
      <c r="T1518" s="1">
        <v>46071</v>
      </c>
      <c r="U1518" s="1">
        <v>46063</v>
      </c>
      <c r="V1518" s="1">
        <v>46436</v>
      </c>
      <c r="W1518" t="s">
        <v>38</v>
      </c>
      <c r="X1518">
        <v>12</v>
      </c>
      <c r="Y1518" t="s">
        <v>49</v>
      </c>
      <c r="Z1518" t="s">
        <v>81</v>
      </c>
      <c r="AA1518" t="s">
        <v>122</v>
      </c>
      <c r="AB1518">
        <v>12</v>
      </c>
      <c r="AC1518" t="s">
        <v>113</v>
      </c>
      <c r="AD1518" t="s">
        <v>134</v>
      </c>
      <c r="AE1518" t="s">
        <v>135</v>
      </c>
      <c r="AF1518" t="s">
        <v>44</v>
      </c>
      <c r="AG1518" t="str">
        <f t="shared" si="25"/>
        <v>Recorrente</v>
      </c>
      <c r="AH1518" t="str">
        <f>IF(AND(SUMIF(E:E,E1518,I:I)&gt;=400000,Q1518="B2G"),"n","")</f>
        <v/>
      </c>
    </row>
    <row r="1519" spans="1:34">
      <c r="A1519">
        <v>2026</v>
      </c>
      <c r="B1519">
        <v>2</v>
      </c>
      <c r="C1519" s="83">
        <v>20973927042</v>
      </c>
      <c r="D1519" t="s">
        <v>1477</v>
      </c>
      <c r="E1519">
        <v>53362733211</v>
      </c>
      <c r="F1519">
        <v>526524</v>
      </c>
      <c r="G1519">
        <v>50879733641</v>
      </c>
      <c r="H1519" t="s">
        <v>35</v>
      </c>
      <c r="I1519" s="36">
        <v>4344</v>
      </c>
      <c r="J1519" s="36">
        <v>4344</v>
      </c>
      <c r="K1519" s="85">
        <v>0</v>
      </c>
      <c r="L1519" s="36">
        <v>362</v>
      </c>
      <c r="M1519" s="36">
        <v>0</v>
      </c>
      <c r="N1519" s="36">
        <v>107.05249999999999</v>
      </c>
      <c r="O1519" s="36">
        <v>254.94749999999999</v>
      </c>
      <c r="P1519" t="s">
        <v>121</v>
      </c>
      <c r="Q1519" t="s">
        <v>111</v>
      </c>
      <c r="R1519" t="s">
        <v>111</v>
      </c>
      <c r="S1519" s="1">
        <v>46063</v>
      </c>
      <c r="T1519" s="1">
        <v>46063</v>
      </c>
      <c r="U1519" s="1">
        <v>46059</v>
      </c>
      <c r="V1519" s="1">
        <v>46424</v>
      </c>
      <c r="W1519" t="s">
        <v>38</v>
      </c>
      <c r="X1519">
        <v>12</v>
      </c>
      <c r="Y1519" t="s">
        <v>49</v>
      </c>
      <c r="Z1519" t="s">
        <v>76</v>
      </c>
      <c r="AA1519" t="s">
        <v>92</v>
      </c>
      <c r="AB1519">
        <v>12</v>
      </c>
      <c r="AC1519" t="s">
        <v>113</v>
      </c>
      <c r="AD1519" t="s">
        <v>174</v>
      </c>
      <c r="AE1519" t="s">
        <v>43</v>
      </c>
      <c r="AF1519" t="s">
        <v>47</v>
      </c>
      <c r="AG1519" t="str">
        <f t="shared" si="25"/>
        <v>Recorrente</v>
      </c>
      <c r="AH1519" t="str">
        <f>IF(AND(SUMIF(E:E,E1519,I:I)&gt;=400000,Q1519="B2G"),"n","")</f>
        <v/>
      </c>
    </row>
    <row r="1520" spans="1:34">
      <c r="A1520">
        <v>2026</v>
      </c>
      <c r="B1520">
        <v>2</v>
      </c>
      <c r="C1520" s="83">
        <v>20973927042</v>
      </c>
      <c r="D1520" t="s">
        <v>1477</v>
      </c>
      <c r="E1520">
        <v>53362733211</v>
      </c>
      <c r="F1520">
        <v>526524</v>
      </c>
      <c r="G1520">
        <v>50879733642</v>
      </c>
      <c r="H1520" t="s">
        <v>35</v>
      </c>
      <c r="I1520" s="36">
        <v>4344</v>
      </c>
      <c r="J1520" s="36">
        <v>4344</v>
      </c>
      <c r="K1520" s="85">
        <v>0</v>
      </c>
      <c r="L1520" s="36">
        <v>362</v>
      </c>
      <c r="M1520" s="36">
        <v>0</v>
      </c>
      <c r="N1520" s="36">
        <v>107.05249999999999</v>
      </c>
      <c r="O1520" s="36">
        <v>254.94749999999999</v>
      </c>
      <c r="P1520" t="s">
        <v>121</v>
      </c>
      <c r="Q1520" t="s">
        <v>111</v>
      </c>
      <c r="R1520" t="s">
        <v>111</v>
      </c>
      <c r="S1520" s="1">
        <v>46063</v>
      </c>
      <c r="T1520" s="1">
        <v>46063</v>
      </c>
      <c r="U1520" s="1">
        <v>46059</v>
      </c>
      <c r="V1520" s="1">
        <v>46424</v>
      </c>
      <c r="W1520" t="s">
        <v>38</v>
      </c>
      <c r="X1520">
        <v>12</v>
      </c>
      <c r="Y1520" t="s">
        <v>49</v>
      </c>
      <c r="Z1520" t="s">
        <v>76</v>
      </c>
      <c r="AA1520" t="s">
        <v>92</v>
      </c>
      <c r="AB1520">
        <v>12</v>
      </c>
      <c r="AC1520" t="s">
        <v>113</v>
      </c>
      <c r="AD1520" t="s">
        <v>114</v>
      </c>
      <c r="AE1520" t="s">
        <v>43</v>
      </c>
      <c r="AF1520" t="s">
        <v>44</v>
      </c>
      <c r="AG1520" t="str">
        <f t="shared" si="25"/>
        <v>Recorrente</v>
      </c>
      <c r="AH1520" t="str">
        <f>IF(AND(SUMIF(E:E,E1520,I:I)&gt;=400000,Q1520="B2G"),"n","")</f>
        <v/>
      </c>
    </row>
    <row r="1521" spans="1:34">
      <c r="A1521">
        <v>2026</v>
      </c>
      <c r="B1521">
        <v>2</v>
      </c>
      <c r="C1521" s="83">
        <v>20973927042</v>
      </c>
      <c r="D1521" t="s">
        <v>1477</v>
      </c>
      <c r="E1521">
        <v>53362733211</v>
      </c>
      <c r="F1521">
        <v>526524</v>
      </c>
      <c r="G1521">
        <v>50879733643</v>
      </c>
      <c r="H1521" t="s">
        <v>35</v>
      </c>
      <c r="I1521" s="36">
        <v>4344</v>
      </c>
      <c r="J1521" s="36">
        <v>4344</v>
      </c>
      <c r="K1521" s="85">
        <v>0</v>
      </c>
      <c r="L1521" s="36">
        <v>362</v>
      </c>
      <c r="M1521" s="36">
        <v>0</v>
      </c>
      <c r="N1521" s="36">
        <v>107.05249999999999</v>
      </c>
      <c r="O1521" s="36">
        <v>254.94749999999999</v>
      </c>
      <c r="P1521" t="s">
        <v>121</v>
      </c>
      <c r="Q1521" t="s">
        <v>111</v>
      </c>
      <c r="R1521" t="s">
        <v>111</v>
      </c>
      <c r="S1521" s="1">
        <v>46063</v>
      </c>
      <c r="T1521" s="1">
        <v>46063</v>
      </c>
      <c r="U1521" s="1">
        <v>46059</v>
      </c>
      <c r="V1521" s="1">
        <v>46424</v>
      </c>
      <c r="W1521" t="s">
        <v>38</v>
      </c>
      <c r="X1521">
        <v>12</v>
      </c>
      <c r="Y1521" t="s">
        <v>49</v>
      </c>
      <c r="Z1521" t="s">
        <v>76</v>
      </c>
      <c r="AA1521" t="s">
        <v>92</v>
      </c>
      <c r="AB1521">
        <v>12</v>
      </c>
      <c r="AC1521" t="s">
        <v>113</v>
      </c>
      <c r="AD1521" t="s">
        <v>160</v>
      </c>
      <c r="AE1521" t="s">
        <v>43</v>
      </c>
      <c r="AF1521" t="s">
        <v>44</v>
      </c>
      <c r="AG1521" t="str">
        <f t="shared" si="25"/>
        <v>Recorrente</v>
      </c>
      <c r="AH1521" t="str">
        <f>IF(AND(SUMIF(E:E,E1521,I:I)&gt;=400000,Q1521="B2G"),"n","")</f>
        <v/>
      </c>
    </row>
    <row r="1522" spans="1:34">
      <c r="A1522">
        <v>2026</v>
      </c>
      <c r="B1522">
        <v>2</v>
      </c>
      <c r="C1522" s="83">
        <v>20973927042</v>
      </c>
      <c r="D1522" t="s">
        <v>1477</v>
      </c>
      <c r="E1522">
        <v>53362733211</v>
      </c>
      <c r="F1522">
        <v>526524</v>
      </c>
      <c r="G1522">
        <v>50879733644</v>
      </c>
      <c r="H1522" t="s">
        <v>35</v>
      </c>
      <c r="I1522" s="36">
        <v>4344</v>
      </c>
      <c r="J1522" s="36">
        <v>4344</v>
      </c>
      <c r="K1522" s="85">
        <v>0</v>
      </c>
      <c r="L1522" s="36">
        <v>362</v>
      </c>
      <c r="M1522" s="36">
        <v>0</v>
      </c>
      <c r="N1522" s="36">
        <v>107.05249999999999</v>
      </c>
      <c r="O1522" s="36">
        <v>254.94749999999999</v>
      </c>
      <c r="P1522" t="s">
        <v>121</v>
      </c>
      <c r="Q1522" t="s">
        <v>111</v>
      </c>
      <c r="R1522" t="s">
        <v>111</v>
      </c>
      <c r="S1522" s="1">
        <v>46063</v>
      </c>
      <c r="T1522" s="1">
        <v>46063</v>
      </c>
      <c r="U1522" s="1">
        <v>46059</v>
      </c>
      <c r="V1522" s="1">
        <v>46424</v>
      </c>
      <c r="W1522" t="s">
        <v>38</v>
      </c>
      <c r="X1522">
        <v>12</v>
      </c>
      <c r="Y1522" t="s">
        <v>49</v>
      </c>
      <c r="Z1522" t="s">
        <v>76</v>
      </c>
      <c r="AA1522" t="s">
        <v>92</v>
      </c>
      <c r="AB1522">
        <v>12</v>
      </c>
      <c r="AC1522" t="s">
        <v>113</v>
      </c>
      <c r="AD1522" t="s">
        <v>140</v>
      </c>
      <c r="AE1522" t="s">
        <v>46</v>
      </c>
      <c r="AF1522" t="s">
        <v>119</v>
      </c>
      <c r="AG1522" t="str">
        <f t="shared" si="25"/>
        <v>Recorrente</v>
      </c>
      <c r="AH1522" t="str">
        <f>IF(AND(SUMIF(E:E,E1522,I:I)&gt;=400000,Q1522="B2G"),"n","")</f>
        <v/>
      </c>
    </row>
    <row r="1523" spans="1:34">
      <c r="A1523">
        <v>2026</v>
      </c>
      <c r="B1523">
        <v>2</v>
      </c>
      <c r="C1523" s="83">
        <v>2097844</v>
      </c>
      <c r="D1523" t="s">
        <v>1478</v>
      </c>
      <c r="E1523">
        <v>54149953141</v>
      </c>
      <c r="F1523">
        <v>505339</v>
      </c>
      <c r="G1523">
        <v>49705068069</v>
      </c>
      <c r="H1523" t="s">
        <v>35</v>
      </c>
      <c r="I1523" s="36">
        <v>4074</v>
      </c>
      <c r="J1523" s="36">
        <v>4074</v>
      </c>
      <c r="K1523" s="85">
        <v>0</v>
      </c>
      <c r="L1523" s="36">
        <v>339.5</v>
      </c>
      <c r="M1523" s="36">
        <v>0</v>
      </c>
      <c r="N1523" s="36">
        <v>28.751349999999999</v>
      </c>
      <c r="O1523" s="36">
        <v>310.75</v>
      </c>
      <c r="P1523" t="s">
        <v>137</v>
      </c>
      <c r="Q1523" t="s">
        <v>111</v>
      </c>
      <c r="R1523" t="s">
        <v>111</v>
      </c>
      <c r="S1523" s="1">
        <v>46044</v>
      </c>
      <c r="T1523" s="1">
        <v>46054</v>
      </c>
      <c r="U1523" s="1">
        <v>46053</v>
      </c>
      <c r="V1523" s="1">
        <v>46418</v>
      </c>
      <c r="W1523" t="s">
        <v>38</v>
      </c>
      <c r="X1523">
        <v>12</v>
      </c>
      <c r="Y1523" t="s">
        <v>49</v>
      </c>
      <c r="Z1523" t="s">
        <v>81</v>
      </c>
      <c r="AA1523" t="s">
        <v>122</v>
      </c>
      <c r="AB1523">
        <v>12</v>
      </c>
      <c r="AC1523" t="s">
        <v>113</v>
      </c>
      <c r="AD1523" t="s">
        <v>84</v>
      </c>
      <c r="AE1523" t="s">
        <v>43</v>
      </c>
      <c r="AF1523" t="s">
        <v>44</v>
      </c>
      <c r="AG1523" t="str">
        <f t="shared" si="25"/>
        <v>Recorrente</v>
      </c>
      <c r="AH1523" t="str">
        <f>IF(AND(SUMIF(E:E,E1523,I:I)&gt;=400000,Q1523="B2G"),"n","")</f>
        <v/>
      </c>
    </row>
    <row r="1524" spans="1:34">
      <c r="A1524">
        <v>2026</v>
      </c>
      <c r="B1524">
        <v>2</v>
      </c>
      <c r="C1524" s="83">
        <v>2098499</v>
      </c>
      <c r="D1524" t="s">
        <v>1479</v>
      </c>
      <c r="E1524">
        <v>53053863979</v>
      </c>
      <c r="F1524">
        <v>306877</v>
      </c>
      <c r="G1524">
        <v>47987970933</v>
      </c>
      <c r="H1524" t="s">
        <v>35</v>
      </c>
      <c r="I1524" s="36">
        <v>2874</v>
      </c>
      <c r="J1524" s="36">
        <v>2874</v>
      </c>
      <c r="K1524" s="85">
        <v>0</v>
      </c>
      <c r="L1524" s="36">
        <v>239.5</v>
      </c>
      <c r="M1524" s="36">
        <v>0</v>
      </c>
      <c r="N1524" s="36">
        <v>0.5</v>
      </c>
      <c r="O1524" s="36">
        <v>239</v>
      </c>
      <c r="P1524" t="s">
        <v>165</v>
      </c>
      <c r="Q1524" t="s">
        <v>166</v>
      </c>
      <c r="R1524" t="s">
        <v>166</v>
      </c>
      <c r="S1524" s="1">
        <v>46069</v>
      </c>
      <c r="T1524" s="1">
        <v>46069</v>
      </c>
      <c r="U1524" s="1">
        <v>46069</v>
      </c>
      <c r="V1524" s="1">
        <v>46434</v>
      </c>
      <c r="W1524" t="s">
        <v>38</v>
      </c>
      <c r="X1524">
        <v>12</v>
      </c>
      <c r="Y1524" t="s">
        <v>49</v>
      </c>
      <c r="Z1524" t="s">
        <v>81</v>
      </c>
      <c r="AA1524" t="s">
        <v>112</v>
      </c>
      <c r="AB1524">
        <v>12</v>
      </c>
      <c r="AC1524" t="s">
        <v>166</v>
      </c>
      <c r="AD1524" t="s">
        <v>140</v>
      </c>
      <c r="AE1524" t="s">
        <v>46</v>
      </c>
      <c r="AF1524" t="s">
        <v>119</v>
      </c>
      <c r="AG1524" t="str">
        <f t="shared" si="25"/>
        <v>CC 12x</v>
      </c>
      <c r="AH1524" t="str">
        <f>IF(AND(SUMIF(E:E,E1524,I:I)&gt;=400000,Q1524="B2G"),"n","")</f>
        <v/>
      </c>
    </row>
    <row r="1525" spans="1:34">
      <c r="A1525">
        <v>2026</v>
      </c>
      <c r="B1525">
        <v>2</v>
      </c>
      <c r="C1525" s="83">
        <v>2099059</v>
      </c>
      <c r="D1525" t="s">
        <v>1480</v>
      </c>
      <c r="E1525">
        <v>53763231307</v>
      </c>
      <c r="F1525">
        <v>304501</v>
      </c>
      <c r="G1525">
        <v>48937445506</v>
      </c>
      <c r="H1525" t="s">
        <v>35</v>
      </c>
      <c r="I1525" s="36">
        <v>4315.4399999999996</v>
      </c>
      <c r="J1525" s="36">
        <v>4315.4399999999996</v>
      </c>
      <c r="K1525" s="85">
        <v>0</v>
      </c>
      <c r="L1525" s="36">
        <v>359.62</v>
      </c>
      <c r="M1525" s="36">
        <v>0</v>
      </c>
      <c r="N1525" s="36">
        <v>74.234999999999999</v>
      </c>
      <c r="O1525" s="36">
        <v>285.39</v>
      </c>
      <c r="P1525" t="s">
        <v>165</v>
      </c>
      <c r="Q1525" t="s">
        <v>166</v>
      </c>
      <c r="R1525" t="s">
        <v>166</v>
      </c>
      <c r="S1525" s="1">
        <v>46077</v>
      </c>
      <c r="T1525" s="1">
        <v>46077</v>
      </c>
      <c r="U1525" s="1">
        <v>46081</v>
      </c>
      <c r="V1525" s="1">
        <v>46446</v>
      </c>
      <c r="W1525" t="s">
        <v>38</v>
      </c>
      <c r="X1525">
        <v>12</v>
      </c>
      <c r="Y1525" t="s">
        <v>49</v>
      </c>
      <c r="Z1525" t="s">
        <v>81</v>
      </c>
      <c r="AA1525" t="s">
        <v>122</v>
      </c>
      <c r="AB1525">
        <v>12</v>
      </c>
      <c r="AC1525" t="s">
        <v>166</v>
      </c>
      <c r="AD1525" t="s">
        <v>85</v>
      </c>
      <c r="AE1525" t="s">
        <v>46</v>
      </c>
      <c r="AF1525" t="s">
        <v>44</v>
      </c>
      <c r="AG1525" t="str">
        <f t="shared" si="25"/>
        <v>Recorrente</v>
      </c>
      <c r="AH1525" t="str">
        <f>IF(AND(SUMIF(E:E,E1525,I:I)&gt;=400000,Q1525="B2G"),"n","")</f>
        <v/>
      </c>
    </row>
    <row r="1526" spans="1:34">
      <c r="A1526">
        <v>2026</v>
      </c>
      <c r="B1526">
        <v>2</v>
      </c>
      <c r="C1526" s="83">
        <v>2099692</v>
      </c>
      <c r="D1526" t="s">
        <v>1481</v>
      </c>
      <c r="E1526">
        <v>53465327625</v>
      </c>
      <c r="F1526">
        <v>303931</v>
      </c>
      <c r="G1526">
        <v>49608286496</v>
      </c>
      <c r="H1526" t="s">
        <v>35</v>
      </c>
      <c r="I1526" s="36">
        <v>2868</v>
      </c>
      <c r="J1526" s="36">
        <v>2868</v>
      </c>
      <c r="K1526" s="85">
        <v>0</v>
      </c>
      <c r="L1526" s="36">
        <v>239</v>
      </c>
      <c r="M1526" s="36">
        <v>0</v>
      </c>
      <c r="N1526" s="36">
        <v>0</v>
      </c>
      <c r="O1526" s="36">
        <v>239</v>
      </c>
      <c r="P1526" t="s">
        <v>137</v>
      </c>
      <c r="Q1526" t="s">
        <v>111</v>
      </c>
      <c r="R1526" t="s">
        <v>111</v>
      </c>
      <c r="S1526" s="1">
        <v>46046</v>
      </c>
      <c r="T1526" s="1">
        <v>46054</v>
      </c>
      <c r="U1526" s="1">
        <v>46046</v>
      </c>
      <c r="V1526" s="1">
        <v>46411</v>
      </c>
      <c r="W1526" t="s">
        <v>38</v>
      </c>
      <c r="X1526">
        <v>12</v>
      </c>
      <c r="Y1526" t="s">
        <v>49</v>
      </c>
      <c r="Z1526" t="s">
        <v>76</v>
      </c>
      <c r="AA1526" t="s">
        <v>122</v>
      </c>
      <c r="AB1526">
        <v>12</v>
      </c>
      <c r="AC1526" t="s">
        <v>113</v>
      </c>
      <c r="AD1526" t="s">
        <v>140</v>
      </c>
      <c r="AE1526" t="s">
        <v>46</v>
      </c>
      <c r="AF1526" t="s">
        <v>119</v>
      </c>
      <c r="AG1526" t="str">
        <f t="shared" si="25"/>
        <v>Recorrente</v>
      </c>
      <c r="AH1526" t="str">
        <f>IF(AND(SUMIF(E:E,E1526,I:I)&gt;=400000,Q1526="B2G"),"n","")</f>
        <v/>
      </c>
    </row>
    <row r="1527" spans="1:34">
      <c r="A1527">
        <v>2026</v>
      </c>
      <c r="B1527">
        <v>2</v>
      </c>
      <c r="C1527" s="83">
        <v>2099692</v>
      </c>
      <c r="D1527" t="s">
        <v>1481</v>
      </c>
      <c r="E1527">
        <v>55932631336</v>
      </c>
      <c r="F1527">
        <v>303931</v>
      </c>
      <c r="G1527">
        <v>51226462769</v>
      </c>
      <c r="H1527" t="s">
        <v>35</v>
      </c>
      <c r="I1527" s="36">
        <v>2608.56</v>
      </c>
      <c r="J1527" s="36">
        <v>2738.04</v>
      </c>
      <c r="K1527" s="85">
        <v>0</v>
      </c>
      <c r="L1527" s="36">
        <v>228.17</v>
      </c>
      <c r="M1527" s="36">
        <v>0</v>
      </c>
      <c r="N1527" s="36">
        <v>228.17</v>
      </c>
      <c r="O1527" s="36">
        <v>0</v>
      </c>
      <c r="P1527" t="s">
        <v>469</v>
      </c>
      <c r="Q1527" t="s">
        <v>191</v>
      </c>
      <c r="R1527" t="s">
        <v>191</v>
      </c>
      <c r="S1527" s="1">
        <v>46063</v>
      </c>
      <c r="T1527" s="1">
        <v>46063</v>
      </c>
      <c r="U1527" s="1">
        <v>46411</v>
      </c>
      <c r="V1527" s="1">
        <v>46411</v>
      </c>
      <c r="W1527" t="s">
        <v>38</v>
      </c>
      <c r="X1527">
        <v>11</v>
      </c>
      <c r="Y1527" t="s">
        <v>49</v>
      </c>
      <c r="Z1527" t="s">
        <v>324</v>
      </c>
      <c r="AA1527" t="s">
        <v>122</v>
      </c>
      <c r="AB1527">
        <v>11</v>
      </c>
      <c r="AC1527" t="s">
        <v>192</v>
      </c>
      <c r="AD1527" t="s">
        <v>85</v>
      </c>
      <c r="AE1527" t="s">
        <v>46</v>
      </c>
      <c r="AF1527" t="s">
        <v>44</v>
      </c>
      <c r="AG1527" t="str">
        <f t="shared" si="25"/>
        <v>Recorrente</v>
      </c>
      <c r="AH1527" t="str">
        <f>IF(AND(SUMIF(E:E,E1527,I:I)&gt;=400000,Q1527="B2G"),"n","")</f>
        <v/>
      </c>
    </row>
    <row r="1528" spans="1:34">
      <c r="A1528">
        <v>2026</v>
      </c>
      <c r="B1528">
        <v>2</v>
      </c>
      <c r="C1528" s="83">
        <v>2099908</v>
      </c>
      <c r="D1528" t="s">
        <v>1482</v>
      </c>
      <c r="E1528">
        <v>56482797119</v>
      </c>
      <c r="F1528">
        <v>636114</v>
      </c>
      <c r="G1528">
        <v>51870237780</v>
      </c>
      <c r="H1528" t="s">
        <v>35</v>
      </c>
      <c r="I1528" s="36">
        <v>4603.2</v>
      </c>
      <c r="J1528" s="36">
        <v>4603.2</v>
      </c>
      <c r="K1528" s="85">
        <v>0</v>
      </c>
      <c r="L1528" s="36">
        <v>383.6</v>
      </c>
      <c r="M1528" s="36">
        <v>383.6</v>
      </c>
      <c r="N1528" s="36">
        <v>0</v>
      </c>
      <c r="O1528" s="36">
        <v>0</v>
      </c>
      <c r="P1528" t="s">
        <v>829</v>
      </c>
      <c r="Q1528" t="s">
        <v>300</v>
      </c>
      <c r="R1528" t="s">
        <v>300</v>
      </c>
      <c r="S1528" s="1">
        <v>46070</v>
      </c>
      <c r="T1528" s="1">
        <v>46070</v>
      </c>
      <c r="V1528" s="1">
        <v>46435</v>
      </c>
      <c r="W1528" t="s">
        <v>38</v>
      </c>
      <c r="X1528">
        <v>12</v>
      </c>
      <c r="Y1528" t="s">
        <v>49</v>
      </c>
      <c r="AA1528" t="s">
        <v>122</v>
      </c>
      <c r="AB1528">
        <v>12</v>
      </c>
      <c r="AC1528" t="s">
        <v>301</v>
      </c>
      <c r="AD1528" t="s">
        <v>85</v>
      </c>
      <c r="AE1528" t="s">
        <v>46</v>
      </c>
      <c r="AF1528" t="s">
        <v>44</v>
      </c>
      <c r="AG1528" t="str">
        <f t="shared" si="25"/>
        <v>Recorrente</v>
      </c>
      <c r="AH1528" t="str">
        <f>IF(AND(SUMIF(E:E,E1528,I:I)&gt;=400000,Q1528="B2G"),"n","")</f>
        <v/>
      </c>
    </row>
    <row r="1529" spans="1:34">
      <c r="A1529">
        <v>2026</v>
      </c>
      <c r="B1529">
        <v>2</v>
      </c>
      <c r="C1529" s="83">
        <v>2099918</v>
      </c>
      <c r="D1529" t="s">
        <v>1483</v>
      </c>
      <c r="E1529">
        <v>55507968016</v>
      </c>
      <c r="F1529">
        <v>635978</v>
      </c>
      <c r="G1529">
        <v>50975130676</v>
      </c>
      <c r="H1529" t="s">
        <v>35</v>
      </c>
      <c r="I1529" s="36">
        <v>5293.44</v>
      </c>
      <c r="J1529" s="36">
        <v>5293.44</v>
      </c>
      <c r="K1529" s="85">
        <v>0</v>
      </c>
      <c r="L1529" s="36">
        <v>441.12</v>
      </c>
      <c r="M1529" s="36">
        <v>441.12</v>
      </c>
      <c r="N1529" s="36">
        <v>0</v>
      </c>
      <c r="O1529" s="36">
        <v>0</v>
      </c>
      <c r="P1529" t="s">
        <v>829</v>
      </c>
      <c r="Q1529" t="s">
        <v>300</v>
      </c>
      <c r="R1529" t="s">
        <v>300</v>
      </c>
      <c r="S1529" s="1">
        <v>46059</v>
      </c>
      <c r="T1529" s="1">
        <v>46059</v>
      </c>
      <c r="V1529" s="1">
        <v>46424</v>
      </c>
      <c r="W1529" t="s">
        <v>38</v>
      </c>
      <c r="X1529">
        <v>12</v>
      </c>
      <c r="Y1529" t="s">
        <v>49</v>
      </c>
      <c r="AA1529" t="s">
        <v>112</v>
      </c>
      <c r="AB1529">
        <v>12</v>
      </c>
      <c r="AC1529" t="s">
        <v>301</v>
      </c>
      <c r="AD1529" t="s">
        <v>138</v>
      </c>
      <c r="AE1529" t="s">
        <v>135</v>
      </c>
      <c r="AF1529" t="s">
        <v>119</v>
      </c>
      <c r="AG1529" t="str">
        <f t="shared" si="25"/>
        <v>CC 12x</v>
      </c>
      <c r="AH1529" t="str">
        <f>IF(AND(SUMIF(E:E,E1529,I:I)&gt;=400000,Q1529="B2G"),"n","")</f>
        <v/>
      </c>
    </row>
    <row r="1530" spans="1:34">
      <c r="A1530">
        <v>2026</v>
      </c>
      <c r="B1530">
        <v>2</v>
      </c>
      <c r="C1530" s="83">
        <v>2099939</v>
      </c>
      <c r="D1530" t="s">
        <v>1484</v>
      </c>
      <c r="E1530">
        <v>55507886995</v>
      </c>
      <c r="F1530">
        <v>635959</v>
      </c>
      <c r="G1530">
        <v>50925817209</v>
      </c>
      <c r="H1530" t="s">
        <v>35</v>
      </c>
      <c r="I1530" s="36">
        <v>2586.6</v>
      </c>
      <c r="J1530" s="36">
        <v>2586.6</v>
      </c>
      <c r="K1530" s="85">
        <v>0</v>
      </c>
      <c r="L1530" s="36">
        <v>215.55</v>
      </c>
      <c r="M1530" s="36">
        <v>215.55</v>
      </c>
      <c r="N1530" s="36">
        <v>0</v>
      </c>
      <c r="O1530" s="36">
        <v>0</v>
      </c>
      <c r="P1530" t="s">
        <v>323</v>
      </c>
      <c r="Q1530" t="s">
        <v>314</v>
      </c>
      <c r="R1530" t="s">
        <v>314</v>
      </c>
      <c r="S1530" s="1">
        <v>46058</v>
      </c>
      <c r="T1530" s="1">
        <v>46058</v>
      </c>
      <c r="V1530" s="1">
        <v>46424</v>
      </c>
      <c r="W1530" t="s">
        <v>38</v>
      </c>
      <c r="X1530">
        <v>12</v>
      </c>
      <c r="Y1530" t="s">
        <v>49</v>
      </c>
      <c r="AA1530" t="s">
        <v>122</v>
      </c>
      <c r="AB1530">
        <v>12</v>
      </c>
      <c r="AC1530" t="s">
        <v>315</v>
      </c>
      <c r="AD1530" t="s">
        <v>118</v>
      </c>
      <c r="AE1530" t="s">
        <v>43</v>
      </c>
      <c r="AF1530" t="s">
        <v>119</v>
      </c>
      <c r="AG1530" t="str">
        <f t="shared" si="25"/>
        <v>Recorrente</v>
      </c>
      <c r="AH1530" t="str">
        <f>IF(AND(SUMIF(E:E,E1530,I:I)&gt;=400000,Q1530="B2G"),"n","")</f>
        <v/>
      </c>
    </row>
    <row r="1531" spans="1:34">
      <c r="A1531">
        <v>2026</v>
      </c>
      <c r="B1531">
        <v>2</v>
      </c>
      <c r="C1531" s="83">
        <v>2100114</v>
      </c>
      <c r="D1531" t="s">
        <v>1485</v>
      </c>
      <c r="E1531">
        <v>53788557171</v>
      </c>
      <c r="F1531">
        <v>506389</v>
      </c>
      <c r="G1531">
        <v>48866649742</v>
      </c>
      <c r="H1531" t="s">
        <v>35</v>
      </c>
      <c r="I1531" s="36">
        <v>5754</v>
      </c>
      <c r="J1531" s="36">
        <v>5754</v>
      </c>
      <c r="K1531" s="85">
        <v>0</v>
      </c>
      <c r="L1531" s="36">
        <v>479.5</v>
      </c>
      <c r="M1531" s="36">
        <v>0</v>
      </c>
      <c r="N1531" s="36">
        <v>26.5</v>
      </c>
      <c r="O1531" s="36">
        <v>453</v>
      </c>
      <c r="P1531" t="s">
        <v>165</v>
      </c>
      <c r="Q1531" t="s">
        <v>166</v>
      </c>
      <c r="R1531" t="s">
        <v>166</v>
      </c>
      <c r="S1531" s="1">
        <v>46077</v>
      </c>
      <c r="T1531" s="1">
        <v>46077</v>
      </c>
      <c r="U1531" s="1">
        <v>46081</v>
      </c>
      <c r="V1531" s="1">
        <v>46446</v>
      </c>
      <c r="W1531" t="s">
        <v>38</v>
      </c>
      <c r="X1531">
        <v>12</v>
      </c>
      <c r="Y1531" t="s">
        <v>49</v>
      </c>
      <c r="Z1531" t="s">
        <v>81</v>
      </c>
      <c r="AA1531" t="s">
        <v>112</v>
      </c>
      <c r="AB1531">
        <v>12</v>
      </c>
      <c r="AC1531" t="s">
        <v>166</v>
      </c>
      <c r="AD1531" t="s">
        <v>85</v>
      </c>
      <c r="AE1531" t="s">
        <v>46</v>
      </c>
      <c r="AF1531" t="s">
        <v>44</v>
      </c>
      <c r="AG1531" t="str">
        <f t="shared" si="25"/>
        <v>CC 12x</v>
      </c>
      <c r="AH1531" t="str">
        <f>IF(AND(SUMIF(E:E,E1531,I:I)&gt;=400000,Q1531="B2G"),"n","")</f>
        <v/>
      </c>
    </row>
    <row r="1532" spans="1:34">
      <c r="A1532">
        <v>2026</v>
      </c>
      <c r="B1532">
        <v>2</v>
      </c>
      <c r="C1532" s="83">
        <v>2100201</v>
      </c>
      <c r="D1532" t="s">
        <v>1486</v>
      </c>
      <c r="E1532">
        <v>54272987936</v>
      </c>
      <c r="F1532">
        <v>636268</v>
      </c>
      <c r="G1532">
        <v>52292130717</v>
      </c>
      <c r="H1532" t="s">
        <v>35</v>
      </c>
      <c r="I1532" s="36">
        <v>2442.84</v>
      </c>
      <c r="J1532" s="36">
        <v>2442.9</v>
      </c>
      <c r="K1532" s="85">
        <v>0</v>
      </c>
      <c r="L1532" s="36">
        <v>203.57499999999999</v>
      </c>
      <c r="M1532" s="36">
        <v>0</v>
      </c>
      <c r="N1532" s="36">
        <v>20.745000000000001</v>
      </c>
      <c r="O1532" s="36">
        <v>182.83</v>
      </c>
      <c r="P1532" t="s">
        <v>323</v>
      </c>
      <c r="Q1532" t="s">
        <v>191</v>
      </c>
      <c r="R1532" t="s">
        <v>191</v>
      </c>
      <c r="S1532" s="1">
        <v>46079</v>
      </c>
      <c r="T1532" s="1">
        <v>46079</v>
      </c>
      <c r="U1532" s="1">
        <v>46081</v>
      </c>
      <c r="V1532" s="1">
        <v>46443</v>
      </c>
      <c r="W1532" t="s">
        <v>38</v>
      </c>
      <c r="X1532">
        <v>12</v>
      </c>
      <c r="Y1532" t="s">
        <v>49</v>
      </c>
      <c r="AA1532" t="s">
        <v>112</v>
      </c>
      <c r="AB1532">
        <v>12</v>
      </c>
      <c r="AC1532" t="s">
        <v>192</v>
      </c>
      <c r="AD1532" t="s">
        <v>140</v>
      </c>
      <c r="AE1532" t="s">
        <v>46</v>
      </c>
      <c r="AF1532" t="s">
        <v>119</v>
      </c>
      <c r="AG1532" t="str">
        <f t="shared" si="25"/>
        <v>CC 12x</v>
      </c>
      <c r="AH1532" t="str">
        <f>IF(AND(SUMIF(E:E,E1532,I:I)&gt;=400000,Q1532="B2G"),"n","")</f>
        <v/>
      </c>
    </row>
    <row r="1533" spans="1:34">
      <c r="A1533">
        <v>2026</v>
      </c>
      <c r="B1533">
        <v>2</v>
      </c>
      <c r="C1533" s="83">
        <v>2100433</v>
      </c>
      <c r="D1533" t="s">
        <v>1487</v>
      </c>
      <c r="E1533">
        <v>51660434725</v>
      </c>
      <c r="F1533">
        <v>606846</v>
      </c>
      <c r="G1533">
        <v>47225200143</v>
      </c>
      <c r="H1533" t="s">
        <v>35</v>
      </c>
      <c r="I1533" s="36">
        <v>3523.8</v>
      </c>
      <c r="J1533" s="36">
        <v>3523.8</v>
      </c>
      <c r="K1533" s="85">
        <v>0</v>
      </c>
      <c r="L1533" s="36">
        <v>293.64999999999998</v>
      </c>
      <c r="M1533" s="36">
        <v>0</v>
      </c>
      <c r="N1533" s="36">
        <v>73.284999999999997</v>
      </c>
      <c r="O1533" s="36">
        <v>220.36500000000001</v>
      </c>
      <c r="P1533" t="s">
        <v>121</v>
      </c>
      <c r="Q1533" t="s">
        <v>111</v>
      </c>
      <c r="R1533" t="s">
        <v>111</v>
      </c>
      <c r="S1533" s="1">
        <v>46007</v>
      </c>
      <c r="T1533" s="1">
        <v>46054</v>
      </c>
      <c r="U1533" s="1">
        <v>46025</v>
      </c>
      <c r="V1533" s="1">
        <v>46390</v>
      </c>
      <c r="W1533" t="s">
        <v>38</v>
      </c>
      <c r="X1533">
        <v>12</v>
      </c>
      <c r="Y1533" t="s">
        <v>49</v>
      </c>
      <c r="Z1533" t="s">
        <v>81</v>
      </c>
      <c r="AA1533" t="s">
        <v>122</v>
      </c>
      <c r="AB1533">
        <v>12</v>
      </c>
      <c r="AC1533" t="s">
        <v>113</v>
      </c>
      <c r="AD1533" t="s">
        <v>84</v>
      </c>
      <c r="AE1533" t="s">
        <v>43</v>
      </c>
      <c r="AF1533" t="s">
        <v>44</v>
      </c>
      <c r="AG1533" t="str">
        <f t="shared" si="25"/>
        <v>Recorrente</v>
      </c>
      <c r="AH1533" t="str">
        <f>IF(AND(SUMIF(E:E,E1533,I:I)&gt;=400000,Q1533="B2G"),"n","")</f>
        <v/>
      </c>
    </row>
    <row r="1534" spans="1:34">
      <c r="A1534">
        <v>2026</v>
      </c>
      <c r="B1534">
        <v>2</v>
      </c>
      <c r="C1534" s="83">
        <v>2100433</v>
      </c>
      <c r="D1534" t="s">
        <v>1487</v>
      </c>
      <c r="E1534">
        <v>51660434725</v>
      </c>
      <c r="F1534">
        <v>606846</v>
      </c>
      <c r="G1534">
        <v>47225200144</v>
      </c>
      <c r="H1534" t="s">
        <v>35</v>
      </c>
      <c r="I1534" s="36">
        <v>3523.8</v>
      </c>
      <c r="J1534" s="36">
        <v>3523.8</v>
      </c>
      <c r="K1534" s="85">
        <v>0</v>
      </c>
      <c r="L1534" s="36">
        <v>293.64999999999998</v>
      </c>
      <c r="M1534" s="36">
        <v>0</v>
      </c>
      <c r="N1534" s="36">
        <v>73.284999999999997</v>
      </c>
      <c r="O1534" s="36">
        <v>220.36500000000001</v>
      </c>
      <c r="P1534" t="s">
        <v>121</v>
      </c>
      <c r="Q1534" t="s">
        <v>111</v>
      </c>
      <c r="R1534" t="s">
        <v>111</v>
      </c>
      <c r="S1534" s="1">
        <v>46007</v>
      </c>
      <c r="T1534" s="1">
        <v>46054</v>
      </c>
      <c r="U1534" s="1">
        <v>46025</v>
      </c>
      <c r="V1534" s="1">
        <v>46390</v>
      </c>
      <c r="W1534" t="s">
        <v>38</v>
      </c>
      <c r="X1534">
        <v>12</v>
      </c>
      <c r="Y1534" t="s">
        <v>49</v>
      </c>
      <c r="Z1534" t="s">
        <v>81</v>
      </c>
      <c r="AA1534" t="s">
        <v>122</v>
      </c>
      <c r="AB1534">
        <v>12</v>
      </c>
      <c r="AC1534" t="s">
        <v>113</v>
      </c>
      <c r="AD1534" t="s">
        <v>84</v>
      </c>
      <c r="AE1534" t="s">
        <v>43</v>
      </c>
      <c r="AF1534" t="s">
        <v>44</v>
      </c>
      <c r="AG1534" t="str">
        <f t="shared" si="25"/>
        <v>Recorrente</v>
      </c>
      <c r="AH1534" t="str">
        <f>IF(AND(SUMIF(E:E,E1534,I:I)&gt;=400000,Q1534="B2G"),"n","")</f>
        <v/>
      </c>
    </row>
    <row r="1535" spans="1:34">
      <c r="A1535">
        <v>2026</v>
      </c>
      <c r="B1535">
        <v>2</v>
      </c>
      <c r="C1535" s="83">
        <v>2101580</v>
      </c>
      <c r="D1535" t="s">
        <v>1488</v>
      </c>
      <c r="E1535">
        <v>54209639783</v>
      </c>
      <c r="F1535">
        <v>625725</v>
      </c>
      <c r="G1535">
        <v>49631853057</v>
      </c>
      <c r="H1535" t="s">
        <v>35</v>
      </c>
      <c r="I1535" s="36">
        <v>2634.6</v>
      </c>
      <c r="J1535" s="36">
        <v>2634.6</v>
      </c>
      <c r="K1535" s="85">
        <v>0</v>
      </c>
      <c r="L1535" s="36">
        <v>219.55</v>
      </c>
      <c r="M1535" s="36">
        <v>0</v>
      </c>
      <c r="N1535" s="36">
        <v>0.46965000000000001</v>
      </c>
      <c r="O1535" s="36">
        <v>219.08</v>
      </c>
      <c r="P1535" t="s">
        <v>162</v>
      </c>
      <c r="Q1535" t="s">
        <v>111</v>
      </c>
      <c r="R1535" t="s">
        <v>111</v>
      </c>
      <c r="S1535" s="1">
        <v>46042</v>
      </c>
      <c r="T1535" s="1">
        <v>46054</v>
      </c>
      <c r="U1535" s="1">
        <v>46043</v>
      </c>
      <c r="V1535" s="1">
        <v>46408</v>
      </c>
      <c r="W1535" t="s">
        <v>38</v>
      </c>
      <c r="X1535">
        <v>12</v>
      </c>
      <c r="Y1535" t="s">
        <v>49</v>
      </c>
      <c r="Z1535" t="s">
        <v>81</v>
      </c>
      <c r="AA1535" t="s">
        <v>122</v>
      </c>
      <c r="AB1535">
        <v>12</v>
      </c>
      <c r="AC1535" t="s">
        <v>113</v>
      </c>
      <c r="AD1535" t="s">
        <v>140</v>
      </c>
      <c r="AE1535" t="s">
        <v>46</v>
      </c>
      <c r="AF1535" t="s">
        <v>119</v>
      </c>
      <c r="AG1535" t="str">
        <f t="shared" si="25"/>
        <v>Recorrente</v>
      </c>
      <c r="AH1535" t="str">
        <f>IF(AND(SUMIF(E:E,E1535,I:I)&gt;=400000,Q1535="B2G"),"n","")</f>
        <v/>
      </c>
    </row>
    <row r="1536" spans="1:34">
      <c r="A1536">
        <v>2026</v>
      </c>
      <c r="B1536">
        <v>2</v>
      </c>
      <c r="C1536" s="83">
        <v>2101642</v>
      </c>
      <c r="D1536" t="s">
        <v>1489</v>
      </c>
      <c r="E1536">
        <v>53684260871</v>
      </c>
      <c r="F1536">
        <v>292715</v>
      </c>
      <c r="G1536">
        <v>50735784066</v>
      </c>
      <c r="H1536" t="s">
        <v>35</v>
      </c>
      <c r="I1536" s="36">
        <v>5712.48</v>
      </c>
      <c r="J1536" s="36">
        <v>5712.48</v>
      </c>
      <c r="K1536" s="85">
        <v>0</v>
      </c>
      <c r="L1536" s="36">
        <v>476.04</v>
      </c>
      <c r="M1536" s="36">
        <v>0</v>
      </c>
      <c r="N1536" s="36">
        <v>10.470649999999999</v>
      </c>
      <c r="O1536" s="36">
        <v>465.57</v>
      </c>
      <c r="P1536" t="s">
        <v>116</v>
      </c>
      <c r="Q1536" t="s">
        <v>111</v>
      </c>
      <c r="R1536" t="s">
        <v>111</v>
      </c>
      <c r="S1536" s="1">
        <v>46057</v>
      </c>
      <c r="T1536" s="1">
        <v>46057</v>
      </c>
      <c r="U1536" s="1">
        <v>46065</v>
      </c>
      <c r="V1536" s="1">
        <v>46430</v>
      </c>
      <c r="W1536" t="s">
        <v>38</v>
      </c>
      <c r="X1536">
        <v>12</v>
      </c>
      <c r="Y1536" t="s">
        <v>49</v>
      </c>
      <c r="Z1536" t="s">
        <v>81</v>
      </c>
      <c r="AA1536" t="s">
        <v>117</v>
      </c>
      <c r="AB1536">
        <v>1</v>
      </c>
      <c r="AC1536" t="s">
        <v>113</v>
      </c>
      <c r="AD1536" t="s">
        <v>134</v>
      </c>
      <c r="AE1536" t="s">
        <v>135</v>
      </c>
      <c r="AF1536" t="s">
        <v>44</v>
      </c>
      <c r="AG1536" t="str">
        <f t="shared" si="25"/>
        <v>À Vista</v>
      </c>
      <c r="AH1536" t="str">
        <f>IF(AND(SUMIF(E:E,E1536,I:I)&gt;=400000,Q1536="B2G"),"n","")</f>
        <v/>
      </c>
    </row>
    <row r="1537" spans="1:34">
      <c r="A1537">
        <v>2026</v>
      </c>
      <c r="B1537">
        <v>2</v>
      </c>
      <c r="C1537" s="83">
        <v>2101719</v>
      </c>
      <c r="D1537" t="s">
        <v>1490</v>
      </c>
      <c r="E1537">
        <v>53852936506</v>
      </c>
      <c r="F1537">
        <v>636177</v>
      </c>
      <c r="G1537">
        <v>51905595833</v>
      </c>
      <c r="H1537" t="s">
        <v>35</v>
      </c>
      <c r="I1537" s="36">
        <v>3888</v>
      </c>
      <c r="J1537" s="36">
        <v>3887.9778000000001</v>
      </c>
      <c r="K1537" s="85">
        <v>2.2200000000000001E-2</v>
      </c>
      <c r="L1537" s="36">
        <v>323.99815000000001</v>
      </c>
      <c r="M1537" s="36">
        <v>0</v>
      </c>
      <c r="N1537" s="36">
        <v>119.65815000000001</v>
      </c>
      <c r="O1537" s="36">
        <v>204.34</v>
      </c>
      <c r="P1537" t="s">
        <v>323</v>
      </c>
      <c r="Q1537" t="s">
        <v>191</v>
      </c>
      <c r="R1537" t="s">
        <v>191</v>
      </c>
      <c r="S1537" s="1">
        <v>46073</v>
      </c>
      <c r="T1537" s="1">
        <v>46073</v>
      </c>
      <c r="U1537" s="1">
        <v>46067</v>
      </c>
      <c r="V1537" s="1">
        <v>46438</v>
      </c>
      <c r="W1537" t="s">
        <v>38</v>
      </c>
      <c r="X1537">
        <v>12</v>
      </c>
      <c r="Y1537" t="s">
        <v>49</v>
      </c>
      <c r="AA1537" t="s">
        <v>112</v>
      </c>
      <c r="AB1537">
        <v>12</v>
      </c>
      <c r="AC1537" t="s">
        <v>192</v>
      </c>
      <c r="AD1537" t="s">
        <v>85</v>
      </c>
      <c r="AE1537" t="s">
        <v>46</v>
      </c>
      <c r="AF1537" t="s">
        <v>44</v>
      </c>
      <c r="AG1537" t="str">
        <f t="shared" si="25"/>
        <v>CC 12x</v>
      </c>
      <c r="AH1537" t="str">
        <f>IF(AND(SUMIF(E:E,E1537,I:I)&gt;=400000,Q1537="B2G"),"n","")</f>
        <v/>
      </c>
    </row>
    <row r="1538" spans="1:34">
      <c r="A1538">
        <v>2026</v>
      </c>
      <c r="B1538">
        <v>2</v>
      </c>
      <c r="C1538" s="83">
        <v>2101982</v>
      </c>
      <c r="D1538" t="s">
        <v>1491</v>
      </c>
      <c r="E1538">
        <v>52862472260</v>
      </c>
      <c r="F1538">
        <v>626561</v>
      </c>
      <c r="G1538">
        <v>47991586625</v>
      </c>
      <c r="H1538" t="s">
        <v>35</v>
      </c>
      <c r="I1538" s="36">
        <v>5718.6</v>
      </c>
      <c r="J1538" s="36">
        <v>5718.6</v>
      </c>
      <c r="K1538" s="85">
        <v>0</v>
      </c>
      <c r="L1538" s="36">
        <v>476.55</v>
      </c>
      <c r="M1538" s="36">
        <v>0</v>
      </c>
      <c r="N1538" s="36">
        <v>73.61</v>
      </c>
      <c r="O1538" s="36">
        <v>402.94</v>
      </c>
      <c r="P1538" t="s">
        <v>165</v>
      </c>
      <c r="Q1538" t="s">
        <v>166</v>
      </c>
      <c r="R1538" t="s">
        <v>166</v>
      </c>
      <c r="S1538" s="1">
        <v>46066</v>
      </c>
      <c r="T1538" s="1">
        <v>46066</v>
      </c>
      <c r="U1538" s="1">
        <v>46066</v>
      </c>
      <c r="V1538" s="1">
        <v>46431</v>
      </c>
      <c r="W1538" t="s">
        <v>38</v>
      </c>
      <c r="X1538">
        <v>12</v>
      </c>
      <c r="Y1538" t="s">
        <v>49</v>
      </c>
      <c r="Z1538" t="s">
        <v>81</v>
      </c>
      <c r="AA1538" t="s">
        <v>112</v>
      </c>
      <c r="AB1538">
        <v>12</v>
      </c>
      <c r="AC1538" t="s">
        <v>166</v>
      </c>
      <c r="AD1538" t="s">
        <v>149</v>
      </c>
      <c r="AE1538" t="s">
        <v>43</v>
      </c>
      <c r="AF1538" t="s">
        <v>96</v>
      </c>
      <c r="AG1538" t="str">
        <f t="shared" si="25"/>
        <v>CC 12x</v>
      </c>
      <c r="AH1538" t="str">
        <f>IF(AND(SUMIF(E:E,E1538,I:I)&gt;=400000,Q1538="B2G"),"n","")</f>
        <v/>
      </c>
    </row>
    <row r="1539" spans="1:34">
      <c r="A1539">
        <v>2026</v>
      </c>
      <c r="B1539">
        <v>2</v>
      </c>
      <c r="C1539" s="83">
        <v>2102145</v>
      </c>
      <c r="D1539" t="s">
        <v>1492</v>
      </c>
      <c r="E1539">
        <v>55800675918</v>
      </c>
      <c r="F1539">
        <v>305014</v>
      </c>
      <c r="G1539">
        <v>51427310688</v>
      </c>
      <c r="H1539" t="s">
        <v>35</v>
      </c>
      <c r="I1539" s="36">
        <v>7109.04</v>
      </c>
      <c r="J1539" s="36">
        <v>7109.04</v>
      </c>
      <c r="K1539" s="85">
        <v>9.0949500000000005E-13</v>
      </c>
      <c r="L1539" s="36">
        <v>592.41999999999996</v>
      </c>
      <c r="M1539" s="36">
        <v>0</v>
      </c>
      <c r="N1539" s="36">
        <v>44.82</v>
      </c>
      <c r="O1539" s="36">
        <v>547.6</v>
      </c>
      <c r="P1539" t="s">
        <v>116</v>
      </c>
      <c r="Q1539" t="s">
        <v>111</v>
      </c>
      <c r="R1539" t="s">
        <v>111</v>
      </c>
      <c r="S1539" s="1">
        <v>46065</v>
      </c>
      <c r="T1539" s="1">
        <v>46065</v>
      </c>
      <c r="U1539" s="1">
        <v>46067</v>
      </c>
      <c r="V1539" s="1">
        <v>46432</v>
      </c>
      <c r="W1539" t="s">
        <v>38</v>
      </c>
      <c r="X1539">
        <v>12</v>
      </c>
      <c r="Y1539" t="s">
        <v>49</v>
      </c>
      <c r="Z1539" t="s">
        <v>81</v>
      </c>
      <c r="AA1539" t="s">
        <v>122</v>
      </c>
      <c r="AB1539">
        <v>12</v>
      </c>
      <c r="AC1539" t="s">
        <v>113</v>
      </c>
      <c r="AD1539" t="s">
        <v>134</v>
      </c>
      <c r="AE1539" t="s">
        <v>135</v>
      </c>
      <c r="AF1539" t="s">
        <v>44</v>
      </c>
      <c r="AG1539" t="str">
        <f t="shared" si="25"/>
        <v>Recorrente</v>
      </c>
      <c r="AH1539" t="str">
        <f>IF(AND(SUMIF(E:E,E1539,I:I)&gt;=400000,Q1539="B2G"),"n","")</f>
        <v/>
      </c>
    </row>
    <row r="1540" spans="1:34">
      <c r="A1540">
        <v>2026</v>
      </c>
      <c r="B1540">
        <v>2</v>
      </c>
      <c r="C1540" s="83">
        <v>2102210</v>
      </c>
      <c r="D1540" t="s">
        <v>1493</v>
      </c>
      <c r="E1540">
        <v>52840788127</v>
      </c>
      <c r="F1540">
        <v>505211</v>
      </c>
      <c r="G1540">
        <v>47720120874</v>
      </c>
      <c r="H1540" t="s">
        <v>35</v>
      </c>
      <c r="I1540" s="36">
        <v>6214.68</v>
      </c>
      <c r="J1540" s="36">
        <v>6214.68</v>
      </c>
      <c r="K1540" s="85">
        <v>0</v>
      </c>
      <c r="L1540" s="36">
        <v>517.89</v>
      </c>
      <c r="M1540" s="36">
        <v>0</v>
      </c>
      <c r="N1540" s="36">
        <v>63.642004999999997</v>
      </c>
      <c r="O1540" s="36">
        <v>454.25</v>
      </c>
      <c r="P1540" t="s">
        <v>137</v>
      </c>
      <c r="Q1540" t="s">
        <v>111</v>
      </c>
      <c r="R1540" t="s">
        <v>111</v>
      </c>
      <c r="S1540" s="1">
        <v>46020</v>
      </c>
      <c r="T1540" s="1">
        <v>46054</v>
      </c>
      <c r="U1540" s="1">
        <v>46047</v>
      </c>
      <c r="V1540" s="1">
        <v>46412</v>
      </c>
      <c r="W1540" t="s">
        <v>38</v>
      </c>
      <c r="X1540">
        <v>12</v>
      </c>
      <c r="Y1540" t="s">
        <v>49</v>
      </c>
      <c r="Z1540" t="s">
        <v>81</v>
      </c>
      <c r="AA1540" t="s">
        <v>122</v>
      </c>
      <c r="AB1540">
        <v>12</v>
      </c>
      <c r="AC1540" t="s">
        <v>113</v>
      </c>
      <c r="AD1540" t="s">
        <v>134</v>
      </c>
      <c r="AE1540" t="s">
        <v>135</v>
      </c>
      <c r="AF1540" t="s">
        <v>44</v>
      </c>
      <c r="AG1540" t="str">
        <f t="shared" si="25"/>
        <v>Recorrente</v>
      </c>
      <c r="AH1540" t="str">
        <f>IF(AND(SUMIF(E:E,E1540,I:I)&gt;=400000,Q1540="B2G"),"n","")</f>
        <v/>
      </c>
    </row>
    <row r="1541" spans="1:34">
      <c r="A1541">
        <v>2026</v>
      </c>
      <c r="B1541">
        <v>2</v>
      </c>
      <c r="C1541" s="83">
        <v>2103336</v>
      </c>
      <c r="D1541" t="s">
        <v>1494</v>
      </c>
      <c r="E1541">
        <v>53630295654</v>
      </c>
      <c r="F1541">
        <v>609841</v>
      </c>
      <c r="G1541">
        <v>48819760992</v>
      </c>
      <c r="H1541" t="s">
        <v>35</v>
      </c>
      <c r="I1541" s="36">
        <v>2874</v>
      </c>
      <c r="J1541" s="36">
        <v>2874</v>
      </c>
      <c r="K1541" s="85">
        <v>0</v>
      </c>
      <c r="L1541" s="36">
        <v>239.5</v>
      </c>
      <c r="M1541" s="36">
        <v>0</v>
      </c>
      <c r="N1541" s="36">
        <v>23.8</v>
      </c>
      <c r="O1541" s="36">
        <v>215.7</v>
      </c>
      <c r="P1541" t="s">
        <v>165</v>
      </c>
      <c r="Q1541" t="s">
        <v>166</v>
      </c>
      <c r="R1541" t="s">
        <v>166</v>
      </c>
      <c r="S1541" s="1">
        <v>46077</v>
      </c>
      <c r="T1541" s="1">
        <v>46077</v>
      </c>
      <c r="U1541" s="1">
        <v>46079</v>
      </c>
      <c r="V1541" s="1">
        <v>46444</v>
      </c>
      <c r="W1541" t="s">
        <v>38</v>
      </c>
      <c r="X1541">
        <v>12</v>
      </c>
      <c r="Y1541" t="s">
        <v>49</v>
      </c>
      <c r="Z1541" t="s">
        <v>81</v>
      </c>
      <c r="AA1541" t="s">
        <v>112</v>
      </c>
      <c r="AB1541">
        <v>12</v>
      </c>
      <c r="AC1541" t="s">
        <v>166</v>
      </c>
      <c r="AD1541" t="s">
        <v>118</v>
      </c>
      <c r="AE1541" t="s">
        <v>43</v>
      </c>
      <c r="AF1541" t="s">
        <v>119</v>
      </c>
      <c r="AG1541" t="str">
        <f t="shared" si="25"/>
        <v>CC 12x</v>
      </c>
      <c r="AH1541" t="str">
        <f>IF(AND(SUMIF(E:E,E1541,I:I)&gt;=400000,Q1541="B2G"),"n","")</f>
        <v/>
      </c>
    </row>
    <row r="1542" spans="1:34">
      <c r="A1542">
        <v>2026</v>
      </c>
      <c r="B1542">
        <v>2</v>
      </c>
      <c r="C1542" s="83">
        <v>2105696</v>
      </c>
      <c r="D1542" t="s">
        <v>1495</v>
      </c>
      <c r="E1542">
        <v>56917245236</v>
      </c>
      <c r="F1542">
        <v>306775</v>
      </c>
      <c r="G1542">
        <v>52162223540</v>
      </c>
      <c r="H1542" t="s">
        <v>35</v>
      </c>
      <c r="I1542" s="36">
        <v>2730.24</v>
      </c>
      <c r="J1542" s="36">
        <v>2730.24</v>
      </c>
      <c r="K1542" s="85">
        <v>0</v>
      </c>
      <c r="L1542" s="36">
        <v>227.52</v>
      </c>
      <c r="M1542" s="36">
        <v>0</v>
      </c>
      <c r="N1542" s="36">
        <v>0</v>
      </c>
      <c r="O1542" s="36">
        <v>227.52500000000001</v>
      </c>
      <c r="P1542" t="s">
        <v>162</v>
      </c>
      <c r="Q1542" t="s">
        <v>111</v>
      </c>
      <c r="R1542" t="s">
        <v>111</v>
      </c>
      <c r="S1542" s="1">
        <v>46078</v>
      </c>
      <c r="T1542" s="1">
        <v>46078</v>
      </c>
      <c r="U1542" s="1">
        <v>46078</v>
      </c>
      <c r="V1542" s="1">
        <v>46443</v>
      </c>
      <c r="W1542" t="s">
        <v>38</v>
      </c>
      <c r="X1542">
        <v>12</v>
      </c>
      <c r="Y1542" t="s">
        <v>49</v>
      </c>
      <c r="Z1542" t="s">
        <v>81</v>
      </c>
      <c r="AA1542" t="s">
        <v>122</v>
      </c>
      <c r="AB1542">
        <v>12</v>
      </c>
      <c r="AC1542" t="s">
        <v>113</v>
      </c>
      <c r="AD1542" t="s">
        <v>140</v>
      </c>
      <c r="AE1542" t="s">
        <v>46</v>
      </c>
      <c r="AF1542" t="s">
        <v>119</v>
      </c>
      <c r="AG1542" t="str">
        <f t="shared" si="25"/>
        <v>Recorrente</v>
      </c>
      <c r="AH1542" t="str">
        <f>IF(AND(SUMIF(E:E,E1542,I:I)&gt;=400000,Q1542="B2G"),"n","")</f>
        <v/>
      </c>
    </row>
    <row r="1543" spans="1:34">
      <c r="A1543">
        <v>2026</v>
      </c>
      <c r="B1543">
        <v>2</v>
      </c>
      <c r="C1543" s="83">
        <v>2106094</v>
      </c>
      <c r="D1543" t="s">
        <v>1496</v>
      </c>
      <c r="E1543">
        <v>55966650253</v>
      </c>
      <c r="F1543">
        <v>630044</v>
      </c>
      <c r="G1543">
        <v>52357313879</v>
      </c>
      <c r="H1543" t="s">
        <v>35</v>
      </c>
      <c r="I1543" s="36">
        <v>734.64</v>
      </c>
      <c r="J1543" s="36">
        <v>2738.16</v>
      </c>
      <c r="K1543" s="85">
        <v>0</v>
      </c>
      <c r="L1543" s="36">
        <v>228.18</v>
      </c>
      <c r="M1543" s="36">
        <v>0</v>
      </c>
      <c r="N1543" s="36">
        <v>228.18</v>
      </c>
      <c r="O1543" s="36">
        <v>0</v>
      </c>
      <c r="P1543" t="s">
        <v>469</v>
      </c>
      <c r="Q1543" t="s">
        <v>191</v>
      </c>
      <c r="R1543" t="s">
        <v>191</v>
      </c>
      <c r="S1543" s="1">
        <v>46079</v>
      </c>
      <c r="T1543" s="1">
        <v>46079</v>
      </c>
      <c r="U1543" s="1">
        <v>46177</v>
      </c>
      <c r="V1543" s="1">
        <v>46177</v>
      </c>
      <c r="W1543" t="s">
        <v>38</v>
      </c>
      <c r="X1543">
        <v>4</v>
      </c>
      <c r="Y1543" t="s">
        <v>49</v>
      </c>
      <c r="Z1543" t="s">
        <v>324</v>
      </c>
      <c r="AA1543" t="s">
        <v>122</v>
      </c>
      <c r="AB1543">
        <v>3</v>
      </c>
      <c r="AC1543" t="s">
        <v>192</v>
      </c>
      <c r="AD1543" t="s">
        <v>85</v>
      </c>
      <c r="AE1543" t="s">
        <v>46</v>
      </c>
      <c r="AF1543" t="s">
        <v>44</v>
      </c>
      <c r="AG1543" t="str">
        <f t="shared" si="25"/>
        <v>Recorrente</v>
      </c>
      <c r="AH1543" t="str">
        <f>IF(AND(SUMIF(E:E,E1543,I:I)&gt;=400000,Q1543="B2G"),"n","")</f>
        <v/>
      </c>
    </row>
    <row r="1544" spans="1:34">
      <c r="A1544">
        <v>2026</v>
      </c>
      <c r="B1544">
        <v>2</v>
      </c>
      <c r="C1544" s="83">
        <v>2106789</v>
      </c>
      <c r="D1544" t="s">
        <v>1497</v>
      </c>
      <c r="E1544">
        <v>53899156774</v>
      </c>
      <c r="F1544">
        <v>528346</v>
      </c>
      <c r="G1544">
        <v>52282977943</v>
      </c>
      <c r="H1544" t="s">
        <v>35</v>
      </c>
      <c r="I1544" s="36">
        <v>7155.84</v>
      </c>
      <c r="J1544" s="36">
        <v>7155.84</v>
      </c>
      <c r="K1544" s="85">
        <v>0</v>
      </c>
      <c r="L1544" s="36">
        <v>596.32000000000005</v>
      </c>
      <c r="M1544" s="36">
        <v>0</v>
      </c>
      <c r="N1544" s="36">
        <v>121.9</v>
      </c>
      <c r="O1544" s="36">
        <v>474.42</v>
      </c>
      <c r="P1544" t="s">
        <v>162</v>
      </c>
      <c r="Q1544" t="s">
        <v>111</v>
      </c>
      <c r="R1544" t="s">
        <v>111</v>
      </c>
      <c r="S1544" s="1">
        <v>46079</v>
      </c>
      <c r="T1544" s="1">
        <v>46079</v>
      </c>
      <c r="U1544" s="1">
        <v>46080</v>
      </c>
      <c r="V1544" s="1">
        <v>46445</v>
      </c>
      <c r="W1544" t="s">
        <v>38</v>
      </c>
      <c r="X1544">
        <v>12</v>
      </c>
      <c r="Y1544" t="s">
        <v>49</v>
      </c>
      <c r="Z1544" t="s">
        <v>81</v>
      </c>
      <c r="AA1544" t="s">
        <v>112</v>
      </c>
      <c r="AB1544">
        <v>12</v>
      </c>
      <c r="AC1544" t="s">
        <v>113</v>
      </c>
      <c r="AD1544" t="s">
        <v>134</v>
      </c>
      <c r="AE1544" t="s">
        <v>135</v>
      </c>
      <c r="AF1544" t="s">
        <v>44</v>
      </c>
      <c r="AG1544" t="str">
        <f t="shared" si="25"/>
        <v>CC 12x</v>
      </c>
      <c r="AH1544" t="str">
        <f>IF(AND(SUMIF(E:E,E1544,I:I)&gt;=400000,Q1544="B2G"),"n","")</f>
        <v/>
      </c>
    </row>
    <row r="1545" spans="1:34">
      <c r="A1545">
        <v>2026</v>
      </c>
      <c r="B1545">
        <v>2</v>
      </c>
      <c r="C1545" s="83">
        <v>2108412</v>
      </c>
      <c r="D1545" t="s">
        <v>1498</v>
      </c>
      <c r="E1545">
        <v>56116138422</v>
      </c>
      <c r="F1545">
        <v>636035</v>
      </c>
      <c r="G1545">
        <v>51412763474</v>
      </c>
      <c r="H1545" t="s">
        <v>35</v>
      </c>
      <c r="I1545" s="36">
        <v>9384</v>
      </c>
      <c r="J1545" s="36">
        <v>4692</v>
      </c>
      <c r="K1545" s="85">
        <v>4692</v>
      </c>
      <c r="L1545" s="36">
        <v>391</v>
      </c>
      <c r="M1545" s="36">
        <v>391</v>
      </c>
      <c r="N1545" s="36">
        <v>0</v>
      </c>
      <c r="O1545" s="36">
        <v>0</v>
      </c>
      <c r="P1545" t="s">
        <v>1073</v>
      </c>
      <c r="Q1545" t="s">
        <v>314</v>
      </c>
      <c r="R1545" t="s">
        <v>314</v>
      </c>
      <c r="S1545" s="1">
        <v>46064</v>
      </c>
      <c r="T1545" s="1">
        <v>46064</v>
      </c>
      <c r="V1545" s="1">
        <v>46794</v>
      </c>
      <c r="W1545" t="s">
        <v>56</v>
      </c>
      <c r="X1545">
        <v>24</v>
      </c>
      <c r="Y1545" t="s">
        <v>49</v>
      </c>
      <c r="AA1545" t="s">
        <v>122</v>
      </c>
      <c r="AB1545">
        <v>24</v>
      </c>
      <c r="AC1545" t="s">
        <v>315</v>
      </c>
      <c r="AD1545" t="s">
        <v>138</v>
      </c>
      <c r="AE1545" t="s">
        <v>135</v>
      </c>
      <c r="AF1545" t="s">
        <v>119</v>
      </c>
      <c r="AG1545" t="str">
        <f t="shared" si="25"/>
        <v>Recorrente</v>
      </c>
      <c r="AH1545" t="str">
        <f>IF(AND(SUMIF(E:E,E1545,I:I)&gt;=400000,Q1545="B2G"),"n","")</f>
        <v/>
      </c>
    </row>
    <row r="1546" spans="1:34">
      <c r="A1546">
        <v>2026</v>
      </c>
      <c r="B1546">
        <v>2</v>
      </c>
      <c r="C1546" s="83">
        <v>2108903</v>
      </c>
      <c r="D1546" t="s">
        <v>1499</v>
      </c>
      <c r="E1546">
        <v>53118567817</v>
      </c>
      <c r="F1546">
        <v>306692</v>
      </c>
      <c r="G1546">
        <v>51870267653</v>
      </c>
      <c r="H1546" t="s">
        <v>35</v>
      </c>
      <c r="I1546" s="36">
        <v>4860.84</v>
      </c>
      <c r="J1546" s="36">
        <v>4860.84</v>
      </c>
      <c r="K1546" s="85">
        <v>0</v>
      </c>
      <c r="L1546" s="36">
        <v>405.07</v>
      </c>
      <c r="M1546" s="36">
        <v>0</v>
      </c>
      <c r="N1546" s="36">
        <v>0</v>
      </c>
      <c r="O1546" s="36">
        <v>405.07279499999999</v>
      </c>
      <c r="P1546" t="s">
        <v>116</v>
      </c>
      <c r="Q1546" t="s">
        <v>111</v>
      </c>
      <c r="R1546" t="s">
        <v>111</v>
      </c>
      <c r="S1546" s="1">
        <v>46074</v>
      </c>
      <c r="T1546" s="1">
        <v>46074</v>
      </c>
      <c r="U1546" s="1">
        <v>46070</v>
      </c>
      <c r="V1546" s="1">
        <v>46435</v>
      </c>
      <c r="W1546" t="s">
        <v>38</v>
      </c>
      <c r="X1546">
        <v>12</v>
      </c>
      <c r="Y1546" t="s">
        <v>49</v>
      </c>
      <c r="Z1546" t="s">
        <v>81</v>
      </c>
      <c r="AA1546" t="s">
        <v>112</v>
      </c>
      <c r="AB1546">
        <v>12</v>
      </c>
      <c r="AC1546" t="s">
        <v>113</v>
      </c>
      <c r="AD1546" t="s">
        <v>149</v>
      </c>
      <c r="AE1546" t="s">
        <v>43</v>
      </c>
      <c r="AF1546" t="s">
        <v>96</v>
      </c>
      <c r="AG1546" t="str">
        <f t="shared" si="25"/>
        <v>CC 12x</v>
      </c>
      <c r="AH1546" t="str">
        <f>IF(AND(SUMIF(E:E,E1546,I:I)&gt;=400000,Q1546="B2G"),"n","")</f>
        <v/>
      </c>
    </row>
    <row r="1547" spans="1:34">
      <c r="A1547">
        <v>2026</v>
      </c>
      <c r="B1547">
        <v>2</v>
      </c>
      <c r="C1547" s="83">
        <v>2109571</v>
      </c>
      <c r="D1547" t="s">
        <v>1500</v>
      </c>
      <c r="E1547">
        <v>55841735233</v>
      </c>
      <c r="F1547">
        <v>636051</v>
      </c>
      <c r="G1547">
        <v>51427167839</v>
      </c>
      <c r="H1547" t="s">
        <v>35</v>
      </c>
      <c r="I1547" s="36">
        <v>2100.6</v>
      </c>
      <c r="J1547" s="36">
        <v>2100.6</v>
      </c>
      <c r="K1547" s="85">
        <v>0</v>
      </c>
      <c r="L1547" s="36">
        <v>175.05</v>
      </c>
      <c r="M1547" s="36">
        <v>175.05</v>
      </c>
      <c r="N1547" s="36">
        <v>0</v>
      </c>
      <c r="O1547" s="36">
        <v>0</v>
      </c>
      <c r="P1547" t="s">
        <v>1073</v>
      </c>
      <c r="Q1547" t="s">
        <v>314</v>
      </c>
      <c r="R1547" t="s">
        <v>314</v>
      </c>
      <c r="S1547" s="1">
        <v>46064</v>
      </c>
      <c r="T1547" s="1">
        <v>46064</v>
      </c>
      <c r="V1547" s="1">
        <v>46429</v>
      </c>
      <c r="W1547" t="s">
        <v>38</v>
      </c>
      <c r="X1547">
        <v>12</v>
      </c>
      <c r="Y1547" t="s">
        <v>49</v>
      </c>
      <c r="AA1547" t="s">
        <v>117</v>
      </c>
      <c r="AB1547">
        <v>1</v>
      </c>
      <c r="AC1547" t="s">
        <v>315</v>
      </c>
      <c r="AD1547" t="s">
        <v>140</v>
      </c>
      <c r="AE1547" t="s">
        <v>46</v>
      </c>
      <c r="AF1547" t="s">
        <v>119</v>
      </c>
      <c r="AG1547" t="str">
        <f t="shared" si="25"/>
        <v>À Vista</v>
      </c>
      <c r="AH1547" t="str">
        <f>IF(AND(SUMIF(E:E,E1547,I:I)&gt;=400000,Q1547="B2G"),"n","")</f>
        <v/>
      </c>
    </row>
    <row r="1548" spans="1:34">
      <c r="A1548">
        <v>2026</v>
      </c>
      <c r="B1548">
        <v>2</v>
      </c>
      <c r="C1548" s="83">
        <v>2109596</v>
      </c>
      <c r="D1548" t="s">
        <v>1501</v>
      </c>
      <c r="E1548">
        <v>53177016135</v>
      </c>
      <c r="F1548">
        <v>626709</v>
      </c>
      <c r="G1548">
        <v>48245040424</v>
      </c>
      <c r="H1548" t="s">
        <v>35</v>
      </c>
      <c r="I1548" s="36">
        <v>5154</v>
      </c>
      <c r="J1548" s="36">
        <v>5154</v>
      </c>
      <c r="K1548" s="85">
        <v>0</v>
      </c>
      <c r="L1548" s="36">
        <v>429.5</v>
      </c>
      <c r="M1548" s="36">
        <v>0</v>
      </c>
      <c r="N1548" s="36">
        <v>81.849999999999994</v>
      </c>
      <c r="O1548" s="36">
        <v>347.65</v>
      </c>
      <c r="P1548" t="s">
        <v>165</v>
      </c>
      <c r="Q1548" t="s">
        <v>166</v>
      </c>
      <c r="R1548" t="s">
        <v>166</v>
      </c>
      <c r="S1548" s="1">
        <v>46071</v>
      </c>
      <c r="T1548" s="1">
        <v>46071</v>
      </c>
      <c r="U1548" s="1">
        <v>46071</v>
      </c>
      <c r="V1548" s="1">
        <v>46436</v>
      </c>
      <c r="W1548" t="s">
        <v>38</v>
      </c>
      <c r="X1548">
        <v>12</v>
      </c>
      <c r="Y1548" t="s">
        <v>49</v>
      </c>
      <c r="Z1548" t="s">
        <v>81</v>
      </c>
      <c r="AA1548" t="s">
        <v>122</v>
      </c>
      <c r="AB1548">
        <v>12</v>
      </c>
      <c r="AC1548" t="s">
        <v>166</v>
      </c>
      <c r="AD1548" t="s">
        <v>229</v>
      </c>
      <c r="AE1548" t="s">
        <v>43</v>
      </c>
      <c r="AF1548" t="s">
        <v>96</v>
      </c>
      <c r="AG1548" t="str">
        <f t="shared" si="25"/>
        <v>Recorrente</v>
      </c>
      <c r="AH1548" t="str">
        <f>IF(AND(SUMIF(E:E,E1548,I:I)&gt;=400000,Q1548="B2G"),"n","")</f>
        <v/>
      </c>
    </row>
    <row r="1549" spans="1:34">
      <c r="A1549">
        <v>2026</v>
      </c>
      <c r="B1549">
        <v>2</v>
      </c>
      <c r="C1549" s="83">
        <v>2109602</v>
      </c>
      <c r="D1549" t="s">
        <v>1502</v>
      </c>
      <c r="E1549">
        <v>56715855956</v>
      </c>
      <c r="F1549">
        <v>636226</v>
      </c>
      <c r="G1549">
        <v>52162763011</v>
      </c>
      <c r="H1549" t="s">
        <v>35</v>
      </c>
      <c r="I1549" s="36">
        <v>2483.04</v>
      </c>
      <c r="J1549" s="36">
        <v>2483.04</v>
      </c>
      <c r="K1549" s="85">
        <v>0</v>
      </c>
      <c r="L1549" s="36">
        <v>206.92</v>
      </c>
      <c r="M1549" s="36">
        <v>206.92</v>
      </c>
      <c r="N1549" s="36">
        <v>0</v>
      </c>
      <c r="O1549" s="36">
        <v>0</v>
      </c>
      <c r="P1549" t="s">
        <v>1073</v>
      </c>
      <c r="Q1549" t="s">
        <v>314</v>
      </c>
      <c r="R1549" t="s">
        <v>314</v>
      </c>
      <c r="S1549" s="1">
        <v>46077</v>
      </c>
      <c r="T1549" s="1">
        <v>46077</v>
      </c>
      <c r="V1549" s="1">
        <v>46442</v>
      </c>
      <c r="W1549" t="s">
        <v>38</v>
      </c>
      <c r="X1549">
        <v>12</v>
      </c>
      <c r="Y1549" t="s">
        <v>49</v>
      </c>
      <c r="AA1549" t="s">
        <v>112</v>
      </c>
      <c r="AB1549">
        <v>12</v>
      </c>
      <c r="AC1549" t="s">
        <v>315</v>
      </c>
      <c r="AD1549" t="s">
        <v>140</v>
      </c>
      <c r="AE1549" t="s">
        <v>46</v>
      </c>
      <c r="AF1549" t="s">
        <v>119</v>
      </c>
      <c r="AG1549" t="str">
        <f t="shared" si="25"/>
        <v>CC 12x</v>
      </c>
      <c r="AH1549" t="str">
        <f>IF(AND(SUMIF(E:E,E1549,I:I)&gt;=400000,Q1549="B2G"),"n","")</f>
        <v/>
      </c>
    </row>
    <row r="1550" spans="1:34">
      <c r="A1550">
        <v>2026</v>
      </c>
      <c r="B1550">
        <v>2</v>
      </c>
      <c r="C1550" s="83">
        <v>2109610</v>
      </c>
      <c r="D1550" t="s">
        <v>1503</v>
      </c>
      <c r="E1550">
        <v>53263125406</v>
      </c>
      <c r="F1550">
        <v>607914</v>
      </c>
      <c r="G1550">
        <v>48487008878</v>
      </c>
      <c r="H1550" t="s">
        <v>35</v>
      </c>
      <c r="I1550" s="36">
        <v>3957.96</v>
      </c>
      <c r="J1550" s="36">
        <v>3957.96</v>
      </c>
      <c r="K1550" s="85">
        <v>0</v>
      </c>
      <c r="L1550" s="36">
        <v>329.83</v>
      </c>
      <c r="M1550" s="36">
        <v>0</v>
      </c>
      <c r="N1550" s="36">
        <v>177.28187500000001</v>
      </c>
      <c r="O1550" s="36">
        <v>152.55000000000001</v>
      </c>
      <c r="P1550" t="s">
        <v>116</v>
      </c>
      <c r="Q1550" t="s">
        <v>111</v>
      </c>
      <c r="R1550" t="s">
        <v>111</v>
      </c>
      <c r="S1550" s="1">
        <v>46029</v>
      </c>
      <c r="T1550" s="1">
        <v>46054</v>
      </c>
      <c r="U1550" s="1">
        <v>46045</v>
      </c>
      <c r="V1550" s="1">
        <v>46410</v>
      </c>
      <c r="W1550" t="s">
        <v>38</v>
      </c>
      <c r="X1550">
        <v>12</v>
      </c>
      <c r="Y1550" t="s">
        <v>49</v>
      </c>
      <c r="Z1550" t="s">
        <v>76</v>
      </c>
      <c r="AA1550" t="s">
        <v>117</v>
      </c>
      <c r="AB1550">
        <v>1</v>
      </c>
      <c r="AC1550" t="s">
        <v>113</v>
      </c>
      <c r="AD1550" t="s">
        <v>84</v>
      </c>
      <c r="AE1550" t="s">
        <v>43</v>
      </c>
      <c r="AF1550" t="s">
        <v>44</v>
      </c>
      <c r="AG1550" t="str">
        <f t="shared" si="25"/>
        <v>À Vista</v>
      </c>
      <c r="AH1550" t="str">
        <f>IF(AND(SUMIF(E:E,E1550,I:I)&gt;=400000,Q1550="B2G"),"n","")</f>
        <v/>
      </c>
    </row>
    <row r="1551" spans="1:34">
      <c r="A1551">
        <v>2026</v>
      </c>
      <c r="B1551">
        <v>2</v>
      </c>
      <c r="C1551" s="83">
        <v>2109610</v>
      </c>
      <c r="D1551" t="s">
        <v>1503</v>
      </c>
      <c r="E1551">
        <v>53263125406</v>
      </c>
      <c r="F1551">
        <v>607914</v>
      </c>
      <c r="G1551">
        <v>48487008879</v>
      </c>
      <c r="H1551" t="s">
        <v>35</v>
      </c>
      <c r="I1551" s="36">
        <v>3957.96</v>
      </c>
      <c r="J1551" s="36">
        <v>3957.96</v>
      </c>
      <c r="K1551" s="85">
        <v>0</v>
      </c>
      <c r="L1551" s="36">
        <v>329.83</v>
      </c>
      <c r="M1551" s="36">
        <v>0</v>
      </c>
      <c r="N1551" s="36">
        <v>177.28187500000001</v>
      </c>
      <c r="O1551" s="36">
        <v>152.55000000000001</v>
      </c>
      <c r="P1551" t="s">
        <v>116</v>
      </c>
      <c r="Q1551" t="s">
        <v>111</v>
      </c>
      <c r="R1551" t="s">
        <v>111</v>
      </c>
      <c r="S1551" s="1">
        <v>46029</v>
      </c>
      <c r="T1551" s="1">
        <v>46054</v>
      </c>
      <c r="U1551" s="1">
        <v>46045</v>
      </c>
      <c r="V1551" s="1">
        <v>46410</v>
      </c>
      <c r="W1551" t="s">
        <v>38</v>
      </c>
      <c r="X1551">
        <v>12</v>
      </c>
      <c r="Y1551" t="s">
        <v>49</v>
      </c>
      <c r="Z1551" t="s">
        <v>76</v>
      </c>
      <c r="AA1551" t="s">
        <v>117</v>
      </c>
      <c r="AB1551">
        <v>1</v>
      </c>
      <c r="AC1551" t="s">
        <v>113</v>
      </c>
      <c r="AD1551" t="s">
        <v>84</v>
      </c>
      <c r="AE1551" t="s">
        <v>43</v>
      </c>
      <c r="AF1551" t="s">
        <v>44</v>
      </c>
      <c r="AG1551" t="str">
        <f t="shared" si="25"/>
        <v>À Vista</v>
      </c>
      <c r="AH1551" t="str">
        <f>IF(AND(SUMIF(E:E,E1551,I:I)&gt;=400000,Q1551="B2G"),"n","")</f>
        <v/>
      </c>
    </row>
    <row r="1552" spans="1:34">
      <c r="A1552">
        <v>2026</v>
      </c>
      <c r="B1552">
        <v>2</v>
      </c>
      <c r="C1552" s="83">
        <v>2111027</v>
      </c>
      <c r="D1552" t="s">
        <v>1504</v>
      </c>
      <c r="E1552">
        <v>54647251225</v>
      </c>
      <c r="F1552">
        <v>505844</v>
      </c>
      <c r="G1552">
        <v>51427268670</v>
      </c>
      <c r="H1552" t="s">
        <v>35</v>
      </c>
      <c r="I1552" s="36">
        <v>4530.6000000000004</v>
      </c>
      <c r="J1552" s="36">
        <v>4530.6000000000004</v>
      </c>
      <c r="K1552" s="85">
        <v>0</v>
      </c>
      <c r="L1552" s="36">
        <v>377.55</v>
      </c>
      <c r="M1552" s="36">
        <v>0</v>
      </c>
      <c r="N1552" s="36">
        <v>9.9</v>
      </c>
      <c r="O1552" s="36">
        <v>367.65</v>
      </c>
      <c r="P1552" t="s">
        <v>121</v>
      </c>
      <c r="Q1552" t="s">
        <v>111</v>
      </c>
      <c r="R1552" t="s">
        <v>111</v>
      </c>
      <c r="S1552" s="1">
        <v>46067</v>
      </c>
      <c r="T1552" s="1">
        <v>46067</v>
      </c>
      <c r="U1552" s="1">
        <v>46068</v>
      </c>
      <c r="V1552" s="1">
        <v>46433</v>
      </c>
      <c r="W1552" t="s">
        <v>38</v>
      </c>
      <c r="X1552">
        <v>12</v>
      </c>
      <c r="Y1552" t="s">
        <v>49</v>
      </c>
      <c r="Z1552" t="s">
        <v>76</v>
      </c>
      <c r="AA1552" t="s">
        <v>122</v>
      </c>
      <c r="AB1552">
        <v>12</v>
      </c>
      <c r="AC1552" t="s">
        <v>113</v>
      </c>
      <c r="AD1552" t="s">
        <v>84</v>
      </c>
      <c r="AE1552" t="s">
        <v>43</v>
      </c>
      <c r="AF1552" t="s">
        <v>44</v>
      </c>
      <c r="AG1552" t="str">
        <f t="shared" si="25"/>
        <v>Recorrente</v>
      </c>
      <c r="AH1552" t="str">
        <f>IF(AND(SUMIF(E:E,E1552,I:I)&gt;=400000,Q1552="B2G"),"n","")</f>
        <v/>
      </c>
    </row>
    <row r="1553" spans="1:34">
      <c r="A1553">
        <v>2026</v>
      </c>
      <c r="B1553">
        <v>2</v>
      </c>
      <c r="C1553" s="83">
        <v>2111415</v>
      </c>
      <c r="D1553" t="s">
        <v>1505</v>
      </c>
      <c r="E1553">
        <v>53705777755</v>
      </c>
      <c r="F1553">
        <v>626876</v>
      </c>
      <c r="G1553">
        <v>52153580292</v>
      </c>
      <c r="H1553" t="s">
        <v>35</v>
      </c>
      <c r="I1553" s="36">
        <v>8418.6</v>
      </c>
      <c r="J1553" s="36">
        <v>8418.6</v>
      </c>
      <c r="K1553" s="85">
        <v>0</v>
      </c>
      <c r="L1553" s="36">
        <v>701.55</v>
      </c>
      <c r="M1553" s="36">
        <v>0</v>
      </c>
      <c r="N1553" s="36">
        <v>46.55</v>
      </c>
      <c r="O1553" s="36">
        <v>655</v>
      </c>
      <c r="P1553" t="s">
        <v>137</v>
      </c>
      <c r="Q1553" t="s">
        <v>111</v>
      </c>
      <c r="R1553" t="s">
        <v>111</v>
      </c>
      <c r="S1553" s="1">
        <v>46077</v>
      </c>
      <c r="T1553" s="1">
        <v>46077</v>
      </c>
      <c r="U1553" s="1">
        <v>46078</v>
      </c>
      <c r="V1553" s="1">
        <v>46443</v>
      </c>
      <c r="W1553" t="s">
        <v>38</v>
      </c>
      <c r="X1553">
        <v>12</v>
      </c>
      <c r="Y1553" t="s">
        <v>49</v>
      </c>
      <c r="Z1553" t="s">
        <v>81</v>
      </c>
      <c r="AA1553" t="s">
        <v>112</v>
      </c>
      <c r="AB1553">
        <v>12</v>
      </c>
      <c r="AC1553" t="s">
        <v>113</v>
      </c>
      <c r="AD1553" t="s">
        <v>134</v>
      </c>
      <c r="AE1553" t="s">
        <v>135</v>
      </c>
      <c r="AF1553" t="s">
        <v>44</v>
      </c>
      <c r="AG1553" t="str">
        <f t="shared" si="25"/>
        <v>CC 12x</v>
      </c>
      <c r="AH1553" t="str">
        <f>IF(AND(SUMIF(E:E,E1553,I:I)&gt;=400000,Q1553="B2G"),"n","")</f>
        <v/>
      </c>
    </row>
    <row r="1554" spans="1:34">
      <c r="A1554">
        <v>2026</v>
      </c>
      <c r="B1554">
        <v>2</v>
      </c>
      <c r="C1554" s="83">
        <v>2111446</v>
      </c>
      <c r="D1554" t="s">
        <v>1506</v>
      </c>
      <c r="E1554">
        <v>52414676661</v>
      </c>
      <c r="F1554">
        <v>304527</v>
      </c>
      <c r="G1554">
        <v>47476424081</v>
      </c>
      <c r="H1554" t="s">
        <v>35</v>
      </c>
      <c r="I1554" s="36">
        <v>3055.44</v>
      </c>
      <c r="J1554" s="36">
        <v>3055.44</v>
      </c>
      <c r="K1554" s="85">
        <v>0</v>
      </c>
      <c r="L1554" s="36">
        <v>254.62</v>
      </c>
      <c r="M1554" s="36">
        <v>0</v>
      </c>
      <c r="N1554" s="36">
        <v>48.365000000000002</v>
      </c>
      <c r="O1554" s="36">
        <v>206.26</v>
      </c>
      <c r="P1554" t="s">
        <v>165</v>
      </c>
      <c r="Q1554" t="s">
        <v>166</v>
      </c>
      <c r="R1554" t="s">
        <v>166</v>
      </c>
      <c r="S1554" s="1">
        <v>46059</v>
      </c>
      <c r="T1554" s="1">
        <v>46059</v>
      </c>
      <c r="U1554" s="1">
        <v>46059</v>
      </c>
      <c r="V1554" s="1">
        <v>46424</v>
      </c>
      <c r="W1554" t="s">
        <v>38</v>
      </c>
      <c r="X1554">
        <v>12</v>
      </c>
      <c r="Y1554" t="s">
        <v>49</v>
      </c>
      <c r="Z1554" t="s">
        <v>81</v>
      </c>
      <c r="AA1554" t="s">
        <v>112</v>
      </c>
      <c r="AB1554">
        <v>12</v>
      </c>
      <c r="AC1554" t="s">
        <v>166</v>
      </c>
      <c r="AD1554" t="s">
        <v>114</v>
      </c>
      <c r="AE1554" t="s">
        <v>43</v>
      </c>
      <c r="AF1554" t="s">
        <v>44</v>
      </c>
      <c r="AG1554" t="str">
        <f t="shared" si="25"/>
        <v>CC 12x</v>
      </c>
      <c r="AH1554" t="str">
        <f>IF(AND(SUMIF(E:E,E1554,I:I)&gt;=400000,Q1554="B2G"),"n","")</f>
        <v/>
      </c>
    </row>
    <row r="1555" spans="1:34">
      <c r="A1555">
        <v>2026</v>
      </c>
      <c r="B1555">
        <v>2</v>
      </c>
      <c r="C1555" s="83">
        <v>2111497</v>
      </c>
      <c r="D1555" t="s">
        <v>1507</v>
      </c>
      <c r="E1555">
        <v>57071772335</v>
      </c>
      <c r="F1555">
        <v>510879</v>
      </c>
      <c r="G1555">
        <v>52402095797</v>
      </c>
      <c r="H1555" t="s">
        <v>35</v>
      </c>
      <c r="I1555" s="36">
        <v>4147.2</v>
      </c>
      <c r="J1555" s="36">
        <v>3458.56</v>
      </c>
      <c r="K1555" s="85">
        <v>688.64000039999996</v>
      </c>
      <c r="L1555" s="36">
        <v>288.21333329999999</v>
      </c>
      <c r="M1555" s="36">
        <v>0</v>
      </c>
      <c r="N1555" s="36">
        <v>288.21333329999999</v>
      </c>
      <c r="O1555" s="36">
        <v>0</v>
      </c>
      <c r="P1555" t="s">
        <v>469</v>
      </c>
      <c r="Q1555" t="s">
        <v>191</v>
      </c>
      <c r="R1555" t="s">
        <v>191</v>
      </c>
      <c r="S1555" s="1">
        <v>46080</v>
      </c>
      <c r="T1555" s="1">
        <v>46080</v>
      </c>
      <c r="U1555" s="1">
        <v>46518</v>
      </c>
      <c r="V1555" s="1">
        <v>46518</v>
      </c>
      <c r="W1555" t="s">
        <v>102</v>
      </c>
      <c r="X1555">
        <v>15</v>
      </c>
      <c r="Y1555" t="s">
        <v>49</v>
      </c>
      <c r="Z1555" t="s">
        <v>324</v>
      </c>
      <c r="AA1555" t="s">
        <v>122</v>
      </c>
      <c r="AB1555">
        <v>14</v>
      </c>
      <c r="AC1555" t="s">
        <v>192</v>
      </c>
      <c r="AD1555" t="s">
        <v>134</v>
      </c>
      <c r="AE1555" t="s">
        <v>135</v>
      </c>
      <c r="AF1555" t="s">
        <v>44</v>
      </c>
      <c r="AG1555" t="str">
        <f t="shared" si="25"/>
        <v>Recorrente</v>
      </c>
      <c r="AH1555" t="str">
        <f>IF(AND(SUMIF(E:E,E1555,I:I)&gt;=400000,Q1555="B2G"),"n","")</f>
        <v/>
      </c>
    </row>
    <row r="1556" spans="1:34">
      <c r="A1556">
        <v>2026</v>
      </c>
      <c r="B1556">
        <v>2</v>
      </c>
      <c r="C1556" s="83">
        <v>2111595</v>
      </c>
      <c r="D1556" t="s">
        <v>1508</v>
      </c>
      <c r="E1556">
        <v>53389759310</v>
      </c>
      <c r="F1556">
        <v>505572</v>
      </c>
      <c r="G1556">
        <v>49944662040</v>
      </c>
      <c r="H1556" t="s">
        <v>35</v>
      </c>
      <c r="I1556" s="36">
        <v>5466.24</v>
      </c>
      <c r="J1556" s="36">
        <v>5466.24</v>
      </c>
      <c r="K1556" s="85">
        <v>0</v>
      </c>
      <c r="L1556" s="36">
        <v>455.52</v>
      </c>
      <c r="M1556" s="36">
        <v>0</v>
      </c>
      <c r="N1556" s="36">
        <v>59.255000000000003</v>
      </c>
      <c r="O1556" s="36">
        <v>396.27</v>
      </c>
      <c r="P1556" t="s">
        <v>110</v>
      </c>
      <c r="Q1556" t="s">
        <v>111</v>
      </c>
      <c r="R1556" t="s">
        <v>111</v>
      </c>
      <c r="S1556" s="1">
        <v>46048</v>
      </c>
      <c r="T1556" s="1">
        <v>46054</v>
      </c>
      <c r="U1556" s="1">
        <v>46061</v>
      </c>
      <c r="V1556" s="1">
        <v>46426</v>
      </c>
      <c r="W1556" t="s">
        <v>38</v>
      </c>
      <c r="X1556">
        <v>12</v>
      </c>
      <c r="Y1556" t="s">
        <v>49</v>
      </c>
      <c r="Z1556" t="s">
        <v>76</v>
      </c>
      <c r="AA1556" t="s">
        <v>122</v>
      </c>
      <c r="AB1556">
        <v>12</v>
      </c>
      <c r="AC1556" t="s">
        <v>113</v>
      </c>
      <c r="AD1556" t="s">
        <v>85</v>
      </c>
      <c r="AE1556" t="s">
        <v>46</v>
      </c>
      <c r="AF1556" t="s">
        <v>44</v>
      </c>
      <c r="AG1556" t="str">
        <f t="shared" si="25"/>
        <v>Recorrente</v>
      </c>
      <c r="AH1556" t="str">
        <f>IF(AND(SUMIF(E:E,E1556,I:I)&gt;=400000,Q1556="B2G"),"n","")</f>
        <v/>
      </c>
    </row>
    <row r="1557" spans="1:34">
      <c r="A1557">
        <v>2026</v>
      </c>
      <c r="B1557">
        <v>2</v>
      </c>
      <c r="C1557" s="83">
        <v>2112061</v>
      </c>
      <c r="D1557" t="s">
        <v>1509</v>
      </c>
      <c r="E1557">
        <v>51034149023</v>
      </c>
      <c r="F1557">
        <v>328122</v>
      </c>
      <c r="G1557">
        <v>46407637151</v>
      </c>
      <c r="H1557" t="s">
        <v>35</v>
      </c>
      <c r="I1557" s="36">
        <v>4315.4399999999996</v>
      </c>
      <c r="J1557" s="36">
        <v>4315.4399999999996</v>
      </c>
      <c r="K1557" s="85">
        <v>0</v>
      </c>
      <c r="L1557" s="36">
        <v>359.62</v>
      </c>
      <c r="M1557" s="36">
        <v>0</v>
      </c>
      <c r="N1557" s="36">
        <v>12.095000000000001</v>
      </c>
      <c r="O1557" s="36">
        <v>347.53</v>
      </c>
      <c r="P1557" t="s">
        <v>133</v>
      </c>
      <c r="Q1557" t="s">
        <v>111</v>
      </c>
      <c r="R1557" t="s">
        <v>111</v>
      </c>
      <c r="S1557" s="1">
        <v>46027</v>
      </c>
      <c r="T1557" s="1">
        <v>46054</v>
      </c>
      <c r="U1557" s="1">
        <v>46032</v>
      </c>
      <c r="V1557" s="1">
        <v>46397</v>
      </c>
      <c r="W1557" t="s">
        <v>38</v>
      </c>
      <c r="X1557">
        <v>12</v>
      </c>
      <c r="Y1557" t="s">
        <v>49</v>
      </c>
      <c r="Z1557" t="s">
        <v>81</v>
      </c>
      <c r="AA1557" t="s">
        <v>112</v>
      </c>
      <c r="AB1557">
        <v>12</v>
      </c>
      <c r="AC1557" t="s">
        <v>113</v>
      </c>
      <c r="AD1557" t="s">
        <v>85</v>
      </c>
      <c r="AE1557" t="s">
        <v>46</v>
      </c>
      <c r="AF1557" t="s">
        <v>44</v>
      </c>
      <c r="AG1557" t="str">
        <f t="shared" si="25"/>
        <v>CC 12x</v>
      </c>
      <c r="AH1557" t="str">
        <f>IF(AND(SUMIF(E:E,E1557,I:I)&gt;=400000,Q1557="B2G"),"n","")</f>
        <v/>
      </c>
    </row>
    <row r="1558" spans="1:34">
      <c r="A1558">
        <v>2026</v>
      </c>
      <c r="B1558">
        <v>2</v>
      </c>
      <c r="C1558" s="83">
        <v>2112061</v>
      </c>
      <c r="D1558" t="s">
        <v>1509</v>
      </c>
      <c r="E1558">
        <v>51148714915</v>
      </c>
      <c r="F1558">
        <v>328121</v>
      </c>
      <c r="G1558">
        <v>46515305135</v>
      </c>
      <c r="H1558" t="s">
        <v>35</v>
      </c>
      <c r="I1558" s="36">
        <v>3775.44</v>
      </c>
      <c r="J1558" s="36">
        <v>3775.44</v>
      </c>
      <c r="K1558" s="85">
        <v>0</v>
      </c>
      <c r="L1558" s="36">
        <v>314.62</v>
      </c>
      <c r="M1558" s="36">
        <v>0</v>
      </c>
      <c r="N1558" s="36">
        <v>52.234999999999999</v>
      </c>
      <c r="O1558" s="36">
        <v>262.39</v>
      </c>
      <c r="P1558" t="s">
        <v>133</v>
      </c>
      <c r="Q1558" t="s">
        <v>111</v>
      </c>
      <c r="R1558" t="s">
        <v>111</v>
      </c>
      <c r="S1558" s="1">
        <v>46027</v>
      </c>
      <c r="T1558" s="1">
        <v>46054</v>
      </c>
      <c r="U1558" s="1">
        <v>46026</v>
      </c>
      <c r="V1558" s="1">
        <v>46391</v>
      </c>
      <c r="W1558" t="s">
        <v>38</v>
      </c>
      <c r="X1558">
        <v>12</v>
      </c>
      <c r="Y1558" t="s">
        <v>49</v>
      </c>
      <c r="Z1558" t="s">
        <v>81</v>
      </c>
      <c r="AA1558" t="s">
        <v>112</v>
      </c>
      <c r="AB1558">
        <v>12</v>
      </c>
      <c r="AC1558" t="s">
        <v>113</v>
      </c>
      <c r="AD1558" t="s">
        <v>84</v>
      </c>
      <c r="AE1558" t="s">
        <v>43</v>
      </c>
      <c r="AF1558" t="s">
        <v>44</v>
      </c>
      <c r="AG1558" t="str">
        <f t="shared" si="25"/>
        <v>CC 12x</v>
      </c>
      <c r="AH1558" t="str">
        <f>IF(AND(SUMIF(E:E,E1558,I:I)&gt;=400000,Q1558="B2G"),"n","")</f>
        <v/>
      </c>
    </row>
    <row r="1559" spans="1:34">
      <c r="A1559">
        <v>2026</v>
      </c>
      <c r="B1559">
        <v>2</v>
      </c>
      <c r="C1559" s="83">
        <v>2112955</v>
      </c>
      <c r="D1559" t="s">
        <v>1510</v>
      </c>
      <c r="E1559">
        <v>55484904531</v>
      </c>
      <c r="F1559">
        <v>505580</v>
      </c>
      <c r="G1559">
        <v>52460995486</v>
      </c>
      <c r="H1559" t="s">
        <v>35</v>
      </c>
      <c r="I1559" s="36">
        <v>3060</v>
      </c>
      <c r="J1559" s="36">
        <v>3060</v>
      </c>
      <c r="K1559" s="85">
        <v>0</v>
      </c>
      <c r="L1559" s="36">
        <v>255</v>
      </c>
      <c r="M1559" s="36">
        <v>0</v>
      </c>
      <c r="N1559" s="36">
        <v>23.59</v>
      </c>
      <c r="O1559" s="36">
        <v>231.41</v>
      </c>
      <c r="P1559" t="s">
        <v>121</v>
      </c>
      <c r="Q1559" t="s">
        <v>111</v>
      </c>
      <c r="R1559" t="s">
        <v>111</v>
      </c>
      <c r="S1559" s="1">
        <v>46081</v>
      </c>
      <c r="T1559" s="1">
        <v>46081</v>
      </c>
      <c r="U1559" s="1">
        <v>46056</v>
      </c>
      <c r="V1559" s="1">
        <v>46446</v>
      </c>
      <c r="W1559" t="s">
        <v>38</v>
      </c>
      <c r="X1559">
        <v>12</v>
      </c>
      <c r="Y1559" t="s">
        <v>49</v>
      </c>
      <c r="Z1559" t="s">
        <v>81</v>
      </c>
      <c r="AA1559" t="s">
        <v>112</v>
      </c>
      <c r="AB1559">
        <v>12</v>
      </c>
      <c r="AC1559" t="s">
        <v>113</v>
      </c>
      <c r="AD1559" t="s">
        <v>114</v>
      </c>
      <c r="AE1559" t="s">
        <v>43</v>
      </c>
      <c r="AF1559" t="s">
        <v>44</v>
      </c>
      <c r="AG1559" t="str">
        <f t="shared" si="25"/>
        <v>CC 12x</v>
      </c>
      <c r="AH1559" t="str">
        <f>IF(AND(SUMIF(E:E,E1559,I:I)&gt;=400000,Q1559="B2G"),"n","")</f>
        <v/>
      </c>
    </row>
    <row r="1560" spans="1:34">
      <c r="A1560">
        <v>2026</v>
      </c>
      <c r="B1560">
        <v>2</v>
      </c>
      <c r="C1560" s="83">
        <v>2113648</v>
      </c>
      <c r="D1560" t="s">
        <v>1511</v>
      </c>
      <c r="E1560">
        <v>56504630652</v>
      </c>
      <c r="F1560">
        <v>506042</v>
      </c>
      <c r="G1560">
        <v>51939090808</v>
      </c>
      <c r="H1560" t="s">
        <v>35</v>
      </c>
      <c r="I1560" s="36">
        <v>3483.24</v>
      </c>
      <c r="J1560" s="36">
        <v>3483.24</v>
      </c>
      <c r="K1560" s="85">
        <v>0</v>
      </c>
      <c r="L1560" s="36">
        <v>290.27</v>
      </c>
      <c r="M1560" s="36">
        <v>0</v>
      </c>
      <c r="N1560" s="36">
        <v>13.3925</v>
      </c>
      <c r="O1560" s="36">
        <v>276.88</v>
      </c>
      <c r="P1560" t="s">
        <v>137</v>
      </c>
      <c r="Q1560" t="s">
        <v>111</v>
      </c>
      <c r="R1560" t="s">
        <v>111</v>
      </c>
      <c r="S1560" s="1">
        <v>46072</v>
      </c>
      <c r="T1560" s="1">
        <v>46072</v>
      </c>
      <c r="U1560" s="1">
        <v>46070</v>
      </c>
      <c r="V1560" s="1">
        <v>46435</v>
      </c>
      <c r="W1560" t="s">
        <v>38</v>
      </c>
      <c r="X1560">
        <v>12</v>
      </c>
      <c r="Y1560" t="s">
        <v>49</v>
      </c>
      <c r="Z1560" t="s">
        <v>81</v>
      </c>
      <c r="AA1560" t="s">
        <v>122</v>
      </c>
      <c r="AB1560">
        <v>12</v>
      </c>
      <c r="AC1560" t="s">
        <v>113</v>
      </c>
      <c r="AD1560" t="s">
        <v>160</v>
      </c>
      <c r="AE1560" t="s">
        <v>43</v>
      </c>
      <c r="AF1560" t="s">
        <v>44</v>
      </c>
      <c r="AG1560" t="str">
        <f t="shared" si="25"/>
        <v>Recorrente</v>
      </c>
      <c r="AH1560" t="str">
        <f>IF(AND(SUMIF(E:E,E1560,I:I)&gt;=400000,Q1560="B2G"),"n","")</f>
        <v/>
      </c>
    </row>
    <row r="1561" spans="1:34">
      <c r="A1561">
        <v>2026</v>
      </c>
      <c r="B1561">
        <v>2</v>
      </c>
      <c r="C1561" s="83">
        <v>2114911</v>
      </c>
      <c r="D1561" t="s">
        <v>1512</v>
      </c>
      <c r="E1561">
        <v>50296471148</v>
      </c>
      <c r="F1561">
        <v>524439</v>
      </c>
      <c r="G1561">
        <v>47238041741</v>
      </c>
      <c r="H1561" t="s">
        <v>35</v>
      </c>
      <c r="I1561" s="36">
        <v>3012.84</v>
      </c>
      <c r="J1561" s="36">
        <v>3012.84</v>
      </c>
      <c r="K1561" s="85">
        <v>0</v>
      </c>
      <c r="L1561" s="36">
        <v>251.07</v>
      </c>
      <c r="M1561" s="36">
        <v>0</v>
      </c>
      <c r="N1561" s="36">
        <v>39.034999999999997</v>
      </c>
      <c r="O1561" s="36">
        <v>212.04</v>
      </c>
      <c r="P1561" t="s">
        <v>121</v>
      </c>
      <c r="Q1561" t="s">
        <v>111</v>
      </c>
      <c r="R1561" t="s">
        <v>111</v>
      </c>
      <c r="S1561" s="1">
        <v>46007</v>
      </c>
      <c r="T1561" s="1">
        <v>46054</v>
      </c>
      <c r="U1561" s="1">
        <v>46028</v>
      </c>
      <c r="V1561" s="1">
        <v>46393</v>
      </c>
      <c r="W1561" t="s">
        <v>38</v>
      </c>
      <c r="X1561">
        <v>12</v>
      </c>
      <c r="Y1561" t="s">
        <v>49</v>
      </c>
      <c r="Z1561" t="s">
        <v>81</v>
      </c>
      <c r="AA1561" t="s">
        <v>122</v>
      </c>
      <c r="AB1561">
        <v>12</v>
      </c>
      <c r="AC1561" t="s">
        <v>113</v>
      </c>
      <c r="AD1561" t="s">
        <v>114</v>
      </c>
      <c r="AE1561" t="s">
        <v>43</v>
      </c>
      <c r="AF1561" t="s">
        <v>44</v>
      </c>
      <c r="AG1561" t="str">
        <f t="shared" si="25"/>
        <v>Recorrente</v>
      </c>
      <c r="AH1561" t="str">
        <f>IF(AND(SUMIF(E:E,E1561,I:I)&gt;=400000,Q1561="B2G"),"n","")</f>
        <v/>
      </c>
    </row>
    <row r="1562" spans="1:34">
      <c r="A1562">
        <v>2026</v>
      </c>
      <c r="B1562">
        <v>2</v>
      </c>
      <c r="C1562" s="83">
        <v>21152070933</v>
      </c>
      <c r="D1562" t="s">
        <v>1513</v>
      </c>
      <c r="E1562">
        <v>55060403969</v>
      </c>
      <c r="F1562">
        <v>625991</v>
      </c>
      <c r="G1562">
        <v>52153270045</v>
      </c>
      <c r="H1562" t="s">
        <v>35</v>
      </c>
      <c r="I1562" s="36">
        <v>2874</v>
      </c>
      <c r="J1562" s="36">
        <v>2874</v>
      </c>
      <c r="K1562" s="85">
        <v>0</v>
      </c>
      <c r="L1562" s="36">
        <v>239.5</v>
      </c>
      <c r="M1562" s="36">
        <v>0</v>
      </c>
      <c r="N1562" s="36">
        <v>0</v>
      </c>
      <c r="O1562" s="36">
        <v>239.5</v>
      </c>
      <c r="P1562" t="s">
        <v>110</v>
      </c>
      <c r="Q1562" t="s">
        <v>111</v>
      </c>
      <c r="R1562" t="s">
        <v>111</v>
      </c>
      <c r="S1562" s="1">
        <v>46076</v>
      </c>
      <c r="T1562" s="1">
        <v>46054</v>
      </c>
      <c r="U1562" s="1">
        <v>46051</v>
      </c>
      <c r="V1562" s="1">
        <v>46441</v>
      </c>
      <c r="W1562" t="s">
        <v>38</v>
      </c>
      <c r="X1562">
        <v>13</v>
      </c>
      <c r="Y1562" t="s">
        <v>49</v>
      </c>
      <c r="Z1562" t="s">
        <v>76</v>
      </c>
      <c r="AA1562" t="s">
        <v>122</v>
      </c>
      <c r="AB1562">
        <v>12</v>
      </c>
      <c r="AC1562" t="s">
        <v>113</v>
      </c>
      <c r="AD1562" t="s">
        <v>140</v>
      </c>
      <c r="AE1562" t="s">
        <v>46</v>
      </c>
      <c r="AF1562" t="s">
        <v>119</v>
      </c>
      <c r="AG1562" t="str">
        <f t="shared" si="25"/>
        <v>Recorrente</v>
      </c>
      <c r="AH1562" t="str">
        <f>IF(AND(SUMIF(E:E,E1562,I:I)&gt;=400000,Q1562="B2G"),"n","")</f>
        <v/>
      </c>
    </row>
    <row r="1563" spans="1:34">
      <c r="A1563">
        <v>2026</v>
      </c>
      <c r="B1563">
        <v>2</v>
      </c>
      <c r="C1563" s="83">
        <v>2118333</v>
      </c>
      <c r="D1563" t="s">
        <v>1514</v>
      </c>
      <c r="E1563">
        <v>55809278644</v>
      </c>
      <c r="F1563">
        <v>528460</v>
      </c>
      <c r="G1563">
        <v>51983345801</v>
      </c>
      <c r="H1563" t="s">
        <v>35</v>
      </c>
      <c r="I1563" s="36">
        <v>4315.4399999999996</v>
      </c>
      <c r="J1563" s="36">
        <v>4315.4399999999996</v>
      </c>
      <c r="K1563" s="85">
        <v>0</v>
      </c>
      <c r="L1563" s="36">
        <v>359.62</v>
      </c>
      <c r="M1563" s="36">
        <v>0</v>
      </c>
      <c r="N1563" s="36">
        <v>0</v>
      </c>
      <c r="O1563" s="36">
        <v>359.625</v>
      </c>
      <c r="P1563" t="s">
        <v>133</v>
      </c>
      <c r="Q1563" t="s">
        <v>111</v>
      </c>
      <c r="R1563" t="s">
        <v>111</v>
      </c>
      <c r="S1563" s="1">
        <v>46076</v>
      </c>
      <c r="T1563" s="1">
        <v>46076</v>
      </c>
      <c r="U1563" s="1">
        <v>46080</v>
      </c>
      <c r="V1563" s="1">
        <v>46445</v>
      </c>
      <c r="W1563" t="s">
        <v>38</v>
      </c>
      <c r="X1563">
        <v>12</v>
      </c>
      <c r="Y1563" t="s">
        <v>49</v>
      </c>
      <c r="Z1563" t="s">
        <v>81</v>
      </c>
      <c r="AA1563" t="s">
        <v>112</v>
      </c>
      <c r="AB1563">
        <v>12</v>
      </c>
      <c r="AC1563" t="s">
        <v>113</v>
      </c>
      <c r="AD1563" t="s">
        <v>85</v>
      </c>
      <c r="AE1563" t="s">
        <v>46</v>
      </c>
      <c r="AF1563" t="s">
        <v>44</v>
      </c>
      <c r="AG1563" t="str">
        <f t="shared" si="25"/>
        <v>CC 12x</v>
      </c>
      <c r="AH1563" t="str">
        <f>IF(AND(SUMIF(E:E,E1563,I:I)&gt;=400000,Q1563="B2G"),"n","")</f>
        <v/>
      </c>
    </row>
    <row r="1564" spans="1:34">
      <c r="A1564">
        <v>2026</v>
      </c>
      <c r="B1564">
        <v>2</v>
      </c>
      <c r="C1564" s="83">
        <v>2118658</v>
      </c>
      <c r="D1564" t="s">
        <v>1515</v>
      </c>
      <c r="E1564">
        <v>54647826072</v>
      </c>
      <c r="F1564">
        <v>636102</v>
      </c>
      <c r="G1564">
        <v>51504413606</v>
      </c>
      <c r="H1564" t="s">
        <v>35</v>
      </c>
      <c r="I1564" s="36">
        <v>6476.04</v>
      </c>
      <c r="J1564" s="36">
        <v>6476.04594</v>
      </c>
      <c r="K1564" s="85">
        <v>0</v>
      </c>
      <c r="L1564" s="36">
        <v>539.67049499999996</v>
      </c>
      <c r="M1564" s="36">
        <v>0</v>
      </c>
      <c r="N1564" s="36">
        <v>91.510495000000006</v>
      </c>
      <c r="O1564" s="36">
        <v>448.16</v>
      </c>
      <c r="P1564" t="s">
        <v>804</v>
      </c>
      <c r="Q1564" t="s">
        <v>191</v>
      </c>
      <c r="R1564" t="s">
        <v>191</v>
      </c>
      <c r="S1564" s="1">
        <v>46066</v>
      </c>
      <c r="T1564" s="1">
        <v>46066</v>
      </c>
      <c r="U1564" s="1">
        <v>46075</v>
      </c>
      <c r="V1564" s="1">
        <v>46431</v>
      </c>
      <c r="W1564" t="s">
        <v>38</v>
      </c>
      <c r="X1564">
        <v>12</v>
      </c>
      <c r="Y1564" t="s">
        <v>49</v>
      </c>
      <c r="AA1564" t="s">
        <v>112</v>
      </c>
      <c r="AB1564">
        <v>12</v>
      </c>
      <c r="AC1564" t="s">
        <v>192</v>
      </c>
      <c r="AD1564" t="s">
        <v>131</v>
      </c>
      <c r="AE1564" t="s">
        <v>46</v>
      </c>
      <c r="AF1564" t="s">
        <v>96</v>
      </c>
      <c r="AG1564" t="str">
        <f t="shared" si="25"/>
        <v>CC 12x</v>
      </c>
      <c r="AH1564" t="str">
        <f>IF(AND(SUMIF(E:E,E1564,I:I)&gt;=400000,Q1564="B2G"),"n","")</f>
        <v/>
      </c>
    </row>
    <row r="1565" spans="1:34">
      <c r="A1565">
        <v>2026</v>
      </c>
      <c r="B1565">
        <v>2</v>
      </c>
      <c r="C1565" s="83">
        <v>2119767</v>
      </c>
      <c r="D1565" t="s">
        <v>1516</v>
      </c>
      <c r="E1565">
        <v>53409424018</v>
      </c>
      <c r="F1565">
        <v>505216</v>
      </c>
      <c r="G1565">
        <v>49068638983</v>
      </c>
      <c r="H1565" t="s">
        <v>35</v>
      </c>
      <c r="I1565" s="36">
        <v>4401.84</v>
      </c>
      <c r="J1565" s="36">
        <v>4401.84</v>
      </c>
      <c r="K1565" s="85">
        <v>0</v>
      </c>
      <c r="L1565" s="36">
        <v>366.82</v>
      </c>
      <c r="M1565" s="36">
        <v>0</v>
      </c>
      <c r="N1565" s="36">
        <v>18.82</v>
      </c>
      <c r="O1565" s="36">
        <v>348</v>
      </c>
      <c r="P1565" t="s">
        <v>162</v>
      </c>
      <c r="Q1565" t="s">
        <v>111</v>
      </c>
      <c r="R1565" t="s">
        <v>111</v>
      </c>
      <c r="S1565" s="1">
        <v>46042</v>
      </c>
      <c r="T1565" s="1">
        <v>46054</v>
      </c>
      <c r="U1565" s="1">
        <v>46048</v>
      </c>
      <c r="V1565" s="1">
        <v>46413</v>
      </c>
      <c r="W1565" t="s">
        <v>38</v>
      </c>
      <c r="X1565">
        <v>12</v>
      </c>
      <c r="Y1565" t="s">
        <v>49</v>
      </c>
      <c r="Z1565" t="s">
        <v>81</v>
      </c>
      <c r="AA1565" t="s">
        <v>112</v>
      </c>
      <c r="AB1565">
        <v>12</v>
      </c>
      <c r="AC1565" t="s">
        <v>113</v>
      </c>
      <c r="AD1565" t="s">
        <v>85</v>
      </c>
      <c r="AE1565" t="s">
        <v>46</v>
      </c>
      <c r="AF1565" t="s">
        <v>44</v>
      </c>
      <c r="AG1565" t="str">
        <f t="shared" si="25"/>
        <v>CC 12x</v>
      </c>
      <c r="AH1565" t="str">
        <f>IF(AND(SUMIF(E:E,E1565,I:I)&gt;=400000,Q1565="B2G"),"n","")</f>
        <v/>
      </c>
    </row>
    <row r="1566" spans="1:34">
      <c r="A1566">
        <v>2026</v>
      </c>
      <c r="B1566">
        <v>2</v>
      </c>
      <c r="C1566" s="83">
        <v>2121049</v>
      </c>
      <c r="D1566" t="s">
        <v>1517</v>
      </c>
      <c r="E1566">
        <v>53715503492</v>
      </c>
      <c r="F1566">
        <v>627010</v>
      </c>
      <c r="G1566">
        <v>48899464501</v>
      </c>
      <c r="H1566" t="s">
        <v>35</v>
      </c>
      <c r="I1566" s="36">
        <v>5754</v>
      </c>
      <c r="J1566" s="36">
        <v>5754</v>
      </c>
      <c r="K1566" s="85">
        <v>0</v>
      </c>
      <c r="L1566" s="36">
        <v>479.5</v>
      </c>
      <c r="M1566" s="36">
        <v>0</v>
      </c>
      <c r="N1566" s="36">
        <v>94.45</v>
      </c>
      <c r="O1566" s="36">
        <v>385.05</v>
      </c>
      <c r="P1566" t="s">
        <v>165</v>
      </c>
      <c r="Q1566" t="s">
        <v>166</v>
      </c>
      <c r="R1566" t="s">
        <v>166</v>
      </c>
      <c r="S1566" s="1">
        <v>46077</v>
      </c>
      <c r="T1566" s="1">
        <v>46077</v>
      </c>
      <c r="U1566" s="1">
        <v>46080</v>
      </c>
      <c r="V1566" s="1">
        <v>46445</v>
      </c>
      <c r="W1566" t="s">
        <v>38</v>
      </c>
      <c r="X1566">
        <v>12</v>
      </c>
      <c r="Y1566" t="s">
        <v>49</v>
      </c>
      <c r="Z1566" t="s">
        <v>81</v>
      </c>
      <c r="AA1566" t="s">
        <v>122</v>
      </c>
      <c r="AB1566">
        <v>12</v>
      </c>
      <c r="AC1566" t="s">
        <v>166</v>
      </c>
      <c r="AD1566" t="s">
        <v>85</v>
      </c>
      <c r="AE1566" t="s">
        <v>46</v>
      </c>
      <c r="AF1566" t="s">
        <v>44</v>
      </c>
      <c r="AG1566" t="str">
        <f t="shared" si="25"/>
        <v>Recorrente</v>
      </c>
      <c r="AH1566" t="str">
        <f>IF(AND(SUMIF(E:E,E1566,I:I)&gt;=400000,Q1566="B2G"),"n","")</f>
        <v/>
      </c>
    </row>
    <row r="1567" spans="1:34">
      <c r="A1567">
        <v>2026</v>
      </c>
      <c r="B1567">
        <v>2</v>
      </c>
      <c r="C1567" s="83">
        <v>2121189</v>
      </c>
      <c r="D1567" t="s">
        <v>1518</v>
      </c>
      <c r="E1567">
        <v>56905359502</v>
      </c>
      <c r="F1567">
        <v>636230</v>
      </c>
      <c r="G1567">
        <v>52162208016</v>
      </c>
      <c r="H1567" t="s">
        <v>35</v>
      </c>
      <c r="I1567" s="36">
        <v>4278.84</v>
      </c>
      <c r="J1567" s="36">
        <v>4278.8999999999996</v>
      </c>
      <c r="K1567" s="85">
        <v>0</v>
      </c>
      <c r="L1567" s="36">
        <v>356.57499999999999</v>
      </c>
      <c r="M1567" s="36">
        <v>356.57499999999999</v>
      </c>
      <c r="N1567" s="36">
        <v>0</v>
      </c>
      <c r="O1567" s="36">
        <v>0</v>
      </c>
      <c r="P1567" t="s">
        <v>313</v>
      </c>
      <c r="Q1567" t="s">
        <v>314</v>
      </c>
      <c r="R1567" t="s">
        <v>314</v>
      </c>
      <c r="S1567" s="1">
        <v>46077</v>
      </c>
      <c r="T1567" s="1">
        <v>46077</v>
      </c>
      <c r="V1567" s="1">
        <v>46442</v>
      </c>
      <c r="W1567" t="s">
        <v>38</v>
      </c>
      <c r="X1567">
        <v>12</v>
      </c>
      <c r="Y1567" t="s">
        <v>49</v>
      </c>
      <c r="AA1567" t="s">
        <v>122</v>
      </c>
      <c r="AB1567">
        <v>12</v>
      </c>
      <c r="AC1567" t="s">
        <v>315</v>
      </c>
      <c r="AD1567" t="s">
        <v>84</v>
      </c>
      <c r="AE1567" t="s">
        <v>43</v>
      </c>
      <c r="AF1567" t="s">
        <v>44</v>
      </c>
      <c r="AG1567" t="str">
        <f t="shared" si="25"/>
        <v>Recorrente</v>
      </c>
      <c r="AH1567" t="str">
        <f>IF(AND(SUMIF(E:E,E1567,I:I)&gt;=400000,Q1567="B2G"),"n","")</f>
        <v/>
      </c>
    </row>
    <row r="1568" spans="1:34">
      <c r="A1568">
        <v>2026</v>
      </c>
      <c r="B1568">
        <v>2</v>
      </c>
      <c r="C1568" s="83">
        <v>2122686</v>
      </c>
      <c r="D1568" t="s">
        <v>1519</v>
      </c>
      <c r="E1568">
        <v>52011178618</v>
      </c>
      <c r="F1568">
        <v>608538</v>
      </c>
      <c r="G1568">
        <v>50518696094</v>
      </c>
      <c r="H1568" t="s">
        <v>35</v>
      </c>
      <c r="I1568" s="36">
        <v>3851.04</v>
      </c>
      <c r="J1568" s="36">
        <v>3851.04</v>
      </c>
      <c r="K1568" s="85">
        <v>0</v>
      </c>
      <c r="L1568" s="36">
        <v>320.92</v>
      </c>
      <c r="M1568" s="36">
        <v>0</v>
      </c>
      <c r="N1568" s="36">
        <v>43.96</v>
      </c>
      <c r="O1568" s="36">
        <v>276.95999999999998</v>
      </c>
      <c r="P1568" t="s">
        <v>162</v>
      </c>
      <c r="Q1568" t="s">
        <v>111</v>
      </c>
      <c r="R1568" t="s">
        <v>111</v>
      </c>
      <c r="S1568" s="1">
        <v>46055</v>
      </c>
      <c r="T1568" s="1">
        <v>46054</v>
      </c>
      <c r="U1568" s="1">
        <v>46053</v>
      </c>
      <c r="V1568" s="1">
        <v>46418</v>
      </c>
      <c r="W1568" t="s">
        <v>38</v>
      </c>
      <c r="X1568">
        <v>12</v>
      </c>
      <c r="Y1568" t="s">
        <v>49</v>
      </c>
      <c r="Z1568" t="s">
        <v>81</v>
      </c>
      <c r="AA1568" t="s">
        <v>112</v>
      </c>
      <c r="AB1568">
        <v>12</v>
      </c>
      <c r="AC1568" t="s">
        <v>113</v>
      </c>
      <c r="AD1568" t="s">
        <v>84</v>
      </c>
      <c r="AE1568" t="s">
        <v>43</v>
      </c>
      <c r="AF1568" t="s">
        <v>44</v>
      </c>
      <c r="AG1568" t="str">
        <f t="shared" si="25"/>
        <v>CC 12x</v>
      </c>
      <c r="AH1568" t="str">
        <f>IF(AND(SUMIF(E:E,E1568,I:I)&gt;=400000,Q1568="B2G"),"n","")</f>
        <v/>
      </c>
    </row>
    <row r="1569" spans="1:34">
      <c r="A1569">
        <v>2026</v>
      </c>
      <c r="B1569">
        <v>2</v>
      </c>
      <c r="C1569" s="83">
        <v>2122874</v>
      </c>
      <c r="D1569" t="s">
        <v>1520</v>
      </c>
      <c r="E1569">
        <v>54236656542</v>
      </c>
      <c r="F1569">
        <v>303650</v>
      </c>
      <c r="G1569">
        <v>49755241880</v>
      </c>
      <c r="H1569" t="s">
        <v>35</v>
      </c>
      <c r="I1569" s="36">
        <v>3480</v>
      </c>
      <c r="J1569" s="36">
        <v>3480</v>
      </c>
      <c r="K1569" s="85">
        <v>0</v>
      </c>
      <c r="L1569" s="36">
        <v>290</v>
      </c>
      <c r="M1569" s="36">
        <v>0</v>
      </c>
      <c r="N1569" s="36">
        <v>3.5E-4</v>
      </c>
      <c r="O1569" s="36">
        <v>290</v>
      </c>
      <c r="P1569" t="s">
        <v>110</v>
      </c>
      <c r="Q1569" t="s">
        <v>111</v>
      </c>
      <c r="R1569" t="s">
        <v>111</v>
      </c>
      <c r="S1569" s="1">
        <v>46045</v>
      </c>
      <c r="T1569" s="1">
        <v>46054</v>
      </c>
      <c r="U1569" s="1">
        <v>46041</v>
      </c>
      <c r="V1569" s="1">
        <v>46406</v>
      </c>
      <c r="W1569" t="s">
        <v>38</v>
      </c>
      <c r="X1569">
        <v>12</v>
      </c>
      <c r="Y1569" t="s">
        <v>49</v>
      </c>
      <c r="Z1569" t="s">
        <v>81</v>
      </c>
      <c r="AA1569" t="s">
        <v>112</v>
      </c>
      <c r="AB1569">
        <v>12</v>
      </c>
      <c r="AC1569" t="s">
        <v>113</v>
      </c>
      <c r="AD1569" t="s">
        <v>84</v>
      </c>
      <c r="AE1569" t="s">
        <v>43</v>
      </c>
      <c r="AF1569" t="s">
        <v>44</v>
      </c>
      <c r="AG1569" t="str">
        <f t="shared" si="25"/>
        <v>CC 12x</v>
      </c>
      <c r="AH1569" t="str">
        <f>IF(AND(SUMIF(E:E,E1569,I:I)&gt;=400000,Q1569="B2G"),"n","")</f>
        <v/>
      </c>
    </row>
    <row r="1570" spans="1:34">
      <c r="A1570">
        <v>2026</v>
      </c>
      <c r="B1570">
        <v>2</v>
      </c>
      <c r="C1570" s="83">
        <v>2122947</v>
      </c>
      <c r="D1570" t="s">
        <v>1521</v>
      </c>
      <c r="E1570">
        <v>53754285869</v>
      </c>
      <c r="F1570">
        <v>636266</v>
      </c>
      <c r="G1570">
        <v>52284865538</v>
      </c>
      <c r="H1570" t="s">
        <v>35</v>
      </c>
      <c r="I1570" s="36">
        <v>4530.6000000000004</v>
      </c>
      <c r="J1570" s="36">
        <v>4530.6000000000004</v>
      </c>
      <c r="K1570" s="85">
        <v>0</v>
      </c>
      <c r="L1570" s="36">
        <v>377.55</v>
      </c>
      <c r="M1570" s="36">
        <v>377.55</v>
      </c>
      <c r="N1570" s="36">
        <v>0</v>
      </c>
      <c r="O1570" s="36">
        <v>0</v>
      </c>
      <c r="P1570" t="s">
        <v>313</v>
      </c>
      <c r="Q1570" t="s">
        <v>314</v>
      </c>
      <c r="R1570" t="s">
        <v>314</v>
      </c>
      <c r="S1570" s="1">
        <v>46078</v>
      </c>
      <c r="T1570" s="1">
        <v>46078</v>
      </c>
      <c r="V1570" s="1">
        <v>46443</v>
      </c>
      <c r="W1570" t="s">
        <v>38</v>
      </c>
      <c r="X1570">
        <v>12</v>
      </c>
      <c r="Y1570" t="s">
        <v>49</v>
      </c>
      <c r="AA1570" t="s">
        <v>112</v>
      </c>
      <c r="AB1570">
        <v>12</v>
      </c>
      <c r="AC1570" t="s">
        <v>315</v>
      </c>
      <c r="AD1570" t="s">
        <v>84</v>
      </c>
      <c r="AE1570" t="s">
        <v>43</v>
      </c>
      <c r="AF1570" t="s">
        <v>44</v>
      </c>
      <c r="AG1570" t="str">
        <f t="shared" si="25"/>
        <v>CC 12x</v>
      </c>
      <c r="AH1570" t="str">
        <f>IF(AND(SUMIF(E:E,E1570,I:I)&gt;=400000,Q1570="B2G"),"n","")</f>
        <v/>
      </c>
    </row>
    <row r="1571" spans="1:34">
      <c r="A1571">
        <v>2026</v>
      </c>
      <c r="B1571">
        <v>2</v>
      </c>
      <c r="C1571" s="83">
        <v>2123246</v>
      </c>
      <c r="D1571" t="s">
        <v>1522</v>
      </c>
      <c r="E1571">
        <v>52489757601</v>
      </c>
      <c r="F1571">
        <v>304234</v>
      </c>
      <c r="G1571">
        <v>47669636132</v>
      </c>
      <c r="H1571" t="s">
        <v>35</v>
      </c>
      <c r="I1571" s="36">
        <v>8418.6</v>
      </c>
      <c r="J1571" s="36">
        <v>8418.6</v>
      </c>
      <c r="K1571" s="85">
        <v>0</v>
      </c>
      <c r="L1571" s="36">
        <v>701.55</v>
      </c>
      <c r="M1571" s="36">
        <v>0</v>
      </c>
      <c r="N1571" s="36">
        <v>127.75</v>
      </c>
      <c r="O1571" s="36">
        <v>573.79999999999995</v>
      </c>
      <c r="P1571" t="s">
        <v>165</v>
      </c>
      <c r="Q1571" t="s">
        <v>166</v>
      </c>
      <c r="R1571" t="s">
        <v>166</v>
      </c>
      <c r="S1571" s="1">
        <v>46060</v>
      </c>
      <c r="T1571" s="1">
        <v>46060</v>
      </c>
      <c r="U1571" s="1">
        <v>46060</v>
      </c>
      <c r="V1571" s="1">
        <v>46425</v>
      </c>
      <c r="W1571" t="s">
        <v>38</v>
      </c>
      <c r="X1571">
        <v>12</v>
      </c>
      <c r="Y1571" t="s">
        <v>49</v>
      </c>
      <c r="Z1571" t="s">
        <v>81</v>
      </c>
      <c r="AA1571" t="s">
        <v>122</v>
      </c>
      <c r="AB1571">
        <v>11</v>
      </c>
      <c r="AC1571" t="s">
        <v>166</v>
      </c>
      <c r="AD1571" t="s">
        <v>134</v>
      </c>
      <c r="AE1571" t="s">
        <v>135</v>
      </c>
      <c r="AF1571" t="s">
        <v>44</v>
      </c>
      <c r="AG1571" t="str">
        <f t="shared" si="25"/>
        <v>Recorrente</v>
      </c>
      <c r="AH1571" t="str">
        <f>IF(AND(SUMIF(E:E,E1571,I:I)&gt;=400000,Q1571="B2G"),"n","")</f>
        <v/>
      </c>
    </row>
    <row r="1572" spans="1:34">
      <c r="A1572">
        <v>2026</v>
      </c>
      <c r="B1572">
        <v>2</v>
      </c>
      <c r="C1572" s="83">
        <v>2124116</v>
      </c>
      <c r="D1572" t="s">
        <v>1523</v>
      </c>
      <c r="E1572">
        <v>53278067524</v>
      </c>
      <c r="F1572">
        <v>304377</v>
      </c>
      <c r="G1572">
        <v>49516743019</v>
      </c>
      <c r="H1572" t="s">
        <v>35</v>
      </c>
      <c r="I1572" s="36">
        <v>4860.84</v>
      </c>
      <c r="J1572" s="36">
        <v>4860.84</v>
      </c>
      <c r="K1572" s="85">
        <v>0</v>
      </c>
      <c r="L1572" s="36">
        <v>405.07</v>
      </c>
      <c r="M1572" s="36">
        <v>0</v>
      </c>
      <c r="N1572" s="36">
        <v>41.547499999999999</v>
      </c>
      <c r="O1572" s="36">
        <v>363.52</v>
      </c>
      <c r="P1572" t="s">
        <v>162</v>
      </c>
      <c r="Q1572" t="s">
        <v>111</v>
      </c>
      <c r="R1572" t="s">
        <v>111</v>
      </c>
      <c r="S1572" s="1">
        <v>46043</v>
      </c>
      <c r="T1572" s="1">
        <v>46054</v>
      </c>
      <c r="U1572" s="1">
        <v>46055</v>
      </c>
      <c r="V1572" s="1">
        <v>46420</v>
      </c>
      <c r="W1572" t="s">
        <v>38</v>
      </c>
      <c r="X1572">
        <v>12</v>
      </c>
      <c r="Y1572" t="s">
        <v>49</v>
      </c>
      <c r="Z1572" t="s">
        <v>81</v>
      </c>
      <c r="AA1572" t="s">
        <v>117</v>
      </c>
      <c r="AB1572">
        <v>1</v>
      </c>
      <c r="AC1572" t="s">
        <v>113</v>
      </c>
      <c r="AD1572" t="s">
        <v>149</v>
      </c>
      <c r="AE1572" t="s">
        <v>43</v>
      </c>
      <c r="AF1572" t="s">
        <v>96</v>
      </c>
      <c r="AG1572" t="str">
        <f t="shared" si="25"/>
        <v>À Vista</v>
      </c>
      <c r="AH1572" t="str">
        <f>IF(AND(SUMIF(E:E,E1572,I:I)&gt;=400000,Q1572="B2G"),"n","")</f>
        <v/>
      </c>
    </row>
    <row r="1573" spans="1:34">
      <c r="A1573">
        <v>2026</v>
      </c>
      <c r="B1573">
        <v>2</v>
      </c>
      <c r="C1573" s="83">
        <v>2124152</v>
      </c>
      <c r="D1573" t="s">
        <v>1524</v>
      </c>
      <c r="E1573">
        <v>55867260167</v>
      </c>
      <c r="F1573">
        <v>636009</v>
      </c>
      <c r="G1573">
        <v>51141262623</v>
      </c>
      <c r="H1573" t="s">
        <v>35</v>
      </c>
      <c r="I1573" s="36">
        <v>2874</v>
      </c>
      <c r="J1573" s="36">
        <v>2874</v>
      </c>
      <c r="K1573" s="85">
        <v>0</v>
      </c>
      <c r="L1573" s="36">
        <v>239.5</v>
      </c>
      <c r="M1573" s="36">
        <v>239.5</v>
      </c>
      <c r="N1573" s="36">
        <v>0</v>
      </c>
      <c r="O1573" s="36">
        <v>0</v>
      </c>
      <c r="P1573" t="s">
        <v>497</v>
      </c>
      <c r="Q1573" t="s">
        <v>498</v>
      </c>
      <c r="R1573" t="s">
        <v>498</v>
      </c>
      <c r="S1573" s="1">
        <v>46063</v>
      </c>
      <c r="T1573" s="1">
        <v>46063</v>
      </c>
      <c r="V1573" s="1">
        <v>46428</v>
      </c>
      <c r="W1573" t="s">
        <v>38</v>
      </c>
      <c r="X1573">
        <v>12</v>
      </c>
      <c r="Y1573" t="s">
        <v>49</v>
      </c>
      <c r="AA1573" t="s">
        <v>117</v>
      </c>
      <c r="AB1573">
        <v>1</v>
      </c>
      <c r="AC1573" t="s">
        <v>499</v>
      </c>
      <c r="AD1573" t="s">
        <v>118</v>
      </c>
      <c r="AE1573" t="s">
        <v>43</v>
      </c>
      <c r="AF1573" t="s">
        <v>119</v>
      </c>
      <c r="AG1573" t="str">
        <f t="shared" si="25"/>
        <v>À Vista</v>
      </c>
      <c r="AH1573" t="str">
        <f>IF(AND(SUMIF(E:E,E1573,I:I)&gt;=400000,Q1573="B2G"),"n","")</f>
        <v/>
      </c>
    </row>
    <row r="1574" spans="1:34">
      <c r="A1574">
        <v>2026</v>
      </c>
      <c r="B1574">
        <v>2</v>
      </c>
      <c r="C1574" s="83">
        <v>2124955</v>
      </c>
      <c r="D1574" t="s">
        <v>1525</v>
      </c>
      <c r="E1574">
        <v>53363600487</v>
      </c>
      <c r="F1574">
        <v>324853</v>
      </c>
      <c r="G1574">
        <v>51943107986</v>
      </c>
      <c r="H1574" t="s">
        <v>35</v>
      </c>
      <c r="I1574" s="36">
        <v>4527.24</v>
      </c>
      <c r="J1574" s="36">
        <v>4527.24</v>
      </c>
      <c r="K1574" s="85">
        <v>0</v>
      </c>
      <c r="L1574" s="36">
        <v>377.27</v>
      </c>
      <c r="M1574" s="36">
        <v>0</v>
      </c>
      <c r="N1574" s="36">
        <v>66.790000000000006</v>
      </c>
      <c r="O1574" s="36">
        <v>310.48</v>
      </c>
      <c r="P1574" t="s">
        <v>162</v>
      </c>
      <c r="Q1574" t="s">
        <v>111</v>
      </c>
      <c r="R1574" t="s">
        <v>111</v>
      </c>
      <c r="S1574" s="1">
        <v>46073</v>
      </c>
      <c r="T1574" s="1">
        <v>46073</v>
      </c>
      <c r="U1574" s="1">
        <v>46074</v>
      </c>
      <c r="V1574" s="1">
        <v>46439</v>
      </c>
      <c r="W1574" t="s">
        <v>38</v>
      </c>
      <c r="X1574">
        <v>12</v>
      </c>
      <c r="Y1574" t="s">
        <v>49</v>
      </c>
      <c r="Z1574" t="s">
        <v>81</v>
      </c>
      <c r="AA1574" t="s">
        <v>112</v>
      </c>
      <c r="AB1574">
        <v>12</v>
      </c>
      <c r="AC1574" t="s">
        <v>113</v>
      </c>
      <c r="AD1574" t="s">
        <v>158</v>
      </c>
      <c r="AE1574" t="s">
        <v>43</v>
      </c>
      <c r="AF1574" t="s">
        <v>47</v>
      </c>
      <c r="AG1574" t="str">
        <f t="shared" si="25"/>
        <v>CC 12x</v>
      </c>
      <c r="AH1574" t="str">
        <f>IF(AND(SUMIF(E:E,E1574,I:I)&gt;=400000,Q1574="B2G"),"n","")</f>
        <v/>
      </c>
    </row>
    <row r="1575" spans="1:34">
      <c r="A1575">
        <v>2026</v>
      </c>
      <c r="B1575">
        <v>2</v>
      </c>
      <c r="C1575" s="83">
        <v>2125712</v>
      </c>
      <c r="D1575" t="s">
        <v>1526</v>
      </c>
      <c r="E1575">
        <v>52269200235</v>
      </c>
      <c r="F1575">
        <v>625922</v>
      </c>
      <c r="G1575">
        <v>47656055942</v>
      </c>
      <c r="H1575" t="s">
        <v>35</v>
      </c>
      <c r="I1575" s="36">
        <v>4890.96</v>
      </c>
      <c r="J1575" s="36">
        <v>4890.96</v>
      </c>
      <c r="K1575" s="85">
        <v>0</v>
      </c>
      <c r="L1575" s="36">
        <v>407.58</v>
      </c>
      <c r="M1575" s="36">
        <v>0</v>
      </c>
      <c r="N1575" s="36">
        <v>78.411095000000003</v>
      </c>
      <c r="O1575" s="36">
        <v>329.17</v>
      </c>
      <c r="P1575" t="s">
        <v>137</v>
      </c>
      <c r="Q1575" t="s">
        <v>111</v>
      </c>
      <c r="R1575" t="s">
        <v>111</v>
      </c>
      <c r="S1575" s="1">
        <v>46043</v>
      </c>
      <c r="T1575" s="1">
        <v>46054</v>
      </c>
      <c r="U1575" s="1">
        <v>46050</v>
      </c>
      <c r="V1575" s="1">
        <v>46415</v>
      </c>
      <c r="W1575" t="s">
        <v>38</v>
      </c>
      <c r="X1575">
        <v>12</v>
      </c>
      <c r="Y1575" t="s">
        <v>49</v>
      </c>
      <c r="Z1575" t="s">
        <v>81</v>
      </c>
      <c r="AA1575" t="s">
        <v>122</v>
      </c>
      <c r="AB1575">
        <v>12</v>
      </c>
      <c r="AC1575" t="s">
        <v>113</v>
      </c>
      <c r="AD1575" t="s">
        <v>138</v>
      </c>
      <c r="AE1575" t="s">
        <v>135</v>
      </c>
      <c r="AF1575" t="s">
        <v>119</v>
      </c>
      <c r="AG1575" t="str">
        <f t="shared" si="25"/>
        <v>Recorrente</v>
      </c>
      <c r="AH1575" t="str">
        <f>IF(AND(SUMIF(E:E,E1575,I:I)&gt;=400000,Q1575="B2G"),"n","")</f>
        <v/>
      </c>
    </row>
    <row r="1576" spans="1:34">
      <c r="A1576">
        <v>2026</v>
      </c>
      <c r="B1576">
        <v>2</v>
      </c>
      <c r="C1576" s="83">
        <v>2126204</v>
      </c>
      <c r="D1576" t="s">
        <v>1527</v>
      </c>
      <c r="E1576">
        <v>53264162412</v>
      </c>
      <c r="F1576">
        <v>607147</v>
      </c>
      <c r="G1576">
        <v>48938479975</v>
      </c>
      <c r="H1576" t="s">
        <v>35</v>
      </c>
      <c r="I1576" s="36">
        <v>6313.92</v>
      </c>
      <c r="J1576" s="36">
        <v>6313.92</v>
      </c>
      <c r="K1576" s="85">
        <v>0</v>
      </c>
      <c r="L1576" s="36">
        <v>526.16</v>
      </c>
      <c r="M1576" s="36">
        <v>0</v>
      </c>
      <c r="N1576" s="36">
        <v>91.27</v>
      </c>
      <c r="O1576" s="36">
        <v>434.89</v>
      </c>
      <c r="P1576" t="s">
        <v>127</v>
      </c>
      <c r="Q1576" t="s">
        <v>111</v>
      </c>
      <c r="R1576" t="s">
        <v>111</v>
      </c>
      <c r="S1576" s="1">
        <v>46035</v>
      </c>
      <c r="T1576" s="1">
        <v>46054</v>
      </c>
      <c r="U1576" s="1">
        <v>46034</v>
      </c>
      <c r="V1576" s="1">
        <v>46399</v>
      </c>
      <c r="W1576" t="s">
        <v>38</v>
      </c>
      <c r="X1576">
        <v>12</v>
      </c>
      <c r="Y1576" t="s">
        <v>49</v>
      </c>
      <c r="Z1576" t="s">
        <v>81</v>
      </c>
      <c r="AA1576" t="s">
        <v>112</v>
      </c>
      <c r="AB1576">
        <v>12</v>
      </c>
      <c r="AC1576" t="s">
        <v>113</v>
      </c>
      <c r="AD1576" t="s">
        <v>134</v>
      </c>
      <c r="AE1576" t="s">
        <v>135</v>
      </c>
      <c r="AF1576" t="s">
        <v>44</v>
      </c>
      <c r="AG1576" t="str">
        <f t="shared" si="25"/>
        <v>CC 12x</v>
      </c>
      <c r="AH1576" t="str">
        <f>IF(AND(SUMIF(E:E,E1576,I:I)&gt;=400000,Q1576="B2G"),"n","")</f>
        <v/>
      </c>
    </row>
    <row r="1577" spans="1:34">
      <c r="A1577">
        <v>2026</v>
      </c>
      <c r="B1577">
        <v>2</v>
      </c>
      <c r="C1577" s="83">
        <v>2126894</v>
      </c>
      <c r="D1577" t="s">
        <v>1528</v>
      </c>
      <c r="E1577">
        <v>56936465047</v>
      </c>
      <c r="F1577">
        <v>506180</v>
      </c>
      <c r="G1577">
        <v>52162160709</v>
      </c>
      <c r="H1577" t="s">
        <v>35</v>
      </c>
      <c r="I1577" s="36">
        <v>6000.36</v>
      </c>
      <c r="J1577" s="36">
        <v>6000.36</v>
      </c>
      <c r="K1577" s="85">
        <v>0</v>
      </c>
      <c r="L1577" s="36">
        <v>500.03</v>
      </c>
      <c r="M1577" s="36">
        <v>0</v>
      </c>
      <c r="N1577" s="36">
        <v>60.323659999999997</v>
      </c>
      <c r="O1577" s="36">
        <v>439.71</v>
      </c>
      <c r="P1577" t="s">
        <v>116</v>
      </c>
      <c r="Q1577" t="s">
        <v>111</v>
      </c>
      <c r="R1577" t="s">
        <v>111</v>
      </c>
      <c r="S1577" s="1">
        <v>46077</v>
      </c>
      <c r="T1577" s="1">
        <v>46077</v>
      </c>
      <c r="U1577" s="1">
        <v>46076</v>
      </c>
      <c r="V1577" s="1">
        <v>46441</v>
      </c>
      <c r="W1577" t="s">
        <v>38</v>
      </c>
      <c r="X1577">
        <v>12</v>
      </c>
      <c r="Y1577" t="s">
        <v>49</v>
      </c>
      <c r="Z1577" t="s">
        <v>81</v>
      </c>
      <c r="AA1577" t="s">
        <v>112</v>
      </c>
      <c r="AB1577">
        <v>12</v>
      </c>
      <c r="AC1577" t="s">
        <v>113</v>
      </c>
      <c r="AD1577" t="s">
        <v>134</v>
      </c>
      <c r="AE1577" t="s">
        <v>135</v>
      </c>
      <c r="AF1577" t="s">
        <v>44</v>
      </c>
      <c r="AG1577" t="str">
        <f t="shared" si="25"/>
        <v>CC 12x</v>
      </c>
      <c r="AH1577" t="str">
        <f>IF(AND(SUMIF(E:E,E1577,I:I)&gt;=400000,Q1577="B2G"),"n","")</f>
        <v/>
      </c>
    </row>
    <row r="1578" spans="1:34">
      <c r="A1578">
        <v>2026</v>
      </c>
      <c r="B1578">
        <v>2</v>
      </c>
      <c r="C1578" s="83">
        <v>2128747</v>
      </c>
      <c r="D1578" t="s">
        <v>1529</v>
      </c>
      <c r="E1578">
        <v>53282003103</v>
      </c>
      <c r="F1578">
        <v>505960</v>
      </c>
      <c r="G1578">
        <v>48452348518</v>
      </c>
      <c r="H1578" t="s">
        <v>35</v>
      </c>
      <c r="I1578" s="36">
        <v>2874</v>
      </c>
      <c r="J1578" s="36">
        <v>2874</v>
      </c>
      <c r="K1578" s="85">
        <v>0</v>
      </c>
      <c r="L1578" s="36">
        <v>239.5</v>
      </c>
      <c r="M1578" s="36">
        <v>0</v>
      </c>
      <c r="N1578" s="36">
        <v>0.5</v>
      </c>
      <c r="O1578" s="36">
        <v>239</v>
      </c>
      <c r="P1578" t="s">
        <v>165</v>
      </c>
      <c r="Q1578" t="s">
        <v>166</v>
      </c>
      <c r="R1578" t="s">
        <v>166</v>
      </c>
      <c r="S1578" s="1">
        <v>46074</v>
      </c>
      <c r="T1578" s="1">
        <v>46074</v>
      </c>
      <c r="U1578" s="1">
        <v>46074</v>
      </c>
      <c r="V1578" s="1">
        <v>46439</v>
      </c>
      <c r="W1578" t="s">
        <v>38</v>
      </c>
      <c r="X1578">
        <v>12</v>
      </c>
      <c r="Y1578" t="s">
        <v>49</v>
      </c>
      <c r="Z1578" t="s">
        <v>81</v>
      </c>
      <c r="AA1578" t="s">
        <v>122</v>
      </c>
      <c r="AB1578">
        <v>12</v>
      </c>
      <c r="AC1578" t="s">
        <v>166</v>
      </c>
      <c r="AD1578" t="s">
        <v>140</v>
      </c>
      <c r="AE1578" t="s">
        <v>46</v>
      </c>
      <c r="AF1578" t="s">
        <v>119</v>
      </c>
      <c r="AG1578" t="str">
        <f t="shared" si="25"/>
        <v>Recorrente</v>
      </c>
      <c r="AH1578" t="str">
        <f>IF(AND(SUMIF(E:E,E1578,I:I)&gt;=400000,Q1578="B2G"),"n","")</f>
        <v/>
      </c>
    </row>
    <row r="1579" spans="1:34">
      <c r="A1579">
        <v>2026</v>
      </c>
      <c r="B1579">
        <v>2</v>
      </c>
      <c r="C1579" s="83">
        <v>2128907</v>
      </c>
      <c r="D1579" t="s">
        <v>1530</v>
      </c>
      <c r="E1579">
        <v>56009140240</v>
      </c>
      <c r="F1579">
        <v>306948</v>
      </c>
      <c r="G1579">
        <v>51464305542</v>
      </c>
      <c r="H1579" t="s">
        <v>35</v>
      </c>
      <c r="I1579" s="36">
        <v>5455.8</v>
      </c>
      <c r="J1579" s="36">
        <v>5455.8</v>
      </c>
      <c r="K1579" s="85">
        <v>0</v>
      </c>
      <c r="L1579" s="36">
        <v>454.65</v>
      </c>
      <c r="M1579" s="36">
        <v>0</v>
      </c>
      <c r="N1579" s="36">
        <v>52.99</v>
      </c>
      <c r="O1579" s="36">
        <v>401.66</v>
      </c>
      <c r="P1579" t="s">
        <v>121</v>
      </c>
      <c r="Q1579" t="s">
        <v>111</v>
      </c>
      <c r="R1579" t="s">
        <v>111</v>
      </c>
      <c r="S1579" s="1">
        <v>46065</v>
      </c>
      <c r="T1579" s="1">
        <v>46065</v>
      </c>
      <c r="U1579" s="1">
        <v>46069</v>
      </c>
      <c r="V1579" s="1">
        <v>46434</v>
      </c>
      <c r="W1579" t="s">
        <v>38</v>
      </c>
      <c r="X1579">
        <v>12</v>
      </c>
      <c r="Y1579" t="s">
        <v>49</v>
      </c>
      <c r="Z1579" t="s">
        <v>81</v>
      </c>
      <c r="AA1579" t="s">
        <v>122</v>
      </c>
      <c r="AB1579">
        <v>12</v>
      </c>
      <c r="AC1579" t="s">
        <v>113</v>
      </c>
      <c r="AD1579" t="s">
        <v>125</v>
      </c>
      <c r="AE1579" t="s">
        <v>43</v>
      </c>
      <c r="AF1579" t="s">
        <v>47</v>
      </c>
      <c r="AG1579" t="str">
        <f t="shared" si="25"/>
        <v>Recorrente</v>
      </c>
      <c r="AH1579" t="str">
        <f>IF(AND(SUMIF(E:E,E1579,I:I)&gt;=400000,Q1579="B2G"),"n","")</f>
        <v/>
      </c>
    </row>
    <row r="1580" spans="1:34">
      <c r="A1580">
        <v>2026</v>
      </c>
      <c r="B1580">
        <v>2</v>
      </c>
      <c r="C1580" s="83">
        <v>2130547</v>
      </c>
      <c r="D1580" t="s">
        <v>1531</v>
      </c>
      <c r="E1580">
        <v>53177015952</v>
      </c>
      <c r="F1580">
        <v>276285</v>
      </c>
      <c r="G1580">
        <v>48294541167</v>
      </c>
      <c r="H1580" t="s">
        <v>35</v>
      </c>
      <c r="I1580" s="36">
        <v>9445.44</v>
      </c>
      <c r="J1580" s="36">
        <v>9445.44</v>
      </c>
      <c r="K1580" s="85">
        <v>0</v>
      </c>
      <c r="L1580" s="36">
        <v>787.12</v>
      </c>
      <c r="M1580" s="36">
        <v>0</v>
      </c>
      <c r="N1580" s="36">
        <v>176.655</v>
      </c>
      <c r="O1580" s="36">
        <v>610.47</v>
      </c>
      <c r="P1580" t="s">
        <v>165</v>
      </c>
      <c r="Q1580" t="s">
        <v>166</v>
      </c>
      <c r="R1580" t="s">
        <v>166</v>
      </c>
      <c r="S1580" s="1">
        <v>46071</v>
      </c>
      <c r="T1580" s="1">
        <v>46071</v>
      </c>
      <c r="U1580" s="1">
        <v>46071</v>
      </c>
      <c r="V1580" s="1">
        <v>46436</v>
      </c>
      <c r="W1580" t="s">
        <v>38</v>
      </c>
      <c r="X1580">
        <v>12</v>
      </c>
      <c r="Y1580" t="s">
        <v>49</v>
      </c>
      <c r="Z1580" t="s">
        <v>81</v>
      </c>
      <c r="AA1580" t="s">
        <v>122</v>
      </c>
      <c r="AB1580">
        <v>12</v>
      </c>
      <c r="AC1580" t="s">
        <v>166</v>
      </c>
      <c r="AD1580" t="s">
        <v>146</v>
      </c>
      <c r="AE1580" t="s">
        <v>135</v>
      </c>
      <c r="AF1580" t="s">
        <v>96</v>
      </c>
      <c r="AG1580" t="str">
        <f t="shared" ref="AG1580:AG1643" si="26">IF(IFERROR(SEARCH("Recorrente",AA1580),0)&gt;0,"Recorrente",IF(AB1580=1,"À Vista",IF(AB1580&lt;=3,"CC 3x",IF(AB1580&lt;=12,"CC 12x",IF(AB1580&gt;12,"Recorrente","")))))</f>
        <v>Recorrente</v>
      </c>
      <c r="AH1580" t="str">
        <f>IF(AND(SUMIF(E:E,E1580,I:I)&gt;=400000,Q1580="B2G"),"n","")</f>
        <v/>
      </c>
    </row>
    <row r="1581" spans="1:34">
      <c r="A1581">
        <v>2026</v>
      </c>
      <c r="B1581">
        <v>2</v>
      </c>
      <c r="C1581" s="83">
        <v>2130670</v>
      </c>
      <c r="D1581" t="s">
        <v>1532</v>
      </c>
      <c r="E1581">
        <v>56497674564</v>
      </c>
      <c r="F1581">
        <v>625443</v>
      </c>
      <c r="G1581">
        <v>51905809535</v>
      </c>
      <c r="H1581" t="s">
        <v>35</v>
      </c>
      <c r="I1581" s="36">
        <v>5178.6000000000004</v>
      </c>
      <c r="J1581" s="36">
        <v>5178.6000000000004</v>
      </c>
      <c r="K1581" s="85">
        <v>0</v>
      </c>
      <c r="L1581" s="36">
        <v>431.55</v>
      </c>
      <c r="M1581" s="36">
        <v>431.55</v>
      </c>
      <c r="N1581" s="36">
        <v>0</v>
      </c>
      <c r="O1581" s="36">
        <v>0</v>
      </c>
      <c r="P1581" t="s">
        <v>121</v>
      </c>
      <c r="Q1581" t="s">
        <v>111</v>
      </c>
      <c r="R1581" t="s">
        <v>111</v>
      </c>
      <c r="S1581" s="1">
        <v>46075</v>
      </c>
      <c r="T1581" s="1">
        <v>46075</v>
      </c>
      <c r="U1581" s="1">
        <v>46036</v>
      </c>
      <c r="V1581" s="1">
        <v>46441</v>
      </c>
      <c r="W1581" t="s">
        <v>38</v>
      </c>
      <c r="X1581">
        <v>13</v>
      </c>
      <c r="Y1581" t="s">
        <v>49</v>
      </c>
      <c r="Z1581" t="s">
        <v>81</v>
      </c>
      <c r="AA1581" t="s">
        <v>122</v>
      </c>
      <c r="AB1581">
        <v>12</v>
      </c>
      <c r="AC1581" t="s">
        <v>113</v>
      </c>
      <c r="AD1581" t="s">
        <v>85</v>
      </c>
      <c r="AE1581" t="s">
        <v>46</v>
      </c>
      <c r="AF1581" t="s">
        <v>44</v>
      </c>
      <c r="AG1581" t="str">
        <f t="shared" si="26"/>
        <v>Recorrente</v>
      </c>
      <c r="AH1581" t="str">
        <f>IF(AND(SUMIF(E:E,E1581,I:I)&gt;=400000,Q1581="B2G"),"n","")</f>
        <v/>
      </c>
    </row>
    <row r="1582" spans="1:34">
      <c r="A1582">
        <v>2026</v>
      </c>
      <c r="B1582">
        <v>2</v>
      </c>
      <c r="C1582" s="83">
        <v>2131518</v>
      </c>
      <c r="D1582" t="s">
        <v>1533</v>
      </c>
      <c r="E1582">
        <v>57024112307</v>
      </c>
      <c r="F1582">
        <v>636259</v>
      </c>
      <c r="G1582">
        <v>52292074518</v>
      </c>
      <c r="H1582" t="s">
        <v>35</v>
      </c>
      <c r="I1582" s="36">
        <v>5512.32</v>
      </c>
      <c r="J1582" s="36">
        <v>5512.3320000000003</v>
      </c>
      <c r="K1582" s="85">
        <v>0</v>
      </c>
      <c r="L1582" s="36">
        <v>459.36099999999999</v>
      </c>
      <c r="M1582" s="36">
        <v>459.36099999999999</v>
      </c>
      <c r="N1582" s="36">
        <v>0</v>
      </c>
      <c r="O1582" s="36">
        <v>0</v>
      </c>
      <c r="P1582" t="s">
        <v>506</v>
      </c>
      <c r="Q1582" t="s">
        <v>300</v>
      </c>
      <c r="R1582" t="s">
        <v>300</v>
      </c>
      <c r="S1582" s="1">
        <v>46078</v>
      </c>
      <c r="T1582" s="1">
        <v>46078</v>
      </c>
      <c r="V1582" s="1">
        <v>46443</v>
      </c>
      <c r="W1582" t="s">
        <v>38</v>
      </c>
      <c r="X1582">
        <v>12</v>
      </c>
      <c r="Y1582" t="s">
        <v>49</v>
      </c>
      <c r="AA1582" t="s">
        <v>122</v>
      </c>
      <c r="AB1582">
        <v>12</v>
      </c>
      <c r="AC1582" t="s">
        <v>301</v>
      </c>
      <c r="AD1582" t="s">
        <v>85</v>
      </c>
      <c r="AE1582" t="s">
        <v>46</v>
      </c>
      <c r="AF1582" t="s">
        <v>44</v>
      </c>
      <c r="AG1582" t="str">
        <f t="shared" si="26"/>
        <v>Recorrente</v>
      </c>
      <c r="AH1582" t="str">
        <f>IF(AND(SUMIF(E:E,E1582,I:I)&gt;=400000,Q1582="B2G"),"n","")</f>
        <v/>
      </c>
    </row>
    <row r="1583" spans="1:34">
      <c r="A1583">
        <v>2026</v>
      </c>
      <c r="B1583">
        <v>2</v>
      </c>
      <c r="C1583" s="83">
        <v>2131571</v>
      </c>
      <c r="D1583" t="s">
        <v>1534</v>
      </c>
      <c r="E1583">
        <v>53391760818</v>
      </c>
      <c r="F1583">
        <v>304388</v>
      </c>
      <c r="G1583">
        <v>48992654894</v>
      </c>
      <c r="H1583" t="s">
        <v>35</v>
      </c>
      <c r="I1583" s="36">
        <v>4603.2</v>
      </c>
      <c r="J1583" s="36">
        <v>4603.2</v>
      </c>
      <c r="K1583" s="85">
        <v>0</v>
      </c>
      <c r="L1583" s="36">
        <v>383.6</v>
      </c>
      <c r="M1583" s="36">
        <v>0</v>
      </c>
      <c r="N1583" s="36">
        <v>60.84</v>
      </c>
      <c r="O1583" s="36">
        <v>322.76</v>
      </c>
      <c r="P1583" t="s">
        <v>133</v>
      </c>
      <c r="Q1583" t="s">
        <v>111</v>
      </c>
      <c r="R1583" t="s">
        <v>111</v>
      </c>
      <c r="S1583" s="1">
        <v>46076</v>
      </c>
      <c r="T1583" s="1">
        <v>46076</v>
      </c>
      <c r="U1583" s="1">
        <v>46075</v>
      </c>
      <c r="V1583" s="1">
        <v>46440</v>
      </c>
      <c r="W1583" t="s">
        <v>38</v>
      </c>
      <c r="X1583">
        <v>12</v>
      </c>
      <c r="Y1583" t="s">
        <v>49</v>
      </c>
      <c r="Z1583" t="s">
        <v>81</v>
      </c>
      <c r="AA1583" t="s">
        <v>122</v>
      </c>
      <c r="AB1583">
        <v>12</v>
      </c>
      <c r="AC1583" t="s">
        <v>113</v>
      </c>
      <c r="AD1583" t="s">
        <v>85</v>
      </c>
      <c r="AE1583" t="s">
        <v>46</v>
      </c>
      <c r="AF1583" t="s">
        <v>44</v>
      </c>
      <c r="AG1583" t="str">
        <f t="shared" si="26"/>
        <v>Recorrente</v>
      </c>
      <c r="AH1583" t="str">
        <f>IF(AND(SUMIF(E:E,E1583,I:I)&gt;=400000,Q1583="B2G"),"n","")</f>
        <v/>
      </c>
    </row>
    <row r="1584" spans="1:34">
      <c r="A1584">
        <v>2026</v>
      </c>
      <c r="B1584">
        <v>2</v>
      </c>
      <c r="C1584" s="83">
        <v>2131586</v>
      </c>
      <c r="D1584" t="s">
        <v>1535</v>
      </c>
      <c r="E1584">
        <v>55775897676</v>
      </c>
      <c r="F1584">
        <v>635999</v>
      </c>
      <c r="G1584">
        <v>51120861275</v>
      </c>
      <c r="H1584" t="s">
        <v>35</v>
      </c>
      <c r="I1584" s="36">
        <v>5754</v>
      </c>
      <c r="J1584" s="36">
        <v>5754</v>
      </c>
      <c r="K1584" s="85">
        <v>0</v>
      </c>
      <c r="L1584" s="36">
        <v>479.5</v>
      </c>
      <c r="M1584" s="36">
        <v>0</v>
      </c>
      <c r="N1584" s="36">
        <v>117.1</v>
      </c>
      <c r="O1584" s="36">
        <v>362.4</v>
      </c>
      <c r="P1584" t="s">
        <v>367</v>
      </c>
      <c r="Q1584" t="s">
        <v>191</v>
      </c>
      <c r="R1584" t="s">
        <v>191</v>
      </c>
      <c r="S1584" s="1">
        <v>46062</v>
      </c>
      <c r="T1584" s="1">
        <v>46062</v>
      </c>
      <c r="V1584" s="1">
        <v>46427</v>
      </c>
      <c r="W1584" t="s">
        <v>38</v>
      </c>
      <c r="Y1584" t="s">
        <v>49</v>
      </c>
      <c r="AA1584" t="s">
        <v>122</v>
      </c>
      <c r="AB1584">
        <v>12</v>
      </c>
      <c r="AC1584" t="s">
        <v>192</v>
      </c>
      <c r="AD1584" t="s">
        <v>85</v>
      </c>
      <c r="AE1584" t="s">
        <v>46</v>
      </c>
      <c r="AF1584" t="s">
        <v>44</v>
      </c>
      <c r="AG1584" t="str">
        <f t="shared" si="26"/>
        <v>Recorrente</v>
      </c>
      <c r="AH1584" t="str">
        <f>IF(AND(SUMIF(E:E,E1584,I:I)&gt;=400000,Q1584="B2G"),"n","")</f>
        <v/>
      </c>
    </row>
    <row r="1585" spans="1:34">
      <c r="A1585">
        <v>2026</v>
      </c>
      <c r="B1585">
        <v>2</v>
      </c>
      <c r="C1585" s="83">
        <v>2131730</v>
      </c>
      <c r="D1585" t="s">
        <v>1536</v>
      </c>
      <c r="E1585">
        <v>56173905986</v>
      </c>
      <c r="F1585">
        <v>636072</v>
      </c>
      <c r="G1585">
        <v>51309539244</v>
      </c>
      <c r="H1585" t="s">
        <v>104</v>
      </c>
      <c r="I1585" s="36">
        <v>718.8</v>
      </c>
      <c r="J1585" s="36">
        <v>718.8</v>
      </c>
      <c r="K1585" s="85">
        <v>0</v>
      </c>
      <c r="L1585" s="36">
        <v>59.9</v>
      </c>
      <c r="M1585" s="36">
        <v>59.9</v>
      </c>
      <c r="N1585" s="36">
        <v>0</v>
      </c>
      <c r="O1585" s="36">
        <v>0</v>
      </c>
      <c r="P1585" t="s">
        <v>497</v>
      </c>
      <c r="Q1585" t="s">
        <v>498</v>
      </c>
      <c r="R1585" t="s">
        <v>498</v>
      </c>
      <c r="S1585" s="1">
        <v>46065</v>
      </c>
      <c r="T1585" s="1">
        <v>46065</v>
      </c>
      <c r="V1585" s="1">
        <v>46430</v>
      </c>
      <c r="W1585" t="s">
        <v>38</v>
      </c>
      <c r="X1585">
        <v>12</v>
      </c>
      <c r="Y1585" t="s">
        <v>49</v>
      </c>
      <c r="AA1585" t="s">
        <v>112</v>
      </c>
      <c r="AB1585">
        <v>12</v>
      </c>
      <c r="AC1585" t="s">
        <v>499</v>
      </c>
      <c r="AD1585" t="s">
        <v>105</v>
      </c>
      <c r="AE1585" t="s">
        <v>106</v>
      </c>
      <c r="AF1585" t="s">
        <v>59</v>
      </c>
      <c r="AG1585" t="str">
        <f t="shared" si="26"/>
        <v>CC 12x</v>
      </c>
      <c r="AH1585" t="str">
        <f>IF(AND(SUMIF(E:E,E1585,I:I)&gt;=400000,Q1585="B2G"),"n","")</f>
        <v/>
      </c>
    </row>
    <row r="1586" spans="1:34">
      <c r="A1586">
        <v>2026</v>
      </c>
      <c r="B1586">
        <v>2</v>
      </c>
      <c r="C1586" s="83">
        <v>2132043</v>
      </c>
      <c r="D1586" t="s">
        <v>1537</v>
      </c>
      <c r="E1586">
        <v>53118306196</v>
      </c>
      <c r="F1586">
        <v>626585</v>
      </c>
      <c r="G1586">
        <v>48997311304</v>
      </c>
      <c r="H1586" t="s">
        <v>35</v>
      </c>
      <c r="I1586" s="36">
        <v>8886.24</v>
      </c>
      <c r="J1586" s="36">
        <v>8886.24</v>
      </c>
      <c r="K1586" s="85">
        <v>0</v>
      </c>
      <c r="L1586" s="36">
        <v>740.52</v>
      </c>
      <c r="M1586" s="36">
        <v>0</v>
      </c>
      <c r="N1586" s="36">
        <v>1.5249999999999999</v>
      </c>
      <c r="O1586" s="36">
        <v>739</v>
      </c>
      <c r="P1586" t="s">
        <v>133</v>
      </c>
      <c r="Q1586" t="s">
        <v>111</v>
      </c>
      <c r="R1586" t="s">
        <v>111</v>
      </c>
      <c r="S1586" s="1">
        <v>46060</v>
      </c>
      <c r="T1586" s="1">
        <v>46060</v>
      </c>
      <c r="U1586" s="1">
        <v>46067</v>
      </c>
      <c r="V1586" s="1">
        <v>46446</v>
      </c>
      <c r="W1586" t="s">
        <v>38</v>
      </c>
      <c r="X1586">
        <v>12</v>
      </c>
      <c r="Y1586" t="s">
        <v>49</v>
      </c>
      <c r="Z1586" t="s">
        <v>81</v>
      </c>
      <c r="AA1586" t="s">
        <v>112</v>
      </c>
      <c r="AB1586">
        <v>12</v>
      </c>
      <c r="AC1586" t="s">
        <v>113</v>
      </c>
      <c r="AD1586" t="s">
        <v>134</v>
      </c>
      <c r="AE1586" t="s">
        <v>135</v>
      </c>
      <c r="AF1586" t="s">
        <v>44</v>
      </c>
      <c r="AG1586" t="str">
        <f t="shared" si="26"/>
        <v>CC 12x</v>
      </c>
      <c r="AH1586" t="str">
        <f>IF(AND(SUMIF(E:E,E1586,I:I)&gt;=400000,Q1586="B2G"),"n","")</f>
        <v/>
      </c>
    </row>
    <row r="1587" spans="1:34">
      <c r="A1587">
        <v>2026</v>
      </c>
      <c r="B1587">
        <v>2</v>
      </c>
      <c r="C1587" s="83">
        <v>2132585</v>
      </c>
      <c r="D1587" t="s">
        <v>1538</v>
      </c>
      <c r="E1587">
        <v>52466477879</v>
      </c>
      <c r="F1587">
        <v>607448</v>
      </c>
      <c r="G1587">
        <v>48385362203</v>
      </c>
      <c r="H1587" t="s">
        <v>35</v>
      </c>
      <c r="I1587" s="36">
        <v>2736</v>
      </c>
      <c r="J1587" s="36">
        <v>2736</v>
      </c>
      <c r="K1587" s="85">
        <v>0</v>
      </c>
      <c r="L1587" s="36">
        <v>228</v>
      </c>
      <c r="M1587" s="36">
        <v>0</v>
      </c>
      <c r="N1587" s="36">
        <v>0.94921</v>
      </c>
      <c r="O1587" s="36">
        <v>227.05</v>
      </c>
      <c r="P1587" t="s">
        <v>137</v>
      </c>
      <c r="Q1587" t="s">
        <v>111</v>
      </c>
      <c r="R1587" t="s">
        <v>111</v>
      </c>
      <c r="S1587" s="1">
        <v>46036</v>
      </c>
      <c r="T1587" s="1">
        <v>46054</v>
      </c>
      <c r="U1587" s="1">
        <v>46038</v>
      </c>
      <c r="V1587" s="1">
        <v>46403</v>
      </c>
      <c r="W1587" t="s">
        <v>38</v>
      </c>
      <c r="X1587">
        <v>12</v>
      </c>
      <c r="Y1587" t="s">
        <v>49</v>
      </c>
      <c r="Z1587" t="s">
        <v>81</v>
      </c>
      <c r="AA1587" t="s">
        <v>122</v>
      </c>
      <c r="AB1587">
        <v>12</v>
      </c>
      <c r="AC1587" t="s">
        <v>113</v>
      </c>
      <c r="AD1587" t="s">
        <v>140</v>
      </c>
      <c r="AE1587" t="s">
        <v>46</v>
      </c>
      <c r="AF1587" t="s">
        <v>119</v>
      </c>
      <c r="AG1587" t="str">
        <f t="shared" si="26"/>
        <v>Recorrente</v>
      </c>
      <c r="AH1587" t="str">
        <f>IF(AND(SUMIF(E:E,E1587,I:I)&gt;=400000,Q1587="B2G"),"n","")</f>
        <v/>
      </c>
    </row>
    <row r="1588" spans="1:34">
      <c r="A1588">
        <v>2026</v>
      </c>
      <c r="B1588">
        <v>2</v>
      </c>
      <c r="C1588" s="83">
        <v>2132815</v>
      </c>
      <c r="D1588" t="s">
        <v>1539</v>
      </c>
      <c r="E1588">
        <v>56018557778</v>
      </c>
      <c r="F1588">
        <v>636053</v>
      </c>
      <c r="G1588">
        <v>51425003619</v>
      </c>
      <c r="H1588" t="s">
        <v>35</v>
      </c>
      <c r="I1588" s="36">
        <v>4530.6000000000004</v>
      </c>
      <c r="J1588" s="36">
        <v>4530.6000000000004</v>
      </c>
      <c r="K1588" s="85">
        <v>0</v>
      </c>
      <c r="L1588" s="36">
        <v>377.55</v>
      </c>
      <c r="M1588" s="36">
        <v>0</v>
      </c>
      <c r="N1588" s="36">
        <v>64.989999999999995</v>
      </c>
      <c r="O1588" s="36">
        <v>312.56</v>
      </c>
      <c r="P1588" t="s">
        <v>367</v>
      </c>
      <c r="Q1588" t="s">
        <v>191</v>
      </c>
      <c r="R1588" t="s">
        <v>191</v>
      </c>
      <c r="S1588" s="1">
        <v>46064</v>
      </c>
      <c r="T1588" s="1">
        <v>46064</v>
      </c>
      <c r="V1588" s="1">
        <v>46429</v>
      </c>
      <c r="W1588" t="s">
        <v>38</v>
      </c>
      <c r="Y1588" t="s">
        <v>49</v>
      </c>
      <c r="AA1588" t="s">
        <v>122</v>
      </c>
      <c r="AB1588">
        <v>12</v>
      </c>
      <c r="AC1588" t="s">
        <v>192</v>
      </c>
      <c r="AD1588" t="s">
        <v>84</v>
      </c>
      <c r="AE1588" t="s">
        <v>43</v>
      </c>
      <c r="AF1588" t="s">
        <v>44</v>
      </c>
      <c r="AG1588" t="str">
        <f t="shared" si="26"/>
        <v>Recorrente</v>
      </c>
      <c r="AH1588" t="str">
        <f>IF(AND(SUMIF(E:E,E1588,I:I)&gt;=400000,Q1588="B2G"),"n","")</f>
        <v/>
      </c>
    </row>
    <row r="1589" spans="1:34">
      <c r="A1589">
        <v>2026</v>
      </c>
      <c r="B1589">
        <v>2</v>
      </c>
      <c r="C1589" s="83">
        <v>2132815</v>
      </c>
      <c r="D1589" t="s">
        <v>1539</v>
      </c>
      <c r="E1589">
        <v>56018557778</v>
      </c>
      <c r="F1589">
        <v>636053</v>
      </c>
      <c r="G1589">
        <v>51425003620</v>
      </c>
      <c r="H1589" t="s">
        <v>35</v>
      </c>
      <c r="I1589" s="36">
        <v>4530.6000000000004</v>
      </c>
      <c r="J1589" s="36">
        <v>4530.6000000000004</v>
      </c>
      <c r="K1589" s="85">
        <v>0</v>
      </c>
      <c r="L1589" s="36">
        <v>377.55</v>
      </c>
      <c r="M1589" s="36">
        <v>0</v>
      </c>
      <c r="N1589" s="36">
        <v>64.989999999999995</v>
      </c>
      <c r="O1589" s="36">
        <v>312.56</v>
      </c>
      <c r="P1589" t="s">
        <v>367</v>
      </c>
      <c r="Q1589" t="s">
        <v>191</v>
      </c>
      <c r="R1589" t="s">
        <v>191</v>
      </c>
      <c r="S1589" s="1">
        <v>46064</v>
      </c>
      <c r="T1589" s="1">
        <v>46064</v>
      </c>
      <c r="V1589" s="1">
        <v>46429</v>
      </c>
      <c r="W1589" t="s">
        <v>38</v>
      </c>
      <c r="Y1589" t="s">
        <v>49</v>
      </c>
      <c r="AA1589" t="s">
        <v>122</v>
      </c>
      <c r="AB1589">
        <v>12</v>
      </c>
      <c r="AC1589" t="s">
        <v>192</v>
      </c>
      <c r="AD1589" t="s">
        <v>84</v>
      </c>
      <c r="AE1589" t="s">
        <v>43</v>
      </c>
      <c r="AF1589" t="s">
        <v>44</v>
      </c>
      <c r="AG1589" t="str">
        <f t="shared" si="26"/>
        <v>Recorrente</v>
      </c>
      <c r="AH1589" t="str">
        <f>IF(AND(SUMIF(E:E,E1589,I:I)&gt;=400000,Q1589="B2G"),"n","")</f>
        <v/>
      </c>
    </row>
    <row r="1590" spans="1:34">
      <c r="A1590">
        <v>2026</v>
      </c>
      <c r="B1590">
        <v>2</v>
      </c>
      <c r="C1590" s="83">
        <v>2132982</v>
      </c>
      <c r="D1590" t="s">
        <v>1540</v>
      </c>
      <c r="E1590">
        <v>55371795330</v>
      </c>
      <c r="F1590">
        <v>636084</v>
      </c>
      <c r="G1590">
        <v>50925871891</v>
      </c>
      <c r="H1590" t="s">
        <v>35</v>
      </c>
      <c r="I1590" s="36">
        <v>2874</v>
      </c>
      <c r="J1590" s="36">
        <v>2874</v>
      </c>
      <c r="K1590" s="85">
        <v>0</v>
      </c>
      <c r="L1590" s="36">
        <v>239.5</v>
      </c>
      <c r="M1590" s="36">
        <v>239.5</v>
      </c>
      <c r="N1590" s="36">
        <v>0</v>
      </c>
      <c r="O1590" s="36">
        <v>0</v>
      </c>
      <c r="P1590" t="s">
        <v>506</v>
      </c>
      <c r="Q1590" t="s">
        <v>300</v>
      </c>
      <c r="R1590" t="s">
        <v>300</v>
      </c>
      <c r="S1590" s="1">
        <v>46066</v>
      </c>
      <c r="T1590" s="1">
        <v>46066</v>
      </c>
      <c r="V1590" s="1">
        <v>46431</v>
      </c>
      <c r="W1590" t="s">
        <v>38</v>
      </c>
      <c r="X1590">
        <v>12</v>
      </c>
      <c r="Y1590" t="s">
        <v>49</v>
      </c>
      <c r="AA1590" t="s">
        <v>122</v>
      </c>
      <c r="AB1590">
        <v>12</v>
      </c>
      <c r="AC1590" t="s">
        <v>301</v>
      </c>
      <c r="AD1590" t="s">
        <v>140</v>
      </c>
      <c r="AE1590" t="s">
        <v>46</v>
      </c>
      <c r="AF1590" t="s">
        <v>119</v>
      </c>
      <c r="AG1590" t="str">
        <f t="shared" si="26"/>
        <v>Recorrente</v>
      </c>
      <c r="AH1590" t="str">
        <f>IF(AND(SUMIF(E:E,E1590,I:I)&gt;=400000,Q1590="B2G"),"n","")</f>
        <v/>
      </c>
    </row>
    <row r="1591" spans="1:34">
      <c r="A1591">
        <v>2026</v>
      </c>
      <c r="B1591">
        <v>2</v>
      </c>
      <c r="C1591" s="83">
        <v>2133276</v>
      </c>
      <c r="D1591" t="s">
        <v>1541</v>
      </c>
      <c r="E1591">
        <v>56935779688</v>
      </c>
      <c r="F1591">
        <v>328113</v>
      </c>
      <c r="G1591">
        <v>52198805545</v>
      </c>
      <c r="H1591" t="s">
        <v>35</v>
      </c>
      <c r="I1591" s="36">
        <v>5244</v>
      </c>
      <c r="J1591" s="36">
        <v>5244</v>
      </c>
      <c r="K1591" s="85">
        <v>0</v>
      </c>
      <c r="L1591" s="36">
        <v>437</v>
      </c>
      <c r="M1591" s="36">
        <v>437</v>
      </c>
      <c r="N1591" s="36">
        <v>0</v>
      </c>
      <c r="O1591" s="36">
        <v>0</v>
      </c>
      <c r="P1591" t="s">
        <v>127</v>
      </c>
      <c r="Q1591" t="s">
        <v>111</v>
      </c>
      <c r="R1591" t="s">
        <v>111</v>
      </c>
      <c r="S1591" s="1">
        <v>46079</v>
      </c>
      <c r="T1591" s="1">
        <v>46079</v>
      </c>
      <c r="U1591" s="1">
        <v>46026</v>
      </c>
      <c r="V1591" s="1">
        <v>46446</v>
      </c>
      <c r="W1591" t="s">
        <v>38</v>
      </c>
      <c r="X1591">
        <v>13</v>
      </c>
      <c r="Y1591" t="s">
        <v>49</v>
      </c>
      <c r="Z1591" t="s">
        <v>76</v>
      </c>
      <c r="AA1591" t="s">
        <v>122</v>
      </c>
      <c r="AB1591">
        <v>12</v>
      </c>
      <c r="AC1591" t="s">
        <v>113</v>
      </c>
      <c r="AD1591" t="s">
        <v>138</v>
      </c>
      <c r="AE1591" t="s">
        <v>135</v>
      </c>
      <c r="AF1591" t="s">
        <v>119</v>
      </c>
      <c r="AG1591" t="str">
        <f t="shared" si="26"/>
        <v>Recorrente</v>
      </c>
      <c r="AH1591" t="str">
        <f>IF(AND(SUMIF(E:E,E1591,I:I)&gt;=400000,Q1591="B2G"),"n","")</f>
        <v/>
      </c>
    </row>
    <row r="1592" spans="1:34">
      <c r="A1592">
        <v>2026</v>
      </c>
      <c r="B1592">
        <v>2</v>
      </c>
      <c r="C1592" s="83">
        <v>2133293</v>
      </c>
      <c r="D1592" t="s">
        <v>1542</v>
      </c>
      <c r="E1592">
        <v>53626390332</v>
      </c>
      <c r="F1592">
        <v>328133</v>
      </c>
      <c r="G1592">
        <v>48885825448</v>
      </c>
      <c r="H1592" t="s">
        <v>35</v>
      </c>
      <c r="I1592" s="36">
        <v>4962.6000000000004</v>
      </c>
      <c r="J1592" s="36">
        <v>4962.6000000000004</v>
      </c>
      <c r="K1592" s="85">
        <v>0</v>
      </c>
      <c r="L1592" s="36">
        <v>413.55</v>
      </c>
      <c r="M1592" s="36">
        <v>0</v>
      </c>
      <c r="N1592" s="36">
        <v>0</v>
      </c>
      <c r="O1592" s="36">
        <v>413.55</v>
      </c>
      <c r="P1592" t="s">
        <v>110</v>
      </c>
      <c r="Q1592" t="s">
        <v>111</v>
      </c>
      <c r="R1592" t="s">
        <v>111</v>
      </c>
      <c r="S1592" s="1">
        <v>46035</v>
      </c>
      <c r="T1592" s="1">
        <v>46054</v>
      </c>
      <c r="U1592" s="1">
        <v>46033</v>
      </c>
      <c r="V1592" s="1">
        <v>46398</v>
      </c>
      <c r="W1592" t="s">
        <v>38</v>
      </c>
      <c r="X1592">
        <v>12</v>
      </c>
      <c r="Y1592" t="s">
        <v>49</v>
      </c>
      <c r="Z1592" t="s">
        <v>76</v>
      </c>
      <c r="AA1592" t="s">
        <v>112</v>
      </c>
      <c r="AB1592">
        <v>12</v>
      </c>
      <c r="AC1592" t="s">
        <v>113</v>
      </c>
      <c r="AD1592" t="s">
        <v>138</v>
      </c>
      <c r="AE1592" t="s">
        <v>135</v>
      </c>
      <c r="AF1592" t="s">
        <v>119</v>
      </c>
      <c r="AG1592" t="str">
        <f t="shared" si="26"/>
        <v>CC 12x</v>
      </c>
      <c r="AH1592" t="str">
        <f>IF(AND(SUMIF(E:E,E1592,I:I)&gt;=400000,Q1592="B2G"),"n","")</f>
        <v/>
      </c>
    </row>
    <row r="1593" spans="1:34">
      <c r="A1593">
        <v>2026</v>
      </c>
      <c r="B1593">
        <v>2</v>
      </c>
      <c r="C1593" s="83">
        <v>2133358</v>
      </c>
      <c r="D1593" t="s">
        <v>1543</v>
      </c>
      <c r="E1593">
        <v>50450972703</v>
      </c>
      <c r="F1593">
        <v>275511</v>
      </c>
      <c r="G1593">
        <v>47427228537</v>
      </c>
      <c r="H1593" t="s">
        <v>35</v>
      </c>
      <c r="I1593" s="36">
        <v>7601.04</v>
      </c>
      <c r="J1593" s="36">
        <v>7601.04</v>
      </c>
      <c r="K1593" s="85">
        <v>9.0949500000000005E-13</v>
      </c>
      <c r="L1593" s="36">
        <v>633.41999999999996</v>
      </c>
      <c r="M1593" s="36">
        <v>0</v>
      </c>
      <c r="N1593" s="36">
        <v>179.1217</v>
      </c>
      <c r="O1593" s="36">
        <v>454.3</v>
      </c>
      <c r="P1593" t="s">
        <v>133</v>
      </c>
      <c r="Q1593" t="s">
        <v>111</v>
      </c>
      <c r="R1593" t="s">
        <v>111</v>
      </c>
      <c r="S1593" s="1">
        <v>46027</v>
      </c>
      <c r="T1593" s="1">
        <v>46054</v>
      </c>
      <c r="U1593" s="1">
        <v>46032</v>
      </c>
      <c r="V1593" s="1">
        <v>46397</v>
      </c>
      <c r="W1593" t="s">
        <v>38</v>
      </c>
      <c r="X1593">
        <v>12</v>
      </c>
      <c r="Y1593" t="s">
        <v>49</v>
      </c>
      <c r="Z1593" t="s">
        <v>81</v>
      </c>
      <c r="AA1593" t="s">
        <v>122</v>
      </c>
      <c r="AB1593">
        <v>12</v>
      </c>
      <c r="AC1593" t="s">
        <v>113</v>
      </c>
      <c r="AD1593" t="s">
        <v>134</v>
      </c>
      <c r="AE1593" t="s">
        <v>135</v>
      </c>
      <c r="AF1593" t="s">
        <v>44</v>
      </c>
      <c r="AG1593" t="str">
        <f t="shared" si="26"/>
        <v>Recorrente</v>
      </c>
      <c r="AH1593" t="str">
        <f>IF(AND(SUMIF(E:E,E1593,I:I)&gt;=400000,Q1593="B2G"),"n","")</f>
        <v/>
      </c>
    </row>
    <row r="1594" spans="1:34">
      <c r="A1594">
        <v>2026</v>
      </c>
      <c r="B1594">
        <v>2</v>
      </c>
      <c r="C1594" s="83">
        <v>2133460</v>
      </c>
      <c r="D1594" t="s">
        <v>1544</v>
      </c>
      <c r="E1594">
        <v>52933105180</v>
      </c>
      <c r="F1594">
        <v>626581</v>
      </c>
      <c r="G1594">
        <v>47991624556</v>
      </c>
      <c r="H1594" t="s">
        <v>35</v>
      </c>
      <c r="I1594" s="36">
        <v>6354</v>
      </c>
      <c r="J1594" s="36">
        <v>6354</v>
      </c>
      <c r="K1594" s="85">
        <v>0</v>
      </c>
      <c r="L1594" s="36">
        <v>529.5</v>
      </c>
      <c r="M1594" s="36">
        <v>0</v>
      </c>
      <c r="N1594" s="36">
        <v>105.35</v>
      </c>
      <c r="O1594" s="36">
        <v>424.15</v>
      </c>
      <c r="P1594" t="s">
        <v>165</v>
      </c>
      <c r="Q1594" t="s">
        <v>166</v>
      </c>
      <c r="R1594" t="s">
        <v>166</v>
      </c>
      <c r="S1594" s="1">
        <v>46067</v>
      </c>
      <c r="T1594" s="1">
        <v>46067</v>
      </c>
      <c r="U1594" s="1">
        <v>46067</v>
      </c>
      <c r="V1594" s="1">
        <v>46432</v>
      </c>
      <c r="W1594" t="s">
        <v>38</v>
      </c>
      <c r="X1594">
        <v>12</v>
      </c>
      <c r="Y1594" t="s">
        <v>49</v>
      </c>
      <c r="Z1594" t="s">
        <v>81</v>
      </c>
      <c r="AA1594" t="s">
        <v>122</v>
      </c>
      <c r="AB1594">
        <v>12</v>
      </c>
      <c r="AC1594" t="s">
        <v>166</v>
      </c>
      <c r="AD1594" t="s">
        <v>158</v>
      </c>
      <c r="AE1594" t="s">
        <v>43</v>
      </c>
      <c r="AF1594" t="s">
        <v>47</v>
      </c>
      <c r="AG1594" t="str">
        <f t="shared" si="26"/>
        <v>Recorrente</v>
      </c>
      <c r="AH1594" t="str">
        <f>IF(AND(SUMIF(E:E,E1594,I:I)&gt;=400000,Q1594="B2G"),"n","")</f>
        <v/>
      </c>
    </row>
    <row r="1595" spans="1:34">
      <c r="A1595">
        <v>2026</v>
      </c>
      <c r="B1595">
        <v>2</v>
      </c>
      <c r="C1595" s="83">
        <v>2133698</v>
      </c>
      <c r="D1595" t="s">
        <v>1545</v>
      </c>
      <c r="E1595">
        <v>53700318633</v>
      </c>
      <c r="F1595">
        <v>506273</v>
      </c>
      <c r="G1595">
        <v>48903280406</v>
      </c>
      <c r="H1595" t="s">
        <v>35</v>
      </c>
      <c r="I1595" s="36">
        <v>4530.6000000000004</v>
      </c>
      <c r="J1595" s="36">
        <v>4530.6000000000004</v>
      </c>
      <c r="K1595" s="85">
        <v>0</v>
      </c>
      <c r="L1595" s="36">
        <v>377.55</v>
      </c>
      <c r="M1595" s="36">
        <v>0</v>
      </c>
      <c r="N1595" s="36">
        <v>101.8</v>
      </c>
      <c r="O1595" s="36">
        <v>275.75</v>
      </c>
      <c r="P1595" t="s">
        <v>165</v>
      </c>
      <c r="Q1595" t="s">
        <v>166</v>
      </c>
      <c r="R1595" t="s">
        <v>166</v>
      </c>
      <c r="S1595" s="1">
        <v>46077</v>
      </c>
      <c r="T1595" s="1">
        <v>46077</v>
      </c>
      <c r="U1595" s="1">
        <v>46080</v>
      </c>
      <c r="V1595" s="1">
        <v>46445</v>
      </c>
      <c r="W1595" t="s">
        <v>38</v>
      </c>
      <c r="X1595">
        <v>12</v>
      </c>
      <c r="Y1595" t="s">
        <v>49</v>
      </c>
      <c r="Z1595" t="s">
        <v>81</v>
      </c>
      <c r="AA1595" t="s">
        <v>122</v>
      </c>
      <c r="AB1595">
        <v>12</v>
      </c>
      <c r="AC1595" t="s">
        <v>166</v>
      </c>
      <c r="AD1595" t="s">
        <v>84</v>
      </c>
      <c r="AE1595" t="s">
        <v>43</v>
      </c>
      <c r="AF1595" t="s">
        <v>44</v>
      </c>
      <c r="AG1595" t="str">
        <f t="shared" si="26"/>
        <v>Recorrente</v>
      </c>
      <c r="AH1595" t="str">
        <f>IF(AND(SUMIF(E:E,E1595,I:I)&gt;=400000,Q1595="B2G"),"n","")</f>
        <v/>
      </c>
    </row>
    <row r="1596" spans="1:34">
      <c r="A1596">
        <v>2026</v>
      </c>
      <c r="B1596">
        <v>2</v>
      </c>
      <c r="C1596" s="83">
        <v>2133811</v>
      </c>
      <c r="D1596" t="s">
        <v>1546</v>
      </c>
      <c r="E1596">
        <v>55825632370</v>
      </c>
      <c r="F1596">
        <v>306308</v>
      </c>
      <c r="G1596">
        <v>51492289803</v>
      </c>
      <c r="H1596" t="s">
        <v>35</v>
      </c>
      <c r="I1596" s="36">
        <v>2442.84</v>
      </c>
      <c r="J1596" s="36">
        <v>2442.84</v>
      </c>
      <c r="K1596" s="85">
        <v>0</v>
      </c>
      <c r="L1596" s="36">
        <v>203.57</v>
      </c>
      <c r="M1596" s="36">
        <v>0</v>
      </c>
      <c r="N1596" s="36">
        <v>0</v>
      </c>
      <c r="O1596" s="36">
        <v>203.57499999999999</v>
      </c>
      <c r="P1596" t="s">
        <v>110</v>
      </c>
      <c r="Q1596" t="s">
        <v>111</v>
      </c>
      <c r="R1596" t="s">
        <v>111</v>
      </c>
      <c r="S1596" s="1">
        <v>46066</v>
      </c>
      <c r="T1596" s="1">
        <v>46066</v>
      </c>
      <c r="U1596" s="1">
        <v>46062</v>
      </c>
      <c r="V1596" s="1">
        <v>46427</v>
      </c>
      <c r="W1596" t="s">
        <v>38</v>
      </c>
      <c r="X1596">
        <v>12</v>
      </c>
      <c r="Y1596" t="s">
        <v>49</v>
      </c>
      <c r="Z1596" t="s">
        <v>81</v>
      </c>
      <c r="AA1596" t="s">
        <v>117</v>
      </c>
      <c r="AB1596">
        <v>1</v>
      </c>
      <c r="AC1596" t="s">
        <v>113</v>
      </c>
      <c r="AD1596" t="s">
        <v>118</v>
      </c>
      <c r="AE1596" t="s">
        <v>43</v>
      </c>
      <c r="AF1596" t="s">
        <v>119</v>
      </c>
      <c r="AG1596" t="str">
        <f t="shared" si="26"/>
        <v>À Vista</v>
      </c>
      <c r="AH1596" t="str">
        <f>IF(AND(SUMIF(E:E,E1596,I:I)&gt;=400000,Q1596="B2G"),"n","")</f>
        <v/>
      </c>
    </row>
    <row r="1597" spans="1:34">
      <c r="A1597">
        <v>2026</v>
      </c>
      <c r="B1597">
        <v>2</v>
      </c>
      <c r="C1597" s="83">
        <v>2134967</v>
      </c>
      <c r="D1597" t="s">
        <v>1547</v>
      </c>
      <c r="E1597">
        <v>53768859904</v>
      </c>
      <c r="F1597">
        <v>528695</v>
      </c>
      <c r="G1597">
        <v>48891072409</v>
      </c>
      <c r="H1597" t="s">
        <v>35</v>
      </c>
      <c r="I1597" s="36">
        <v>8418.6</v>
      </c>
      <c r="J1597" s="36">
        <v>8418.6</v>
      </c>
      <c r="K1597" s="85">
        <v>0</v>
      </c>
      <c r="L1597" s="36">
        <v>701.55</v>
      </c>
      <c r="M1597" s="36">
        <v>0</v>
      </c>
      <c r="N1597" s="36">
        <v>167.62</v>
      </c>
      <c r="O1597" s="36">
        <v>533.92999999999995</v>
      </c>
      <c r="P1597" t="s">
        <v>165</v>
      </c>
      <c r="Q1597" t="s">
        <v>166</v>
      </c>
      <c r="R1597" t="s">
        <v>166</v>
      </c>
      <c r="S1597" s="1">
        <v>46077</v>
      </c>
      <c r="T1597" s="1">
        <v>46077</v>
      </c>
      <c r="U1597" s="1">
        <v>46081</v>
      </c>
      <c r="V1597" s="1">
        <v>46446</v>
      </c>
      <c r="W1597" t="s">
        <v>38</v>
      </c>
      <c r="X1597">
        <v>12</v>
      </c>
      <c r="Y1597" t="s">
        <v>49</v>
      </c>
      <c r="Z1597" t="s">
        <v>81</v>
      </c>
      <c r="AA1597" t="s">
        <v>122</v>
      </c>
      <c r="AB1597">
        <v>12</v>
      </c>
      <c r="AC1597" t="s">
        <v>166</v>
      </c>
      <c r="AD1597" t="s">
        <v>134</v>
      </c>
      <c r="AE1597" t="s">
        <v>135</v>
      </c>
      <c r="AF1597" t="s">
        <v>44</v>
      </c>
      <c r="AG1597" t="str">
        <f t="shared" si="26"/>
        <v>Recorrente</v>
      </c>
      <c r="AH1597" t="str">
        <f>IF(AND(SUMIF(E:E,E1597,I:I)&gt;=400000,Q1597="B2G"),"n","")</f>
        <v/>
      </c>
    </row>
    <row r="1598" spans="1:34">
      <c r="A1598">
        <v>2026</v>
      </c>
      <c r="B1598">
        <v>2</v>
      </c>
      <c r="C1598" s="83">
        <v>2135903</v>
      </c>
      <c r="D1598" t="s">
        <v>1548</v>
      </c>
      <c r="E1598">
        <v>55478383652</v>
      </c>
      <c r="F1598">
        <v>608525</v>
      </c>
      <c r="G1598">
        <v>50778150403</v>
      </c>
      <c r="H1598" t="s">
        <v>35</v>
      </c>
      <c r="I1598" s="36">
        <v>6624.84</v>
      </c>
      <c r="J1598" s="36">
        <v>6624.84</v>
      </c>
      <c r="K1598" s="85">
        <v>0</v>
      </c>
      <c r="L1598" s="36">
        <v>552.07000000000005</v>
      </c>
      <c r="M1598" s="36">
        <v>552.07000000000005</v>
      </c>
      <c r="N1598" s="36">
        <v>0</v>
      </c>
      <c r="O1598" s="36">
        <v>0</v>
      </c>
      <c r="P1598" t="s">
        <v>121</v>
      </c>
      <c r="Q1598" t="s">
        <v>111</v>
      </c>
      <c r="R1598" t="s">
        <v>111</v>
      </c>
      <c r="S1598" s="1">
        <v>46057</v>
      </c>
      <c r="T1598" s="1">
        <v>46057</v>
      </c>
      <c r="U1598" s="1">
        <v>46053</v>
      </c>
      <c r="V1598" s="1">
        <v>46446</v>
      </c>
      <c r="W1598" t="s">
        <v>38</v>
      </c>
      <c r="X1598">
        <v>13</v>
      </c>
      <c r="Y1598" t="s">
        <v>49</v>
      </c>
      <c r="Z1598" t="s">
        <v>81</v>
      </c>
      <c r="AA1598" t="s">
        <v>122</v>
      </c>
      <c r="AB1598">
        <v>12</v>
      </c>
      <c r="AC1598" t="s">
        <v>113</v>
      </c>
      <c r="AD1598" t="s">
        <v>125</v>
      </c>
      <c r="AE1598" t="s">
        <v>43</v>
      </c>
      <c r="AF1598" t="s">
        <v>47</v>
      </c>
      <c r="AG1598" t="str">
        <f t="shared" si="26"/>
        <v>Recorrente</v>
      </c>
      <c r="AH1598" t="str">
        <f>IF(AND(SUMIF(E:E,E1598,I:I)&gt;=400000,Q1598="B2G"),"n","")</f>
        <v/>
      </c>
    </row>
    <row r="1599" spans="1:34">
      <c r="A1599">
        <v>2026</v>
      </c>
      <c r="B1599">
        <v>2</v>
      </c>
      <c r="C1599" s="83">
        <v>2136370</v>
      </c>
      <c r="D1599" t="s">
        <v>1549</v>
      </c>
      <c r="E1599">
        <v>56111218763</v>
      </c>
      <c r="F1599">
        <v>636054</v>
      </c>
      <c r="G1599">
        <v>51226132920</v>
      </c>
      <c r="H1599" t="s">
        <v>35</v>
      </c>
      <c r="I1599" s="36">
        <v>2638.32</v>
      </c>
      <c r="J1599" s="36">
        <v>2638.3319999999999</v>
      </c>
      <c r="K1599" s="85">
        <v>0</v>
      </c>
      <c r="L1599" s="36">
        <v>219.86099999999999</v>
      </c>
      <c r="M1599" s="36">
        <v>219.86099999999999</v>
      </c>
      <c r="N1599" s="36">
        <v>0</v>
      </c>
      <c r="O1599" s="36">
        <v>0</v>
      </c>
      <c r="P1599" t="s">
        <v>506</v>
      </c>
      <c r="Q1599" t="s">
        <v>300</v>
      </c>
      <c r="R1599" t="s">
        <v>300</v>
      </c>
      <c r="S1599" s="1">
        <v>46064</v>
      </c>
      <c r="T1599" s="1">
        <v>46064</v>
      </c>
      <c r="V1599" s="1">
        <v>46429</v>
      </c>
      <c r="W1599" t="s">
        <v>38</v>
      </c>
      <c r="X1599">
        <v>12</v>
      </c>
      <c r="Y1599" t="s">
        <v>49</v>
      </c>
      <c r="AA1599" t="s">
        <v>112</v>
      </c>
      <c r="AB1599">
        <v>12</v>
      </c>
      <c r="AC1599" t="s">
        <v>301</v>
      </c>
      <c r="AD1599" t="s">
        <v>140</v>
      </c>
      <c r="AE1599" t="s">
        <v>46</v>
      </c>
      <c r="AF1599" t="s">
        <v>119</v>
      </c>
      <c r="AG1599" t="str">
        <f t="shared" si="26"/>
        <v>CC 12x</v>
      </c>
      <c r="AH1599" t="str">
        <f>IF(AND(SUMIF(E:E,E1599,I:I)&gt;=400000,Q1599="B2G"),"n","")</f>
        <v/>
      </c>
    </row>
    <row r="1600" spans="1:34">
      <c r="A1600">
        <v>2026</v>
      </c>
      <c r="B1600">
        <v>2</v>
      </c>
      <c r="C1600" s="83">
        <v>2136776</v>
      </c>
      <c r="D1600" t="s">
        <v>1550</v>
      </c>
      <c r="E1600">
        <v>53575258753</v>
      </c>
      <c r="F1600">
        <v>328196</v>
      </c>
      <c r="G1600">
        <v>49347987521</v>
      </c>
      <c r="H1600" t="s">
        <v>35</v>
      </c>
      <c r="I1600" s="36">
        <v>6664.68</v>
      </c>
      <c r="J1600" s="36">
        <v>6664.68</v>
      </c>
      <c r="K1600" s="85">
        <v>0</v>
      </c>
      <c r="L1600" s="36">
        <v>555.39</v>
      </c>
      <c r="M1600" s="36">
        <v>0</v>
      </c>
      <c r="N1600" s="36">
        <v>108.64</v>
      </c>
      <c r="O1600" s="36">
        <v>446.75</v>
      </c>
      <c r="P1600" t="s">
        <v>162</v>
      </c>
      <c r="Q1600" t="s">
        <v>111</v>
      </c>
      <c r="R1600" t="s">
        <v>111</v>
      </c>
      <c r="S1600" s="1">
        <v>46038</v>
      </c>
      <c r="T1600" s="1">
        <v>46054</v>
      </c>
      <c r="U1600" s="1">
        <v>46034</v>
      </c>
      <c r="V1600" s="1">
        <v>46403</v>
      </c>
      <c r="W1600" t="s">
        <v>38</v>
      </c>
      <c r="X1600">
        <v>12</v>
      </c>
      <c r="Y1600" t="s">
        <v>49</v>
      </c>
      <c r="Z1600" t="s">
        <v>81</v>
      </c>
      <c r="AA1600" t="s">
        <v>122</v>
      </c>
      <c r="AB1600">
        <v>12</v>
      </c>
      <c r="AC1600" t="s">
        <v>113</v>
      </c>
      <c r="AD1600" t="s">
        <v>134</v>
      </c>
      <c r="AE1600" t="s">
        <v>135</v>
      </c>
      <c r="AF1600" t="s">
        <v>44</v>
      </c>
      <c r="AG1600" t="str">
        <f t="shared" si="26"/>
        <v>Recorrente</v>
      </c>
      <c r="AH1600" t="str">
        <f>IF(AND(SUMIF(E:E,E1600,I:I)&gt;=400000,Q1600="B2G"),"n","")</f>
        <v/>
      </c>
    </row>
    <row r="1601" spans="1:34">
      <c r="A1601">
        <v>2026</v>
      </c>
      <c r="B1601">
        <v>2</v>
      </c>
      <c r="C1601" s="83">
        <v>2137486</v>
      </c>
      <c r="D1601" t="s">
        <v>1551</v>
      </c>
      <c r="E1601">
        <v>53043666105</v>
      </c>
      <c r="F1601">
        <v>306414</v>
      </c>
      <c r="G1601">
        <v>50778124943</v>
      </c>
      <c r="H1601" t="s">
        <v>35</v>
      </c>
      <c r="I1601" s="36">
        <v>6235.2</v>
      </c>
      <c r="J1601" s="36">
        <v>6235.2</v>
      </c>
      <c r="K1601" s="85">
        <v>0</v>
      </c>
      <c r="L1601" s="36">
        <v>519.6</v>
      </c>
      <c r="M1601" s="36">
        <v>0</v>
      </c>
      <c r="N1601" s="36">
        <v>52.1</v>
      </c>
      <c r="O1601" s="36">
        <v>467.5</v>
      </c>
      <c r="P1601" t="s">
        <v>110</v>
      </c>
      <c r="Q1601" t="s">
        <v>111</v>
      </c>
      <c r="R1601" t="s">
        <v>111</v>
      </c>
      <c r="S1601" s="1">
        <v>46058</v>
      </c>
      <c r="T1601" s="1">
        <v>46058</v>
      </c>
      <c r="U1601" s="1">
        <v>46068</v>
      </c>
      <c r="V1601" s="1">
        <v>46433</v>
      </c>
      <c r="W1601" t="s">
        <v>38</v>
      </c>
      <c r="X1601">
        <v>12</v>
      </c>
      <c r="Y1601" t="s">
        <v>49</v>
      </c>
      <c r="Z1601" t="s">
        <v>81</v>
      </c>
      <c r="AA1601" t="s">
        <v>112</v>
      </c>
      <c r="AB1601">
        <v>12</v>
      </c>
      <c r="AC1601" t="s">
        <v>113</v>
      </c>
      <c r="AD1601" t="s">
        <v>125</v>
      </c>
      <c r="AE1601" t="s">
        <v>43</v>
      </c>
      <c r="AF1601" t="s">
        <v>47</v>
      </c>
      <c r="AG1601" t="str">
        <f t="shared" si="26"/>
        <v>CC 12x</v>
      </c>
      <c r="AH1601" t="str">
        <f>IF(AND(SUMIF(E:E,E1601,I:I)&gt;=400000,Q1601="B2G"),"n","")</f>
        <v/>
      </c>
    </row>
    <row r="1602" spans="1:34">
      <c r="A1602">
        <v>2026</v>
      </c>
      <c r="B1602">
        <v>2</v>
      </c>
      <c r="C1602" s="83">
        <v>2137793</v>
      </c>
      <c r="D1602" t="s">
        <v>1552</v>
      </c>
      <c r="E1602">
        <v>53632633137</v>
      </c>
      <c r="F1602">
        <v>636220</v>
      </c>
      <c r="G1602">
        <v>52153523310</v>
      </c>
      <c r="H1602" t="s">
        <v>35</v>
      </c>
      <c r="I1602" s="36">
        <v>7440</v>
      </c>
      <c r="J1602" s="36">
        <v>7439.98452</v>
      </c>
      <c r="K1602" s="85">
        <v>1.5480000000000001E-2</v>
      </c>
      <c r="L1602" s="36">
        <v>619.99870999999996</v>
      </c>
      <c r="M1602" s="36">
        <v>0</v>
      </c>
      <c r="N1602" s="36">
        <v>49.998710000000003</v>
      </c>
      <c r="O1602" s="36">
        <v>570</v>
      </c>
      <c r="P1602" t="s">
        <v>323</v>
      </c>
      <c r="Q1602" t="s">
        <v>191</v>
      </c>
      <c r="R1602" t="s">
        <v>191</v>
      </c>
      <c r="S1602" s="1">
        <v>46076</v>
      </c>
      <c r="T1602" s="1">
        <v>46076</v>
      </c>
      <c r="U1602" s="1">
        <v>46080</v>
      </c>
      <c r="V1602" s="1">
        <v>46441</v>
      </c>
      <c r="W1602" t="s">
        <v>38</v>
      </c>
      <c r="X1602">
        <v>12</v>
      </c>
      <c r="Y1602" t="s">
        <v>49</v>
      </c>
      <c r="AA1602" t="s">
        <v>112</v>
      </c>
      <c r="AB1602">
        <v>12</v>
      </c>
      <c r="AC1602" t="s">
        <v>192</v>
      </c>
      <c r="AD1602" t="s">
        <v>134</v>
      </c>
      <c r="AE1602" t="s">
        <v>135</v>
      </c>
      <c r="AF1602" t="s">
        <v>44</v>
      </c>
      <c r="AG1602" t="str">
        <f t="shared" si="26"/>
        <v>CC 12x</v>
      </c>
      <c r="AH1602" t="str">
        <f>IF(AND(SUMIF(E:E,E1602,I:I)&gt;=400000,Q1602="B2G"),"n","")</f>
        <v/>
      </c>
    </row>
    <row r="1603" spans="1:34">
      <c r="A1603">
        <v>2026</v>
      </c>
      <c r="B1603">
        <v>2</v>
      </c>
      <c r="C1603" s="83">
        <v>2137924</v>
      </c>
      <c r="D1603" t="s">
        <v>1553</v>
      </c>
      <c r="E1603">
        <v>51931152243</v>
      </c>
      <c r="F1603">
        <v>327930</v>
      </c>
      <c r="G1603">
        <v>49358534212</v>
      </c>
      <c r="H1603" t="s">
        <v>35</v>
      </c>
      <c r="I1603" s="36">
        <v>4315.4399999999996</v>
      </c>
      <c r="J1603" s="36">
        <v>4315.4399999999996</v>
      </c>
      <c r="K1603" s="85">
        <v>0</v>
      </c>
      <c r="L1603" s="36">
        <v>359.62</v>
      </c>
      <c r="M1603" s="36">
        <v>0</v>
      </c>
      <c r="N1603" s="36">
        <v>31.405000000000001</v>
      </c>
      <c r="O1603" s="36">
        <v>328.22</v>
      </c>
      <c r="P1603" t="s">
        <v>133</v>
      </c>
      <c r="Q1603" t="s">
        <v>111</v>
      </c>
      <c r="R1603" t="s">
        <v>111</v>
      </c>
      <c r="S1603" s="1">
        <v>46046</v>
      </c>
      <c r="T1603" s="1">
        <v>46054</v>
      </c>
      <c r="U1603" s="1">
        <v>46039</v>
      </c>
      <c r="V1603" s="1">
        <v>46459</v>
      </c>
      <c r="W1603" t="s">
        <v>38</v>
      </c>
      <c r="X1603">
        <v>14</v>
      </c>
      <c r="Y1603" t="s">
        <v>49</v>
      </c>
      <c r="Z1603" t="s">
        <v>81</v>
      </c>
      <c r="AA1603" t="s">
        <v>112</v>
      </c>
      <c r="AB1603">
        <v>12</v>
      </c>
      <c r="AC1603" t="s">
        <v>113</v>
      </c>
      <c r="AD1603" t="s">
        <v>85</v>
      </c>
      <c r="AE1603" t="s">
        <v>46</v>
      </c>
      <c r="AF1603" t="s">
        <v>44</v>
      </c>
      <c r="AG1603" t="str">
        <f t="shared" si="26"/>
        <v>CC 12x</v>
      </c>
      <c r="AH1603" t="str">
        <f>IF(AND(SUMIF(E:E,E1603,I:I)&gt;=400000,Q1603="B2G"),"n","")</f>
        <v/>
      </c>
    </row>
    <row r="1604" spans="1:34">
      <c r="A1604">
        <v>2026</v>
      </c>
      <c r="B1604">
        <v>2</v>
      </c>
      <c r="C1604" s="83">
        <v>21383376495</v>
      </c>
      <c r="D1604" t="s">
        <v>1554</v>
      </c>
      <c r="E1604">
        <v>55503799402</v>
      </c>
      <c r="F1604">
        <v>521396</v>
      </c>
      <c r="G1604">
        <v>51418738806</v>
      </c>
      <c r="H1604" t="s">
        <v>35</v>
      </c>
      <c r="I1604" s="36">
        <v>793.56</v>
      </c>
      <c r="J1604" s="36">
        <v>1077.48</v>
      </c>
      <c r="K1604" s="85">
        <v>0</v>
      </c>
      <c r="L1604" s="36">
        <v>89.79</v>
      </c>
      <c r="M1604" s="36">
        <v>0</v>
      </c>
      <c r="N1604" s="36">
        <v>89.79</v>
      </c>
      <c r="O1604" s="36">
        <v>0</v>
      </c>
      <c r="P1604" t="s">
        <v>323</v>
      </c>
      <c r="Q1604" t="s">
        <v>191</v>
      </c>
      <c r="R1604" t="s">
        <v>191</v>
      </c>
      <c r="S1604" s="1">
        <v>46064</v>
      </c>
      <c r="T1604" s="1">
        <v>46064</v>
      </c>
      <c r="U1604" s="1">
        <v>46333</v>
      </c>
      <c r="V1604" s="1">
        <v>46333</v>
      </c>
      <c r="W1604" t="s">
        <v>38</v>
      </c>
      <c r="X1604">
        <v>9</v>
      </c>
      <c r="Y1604" t="s">
        <v>49</v>
      </c>
      <c r="Z1604" t="s">
        <v>324</v>
      </c>
      <c r="AA1604" t="s">
        <v>112</v>
      </c>
      <c r="AB1604">
        <v>7</v>
      </c>
      <c r="AC1604" t="s">
        <v>192</v>
      </c>
      <c r="AD1604" t="s">
        <v>163</v>
      </c>
      <c r="AE1604" t="s">
        <v>43</v>
      </c>
      <c r="AF1604" t="s">
        <v>96</v>
      </c>
      <c r="AG1604" t="str">
        <f t="shared" si="26"/>
        <v>CC 12x</v>
      </c>
      <c r="AH1604" t="str">
        <f>IF(AND(SUMIF(E:E,E1604,I:I)&gt;=400000,Q1604="B2G"),"n","")</f>
        <v/>
      </c>
    </row>
    <row r="1605" spans="1:34">
      <c r="A1605">
        <v>2026</v>
      </c>
      <c r="B1605">
        <v>2</v>
      </c>
      <c r="C1605" s="83">
        <v>2139264</v>
      </c>
      <c r="D1605" t="s">
        <v>1555</v>
      </c>
      <c r="E1605">
        <v>54254472304</v>
      </c>
      <c r="F1605">
        <v>303229</v>
      </c>
      <c r="G1605">
        <v>49677663044</v>
      </c>
      <c r="H1605" t="s">
        <v>35</v>
      </c>
      <c r="I1605" s="36">
        <v>5178.6000000000004</v>
      </c>
      <c r="J1605" s="36">
        <v>5178.6000000000004</v>
      </c>
      <c r="K1605" s="85">
        <v>0</v>
      </c>
      <c r="L1605" s="36">
        <v>431.55</v>
      </c>
      <c r="M1605" s="36">
        <v>0</v>
      </c>
      <c r="N1605" s="36">
        <v>117.25</v>
      </c>
      <c r="O1605" s="36">
        <v>314.3</v>
      </c>
      <c r="P1605" t="s">
        <v>133</v>
      </c>
      <c r="Q1605" t="s">
        <v>111</v>
      </c>
      <c r="R1605" t="s">
        <v>111</v>
      </c>
      <c r="S1605" s="1">
        <v>46043</v>
      </c>
      <c r="T1605" s="1">
        <v>46054</v>
      </c>
      <c r="U1605" s="1">
        <v>46054</v>
      </c>
      <c r="V1605" s="1">
        <v>46446</v>
      </c>
      <c r="W1605" t="s">
        <v>38</v>
      </c>
      <c r="X1605">
        <v>12</v>
      </c>
      <c r="Y1605" t="s">
        <v>49</v>
      </c>
      <c r="Z1605" t="s">
        <v>81</v>
      </c>
      <c r="AA1605" t="s">
        <v>112</v>
      </c>
      <c r="AB1605">
        <v>12</v>
      </c>
      <c r="AC1605" t="s">
        <v>113</v>
      </c>
      <c r="AD1605" t="s">
        <v>85</v>
      </c>
      <c r="AE1605" t="s">
        <v>46</v>
      </c>
      <c r="AF1605" t="s">
        <v>44</v>
      </c>
      <c r="AG1605" t="str">
        <f t="shared" si="26"/>
        <v>CC 12x</v>
      </c>
      <c r="AH1605" t="str">
        <f>IF(AND(SUMIF(E:E,E1605,I:I)&gt;=400000,Q1605="B2G"),"n","")</f>
        <v/>
      </c>
    </row>
    <row r="1606" spans="1:34">
      <c r="A1606">
        <v>2026</v>
      </c>
      <c r="B1606">
        <v>2</v>
      </c>
      <c r="C1606" s="83">
        <v>21594854437</v>
      </c>
      <c r="D1606" t="s">
        <v>1556</v>
      </c>
      <c r="E1606">
        <v>48234273441</v>
      </c>
      <c r="F1606">
        <v>636294</v>
      </c>
      <c r="G1606">
        <v>52355375645</v>
      </c>
      <c r="H1606" t="s">
        <v>35</v>
      </c>
      <c r="I1606" s="36">
        <v>4644</v>
      </c>
      <c r="J1606" s="36">
        <v>4644</v>
      </c>
      <c r="K1606" s="85">
        <v>0</v>
      </c>
      <c r="L1606" s="36">
        <v>387</v>
      </c>
      <c r="M1606" s="36">
        <v>387</v>
      </c>
      <c r="N1606" s="36">
        <v>0</v>
      </c>
      <c r="O1606" s="36">
        <v>0</v>
      </c>
      <c r="P1606" t="s">
        <v>1165</v>
      </c>
      <c r="Q1606" t="s">
        <v>37</v>
      </c>
      <c r="R1606" t="s">
        <v>37</v>
      </c>
      <c r="S1606" s="1">
        <v>46080</v>
      </c>
      <c r="T1606" s="1">
        <v>46080</v>
      </c>
      <c r="V1606" s="1">
        <v>46445</v>
      </c>
      <c r="W1606" t="s">
        <v>38</v>
      </c>
      <c r="X1606">
        <v>12</v>
      </c>
      <c r="Y1606" t="s">
        <v>49</v>
      </c>
      <c r="AA1606" t="s">
        <v>40</v>
      </c>
      <c r="AB1606">
        <v>1</v>
      </c>
      <c r="AC1606" t="s">
        <v>41</v>
      </c>
      <c r="AD1606" t="s">
        <v>53</v>
      </c>
      <c r="AE1606" t="s">
        <v>43</v>
      </c>
      <c r="AF1606" t="s">
        <v>44</v>
      </c>
      <c r="AG1606" t="str">
        <f t="shared" si="26"/>
        <v>À Vista</v>
      </c>
      <c r="AH1606" t="str">
        <f>IF(AND(SUMIF(E:E,E1606,I:I)&gt;=400000,Q1606="B2G"),"n","")</f>
        <v/>
      </c>
    </row>
    <row r="1607" spans="1:34">
      <c r="A1607">
        <v>2026</v>
      </c>
      <c r="B1607">
        <v>2</v>
      </c>
      <c r="C1607" s="83">
        <v>2183801</v>
      </c>
      <c r="D1607" t="s">
        <v>1557</v>
      </c>
      <c r="E1607">
        <v>51629237119</v>
      </c>
      <c r="F1607">
        <v>625378</v>
      </c>
      <c r="G1607">
        <v>47649721521</v>
      </c>
      <c r="H1607" t="s">
        <v>35</v>
      </c>
      <c r="I1607" s="36">
        <v>3289.8</v>
      </c>
      <c r="J1607" s="36">
        <v>3289.8</v>
      </c>
      <c r="K1607" s="85">
        <v>0</v>
      </c>
      <c r="L1607" s="36">
        <v>274.14999999999998</v>
      </c>
      <c r="M1607" s="36">
        <v>274.14999999999998</v>
      </c>
      <c r="N1607" s="36">
        <v>0</v>
      </c>
      <c r="O1607" s="36">
        <v>0</v>
      </c>
      <c r="P1607" t="s">
        <v>137</v>
      </c>
      <c r="Q1607" t="s">
        <v>111</v>
      </c>
      <c r="R1607" t="s">
        <v>111</v>
      </c>
      <c r="S1607" s="1">
        <v>46014</v>
      </c>
      <c r="T1607" s="1">
        <v>46054</v>
      </c>
      <c r="U1607" s="1">
        <v>46032</v>
      </c>
      <c r="V1607" s="1">
        <v>46397</v>
      </c>
      <c r="W1607" t="s">
        <v>38</v>
      </c>
      <c r="X1607">
        <v>12</v>
      </c>
      <c r="Y1607" t="s">
        <v>49</v>
      </c>
      <c r="Z1607" t="s">
        <v>81</v>
      </c>
      <c r="AA1607" t="s">
        <v>122</v>
      </c>
      <c r="AB1607">
        <v>12</v>
      </c>
      <c r="AC1607" t="s">
        <v>113</v>
      </c>
      <c r="AD1607" t="s">
        <v>160</v>
      </c>
      <c r="AE1607" t="s">
        <v>43</v>
      </c>
      <c r="AF1607" t="s">
        <v>44</v>
      </c>
      <c r="AG1607" t="str">
        <f t="shared" si="26"/>
        <v>Recorrente</v>
      </c>
      <c r="AH1607" t="str">
        <f>IF(AND(SUMIF(E:E,E1607,I:I)&gt;=400000,Q1607="B2G"),"n","")</f>
        <v/>
      </c>
    </row>
    <row r="1608" spans="1:34">
      <c r="A1608">
        <v>2026</v>
      </c>
      <c r="B1608">
        <v>2</v>
      </c>
      <c r="C1608" s="83">
        <v>2209904</v>
      </c>
      <c r="D1608" t="s">
        <v>1558</v>
      </c>
      <c r="E1608">
        <v>56091165836</v>
      </c>
      <c r="F1608">
        <v>624384</v>
      </c>
      <c r="G1608">
        <v>51425062540</v>
      </c>
      <c r="H1608" t="s">
        <v>35</v>
      </c>
      <c r="I1608" s="36">
        <v>7553.4</v>
      </c>
      <c r="J1608" s="36">
        <v>7553.4</v>
      </c>
      <c r="K1608" s="85">
        <v>0</v>
      </c>
      <c r="L1608" s="36">
        <v>629.45000000000005</v>
      </c>
      <c r="M1608" s="36">
        <v>629.45000000000005</v>
      </c>
      <c r="N1608" s="36">
        <v>0</v>
      </c>
      <c r="O1608" s="36">
        <v>0</v>
      </c>
      <c r="P1608" t="s">
        <v>162</v>
      </c>
      <c r="Q1608" t="s">
        <v>111</v>
      </c>
      <c r="R1608" t="s">
        <v>111</v>
      </c>
      <c r="S1608" s="1">
        <v>46065</v>
      </c>
      <c r="T1608" s="1">
        <v>46065</v>
      </c>
      <c r="U1608" s="1">
        <v>45990</v>
      </c>
      <c r="V1608" s="1">
        <v>46446</v>
      </c>
      <c r="W1608" t="s">
        <v>38</v>
      </c>
      <c r="X1608">
        <v>15</v>
      </c>
      <c r="Y1608" t="s">
        <v>49</v>
      </c>
      <c r="Z1608" t="s">
        <v>81</v>
      </c>
      <c r="AA1608" t="s">
        <v>112</v>
      </c>
      <c r="AB1608">
        <v>12</v>
      </c>
      <c r="AC1608" t="s">
        <v>113</v>
      </c>
      <c r="AD1608" t="s">
        <v>134</v>
      </c>
      <c r="AE1608" t="s">
        <v>135</v>
      </c>
      <c r="AF1608" t="s">
        <v>44</v>
      </c>
      <c r="AG1608" t="str">
        <f t="shared" si="26"/>
        <v>CC 12x</v>
      </c>
      <c r="AH1608" t="str">
        <f>IF(AND(SUMIF(E:E,E1608,I:I)&gt;=400000,Q1608="B2G"),"n","")</f>
        <v/>
      </c>
    </row>
    <row r="1609" spans="1:34">
      <c r="A1609">
        <v>2026</v>
      </c>
      <c r="B1609">
        <v>2</v>
      </c>
      <c r="C1609" s="83">
        <v>2221650</v>
      </c>
      <c r="D1609" t="s">
        <v>1559</v>
      </c>
      <c r="E1609">
        <v>55672601755</v>
      </c>
      <c r="F1609">
        <v>635970</v>
      </c>
      <c r="G1609">
        <v>50966707813</v>
      </c>
      <c r="H1609" t="s">
        <v>35</v>
      </c>
      <c r="I1609" s="36">
        <v>3259.2</v>
      </c>
      <c r="J1609" s="36">
        <v>3259.2</v>
      </c>
      <c r="K1609" s="85">
        <v>0</v>
      </c>
      <c r="L1609" s="36">
        <v>271.60000000000002</v>
      </c>
      <c r="M1609" s="36">
        <v>271.60000000000002</v>
      </c>
      <c r="N1609" s="36">
        <v>0</v>
      </c>
      <c r="O1609" s="36">
        <v>0</v>
      </c>
      <c r="P1609" t="s">
        <v>506</v>
      </c>
      <c r="Q1609" t="s">
        <v>300</v>
      </c>
      <c r="R1609" t="s">
        <v>300</v>
      </c>
      <c r="S1609" s="1">
        <v>46059</v>
      </c>
      <c r="T1609" s="1">
        <v>46059</v>
      </c>
      <c r="V1609" s="1">
        <v>46424</v>
      </c>
      <c r="W1609" t="s">
        <v>38</v>
      </c>
      <c r="X1609">
        <v>12</v>
      </c>
      <c r="Y1609" t="s">
        <v>49</v>
      </c>
      <c r="AA1609" t="s">
        <v>117</v>
      </c>
      <c r="AB1609">
        <v>1</v>
      </c>
      <c r="AC1609" t="s">
        <v>301</v>
      </c>
      <c r="AD1609" t="s">
        <v>160</v>
      </c>
      <c r="AE1609" t="s">
        <v>43</v>
      </c>
      <c r="AF1609" t="s">
        <v>44</v>
      </c>
      <c r="AG1609" t="str">
        <f t="shared" si="26"/>
        <v>À Vista</v>
      </c>
      <c r="AH1609" t="str">
        <f>IF(AND(SUMIF(E:E,E1609,I:I)&gt;=400000,Q1609="B2G"),"n","")</f>
        <v/>
      </c>
    </row>
    <row r="1610" spans="1:34">
      <c r="A1610">
        <v>2026</v>
      </c>
      <c r="B1610">
        <v>2</v>
      </c>
      <c r="C1610" s="83">
        <v>2222015</v>
      </c>
      <c r="D1610" t="s">
        <v>1560</v>
      </c>
      <c r="E1610">
        <v>56699771956</v>
      </c>
      <c r="F1610">
        <v>636176</v>
      </c>
      <c r="G1610">
        <v>51983339167</v>
      </c>
      <c r="H1610" t="s">
        <v>35</v>
      </c>
      <c r="I1610" s="36">
        <v>5754</v>
      </c>
      <c r="J1610" s="36">
        <v>5754</v>
      </c>
      <c r="K1610" s="85">
        <v>0</v>
      </c>
      <c r="L1610" s="36">
        <v>479.5</v>
      </c>
      <c r="M1610" s="36">
        <v>479.5</v>
      </c>
      <c r="N1610" s="36">
        <v>0</v>
      </c>
      <c r="O1610" s="36">
        <v>0</v>
      </c>
      <c r="P1610" t="s">
        <v>511</v>
      </c>
      <c r="Q1610" t="s">
        <v>300</v>
      </c>
      <c r="R1610" t="s">
        <v>300</v>
      </c>
      <c r="S1610" s="1">
        <v>46073</v>
      </c>
      <c r="T1610" s="1">
        <v>46073</v>
      </c>
      <c r="V1610" s="1">
        <v>46438</v>
      </c>
      <c r="W1610" t="s">
        <v>38</v>
      </c>
      <c r="X1610">
        <v>12</v>
      </c>
      <c r="Y1610" t="s">
        <v>49</v>
      </c>
      <c r="AA1610" t="s">
        <v>122</v>
      </c>
      <c r="AB1610">
        <v>12</v>
      </c>
      <c r="AC1610" t="s">
        <v>301</v>
      </c>
      <c r="AD1610" t="s">
        <v>85</v>
      </c>
      <c r="AE1610" t="s">
        <v>46</v>
      </c>
      <c r="AF1610" t="s">
        <v>44</v>
      </c>
      <c r="AG1610" t="str">
        <f t="shared" si="26"/>
        <v>Recorrente</v>
      </c>
      <c r="AH1610" t="str">
        <f>IF(AND(SUMIF(E:E,E1610,I:I)&gt;=400000,Q1610="B2G"),"n","")</f>
        <v/>
      </c>
    </row>
    <row r="1611" spans="1:34">
      <c r="A1611">
        <v>2026</v>
      </c>
      <c r="B1611">
        <v>2</v>
      </c>
      <c r="C1611" s="83">
        <v>22244153930</v>
      </c>
      <c r="D1611" t="s">
        <v>1561</v>
      </c>
      <c r="E1611">
        <v>54827538589</v>
      </c>
      <c r="F1611">
        <v>636175</v>
      </c>
      <c r="G1611">
        <v>51943201206</v>
      </c>
      <c r="H1611" t="s">
        <v>35</v>
      </c>
      <c r="I1611" s="36">
        <v>55663.199999999997</v>
      </c>
      <c r="J1611" s="36">
        <v>2675.6445440000002</v>
      </c>
      <c r="K1611" s="85">
        <v>52987.555460000003</v>
      </c>
      <c r="L1611" s="36">
        <v>222.9703787</v>
      </c>
      <c r="M1611" s="36">
        <v>0</v>
      </c>
      <c r="N1611" s="36">
        <v>222.9703787</v>
      </c>
      <c r="O1611" s="36">
        <v>0</v>
      </c>
      <c r="P1611" t="s">
        <v>520</v>
      </c>
      <c r="Q1611" t="s">
        <v>191</v>
      </c>
      <c r="R1611" t="s">
        <v>191</v>
      </c>
      <c r="S1611" s="1">
        <v>46073</v>
      </c>
      <c r="T1611" s="1">
        <v>46073</v>
      </c>
      <c r="V1611" s="1">
        <v>47169</v>
      </c>
      <c r="W1611" t="s">
        <v>102</v>
      </c>
      <c r="Y1611" t="s">
        <v>49</v>
      </c>
      <c r="AA1611" t="s">
        <v>122</v>
      </c>
      <c r="AB1611">
        <v>36</v>
      </c>
      <c r="AC1611" t="s">
        <v>192</v>
      </c>
      <c r="AD1611" t="s">
        <v>163</v>
      </c>
      <c r="AE1611" t="s">
        <v>43</v>
      </c>
      <c r="AF1611" t="s">
        <v>96</v>
      </c>
      <c r="AG1611" t="str">
        <f t="shared" si="26"/>
        <v>Recorrente</v>
      </c>
      <c r="AH1611" t="str">
        <f>IF(AND(SUMIF(E:E,E1611,I:I)&gt;=400000,Q1611="B2G"),"n","")</f>
        <v/>
      </c>
    </row>
    <row r="1612" spans="1:34">
      <c r="A1612">
        <v>2026</v>
      </c>
      <c r="B1612">
        <v>2</v>
      </c>
      <c r="C1612" s="83">
        <v>22244153930</v>
      </c>
      <c r="D1612" t="s">
        <v>1561</v>
      </c>
      <c r="E1612">
        <v>54827538589</v>
      </c>
      <c r="F1612">
        <v>636175</v>
      </c>
      <c r="G1612">
        <v>51943201207</v>
      </c>
      <c r="H1612" t="s">
        <v>35</v>
      </c>
      <c r="I1612" s="36">
        <v>41747.4</v>
      </c>
      <c r="J1612" s="36">
        <v>2006.7334080000001</v>
      </c>
      <c r="K1612" s="85">
        <v>39740.666590000001</v>
      </c>
      <c r="L1612" s="36">
        <v>167.22778400000001</v>
      </c>
      <c r="M1612" s="36">
        <v>0</v>
      </c>
      <c r="N1612" s="36">
        <v>167.22778400000001</v>
      </c>
      <c r="O1612" s="36">
        <v>0</v>
      </c>
      <c r="P1612" t="s">
        <v>520</v>
      </c>
      <c r="Q1612" t="s">
        <v>191</v>
      </c>
      <c r="R1612" t="s">
        <v>191</v>
      </c>
      <c r="S1612" s="1">
        <v>46073</v>
      </c>
      <c r="T1612" s="1">
        <v>46073</v>
      </c>
      <c r="V1612" s="1">
        <v>47169</v>
      </c>
      <c r="W1612" t="s">
        <v>102</v>
      </c>
      <c r="Y1612" t="s">
        <v>49</v>
      </c>
      <c r="AA1612" t="s">
        <v>122</v>
      </c>
      <c r="AB1612">
        <v>36</v>
      </c>
      <c r="AC1612" t="s">
        <v>192</v>
      </c>
      <c r="AD1612" t="s">
        <v>229</v>
      </c>
      <c r="AE1612" t="s">
        <v>43</v>
      </c>
      <c r="AF1612" t="s">
        <v>96</v>
      </c>
      <c r="AG1612" t="str">
        <f t="shared" si="26"/>
        <v>Recorrente</v>
      </c>
      <c r="AH1612" t="str">
        <f>IF(AND(SUMIF(E:E,E1612,I:I)&gt;=400000,Q1612="B2G"),"n","")</f>
        <v/>
      </c>
    </row>
    <row r="1613" spans="1:34">
      <c r="A1613">
        <v>2026</v>
      </c>
      <c r="B1613">
        <v>2</v>
      </c>
      <c r="C1613" s="83">
        <v>22244153930</v>
      </c>
      <c r="D1613" t="s">
        <v>1561</v>
      </c>
      <c r="E1613">
        <v>54827538589</v>
      </c>
      <c r="F1613">
        <v>636175</v>
      </c>
      <c r="G1613">
        <v>51943201208</v>
      </c>
      <c r="H1613" t="s">
        <v>35</v>
      </c>
      <c r="I1613" s="36">
        <v>15535.8</v>
      </c>
      <c r="J1613" s="36">
        <v>746.78204819999996</v>
      </c>
      <c r="K1613" s="85">
        <v>14789.017949999999</v>
      </c>
      <c r="L1613" s="36">
        <v>62.231837349999999</v>
      </c>
      <c r="M1613" s="36">
        <v>0</v>
      </c>
      <c r="N1613" s="36">
        <v>62.231837349999999</v>
      </c>
      <c r="O1613" s="36">
        <v>0</v>
      </c>
      <c r="P1613" t="s">
        <v>520</v>
      </c>
      <c r="Q1613" t="s">
        <v>191</v>
      </c>
      <c r="R1613" t="s">
        <v>191</v>
      </c>
      <c r="S1613" s="1">
        <v>46073</v>
      </c>
      <c r="T1613" s="1">
        <v>46073</v>
      </c>
      <c r="V1613" s="1">
        <v>47169</v>
      </c>
      <c r="W1613" t="s">
        <v>102</v>
      </c>
      <c r="Y1613" t="s">
        <v>49</v>
      </c>
      <c r="AA1613" t="s">
        <v>122</v>
      </c>
      <c r="AB1613">
        <v>36</v>
      </c>
      <c r="AC1613" t="s">
        <v>192</v>
      </c>
      <c r="AD1613" t="s">
        <v>85</v>
      </c>
      <c r="AE1613" t="s">
        <v>46</v>
      </c>
      <c r="AF1613" t="s">
        <v>44</v>
      </c>
      <c r="AG1613" t="str">
        <f t="shared" si="26"/>
        <v>Recorrente</v>
      </c>
      <c r="AH1613" t="str">
        <f>IF(AND(SUMIF(E:E,E1613,I:I)&gt;=400000,Q1613="B2G"),"n","")</f>
        <v/>
      </c>
    </row>
    <row r="1614" spans="1:34">
      <c r="A1614">
        <v>2026</v>
      </c>
      <c r="B1614">
        <v>2</v>
      </c>
      <c r="C1614" s="83">
        <v>2227086</v>
      </c>
      <c r="D1614" t="s">
        <v>1562</v>
      </c>
      <c r="E1614">
        <v>57220341883</v>
      </c>
      <c r="F1614">
        <v>636330</v>
      </c>
      <c r="G1614">
        <v>52480672332</v>
      </c>
      <c r="H1614" t="s">
        <v>104</v>
      </c>
      <c r="I1614" s="36">
        <v>718.8</v>
      </c>
      <c r="J1614" s="36">
        <v>718.8</v>
      </c>
      <c r="K1614" s="85">
        <v>0</v>
      </c>
      <c r="L1614" s="36">
        <v>59.9</v>
      </c>
      <c r="M1614" s="36">
        <v>59.9</v>
      </c>
      <c r="N1614" s="36">
        <v>0</v>
      </c>
      <c r="O1614" s="36">
        <v>0</v>
      </c>
      <c r="P1614" t="s">
        <v>497</v>
      </c>
      <c r="Q1614" t="s">
        <v>498</v>
      </c>
      <c r="R1614" t="s">
        <v>498</v>
      </c>
      <c r="S1614" s="1">
        <v>46081</v>
      </c>
      <c r="T1614" s="1">
        <v>46081</v>
      </c>
      <c r="V1614" s="1">
        <v>46446</v>
      </c>
      <c r="W1614" t="s">
        <v>38</v>
      </c>
      <c r="X1614">
        <v>12</v>
      </c>
      <c r="Y1614" t="s">
        <v>49</v>
      </c>
      <c r="AA1614" t="s">
        <v>112</v>
      </c>
      <c r="AB1614">
        <v>3</v>
      </c>
      <c r="AC1614" t="s">
        <v>499</v>
      </c>
      <c r="AD1614" t="s">
        <v>105</v>
      </c>
      <c r="AE1614" t="s">
        <v>106</v>
      </c>
      <c r="AF1614" t="s">
        <v>59</v>
      </c>
      <c r="AG1614" t="str">
        <f t="shared" si="26"/>
        <v>CC 3x</v>
      </c>
      <c r="AH1614" t="str">
        <f>IF(AND(SUMIF(E:E,E1614,I:I)&gt;=400000,Q1614="B2G"),"n","")</f>
        <v/>
      </c>
    </row>
    <row r="1615" spans="1:34">
      <c r="A1615">
        <v>2026</v>
      </c>
      <c r="B1615">
        <v>2</v>
      </c>
      <c r="C1615" s="83">
        <v>2228986</v>
      </c>
      <c r="D1615" t="s">
        <v>1563</v>
      </c>
      <c r="E1615">
        <v>53177901314</v>
      </c>
      <c r="F1615">
        <v>626714</v>
      </c>
      <c r="G1615">
        <v>48245040297</v>
      </c>
      <c r="H1615" t="s">
        <v>35</v>
      </c>
      <c r="I1615" s="36">
        <v>2874</v>
      </c>
      <c r="J1615" s="36">
        <v>2874</v>
      </c>
      <c r="K1615" s="85">
        <v>0</v>
      </c>
      <c r="L1615" s="36">
        <v>239.5</v>
      </c>
      <c r="M1615" s="36">
        <v>0</v>
      </c>
      <c r="N1615" s="36">
        <v>0.5</v>
      </c>
      <c r="O1615" s="36">
        <v>239</v>
      </c>
      <c r="P1615" t="s">
        <v>165</v>
      </c>
      <c r="Q1615" t="s">
        <v>166</v>
      </c>
      <c r="R1615" t="s">
        <v>166</v>
      </c>
      <c r="S1615" s="1">
        <v>46071</v>
      </c>
      <c r="T1615" s="1">
        <v>46071</v>
      </c>
      <c r="U1615" s="1">
        <v>46071</v>
      </c>
      <c r="V1615" s="1">
        <v>46436</v>
      </c>
      <c r="W1615" t="s">
        <v>38</v>
      </c>
      <c r="X1615">
        <v>12</v>
      </c>
      <c r="Y1615" t="s">
        <v>49</v>
      </c>
      <c r="Z1615" t="s">
        <v>81</v>
      </c>
      <c r="AA1615" t="s">
        <v>122</v>
      </c>
      <c r="AB1615">
        <v>12</v>
      </c>
      <c r="AC1615" t="s">
        <v>166</v>
      </c>
      <c r="AD1615" t="s">
        <v>140</v>
      </c>
      <c r="AE1615" t="s">
        <v>46</v>
      </c>
      <c r="AF1615" t="s">
        <v>119</v>
      </c>
      <c r="AG1615" t="str">
        <f t="shared" si="26"/>
        <v>Recorrente</v>
      </c>
      <c r="AH1615" t="str">
        <f>IF(AND(SUMIF(E:E,E1615,I:I)&gt;=400000,Q1615="B2G"),"n","")</f>
        <v/>
      </c>
    </row>
    <row r="1616" spans="1:34">
      <c r="A1616">
        <v>2026</v>
      </c>
      <c r="B1616">
        <v>2</v>
      </c>
      <c r="C1616" s="83">
        <v>2233206</v>
      </c>
      <c r="D1616" t="s">
        <v>1564</v>
      </c>
      <c r="E1616">
        <v>57006516340</v>
      </c>
      <c r="F1616">
        <v>636249</v>
      </c>
      <c r="G1616">
        <v>52282701126</v>
      </c>
      <c r="H1616" t="s">
        <v>35</v>
      </c>
      <c r="I1616" s="36">
        <v>2874</v>
      </c>
      <c r="J1616" s="36">
        <v>2874</v>
      </c>
      <c r="K1616" s="85">
        <v>0</v>
      </c>
      <c r="L1616" s="36">
        <v>239.5</v>
      </c>
      <c r="M1616" s="36">
        <v>239.5</v>
      </c>
      <c r="N1616" s="36">
        <v>0</v>
      </c>
      <c r="O1616" s="36">
        <v>0</v>
      </c>
      <c r="P1616" t="s">
        <v>511</v>
      </c>
      <c r="Q1616" t="s">
        <v>300</v>
      </c>
      <c r="R1616" t="s">
        <v>300</v>
      </c>
      <c r="S1616" s="1">
        <v>46078</v>
      </c>
      <c r="T1616" s="1">
        <v>46078</v>
      </c>
      <c r="V1616" s="1">
        <v>46443</v>
      </c>
      <c r="W1616" t="s">
        <v>38</v>
      </c>
      <c r="X1616">
        <v>12</v>
      </c>
      <c r="Y1616" t="s">
        <v>49</v>
      </c>
      <c r="AA1616" t="s">
        <v>122</v>
      </c>
      <c r="AB1616">
        <v>12</v>
      </c>
      <c r="AC1616" t="s">
        <v>301</v>
      </c>
      <c r="AD1616" t="s">
        <v>140</v>
      </c>
      <c r="AE1616" t="s">
        <v>46</v>
      </c>
      <c r="AF1616" t="s">
        <v>119</v>
      </c>
      <c r="AG1616" t="str">
        <f t="shared" si="26"/>
        <v>Recorrente</v>
      </c>
      <c r="AH1616" t="str">
        <f>IF(AND(SUMIF(E:E,E1616,I:I)&gt;=400000,Q1616="B2G"),"n","")</f>
        <v/>
      </c>
    </row>
    <row r="1617" spans="1:34">
      <c r="A1617">
        <v>2026</v>
      </c>
      <c r="B1617">
        <v>2</v>
      </c>
      <c r="C1617" s="83">
        <v>22396844215</v>
      </c>
      <c r="D1617" t="s">
        <v>1565</v>
      </c>
      <c r="E1617">
        <v>51634236257</v>
      </c>
      <c r="F1617">
        <v>636225</v>
      </c>
      <c r="G1617">
        <v>52198797484</v>
      </c>
      <c r="H1617" t="s">
        <v>35</v>
      </c>
      <c r="I1617" s="36">
        <v>5436</v>
      </c>
      <c r="J1617" s="36">
        <v>5436</v>
      </c>
      <c r="K1617" s="85">
        <v>0</v>
      </c>
      <c r="L1617" s="36">
        <v>453</v>
      </c>
      <c r="M1617" s="36">
        <v>453</v>
      </c>
      <c r="N1617" s="36">
        <v>0</v>
      </c>
      <c r="O1617" s="36">
        <v>0</v>
      </c>
      <c r="P1617" t="s">
        <v>36</v>
      </c>
      <c r="Q1617" t="s">
        <v>37</v>
      </c>
      <c r="R1617" t="s">
        <v>37</v>
      </c>
      <c r="S1617" s="1">
        <v>46077</v>
      </c>
      <c r="T1617" s="1">
        <v>46077</v>
      </c>
      <c r="V1617" s="1">
        <v>46442</v>
      </c>
      <c r="W1617" t="s">
        <v>38</v>
      </c>
      <c r="X1617">
        <v>12</v>
      </c>
      <c r="Y1617" t="s">
        <v>49</v>
      </c>
      <c r="AA1617" t="s">
        <v>40</v>
      </c>
      <c r="AB1617">
        <v>1</v>
      </c>
      <c r="AC1617" t="s">
        <v>41</v>
      </c>
      <c r="AD1617" t="s">
        <v>54</v>
      </c>
      <c r="AE1617" t="s">
        <v>46</v>
      </c>
      <c r="AF1617" t="s">
        <v>44</v>
      </c>
      <c r="AG1617" t="str">
        <f t="shared" si="26"/>
        <v>À Vista</v>
      </c>
      <c r="AH1617" t="str">
        <f>IF(AND(SUMIF(E:E,E1617,I:I)&gt;=400000,Q1617="B2G"),"n","")</f>
        <v/>
      </c>
    </row>
    <row r="1618" spans="1:34">
      <c r="A1618">
        <v>2026</v>
      </c>
      <c r="B1618">
        <v>2</v>
      </c>
      <c r="C1618" s="83">
        <v>22396844215</v>
      </c>
      <c r="D1618" t="s">
        <v>1565</v>
      </c>
      <c r="E1618">
        <v>51634236257</v>
      </c>
      <c r="F1618">
        <v>636225</v>
      </c>
      <c r="G1618">
        <v>52198797485</v>
      </c>
      <c r="H1618" t="s">
        <v>35</v>
      </c>
      <c r="I1618" s="36">
        <v>13932</v>
      </c>
      <c r="J1618" s="36">
        <v>13932</v>
      </c>
      <c r="K1618" s="85">
        <v>0</v>
      </c>
      <c r="L1618" s="36">
        <v>1161</v>
      </c>
      <c r="M1618" s="36">
        <v>1161</v>
      </c>
      <c r="N1618" s="36">
        <v>0</v>
      </c>
      <c r="O1618" s="36">
        <v>0</v>
      </c>
      <c r="P1618" t="s">
        <v>36</v>
      </c>
      <c r="Q1618" t="s">
        <v>37</v>
      </c>
      <c r="R1618" t="s">
        <v>37</v>
      </c>
      <c r="S1618" s="1">
        <v>46077</v>
      </c>
      <c r="T1618" s="1">
        <v>46077</v>
      </c>
      <c r="V1618" s="1">
        <v>46442</v>
      </c>
      <c r="W1618" t="s">
        <v>38</v>
      </c>
      <c r="X1618">
        <v>12</v>
      </c>
      <c r="Y1618" t="s">
        <v>49</v>
      </c>
      <c r="AA1618" t="s">
        <v>40</v>
      </c>
      <c r="AB1618">
        <v>1</v>
      </c>
      <c r="AC1618" t="s">
        <v>41</v>
      </c>
      <c r="AD1618" t="s">
        <v>53</v>
      </c>
      <c r="AE1618" t="s">
        <v>43</v>
      </c>
      <c r="AF1618" t="s">
        <v>44</v>
      </c>
      <c r="AG1618" t="str">
        <f t="shared" si="26"/>
        <v>À Vista</v>
      </c>
      <c r="AH1618" t="str">
        <f>IF(AND(SUMIF(E:E,E1618,I:I)&gt;=400000,Q1618="B2G"),"n","")</f>
        <v/>
      </c>
    </row>
    <row r="1619" spans="1:34">
      <c r="A1619">
        <v>2026</v>
      </c>
      <c r="B1619">
        <v>2</v>
      </c>
      <c r="C1619" s="83">
        <v>2241826</v>
      </c>
      <c r="D1619" t="s">
        <v>1566</v>
      </c>
      <c r="E1619">
        <v>56938264139</v>
      </c>
      <c r="F1619">
        <v>636242</v>
      </c>
      <c r="G1619">
        <v>52195376020</v>
      </c>
      <c r="H1619" t="s">
        <v>104</v>
      </c>
      <c r="I1619" s="36">
        <v>718.8</v>
      </c>
      <c r="J1619" s="36">
        <v>718.8</v>
      </c>
      <c r="K1619" s="85">
        <v>0</v>
      </c>
      <c r="L1619" s="36">
        <v>59.9</v>
      </c>
      <c r="M1619" s="36">
        <v>59.9</v>
      </c>
      <c r="N1619" s="36">
        <v>0</v>
      </c>
      <c r="O1619" s="36">
        <v>0</v>
      </c>
      <c r="P1619" t="s">
        <v>497</v>
      </c>
      <c r="Q1619" t="s">
        <v>498</v>
      </c>
      <c r="R1619" t="s">
        <v>498</v>
      </c>
      <c r="S1619" s="1">
        <v>46077</v>
      </c>
      <c r="T1619" s="1">
        <v>46077</v>
      </c>
      <c r="V1619" s="1">
        <v>46442</v>
      </c>
      <c r="W1619" t="s">
        <v>38</v>
      </c>
      <c r="X1619">
        <v>12</v>
      </c>
      <c r="Y1619" t="s">
        <v>49</v>
      </c>
      <c r="AA1619" t="s">
        <v>112</v>
      </c>
      <c r="AB1619">
        <v>12</v>
      </c>
      <c r="AC1619" t="s">
        <v>499</v>
      </c>
      <c r="AD1619" t="s">
        <v>105</v>
      </c>
      <c r="AE1619" t="s">
        <v>106</v>
      </c>
      <c r="AF1619" t="s">
        <v>59</v>
      </c>
      <c r="AG1619" t="str">
        <f t="shared" si="26"/>
        <v>CC 12x</v>
      </c>
      <c r="AH1619" t="str">
        <f>IF(AND(SUMIF(E:E,E1619,I:I)&gt;=400000,Q1619="B2G"),"n","")</f>
        <v/>
      </c>
    </row>
    <row r="1620" spans="1:34">
      <c r="A1620">
        <v>2026</v>
      </c>
      <c r="B1620">
        <v>2</v>
      </c>
      <c r="C1620" s="83">
        <v>2250818</v>
      </c>
      <c r="D1620" t="s">
        <v>1567</v>
      </c>
      <c r="E1620">
        <v>56983447221</v>
      </c>
      <c r="F1620">
        <v>636291</v>
      </c>
      <c r="G1620">
        <v>52245328704</v>
      </c>
      <c r="H1620" t="s">
        <v>35</v>
      </c>
      <c r="I1620" s="36">
        <v>12594</v>
      </c>
      <c r="J1620" s="36">
        <v>12594</v>
      </c>
      <c r="K1620" s="85">
        <v>0</v>
      </c>
      <c r="L1620" s="36">
        <v>1049.5</v>
      </c>
      <c r="M1620" s="36">
        <v>1049.5</v>
      </c>
      <c r="N1620" s="36">
        <v>0</v>
      </c>
      <c r="O1620" s="36">
        <v>0</v>
      </c>
      <c r="P1620" t="s">
        <v>829</v>
      </c>
      <c r="Q1620" t="s">
        <v>300</v>
      </c>
      <c r="R1620" t="s">
        <v>300</v>
      </c>
      <c r="S1620" s="1">
        <v>46080</v>
      </c>
      <c r="T1620" s="1">
        <v>46080</v>
      </c>
      <c r="V1620" s="1">
        <v>46445</v>
      </c>
      <c r="W1620" t="s">
        <v>38</v>
      </c>
      <c r="X1620">
        <v>12</v>
      </c>
      <c r="Y1620" t="s">
        <v>49</v>
      </c>
      <c r="AA1620" t="s">
        <v>122</v>
      </c>
      <c r="AB1620">
        <v>12</v>
      </c>
      <c r="AC1620" t="s">
        <v>301</v>
      </c>
      <c r="AD1620" t="s">
        <v>146</v>
      </c>
      <c r="AE1620" t="s">
        <v>135</v>
      </c>
      <c r="AF1620" t="s">
        <v>96</v>
      </c>
      <c r="AG1620" t="str">
        <f t="shared" si="26"/>
        <v>Recorrente</v>
      </c>
      <c r="AH1620" t="str">
        <f>IF(AND(SUMIF(E:E,E1620,I:I)&gt;=400000,Q1620="B2G"),"n","")</f>
        <v/>
      </c>
    </row>
    <row r="1621" spans="1:34">
      <c r="A1621">
        <v>2026</v>
      </c>
      <c r="B1621">
        <v>2</v>
      </c>
      <c r="C1621" s="83">
        <v>22573746007</v>
      </c>
      <c r="D1621" t="s">
        <v>1568</v>
      </c>
      <c r="E1621">
        <v>56144043106</v>
      </c>
      <c r="F1621">
        <v>627057</v>
      </c>
      <c r="G1621">
        <v>52098695061</v>
      </c>
      <c r="H1621" t="s">
        <v>35</v>
      </c>
      <c r="I1621" s="36">
        <v>14096.22</v>
      </c>
      <c r="J1621" s="36">
        <v>14096.22</v>
      </c>
      <c r="K1621" s="85">
        <v>0</v>
      </c>
      <c r="L1621" s="36">
        <v>1174.6849999999999</v>
      </c>
      <c r="M1621" s="36">
        <v>0</v>
      </c>
      <c r="N1621" s="36">
        <v>43.4375</v>
      </c>
      <c r="O1621" s="36">
        <v>1131.25</v>
      </c>
      <c r="P1621" t="s">
        <v>116</v>
      </c>
      <c r="Q1621" t="s">
        <v>111</v>
      </c>
      <c r="R1621" t="s">
        <v>111</v>
      </c>
      <c r="S1621" s="1">
        <v>46079</v>
      </c>
      <c r="T1621" s="1">
        <v>46079</v>
      </c>
      <c r="U1621" s="1">
        <v>46081</v>
      </c>
      <c r="V1621" s="1">
        <v>46446</v>
      </c>
      <c r="W1621" t="s">
        <v>38</v>
      </c>
      <c r="X1621">
        <v>12</v>
      </c>
      <c r="Y1621" t="s">
        <v>49</v>
      </c>
      <c r="Z1621" t="s">
        <v>76</v>
      </c>
      <c r="AA1621" t="s">
        <v>92</v>
      </c>
      <c r="AB1621">
        <v>12</v>
      </c>
      <c r="AC1621" t="s">
        <v>113</v>
      </c>
      <c r="AD1621" t="s">
        <v>256</v>
      </c>
      <c r="AE1621" t="s">
        <v>257</v>
      </c>
      <c r="AF1621" t="s">
        <v>59</v>
      </c>
      <c r="AG1621" t="str">
        <f t="shared" si="26"/>
        <v>Recorrente</v>
      </c>
      <c r="AH1621" t="str">
        <f>IF(AND(SUMIF(E:E,E1621,I:I)&gt;=400000,Q1621="B2G"),"n","")</f>
        <v/>
      </c>
    </row>
    <row r="1622" spans="1:34">
      <c r="A1622">
        <v>2026</v>
      </c>
      <c r="B1622">
        <v>2</v>
      </c>
      <c r="C1622" s="83">
        <v>22573746007</v>
      </c>
      <c r="D1622" t="s">
        <v>1568</v>
      </c>
      <c r="E1622">
        <v>56144043106</v>
      </c>
      <c r="F1622">
        <v>627057</v>
      </c>
      <c r="G1622">
        <v>52098695062</v>
      </c>
      <c r="H1622" t="s">
        <v>35</v>
      </c>
      <c r="I1622" s="36">
        <v>14096.22</v>
      </c>
      <c r="J1622" s="36">
        <v>14096.22</v>
      </c>
      <c r="K1622" s="85">
        <v>0</v>
      </c>
      <c r="L1622" s="36">
        <v>1174.6849999999999</v>
      </c>
      <c r="M1622" s="36">
        <v>0</v>
      </c>
      <c r="N1622" s="36">
        <v>43.4375</v>
      </c>
      <c r="O1622" s="36">
        <v>1131.25</v>
      </c>
      <c r="P1622" t="s">
        <v>116</v>
      </c>
      <c r="Q1622" t="s">
        <v>111</v>
      </c>
      <c r="R1622" t="s">
        <v>111</v>
      </c>
      <c r="S1622" s="1">
        <v>46079</v>
      </c>
      <c r="T1622" s="1">
        <v>46079</v>
      </c>
      <c r="U1622" s="1">
        <v>46081</v>
      </c>
      <c r="V1622" s="1">
        <v>46446</v>
      </c>
      <c r="W1622" t="s">
        <v>38</v>
      </c>
      <c r="X1622">
        <v>12</v>
      </c>
      <c r="Y1622" t="s">
        <v>49</v>
      </c>
      <c r="Z1622" t="s">
        <v>76</v>
      </c>
      <c r="AA1622" t="s">
        <v>92</v>
      </c>
      <c r="AB1622">
        <v>12</v>
      </c>
      <c r="AC1622" t="s">
        <v>113</v>
      </c>
      <c r="AD1622" t="s">
        <v>1026</v>
      </c>
      <c r="AE1622" t="s">
        <v>363</v>
      </c>
      <c r="AF1622" t="s">
        <v>59</v>
      </c>
      <c r="AG1622" t="str">
        <f t="shared" si="26"/>
        <v>Recorrente</v>
      </c>
      <c r="AH1622" t="str">
        <f>IF(AND(SUMIF(E:E,E1622,I:I)&gt;=400000,Q1622="B2G"),"n","")</f>
        <v/>
      </c>
    </row>
    <row r="1623" spans="1:34">
      <c r="A1623">
        <v>2026</v>
      </c>
      <c r="B1623">
        <v>2</v>
      </c>
      <c r="C1623" s="83">
        <v>2257911</v>
      </c>
      <c r="D1623" t="s">
        <v>1569</v>
      </c>
      <c r="E1623">
        <v>55507667208</v>
      </c>
      <c r="F1623">
        <v>636002</v>
      </c>
      <c r="G1623">
        <v>51121165209</v>
      </c>
      <c r="H1623" t="s">
        <v>35</v>
      </c>
      <c r="I1623" s="36">
        <v>2874</v>
      </c>
      <c r="J1623" s="36">
        <v>2874</v>
      </c>
      <c r="K1623" s="85">
        <v>0</v>
      </c>
      <c r="L1623" s="36">
        <v>239.5</v>
      </c>
      <c r="M1623" s="36">
        <v>239.5</v>
      </c>
      <c r="N1623" s="36">
        <v>0</v>
      </c>
      <c r="O1623" s="36">
        <v>0</v>
      </c>
      <c r="P1623" t="s">
        <v>511</v>
      </c>
      <c r="Q1623" t="s">
        <v>300</v>
      </c>
      <c r="R1623" t="s">
        <v>300</v>
      </c>
      <c r="S1623" s="1">
        <v>46062</v>
      </c>
      <c r="T1623" s="1">
        <v>46062</v>
      </c>
      <c r="V1623" s="1">
        <v>46427</v>
      </c>
      <c r="W1623" t="s">
        <v>38</v>
      </c>
      <c r="X1623">
        <v>12</v>
      </c>
      <c r="Y1623" t="s">
        <v>49</v>
      </c>
      <c r="AA1623" t="s">
        <v>122</v>
      </c>
      <c r="AB1623">
        <v>12</v>
      </c>
      <c r="AC1623" t="s">
        <v>301</v>
      </c>
      <c r="AD1623" t="s">
        <v>140</v>
      </c>
      <c r="AE1623" t="s">
        <v>46</v>
      </c>
      <c r="AF1623" t="s">
        <v>119</v>
      </c>
      <c r="AG1623" t="str">
        <f t="shared" si="26"/>
        <v>Recorrente</v>
      </c>
      <c r="AH1623" t="str">
        <f>IF(AND(SUMIF(E:E,E1623,I:I)&gt;=400000,Q1623="B2G"),"n","")</f>
        <v/>
      </c>
    </row>
    <row r="1624" spans="1:34">
      <c r="A1624">
        <v>2026</v>
      </c>
      <c r="B1624">
        <v>2</v>
      </c>
      <c r="C1624" s="83">
        <v>2261063</v>
      </c>
      <c r="D1624" t="s">
        <v>1570</v>
      </c>
      <c r="E1624">
        <v>54455250585</v>
      </c>
      <c r="F1624">
        <v>636024</v>
      </c>
      <c r="G1624">
        <v>51226471571</v>
      </c>
      <c r="H1624" t="s">
        <v>35</v>
      </c>
      <c r="I1624" s="36">
        <v>3739.92</v>
      </c>
      <c r="J1624" s="36">
        <v>3739.9319999999998</v>
      </c>
      <c r="K1624" s="85">
        <v>0</v>
      </c>
      <c r="L1624" s="36">
        <v>311.661</v>
      </c>
      <c r="M1624" s="36">
        <v>311.661</v>
      </c>
      <c r="N1624" s="36">
        <v>0</v>
      </c>
      <c r="O1624" s="36">
        <v>0</v>
      </c>
      <c r="P1624" t="s">
        <v>506</v>
      </c>
      <c r="Q1624" t="s">
        <v>300</v>
      </c>
      <c r="R1624" t="s">
        <v>300</v>
      </c>
      <c r="S1624" s="1">
        <v>46063</v>
      </c>
      <c r="T1624" s="1">
        <v>46063</v>
      </c>
      <c r="V1624" s="1">
        <v>46428</v>
      </c>
      <c r="W1624" t="s">
        <v>38</v>
      </c>
      <c r="X1624">
        <v>12</v>
      </c>
      <c r="Y1624" t="s">
        <v>49</v>
      </c>
      <c r="AA1624" t="s">
        <v>112</v>
      </c>
      <c r="AB1624">
        <v>12</v>
      </c>
      <c r="AC1624" t="s">
        <v>301</v>
      </c>
      <c r="AD1624" t="s">
        <v>114</v>
      </c>
      <c r="AE1624" t="s">
        <v>43</v>
      </c>
      <c r="AF1624" t="s">
        <v>44</v>
      </c>
      <c r="AG1624" t="str">
        <f t="shared" si="26"/>
        <v>CC 12x</v>
      </c>
      <c r="AH1624" t="str">
        <f>IF(AND(SUMIF(E:E,E1624,I:I)&gt;=400000,Q1624="B2G"),"n","")</f>
        <v/>
      </c>
    </row>
    <row r="1625" spans="1:34">
      <c r="A1625">
        <v>2026</v>
      </c>
      <c r="B1625">
        <v>2</v>
      </c>
      <c r="C1625" s="83">
        <v>2267952</v>
      </c>
      <c r="D1625" t="s">
        <v>1571</v>
      </c>
      <c r="E1625">
        <v>57025765984</v>
      </c>
      <c r="F1625">
        <v>636258</v>
      </c>
      <c r="G1625">
        <v>52282914370</v>
      </c>
      <c r="H1625" t="s">
        <v>35</v>
      </c>
      <c r="I1625" s="36">
        <v>4074</v>
      </c>
      <c r="J1625" s="36">
        <v>4074</v>
      </c>
      <c r="K1625" s="85">
        <v>0</v>
      </c>
      <c r="L1625" s="36">
        <v>339.5</v>
      </c>
      <c r="M1625" s="36">
        <v>339.5</v>
      </c>
      <c r="N1625" s="36">
        <v>0</v>
      </c>
      <c r="O1625" s="36">
        <v>0</v>
      </c>
      <c r="P1625" t="s">
        <v>511</v>
      </c>
      <c r="Q1625" t="s">
        <v>300</v>
      </c>
      <c r="R1625" t="s">
        <v>300</v>
      </c>
      <c r="S1625" s="1">
        <v>46078</v>
      </c>
      <c r="T1625" s="1">
        <v>46078</v>
      </c>
      <c r="V1625" s="1">
        <v>46443</v>
      </c>
      <c r="W1625" t="s">
        <v>38</v>
      </c>
      <c r="X1625">
        <v>12</v>
      </c>
      <c r="Y1625" t="s">
        <v>49</v>
      </c>
      <c r="AA1625" t="s">
        <v>112</v>
      </c>
      <c r="AB1625">
        <v>12</v>
      </c>
      <c r="AC1625" t="s">
        <v>301</v>
      </c>
      <c r="AD1625" t="s">
        <v>160</v>
      </c>
      <c r="AE1625" t="s">
        <v>43</v>
      </c>
      <c r="AF1625" t="s">
        <v>44</v>
      </c>
      <c r="AG1625" t="str">
        <f t="shared" si="26"/>
        <v>CC 12x</v>
      </c>
      <c r="AH1625" t="str">
        <f>IF(AND(SUMIF(E:E,E1625,I:I)&gt;=400000,Q1625="B2G"),"n","")</f>
        <v/>
      </c>
    </row>
    <row r="1626" spans="1:34">
      <c r="A1626">
        <v>2026</v>
      </c>
      <c r="B1626">
        <v>2</v>
      </c>
      <c r="C1626" s="83">
        <v>2276535</v>
      </c>
      <c r="D1626" t="s">
        <v>1572</v>
      </c>
      <c r="E1626">
        <v>53179027310</v>
      </c>
      <c r="F1626">
        <v>328198</v>
      </c>
      <c r="G1626">
        <v>48884765617</v>
      </c>
      <c r="H1626" t="s">
        <v>35</v>
      </c>
      <c r="I1626" s="36">
        <v>4404</v>
      </c>
      <c r="J1626" s="36">
        <v>4404</v>
      </c>
      <c r="K1626" s="85">
        <v>0</v>
      </c>
      <c r="L1626" s="36">
        <v>367</v>
      </c>
      <c r="M1626" s="36">
        <v>0</v>
      </c>
      <c r="N1626" s="36">
        <v>52.7</v>
      </c>
      <c r="O1626" s="36">
        <v>314.3</v>
      </c>
      <c r="P1626" t="s">
        <v>127</v>
      </c>
      <c r="Q1626" t="s">
        <v>111</v>
      </c>
      <c r="R1626" t="s">
        <v>111</v>
      </c>
      <c r="S1626" s="1">
        <v>46036</v>
      </c>
      <c r="T1626" s="1">
        <v>46054</v>
      </c>
      <c r="U1626" s="1">
        <v>46039</v>
      </c>
      <c r="V1626" s="1">
        <v>46404</v>
      </c>
      <c r="W1626" t="s">
        <v>38</v>
      </c>
      <c r="X1626">
        <v>12</v>
      </c>
      <c r="Y1626" t="s">
        <v>49</v>
      </c>
      <c r="Z1626" t="s">
        <v>81</v>
      </c>
      <c r="AA1626" t="s">
        <v>112</v>
      </c>
      <c r="AB1626">
        <v>12</v>
      </c>
      <c r="AC1626" t="s">
        <v>113</v>
      </c>
      <c r="AD1626" t="s">
        <v>85</v>
      </c>
      <c r="AE1626" t="s">
        <v>46</v>
      </c>
      <c r="AF1626" t="s">
        <v>44</v>
      </c>
      <c r="AG1626" t="str">
        <f t="shared" si="26"/>
        <v>CC 12x</v>
      </c>
      <c r="AH1626" t="str">
        <f>IF(AND(SUMIF(E:E,E1626,I:I)&gt;=400000,Q1626="B2G"),"n","")</f>
        <v/>
      </c>
    </row>
    <row r="1627" spans="1:34">
      <c r="A1627">
        <v>2026</v>
      </c>
      <c r="B1627">
        <v>2</v>
      </c>
      <c r="C1627" s="83">
        <v>2282712</v>
      </c>
      <c r="D1627" t="s">
        <v>1573</v>
      </c>
      <c r="E1627">
        <v>53222776666</v>
      </c>
      <c r="F1627">
        <v>626791</v>
      </c>
      <c r="G1627">
        <v>48341784755</v>
      </c>
      <c r="H1627" t="s">
        <v>35</v>
      </c>
      <c r="I1627" s="36">
        <v>2874</v>
      </c>
      <c r="J1627" s="36">
        <v>2874</v>
      </c>
      <c r="K1627" s="85">
        <v>0</v>
      </c>
      <c r="L1627" s="36">
        <v>239.5</v>
      </c>
      <c r="M1627" s="36">
        <v>0</v>
      </c>
      <c r="N1627" s="36">
        <v>12.45</v>
      </c>
      <c r="O1627" s="36">
        <v>227.05</v>
      </c>
      <c r="P1627" t="s">
        <v>165</v>
      </c>
      <c r="Q1627" t="s">
        <v>166</v>
      </c>
      <c r="R1627" t="s">
        <v>166</v>
      </c>
      <c r="S1627" s="1">
        <v>46074</v>
      </c>
      <c r="T1627" s="1">
        <v>46074</v>
      </c>
      <c r="U1627" s="1">
        <v>46074</v>
      </c>
      <c r="V1627" s="1">
        <v>46439</v>
      </c>
      <c r="W1627" t="s">
        <v>38</v>
      </c>
      <c r="X1627">
        <v>12</v>
      </c>
      <c r="Y1627" t="s">
        <v>49</v>
      </c>
      <c r="Z1627" t="s">
        <v>81</v>
      </c>
      <c r="AA1627" t="s">
        <v>112</v>
      </c>
      <c r="AB1627">
        <v>12</v>
      </c>
      <c r="AC1627" t="s">
        <v>166</v>
      </c>
      <c r="AD1627" t="s">
        <v>118</v>
      </c>
      <c r="AE1627" t="s">
        <v>43</v>
      </c>
      <c r="AF1627" t="s">
        <v>119</v>
      </c>
      <c r="AG1627" t="str">
        <f t="shared" si="26"/>
        <v>CC 12x</v>
      </c>
      <c r="AH1627" t="str">
        <f>IF(AND(SUMIF(E:E,E1627,I:I)&gt;=400000,Q1627="B2G"),"n","")</f>
        <v/>
      </c>
    </row>
    <row r="1628" spans="1:34">
      <c r="A1628">
        <v>2026</v>
      </c>
      <c r="B1628">
        <v>2</v>
      </c>
      <c r="C1628" s="83">
        <v>2285684</v>
      </c>
      <c r="D1628" t="s">
        <v>1574</v>
      </c>
      <c r="E1628">
        <v>56563491646</v>
      </c>
      <c r="F1628">
        <v>633678</v>
      </c>
      <c r="G1628">
        <v>52283040154</v>
      </c>
      <c r="H1628" t="s">
        <v>35</v>
      </c>
      <c r="I1628" s="36">
        <v>2577.48</v>
      </c>
      <c r="J1628" s="36">
        <v>3842.76</v>
      </c>
      <c r="K1628" s="85">
        <v>0</v>
      </c>
      <c r="L1628" s="36">
        <v>320.23</v>
      </c>
      <c r="M1628" s="36">
        <v>0</v>
      </c>
      <c r="N1628" s="36">
        <v>320.23</v>
      </c>
      <c r="O1628" s="36">
        <v>0</v>
      </c>
      <c r="P1628" t="s">
        <v>469</v>
      </c>
      <c r="Q1628" t="s">
        <v>191</v>
      </c>
      <c r="R1628" t="s">
        <v>191</v>
      </c>
      <c r="S1628" s="1">
        <v>46078</v>
      </c>
      <c r="T1628" s="1">
        <v>46078</v>
      </c>
      <c r="U1628" s="1">
        <v>46323</v>
      </c>
      <c r="V1628" s="1">
        <v>46323</v>
      </c>
      <c r="W1628" t="s">
        <v>38</v>
      </c>
      <c r="X1628">
        <v>8</v>
      </c>
      <c r="Y1628" t="s">
        <v>49</v>
      </c>
      <c r="Z1628" t="s">
        <v>324</v>
      </c>
      <c r="AA1628" t="s">
        <v>122</v>
      </c>
      <c r="AB1628">
        <v>8</v>
      </c>
      <c r="AC1628" t="s">
        <v>192</v>
      </c>
      <c r="AD1628" t="s">
        <v>134</v>
      </c>
      <c r="AE1628" t="s">
        <v>135</v>
      </c>
      <c r="AF1628" t="s">
        <v>44</v>
      </c>
      <c r="AG1628" t="str">
        <f t="shared" si="26"/>
        <v>Recorrente</v>
      </c>
      <c r="AH1628" t="str">
        <f>IF(AND(SUMIF(E:E,E1628,I:I)&gt;=400000,Q1628="B2G"),"n","")</f>
        <v/>
      </c>
    </row>
    <row r="1629" spans="1:34">
      <c r="A1629">
        <v>2026</v>
      </c>
      <c r="B1629">
        <v>2</v>
      </c>
      <c r="C1629" s="83">
        <v>2288503</v>
      </c>
      <c r="D1629" t="s">
        <v>1575</v>
      </c>
      <c r="E1629">
        <v>56953427257</v>
      </c>
      <c r="F1629">
        <v>636241</v>
      </c>
      <c r="G1629">
        <v>52198809865</v>
      </c>
      <c r="H1629" t="s">
        <v>35</v>
      </c>
      <c r="I1629" s="36">
        <v>3308.4</v>
      </c>
      <c r="J1629" s="36">
        <v>3308.4</v>
      </c>
      <c r="K1629" s="85">
        <v>4.5474699999999999E-13</v>
      </c>
      <c r="L1629" s="36">
        <v>275.7</v>
      </c>
      <c r="M1629" s="36">
        <v>275.7</v>
      </c>
      <c r="N1629" s="36">
        <v>0</v>
      </c>
      <c r="O1629" s="36">
        <v>0</v>
      </c>
      <c r="P1629" t="s">
        <v>511</v>
      </c>
      <c r="Q1629" t="s">
        <v>300</v>
      </c>
      <c r="R1629" t="s">
        <v>80</v>
      </c>
      <c r="S1629" s="1">
        <v>46077</v>
      </c>
      <c r="T1629" s="1">
        <v>46077</v>
      </c>
      <c r="V1629" s="1">
        <v>46442</v>
      </c>
      <c r="W1629" t="s">
        <v>38</v>
      </c>
      <c r="X1629">
        <v>12</v>
      </c>
      <c r="Y1629" t="s">
        <v>49</v>
      </c>
      <c r="AA1629" t="s">
        <v>112</v>
      </c>
      <c r="AB1629">
        <v>12</v>
      </c>
      <c r="AC1629" t="s">
        <v>495</v>
      </c>
      <c r="AD1629" t="s">
        <v>138</v>
      </c>
      <c r="AE1629" t="s">
        <v>135</v>
      </c>
      <c r="AF1629" t="s">
        <v>119</v>
      </c>
      <c r="AG1629" t="str">
        <f t="shared" si="26"/>
        <v>CC 12x</v>
      </c>
      <c r="AH1629" t="str">
        <f>IF(AND(SUMIF(E:E,E1629,I:I)&gt;=400000,Q1629="B2G"),"n","")</f>
        <v/>
      </c>
    </row>
    <row r="1630" spans="1:34">
      <c r="A1630">
        <v>2026</v>
      </c>
      <c r="B1630">
        <v>2</v>
      </c>
      <c r="C1630" s="83">
        <v>22987159360</v>
      </c>
      <c r="D1630" t="s">
        <v>1576</v>
      </c>
      <c r="E1630">
        <v>56603429470</v>
      </c>
      <c r="F1630">
        <v>636136</v>
      </c>
      <c r="G1630">
        <v>51895257771</v>
      </c>
      <c r="H1630" t="s">
        <v>35</v>
      </c>
      <c r="I1630" s="36">
        <v>5034</v>
      </c>
      <c r="J1630" s="36">
        <v>5034</v>
      </c>
      <c r="K1630" s="85">
        <v>0</v>
      </c>
      <c r="L1630" s="36">
        <v>419.5</v>
      </c>
      <c r="M1630" s="36">
        <v>419.5</v>
      </c>
      <c r="N1630" s="36">
        <v>0</v>
      </c>
      <c r="O1630" s="36">
        <v>0</v>
      </c>
      <c r="P1630" t="s">
        <v>497</v>
      </c>
      <c r="Q1630" t="s">
        <v>498</v>
      </c>
      <c r="R1630" t="s">
        <v>498</v>
      </c>
      <c r="S1630" s="1">
        <v>46072</v>
      </c>
      <c r="T1630" s="1">
        <v>46072</v>
      </c>
      <c r="V1630" s="1">
        <v>46437</v>
      </c>
      <c r="W1630" t="s">
        <v>38</v>
      </c>
      <c r="X1630">
        <v>12</v>
      </c>
      <c r="Y1630" t="s">
        <v>49</v>
      </c>
      <c r="AA1630" t="s">
        <v>112</v>
      </c>
      <c r="AB1630">
        <v>10</v>
      </c>
      <c r="AC1630" t="s">
        <v>499</v>
      </c>
      <c r="AD1630" t="s">
        <v>84</v>
      </c>
      <c r="AE1630" t="s">
        <v>43</v>
      </c>
      <c r="AF1630" t="s">
        <v>44</v>
      </c>
      <c r="AG1630" t="str">
        <f t="shared" si="26"/>
        <v>CC 12x</v>
      </c>
      <c r="AH1630" t="str">
        <f>IF(AND(SUMIF(E:E,E1630,I:I)&gt;=400000,Q1630="B2G"),"n","")</f>
        <v/>
      </c>
    </row>
    <row r="1631" spans="1:34">
      <c r="A1631">
        <v>2026</v>
      </c>
      <c r="B1631">
        <v>2</v>
      </c>
      <c r="C1631" s="83">
        <v>23340043699</v>
      </c>
      <c r="D1631" t="s">
        <v>1577</v>
      </c>
      <c r="E1631">
        <v>55633743285</v>
      </c>
      <c r="F1631">
        <v>636149</v>
      </c>
      <c r="G1631">
        <v>51909813346</v>
      </c>
      <c r="H1631" t="s">
        <v>35</v>
      </c>
      <c r="I1631" s="36">
        <v>5718.6</v>
      </c>
      <c r="J1631" s="36">
        <v>5718.6</v>
      </c>
      <c r="K1631" s="85">
        <v>0</v>
      </c>
      <c r="L1631" s="36">
        <v>476.55</v>
      </c>
      <c r="M1631" s="36">
        <v>476.55</v>
      </c>
      <c r="N1631" s="36">
        <v>0</v>
      </c>
      <c r="O1631" s="36">
        <v>0</v>
      </c>
      <c r="P1631" t="s">
        <v>348</v>
      </c>
      <c r="Q1631" t="s">
        <v>349</v>
      </c>
      <c r="R1631" t="s">
        <v>349</v>
      </c>
      <c r="S1631" s="1">
        <v>46072</v>
      </c>
      <c r="T1631" s="1">
        <v>46072</v>
      </c>
      <c r="V1631" s="1">
        <v>46437</v>
      </c>
      <c r="W1631" t="s">
        <v>38</v>
      </c>
      <c r="X1631">
        <v>12</v>
      </c>
      <c r="Y1631" t="s">
        <v>49</v>
      </c>
      <c r="AA1631" t="s">
        <v>40</v>
      </c>
      <c r="AB1631">
        <v>1</v>
      </c>
      <c r="AC1631" t="s">
        <v>350</v>
      </c>
      <c r="AD1631" t="s">
        <v>149</v>
      </c>
      <c r="AE1631" t="s">
        <v>43</v>
      </c>
      <c r="AF1631" t="s">
        <v>96</v>
      </c>
      <c r="AG1631" t="str">
        <f t="shared" si="26"/>
        <v>À Vista</v>
      </c>
      <c r="AH1631" t="str">
        <f>IF(AND(SUMIF(E:E,E1631,I:I)&gt;=400000,Q1631="B2G"),"n","")</f>
        <v/>
      </c>
    </row>
    <row r="1632" spans="1:34">
      <c r="A1632">
        <v>2026</v>
      </c>
      <c r="B1632">
        <v>2</v>
      </c>
      <c r="C1632" s="83">
        <v>23777804185</v>
      </c>
      <c r="D1632" t="s">
        <v>1578</v>
      </c>
      <c r="E1632">
        <v>56917557846</v>
      </c>
      <c r="F1632">
        <v>627053</v>
      </c>
      <c r="G1632">
        <v>52357245880</v>
      </c>
      <c r="H1632" t="s">
        <v>35</v>
      </c>
      <c r="I1632" s="36">
        <v>4587</v>
      </c>
      <c r="J1632" s="36">
        <v>4587</v>
      </c>
      <c r="K1632" s="85">
        <v>0</v>
      </c>
      <c r="L1632" s="36">
        <v>382.25</v>
      </c>
      <c r="M1632" s="36">
        <v>0</v>
      </c>
      <c r="N1632" s="36">
        <v>13.135</v>
      </c>
      <c r="O1632" s="36">
        <v>369.12</v>
      </c>
      <c r="P1632" t="s">
        <v>520</v>
      </c>
      <c r="Q1632" t="s">
        <v>111</v>
      </c>
      <c r="R1632" t="s">
        <v>111</v>
      </c>
      <c r="S1632" s="1">
        <v>46079</v>
      </c>
      <c r="T1632" s="1">
        <v>46079</v>
      </c>
      <c r="U1632" s="1">
        <v>46081</v>
      </c>
      <c r="V1632" s="1">
        <v>46446</v>
      </c>
      <c r="W1632" t="s">
        <v>38</v>
      </c>
      <c r="X1632">
        <v>12</v>
      </c>
      <c r="Y1632" t="s">
        <v>49</v>
      </c>
      <c r="Z1632" t="s">
        <v>81</v>
      </c>
      <c r="AA1632" t="s">
        <v>112</v>
      </c>
      <c r="AB1632">
        <v>12</v>
      </c>
      <c r="AC1632" t="s">
        <v>113</v>
      </c>
      <c r="AD1632" t="s">
        <v>229</v>
      </c>
      <c r="AE1632" t="s">
        <v>43</v>
      </c>
      <c r="AF1632" t="s">
        <v>96</v>
      </c>
      <c r="AG1632" t="str">
        <f t="shared" si="26"/>
        <v>CC 12x</v>
      </c>
      <c r="AH1632" t="str">
        <f>IF(AND(SUMIF(E:E,E1632,I:I)&gt;=400000,Q1632="B2G"),"n","")</f>
        <v/>
      </c>
    </row>
    <row r="1633" spans="1:34">
      <c r="A1633">
        <v>2026</v>
      </c>
      <c r="B1633">
        <v>2</v>
      </c>
      <c r="C1633" s="83">
        <v>25128706628</v>
      </c>
      <c r="D1633" t="s">
        <v>1579</v>
      </c>
      <c r="E1633">
        <v>56026417761</v>
      </c>
      <c r="F1633">
        <v>636060</v>
      </c>
      <c r="G1633">
        <v>51288849251</v>
      </c>
      <c r="H1633" t="s">
        <v>35</v>
      </c>
      <c r="I1633" s="36">
        <v>3666.6</v>
      </c>
      <c r="J1633" s="36">
        <v>3666.6</v>
      </c>
      <c r="K1633" s="85">
        <v>0</v>
      </c>
      <c r="L1633" s="36">
        <v>305.55</v>
      </c>
      <c r="M1633" s="36">
        <v>305.55</v>
      </c>
      <c r="N1633" s="36">
        <v>0</v>
      </c>
      <c r="O1633" s="36">
        <v>0</v>
      </c>
      <c r="P1633" t="s">
        <v>348</v>
      </c>
      <c r="Q1633" t="s">
        <v>349</v>
      </c>
      <c r="R1633" t="s">
        <v>349</v>
      </c>
      <c r="S1633" s="1">
        <v>46065</v>
      </c>
      <c r="T1633" s="1">
        <v>46065</v>
      </c>
      <c r="V1633" s="1">
        <v>46429</v>
      </c>
      <c r="W1633" t="s">
        <v>38</v>
      </c>
      <c r="X1633">
        <v>12</v>
      </c>
      <c r="Y1633" t="s">
        <v>49</v>
      </c>
      <c r="AA1633" t="s">
        <v>117</v>
      </c>
      <c r="AB1633">
        <v>1</v>
      </c>
      <c r="AC1633" t="s">
        <v>350</v>
      </c>
      <c r="AD1633" t="s">
        <v>160</v>
      </c>
      <c r="AE1633" t="s">
        <v>43</v>
      </c>
      <c r="AF1633" t="s">
        <v>44</v>
      </c>
      <c r="AG1633" t="str">
        <f t="shared" si="26"/>
        <v>À Vista</v>
      </c>
      <c r="AH1633" t="str">
        <f>IF(AND(SUMIF(E:E,E1633,I:I)&gt;=400000,Q1633="B2G"),"n","")</f>
        <v/>
      </c>
    </row>
    <row r="1634" spans="1:34">
      <c r="A1634">
        <v>2026</v>
      </c>
      <c r="B1634">
        <v>2</v>
      </c>
      <c r="C1634" s="83">
        <v>26102034551</v>
      </c>
      <c r="D1634" t="s">
        <v>1580</v>
      </c>
      <c r="E1634">
        <v>54267517703</v>
      </c>
      <c r="F1634">
        <v>623669</v>
      </c>
      <c r="G1634">
        <v>50926084661</v>
      </c>
      <c r="H1634" t="s">
        <v>35</v>
      </c>
      <c r="I1634" s="36">
        <v>1721.4</v>
      </c>
      <c r="J1634" s="36">
        <v>2245.6799999999998</v>
      </c>
      <c r="K1634" s="85">
        <v>0</v>
      </c>
      <c r="L1634" s="36">
        <v>187.14</v>
      </c>
      <c r="M1634" s="36">
        <v>0</v>
      </c>
      <c r="N1634" s="36">
        <v>187.14</v>
      </c>
      <c r="O1634" s="36">
        <v>0</v>
      </c>
      <c r="P1634" t="s">
        <v>804</v>
      </c>
      <c r="Q1634" t="s">
        <v>191</v>
      </c>
      <c r="R1634" t="s">
        <v>191</v>
      </c>
      <c r="S1634" s="1">
        <v>46059</v>
      </c>
      <c r="T1634" s="1">
        <v>46059</v>
      </c>
      <c r="U1634" s="1">
        <v>46339</v>
      </c>
      <c r="V1634" s="1">
        <v>46339</v>
      </c>
      <c r="W1634" t="s">
        <v>38</v>
      </c>
      <c r="X1634">
        <v>9</v>
      </c>
      <c r="Y1634" t="s">
        <v>49</v>
      </c>
      <c r="Z1634" t="s">
        <v>324</v>
      </c>
      <c r="AA1634" t="s">
        <v>122</v>
      </c>
      <c r="AB1634">
        <v>9</v>
      </c>
      <c r="AC1634" t="s">
        <v>192</v>
      </c>
      <c r="AD1634" t="s">
        <v>138</v>
      </c>
      <c r="AE1634" t="s">
        <v>135</v>
      </c>
      <c r="AF1634" t="s">
        <v>119</v>
      </c>
      <c r="AG1634" t="str">
        <f t="shared" si="26"/>
        <v>Recorrente</v>
      </c>
      <c r="AH1634" t="str">
        <f>IF(AND(SUMIF(E:E,E1634,I:I)&gt;=400000,Q1634="B2G"),"n","")</f>
        <v/>
      </c>
    </row>
    <row r="1635" spans="1:34">
      <c r="A1635">
        <v>2026</v>
      </c>
      <c r="B1635">
        <v>2</v>
      </c>
      <c r="C1635" s="83">
        <v>26565498749</v>
      </c>
      <c r="D1635" t="s">
        <v>1581</v>
      </c>
      <c r="E1635">
        <v>55618211992</v>
      </c>
      <c r="F1635">
        <v>635963</v>
      </c>
      <c r="G1635">
        <v>50925753876</v>
      </c>
      <c r="H1635" t="s">
        <v>35</v>
      </c>
      <c r="I1635" s="36">
        <v>5178.6000000000004</v>
      </c>
      <c r="J1635" s="36">
        <v>5178.6000000000004</v>
      </c>
      <c r="K1635" s="85">
        <v>0</v>
      </c>
      <c r="L1635" s="36">
        <v>431.55</v>
      </c>
      <c r="M1635" s="36">
        <v>0</v>
      </c>
      <c r="N1635" s="36">
        <v>431.55</v>
      </c>
      <c r="O1635" s="36">
        <v>0</v>
      </c>
      <c r="P1635" t="s">
        <v>520</v>
      </c>
      <c r="Q1635" t="s">
        <v>191</v>
      </c>
      <c r="R1635" t="s">
        <v>191</v>
      </c>
      <c r="S1635" s="1">
        <v>46058</v>
      </c>
      <c r="T1635" s="1">
        <v>46058</v>
      </c>
      <c r="V1635" s="1">
        <v>46424</v>
      </c>
      <c r="W1635" t="s">
        <v>38</v>
      </c>
      <c r="X1635">
        <v>12</v>
      </c>
      <c r="Y1635" t="s">
        <v>49</v>
      </c>
      <c r="AA1635" t="s">
        <v>112</v>
      </c>
      <c r="AB1635">
        <v>12</v>
      </c>
      <c r="AC1635" t="s">
        <v>192</v>
      </c>
      <c r="AD1635" t="s">
        <v>85</v>
      </c>
      <c r="AE1635" t="s">
        <v>46</v>
      </c>
      <c r="AF1635" t="s">
        <v>44</v>
      </c>
      <c r="AG1635" t="str">
        <f t="shared" si="26"/>
        <v>CC 12x</v>
      </c>
      <c r="AH1635" t="str">
        <f>IF(AND(SUMIF(E:E,E1635,I:I)&gt;=400000,Q1635="B2G"),"n","")</f>
        <v/>
      </c>
    </row>
    <row r="1636" spans="1:34">
      <c r="A1636">
        <v>2026</v>
      </c>
      <c r="B1636">
        <v>2</v>
      </c>
      <c r="C1636" s="83">
        <v>27414646404</v>
      </c>
      <c r="D1636" t="s">
        <v>1582</v>
      </c>
      <c r="E1636">
        <v>54351266068</v>
      </c>
      <c r="F1636">
        <v>636207</v>
      </c>
      <c r="G1636">
        <v>52153210165</v>
      </c>
      <c r="H1636" t="s">
        <v>35</v>
      </c>
      <c r="I1636" s="36">
        <v>7404.24</v>
      </c>
      <c r="J1636" s="36">
        <v>7404.3</v>
      </c>
      <c r="K1636" s="85">
        <v>0</v>
      </c>
      <c r="L1636" s="36">
        <v>617.02499999999998</v>
      </c>
      <c r="M1636" s="36">
        <v>617.02499999999998</v>
      </c>
      <c r="N1636" s="36">
        <v>0</v>
      </c>
      <c r="O1636" s="36">
        <v>0</v>
      </c>
      <c r="P1636" t="s">
        <v>348</v>
      </c>
      <c r="Q1636" t="s">
        <v>349</v>
      </c>
      <c r="R1636" t="s">
        <v>349</v>
      </c>
      <c r="S1636" s="1">
        <v>46076</v>
      </c>
      <c r="T1636" s="1">
        <v>46076</v>
      </c>
      <c r="V1636" s="1">
        <v>46441</v>
      </c>
      <c r="W1636" t="s">
        <v>38</v>
      </c>
      <c r="X1636">
        <v>12</v>
      </c>
      <c r="Y1636" t="s">
        <v>49</v>
      </c>
      <c r="AA1636" t="s">
        <v>112</v>
      </c>
      <c r="AB1636">
        <v>12</v>
      </c>
      <c r="AC1636" t="s">
        <v>350</v>
      </c>
      <c r="AD1636" t="s">
        <v>125</v>
      </c>
      <c r="AE1636" t="s">
        <v>43</v>
      </c>
      <c r="AF1636" t="s">
        <v>47</v>
      </c>
      <c r="AG1636" t="str">
        <f t="shared" si="26"/>
        <v>CC 12x</v>
      </c>
      <c r="AH1636" t="str">
        <f>IF(AND(SUMIF(E:E,E1636,I:I)&gt;=400000,Q1636="B2G"),"n","")</f>
        <v/>
      </c>
    </row>
    <row r="1637" spans="1:34">
      <c r="A1637">
        <v>2026</v>
      </c>
      <c r="B1637">
        <v>2</v>
      </c>
      <c r="C1637" s="83">
        <v>27650204561</v>
      </c>
      <c r="D1637" t="s">
        <v>1583</v>
      </c>
      <c r="E1637">
        <v>53880009878</v>
      </c>
      <c r="F1637">
        <v>625437</v>
      </c>
      <c r="G1637">
        <v>49141874442</v>
      </c>
      <c r="H1637" t="s">
        <v>35</v>
      </c>
      <c r="I1637" s="36">
        <v>2586.6</v>
      </c>
      <c r="J1637" s="36">
        <v>2586.6</v>
      </c>
      <c r="K1637" s="85">
        <v>0</v>
      </c>
      <c r="L1637" s="36">
        <v>215.55</v>
      </c>
      <c r="M1637" s="36">
        <v>0</v>
      </c>
      <c r="N1637" s="36">
        <v>18.38</v>
      </c>
      <c r="O1637" s="36">
        <v>197.17</v>
      </c>
      <c r="P1637" t="s">
        <v>116</v>
      </c>
      <c r="Q1637" t="s">
        <v>111</v>
      </c>
      <c r="R1637" t="s">
        <v>111</v>
      </c>
      <c r="S1637" s="1">
        <v>46037</v>
      </c>
      <c r="T1637" s="1">
        <v>46054</v>
      </c>
      <c r="U1637" s="1">
        <v>46036</v>
      </c>
      <c r="V1637" s="1">
        <v>46401</v>
      </c>
      <c r="W1637" t="s">
        <v>38</v>
      </c>
      <c r="X1637">
        <v>12</v>
      </c>
      <c r="Y1637" t="s">
        <v>49</v>
      </c>
      <c r="Z1637" t="s">
        <v>81</v>
      </c>
      <c r="AA1637" t="s">
        <v>92</v>
      </c>
      <c r="AB1637">
        <v>12</v>
      </c>
      <c r="AC1637" t="s">
        <v>113</v>
      </c>
      <c r="AD1637" t="s">
        <v>140</v>
      </c>
      <c r="AE1637" t="s">
        <v>46</v>
      </c>
      <c r="AF1637" t="s">
        <v>119</v>
      </c>
      <c r="AG1637" t="str">
        <f t="shared" si="26"/>
        <v>Recorrente</v>
      </c>
      <c r="AH1637" t="str">
        <f>IF(AND(SUMIF(E:E,E1637,I:I)&gt;=400000,Q1637="B2G"),"n","")</f>
        <v/>
      </c>
    </row>
    <row r="1638" spans="1:34">
      <c r="A1638">
        <v>2026</v>
      </c>
      <c r="B1638">
        <v>2</v>
      </c>
      <c r="C1638" s="83">
        <v>28298602658</v>
      </c>
      <c r="D1638" t="s">
        <v>619</v>
      </c>
      <c r="E1638">
        <v>53754985639</v>
      </c>
      <c r="F1638">
        <v>625376</v>
      </c>
      <c r="G1638">
        <v>48944342190</v>
      </c>
      <c r="H1638" t="s">
        <v>35</v>
      </c>
      <c r="I1638" s="36">
        <v>2457.2399999999998</v>
      </c>
      <c r="J1638" s="36">
        <v>2457.2399999999998</v>
      </c>
      <c r="K1638" s="85">
        <v>0</v>
      </c>
      <c r="L1638" s="36">
        <v>204.77</v>
      </c>
      <c r="M1638" s="36">
        <v>0</v>
      </c>
      <c r="N1638" s="36">
        <v>0</v>
      </c>
      <c r="O1638" s="36">
        <v>204.77250000000001</v>
      </c>
      <c r="P1638" t="s">
        <v>116</v>
      </c>
      <c r="Q1638" t="s">
        <v>111</v>
      </c>
      <c r="R1638" t="s">
        <v>111</v>
      </c>
      <c r="S1638" s="1">
        <v>46035</v>
      </c>
      <c r="T1638" s="1">
        <v>46054</v>
      </c>
      <c r="U1638" s="1">
        <v>46032</v>
      </c>
      <c r="V1638" s="1">
        <v>46397</v>
      </c>
      <c r="W1638" t="s">
        <v>38</v>
      </c>
      <c r="X1638">
        <v>12</v>
      </c>
      <c r="Y1638" t="s">
        <v>49</v>
      </c>
      <c r="Z1638" t="s">
        <v>76</v>
      </c>
      <c r="AA1638" t="s">
        <v>122</v>
      </c>
      <c r="AB1638">
        <v>12</v>
      </c>
      <c r="AC1638" t="s">
        <v>113</v>
      </c>
      <c r="AD1638" t="s">
        <v>118</v>
      </c>
      <c r="AE1638" t="s">
        <v>43</v>
      </c>
      <c r="AF1638" t="s">
        <v>119</v>
      </c>
      <c r="AG1638" t="str">
        <f t="shared" si="26"/>
        <v>Recorrente</v>
      </c>
      <c r="AH1638" t="str">
        <f>IF(AND(SUMIF(E:E,E1638,I:I)&gt;=400000,Q1638="B2G"),"n","")</f>
        <v/>
      </c>
    </row>
    <row r="1639" spans="1:34">
      <c r="A1639">
        <v>2026</v>
      </c>
      <c r="B1639">
        <v>2</v>
      </c>
      <c r="C1639" s="83">
        <v>28538169017</v>
      </c>
      <c r="D1639" t="s">
        <v>1584</v>
      </c>
      <c r="E1639">
        <v>53872892806</v>
      </c>
      <c r="F1639">
        <v>625439</v>
      </c>
      <c r="G1639">
        <v>49675187018</v>
      </c>
      <c r="H1639" t="s">
        <v>35</v>
      </c>
      <c r="I1639" s="36">
        <v>4452.6000000000004</v>
      </c>
      <c r="J1639" s="36">
        <v>4452.6000000000004</v>
      </c>
      <c r="K1639" s="85">
        <v>0</v>
      </c>
      <c r="L1639" s="36">
        <v>371.05</v>
      </c>
      <c r="M1639" s="36">
        <v>0</v>
      </c>
      <c r="N1639" s="36">
        <v>41.876249999999999</v>
      </c>
      <c r="O1639" s="36">
        <v>329.17</v>
      </c>
      <c r="P1639" t="s">
        <v>110</v>
      </c>
      <c r="Q1639" t="s">
        <v>111</v>
      </c>
      <c r="R1639" t="s">
        <v>111</v>
      </c>
      <c r="S1639" s="1">
        <v>46043</v>
      </c>
      <c r="T1639" s="1">
        <v>46054</v>
      </c>
      <c r="U1639" s="1">
        <v>46036</v>
      </c>
      <c r="V1639" s="1">
        <v>46408</v>
      </c>
      <c r="W1639" t="s">
        <v>38</v>
      </c>
      <c r="X1639">
        <v>12</v>
      </c>
      <c r="Y1639" t="s">
        <v>49</v>
      </c>
      <c r="Z1639" t="s">
        <v>81</v>
      </c>
      <c r="AA1639" t="s">
        <v>122</v>
      </c>
      <c r="AB1639">
        <v>12</v>
      </c>
      <c r="AC1639" t="s">
        <v>113</v>
      </c>
      <c r="AD1639" t="s">
        <v>138</v>
      </c>
      <c r="AE1639" t="s">
        <v>135</v>
      </c>
      <c r="AF1639" t="s">
        <v>119</v>
      </c>
      <c r="AG1639" t="str">
        <f t="shared" si="26"/>
        <v>Recorrente</v>
      </c>
      <c r="AH1639" t="str">
        <f>IF(AND(SUMIF(E:E,E1639,I:I)&gt;=400000,Q1639="B2G"),"n","")</f>
        <v/>
      </c>
    </row>
    <row r="1640" spans="1:34">
      <c r="A1640">
        <v>2026</v>
      </c>
      <c r="B1640">
        <v>2</v>
      </c>
      <c r="C1640" s="83">
        <v>28635726708</v>
      </c>
      <c r="D1640" t="s">
        <v>1585</v>
      </c>
      <c r="E1640">
        <v>55564768668</v>
      </c>
      <c r="F1640">
        <v>626139</v>
      </c>
      <c r="G1640">
        <v>50922521127</v>
      </c>
      <c r="H1640" t="s">
        <v>35</v>
      </c>
      <c r="I1640" s="36">
        <v>8394</v>
      </c>
      <c r="J1640" s="36">
        <v>8394</v>
      </c>
      <c r="K1640" s="85">
        <v>0</v>
      </c>
      <c r="L1640" s="36">
        <v>699.5</v>
      </c>
      <c r="M1640" s="36">
        <v>0</v>
      </c>
      <c r="N1640" s="36">
        <v>0</v>
      </c>
      <c r="O1640" s="36">
        <v>699.5</v>
      </c>
      <c r="P1640" t="s">
        <v>116</v>
      </c>
      <c r="Q1640" t="s">
        <v>111</v>
      </c>
      <c r="R1640" t="s">
        <v>111</v>
      </c>
      <c r="S1640" s="1">
        <v>46059</v>
      </c>
      <c r="T1640" s="1">
        <v>46059</v>
      </c>
      <c r="U1640" s="1">
        <v>46057</v>
      </c>
      <c r="V1640" s="1">
        <v>46422</v>
      </c>
      <c r="W1640" t="s">
        <v>38</v>
      </c>
      <c r="X1640">
        <v>12</v>
      </c>
      <c r="Y1640" t="s">
        <v>49</v>
      </c>
      <c r="Z1640" t="s">
        <v>81</v>
      </c>
      <c r="AA1640" t="s">
        <v>112</v>
      </c>
      <c r="AB1640">
        <v>12</v>
      </c>
      <c r="AC1640" t="s">
        <v>113</v>
      </c>
      <c r="AD1640" t="s">
        <v>94</v>
      </c>
      <c r="AE1640" t="s">
        <v>95</v>
      </c>
      <c r="AF1640" t="s">
        <v>96</v>
      </c>
      <c r="AG1640" t="str">
        <f t="shared" si="26"/>
        <v>CC 12x</v>
      </c>
      <c r="AH1640" t="str">
        <f>IF(AND(SUMIF(E:E,E1640,I:I)&gt;=400000,Q1640="B2G"),"n","")</f>
        <v/>
      </c>
    </row>
    <row r="1641" spans="1:34">
      <c r="A1641">
        <v>2026</v>
      </c>
      <c r="B1641">
        <v>2</v>
      </c>
      <c r="C1641" s="83">
        <v>28643639918</v>
      </c>
      <c r="D1641" t="s">
        <v>1586</v>
      </c>
      <c r="E1641">
        <v>52423405643</v>
      </c>
      <c r="F1641">
        <v>305022</v>
      </c>
      <c r="G1641">
        <v>50966078984</v>
      </c>
      <c r="H1641" t="s">
        <v>35</v>
      </c>
      <c r="I1641" s="36">
        <v>4401.84</v>
      </c>
      <c r="J1641" s="36">
        <v>4401.84</v>
      </c>
      <c r="K1641" s="85">
        <v>0</v>
      </c>
      <c r="L1641" s="36">
        <v>366.82</v>
      </c>
      <c r="M1641" s="36">
        <v>0</v>
      </c>
      <c r="N1641" s="36">
        <v>23.477499999999999</v>
      </c>
      <c r="O1641" s="36">
        <v>343.34</v>
      </c>
      <c r="P1641" t="s">
        <v>137</v>
      </c>
      <c r="Q1641" t="s">
        <v>111</v>
      </c>
      <c r="R1641" t="s">
        <v>111</v>
      </c>
      <c r="S1641" s="1">
        <v>46062</v>
      </c>
      <c r="T1641" s="1">
        <v>46062</v>
      </c>
      <c r="U1641" s="1">
        <v>46059</v>
      </c>
      <c r="V1641" s="1">
        <v>46446</v>
      </c>
      <c r="W1641" t="s">
        <v>38</v>
      </c>
      <c r="X1641">
        <v>12</v>
      </c>
      <c r="Y1641" t="s">
        <v>49</v>
      </c>
      <c r="Z1641" t="s">
        <v>81</v>
      </c>
      <c r="AA1641" t="s">
        <v>112</v>
      </c>
      <c r="AB1641">
        <v>12</v>
      </c>
      <c r="AC1641" t="s">
        <v>113</v>
      </c>
      <c r="AD1641" t="s">
        <v>85</v>
      </c>
      <c r="AE1641" t="s">
        <v>46</v>
      </c>
      <c r="AF1641" t="s">
        <v>44</v>
      </c>
      <c r="AG1641" t="str">
        <f t="shared" si="26"/>
        <v>CC 12x</v>
      </c>
      <c r="AH1641" t="str">
        <f>IF(AND(SUMIF(E:E,E1641,I:I)&gt;=400000,Q1641="B2G"),"n","")</f>
        <v/>
      </c>
    </row>
    <row r="1642" spans="1:34">
      <c r="A1642">
        <v>2026</v>
      </c>
      <c r="B1642">
        <v>2</v>
      </c>
      <c r="C1642" s="83">
        <v>28643841653</v>
      </c>
      <c r="D1642" t="s">
        <v>1587</v>
      </c>
      <c r="E1642">
        <v>55375829796</v>
      </c>
      <c r="F1642">
        <v>635864</v>
      </c>
      <c r="G1642">
        <v>50518694802</v>
      </c>
      <c r="H1642" t="s">
        <v>35</v>
      </c>
      <c r="I1642" s="36">
        <v>5845.44</v>
      </c>
      <c r="J1642" s="36">
        <v>1953.78</v>
      </c>
      <c r="K1642" s="85">
        <v>3891.66</v>
      </c>
      <c r="L1642" s="36">
        <v>162.815</v>
      </c>
      <c r="M1642" s="36">
        <v>0</v>
      </c>
      <c r="N1642" s="36">
        <v>162.815</v>
      </c>
      <c r="O1642" s="36">
        <v>0</v>
      </c>
      <c r="P1642" t="s">
        <v>804</v>
      </c>
      <c r="Q1642" t="s">
        <v>191</v>
      </c>
      <c r="R1642" t="s">
        <v>191</v>
      </c>
      <c r="S1642" s="1">
        <v>46055</v>
      </c>
      <c r="T1642" s="1">
        <v>46055</v>
      </c>
      <c r="V1642" s="1">
        <v>46420</v>
      </c>
      <c r="W1642" t="s">
        <v>38</v>
      </c>
      <c r="Y1642" t="s">
        <v>49</v>
      </c>
      <c r="AA1642" t="s">
        <v>112</v>
      </c>
      <c r="AB1642">
        <v>12</v>
      </c>
      <c r="AC1642" t="s">
        <v>192</v>
      </c>
      <c r="AD1642" t="s">
        <v>125</v>
      </c>
      <c r="AE1642" t="s">
        <v>43</v>
      </c>
      <c r="AF1642" t="s">
        <v>47</v>
      </c>
      <c r="AG1642" t="str">
        <f t="shared" si="26"/>
        <v>CC 12x</v>
      </c>
      <c r="AH1642" t="str">
        <f>IF(AND(SUMIF(E:E,E1642,I:I)&gt;=400000,Q1642="B2G"),"n","")</f>
        <v/>
      </c>
    </row>
    <row r="1643" spans="1:34">
      <c r="A1643">
        <v>2026</v>
      </c>
      <c r="B1643">
        <v>2</v>
      </c>
      <c r="C1643" s="83">
        <v>28652037721</v>
      </c>
      <c r="D1643" t="s">
        <v>1588</v>
      </c>
      <c r="E1643">
        <v>50542823735</v>
      </c>
      <c r="F1643">
        <v>607264</v>
      </c>
      <c r="G1643">
        <v>48560944897</v>
      </c>
      <c r="H1643" t="s">
        <v>35</v>
      </c>
      <c r="I1643" s="36">
        <v>5034</v>
      </c>
      <c r="J1643" s="36">
        <v>5034</v>
      </c>
      <c r="K1643" s="85">
        <v>0</v>
      </c>
      <c r="L1643" s="36">
        <v>419.5</v>
      </c>
      <c r="M1643" s="36">
        <v>0</v>
      </c>
      <c r="N1643" s="36">
        <v>76.02</v>
      </c>
      <c r="O1643" s="36">
        <v>343.48</v>
      </c>
      <c r="P1643" t="s">
        <v>137</v>
      </c>
      <c r="Q1643" t="s">
        <v>111</v>
      </c>
      <c r="R1643" t="s">
        <v>111</v>
      </c>
      <c r="S1643" s="1">
        <v>46031</v>
      </c>
      <c r="T1643" s="1">
        <v>46054</v>
      </c>
      <c r="U1643" s="1">
        <v>46033</v>
      </c>
      <c r="V1643" s="1">
        <v>46398</v>
      </c>
      <c r="W1643" t="s">
        <v>38</v>
      </c>
      <c r="X1643">
        <v>12</v>
      </c>
      <c r="Y1643" t="s">
        <v>49</v>
      </c>
      <c r="Z1643" t="s">
        <v>76</v>
      </c>
      <c r="AA1643" t="s">
        <v>122</v>
      </c>
      <c r="AB1643">
        <v>12</v>
      </c>
      <c r="AC1643" t="s">
        <v>113</v>
      </c>
      <c r="AD1643" t="s">
        <v>84</v>
      </c>
      <c r="AE1643" t="s">
        <v>43</v>
      </c>
      <c r="AF1643" t="s">
        <v>44</v>
      </c>
      <c r="AG1643" t="str">
        <f t="shared" si="26"/>
        <v>Recorrente</v>
      </c>
      <c r="AH1643" t="str">
        <f>IF(AND(SUMIF(E:E,E1643,I:I)&gt;=400000,Q1643="B2G"),"n","")</f>
        <v/>
      </c>
    </row>
    <row r="1644" spans="1:34">
      <c r="A1644">
        <v>2026</v>
      </c>
      <c r="B1644">
        <v>2</v>
      </c>
      <c r="C1644" s="83">
        <v>28794092834</v>
      </c>
      <c r="D1644" t="s">
        <v>1589</v>
      </c>
      <c r="E1644">
        <v>53767302982</v>
      </c>
      <c r="F1644">
        <v>627064</v>
      </c>
      <c r="G1644">
        <v>48826677599</v>
      </c>
      <c r="H1644" t="s">
        <v>35</v>
      </c>
      <c r="I1644" s="36">
        <v>2874</v>
      </c>
      <c r="J1644" s="36">
        <v>2874</v>
      </c>
      <c r="K1644" s="85">
        <v>0</v>
      </c>
      <c r="L1644" s="36">
        <v>239.5</v>
      </c>
      <c r="M1644" s="36">
        <v>0</v>
      </c>
      <c r="N1644" s="36">
        <v>7.67</v>
      </c>
      <c r="O1644" s="36">
        <v>231.83</v>
      </c>
      <c r="P1644" t="s">
        <v>165</v>
      </c>
      <c r="Q1644" t="s">
        <v>166</v>
      </c>
      <c r="R1644" t="s">
        <v>166</v>
      </c>
      <c r="S1644" s="1">
        <v>46077</v>
      </c>
      <c r="T1644" s="1">
        <v>46077</v>
      </c>
      <c r="U1644" s="1">
        <v>46081</v>
      </c>
      <c r="V1644" s="1">
        <v>46446</v>
      </c>
      <c r="W1644" t="s">
        <v>38</v>
      </c>
      <c r="X1644">
        <v>12</v>
      </c>
      <c r="Y1644" t="s">
        <v>49</v>
      </c>
      <c r="Z1644" t="s">
        <v>81</v>
      </c>
      <c r="AA1644" t="s">
        <v>112</v>
      </c>
      <c r="AB1644">
        <v>12</v>
      </c>
      <c r="AC1644" t="s">
        <v>166</v>
      </c>
      <c r="AD1644" t="s">
        <v>118</v>
      </c>
      <c r="AE1644" t="s">
        <v>43</v>
      </c>
      <c r="AF1644" t="s">
        <v>119</v>
      </c>
      <c r="AG1644" t="str">
        <f t="shared" ref="AG1644:AG1707" si="27">IF(IFERROR(SEARCH("Recorrente",AA1644),0)&gt;0,"Recorrente",IF(AB1644=1,"À Vista",IF(AB1644&lt;=3,"CC 3x",IF(AB1644&lt;=12,"CC 12x",IF(AB1644&gt;12,"Recorrente","")))))</f>
        <v>CC 12x</v>
      </c>
      <c r="AH1644" t="str">
        <f>IF(AND(SUMIF(E:E,E1644,I:I)&gt;=400000,Q1644="B2G"),"n","")</f>
        <v/>
      </c>
    </row>
    <row r="1645" spans="1:34">
      <c r="A1645">
        <v>2026</v>
      </c>
      <c r="B1645">
        <v>2</v>
      </c>
      <c r="C1645" s="83">
        <v>28800659513</v>
      </c>
      <c r="D1645" t="s">
        <v>1590</v>
      </c>
      <c r="E1645">
        <v>56039340292</v>
      </c>
      <c r="F1645">
        <v>626239</v>
      </c>
      <c r="G1645">
        <v>51425093047</v>
      </c>
      <c r="H1645" t="s">
        <v>35</v>
      </c>
      <c r="I1645" s="36">
        <v>7020.12</v>
      </c>
      <c r="J1645" s="36">
        <v>7020.12</v>
      </c>
      <c r="K1645" s="85">
        <v>0</v>
      </c>
      <c r="L1645" s="36">
        <v>585.01</v>
      </c>
      <c r="M1645" s="36">
        <v>0</v>
      </c>
      <c r="N1645" s="36">
        <v>0</v>
      </c>
      <c r="O1645" s="36">
        <v>585.00695499999995</v>
      </c>
      <c r="P1645" t="s">
        <v>116</v>
      </c>
      <c r="Q1645" t="s">
        <v>111</v>
      </c>
      <c r="R1645" t="s">
        <v>111</v>
      </c>
      <c r="S1645" s="1">
        <v>46072</v>
      </c>
      <c r="T1645" s="1">
        <v>46072</v>
      </c>
      <c r="U1645" s="1">
        <v>46060</v>
      </c>
      <c r="V1645" s="1">
        <v>46437</v>
      </c>
      <c r="W1645" t="s">
        <v>38</v>
      </c>
      <c r="X1645">
        <v>12</v>
      </c>
      <c r="Y1645" t="s">
        <v>49</v>
      </c>
      <c r="Z1645" t="s">
        <v>81</v>
      </c>
      <c r="AA1645" t="s">
        <v>112</v>
      </c>
      <c r="AB1645">
        <v>12</v>
      </c>
      <c r="AC1645" t="s">
        <v>113</v>
      </c>
      <c r="AD1645" t="s">
        <v>134</v>
      </c>
      <c r="AE1645" t="s">
        <v>135</v>
      </c>
      <c r="AF1645" t="s">
        <v>44</v>
      </c>
      <c r="AG1645" t="str">
        <f t="shared" si="27"/>
        <v>CC 12x</v>
      </c>
      <c r="AH1645" t="str">
        <f>IF(AND(SUMIF(E:E,E1645,I:I)&gt;=400000,Q1645="B2G"),"n","")</f>
        <v/>
      </c>
    </row>
    <row r="1646" spans="1:34">
      <c r="A1646">
        <v>2026</v>
      </c>
      <c r="B1646">
        <v>2</v>
      </c>
      <c r="C1646" s="83">
        <v>28825240191</v>
      </c>
      <c r="D1646" t="s">
        <v>1591</v>
      </c>
      <c r="E1646">
        <v>52924618069</v>
      </c>
      <c r="F1646">
        <v>625721</v>
      </c>
      <c r="G1646">
        <v>49949726286</v>
      </c>
      <c r="H1646" t="s">
        <v>35</v>
      </c>
      <c r="I1646" s="36">
        <v>4077.48</v>
      </c>
      <c r="J1646" s="36">
        <v>4077.48</v>
      </c>
      <c r="K1646" s="85">
        <v>0</v>
      </c>
      <c r="L1646" s="36">
        <v>339.79</v>
      </c>
      <c r="M1646" s="36">
        <v>0</v>
      </c>
      <c r="N1646" s="36">
        <v>0.79500000000000004</v>
      </c>
      <c r="O1646" s="36">
        <v>339</v>
      </c>
      <c r="P1646" t="s">
        <v>133</v>
      </c>
      <c r="Q1646" t="s">
        <v>111</v>
      </c>
      <c r="R1646" t="s">
        <v>111</v>
      </c>
      <c r="S1646" s="1">
        <v>46067</v>
      </c>
      <c r="T1646" s="1">
        <v>46054</v>
      </c>
      <c r="U1646" s="1">
        <v>46043</v>
      </c>
      <c r="V1646" s="1">
        <v>46418</v>
      </c>
      <c r="W1646" t="s">
        <v>38</v>
      </c>
      <c r="X1646">
        <v>12</v>
      </c>
      <c r="Y1646" t="s">
        <v>49</v>
      </c>
      <c r="Z1646" t="s">
        <v>81</v>
      </c>
      <c r="AA1646" t="s">
        <v>112</v>
      </c>
      <c r="AB1646">
        <v>12</v>
      </c>
      <c r="AC1646" t="s">
        <v>113</v>
      </c>
      <c r="AD1646" t="s">
        <v>84</v>
      </c>
      <c r="AE1646" t="s">
        <v>43</v>
      </c>
      <c r="AF1646" t="s">
        <v>44</v>
      </c>
      <c r="AG1646" t="str">
        <f t="shared" si="27"/>
        <v>CC 12x</v>
      </c>
      <c r="AH1646" t="str">
        <f>IF(AND(SUMIF(E:E,E1646,I:I)&gt;=400000,Q1646="B2G"),"n","")</f>
        <v/>
      </c>
    </row>
    <row r="1647" spans="1:34">
      <c r="A1647">
        <v>2026</v>
      </c>
      <c r="B1647">
        <v>2</v>
      </c>
      <c r="C1647" s="83">
        <v>28832869144</v>
      </c>
      <c r="D1647" t="s">
        <v>1592</v>
      </c>
      <c r="E1647">
        <v>53271156312</v>
      </c>
      <c r="F1647">
        <v>304110</v>
      </c>
      <c r="G1647">
        <v>49068605616</v>
      </c>
      <c r="H1647" t="s">
        <v>35</v>
      </c>
      <c r="I1647" s="36">
        <v>7155.84</v>
      </c>
      <c r="J1647" s="36">
        <v>7155.84</v>
      </c>
      <c r="K1647" s="85">
        <v>0</v>
      </c>
      <c r="L1647" s="36">
        <v>596.32000000000005</v>
      </c>
      <c r="M1647" s="36">
        <v>0</v>
      </c>
      <c r="N1647" s="36">
        <v>70.63</v>
      </c>
      <c r="O1647" s="36">
        <v>525.69000000000005</v>
      </c>
      <c r="P1647" t="s">
        <v>162</v>
      </c>
      <c r="Q1647" t="s">
        <v>111</v>
      </c>
      <c r="R1647" t="s">
        <v>111</v>
      </c>
      <c r="S1647" s="1">
        <v>46036</v>
      </c>
      <c r="T1647" s="1">
        <v>46054</v>
      </c>
      <c r="U1647" s="1">
        <v>46041</v>
      </c>
      <c r="V1647" s="1">
        <v>46406</v>
      </c>
      <c r="W1647" t="s">
        <v>38</v>
      </c>
      <c r="X1647">
        <v>12</v>
      </c>
      <c r="Y1647" t="s">
        <v>49</v>
      </c>
      <c r="Z1647" t="s">
        <v>81</v>
      </c>
      <c r="AA1647" t="s">
        <v>112</v>
      </c>
      <c r="AB1647">
        <v>12</v>
      </c>
      <c r="AC1647" t="s">
        <v>113</v>
      </c>
      <c r="AD1647" t="s">
        <v>134</v>
      </c>
      <c r="AE1647" t="s">
        <v>135</v>
      </c>
      <c r="AF1647" t="s">
        <v>44</v>
      </c>
      <c r="AG1647" t="str">
        <f t="shared" si="27"/>
        <v>CC 12x</v>
      </c>
      <c r="AH1647" t="str">
        <f>IF(AND(SUMIF(E:E,E1647,I:I)&gt;=400000,Q1647="B2G"),"n","")</f>
        <v/>
      </c>
    </row>
    <row r="1648" spans="1:34">
      <c r="A1648">
        <v>2026</v>
      </c>
      <c r="B1648">
        <v>2</v>
      </c>
      <c r="C1648" s="83">
        <v>28902019927</v>
      </c>
      <c r="D1648" t="s">
        <v>548</v>
      </c>
      <c r="E1648">
        <v>56173267238</v>
      </c>
      <c r="F1648">
        <v>625960</v>
      </c>
      <c r="G1648">
        <v>51492091207</v>
      </c>
      <c r="H1648" t="s">
        <v>35</v>
      </c>
      <c r="I1648" s="36">
        <v>855.36</v>
      </c>
      <c r="J1648" s="36">
        <v>984.24</v>
      </c>
      <c r="K1648" s="85">
        <v>0</v>
      </c>
      <c r="L1648" s="36">
        <v>82.02</v>
      </c>
      <c r="M1648" s="36">
        <v>0</v>
      </c>
      <c r="N1648" s="36">
        <v>82.02</v>
      </c>
      <c r="O1648" s="36">
        <v>0</v>
      </c>
      <c r="P1648" t="s">
        <v>367</v>
      </c>
      <c r="Q1648" t="s">
        <v>191</v>
      </c>
      <c r="R1648" t="s">
        <v>191</v>
      </c>
      <c r="S1648" s="1">
        <v>46066</v>
      </c>
      <c r="T1648" s="1">
        <v>46066</v>
      </c>
      <c r="U1648" s="1">
        <v>46781</v>
      </c>
      <c r="V1648" s="1">
        <v>46781</v>
      </c>
      <c r="W1648" t="s">
        <v>102</v>
      </c>
      <c r="X1648">
        <v>23</v>
      </c>
      <c r="Y1648" t="s">
        <v>549</v>
      </c>
      <c r="Z1648" t="s">
        <v>324</v>
      </c>
      <c r="AA1648" t="s">
        <v>92</v>
      </c>
      <c r="AB1648">
        <v>23</v>
      </c>
      <c r="AC1648" t="s">
        <v>192</v>
      </c>
      <c r="AD1648" t="s">
        <v>527</v>
      </c>
      <c r="AE1648" t="s">
        <v>257</v>
      </c>
      <c r="AF1648" t="s">
        <v>59</v>
      </c>
      <c r="AG1648" t="str">
        <f t="shared" si="27"/>
        <v>Recorrente</v>
      </c>
      <c r="AH1648" t="str">
        <f>IF(AND(SUMIF(E:E,E1648,I:I)&gt;=400000,Q1648="B2G"),"n","")</f>
        <v/>
      </c>
    </row>
    <row r="1649" spans="1:34">
      <c r="A1649">
        <v>2026</v>
      </c>
      <c r="B1649">
        <v>2</v>
      </c>
      <c r="C1649" s="83">
        <v>28902019927</v>
      </c>
      <c r="D1649" t="s">
        <v>548</v>
      </c>
      <c r="E1649">
        <v>56173267238</v>
      </c>
      <c r="F1649">
        <v>625960</v>
      </c>
      <c r="G1649">
        <v>51492091209</v>
      </c>
      <c r="H1649" t="s">
        <v>35</v>
      </c>
      <c r="I1649" s="36">
        <v>855.36</v>
      </c>
      <c r="J1649" s="36">
        <v>984.24</v>
      </c>
      <c r="K1649" s="85">
        <v>0</v>
      </c>
      <c r="L1649" s="36">
        <v>82.02</v>
      </c>
      <c r="M1649" s="36">
        <v>0</v>
      </c>
      <c r="N1649" s="36">
        <v>82.02</v>
      </c>
      <c r="O1649" s="36">
        <v>0</v>
      </c>
      <c r="P1649" t="s">
        <v>367</v>
      </c>
      <c r="Q1649" t="s">
        <v>191</v>
      </c>
      <c r="R1649" t="s">
        <v>191</v>
      </c>
      <c r="S1649" s="1">
        <v>46066</v>
      </c>
      <c r="T1649" s="1">
        <v>46066</v>
      </c>
      <c r="U1649" s="1">
        <v>46781</v>
      </c>
      <c r="V1649" s="1">
        <v>46781</v>
      </c>
      <c r="W1649" t="s">
        <v>102</v>
      </c>
      <c r="X1649">
        <v>23</v>
      </c>
      <c r="Y1649" t="s">
        <v>549</v>
      </c>
      <c r="Z1649" t="s">
        <v>324</v>
      </c>
      <c r="AA1649" t="s">
        <v>92</v>
      </c>
      <c r="AB1649">
        <v>23</v>
      </c>
      <c r="AC1649" t="s">
        <v>192</v>
      </c>
      <c r="AD1649" t="s">
        <v>550</v>
      </c>
      <c r="AE1649" t="s">
        <v>363</v>
      </c>
      <c r="AF1649" t="s">
        <v>59</v>
      </c>
      <c r="AG1649" t="str">
        <f t="shared" si="27"/>
        <v>Recorrente</v>
      </c>
      <c r="AH1649" t="str">
        <f>IF(AND(SUMIF(E:E,E1649,I:I)&gt;=400000,Q1649="B2G"),"n","")</f>
        <v/>
      </c>
    </row>
    <row r="1650" spans="1:34">
      <c r="A1650">
        <v>2026</v>
      </c>
      <c r="B1650">
        <v>2</v>
      </c>
      <c r="C1650" s="83">
        <v>28902019927</v>
      </c>
      <c r="D1650" t="s">
        <v>548</v>
      </c>
      <c r="E1650">
        <v>56173267238</v>
      </c>
      <c r="F1650">
        <v>625960</v>
      </c>
      <c r="G1650">
        <v>51492091217</v>
      </c>
      <c r="H1650" t="s">
        <v>35</v>
      </c>
      <c r="I1650" s="36">
        <v>6211.44</v>
      </c>
      <c r="J1650" s="36">
        <v>984.24</v>
      </c>
      <c r="K1650" s="85">
        <v>5227.2</v>
      </c>
      <c r="L1650" s="36">
        <v>82.02</v>
      </c>
      <c r="M1650" s="36">
        <v>0</v>
      </c>
      <c r="N1650" s="36">
        <v>82.02</v>
      </c>
      <c r="O1650" s="36">
        <v>0</v>
      </c>
      <c r="P1650" t="s">
        <v>367</v>
      </c>
      <c r="Q1650" t="s">
        <v>191</v>
      </c>
      <c r="R1650" t="s">
        <v>191</v>
      </c>
      <c r="S1650" s="1">
        <v>46066</v>
      </c>
      <c r="T1650" s="1">
        <v>46066</v>
      </c>
      <c r="U1650" s="1">
        <v>46781</v>
      </c>
      <c r="V1650" s="1">
        <v>46781</v>
      </c>
      <c r="W1650" t="s">
        <v>102</v>
      </c>
      <c r="X1650">
        <v>23</v>
      </c>
      <c r="Y1650" t="s">
        <v>549</v>
      </c>
      <c r="Z1650" t="s">
        <v>324</v>
      </c>
      <c r="AA1650" t="s">
        <v>92</v>
      </c>
      <c r="AB1650">
        <v>23</v>
      </c>
      <c r="AC1650" t="s">
        <v>192</v>
      </c>
      <c r="AD1650" t="s">
        <v>125</v>
      </c>
      <c r="AE1650" t="s">
        <v>43</v>
      </c>
      <c r="AF1650" t="s">
        <v>47</v>
      </c>
      <c r="AG1650" t="str">
        <f t="shared" si="27"/>
        <v>Recorrente</v>
      </c>
      <c r="AH1650" t="str">
        <f>IF(AND(SUMIF(E:E,E1650,I:I)&gt;=400000,Q1650="B2G"),"n","")</f>
        <v/>
      </c>
    </row>
    <row r="1651" spans="1:34">
      <c r="A1651">
        <v>2026</v>
      </c>
      <c r="B1651">
        <v>2</v>
      </c>
      <c r="C1651" s="83">
        <v>28902019927</v>
      </c>
      <c r="D1651" t="s">
        <v>548</v>
      </c>
      <c r="E1651">
        <v>56173267238</v>
      </c>
      <c r="F1651">
        <v>625960</v>
      </c>
      <c r="G1651">
        <v>51492091220</v>
      </c>
      <c r="H1651" t="s">
        <v>35</v>
      </c>
      <c r="I1651" s="36">
        <v>855.36</v>
      </c>
      <c r="J1651" s="36">
        <v>984.24</v>
      </c>
      <c r="K1651" s="85">
        <v>0</v>
      </c>
      <c r="L1651" s="36">
        <v>82.02</v>
      </c>
      <c r="M1651" s="36">
        <v>0</v>
      </c>
      <c r="N1651" s="36">
        <v>82.02</v>
      </c>
      <c r="O1651" s="36">
        <v>0</v>
      </c>
      <c r="P1651" t="s">
        <v>367</v>
      </c>
      <c r="Q1651" t="s">
        <v>191</v>
      </c>
      <c r="R1651" t="s">
        <v>191</v>
      </c>
      <c r="S1651" s="1">
        <v>46066</v>
      </c>
      <c r="T1651" s="1">
        <v>46066</v>
      </c>
      <c r="U1651" s="1">
        <v>46781</v>
      </c>
      <c r="V1651" s="1">
        <v>46781</v>
      </c>
      <c r="W1651" t="s">
        <v>102</v>
      </c>
      <c r="X1651">
        <v>23</v>
      </c>
      <c r="Y1651" t="s">
        <v>549</v>
      </c>
      <c r="Z1651" t="s">
        <v>324</v>
      </c>
      <c r="AA1651" t="s">
        <v>92</v>
      </c>
      <c r="AB1651">
        <v>23</v>
      </c>
      <c r="AC1651" t="s">
        <v>192</v>
      </c>
      <c r="AD1651" t="s">
        <v>550</v>
      </c>
      <c r="AE1651" t="s">
        <v>363</v>
      </c>
      <c r="AF1651" t="s">
        <v>59</v>
      </c>
      <c r="AG1651" t="str">
        <f t="shared" si="27"/>
        <v>Recorrente</v>
      </c>
      <c r="AH1651" t="str">
        <f>IF(AND(SUMIF(E:E,E1651,I:I)&gt;=400000,Q1651="B2G"),"n","")</f>
        <v/>
      </c>
    </row>
    <row r="1652" spans="1:34">
      <c r="A1652">
        <v>2026</v>
      </c>
      <c r="B1652">
        <v>2</v>
      </c>
      <c r="C1652" s="83">
        <v>28902019927</v>
      </c>
      <c r="D1652" t="s">
        <v>548</v>
      </c>
      <c r="E1652">
        <v>56173267238</v>
      </c>
      <c r="F1652">
        <v>625960</v>
      </c>
      <c r="G1652">
        <v>51492091222</v>
      </c>
      <c r="H1652" t="s">
        <v>35</v>
      </c>
      <c r="I1652" s="36">
        <v>855.36</v>
      </c>
      <c r="J1652" s="36">
        <v>984.24</v>
      </c>
      <c r="K1652" s="85">
        <v>0</v>
      </c>
      <c r="L1652" s="36">
        <v>82.02</v>
      </c>
      <c r="M1652" s="36">
        <v>0</v>
      </c>
      <c r="N1652" s="36">
        <v>82.02</v>
      </c>
      <c r="O1652" s="36">
        <v>0</v>
      </c>
      <c r="P1652" t="s">
        <v>367</v>
      </c>
      <c r="Q1652" t="s">
        <v>191</v>
      </c>
      <c r="R1652" t="s">
        <v>191</v>
      </c>
      <c r="S1652" s="1">
        <v>46066</v>
      </c>
      <c r="T1652" s="1">
        <v>46066</v>
      </c>
      <c r="U1652" s="1">
        <v>46781</v>
      </c>
      <c r="V1652" s="1">
        <v>46781</v>
      </c>
      <c r="W1652" t="s">
        <v>102</v>
      </c>
      <c r="X1652">
        <v>23</v>
      </c>
      <c r="Y1652" t="s">
        <v>549</v>
      </c>
      <c r="Z1652" t="s">
        <v>324</v>
      </c>
      <c r="AA1652" t="s">
        <v>92</v>
      </c>
      <c r="AB1652">
        <v>23</v>
      </c>
      <c r="AC1652" t="s">
        <v>192</v>
      </c>
      <c r="AD1652" t="s">
        <v>550</v>
      </c>
      <c r="AE1652" t="s">
        <v>363</v>
      </c>
      <c r="AF1652" t="s">
        <v>59</v>
      </c>
      <c r="AG1652" t="str">
        <f t="shared" si="27"/>
        <v>Recorrente</v>
      </c>
      <c r="AH1652" t="str">
        <f>IF(AND(SUMIF(E:E,E1652,I:I)&gt;=400000,Q1652="B2G"),"n","")</f>
        <v/>
      </c>
    </row>
    <row r="1653" spans="1:34">
      <c r="A1653">
        <v>2026</v>
      </c>
      <c r="B1653">
        <v>2</v>
      </c>
      <c r="C1653" s="83">
        <v>28902019927</v>
      </c>
      <c r="D1653" t="s">
        <v>548</v>
      </c>
      <c r="E1653">
        <v>56173267238</v>
      </c>
      <c r="F1653">
        <v>625960</v>
      </c>
      <c r="G1653">
        <v>51492091223</v>
      </c>
      <c r="H1653" t="s">
        <v>35</v>
      </c>
      <c r="I1653" s="36">
        <v>855.36</v>
      </c>
      <c r="J1653" s="36">
        <v>984.24</v>
      </c>
      <c r="K1653" s="85">
        <v>0</v>
      </c>
      <c r="L1653" s="36">
        <v>82.02</v>
      </c>
      <c r="M1653" s="36">
        <v>0</v>
      </c>
      <c r="N1653" s="36">
        <v>82.02</v>
      </c>
      <c r="O1653" s="36">
        <v>0</v>
      </c>
      <c r="P1653" t="s">
        <v>367</v>
      </c>
      <c r="Q1653" t="s">
        <v>191</v>
      </c>
      <c r="R1653" t="s">
        <v>191</v>
      </c>
      <c r="S1653" s="1">
        <v>46066</v>
      </c>
      <c r="T1653" s="1">
        <v>46066</v>
      </c>
      <c r="U1653" s="1">
        <v>46781</v>
      </c>
      <c r="V1653" s="1">
        <v>46781</v>
      </c>
      <c r="W1653" t="s">
        <v>102</v>
      </c>
      <c r="X1653">
        <v>23</v>
      </c>
      <c r="Y1653" t="s">
        <v>549</v>
      </c>
      <c r="Z1653" t="s">
        <v>324</v>
      </c>
      <c r="AA1653" t="s">
        <v>92</v>
      </c>
      <c r="AB1653">
        <v>23</v>
      </c>
      <c r="AC1653" t="s">
        <v>192</v>
      </c>
      <c r="AD1653" t="s">
        <v>527</v>
      </c>
      <c r="AE1653" t="s">
        <v>257</v>
      </c>
      <c r="AF1653" t="s">
        <v>59</v>
      </c>
      <c r="AG1653" t="str">
        <f t="shared" si="27"/>
        <v>Recorrente</v>
      </c>
      <c r="AH1653" t="str">
        <f>IF(AND(SUMIF(E:E,E1653,I:I)&gt;=400000,Q1653="B2G"),"n","")</f>
        <v/>
      </c>
    </row>
    <row r="1654" spans="1:34">
      <c r="A1654">
        <v>2026</v>
      </c>
      <c r="B1654">
        <v>2</v>
      </c>
      <c r="C1654" s="83">
        <v>28902019927</v>
      </c>
      <c r="D1654" t="s">
        <v>548</v>
      </c>
      <c r="E1654">
        <v>56173267238</v>
      </c>
      <c r="F1654">
        <v>625960</v>
      </c>
      <c r="G1654">
        <v>51492091224</v>
      </c>
      <c r="H1654" t="s">
        <v>35</v>
      </c>
      <c r="I1654" s="36">
        <v>855.36</v>
      </c>
      <c r="J1654" s="36">
        <v>984.24</v>
      </c>
      <c r="K1654" s="85">
        <v>0</v>
      </c>
      <c r="L1654" s="36">
        <v>82.02</v>
      </c>
      <c r="M1654" s="36">
        <v>0</v>
      </c>
      <c r="N1654" s="36">
        <v>82.02</v>
      </c>
      <c r="O1654" s="36">
        <v>0</v>
      </c>
      <c r="P1654" t="s">
        <v>367</v>
      </c>
      <c r="Q1654" t="s">
        <v>191</v>
      </c>
      <c r="R1654" t="s">
        <v>191</v>
      </c>
      <c r="S1654" s="1">
        <v>46066</v>
      </c>
      <c r="T1654" s="1">
        <v>46066</v>
      </c>
      <c r="U1654" s="1">
        <v>46781</v>
      </c>
      <c r="V1654" s="1">
        <v>46781</v>
      </c>
      <c r="W1654" t="s">
        <v>102</v>
      </c>
      <c r="X1654">
        <v>23</v>
      </c>
      <c r="Y1654" t="s">
        <v>549</v>
      </c>
      <c r="Z1654" t="s">
        <v>324</v>
      </c>
      <c r="AA1654" t="s">
        <v>92</v>
      </c>
      <c r="AB1654">
        <v>23</v>
      </c>
      <c r="AC1654" t="s">
        <v>192</v>
      </c>
      <c r="AD1654" t="s">
        <v>550</v>
      </c>
      <c r="AE1654" t="s">
        <v>363</v>
      </c>
      <c r="AF1654" t="s">
        <v>59</v>
      </c>
      <c r="AG1654" t="str">
        <f t="shared" si="27"/>
        <v>Recorrente</v>
      </c>
      <c r="AH1654" t="str">
        <f>IF(AND(SUMIF(E:E,E1654,I:I)&gt;=400000,Q1654="B2G"),"n","")</f>
        <v/>
      </c>
    </row>
    <row r="1655" spans="1:34">
      <c r="A1655">
        <v>2026</v>
      </c>
      <c r="B1655">
        <v>2</v>
      </c>
      <c r="C1655" s="83">
        <v>28902019927</v>
      </c>
      <c r="D1655" t="s">
        <v>548</v>
      </c>
      <c r="E1655">
        <v>56173267238</v>
      </c>
      <c r="F1655">
        <v>625960</v>
      </c>
      <c r="G1655">
        <v>51492091227</v>
      </c>
      <c r="H1655" t="s">
        <v>35</v>
      </c>
      <c r="I1655" s="36">
        <v>6211.44</v>
      </c>
      <c r="J1655" s="36">
        <v>984.24</v>
      </c>
      <c r="K1655" s="85">
        <v>5227.2</v>
      </c>
      <c r="L1655" s="36">
        <v>82.02</v>
      </c>
      <c r="M1655" s="36">
        <v>0</v>
      </c>
      <c r="N1655" s="36">
        <v>82.02</v>
      </c>
      <c r="O1655" s="36">
        <v>0</v>
      </c>
      <c r="P1655" t="s">
        <v>367</v>
      </c>
      <c r="Q1655" t="s">
        <v>191</v>
      </c>
      <c r="R1655" t="s">
        <v>191</v>
      </c>
      <c r="S1655" s="1">
        <v>46066</v>
      </c>
      <c r="T1655" s="1">
        <v>46066</v>
      </c>
      <c r="U1655" s="1">
        <v>46781</v>
      </c>
      <c r="V1655" s="1">
        <v>46781</v>
      </c>
      <c r="W1655" t="s">
        <v>102</v>
      </c>
      <c r="X1655">
        <v>23</v>
      </c>
      <c r="Y1655" t="s">
        <v>549</v>
      </c>
      <c r="Z1655" t="s">
        <v>324</v>
      </c>
      <c r="AA1655" t="s">
        <v>92</v>
      </c>
      <c r="AB1655">
        <v>23</v>
      </c>
      <c r="AC1655" t="s">
        <v>192</v>
      </c>
      <c r="AD1655" t="s">
        <v>125</v>
      </c>
      <c r="AE1655" t="s">
        <v>43</v>
      </c>
      <c r="AF1655" t="s">
        <v>47</v>
      </c>
      <c r="AG1655" t="str">
        <f t="shared" si="27"/>
        <v>Recorrente</v>
      </c>
      <c r="AH1655" t="str">
        <f>IF(AND(SUMIF(E:E,E1655,I:I)&gt;=400000,Q1655="B2G"),"n","")</f>
        <v/>
      </c>
    </row>
    <row r="1656" spans="1:34">
      <c r="A1656">
        <v>2026</v>
      </c>
      <c r="B1656">
        <v>2</v>
      </c>
      <c r="C1656" s="83">
        <v>28902019927</v>
      </c>
      <c r="D1656" t="s">
        <v>548</v>
      </c>
      <c r="E1656">
        <v>56173267238</v>
      </c>
      <c r="F1656">
        <v>625960</v>
      </c>
      <c r="G1656">
        <v>51492091234</v>
      </c>
      <c r="H1656" t="s">
        <v>35</v>
      </c>
      <c r="I1656" s="36">
        <v>855.36</v>
      </c>
      <c r="J1656" s="36">
        <v>984.24</v>
      </c>
      <c r="K1656" s="85">
        <v>0</v>
      </c>
      <c r="L1656" s="36">
        <v>82.02</v>
      </c>
      <c r="M1656" s="36">
        <v>0</v>
      </c>
      <c r="N1656" s="36">
        <v>82.02</v>
      </c>
      <c r="O1656" s="36">
        <v>0</v>
      </c>
      <c r="P1656" t="s">
        <v>367</v>
      </c>
      <c r="Q1656" t="s">
        <v>191</v>
      </c>
      <c r="R1656" t="s">
        <v>191</v>
      </c>
      <c r="S1656" s="1">
        <v>46066</v>
      </c>
      <c r="T1656" s="1">
        <v>46066</v>
      </c>
      <c r="U1656" s="1">
        <v>46781</v>
      </c>
      <c r="V1656" s="1">
        <v>46781</v>
      </c>
      <c r="W1656" t="s">
        <v>102</v>
      </c>
      <c r="X1656">
        <v>23</v>
      </c>
      <c r="Y1656" t="s">
        <v>549</v>
      </c>
      <c r="Z1656" t="s">
        <v>324</v>
      </c>
      <c r="AA1656" t="s">
        <v>92</v>
      </c>
      <c r="AB1656">
        <v>23</v>
      </c>
      <c r="AC1656" t="s">
        <v>192</v>
      </c>
      <c r="AD1656" t="s">
        <v>527</v>
      </c>
      <c r="AE1656" t="s">
        <v>257</v>
      </c>
      <c r="AF1656" t="s">
        <v>59</v>
      </c>
      <c r="AG1656" t="str">
        <f t="shared" si="27"/>
        <v>Recorrente</v>
      </c>
      <c r="AH1656" t="str">
        <f>IF(AND(SUMIF(E:E,E1656,I:I)&gt;=400000,Q1656="B2G"),"n","")</f>
        <v/>
      </c>
    </row>
    <row r="1657" spans="1:34">
      <c r="A1657">
        <v>2026</v>
      </c>
      <c r="B1657">
        <v>2</v>
      </c>
      <c r="C1657" s="83">
        <v>28902019927</v>
      </c>
      <c r="D1657" t="s">
        <v>548</v>
      </c>
      <c r="E1657">
        <v>56173267238</v>
      </c>
      <c r="F1657">
        <v>625960</v>
      </c>
      <c r="G1657">
        <v>51492091237</v>
      </c>
      <c r="H1657" t="s">
        <v>35</v>
      </c>
      <c r="I1657" s="36">
        <v>855.36</v>
      </c>
      <c r="J1657" s="36">
        <v>984.24</v>
      </c>
      <c r="K1657" s="85">
        <v>0</v>
      </c>
      <c r="L1657" s="36">
        <v>82.02</v>
      </c>
      <c r="M1657" s="36">
        <v>0</v>
      </c>
      <c r="N1657" s="36">
        <v>82.02</v>
      </c>
      <c r="O1657" s="36">
        <v>0</v>
      </c>
      <c r="P1657" t="s">
        <v>367</v>
      </c>
      <c r="Q1657" t="s">
        <v>191</v>
      </c>
      <c r="R1657" t="s">
        <v>191</v>
      </c>
      <c r="S1657" s="1">
        <v>46066</v>
      </c>
      <c r="T1657" s="1">
        <v>46066</v>
      </c>
      <c r="U1657" s="1">
        <v>46781</v>
      </c>
      <c r="V1657" s="1">
        <v>46781</v>
      </c>
      <c r="W1657" t="s">
        <v>102</v>
      </c>
      <c r="X1657">
        <v>23</v>
      </c>
      <c r="Y1657" t="s">
        <v>549</v>
      </c>
      <c r="Z1657" t="s">
        <v>324</v>
      </c>
      <c r="AA1657" t="s">
        <v>92</v>
      </c>
      <c r="AB1657">
        <v>23</v>
      </c>
      <c r="AC1657" t="s">
        <v>192</v>
      </c>
      <c r="AD1657" t="s">
        <v>527</v>
      </c>
      <c r="AE1657" t="s">
        <v>257</v>
      </c>
      <c r="AF1657" t="s">
        <v>59</v>
      </c>
      <c r="AG1657" t="str">
        <f t="shared" si="27"/>
        <v>Recorrente</v>
      </c>
      <c r="AH1657" t="str">
        <f>IF(AND(SUMIF(E:E,E1657,I:I)&gt;=400000,Q1657="B2G"),"n","")</f>
        <v/>
      </c>
    </row>
    <row r="1658" spans="1:34">
      <c r="A1658">
        <v>2026</v>
      </c>
      <c r="B1658">
        <v>2</v>
      </c>
      <c r="C1658" s="83">
        <v>28918156294</v>
      </c>
      <c r="D1658" t="s">
        <v>1593</v>
      </c>
      <c r="E1658">
        <v>53549330277</v>
      </c>
      <c r="F1658">
        <v>626878</v>
      </c>
      <c r="G1658">
        <v>48785093241</v>
      </c>
      <c r="H1658" t="s">
        <v>35</v>
      </c>
      <c r="I1658" s="36">
        <v>3666.6</v>
      </c>
      <c r="J1658" s="36">
        <v>3666.6</v>
      </c>
      <c r="K1658" s="85">
        <v>0</v>
      </c>
      <c r="L1658" s="36">
        <v>305.55</v>
      </c>
      <c r="M1658" s="36">
        <v>0</v>
      </c>
      <c r="N1658" s="36">
        <v>68.400000000000006</v>
      </c>
      <c r="O1658" s="36">
        <v>237.15</v>
      </c>
      <c r="P1658" t="s">
        <v>165</v>
      </c>
      <c r="Q1658" t="s">
        <v>166</v>
      </c>
      <c r="R1658" t="s">
        <v>166</v>
      </c>
      <c r="S1658" s="1">
        <v>46077</v>
      </c>
      <c r="T1658" s="1">
        <v>46077</v>
      </c>
      <c r="U1658" s="1">
        <v>46078</v>
      </c>
      <c r="V1658" s="1">
        <v>46443</v>
      </c>
      <c r="W1658" t="s">
        <v>38</v>
      </c>
      <c r="X1658">
        <v>12</v>
      </c>
      <c r="Y1658" t="s">
        <v>49</v>
      </c>
      <c r="Z1658" t="s">
        <v>81</v>
      </c>
      <c r="AA1658" t="s">
        <v>112</v>
      </c>
      <c r="AB1658">
        <v>12</v>
      </c>
      <c r="AC1658" t="s">
        <v>166</v>
      </c>
      <c r="AD1658" t="s">
        <v>160</v>
      </c>
      <c r="AE1658" t="s">
        <v>43</v>
      </c>
      <c r="AF1658" t="s">
        <v>44</v>
      </c>
      <c r="AG1658" t="str">
        <f t="shared" si="27"/>
        <v>CC 12x</v>
      </c>
      <c r="AH1658" t="str">
        <f>IF(AND(SUMIF(E:E,E1658,I:I)&gt;=400000,Q1658="B2G"),"n","")</f>
        <v/>
      </c>
    </row>
    <row r="1659" spans="1:34">
      <c r="A1659">
        <v>2026</v>
      </c>
      <c r="B1659">
        <v>2</v>
      </c>
      <c r="C1659" s="83">
        <v>29472154202</v>
      </c>
      <c r="D1659" t="s">
        <v>1594</v>
      </c>
      <c r="E1659">
        <v>55732496741</v>
      </c>
      <c r="F1659">
        <v>626219</v>
      </c>
      <c r="G1659">
        <v>51121105213</v>
      </c>
      <c r="H1659" t="s">
        <v>35</v>
      </c>
      <c r="I1659" s="36">
        <v>7553.4</v>
      </c>
      <c r="J1659" s="36">
        <v>7553.4</v>
      </c>
      <c r="K1659" s="85">
        <v>0</v>
      </c>
      <c r="L1659" s="36">
        <v>629.45000000000005</v>
      </c>
      <c r="M1659" s="36">
        <v>0</v>
      </c>
      <c r="N1659" s="36">
        <v>45.35</v>
      </c>
      <c r="O1659" s="36">
        <v>584.1</v>
      </c>
      <c r="P1659" t="s">
        <v>162</v>
      </c>
      <c r="Q1659" t="s">
        <v>111</v>
      </c>
      <c r="R1659" t="s">
        <v>111</v>
      </c>
      <c r="S1659" s="1">
        <v>46063</v>
      </c>
      <c r="T1659" s="1">
        <v>46063</v>
      </c>
      <c r="U1659" s="1">
        <v>46059</v>
      </c>
      <c r="V1659" s="1">
        <v>46424</v>
      </c>
      <c r="W1659" t="s">
        <v>38</v>
      </c>
      <c r="X1659">
        <v>12</v>
      </c>
      <c r="Y1659" t="s">
        <v>49</v>
      </c>
      <c r="Z1659" t="s">
        <v>81</v>
      </c>
      <c r="AA1659" t="s">
        <v>122</v>
      </c>
      <c r="AB1659">
        <v>12</v>
      </c>
      <c r="AC1659" t="s">
        <v>113</v>
      </c>
      <c r="AD1659" t="s">
        <v>134</v>
      </c>
      <c r="AE1659" t="s">
        <v>135</v>
      </c>
      <c r="AF1659" t="s">
        <v>44</v>
      </c>
      <c r="AG1659" t="str">
        <f t="shared" si="27"/>
        <v>Recorrente</v>
      </c>
      <c r="AH1659" t="str">
        <f>IF(AND(SUMIF(E:E,E1659,I:I)&gt;=400000,Q1659="B2G"),"n","")</f>
        <v/>
      </c>
    </row>
    <row r="1660" spans="1:34">
      <c r="A1660">
        <v>2026</v>
      </c>
      <c r="B1660">
        <v>2</v>
      </c>
      <c r="C1660" s="83">
        <v>29610486635</v>
      </c>
      <c r="D1660" t="s">
        <v>1595</v>
      </c>
      <c r="E1660">
        <v>55721681561</v>
      </c>
      <c r="F1660">
        <v>626252</v>
      </c>
      <c r="G1660">
        <v>51087500639</v>
      </c>
      <c r="H1660" t="s">
        <v>35</v>
      </c>
      <c r="I1660" s="36">
        <v>4304.04</v>
      </c>
      <c r="J1660" s="36">
        <v>4304.04</v>
      </c>
      <c r="K1660" s="85">
        <v>0</v>
      </c>
      <c r="L1660" s="36">
        <v>358.67</v>
      </c>
      <c r="M1660" s="36">
        <v>0</v>
      </c>
      <c r="N1660" s="36">
        <v>15.6</v>
      </c>
      <c r="O1660" s="36">
        <v>343.07</v>
      </c>
      <c r="P1660" t="s">
        <v>162</v>
      </c>
      <c r="Q1660" t="s">
        <v>111</v>
      </c>
      <c r="R1660" t="s">
        <v>111</v>
      </c>
      <c r="S1660" s="1">
        <v>46062</v>
      </c>
      <c r="T1660" s="1">
        <v>46062</v>
      </c>
      <c r="U1660" s="1">
        <v>46060</v>
      </c>
      <c r="V1660" s="1">
        <v>46425</v>
      </c>
      <c r="W1660" t="s">
        <v>38</v>
      </c>
      <c r="X1660">
        <v>12</v>
      </c>
      <c r="Y1660" t="s">
        <v>49</v>
      </c>
      <c r="Z1660" t="s">
        <v>81</v>
      </c>
      <c r="AA1660" t="s">
        <v>112</v>
      </c>
      <c r="AB1660">
        <v>12</v>
      </c>
      <c r="AC1660" t="s">
        <v>113</v>
      </c>
      <c r="AD1660" t="s">
        <v>84</v>
      </c>
      <c r="AE1660" t="s">
        <v>43</v>
      </c>
      <c r="AF1660" t="s">
        <v>44</v>
      </c>
      <c r="AG1660" t="str">
        <f t="shared" si="27"/>
        <v>CC 12x</v>
      </c>
      <c r="AH1660" t="str">
        <f>IF(AND(SUMIF(E:E,E1660,I:I)&gt;=400000,Q1660="B2G"),"n","")</f>
        <v/>
      </c>
    </row>
    <row r="1661" spans="1:34">
      <c r="A1661">
        <v>2026</v>
      </c>
      <c r="B1661">
        <v>2</v>
      </c>
      <c r="C1661" s="83">
        <v>29647235503</v>
      </c>
      <c r="D1661" t="s">
        <v>1596</v>
      </c>
      <c r="E1661">
        <v>52602928647</v>
      </c>
      <c r="F1661">
        <v>626474</v>
      </c>
      <c r="G1661">
        <v>47776826552</v>
      </c>
      <c r="H1661" t="s">
        <v>35</v>
      </c>
      <c r="I1661" s="36">
        <v>5514</v>
      </c>
      <c r="J1661" s="36">
        <v>5514</v>
      </c>
      <c r="K1661" s="85">
        <v>0</v>
      </c>
      <c r="L1661" s="36">
        <v>459.5</v>
      </c>
      <c r="M1661" s="36">
        <v>0</v>
      </c>
      <c r="N1661" s="36">
        <v>30.5</v>
      </c>
      <c r="O1661" s="36">
        <v>429</v>
      </c>
      <c r="P1661" t="s">
        <v>165</v>
      </c>
      <c r="Q1661" t="s">
        <v>166</v>
      </c>
      <c r="R1661" t="s">
        <v>166</v>
      </c>
      <c r="S1661" s="1">
        <v>46064</v>
      </c>
      <c r="T1661" s="1">
        <v>46064</v>
      </c>
      <c r="U1661" s="1">
        <v>46064</v>
      </c>
      <c r="V1661" s="1">
        <v>46429</v>
      </c>
      <c r="W1661" t="s">
        <v>38</v>
      </c>
      <c r="X1661">
        <v>12</v>
      </c>
      <c r="Y1661" t="s">
        <v>49</v>
      </c>
      <c r="Z1661" t="s">
        <v>81</v>
      </c>
      <c r="AA1661" t="s">
        <v>112</v>
      </c>
      <c r="AB1661">
        <v>12</v>
      </c>
      <c r="AC1661" t="s">
        <v>166</v>
      </c>
      <c r="AD1661" t="s">
        <v>138</v>
      </c>
      <c r="AE1661" t="s">
        <v>135</v>
      </c>
      <c r="AF1661" t="s">
        <v>119</v>
      </c>
      <c r="AG1661" t="str">
        <f t="shared" si="27"/>
        <v>CC 12x</v>
      </c>
      <c r="AH1661" t="str">
        <f>IF(AND(SUMIF(E:E,E1661,I:I)&gt;=400000,Q1661="B2G"),"n","")</f>
        <v/>
      </c>
    </row>
    <row r="1662" spans="1:34">
      <c r="A1662">
        <v>2026</v>
      </c>
      <c r="B1662">
        <v>2</v>
      </c>
      <c r="C1662" s="83">
        <v>29654921756</v>
      </c>
      <c r="D1662" t="s">
        <v>1597</v>
      </c>
      <c r="E1662">
        <v>52427014059</v>
      </c>
      <c r="F1662">
        <v>626190</v>
      </c>
      <c r="G1662">
        <v>47551996063</v>
      </c>
      <c r="H1662" t="s">
        <v>35</v>
      </c>
      <c r="I1662" s="36">
        <v>9354</v>
      </c>
      <c r="J1662" s="36">
        <v>9354</v>
      </c>
      <c r="K1662" s="85">
        <v>0</v>
      </c>
      <c r="L1662" s="36">
        <v>779.5</v>
      </c>
      <c r="M1662" s="36">
        <v>0</v>
      </c>
      <c r="N1662" s="36">
        <v>40.5</v>
      </c>
      <c r="O1662" s="36">
        <v>739</v>
      </c>
      <c r="P1662" t="s">
        <v>165</v>
      </c>
      <c r="Q1662" t="s">
        <v>166</v>
      </c>
      <c r="R1662" t="s">
        <v>166</v>
      </c>
      <c r="S1662" s="1">
        <v>46059</v>
      </c>
      <c r="T1662" s="1">
        <v>46059</v>
      </c>
      <c r="U1662" s="1">
        <v>46059</v>
      </c>
      <c r="V1662" s="1">
        <v>46424</v>
      </c>
      <c r="W1662" t="s">
        <v>38</v>
      </c>
      <c r="X1662">
        <v>12</v>
      </c>
      <c r="Y1662" t="s">
        <v>49</v>
      </c>
      <c r="Z1662" t="s">
        <v>81</v>
      </c>
      <c r="AA1662" t="s">
        <v>112</v>
      </c>
      <c r="AB1662">
        <v>12</v>
      </c>
      <c r="AC1662" t="s">
        <v>166</v>
      </c>
      <c r="AD1662" t="s">
        <v>134</v>
      </c>
      <c r="AE1662" t="s">
        <v>135</v>
      </c>
      <c r="AF1662" t="s">
        <v>44</v>
      </c>
      <c r="AG1662" t="str">
        <f t="shared" si="27"/>
        <v>CC 12x</v>
      </c>
      <c r="AH1662" t="str">
        <f>IF(AND(SUMIF(E:E,E1662,I:I)&gt;=400000,Q1662="B2G"),"n","")</f>
        <v/>
      </c>
    </row>
    <row r="1663" spans="1:34">
      <c r="A1663">
        <v>2026</v>
      </c>
      <c r="B1663">
        <v>2</v>
      </c>
      <c r="C1663" s="83">
        <v>29689704093</v>
      </c>
      <c r="D1663" t="s">
        <v>1598</v>
      </c>
      <c r="E1663">
        <v>55729321566</v>
      </c>
      <c r="F1663">
        <v>626258</v>
      </c>
      <c r="G1663">
        <v>51427226296</v>
      </c>
      <c r="H1663" t="s">
        <v>35</v>
      </c>
      <c r="I1663" s="36">
        <v>4919.6400000000003</v>
      </c>
      <c r="J1663" s="36">
        <v>4919.6400000000003</v>
      </c>
      <c r="K1663" s="85">
        <v>0</v>
      </c>
      <c r="L1663" s="36">
        <v>409.97</v>
      </c>
      <c r="M1663" s="36">
        <v>0</v>
      </c>
      <c r="N1663" s="36">
        <v>1.1425000000000001</v>
      </c>
      <c r="O1663" s="36">
        <v>408.83</v>
      </c>
      <c r="P1663" t="s">
        <v>110</v>
      </c>
      <c r="Q1663" t="s">
        <v>111</v>
      </c>
      <c r="R1663" t="s">
        <v>111</v>
      </c>
      <c r="S1663" s="1">
        <v>46064</v>
      </c>
      <c r="T1663" s="1">
        <v>46064</v>
      </c>
      <c r="U1663" s="1">
        <v>46060</v>
      </c>
      <c r="V1663" s="1">
        <v>46430</v>
      </c>
      <c r="W1663" t="s">
        <v>38</v>
      </c>
      <c r="X1663">
        <v>12</v>
      </c>
      <c r="Y1663" t="s">
        <v>49</v>
      </c>
      <c r="Z1663" t="s">
        <v>81</v>
      </c>
      <c r="AA1663" t="s">
        <v>112</v>
      </c>
      <c r="AB1663">
        <v>12</v>
      </c>
      <c r="AC1663" t="s">
        <v>113</v>
      </c>
      <c r="AD1663" t="s">
        <v>85</v>
      </c>
      <c r="AE1663" t="s">
        <v>46</v>
      </c>
      <c r="AF1663" t="s">
        <v>44</v>
      </c>
      <c r="AG1663" t="str">
        <f t="shared" si="27"/>
        <v>CC 12x</v>
      </c>
      <c r="AH1663" t="str">
        <f>IF(AND(SUMIF(E:E,E1663,I:I)&gt;=400000,Q1663="B2G"),"n","")</f>
        <v/>
      </c>
    </row>
    <row r="1664" spans="1:34">
      <c r="A1664">
        <v>2026</v>
      </c>
      <c r="B1664">
        <v>2</v>
      </c>
      <c r="C1664" s="83">
        <v>29701486468</v>
      </c>
      <c r="D1664" t="s">
        <v>1599</v>
      </c>
      <c r="E1664">
        <v>56015096722</v>
      </c>
      <c r="F1664">
        <v>626430</v>
      </c>
      <c r="G1664">
        <v>52460767658</v>
      </c>
      <c r="H1664" t="s">
        <v>35</v>
      </c>
      <c r="I1664" s="36">
        <v>5466.24</v>
      </c>
      <c r="J1664" s="36">
        <v>5466.24</v>
      </c>
      <c r="K1664" s="85">
        <v>0</v>
      </c>
      <c r="L1664" s="36">
        <v>455.52</v>
      </c>
      <c r="M1664" s="36">
        <v>0</v>
      </c>
      <c r="N1664" s="36">
        <v>2.5249999999999999</v>
      </c>
      <c r="O1664" s="36">
        <v>453</v>
      </c>
      <c r="P1664" t="s">
        <v>137</v>
      </c>
      <c r="Q1664" t="s">
        <v>111</v>
      </c>
      <c r="R1664" t="s">
        <v>111</v>
      </c>
      <c r="S1664" s="1">
        <v>46080</v>
      </c>
      <c r="T1664" s="1">
        <v>46080</v>
      </c>
      <c r="U1664" s="1">
        <v>46063</v>
      </c>
      <c r="V1664" s="1">
        <v>46445</v>
      </c>
      <c r="W1664" t="s">
        <v>38</v>
      </c>
      <c r="X1664">
        <v>12</v>
      </c>
      <c r="Y1664" t="s">
        <v>49</v>
      </c>
      <c r="Z1664" t="s">
        <v>81</v>
      </c>
      <c r="AA1664" t="s">
        <v>112</v>
      </c>
      <c r="AB1664">
        <v>12</v>
      </c>
      <c r="AC1664" t="s">
        <v>113</v>
      </c>
      <c r="AD1664" t="s">
        <v>85</v>
      </c>
      <c r="AE1664" t="s">
        <v>46</v>
      </c>
      <c r="AF1664" t="s">
        <v>44</v>
      </c>
      <c r="AG1664" t="str">
        <f t="shared" si="27"/>
        <v>CC 12x</v>
      </c>
      <c r="AH1664" t="str">
        <f>IF(AND(SUMIF(E:E,E1664,I:I)&gt;=400000,Q1664="B2G"),"n","")</f>
        <v/>
      </c>
    </row>
    <row r="1665" spans="1:34">
      <c r="A1665">
        <v>2026</v>
      </c>
      <c r="B1665">
        <v>2</v>
      </c>
      <c r="C1665" s="83">
        <v>29701616529</v>
      </c>
      <c r="D1665" t="s">
        <v>1600</v>
      </c>
      <c r="E1665">
        <v>55710849800</v>
      </c>
      <c r="F1665">
        <v>626299</v>
      </c>
      <c r="G1665">
        <v>51120857511</v>
      </c>
      <c r="H1665" t="s">
        <v>35</v>
      </c>
      <c r="I1665" s="36">
        <v>4074</v>
      </c>
      <c r="J1665" s="36">
        <v>4074</v>
      </c>
      <c r="K1665" s="85">
        <v>0</v>
      </c>
      <c r="L1665" s="36">
        <v>339.5</v>
      </c>
      <c r="M1665" s="36">
        <v>0</v>
      </c>
      <c r="N1665" s="36">
        <v>61.4</v>
      </c>
      <c r="O1665" s="36">
        <v>278.10000000000002</v>
      </c>
      <c r="P1665" t="s">
        <v>127</v>
      </c>
      <c r="Q1665" t="s">
        <v>111</v>
      </c>
      <c r="R1665" t="s">
        <v>111</v>
      </c>
      <c r="S1665" s="1">
        <v>46062</v>
      </c>
      <c r="T1665" s="1">
        <v>46062</v>
      </c>
      <c r="U1665" s="1">
        <v>46061</v>
      </c>
      <c r="V1665" s="1">
        <v>46426</v>
      </c>
      <c r="W1665" t="s">
        <v>38</v>
      </c>
      <c r="X1665">
        <v>12</v>
      </c>
      <c r="Y1665" t="s">
        <v>49</v>
      </c>
      <c r="Z1665" t="s">
        <v>81</v>
      </c>
      <c r="AA1665" t="s">
        <v>112</v>
      </c>
      <c r="AB1665">
        <v>12</v>
      </c>
      <c r="AC1665" t="s">
        <v>113</v>
      </c>
      <c r="AD1665" t="s">
        <v>114</v>
      </c>
      <c r="AE1665" t="s">
        <v>43</v>
      </c>
      <c r="AF1665" t="s">
        <v>44</v>
      </c>
      <c r="AG1665" t="str">
        <f t="shared" si="27"/>
        <v>CC 12x</v>
      </c>
      <c r="AH1665" t="str">
        <f>IF(AND(SUMIF(E:E,E1665,I:I)&gt;=400000,Q1665="B2G"),"n","")</f>
        <v/>
      </c>
    </row>
    <row r="1666" spans="1:34">
      <c r="A1666">
        <v>2026</v>
      </c>
      <c r="B1666">
        <v>2</v>
      </c>
      <c r="C1666" s="83">
        <v>29781003189</v>
      </c>
      <c r="D1666" t="s">
        <v>1601</v>
      </c>
      <c r="E1666">
        <v>54224866561</v>
      </c>
      <c r="F1666">
        <v>626715</v>
      </c>
      <c r="G1666">
        <v>51226475355</v>
      </c>
      <c r="H1666" t="s">
        <v>104</v>
      </c>
      <c r="I1666" s="36">
        <v>4486.4799999999996</v>
      </c>
      <c r="J1666" s="36">
        <v>4486.4799999999996</v>
      </c>
      <c r="K1666" s="85">
        <v>0</v>
      </c>
      <c r="L1666" s="36">
        <v>373.87333330000001</v>
      </c>
      <c r="M1666" s="36">
        <v>0</v>
      </c>
      <c r="N1666" s="36">
        <v>22.72</v>
      </c>
      <c r="O1666" s="36">
        <v>351.15666670000002</v>
      </c>
      <c r="P1666" t="s">
        <v>110</v>
      </c>
      <c r="Q1666" t="s">
        <v>111</v>
      </c>
      <c r="R1666" t="s">
        <v>111</v>
      </c>
      <c r="S1666" s="1">
        <v>46066</v>
      </c>
      <c r="T1666" s="1">
        <v>46066</v>
      </c>
      <c r="U1666" s="1">
        <v>46071</v>
      </c>
      <c r="V1666" s="1">
        <v>46436</v>
      </c>
      <c r="W1666" t="s">
        <v>38</v>
      </c>
      <c r="X1666">
        <v>12</v>
      </c>
      <c r="Y1666" t="s">
        <v>49</v>
      </c>
      <c r="Z1666" t="s">
        <v>81</v>
      </c>
      <c r="AA1666" t="s">
        <v>122</v>
      </c>
      <c r="AB1666">
        <v>12</v>
      </c>
      <c r="AC1666" t="s">
        <v>113</v>
      </c>
      <c r="AD1666" t="s">
        <v>277</v>
      </c>
      <c r="AE1666" t="s">
        <v>106</v>
      </c>
      <c r="AF1666" t="s">
        <v>59</v>
      </c>
      <c r="AG1666" t="str">
        <f t="shared" si="27"/>
        <v>Recorrente</v>
      </c>
      <c r="AH1666" t="str">
        <f>IF(AND(SUMIF(E:E,E1666,I:I)&gt;=400000,Q1666="B2G"),"n","")</f>
        <v/>
      </c>
    </row>
    <row r="1667" spans="1:34">
      <c r="A1667">
        <v>2026</v>
      </c>
      <c r="B1667">
        <v>2</v>
      </c>
      <c r="C1667" s="83">
        <v>29781003189</v>
      </c>
      <c r="D1667" t="s">
        <v>1601</v>
      </c>
      <c r="E1667">
        <v>54224866561</v>
      </c>
      <c r="F1667">
        <v>626715</v>
      </c>
      <c r="G1667">
        <v>51226475356</v>
      </c>
      <c r="H1667" t="s">
        <v>35</v>
      </c>
      <c r="I1667" s="36">
        <v>4486.4799999999996</v>
      </c>
      <c r="J1667" s="36">
        <v>4486.4799999999996</v>
      </c>
      <c r="K1667" s="85">
        <v>0</v>
      </c>
      <c r="L1667" s="36">
        <v>373.87333330000001</v>
      </c>
      <c r="M1667" s="36">
        <v>0</v>
      </c>
      <c r="N1667" s="36">
        <v>22.72</v>
      </c>
      <c r="O1667" s="36">
        <v>351.15666670000002</v>
      </c>
      <c r="P1667" t="s">
        <v>110</v>
      </c>
      <c r="Q1667" t="s">
        <v>111</v>
      </c>
      <c r="R1667" t="s">
        <v>111</v>
      </c>
      <c r="S1667" s="1">
        <v>46066</v>
      </c>
      <c r="T1667" s="1">
        <v>46066</v>
      </c>
      <c r="U1667" s="1">
        <v>46071</v>
      </c>
      <c r="V1667" s="1">
        <v>46436</v>
      </c>
      <c r="W1667" t="s">
        <v>38</v>
      </c>
      <c r="X1667">
        <v>12</v>
      </c>
      <c r="Y1667" t="s">
        <v>49</v>
      </c>
      <c r="Z1667" t="s">
        <v>81</v>
      </c>
      <c r="AA1667" t="s">
        <v>122</v>
      </c>
      <c r="AB1667">
        <v>12</v>
      </c>
      <c r="AC1667" t="s">
        <v>113</v>
      </c>
      <c r="AD1667" t="s">
        <v>146</v>
      </c>
      <c r="AE1667" t="s">
        <v>135</v>
      </c>
      <c r="AF1667" t="s">
        <v>96</v>
      </c>
      <c r="AG1667" t="str">
        <f t="shared" si="27"/>
        <v>Recorrente</v>
      </c>
      <c r="AH1667" t="str">
        <f>IF(AND(SUMIF(E:E,E1667,I:I)&gt;=400000,Q1667="B2G"),"n","")</f>
        <v/>
      </c>
    </row>
    <row r="1668" spans="1:34">
      <c r="A1668">
        <v>2026</v>
      </c>
      <c r="B1668">
        <v>2</v>
      </c>
      <c r="C1668" s="83">
        <v>29781003189</v>
      </c>
      <c r="D1668" t="s">
        <v>1601</v>
      </c>
      <c r="E1668">
        <v>54224866561</v>
      </c>
      <c r="F1668">
        <v>626715</v>
      </c>
      <c r="G1668">
        <v>51226475357</v>
      </c>
      <c r="H1668" t="s">
        <v>35</v>
      </c>
      <c r="I1668" s="36">
        <v>4486.4799999999996</v>
      </c>
      <c r="J1668" s="36">
        <v>4486.4799999999996</v>
      </c>
      <c r="K1668" s="85">
        <v>0</v>
      </c>
      <c r="L1668" s="36">
        <v>373.87333330000001</v>
      </c>
      <c r="M1668" s="36">
        <v>0</v>
      </c>
      <c r="N1668" s="36">
        <v>22.72</v>
      </c>
      <c r="O1668" s="36">
        <v>351.15666670000002</v>
      </c>
      <c r="P1668" t="s">
        <v>110</v>
      </c>
      <c r="Q1668" t="s">
        <v>111</v>
      </c>
      <c r="R1668" t="s">
        <v>111</v>
      </c>
      <c r="S1668" s="1">
        <v>46066</v>
      </c>
      <c r="T1668" s="1">
        <v>46066</v>
      </c>
      <c r="U1668" s="1">
        <v>46071</v>
      </c>
      <c r="V1668" s="1">
        <v>46436</v>
      </c>
      <c r="W1668" t="s">
        <v>38</v>
      </c>
      <c r="X1668">
        <v>12</v>
      </c>
      <c r="Y1668" t="s">
        <v>49</v>
      </c>
      <c r="Z1668" t="s">
        <v>81</v>
      </c>
      <c r="AA1668" t="s">
        <v>122</v>
      </c>
      <c r="AB1668">
        <v>12</v>
      </c>
      <c r="AC1668" t="s">
        <v>113</v>
      </c>
      <c r="AD1668" t="s">
        <v>142</v>
      </c>
      <c r="AE1668" t="s">
        <v>95</v>
      </c>
      <c r="AF1668" t="s">
        <v>44</v>
      </c>
      <c r="AG1668" t="str">
        <f t="shared" si="27"/>
        <v>Recorrente</v>
      </c>
      <c r="AH1668" t="str">
        <f>IF(AND(SUMIF(E:E,E1668,I:I)&gt;=400000,Q1668="B2G"),"n","")</f>
        <v/>
      </c>
    </row>
    <row r="1669" spans="1:34">
      <c r="A1669">
        <v>2026</v>
      </c>
      <c r="B1669">
        <v>2</v>
      </c>
      <c r="C1669" s="83">
        <v>29796758927</v>
      </c>
      <c r="D1669" t="s">
        <v>1602</v>
      </c>
      <c r="E1669">
        <v>56294365463</v>
      </c>
      <c r="F1669">
        <v>626530</v>
      </c>
      <c r="G1669">
        <v>51983486464</v>
      </c>
      <c r="H1669" t="s">
        <v>35</v>
      </c>
      <c r="I1669" s="36">
        <v>2874</v>
      </c>
      <c r="J1669" s="36">
        <v>2874</v>
      </c>
      <c r="K1669" s="85">
        <v>0</v>
      </c>
      <c r="L1669" s="36">
        <v>239.5</v>
      </c>
      <c r="M1669" s="36">
        <v>0</v>
      </c>
      <c r="N1669" s="36">
        <v>0.5</v>
      </c>
      <c r="O1669" s="36">
        <v>239</v>
      </c>
      <c r="P1669" t="s">
        <v>162</v>
      </c>
      <c r="Q1669" t="s">
        <v>111</v>
      </c>
      <c r="R1669" t="s">
        <v>111</v>
      </c>
      <c r="S1669" s="1">
        <v>46076</v>
      </c>
      <c r="T1669" s="1">
        <v>46076</v>
      </c>
      <c r="U1669" s="1">
        <v>46066</v>
      </c>
      <c r="V1669" s="1">
        <v>46441</v>
      </c>
      <c r="W1669" t="s">
        <v>38</v>
      </c>
      <c r="X1669">
        <v>12</v>
      </c>
      <c r="Y1669" t="s">
        <v>49</v>
      </c>
      <c r="Z1669" t="s">
        <v>81</v>
      </c>
      <c r="AA1669" t="s">
        <v>122</v>
      </c>
      <c r="AB1669">
        <v>12</v>
      </c>
      <c r="AC1669" t="s">
        <v>113</v>
      </c>
      <c r="AD1669" t="s">
        <v>118</v>
      </c>
      <c r="AE1669" t="s">
        <v>43</v>
      </c>
      <c r="AF1669" t="s">
        <v>119</v>
      </c>
      <c r="AG1669" t="str">
        <f t="shared" si="27"/>
        <v>Recorrente</v>
      </c>
      <c r="AH1669" t="str">
        <f>IF(AND(SUMIF(E:E,E1669,I:I)&gt;=400000,Q1669="B2G"),"n","")</f>
        <v/>
      </c>
    </row>
    <row r="1670" spans="1:34">
      <c r="A1670">
        <v>2026</v>
      </c>
      <c r="B1670">
        <v>2</v>
      </c>
      <c r="C1670" s="83">
        <v>2982380</v>
      </c>
      <c r="D1670" t="s">
        <v>1603</v>
      </c>
      <c r="E1670">
        <v>54261970969</v>
      </c>
      <c r="F1670">
        <v>625763</v>
      </c>
      <c r="G1670">
        <v>49669300491</v>
      </c>
      <c r="H1670" t="s">
        <v>35</v>
      </c>
      <c r="I1670" s="36">
        <v>5553.24</v>
      </c>
      <c r="J1670" s="36">
        <v>5553.24</v>
      </c>
      <c r="K1670" s="85">
        <v>0</v>
      </c>
      <c r="L1670" s="36">
        <v>462.77</v>
      </c>
      <c r="M1670" s="36">
        <v>0</v>
      </c>
      <c r="N1670" s="36">
        <v>139.36875000000001</v>
      </c>
      <c r="O1670" s="36">
        <v>323.39999999999998</v>
      </c>
      <c r="P1670" t="s">
        <v>137</v>
      </c>
      <c r="Q1670" t="s">
        <v>111</v>
      </c>
      <c r="R1670" t="s">
        <v>111</v>
      </c>
      <c r="S1670" s="1">
        <v>46045</v>
      </c>
      <c r="T1670" s="1">
        <v>46054</v>
      </c>
      <c r="U1670" s="1">
        <v>46043</v>
      </c>
      <c r="V1670" s="1">
        <v>46408</v>
      </c>
      <c r="W1670" t="s">
        <v>38</v>
      </c>
      <c r="X1670">
        <v>12</v>
      </c>
      <c r="Y1670" t="s">
        <v>49</v>
      </c>
      <c r="Z1670" t="s">
        <v>81</v>
      </c>
      <c r="AA1670" t="s">
        <v>122</v>
      </c>
      <c r="AB1670">
        <v>12</v>
      </c>
      <c r="AC1670" t="s">
        <v>113</v>
      </c>
      <c r="AD1670" t="s">
        <v>125</v>
      </c>
      <c r="AE1670" t="s">
        <v>43</v>
      </c>
      <c r="AF1670" t="s">
        <v>47</v>
      </c>
      <c r="AG1670" t="str">
        <f t="shared" si="27"/>
        <v>Recorrente</v>
      </c>
      <c r="AH1670" t="str">
        <f>IF(AND(SUMIF(E:E,E1670,I:I)&gt;=400000,Q1670="B2G"),"n","")</f>
        <v/>
      </c>
    </row>
    <row r="1671" spans="1:34">
      <c r="A1671">
        <v>2026</v>
      </c>
      <c r="B1671">
        <v>2</v>
      </c>
      <c r="C1671" s="83">
        <v>29827035233</v>
      </c>
      <c r="D1671" t="s">
        <v>1604</v>
      </c>
      <c r="E1671">
        <v>53772796754</v>
      </c>
      <c r="F1671">
        <v>626470</v>
      </c>
      <c r="G1671">
        <v>48907482987</v>
      </c>
      <c r="H1671" t="s">
        <v>35</v>
      </c>
      <c r="I1671" s="36">
        <v>2874</v>
      </c>
      <c r="J1671" s="36">
        <v>2874</v>
      </c>
      <c r="K1671" s="85">
        <v>0</v>
      </c>
      <c r="L1671" s="36">
        <v>239.5</v>
      </c>
      <c r="M1671" s="36">
        <v>0</v>
      </c>
      <c r="N1671" s="36">
        <v>0.5</v>
      </c>
      <c r="O1671" s="36">
        <v>239</v>
      </c>
      <c r="P1671" t="s">
        <v>165</v>
      </c>
      <c r="Q1671" t="s">
        <v>166</v>
      </c>
      <c r="R1671" t="s">
        <v>166</v>
      </c>
      <c r="S1671" s="1">
        <v>46064</v>
      </c>
      <c r="T1671" s="1">
        <v>46064</v>
      </c>
      <c r="U1671" s="1">
        <v>46064</v>
      </c>
      <c r="V1671" s="1">
        <v>46429</v>
      </c>
      <c r="W1671" t="s">
        <v>38</v>
      </c>
      <c r="X1671">
        <v>12</v>
      </c>
      <c r="Y1671" t="s">
        <v>49</v>
      </c>
      <c r="Z1671" t="s">
        <v>81</v>
      </c>
      <c r="AA1671" t="s">
        <v>112</v>
      </c>
      <c r="AB1671">
        <v>12</v>
      </c>
      <c r="AC1671" t="s">
        <v>166</v>
      </c>
      <c r="AD1671" t="s">
        <v>140</v>
      </c>
      <c r="AE1671" t="s">
        <v>46</v>
      </c>
      <c r="AF1671" t="s">
        <v>119</v>
      </c>
      <c r="AG1671" t="str">
        <f t="shared" si="27"/>
        <v>CC 12x</v>
      </c>
      <c r="AH1671" t="str">
        <f>IF(AND(SUMIF(E:E,E1671,I:I)&gt;=400000,Q1671="B2G"),"n","")</f>
        <v/>
      </c>
    </row>
    <row r="1672" spans="1:34">
      <c r="A1672">
        <v>2026</v>
      </c>
      <c r="B1672">
        <v>2</v>
      </c>
      <c r="C1672" s="83">
        <v>29846988206</v>
      </c>
      <c r="D1672" t="s">
        <v>1605</v>
      </c>
      <c r="E1672">
        <v>56227648838</v>
      </c>
      <c r="F1672">
        <v>636103</v>
      </c>
      <c r="G1672">
        <v>51518824960</v>
      </c>
      <c r="H1672" t="s">
        <v>35</v>
      </c>
      <c r="I1672" s="36">
        <v>5754</v>
      </c>
      <c r="J1672" s="36">
        <v>5754</v>
      </c>
      <c r="K1672" s="85">
        <v>0</v>
      </c>
      <c r="L1672" s="36">
        <v>479.5</v>
      </c>
      <c r="M1672" s="36">
        <v>479.5</v>
      </c>
      <c r="N1672" s="36">
        <v>0</v>
      </c>
      <c r="O1672" s="36">
        <v>0</v>
      </c>
      <c r="P1672" t="s">
        <v>497</v>
      </c>
      <c r="Q1672" t="s">
        <v>498</v>
      </c>
      <c r="R1672" t="s">
        <v>498</v>
      </c>
      <c r="S1672" s="1">
        <v>46066</v>
      </c>
      <c r="T1672" s="1">
        <v>46066</v>
      </c>
      <c r="V1672" s="1">
        <v>46431</v>
      </c>
      <c r="W1672" t="s">
        <v>38</v>
      </c>
      <c r="X1672">
        <v>12</v>
      </c>
      <c r="Y1672" t="s">
        <v>49</v>
      </c>
      <c r="AA1672" t="s">
        <v>112</v>
      </c>
      <c r="AB1672">
        <v>12</v>
      </c>
      <c r="AC1672" t="s">
        <v>499</v>
      </c>
      <c r="AD1672" t="s">
        <v>85</v>
      </c>
      <c r="AE1672" t="s">
        <v>46</v>
      </c>
      <c r="AF1672" t="s">
        <v>44</v>
      </c>
      <c r="AG1672" t="str">
        <f t="shared" si="27"/>
        <v>CC 12x</v>
      </c>
      <c r="AH1672" t="str">
        <f>IF(AND(SUMIF(E:E,E1672,I:I)&gt;=400000,Q1672="B2G"),"n","")</f>
        <v/>
      </c>
    </row>
    <row r="1673" spans="1:34">
      <c r="A1673">
        <v>2026</v>
      </c>
      <c r="B1673">
        <v>2</v>
      </c>
      <c r="C1673" s="83">
        <v>29868118840</v>
      </c>
      <c r="D1673" t="s">
        <v>1606</v>
      </c>
      <c r="E1673">
        <v>53789051214</v>
      </c>
      <c r="F1673">
        <v>636322</v>
      </c>
      <c r="G1673">
        <v>52460779682</v>
      </c>
      <c r="H1673" t="s">
        <v>35</v>
      </c>
      <c r="I1673" s="36">
        <v>4062.48</v>
      </c>
      <c r="J1673" s="36">
        <v>4062.4380000000001</v>
      </c>
      <c r="K1673" s="85">
        <v>4.2000000000000003E-2</v>
      </c>
      <c r="L1673" s="36">
        <v>338.53649999999999</v>
      </c>
      <c r="M1673" s="36">
        <v>0</v>
      </c>
      <c r="N1673" s="36">
        <v>54.103638879999998</v>
      </c>
      <c r="O1673" s="36">
        <v>284.43286110000003</v>
      </c>
      <c r="P1673" t="s">
        <v>323</v>
      </c>
      <c r="Q1673" t="s">
        <v>191</v>
      </c>
      <c r="R1673" t="s">
        <v>191</v>
      </c>
      <c r="S1673" s="1">
        <v>46080</v>
      </c>
      <c r="T1673" s="1">
        <v>46080</v>
      </c>
      <c r="U1673" s="1">
        <v>46081</v>
      </c>
      <c r="V1673" s="1">
        <v>46445</v>
      </c>
      <c r="W1673" t="s">
        <v>38</v>
      </c>
      <c r="X1673">
        <v>12</v>
      </c>
      <c r="Y1673" t="s">
        <v>49</v>
      </c>
      <c r="AA1673" t="s">
        <v>122</v>
      </c>
      <c r="AB1673">
        <v>12</v>
      </c>
      <c r="AC1673" t="s">
        <v>192</v>
      </c>
      <c r="AD1673" t="s">
        <v>84</v>
      </c>
      <c r="AE1673" t="s">
        <v>43</v>
      </c>
      <c r="AF1673" t="s">
        <v>44</v>
      </c>
      <c r="AG1673" t="str">
        <f t="shared" si="27"/>
        <v>Recorrente</v>
      </c>
      <c r="AH1673" t="str">
        <f>IF(AND(SUMIF(E:E,E1673,I:I)&gt;=400000,Q1673="B2G"),"n","")</f>
        <v/>
      </c>
    </row>
    <row r="1674" spans="1:34">
      <c r="A1674">
        <v>2026</v>
      </c>
      <c r="B1674">
        <v>2</v>
      </c>
      <c r="C1674" s="83">
        <v>29868118840</v>
      </c>
      <c r="D1674" t="s">
        <v>1606</v>
      </c>
      <c r="E1674">
        <v>53789051214</v>
      </c>
      <c r="F1674">
        <v>636322</v>
      </c>
      <c r="G1674">
        <v>52460779683</v>
      </c>
      <c r="H1674" t="s">
        <v>35</v>
      </c>
      <c r="I1674" s="36">
        <v>4648.68</v>
      </c>
      <c r="J1674" s="36">
        <v>4648.6566000000003</v>
      </c>
      <c r="K1674" s="85">
        <v>2.3400000000000001E-2</v>
      </c>
      <c r="L1674" s="36">
        <v>387.38805000000002</v>
      </c>
      <c r="M1674" s="36">
        <v>0</v>
      </c>
      <c r="N1674" s="36">
        <v>61.910911120000002</v>
      </c>
      <c r="O1674" s="36">
        <v>325.4771389</v>
      </c>
      <c r="P1674" t="s">
        <v>323</v>
      </c>
      <c r="Q1674" t="s">
        <v>191</v>
      </c>
      <c r="R1674" t="s">
        <v>191</v>
      </c>
      <c r="S1674" s="1">
        <v>46080</v>
      </c>
      <c r="T1674" s="1">
        <v>46080</v>
      </c>
      <c r="U1674" s="1">
        <v>46081</v>
      </c>
      <c r="V1674" s="1">
        <v>46445</v>
      </c>
      <c r="W1674" t="s">
        <v>38</v>
      </c>
      <c r="X1674">
        <v>12</v>
      </c>
      <c r="Y1674" t="s">
        <v>49</v>
      </c>
      <c r="AA1674" t="s">
        <v>122</v>
      </c>
      <c r="AB1674">
        <v>12</v>
      </c>
      <c r="AC1674" t="s">
        <v>192</v>
      </c>
      <c r="AD1674" t="s">
        <v>85</v>
      </c>
      <c r="AE1674" t="s">
        <v>46</v>
      </c>
      <c r="AF1674" t="s">
        <v>44</v>
      </c>
      <c r="AG1674" t="str">
        <f t="shared" si="27"/>
        <v>Recorrente</v>
      </c>
      <c r="AH1674" t="str">
        <f>IF(AND(SUMIF(E:E,E1674,I:I)&gt;=400000,Q1674="B2G"),"n","")</f>
        <v/>
      </c>
    </row>
    <row r="1675" spans="1:34">
      <c r="A1675">
        <v>2026</v>
      </c>
      <c r="B1675">
        <v>2</v>
      </c>
      <c r="C1675" s="83">
        <v>29880579765</v>
      </c>
      <c r="D1675" t="s">
        <v>1607</v>
      </c>
      <c r="E1675">
        <v>53346532384</v>
      </c>
      <c r="F1675">
        <v>626547</v>
      </c>
      <c r="G1675">
        <v>49669738370</v>
      </c>
      <c r="H1675" t="s">
        <v>35</v>
      </c>
      <c r="I1675" s="36">
        <v>2874</v>
      </c>
      <c r="J1675" s="36">
        <v>2874</v>
      </c>
      <c r="K1675" s="85">
        <v>0</v>
      </c>
      <c r="L1675" s="36">
        <v>239.5</v>
      </c>
      <c r="M1675" s="36">
        <v>0</v>
      </c>
      <c r="N1675" s="36">
        <v>0</v>
      </c>
      <c r="O1675" s="36">
        <v>239.5</v>
      </c>
      <c r="P1675" t="s">
        <v>121</v>
      </c>
      <c r="Q1675" t="s">
        <v>111</v>
      </c>
      <c r="R1675" t="s">
        <v>111</v>
      </c>
      <c r="S1675" s="1">
        <v>46044</v>
      </c>
      <c r="T1675" s="1">
        <v>46054</v>
      </c>
      <c r="U1675" s="1">
        <v>46066</v>
      </c>
      <c r="V1675" s="1">
        <v>46431</v>
      </c>
      <c r="W1675" t="s">
        <v>38</v>
      </c>
      <c r="X1675">
        <v>12</v>
      </c>
      <c r="Y1675" t="s">
        <v>49</v>
      </c>
      <c r="Z1675" t="s">
        <v>76</v>
      </c>
      <c r="AA1675" t="s">
        <v>122</v>
      </c>
      <c r="AB1675">
        <v>12</v>
      </c>
      <c r="AC1675" t="s">
        <v>113</v>
      </c>
      <c r="AD1675" t="s">
        <v>140</v>
      </c>
      <c r="AE1675" t="s">
        <v>46</v>
      </c>
      <c r="AF1675" t="s">
        <v>119</v>
      </c>
      <c r="AG1675" t="str">
        <f t="shared" si="27"/>
        <v>Recorrente</v>
      </c>
      <c r="AH1675" t="str">
        <f>IF(AND(SUMIF(E:E,E1675,I:I)&gt;=400000,Q1675="B2G"),"n","")</f>
        <v/>
      </c>
    </row>
    <row r="1676" spans="1:34">
      <c r="A1676">
        <v>2026</v>
      </c>
      <c r="B1676">
        <v>2</v>
      </c>
      <c r="C1676" s="83">
        <v>29946520413</v>
      </c>
      <c r="D1676" t="s">
        <v>1608</v>
      </c>
      <c r="E1676">
        <v>52854214067</v>
      </c>
      <c r="F1676">
        <v>626562</v>
      </c>
      <c r="G1676">
        <v>48032788512</v>
      </c>
      <c r="H1676" t="s">
        <v>35</v>
      </c>
      <c r="I1676" s="36">
        <v>9354</v>
      </c>
      <c r="J1676" s="36">
        <v>9354</v>
      </c>
      <c r="K1676" s="85">
        <v>0</v>
      </c>
      <c r="L1676" s="36">
        <v>779.5</v>
      </c>
      <c r="M1676" s="36">
        <v>0</v>
      </c>
      <c r="N1676" s="36">
        <v>40.5</v>
      </c>
      <c r="O1676" s="36">
        <v>739</v>
      </c>
      <c r="P1676" t="s">
        <v>165</v>
      </c>
      <c r="Q1676" t="s">
        <v>166</v>
      </c>
      <c r="R1676" t="s">
        <v>166</v>
      </c>
      <c r="S1676" s="1">
        <v>46066</v>
      </c>
      <c r="T1676" s="1">
        <v>46066</v>
      </c>
      <c r="U1676" s="1">
        <v>46066</v>
      </c>
      <c r="V1676" s="1">
        <v>46431</v>
      </c>
      <c r="W1676" t="s">
        <v>38</v>
      </c>
      <c r="X1676">
        <v>12</v>
      </c>
      <c r="Y1676" t="s">
        <v>49</v>
      </c>
      <c r="Z1676" t="s">
        <v>81</v>
      </c>
      <c r="AA1676" t="s">
        <v>122</v>
      </c>
      <c r="AB1676">
        <v>12</v>
      </c>
      <c r="AC1676" t="s">
        <v>166</v>
      </c>
      <c r="AD1676" t="s">
        <v>134</v>
      </c>
      <c r="AE1676" t="s">
        <v>135</v>
      </c>
      <c r="AF1676" t="s">
        <v>44</v>
      </c>
      <c r="AG1676" t="str">
        <f t="shared" si="27"/>
        <v>Recorrente</v>
      </c>
      <c r="AH1676" t="str">
        <f>IF(AND(SUMIF(E:E,E1676,I:I)&gt;=400000,Q1676="B2G"),"n","")</f>
        <v/>
      </c>
    </row>
    <row r="1677" spans="1:34">
      <c r="A1677">
        <v>2026</v>
      </c>
      <c r="B1677">
        <v>2</v>
      </c>
      <c r="C1677" s="83">
        <v>29974852640</v>
      </c>
      <c r="D1677" t="s">
        <v>1609</v>
      </c>
      <c r="E1677">
        <v>53119072381</v>
      </c>
      <c r="F1677">
        <v>626610</v>
      </c>
      <c r="G1677">
        <v>48233134769</v>
      </c>
      <c r="H1677" t="s">
        <v>35</v>
      </c>
      <c r="I1677" s="36">
        <v>2874</v>
      </c>
      <c r="J1677" s="36">
        <v>2874</v>
      </c>
      <c r="K1677" s="85">
        <v>0</v>
      </c>
      <c r="L1677" s="36">
        <v>239.5</v>
      </c>
      <c r="M1677" s="36">
        <v>0</v>
      </c>
      <c r="N1677" s="36">
        <v>0.5</v>
      </c>
      <c r="O1677" s="36">
        <v>239</v>
      </c>
      <c r="P1677" t="s">
        <v>165</v>
      </c>
      <c r="Q1677" t="s">
        <v>166</v>
      </c>
      <c r="R1677" t="s">
        <v>166</v>
      </c>
      <c r="S1677" s="1">
        <v>46070</v>
      </c>
      <c r="T1677" s="1">
        <v>46070</v>
      </c>
      <c r="U1677" s="1">
        <v>46070</v>
      </c>
      <c r="V1677" s="1">
        <v>46435</v>
      </c>
      <c r="W1677" t="s">
        <v>38</v>
      </c>
      <c r="X1677">
        <v>12</v>
      </c>
      <c r="Y1677" t="s">
        <v>49</v>
      </c>
      <c r="Z1677" t="s">
        <v>81</v>
      </c>
      <c r="AA1677" t="s">
        <v>122</v>
      </c>
      <c r="AB1677">
        <v>12</v>
      </c>
      <c r="AC1677" t="s">
        <v>166</v>
      </c>
      <c r="AD1677" t="s">
        <v>118</v>
      </c>
      <c r="AE1677" t="s">
        <v>43</v>
      </c>
      <c r="AF1677" t="s">
        <v>119</v>
      </c>
      <c r="AG1677" t="str">
        <f t="shared" si="27"/>
        <v>Recorrente</v>
      </c>
      <c r="AH1677" t="str">
        <f>IF(AND(SUMIF(E:E,E1677,I:I)&gt;=400000,Q1677="B2G"),"n","")</f>
        <v/>
      </c>
    </row>
    <row r="1678" spans="1:34">
      <c r="A1678">
        <v>2026</v>
      </c>
      <c r="B1678">
        <v>2</v>
      </c>
      <c r="C1678" s="83">
        <v>30129160720</v>
      </c>
      <c r="D1678" t="s">
        <v>1610</v>
      </c>
      <c r="E1678">
        <v>54969588358</v>
      </c>
      <c r="F1678">
        <v>608401</v>
      </c>
      <c r="G1678">
        <v>50922624335</v>
      </c>
      <c r="H1678" t="s">
        <v>35</v>
      </c>
      <c r="I1678" s="36">
        <v>5962.44</v>
      </c>
      <c r="J1678" s="36">
        <v>5962.44</v>
      </c>
      <c r="K1678" s="85">
        <v>0</v>
      </c>
      <c r="L1678" s="36">
        <v>496.87</v>
      </c>
      <c r="M1678" s="36">
        <v>0</v>
      </c>
      <c r="N1678" s="36">
        <v>11.7675</v>
      </c>
      <c r="O1678" s="36">
        <v>485.1</v>
      </c>
      <c r="P1678" t="s">
        <v>110</v>
      </c>
      <c r="Q1678" t="s">
        <v>111</v>
      </c>
      <c r="R1678" t="s">
        <v>111</v>
      </c>
      <c r="S1678" s="1">
        <v>46059</v>
      </c>
      <c r="T1678" s="1">
        <v>46054</v>
      </c>
      <c r="U1678" s="1">
        <v>46053</v>
      </c>
      <c r="V1678" s="1">
        <v>46424</v>
      </c>
      <c r="W1678" t="s">
        <v>38</v>
      </c>
      <c r="X1678">
        <v>13</v>
      </c>
      <c r="Y1678" t="s">
        <v>49</v>
      </c>
      <c r="Z1678" t="s">
        <v>81</v>
      </c>
      <c r="AA1678" t="s">
        <v>112</v>
      </c>
      <c r="AB1678">
        <v>3</v>
      </c>
      <c r="AC1678" t="s">
        <v>113</v>
      </c>
      <c r="AD1678" t="s">
        <v>125</v>
      </c>
      <c r="AE1678" t="s">
        <v>43</v>
      </c>
      <c r="AF1678" t="s">
        <v>47</v>
      </c>
      <c r="AG1678" t="str">
        <f t="shared" si="27"/>
        <v>CC 3x</v>
      </c>
      <c r="AH1678" t="str">
        <f>IF(AND(SUMIF(E:E,E1678,I:I)&gt;=400000,Q1678="B2G"),"n","")</f>
        <v/>
      </c>
    </row>
    <row r="1679" spans="1:34">
      <c r="A1679">
        <v>2026</v>
      </c>
      <c r="B1679">
        <v>2</v>
      </c>
      <c r="C1679" s="83">
        <v>30211216039</v>
      </c>
      <c r="D1679" t="s">
        <v>1611</v>
      </c>
      <c r="E1679">
        <v>53362967814</v>
      </c>
      <c r="F1679">
        <v>626788</v>
      </c>
      <c r="G1679">
        <v>48471787322</v>
      </c>
      <c r="H1679" t="s">
        <v>35</v>
      </c>
      <c r="I1679" s="36">
        <v>5514</v>
      </c>
      <c r="J1679" s="36">
        <v>5514</v>
      </c>
      <c r="K1679" s="85">
        <v>0</v>
      </c>
      <c r="L1679" s="36">
        <v>459.5</v>
      </c>
      <c r="M1679" s="36">
        <v>0</v>
      </c>
      <c r="N1679" s="36">
        <v>30.5</v>
      </c>
      <c r="O1679" s="36">
        <v>429</v>
      </c>
      <c r="P1679" t="s">
        <v>165</v>
      </c>
      <c r="Q1679" t="s">
        <v>166</v>
      </c>
      <c r="R1679" t="s">
        <v>166</v>
      </c>
      <c r="S1679" s="1">
        <v>46074</v>
      </c>
      <c r="T1679" s="1">
        <v>46074</v>
      </c>
      <c r="U1679" s="1">
        <v>46074</v>
      </c>
      <c r="V1679" s="1">
        <v>46439</v>
      </c>
      <c r="W1679" t="s">
        <v>38</v>
      </c>
      <c r="X1679">
        <v>12</v>
      </c>
      <c r="Y1679" t="s">
        <v>49</v>
      </c>
      <c r="Z1679" t="s">
        <v>81</v>
      </c>
      <c r="AA1679" t="s">
        <v>112</v>
      </c>
      <c r="AB1679">
        <v>12</v>
      </c>
      <c r="AC1679" t="s">
        <v>166</v>
      </c>
      <c r="AD1679" t="s">
        <v>138</v>
      </c>
      <c r="AE1679" t="s">
        <v>135</v>
      </c>
      <c r="AF1679" t="s">
        <v>119</v>
      </c>
      <c r="AG1679" t="str">
        <f t="shared" si="27"/>
        <v>CC 12x</v>
      </c>
      <c r="AH1679" t="str">
        <f>IF(AND(SUMIF(E:E,E1679,I:I)&gt;=400000,Q1679="B2G"),"n","")</f>
        <v/>
      </c>
    </row>
    <row r="1680" spans="1:34">
      <c r="A1680">
        <v>2026</v>
      </c>
      <c r="B1680">
        <v>2</v>
      </c>
      <c r="C1680" s="83">
        <v>30319013523</v>
      </c>
      <c r="D1680" t="s">
        <v>1612</v>
      </c>
      <c r="E1680">
        <v>53573261466</v>
      </c>
      <c r="F1680">
        <v>626805</v>
      </c>
      <c r="G1680">
        <v>48736306085</v>
      </c>
      <c r="H1680" t="s">
        <v>35</v>
      </c>
      <c r="I1680" s="36">
        <v>6354</v>
      </c>
      <c r="J1680" s="36">
        <v>6354</v>
      </c>
      <c r="K1680" s="85">
        <v>0</v>
      </c>
      <c r="L1680" s="36">
        <v>529.5</v>
      </c>
      <c r="M1680" s="36">
        <v>0</v>
      </c>
      <c r="N1680" s="36">
        <v>61</v>
      </c>
      <c r="O1680" s="36">
        <v>468.5</v>
      </c>
      <c r="P1680" t="s">
        <v>165</v>
      </c>
      <c r="Q1680" t="s">
        <v>166</v>
      </c>
      <c r="R1680" t="s">
        <v>166</v>
      </c>
      <c r="S1680" s="1">
        <v>46077</v>
      </c>
      <c r="T1680" s="1">
        <v>46077</v>
      </c>
      <c r="U1680" s="1">
        <v>46077</v>
      </c>
      <c r="V1680" s="1">
        <v>46442</v>
      </c>
      <c r="W1680" t="s">
        <v>38</v>
      </c>
      <c r="X1680">
        <v>12</v>
      </c>
      <c r="Y1680" t="s">
        <v>49</v>
      </c>
      <c r="Z1680" t="s">
        <v>81</v>
      </c>
      <c r="AA1680" t="s">
        <v>112</v>
      </c>
      <c r="AB1680">
        <v>10</v>
      </c>
      <c r="AC1680" t="s">
        <v>166</v>
      </c>
      <c r="AD1680" t="s">
        <v>149</v>
      </c>
      <c r="AE1680" t="s">
        <v>43</v>
      </c>
      <c r="AF1680" t="s">
        <v>96</v>
      </c>
      <c r="AG1680" t="str">
        <f t="shared" si="27"/>
        <v>CC 12x</v>
      </c>
      <c r="AH1680" t="str">
        <f>IF(AND(SUMIF(E:E,E1680,I:I)&gt;=400000,Q1680="B2G"),"n","")</f>
        <v/>
      </c>
    </row>
    <row r="1681" spans="1:34">
      <c r="A1681">
        <v>2026</v>
      </c>
      <c r="B1681">
        <v>2</v>
      </c>
      <c r="C1681" s="83">
        <v>30345346364</v>
      </c>
      <c r="D1681" t="s">
        <v>1613</v>
      </c>
      <c r="E1681">
        <v>53715514548</v>
      </c>
      <c r="F1681">
        <v>627023</v>
      </c>
      <c r="G1681">
        <v>48899503523</v>
      </c>
      <c r="H1681" t="s">
        <v>35</v>
      </c>
      <c r="I1681" s="36">
        <v>2874</v>
      </c>
      <c r="J1681" s="36">
        <v>2874</v>
      </c>
      <c r="K1681" s="85">
        <v>0</v>
      </c>
      <c r="L1681" s="36">
        <v>239.5</v>
      </c>
      <c r="M1681" s="36">
        <v>0</v>
      </c>
      <c r="N1681" s="36">
        <v>0.5</v>
      </c>
      <c r="O1681" s="36">
        <v>239</v>
      </c>
      <c r="P1681" t="s">
        <v>165</v>
      </c>
      <c r="Q1681" t="s">
        <v>166</v>
      </c>
      <c r="R1681" t="s">
        <v>166</v>
      </c>
      <c r="S1681" s="1">
        <v>46077</v>
      </c>
      <c r="T1681" s="1">
        <v>46077</v>
      </c>
      <c r="U1681" s="1">
        <v>46080</v>
      </c>
      <c r="V1681" s="1">
        <v>46445</v>
      </c>
      <c r="W1681" t="s">
        <v>38</v>
      </c>
      <c r="X1681">
        <v>12</v>
      </c>
      <c r="Y1681" t="s">
        <v>49</v>
      </c>
      <c r="Z1681" t="s">
        <v>81</v>
      </c>
      <c r="AA1681" t="s">
        <v>122</v>
      </c>
      <c r="AB1681">
        <v>12</v>
      </c>
      <c r="AC1681" t="s">
        <v>166</v>
      </c>
      <c r="AD1681" t="s">
        <v>140</v>
      </c>
      <c r="AE1681" t="s">
        <v>46</v>
      </c>
      <c r="AF1681" t="s">
        <v>119</v>
      </c>
      <c r="AG1681" t="str">
        <f t="shared" si="27"/>
        <v>Recorrente</v>
      </c>
      <c r="AH1681" t="str">
        <f>IF(AND(SUMIF(E:E,E1681,I:I)&gt;=400000,Q1681="B2G"),"n","")</f>
        <v/>
      </c>
    </row>
    <row r="1682" spans="1:34">
      <c r="A1682">
        <v>2026</v>
      </c>
      <c r="B1682">
        <v>2</v>
      </c>
      <c r="C1682" s="83">
        <v>30366866975</v>
      </c>
      <c r="D1682" t="s">
        <v>1614</v>
      </c>
      <c r="E1682">
        <v>56876314681</v>
      </c>
      <c r="F1682">
        <v>626875</v>
      </c>
      <c r="G1682">
        <v>52283153958</v>
      </c>
      <c r="H1682" t="s">
        <v>35</v>
      </c>
      <c r="I1682" s="36">
        <v>4644</v>
      </c>
      <c r="J1682" s="36">
        <v>4644</v>
      </c>
      <c r="K1682" s="85">
        <v>0</v>
      </c>
      <c r="L1682" s="36">
        <v>387</v>
      </c>
      <c r="M1682" s="36">
        <v>0</v>
      </c>
      <c r="N1682" s="36">
        <v>0</v>
      </c>
      <c r="O1682" s="36">
        <v>387</v>
      </c>
      <c r="P1682" t="s">
        <v>1165</v>
      </c>
      <c r="Q1682" t="s">
        <v>79</v>
      </c>
      <c r="R1682" t="s">
        <v>80</v>
      </c>
      <c r="S1682" s="1">
        <v>46079</v>
      </c>
      <c r="T1682" s="1">
        <v>46079</v>
      </c>
      <c r="U1682" s="1">
        <v>46078</v>
      </c>
      <c r="V1682" s="1">
        <v>46443</v>
      </c>
      <c r="W1682" t="s">
        <v>38</v>
      </c>
      <c r="X1682">
        <v>12</v>
      </c>
      <c r="Y1682" t="s">
        <v>49</v>
      </c>
      <c r="Z1682" t="s">
        <v>81</v>
      </c>
      <c r="AA1682" t="s">
        <v>82</v>
      </c>
      <c r="AB1682">
        <v>1</v>
      </c>
      <c r="AC1682" t="s">
        <v>83</v>
      </c>
      <c r="AD1682" t="s">
        <v>53</v>
      </c>
      <c r="AE1682" t="s">
        <v>43</v>
      </c>
      <c r="AF1682" t="s">
        <v>44</v>
      </c>
      <c r="AG1682" t="str">
        <f t="shared" si="27"/>
        <v>À Vista</v>
      </c>
      <c r="AH1682" t="str">
        <f>IF(AND(SUMIF(E:E,E1682,I:I)&gt;=400000,Q1682="B2G"),"n","")</f>
        <v/>
      </c>
    </row>
    <row r="1683" spans="1:34">
      <c r="A1683">
        <v>2026</v>
      </c>
      <c r="B1683">
        <v>2</v>
      </c>
      <c r="C1683" s="83">
        <v>30375963487</v>
      </c>
      <c r="D1683" t="s">
        <v>1615</v>
      </c>
      <c r="E1683">
        <v>56931419681</v>
      </c>
      <c r="F1683">
        <v>626966</v>
      </c>
      <c r="G1683">
        <v>52438482089</v>
      </c>
      <c r="H1683" t="s">
        <v>35</v>
      </c>
      <c r="I1683" s="36">
        <v>2586.6</v>
      </c>
      <c r="J1683" s="36">
        <v>2586.6</v>
      </c>
      <c r="K1683" s="85">
        <v>0</v>
      </c>
      <c r="L1683" s="36">
        <v>215.55</v>
      </c>
      <c r="M1683" s="36">
        <v>0</v>
      </c>
      <c r="N1683" s="36">
        <v>0.45</v>
      </c>
      <c r="O1683" s="36">
        <v>215.1</v>
      </c>
      <c r="P1683" t="s">
        <v>520</v>
      </c>
      <c r="Q1683" t="s">
        <v>111</v>
      </c>
      <c r="R1683" t="s">
        <v>111</v>
      </c>
      <c r="S1683" s="1">
        <v>46081</v>
      </c>
      <c r="T1683" s="1">
        <v>46081</v>
      </c>
      <c r="U1683" s="1">
        <v>46079</v>
      </c>
      <c r="V1683" s="1">
        <v>46446</v>
      </c>
      <c r="W1683" t="s">
        <v>38</v>
      </c>
      <c r="X1683">
        <v>12</v>
      </c>
      <c r="Y1683" t="s">
        <v>49</v>
      </c>
      <c r="Z1683" t="s">
        <v>81</v>
      </c>
      <c r="AA1683" t="s">
        <v>117</v>
      </c>
      <c r="AB1683">
        <v>1</v>
      </c>
      <c r="AC1683" t="s">
        <v>113</v>
      </c>
      <c r="AD1683" t="s">
        <v>140</v>
      </c>
      <c r="AE1683" t="s">
        <v>46</v>
      </c>
      <c r="AF1683" t="s">
        <v>119</v>
      </c>
      <c r="AG1683" t="str">
        <f t="shared" si="27"/>
        <v>À Vista</v>
      </c>
      <c r="AH1683" t="str">
        <f>IF(AND(SUMIF(E:E,E1683,I:I)&gt;=400000,Q1683="B2G"),"n","")</f>
        <v/>
      </c>
    </row>
    <row r="1684" spans="1:34">
      <c r="A1684">
        <v>2026</v>
      </c>
      <c r="B1684">
        <v>2</v>
      </c>
      <c r="C1684" s="83">
        <v>30394154919</v>
      </c>
      <c r="D1684" t="s">
        <v>1616</v>
      </c>
      <c r="E1684">
        <v>55494151687</v>
      </c>
      <c r="F1684">
        <v>626942</v>
      </c>
      <c r="G1684">
        <v>50839029682</v>
      </c>
      <c r="H1684" t="s">
        <v>35</v>
      </c>
      <c r="I1684" s="36">
        <v>2874</v>
      </c>
      <c r="J1684" s="36">
        <v>2874</v>
      </c>
      <c r="K1684" s="85">
        <v>0</v>
      </c>
      <c r="L1684" s="36">
        <v>239.5</v>
      </c>
      <c r="M1684" s="36">
        <v>0</v>
      </c>
      <c r="N1684" s="36">
        <v>0.5</v>
      </c>
      <c r="O1684" s="36">
        <v>239</v>
      </c>
      <c r="P1684" t="s">
        <v>165</v>
      </c>
      <c r="Q1684" t="s">
        <v>166</v>
      </c>
      <c r="R1684" t="s">
        <v>166</v>
      </c>
      <c r="S1684" s="1">
        <v>46077</v>
      </c>
      <c r="T1684" s="1">
        <v>46077</v>
      </c>
      <c r="U1684" s="1">
        <v>46079</v>
      </c>
      <c r="V1684" s="1">
        <v>46444</v>
      </c>
      <c r="W1684" t="s">
        <v>38</v>
      </c>
      <c r="X1684">
        <v>12</v>
      </c>
      <c r="Y1684" t="s">
        <v>49</v>
      </c>
      <c r="Z1684" t="s">
        <v>81</v>
      </c>
      <c r="AA1684" t="s">
        <v>112</v>
      </c>
      <c r="AB1684">
        <v>4</v>
      </c>
      <c r="AC1684" t="s">
        <v>166</v>
      </c>
      <c r="AD1684" t="s">
        <v>118</v>
      </c>
      <c r="AE1684" t="s">
        <v>43</v>
      </c>
      <c r="AF1684" t="s">
        <v>119</v>
      </c>
      <c r="AG1684" t="str">
        <f t="shared" si="27"/>
        <v>CC 12x</v>
      </c>
      <c r="AH1684" t="str">
        <f>IF(AND(SUMIF(E:E,E1684,I:I)&gt;=400000,Q1684="B2G"),"n","")</f>
        <v/>
      </c>
    </row>
    <row r="1685" spans="1:34">
      <c r="A1685">
        <v>2026</v>
      </c>
      <c r="B1685">
        <v>2</v>
      </c>
      <c r="C1685" s="83">
        <v>30482243745</v>
      </c>
      <c r="D1685" t="s">
        <v>1617</v>
      </c>
      <c r="E1685">
        <v>53691380861</v>
      </c>
      <c r="F1685">
        <v>627020</v>
      </c>
      <c r="G1685">
        <v>48873120325</v>
      </c>
      <c r="H1685" t="s">
        <v>35</v>
      </c>
      <c r="I1685" s="36">
        <v>4854.6000000000004</v>
      </c>
      <c r="J1685" s="36">
        <v>4854.6000000000004</v>
      </c>
      <c r="K1685" s="85">
        <v>0</v>
      </c>
      <c r="L1685" s="36">
        <v>404.55</v>
      </c>
      <c r="M1685" s="36">
        <v>0</v>
      </c>
      <c r="N1685" s="36">
        <v>47.55</v>
      </c>
      <c r="O1685" s="36">
        <v>357</v>
      </c>
      <c r="P1685" t="s">
        <v>165</v>
      </c>
      <c r="Q1685" t="s">
        <v>166</v>
      </c>
      <c r="R1685" t="s">
        <v>166</v>
      </c>
      <c r="S1685" s="1">
        <v>46077</v>
      </c>
      <c r="T1685" s="1">
        <v>46077</v>
      </c>
      <c r="U1685" s="1">
        <v>46080</v>
      </c>
      <c r="V1685" s="1">
        <v>46445</v>
      </c>
      <c r="W1685" t="s">
        <v>38</v>
      </c>
      <c r="X1685">
        <v>12</v>
      </c>
      <c r="Y1685" t="s">
        <v>49</v>
      </c>
      <c r="Z1685" t="s">
        <v>81</v>
      </c>
      <c r="AA1685" t="s">
        <v>122</v>
      </c>
      <c r="AB1685">
        <v>12</v>
      </c>
      <c r="AC1685" t="s">
        <v>166</v>
      </c>
      <c r="AD1685" t="s">
        <v>84</v>
      </c>
      <c r="AE1685" t="s">
        <v>43</v>
      </c>
      <c r="AF1685" t="s">
        <v>44</v>
      </c>
      <c r="AG1685" t="str">
        <f t="shared" si="27"/>
        <v>Recorrente</v>
      </c>
      <c r="AH1685" t="str">
        <f>IF(AND(SUMIF(E:E,E1685,I:I)&gt;=400000,Q1685="B2G"),"n","")</f>
        <v/>
      </c>
    </row>
    <row r="1686" spans="1:34">
      <c r="A1686">
        <v>2026</v>
      </c>
      <c r="B1686">
        <v>2</v>
      </c>
      <c r="C1686" s="83">
        <v>30482243745</v>
      </c>
      <c r="D1686" t="s">
        <v>1617</v>
      </c>
      <c r="E1686">
        <v>53691380861</v>
      </c>
      <c r="F1686">
        <v>627020</v>
      </c>
      <c r="G1686">
        <v>48899229554</v>
      </c>
      <c r="H1686" t="s">
        <v>35</v>
      </c>
      <c r="I1686" s="36">
        <v>4854.6000000000004</v>
      </c>
      <c r="J1686" s="36">
        <v>4854.6000000000004</v>
      </c>
      <c r="K1686" s="85">
        <v>0</v>
      </c>
      <c r="L1686" s="36">
        <v>404.55</v>
      </c>
      <c r="M1686" s="36">
        <v>0</v>
      </c>
      <c r="N1686" s="36">
        <v>47.55</v>
      </c>
      <c r="O1686" s="36">
        <v>357</v>
      </c>
      <c r="P1686" t="s">
        <v>165</v>
      </c>
      <c r="Q1686" t="s">
        <v>166</v>
      </c>
      <c r="R1686" t="s">
        <v>166</v>
      </c>
      <c r="S1686" s="1">
        <v>46077</v>
      </c>
      <c r="T1686" s="1">
        <v>46077</v>
      </c>
      <c r="U1686" s="1">
        <v>46080</v>
      </c>
      <c r="V1686" s="1">
        <v>46445</v>
      </c>
      <c r="W1686" t="s">
        <v>38</v>
      </c>
      <c r="X1686">
        <v>12</v>
      </c>
      <c r="Y1686" t="s">
        <v>49</v>
      </c>
      <c r="Z1686" t="s">
        <v>81</v>
      </c>
      <c r="AA1686" t="s">
        <v>122</v>
      </c>
      <c r="AB1686">
        <v>12</v>
      </c>
      <c r="AC1686" t="s">
        <v>166</v>
      </c>
      <c r="AD1686" t="s">
        <v>85</v>
      </c>
      <c r="AE1686" t="s">
        <v>46</v>
      </c>
      <c r="AF1686" t="s">
        <v>44</v>
      </c>
      <c r="AG1686" t="str">
        <f t="shared" si="27"/>
        <v>Recorrente</v>
      </c>
      <c r="AH1686" t="str">
        <f>IF(AND(SUMIF(E:E,E1686,I:I)&gt;=400000,Q1686="B2G"),"n","")</f>
        <v/>
      </c>
    </row>
    <row r="1687" spans="1:34">
      <c r="A1687">
        <v>2026</v>
      </c>
      <c r="B1687">
        <v>2</v>
      </c>
      <c r="C1687" s="83">
        <v>30770144844</v>
      </c>
      <c r="D1687" t="s">
        <v>1618</v>
      </c>
      <c r="E1687">
        <v>54967745058</v>
      </c>
      <c r="F1687">
        <v>528593</v>
      </c>
      <c r="G1687">
        <v>52251198861</v>
      </c>
      <c r="H1687" t="s">
        <v>35</v>
      </c>
      <c r="I1687" s="36">
        <v>6664.68</v>
      </c>
      <c r="J1687" s="36">
        <v>6664.68</v>
      </c>
      <c r="K1687" s="85">
        <v>0</v>
      </c>
      <c r="L1687" s="36">
        <v>555.39</v>
      </c>
      <c r="M1687" s="36">
        <v>0</v>
      </c>
      <c r="N1687" s="36">
        <v>262.98</v>
      </c>
      <c r="O1687" s="36">
        <v>292.41000000000003</v>
      </c>
      <c r="P1687" t="s">
        <v>162</v>
      </c>
      <c r="Q1687" t="s">
        <v>111</v>
      </c>
      <c r="R1687" t="s">
        <v>111</v>
      </c>
      <c r="S1687" s="1">
        <v>46079</v>
      </c>
      <c r="T1687" s="1">
        <v>46079</v>
      </c>
      <c r="U1687" s="1">
        <v>46081</v>
      </c>
      <c r="V1687" s="1">
        <v>46446</v>
      </c>
      <c r="W1687" t="s">
        <v>38</v>
      </c>
      <c r="X1687">
        <v>12</v>
      </c>
      <c r="Y1687" t="s">
        <v>49</v>
      </c>
      <c r="Z1687" t="s">
        <v>81</v>
      </c>
      <c r="AA1687" t="s">
        <v>122</v>
      </c>
      <c r="AB1687">
        <v>12</v>
      </c>
      <c r="AC1687" t="s">
        <v>113</v>
      </c>
      <c r="AD1687" t="s">
        <v>134</v>
      </c>
      <c r="AE1687" t="s">
        <v>135</v>
      </c>
      <c r="AF1687" t="s">
        <v>44</v>
      </c>
      <c r="AG1687" t="str">
        <f t="shared" si="27"/>
        <v>Recorrente</v>
      </c>
      <c r="AH1687" t="str">
        <f>IF(AND(SUMIF(E:E,E1687,I:I)&gt;=400000,Q1687="B2G"),"n","")</f>
        <v/>
      </c>
    </row>
    <row r="1688" spans="1:34">
      <c r="A1688">
        <v>2026</v>
      </c>
      <c r="B1688">
        <v>2</v>
      </c>
      <c r="C1688" s="83">
        <v>30881472864</v>
      </c>
      <c r="D1688" t="s">
        <v>1619</v>
      </c>
      <c r="E1688">
        <v>54260394033</v>
      </c>
      <c r="F1688">
        <v>635885</v>
      </c>
      <c r="G1688">
        <v>50697545328</v>
      </c>
      <c r="H1688" t="s">
        <v>35</v>
      </c>
      <c r="I1688" s="36">
        <v>4633.4399999999996</v>
      </c>
      <c r="J1688" s="36">
        <v>4633.4459999999999</v>
      </c>
      <c r="K1688" s="85">
        <v>0</v>
      </c>
      <c r="L1688" s="36">
        <v>386.12049999999999</v>
      </c>
      <c r="M1688" s="36">
        <v>386.12049999999999</v>
      </c>
      <c r="N1688" s="36">
        <v>0</v>
      </c>
      <c r="O1688" s="36">
        <v>0</v>
      </c>
      <c r="P1688" t="s">
        <v>506</v>
      </c>
      <c r="Q1688" t="s">
        <v>300</v>
      </c>
      <c r="R1688" t="s">
        <v>300</v>
      </c>
      <c r="S1688" s="1">
        <v>46055</v>
      </c>
      <c r="T1688" s="1">
        <v>46055</v>
      </c>
      <c r="V1688" s="1">
        <v>46421</v>
      </c>
      <c r="W1688" t="s">
        <v>38</v>
      </c>
      <c r="X1688">
        <v>12</v>
      </c>
      <c r="Y1688" t="s">
        <v>49</v>
      </c>
      <c r="AA1688" t="s">
        <v>112</v>
      </c>
      <c r="AB1688">
        <v>12</v>
      </c>
      <c r="AC1688" t="s">
        <v>301</v>
      </c>
      <c r="AD1688" t="s">
        <v>229</v>
      </c>
      <c r="AE1688" t="s">
        <v>43</v>
      </c>
      <c r="AF1688" t="s">
        <v>96</v>
      </c>
      <c r="AG1688" t="str">
        <f t="shared" si="27"/>
        <v>CC 12x</v>
      </c>
      <c r="AH1688" t="str">
        <f>IF(AND(SUMIF(E:E,E1688,I:I)&gt;=400000,Q1688="B2G"),"n","")</f>
        <v/>
      </c>
    </row>
    <row r="1689" spans="1:34">
      <c r="A1689">
        <v>2026</v>
      </c>
      <c r="B1689">
        <v>2</v>
      </c>
      <c r="C1689" s="83">
        <v>30972549213</v>
      </c>
      <c r="D1689" t="s">
        <v>1620</v>
      </c>
      <c r="E1689">
        <v>53664342932</v>
      </c>
      <c r="F1689">
        <v>527493</v>
      </c>
      <c r="G1689">
        <v>49678645260</v>
      </c>
      <c r="H1689" t="s">
        <v>35</v>
      </c>
      <c r="I1689" s="36">
        <v>4765.4399999999996</v>
      </c>
      <c r="J1689" s="36">
        <v>4765.4399999999996</v>
      </c>
      <c r="K1689" s="85">
        <v>0</v>
      </c>
      <c r="L1689" s="36">
        <v>397.12</v>
      </c>
      <c r="M1689" s="36">
        <v>0</v>
      </c>
      <c r="N1689" s="36">
        <v>36.784999999999997</v>
      </c>
      <c r="O1689" s="36">
        <v>360.34</v>
      </c>
      <c r="P1689" t="s">
        <v>133</v>
      </c>
      <c r="Q1689" t="s">
        <v>111</v>
      </c>
      <c r="R1689" t="s">
        <v>111</v>
      </c>
      <c r="S1689" s="1">
        <v>46049</v>
      </c>
      <c r="T1689" s="1">
        <v>46054</v>
      </c>
      <c r="U1689" s="1">
        <v>46070</v>
      </c>
      <c r="V1689" s="1">
        <v>46446</v>
      </c>
      <c r="W1689" t="s">
        <v>38</v>
      </c>
      <c r="X1689">
        <v>12</v>
      </c>
      <c r="Y1689" t="s">
        <v>49</v>
      </c>
      <c r="Z1689" t="s">
        <v>81</v>
      </c>
      <c r="AA1689" t="s">
        <v>112</v>
      </c>
      <c r="AB1689">
        <v>12</v>
      </c>
      <c r="AC1689" t="s">
        <v>113</v>
      </c>
      <c r="AD1689" t="s">
        <v>174</v>
      </c>
      <c r="AE1689" t="s">
        <v>43</v>
      </c>
      <c r="AF1689" t="s">
        <v>47</v>
      </c>
      <c r="AG1689" t="str">
        <f t="shared" si="27"/>
        <v>CC 12x</v>
      </c>
      <c r="AH1689" t="str">
        <f>IF(AND(SUMIF(E:E,E1689,I:I)&gt;=400000,Q1689="B2G"),"n","")</f>
        <v/>
      </c>
    </row>
    <row r="1690" spans="1:34">
      <c r="A1690">
        <v>2026</v>
      </c>
      <c r="B1690">
        <v>2</v>
      </c>
      <c r="C1690" s="83">
        <v>31012475501</v>
      </c>
      <c r="D1690" t="s">
        <v>1621</v>
      </c>
      <c r="E1690">
        <v>57150362040</v>
      </c>
      <c r="F1690">
        <v>636317</v>
      </c>
      <c r="G1690">
        <v>52402062506</v>
      </c>
      <c r="H1690" t="s">
        <v>35</v>
      </c>
      <c r="I1690" s="36">
        <v>192510</v>
      </c>
      <c r="J1690" s="36">
        <v>64170</v>
      </c>
      <c r="K1690" s="85">
        <v>128340</v>
      </c>
      <c r="L1690" s="36">
        <v>5347.5</v>
      </c>
      <c r="M1690" s="36">
        <v>5347.5</v>
      </c>
      <c r="N1690" s="36">
        <v>0</v>
      </c>
      <c r="O1690" s="36">
        <v>0</v>
      </c>
      <c r="P1690" t="s">
        <v>1165</v>
      </c>
      <c r="Q1690" t="s">
        <v>37</v>
      </c>
      <c r="R1690" t="s">
        <v>37</v>
      </c>
      <c r="S1690" s="1">
        <v>46080</v>
      </c>
      <c r="T1690" s="1">
        <v>46080</v>
      </c>
      <c r="W1690" t="s">
        <v>102</v>
      </c>
      <c r="X1690">
        <v>36</v>
      </c>
      <c r="Y1690" t="s">
        <v>49</v>
      </c>
      <c r="AA1690" t="s">
        <v>40</v>
      </c>
      <c r="AB1690">
        <v>1</v>
      </c>
      <c r="AC1690" t="s">
        <v>41</v>
      </c>
      <c r="AD1690" t="s">
        <v>1622</v>
      </c>
      <c r="AE1690" t="s">
        <v>46</v>
      </c>
      <c r="AF1690" t="s">
        <v>47</v>
      </c>
      <c r="AG1690" t="str">
        <f t="shared" si="27"/>
        <v>À Vista</v>
      </c>
    </row>
    <row r="1691" spans="1:34">
      <c r="A1691">
        <v>2026</v>
      </c>
      <c r="B1691">
        <v>2</v>
      </c>
      <c r="C1691" s="83">
        <v>31012475501</v>
      </c>
      <c r="D1691" t="s">
        <v>1621</v>
      </c>
      <c r="E1691">
        <v>57150362040</v>
      </c>
      <c r="F1691">
        <v>636317</v>
      </c>
      <c r="G1691">
        <v>52402062506</v>
      </c>
      <c r="H1691" t="s">
        <v>35</v>
      </c>
      <c r="I1691" s="36">
        <v>192510</v>
      </c>
      <c r="J1691" s="36">
        <v>64170</v>
      </c>
      <c r="K1691" s="85">
        <v>128340</v>
      </c>
      <c r="L1691" s="36">
        <v>5347.5</v>
      </c>
      <c r="M1691" s="36">
        <v>5347.5</v>
      </c>
      <c r="N1691" s="36">
        <v>0</v>
      </c>
      <c r="O1691" s="36">
        <v>0</v>
      </c>
      <c r="P1691" t="s">
        <v>69</v>
      </c>
      <c r="Q1691" t="s">
        <v>37</v>
      </c>
      <c r="R1691" t="s">
        <v>37</v>
      </c>
      <c r="S1691" s="1">
        <v>46080</v>
      </c>
      <c r="T1691" s="1">
        <v>46080</v>
      </c>
      <c r="W1691" t="s">
        <v>102</v>
      </c>
      <c r="X1691">
        <v>36</v>
      </c>
      <c r="Y1691" t="s">
        <v>49</v>
      </c>
      <c r="AA1691" t="s">
        <v>40</v>
      </c>
      <c r="AB1691">
        <v>1</v>
      </c>
      <c r="AC1691" t="s">
        <v>41</v>
      </c>
      <c r="AD1691" t="s">
        <v>1622</v>
      </c>
      <c r="AE1691" t="s">
        <v>46</v>
      </c>
      <c r="AF1691" t="s">
        <v>47</v>
      </c>
      <c r="AG1691" t="str">
        <f t="shared" si="27"/>
        <v>À Vista</v>
      </c>
    </row>
    <row r="1692" spans="1:34">
      <c r="A1692">
        <v>2026</v>
      </c>
      <c r="B1692">
        <v>2</v>
      </c>
      <c r="C1692" s="83">
        <v>31012475501</v>
      </c>
      <c r="D1692" t="s">
        <v>1621</v>
      </c>
      <c r="E1692">
        <v>57150362040</v>
      </c>
      <c r="F1692">
        <v>636317</v>
      </c>
      <c r="G1692">
        <v>52402062507</v>
      </c>
      <c r="H1692" t="s">
        <v>35</v>
      </c>
      <c r="I1692" s="36">
        <v>104382</v>
      </c>
      <c r="J1692" s="36">
        <v>34794</v>
      </c>
      <c r="K1692" s="85">
        <v>69588</v>
      </c>
      <c r="L1692" s="36">
        <v>2899.5</v>
      </c>
      <c r="M1692" s="36">
        <v>2899.5</v>
      </c>
      <c r="N1692" s="36">
        <v>0</v>
      </c>
      <c r="O1692" s="36">
        <v>0</v>
      </c>
      <c r="P1692" t="s">
        <v>1165</v>
      </c>
      <c r="Q1692" t="s">
        <v>37</v>
      </c>
      <c r="R1692" t="s">
        <v>37</v>
      </c>
      <c r="S1692" s="1">
        <v>46080</v>
      </c>
      <c r="T1692" s="1">
        <v>46080</v>
      </c>
      <c r="W1692" t="s">
        <v>102</v>
      </c>
      <c r="X1692">
        <v>36</v>
      </c>
      <c r="Y1692" t="s">
        <v>49</v>
      </c>
      <c r="AA1692" t="s">
        <v>40</v>
      </c>
      <c r="AB1692">
        <v>1</v>
      </c>
      <c r="AC1692" t="s">
        <v>41</v>
      </c>
      <c r="AD1692" t="s">
        <v>1623</v>
      </c>
      <c r="AE1692" t="s">
        <v>43</v>
      </c>
      <c r="AF1692" t="s">
        <v>47</v>
      </c>
      <c r="AG1692" t="str">
        <f t="shared" si="27"/>
        <v>À Vista</v>
      </c>
    </row>
    <row r="1693" spans="1:34">
      <c r="A1693">
        <v>2026</v>
      </c>
      <c r="B1693">
        <v>2</v>
      </c>
      <c r="C1693" s="83">
        <v>31012475501</v>
      </c>
      <c r="D1693" t="s">
        <v>1621</v>
      </c>
      <c r="E1693">
        <v>57150362040</v>
      </c>
      <c r="F1693">
        <v>636317</v>
      </c>
      <c r="G1693">
        <v>52402062507</v>
      </c>
      <c r="H1693" t="s">
        <v>35</v>
      </c>
      <c r="I1693" s="36">
        <v>104382</v>
      </c>
      <c r="J1693" s="36">
        <v>34794</v>
      </c>
      <c r="K1693" s="85">
        <v>69588</v>
      </c>
      <c r="L1693" s="36">
        <v>2899.5</v>
      </c>
      <c r="M1693" s="36">
        <v>2899.5</v>
      </c>
      <c r="N1693" s="36">
        <v>0</v>
      </c>
      <c r="O1693" s="36">
        <v>0</v>
      </c>
      <c r="P1693" t="s">
        <v>69</v>
      </c>
      <c r="Q1693" t="s">
        <v>37</v>
      </c>
      <c r="R1693" t="s">
        <v>37</v>
      </c>
      <c r="S1693" s="1">
        <v>46080</v>
      </c>
      <c r="T1693" s="1">
        <v>46080</v>
      </c>
      <c r="W1693" t="s">
        <v>102</v>
      </c>
      <c r="X1693">
        <v>36</v>
      </c>
      <c r="Y1693" t="s">
        <v>49</v>
      </c>
      <c r="AA1693" t="s">
        <v>40</v>
      </c>
      <c r="AB1693">
        <v>1</v>
      </c>
      <c r="AC1693" t="s">
        <v>41</v>
      </c>
      <c r="AD1693" t="s">
        <v>1623</v>
      </c>
      <c r="AE1693" t="s">
        <v>43</v>
      </c>
      <c r="AF1693" t="s">
        <v>47</v>
      </c>
      <c r="AG1693" t="str">
        <f t="shared" si="27"/>
        <v>À Vista</v>
      </c>
    </row>
    <row r="1694" spans="1:34">
      <c r="A1694">
        <v>2026</v>
      </c>
      <c r="B1694">
        <v>2</v>
      </c>
      <c r="C1694" s="83">
        <v>31012475501</v>
      </c>
      <c r="D1694" t="s">
        <v>1621</v>
      </c>
      <c r="E1694">
        <v>57158401922</v>
      </c>
      <c r="F1694">
        <v>636315</v>
      </c>
      <c r="G1694">
        <v>52402062171</v>
      </c>
      <c r="H1694" t="s">
        <v>35</v>
      </c>
      <c r="I1694" s="36">
        <v>42299.28</v>
      </c>
      <c r="J1694" s="36">
        <v>14099.76</v>
      </c>
      <c r="K1694" s="85">
        <v>28199.52</v>
      </c>
      <c r="L1694" s="36">
        <v>1174.98</v>
      </c>
      <c r="M1694" s="36">
        <v>1174.98</v>
      </c>
      <c r="N1694" s="36">
        <v>0</v>
      </c>
      <c r="O1694" s="36">
        <v>0</v>
      </c>
      <c r="P1694" t="s">
        <v>1165</v>
      </c>
      <c r="Q1694" t="s">
        <v>37</v>
      </c>
      <c r="R1694" t="s">
        <v>37</v>
      </c>
      <c r="S1694" s="1">
        <v>46080</v>
      </c>
      <c r="T1694" s="1">
        <v>46080</v>
      </c>
      <c r="V1694" s="1">
        <v>47176</v>
      </c>
      <c r="W1694" t="s">
        <v>102</v>
      </c>
      <c r="X1694">
        <v>36</v>
      </c>
      <c r="Y1694" t="s">
        <v>49</v>
      </c>
      <c r="AA1694" t="s">
        <v>40</v>
      </c>
      <c r="AB1694">
        <v>1</v>
      </c>
      <c r="AC1694" t="s">
        <v>41</v>
      </c>
      <c r="AD1694" t="s">
        <v>564</v>
      </c>
      <c r="AE1694" t="s">
        <v>257</v>
      </c>
      <c r="AF1694" t="s">
        <v>59</v>
      </c>
      <c r="AG1694" t="str">
        <f t="shared" si="27"/>
        <v>À Vista</v>
      </c>
    </row>
    <row r="1695" spans="1:34">
      <c r="A1695">
        <v>2026</v>
      </c>
      <c r="B1695">
        <v>2</v>
      </c>
      <c r="C1695" s="83">
        <v>31012475501</v>
      </c>
      <c r="D1695" t="s">
        <v>1621</v>
      </c>
      <c r="E1695">
        <v>57158401922</v>
      </c>
      <c r="F1695">
        <v>636315</v>
      </c>
      <c r="G1695">
        <v>52402062171</v>
      </c>
      <c r="H1695" t="s">
        <v>35</v>
      </c>
      <c r="I1695" s="36">
        <v>42299.28</v>
      </c>
      <c r="J1695" s="36">
        <v>14099.76</v>
      </c>
      <c r="K1695" s="85">
        <v>28199.52</v>
      </c>
      <c r="L1695" s="36">
        <v>1174.98</v>
      </c>
      <c r="M1695" s="36">
        <v>1174.98</v>
      </c>
      <c r="N1695" s="36">
        <v>0</v>
      </c>
      <c r="O1695" s="36">
        <v>0</v>
      </c>
      <c r="P1695" t="s">
        <v>69</v>
      </c>
      <c r="Q1695" t="s">
        <v>37</v>
      </c>
      <c r="R1695" t="s">
        <v>37</v>
      </c>
      <c r="S1695" s="1">
        <v>46080</v>
      </c>
      <c r="T1695" s="1">
        <v>46080</v>
      </c>
      <c r="V1695" s="1">
        <v>47176</v>
      </c>
      <c r="W1695" t="s">
        <v>102</v>
      </c>
      <c r="X1695">
        <v>36</v>
      </c>
      <c r="Y1695" t="s">
        <v>49</v>
      </c>
      <c r="AA1695" t="s">
        <v>40</v>
      </c>
      <c r="AB1695">
        <v>1</v>
      </c>
      <c r="AC1695" t="s">
        <v>41</v>
      </c>
      <c r="AD1695" t="s">
        <v>564</v>
      </c>
      <c r="AE1695" t="s">
        <v>257</v>
      </c>
      <c r="AF1695" t="s">
        <v>59</v>
      </c>
      <c r="AG1695" t="str">
        <f t="shared" si="27"/>
        <v>À Vista</v>
      </c>
    </row>
    <row r="1696" spans="1:34">
      <c r="A1696">
        <v>2026</v>
      </c>
      <c r="B1696">
        <v>2</v>
      </c>
      <c r="C1696" s="83">
        <v>31012475501</v>
      </c>
      <c r="D1696" t="s">
        <v>1621</v>
      </c>
      <c r="E1696">
        <v>57158401922</v>
      </c>
      <c r="F1696">
        <v>636315</v>
      </c>
      <c r="G1696">
        <v>52402062172</v>
      </c>
      <c r="H1696" t="s">
        <v>35</v>
      </c>
      <c r="I1696" s="36">
        <v>287820</v>
      </c>
      <c r="J1696" s="36">
        <v>95940</v>
      </c>
      <c r="K1696" s="85">
        <v>191880</v>
      </c>
      <c r="L1696" s="36">
        <v>7995</v>
      </c>
      <c r="M1696" s="36">
        <v>7995</v>
      </c>
      <c r="N1696" s="36">
        <v>0</v>
      </c>
      <c r="O1696" s="36">
        <v>0</v>
      </c>
      <c r="P1696" t="s">
        <v>1165</v>
      </c>
      <c r="Q1696" t="s">
        <v>37</v>
      </c>
      <c r="R1696" t="s">
        <v>37</v>
      </c>
      <c r="S1696" s="1">
        <v>46080</v>
      </c>
      <c r="T1696" s="1">
        <v>46080</v>
      </c>
      <c r="V1696" s="1">
        <v>47176</v>
      </c>
      <c r="W1696" t="s">
        <v>102</v>
      </c>
      <c r="X1696">
        <v>36</v>
      </c>
      <c r="Y1696" t="s">
        <v>49</v>
      </c>
      <c r="AA1696" t="s">
        <v>40</v>
      </c>
      <c r="AB1696">
        <v>1</v>
      </c>
      <c r="AC1696" t="s">
        <v>41</v>
      </c>
      <c r="AD1696" t="s">
        <v>73</v>
      </c>
      <c r="AE1696" t="s">
        <v>51</v>
      </c>
      <c r="AF1696" t="s">
        <v>47</v>
      </c>
      <c r="AG1696" t="str">
        <f t="shared" si="27"/>
        <v>À Vista</v>
      </c>
    </row>
    <row r="1697" spans="1:34">
      <c r="A1697">
        <v>2026</v>
      </c>
      <c r="B1697">
        <v>2</v>
      </c>
      <c r="C1697" s="83">
        <v>31012475501</v>
      </c>
      <c r="D1697" t="s">
        <v>1621</v>
      </c>
      <c r="E1697">
        <v>57158401922</v>
      </c>
      <c r="F1697">
        <v>636315</v>
      </c>
      <c r="G1697">
        <v>52402062172</v>
      </c>
      <c r="H1697" t="s">
        <v>35</v>
      </c>
      <c r="I1697" s="36">
        <v>287820</v>
      </c>
      <c r="J1697" s="36">
        <v>95940</v>
      </c>
      <c r="K1697" s="85">
        <v>191880</v>
      </c>
      <c r="L1697" s="36">
        <v>7995</v>
      </c>
      <c r="M1697" s="36">
        <v>7995</v>
      </c>
      <c r="N1697" s="36">
        <v>0</v>
      </c>
      <c r="O1697" s="36">
        <v>0</v>
      </c>
      <c r="P1697" t="s">
        <v>69</v>
      </c>
      <c r="Q1697" t="s">
        <v>37</v>
      </c>
      <c r="R1697" t="s">
        <v>37</v>
      </c>
      <c r="S1697" s="1">
        <v>46080</v>
      </c>
      <c r="T1697" s="1">
        <v>46080</v>
      </c>
      <c r="V1697" s="1">
        <v>47176</v>
      </c>
      <c r="W1697" t="s">
        <v>102</v>
      </c>
      <c r="X1697">
        <v>36</v>
      </c>
      <c r="Y1697" t="s">
        <v>49</v>
      </c>
      <c r="AA1697" t="s">
        <v>40</v>
      </c>
      <c r="AB1697">
        <v>1</v>
      </c>
      <c r="AC1697" t="s">
        <v>41</v>
      </c>
      <c r="AD1697" t="s">
        <v>73</v>
      </c>
      <c r="AE1697" t="s">
        <v>51</v>
      </c>
      <c r="AF1697" t="s">
        <v>47</v>
      </c>
      <c r="AG1697" t="str">
        <f t="shared" si="27"/>
        <v>À Vista</v>
      </c>
    </row>
    <row r="1698" spans="1:34">
      <c r="A1698">
        <v>2026</v>
      </c>
      <c r="B1698">
        <v>2</v>
      </c>
      <c r="C1698" s="83">
        <v>31042616154</v>
      </c>
      <c r="D1698" t="s">
        <v>1624</v>
      </c>
      <c r="E1698">
        <v>55412958329</v>
      </c>
      <c r="F1698">
        <v>635910</v>
      </c>
      <c r="G1698">
        <v>50778375590</v>
      </c>
      <c r="H1698" t="s">
        <v>35</v>
      </c>
      <c r="I1698" s="36">
        <v>7015.44</v>
      </c>
      <c r="J1698" s="36">
        <v>2625.9</v>
      </c>
      <c r="K1698" s="85">
        <v>4389.54</v>
      </c>
      <c r="L1698" s="36">
        <v>218.82499999999999</v>
      </c>
      <c r="M1698" s="36">
        <v>0</v>
      </c>
      <c r="N1698" s="36">
        <v>218.82499999999999</v>
      </c>
      <c r="O1698" s="36">
        <v>0</v>
      </c>
      <c r="P1698" t="s">
        <v>804</v>
      </c>
      <c r="Q1698" t="s">
        <v>191</v>
      </c>
      <c r="R1698" t="s">
        <v>191</v>
      </c>
      <c r="S1698" s="1">
        <v>46056</v>
      </c>
      <c r="T1698" s="1">
        <v>46056</v>
      </c>
      <c r="V1698" s="1">
        <v>46421</v>
      </c>
      <c r="W1698" t="s">
        <v>38</v>
      </c>
      <c r="Y1698" t="s">
        <v>49</v>
      </c>
      <c r="AA1698" t="s">
        <v>112</v>
      </c>
      <c r="AB1698">
        <v>12</v>
      </c>
      <c r="AC1698" t="s">
        <v>192</v>
      </c>
      <c r="AD1698" t="s">
        <v>134</v>
      </c>
      <c r="AE1698" t="s">
        <v>135</v>
      </c>
      <c r="AF1698" t="s">
        <v>44</v>
      </c>
      <c r="AG1698" t="str">
        <f t="shared" si="27"/>
        <v>CC 12x</v>
      </c>
      <c r="AH1698" t="str">
        <f>IF(AND(SUMIF(E:E,E1698,I:I)&gt;=400000,Q1698="B2G"),"n","")</f>
        <v/>
      </c>
    </row>
    <row r="1699" spans="1:34">
      <c r="A1699">
        <v>2026</v>
      </c>
      <c r="B1699">
        <v>2</v>
      </c>
      <c r="C1699" s="83">
        <v>31969852771</v>
      </c>
      <c r="D1699" t="s">
        <v>1625</v>
      </c>
      <c r="E1699">
        <v>55643824130</v>
      </c>
      <c r="F1699">
        <v>635998</v>
      </c>
      <c r="G1699">
        <v>51107520915</v>
      </c>
      <c r="H1699" t="s">
        <v>35</v>
      </c>
      <c r="I1699" s="36">
        <v>2730.24</v>
      </c>
      <c r="J1699" s="36">
        <v>2730.3</v>
      </c>
      <c r="K1699" s="85">
        <v>0</v>
      </c>
      <c r="L1699" s="36">
        <v>227.52500000000001</v>
      </c>
      <c r="M1699" s="36">
        <v>0</v>
      </c>
      <c r="N1699" s="36">
        <v>227.52500000000001</v>
      </c>
      <c r="O1699" s="36">
        <v>0</v>
      </c>
      <c r="P1699" t="s">
        <v>469</v>
      </c>
      <c r="Q1699" t="s">
        <v>191</v>
      </c>
      <c r="R1699" t="s">
        <v>191</v>
      </c>
      <c r="S1699" s="1">
        <v>46062</v>
      </c>
      <c r="T1699" s="1">
        <v>46062</v>
      </c>
      <c r="V1699" s="1">
        <v>46427</v>
      </c>
      <c r="W1699" t="s">
        <v>38</v>
      </c>
      <c r="X1699">
        <v>12</v>
      </c>
      <c r="Y1699" t="s">
        <v>49</v>
      </c>
      <c r="AA1699" t="s">
        <v>112</v>
      </c>
      <c r="AB1699">
        <v>12</v>
      </c>
      <c r="AC1699" t="s">
        <v>192</v>
      </c>
      <c r="AD1699" t="s">
        <v>140</v>
      </c>
      <c r="AE1699" t="s">
        <v>46</v>
      </c>
      <c r="AF1699" t="s">
        <v>119</v>
      </c>
      <c r="AG1699" t="str">
        <f t="shared" si="27"/>
        <v>CC 12x</v>
      </c>
      <c r="AH1699" t="str">
        <f>IF(AND(SUMIF(E:E,E1699,I:I)&gt;=400000,Q1699="B2G"),"n","")</f>
        <v/>
      </c>
    </row>
    <row r="1700" spans="1:34">
      <c r="A1700">
        <v>2026</v>
      </c>
      <c r="B1700">
        <v>2</v>
      </c>
      <c r="C1700" s="83">
        <v>32424386420</v>
      </c>
      <c r="D1700" t="s">
        <v>1626</v>
      </c>
      <c r="E1700">
        <v>54796952990</v>
      </c>
      <c r="F1700">
        <v>534659</v>
      </c>
      <c r="G1700">
        <v>51499235183</v>
      </c>
      <c r="H1700" t="s">
        <v>35</v>
      </c>
      <c r="I1700" s="36">
        <v>1434.24</v>
      </c>
      <c r="J1700" s="36">
        <v>5187.12</v>
      </c>
      <c r="K1700" s="85">
        <v>0</v>
      </c>
      <c r="L1700" s="36">
        <v>432.26</v>
      </c>
      <c r="M1700" s="36">
        <v>0</v>
      </c>
      <c r="N1700" s="36">
        <v>432.26</v>
      </c>
      <c r="O1700" s="36">
        <v>0</v>
      </c>
      <c r="P1700" t="s">
        <v>469</v>
      </c>
      <c r="Q1700" t="s">
        <v>191</v>
      </c>
      <c r="R1700" t="s">
        <v>191</v>
      </c>
      <c r="S1700" s="1">
        <v>46066</v>
      </c>
      <c r="T1700" s="1">
        <v>46066</v>
      </c>
      <c r="U1700" s="1">
        <v>46167</v>
      </c>
      <c r="V1700" s="1">
        <v>46167</v>
      </c>
      <c r="W1700" t="s">
        <v>38</v>
      </c>
      <c r="X1700">
        <v>3</v>
      </c>
      <c r="Y1700" t="s">
        <v>49</v>
      </c>
      <c r="Z1700" t="s">
        <v>324</v>
      </c>
      <c r="AA1700" t="s">
        <v>117</v>
      </c>
      <c r="AB1700">
        <v>1</v>
      </c>
      <c r="AC1700" t="s">
        <v>192</v>
      </c>
      <c r="AD1700" t="s">
        <v>134</v>
      </c>
      <c r="AE1700" t="s">
        <v>135</v>
      </c>
      <c r="AF1700" t="s">
        <v>44</v>
      </c>
      <c r="AG1700" t="str">
        <f t="shared" si="27"/>
        <v>À Vista</v>
      </c>
      <c r="AH1700" t="str">
        <f>IF(AND(SUMIF(E:E,E1700,I:I)&gt;=400000,Q1700="B2G"),"n","")</f>
        <v/>
      </c>
    </row>
    <row r="1701" spans="1:34">
      <c r="A1701">
        <v>2026</v>
      </c>
      <c r="B1701">
        <v>2</v>
      </c>
      <c r="C1701" s="83">
        <v>32698859814</v>
      </c>
      <c r="D1701" t="s">
        <v>1627</v>
      </c>
      <c r="E1701">
        <v>53555784087</v>
      </c>
      <c r="F1701">
        <v>606996</v>
      </c>
      <c r="G1701">
        <v>48885915729</v>
      </c>
      <c r="H1701" t="s">
        <v>35</v>
      </c>
      <c r="I1701" s="36">
        <v>2299.1999999999998</v>
      </c>
      <c r="J1701" s="36">
        <v>2299.1999999999998</v>
      </c>
      <c r="K1701" s="85">
        <v>0</v>
      </c>
      <c r="L1701" s="36">
        <v>191.6</v>
      </c>
      <c r="M1701" s="36">
        <v>0</v>
      </c>
      <c r="N1701" s="36">
        <v>25.1</v>
      </c>
      <c r="O1701" s="36">
        <v>166.5</v>
      </c>
      <c r="P1701" t="s">
        <v>121</v>
      </c>
      <c r="Q1701" t="s">
        <v>111</v>
      </c>
      <c r="R1701" t="s">
        <v>111</v>
      </c>
      <c r="S1701" s="1">
        <v>46034</v>
      </c>
      <c r="T1701" s="1">
        <v>46054</v>
      </c>
      <c r="U1701" s="1">
        <v>46031</v>
      </c>
      <c r="V1701" s="1">
        <v>46396</v>
      </c>
      <c r="W1701" t="s">
        <v>38</v>
      </c>
      <c r="X1701">
        <v>12</v>
      </c>
      <c r="Y1701" t="s">
        <v>49</v>
      </c>
      <c r="Z1701" t="s">
        <v>81</v>
      </c>
      <c r="AA1701" t="s">
        <v>82</v>
      </c>
      <c r="AB1701">
        <v>1</v>
      </c>
      <c r="AC1701" t="s">
        <v>113</v>
      </c>
      <c r="AD1701" t="s">
        <v>118</v>
      </c>
      <c r="AE1701" t="s">
        <v>43</v>
      </c>
      <c r="AF1701" t="s">
        <v>119</v>
      </c>
      <c r="AG1701" t="str">
        <f t="shared" si="27"/>
        <v>À Vista</v>
      </c>
      <c r="AH1701" t="str">
        <f>IF(AND(SUMIF(E:E,E1701,I:I)&gt;=400000,Q1701="B2G"),"n","")</f>
        <v/>
      </c>
    </row>
    <row r="1702" spans="1:34">
      <c r="A1702">
        <v>2026</v>
      </c>
      <c r="B1702">
        <v>2</v>
      </c>
      <c r="C1702" s="83">
        <v>32698859814</v>
      </c>
      <c r="D1702" t="s">
        <v>1627</v>
      </c>
      <c r="E1702">
        <v>53555784087</v>
      </c>
      <c r="F1702">
        <v>606996</v>
      </c>
      <c r="G1702">
        <v>48885915730</v>
      </c>
      <c r="H1702" t="s">
        <v>35</v>
      </c>
      <c r="I1702" s="36">
        <v>2299.1999999999998</v>
      </c>
      <c r="J1702" s="36">
        <v>2299.1999999999998</v>
      </c>
      <c r="K1702" s="85">
        <v>0</v>
      </c>
      <c r="L1702" s="36">
        <v>191.6</v>
      </c>
      <c r="M1702" s="36">
        <v>0</v>
      </c>
      <c r="N1702" s="36">
        <v>25.1</v>
      </c>
      <c r="O1702" s="36">
        <v>166.5</v>
      </c>
      <c r="P1702" t="s">
        <v>121</v>
      </c>
      <c r="Q1702" t="s">
        <v>111</v>
      </c>
      <c r="R1702" t="s">
        <v>111</v>
      </c>
      <c r="S1702" s="1">
        <v>46034</v>
      </c>
      <c r="T1702" s="1">
        <v>46054</v>
      </c>
      <c r="U1702" s="1">
        <v>46031</v>
      </c>
      <c r="V1702" s="1">
        <v>46396</v>
      </c>
      <c r="W1702" t="s">
        <v>38</v>
      </c>
      <c r="X1702">
        <v>12</v>
      </c>
      <c r="Y1702" t="s">
        <v>49</v>
      </c>
      <c r="Z1702" t="s">
        <v>81</v>
      </c>
      <c r="AA1702" t="s">
        <v>82</v>
      </c>
      <c r="AB1702">
        <v>1</v>
      </c>
      <c r="AC1702" t="s">
        <v>113</v>
      </c>
      <c r="AD1702" t="s">
        <v>118</v>
      </c>
      <c r="AE1702" t="s">
        <v>43</v>
      </c>
      <c r="AF1702" t="s">
        <v>119</v>
      </c>
      <c r="AG1702" t="str">
        <f t="shared" si="27"/>
        <v>À Vista</v>
      </c>
      <c r="AH1702" t="str">
        <f>IF(AND(SUMIF(E:E,E1702,I:I)&gt;=400000,Q1702="B2G"),"n","")</f>
        <v/>
      </c>
    </row>
    <row r="1703" spans="1:34">
      <c r="A1703">
        <v>2026</v>
      </c>
      <c r="B1703">
        <v>2</v>
      </c>
      <c r="C1703" s="83">
        <v>33255705909</v>
      </c>
      <c r="D1703" t="s">
        <v>360</v>
      </c>
      <c r="E1703">
        <v>54837211400</v>
      </c>
      <c r="F1703">
        <v>635859</v>
      </c>
      <c r="G1703">
        <v>50649317041</v>
      </c>
      <c r="H1703" t="s">
        <v>673</v>
      </c>
      <c r="I1703" s="36">
        <v>1600</v>
      </c>
      <c r="J1703" s="36">
        <v>0</v>
      </c>
      <c r="K1703" s="85">
        <v>0</v>
      </c>
      <c r="L1703" s="36">
        <v>0</v>
      </c>
      <c r="M1703" s="36">
        <v>0</v>
      </c>
      <c r="N1703" s="36">
        <v>0</v>
      </c>
      <c r="O1703" s="36">
        <v>0</v>
      </c>
      <c r="P1703" t="s">
        <v>361</v>
      </c>
      <c r="Q1703" t="s">
        <v>349</v>
      </c>
      <c r="R1703" t="s">
        <v>349</v>
      </c>
      <c r="S1703" s="1">
        <v>46055</v>
      </c>
      <c r="T1703" s="1">
        <v>46055</v>
      </c>
      <c r="V1703" s="1">
        <v>46420</v>
      </c>
      <c r="W1703" t="s">
        <v>38</v>
      </c>
      <c r="X1703">
        <v>12</v>
      </c>
      <c r="Y1703" t="s">
        <v>49</v>
      </c>
      <c r="AA1703" t="s">
        <v>112</v>
      </c>
      <c r="AB1703">
        <v>12</v>
      </c>
      <c r="AC1703" t="s">
        <v>350</v>
      </c>
      <c r="AD1703" t="s">
        <v>1628</v>
      </c>
      <c r="AE1703" t="s">
        <v>106</v>
      </c>
      <c r="AF1703" t="s">
        <v>59</v>
      </c>
      <c r="AG1703" t="str">
        <f t="shared" si="27"/>
        <v>CC 12x</v>
      </c>
      <c r="AH1703" t="str">
        <f>IF(AND(SUMIF(E:E,E1703,I:I)&gt;=400000,Q1703="B2G"),"n","")</f>
        <v/>
      </c>
    </row>
    <row r="1704" spans="1:34">
      <c r="A1704">
        <v>2026</v>
      </c>
      <c r="B1704">
        <v>2</v>
      </c>
      <c r="C1704" s="83">
        <v>33427962287</v>
      </c>
      <c r="D1704" t="s">
        <v>1629</v>
      </c>
      <c r="E1704">
        <v>46746343446</v>
      </c>
      <c r="F1704">
        <v>636328</v>
      </c>
      <c r="G1704">
        <v>52460815497</v>
      </c>
      <c r="H1704" t="s">
        <v>35</v>
      </c>
      <c r="I1704" s="36">
        <v>14808.6</v>
      </c>
      <c r="J1704" s="36">
        <v>14808.6</v>
      </c>
      <c r="K1704" s="85">
        <v>1.8189900000000001E-12</v>
      </c>
      <c r="L1704" s="36">
        <v>1234.05</v>
      </c>
      <c r="M1704" s="36">
        <v>0</v>
      </c>
      <c r="N1704" s="36">
        <v>146.85</v>
      </c>
      <c r="O1704" s="36">
        <v>1087.2</v>
      </c>
      <c r="P1704" t="s">
        <v>520</v>
      </c>
      <c r="Q1704" t="s">
        <v>191</v>
      </c>
      <c r="R1704" t="s">
        <v>191</v>
      </c>
      <c r="S1704" s="1">
        <v>46081</v>
      </c>
      <c r="T1704" s="1">
        <v>46081</v>
      </c>
      <c r="V1704" s="1">
        <v>46446</v>
      </c>
      <c r="W1704" t="s">
        <v>38</v>
      </c>
      <c r="Y1704" t="s">
        <v>49</v>
      </c>
      <c r="AA1704" t="s">
        <v>122</v>
      </c>
      <c r="AB1704">
        <v>12</v>
      </c>
      <c r="AC1704" t="s">
        <v>192</v>
      </c>
      <c r="AD1704" t="s">
        <v>125</v>
      </c>
      <c r="AE1704" t="s">
        <v>43</v>
      </c>
      <c r="AF1704" t="s">
        <v>47</v>
      </c>
      <c r="AG1704" t="str">
        <f t="shared" si="27"/>
        <v>Recorrente</v>
      </c>
      <c r="AH1704" t="str">
        <f>IF(AND(SUMIF(E:E,E1704,I:I)&gt;=400000,Q1704="B2G"),"n","")</f>
        <v/>
      </c>
    </row>
    <row r="1705" spans="1:34">
      <c r="A1705">
        <v>2026</v>
      </c>
      <c r="B1705">
        <v>2</v>
      </c>
      <c r="C1705" s="83">
        <v>33489960844</v>
      </c>
      <c r="D1705" t="s">
        <v>1630</v>
      </c>
      <c r="E1705">
        <v>56664919121</v>
      </c>
      <c r="F1705">
        <v>636170</v>
      </c>
      <c r="G1705">
        <v>51938923633</v>
      </c>
      <c r="H1705" t="s">
        <v>35</v>
      </c>
      <c r="I1705" s="36">
        <v>7014.6</v>
      </c>
      <c r="J1705" s="36">
        <v>7014.6</v>
      </c>
      <c r="K1705" s="85">
        <v>0</v>
      </c>
      <c r="L1705" s="36">
        <v>584.54999999999995</v>
      </c>
      <c r="M1705" s="36">
        <v>584.54999999999995</v>
      </c>
      <c r="N1705" s="36">
        <v>0</v>
      </c>
      <c r="O1705" s="36">
        <v>0</v>
      </c>
      <c r="P1705" t="s">
        <v>348</v>
      </c>
      <c r="Q1705" t="s">
        <v>349</v>
      </c>
      <c r="R1705" t="s">
        <v>349</v>
      </c>
      <c r="S1705" s="1">
        <v>46072</v>
      </c>
      <c r="T1705" s="1">
        <v>46072</v>
      </c>
      <c r="V1705" s="1">
        <v>46437</v>
      </c>
      <c r="W1705" t="s">
        <v>38</v>
      </c>
      <c r="X1705">
        <v>12</v>
      </c>
      <c r="Y1705" t="s">
        <v>49</v>
      </c>
      <c r="AA1705" t="s">
        <v>112</v>
      </c>
      <c r="AB1705">
        <v>12</v>
      </c>
      <c r="AC1705" t="s">
        <v>350</v>
      </c>
      <c r="AD1705" t="s">
        <v>125</v>
      </c>
      <c r="AE1705" t="s">
        <v>43</v>
      </c>
      <c r="AF1705" t="s">
        <v>47</v>
      </c>
      <c r="AG1705" t="str">
        <f t="shared" si="27"/>
        <v>CC 12x</v>
      </c>
      <c r="AH1705" t="str">
        <f>IF(AND(SUMIF(E:E,E1705,I:I)&gt;=400000,Q1705="B2G"),"n","")</f>
        <v/>
      </c>
    </row>
    <row r="1706" spans="1:34">
      <c r="A1706">
        <v>2026</v>
      </c>
      <c r="B1706">
        <v>2</v>
      </c>
      <c r="C1706" s="83">
        <v>34306987422</v>
      </c>
      <c r="D1706" t="s">
        <v>1631</v>
      </c>
      <c r="E1706">
        <v>54697373023</v>
      </c>
      <c r="F1706">
        <v>626546</v>
      </c>
      <c r="G1706">
        <v>51984275620</v>
      </c>
      <c r="H1706" t="s">
        <v>35</v>
      </c>
      <c r="I1706" s="36">
        <v>2874</v>
      </c>
      <c r="J1706" s="36">
        <v>2874</v>
      </c>
      <c r="K1706" s="85">
        <v>0</v>
      </c>
      <c r="L1706" s="36">
        <v>239.5</v>
      </c>
      <c r="M1706" s="36">
        <v>239.5</v>
      </c>
      <c r="N1706" s="36">
        <v>0</v>
      </c>
      <c r="O1706" s="36">
        <v>0</v>
      </c>
      <c r="P1706" t="s">
        <v>127</v>
      </c>
      <c r="Q1706" t="s">
        <v>111</v>
      </c>
      <c r="R1706" t="s">
        <v>111</v>
      </c>
      <c r="S1706" s="1">
        <v>46076</v>
      </c>
      <c r="T1706" s="1">
        <v>46076</v>
      </c>
      <c r="U1706" s="1">
        <v>46066</v>
      </c>
      <c r="V1706" s="1">
        <v>46441</v>
      </c>
      <c r="W1706" t="s">
        <v>38</v>
      </c>
      <c r="X1706">
        <v>12</v>
      </c>
      <c r="Y1706" t="s">
        <v>49</v>
      </c>
      <c r="Z1706" t="s">
        <v>81</v>
      </c>
      <c r="AA1706" t="s">
        <v>112</v>
      </c>
      <c r="AB1706">
        <v>12</v>
      </c>
      <c r="AC1706" t="s">
        <v>113</v>
      </c>
      <c r="AD1706" t="s">
        <v>140</v>
      </c>
      <c r="AE1706" t="s">
        <v>46</v>
      </c>
      <c r="AF1706" t="s">
        <v>119</v>
      </c>
      <c r="AG1706" t="str">
        <f t="shared" si="27"/>
        <v>CC 12x</v>
      </c>
      <c r="AH1706" t="str">
        <f>IF(AND(SUMIF(E:E,E1706,I:I)&gt;=400000,Q1706="B2G"),"n","")</f>
        <v/>
      </c>
    </row>
    <row r="1707" spans="1:34">
      <c r="A1707">
        <v>2026</v>
      </c>
      <c r="B1707">
        <v>2</v>
      </c>
      <c r="C1707" s="83">
        <v>35688937785</v>
      </c>
      <c r="D1707" t="s">
        <v>1632</v>
      </c>
      <c r="E1707">
        <v>46680835966</v>
      </c>
      <c r="F1707">
        <v>636311</v>
      </c>
      <c r="G1707">
        <v>52401632560</v>
      </c>
      <c r="H1707" t="s">
        <v>35</v>
      </c>
      <c r="I1707" s="36">
        <v>28995</v>
      </c>
      <c r="J1707" s="36">
        <v>5799</v>
      </c>
      <c r="K1707" s="85">
        <v>23196</v>
      </c>
      <c r="L1707" s="36">
        <v>483.25</v>
      </c>
      <c r="M1707" s="36">
        <v>483.25</v>
      </c>
      <c r="N1707" s="36">
        <v>0</v>
      </c>
      <c r="O1707" s="36">
        <v>0</v>
      </c>
      <c r="P1707" t="s">
        <v>87</v>
      </c>
      <c r="Q1707" t="s">
        <v>37</v>
      </c>
      <c r="R1707" t="s">
        <v>37</v>
      </c>
      <c r="S1707" s="1">
        <v>46080</v>
      </c>
      <c r="T1707" s="1">
        <v>46080</v>
      </c>
      <c r="W1707" t="s">
        <v>1633</v>
      </c>
      <c r="X1707">
        <v>60</v>
      </c>
      <c r="Y1707" t="s">
        <v>49</v>
      </c>
      <c r="AA1707" t="s">
        <v>40</v>
      </c>
      <c r="AB1707">
        <v>1</v>
      </c>
      <c r="AC1707" t="s">
        <v>41</v>
      </c>
      <c r="AD1707" t="s">
        <v>1634</v>
      </c>
      <c r="AE1707" t="s">
        <v>43</v>
      </c>
      <c r="AF1707" t="s">
        <v>47</v>
      </c>
      <c r="AG1707" t="str">
        <f t="shared" si="27"/>
        <v>À Vista</v>
      </c>
      <c r="AH1707" t="str">
        <f>IF(AND(SUMIF(E:E,E1707,I:I)&gt;=400000,Q1707="B2G"),"n","")</f>
        <v/>
      </c>
    </row>
    <row r="1708" spans="1:34">
      <c r="A1708">
        <v>2026</v>
      </c>
      <c r="B1708">
        <v>2</v>
      </c>
      <c r="C1708" s="83">
        <v>35688937785</v>
      </c>
      <c r="D1708" t="s">
        <v>1632</v>
      </c>
      <c r="E1708">
        <v>46680835966</v>
      </c>
      <c r="F1708">
        <v>636311</v>
      </c>
      <c r="G1708">
        <v>52401632561</v>
      </c>
      <c r="H1708" t="s">
        <v>35</v>
      </c>
      <c r="I1708" s="36">
        <v>28992</v>
      </c>
      <c r="J1708" s="36">
        <v>0</v>
      </c>
      <c r="K1708" s="85">
        <v>0</v>
      </c>
      <c r="L1708" s="36">
        <v>0</v>
      </c>
      <c r="M1708" s="36">
        <v>0</v>
      </c>
      <c r="N1708" s="36">
        <v>0</v>
      </c>
      <c r="O1708" s="36">
        <v>0</v>
      </c>
      <c r="P1708" t="s">
        <v>87</v>
      </c>
      <c r="Q1708" t="s">
        <v>37</v>
      </c>
      <c r="R1708" t="s">
        <v>37</v>
      </c>
      <c r="S1708" s="1">
        <v>46080</v>
      </c>
      <c r="T1708" s="1">
        <v>46080</v>
      </c>
      <c r="W1708" t="s">
        <v>39</v>
      </c>
      <c r="Y1708" t="s">
        <v>39</v>
      </c>
      <c r="AA1708" t="s">
        <v>40</v>
      </c>
      <c r="AB1708">
        <v>1</v>
      </c>
      <c r="AC1708" t="s">
        <v>41</v>
      </c>
      <c r="AD1708" t="s">
        <v>1635</v>
      </c>
      <c r="AE1708" t="s">
        <v>43</v>
      </c>
      <c r="AF1708" t="s">
        <v>47</v>
      </c>
      <c r="AG1708" t="str">
        <f t="shared" ref="AG1708:AG1771" si="28">IF(IFERROR(SEARCH("Recorrente",AA1708),0)&gt;0,"Recorrente",IF(AB1708=1,"À Vista",IF(AB1708&lt;=3,"CC 3x",IF(AB1708&lt;=12,"CC 12x",IF(AB1708&gt;12,"Recorrente","")))))</f>
        <v>À Vista</v>
      </c>
      <c r="AH1708" t="str">
        <f>IF(AND(SUMIF(E:E,E1708,I:I)&gt;=400000,Q1708="B2G"),"n","")</f>
        <v/>
      </c>
    </row>
    <row r="1709" spans="1:34">
      <c r="A1709">
        <v>2026</v>
      </c>
      <c r="B1709">
        <v>2</v>
      </c>
      <c r="C1709" s="83">
        <v>36417230716</v>
      </c>
      <c r="D1709" t="s">
        <v>1636</v>
      </c>
      <c r="E1709">
        <v>55038672033</v>
      </c>
      <c r="F1709">
        <v>635928</v>
      </c>
      <c r="G1709">
        <v>50778178637</v>
      </c>
      <c r="H1709" t="s">
        <v>35</v>
      </c>
      <c r="I1709" s="36">
        <v>6702.84</v>
      </c>
      <c r="J1709" s="36">
        <v>6702.84</v>
      </c>
      <c r="K1709" s="85">
        <v>9.0949500000000005E-13</v>
      </c>
      <c r="L1709" s="36">
        <v>558.57000000000005</v>
      </c>
      <c r="M1709" s="36">
        <v>0</v>
      </c>
      <c r="N1709" s="36">
        <v>558.57000000000005</v>
      </c>
      <c r="O1709" s="36">
        <v>0</v>
      </c>
      <c r="P1709" t="s">
        <v>520</v>
      </c>
      <c r="Q1709" t="s">
        <v>191</v>
      </c>
      <c r="R1709" t="s">
        <v>191</v>
      </c>
      <c r="S1709" s="1">
        <v>46057</v>
      </c>
      <c r="T1709" s="1">
        <v>46057</v>
      </c>
      <c r="V1709" s="1">
        <v>46422</v>
      </c>
      <c r="W1709" t="s">
        <v>38</v>
      </c>
      <c r="X1709">
        <v>12</v>
      </c>
      <c r="Y1709" t="s">
        <v>49</v>
      </c>
      <c r="AA1709" t="s">
        <v>112</v>
      </c>
      <c r="AB1709">
        <v>12</v>
      </c>
      <c r="AC1709" t="s">
        <v>192</v>
      </c>
      <c r="AD1709" t="s">
        <v>125</v>
      </c>
      <c r="AE1709" t="s">
        <v>43</v>
      </c>
      <c r="AF1709" t="s">
        <v>47</v>
      </c>
      <c r="AG1709" t="str">
        <f t="shared" si="28"/>
        <v>CC 12x</v>
      </c>
      <c r="AH1709" t="str">
        <f>IF(AND(SUMIF(E:E,E1709,I:I)&gt;=400000,Q1709="B2G"),"n","")</f>
        <v/>
      </c>
    </row>
    <row r="1710" spans="1:34">
      <c r="A1710">
        <v>2026</v>
      </c>
      <c r="B1710">
        <v>2</v>
      </c>
      <c r="C1710" s="83">
        <v>36608050491</v>
      </c>
      <c r="D1710" t="s">
        <v>1637</v>
      </c>
      <c r="E1710">
        <v>54973618864</v>
      </c>
      <c r="F1710">
        <v>626081</v>
      </c>
      <c r="G1710">
        <v>50352674846</v>
      </c>
      <c r="H1710" t="s">
        <v>35</v>
      </c>
      <c r="I1710" s="36">
        <v>4480.5600000000004</v>
      </c>
      <c r="J1710" s="36">
        <v>4480.5600000000004</v>
      </c>
      <c r="K1710" s="85">
        <v>0</v>
      </c>
      <c r="L1710" s="36">
        <v>373.38</v>
      </c>
      <c r="M1710" s="36">
        <v>0</v>
      </c>
      <c r="N1710" s="36">
        <v>29.897500000000001</v>
      </c>
      <c r="O1710" s="36">
        <v>343.48500000000001</v>
      </c>
      <c r="P1710" t="s">
        <v>127</v>
      </c>
      <c r="Q1710" t="s">
        <v>111</v>
      </c>
      <c r="R1710" t="s">
        <v>111</v>
      </c>
      <c r="S1710" s="1">
        <v>46055</v>
      </c>
      <c r="T1710" s="1">
        <v>46054</v>
      </c>
      <c r="U1710" s="1">
        <v>46053</v>
      </c>
      <c r="V1710" s="1">
        <v>46418</v>
      </c>
      <c r="W1710" t="s">
        <v>38</v>
      </c>
      <c r="X1710">
        <v>12</v>
      </c>
      <c r="Y1710" t="s">
        <v>49</v>
      </c>
      <c r="Z1710" t="s">
        <v>76</v>
      </c>
      <c r="AA1710" t="s">
        <v>112</v>
      </c>
      <c r="AB1710">
        <v>12</v>
      </c>
      <c r="AC1710" t="s">
        <v>113</v>
      </c>
      <c r="AD1710" t="s">
        <v>84</v>
      </c>
      <c r="AE1710" t="s">
        <v>43</v>
      </c>
      <c r="AF1710" t="s">
        <v>44</v>
      </c>
      <c r="AG1710" t="str">
        <f t="shared" si="28"/>
        <v>CC 12x</v>
      </c>
      <c r="AH1710" t="str">
        <f>IF(AND(SUMIF(E:E,E1710,I:I)&gt;=400000,Q1710="B2G"),"n","")</f>
        <v/>
      </c>
    </row>
    <row r="1711" spans="1:34">
      <c r="A1711">
        <v>2026</v>
      </c>
      <c r="B1711">
        <v>2</v>
      </c>
      <c r="C1711" s="83">
        <v>36608050491</v>
      </c>
      <c r="D1711" t="s">
        <v>1637</v>
      </c>
      <c r="E1711">
        <v>54973618864</v>
      </c>
      <c r="F1711">
        <v>626081</v>
      </c>
      <c r="G1711">
        <v>50352674847</v>
      </c>
      <c r="H1711" t="s">
        <v>35</v>
      </c>
      <c r="I1711" s="36">
        <v>4480.5600000000004</v>
      </c>
      <c r="J1711" s="36">
        <v>4480.5600000000004</v>
      </c>
      <c r="K1711" s="85">
        <v>0</v>
      </c>
      <c r="L1711" s="36">
        <v>373.38</v>
      </c>
      <c r="M1711" s="36">
        <v>0</v>
      </c>
      <c r="N1711" s="36">
        <v>29.897500000000001</v>
      </c>
      <c r="O1711" s="36">
        <v>343.48500000000001</v>
      </c>
      <c r="P1711" t="s">
        <v>127</v>
      </c>
      <c r="Q1711" t="s">
        <v>111</v>
      </c>
      <c r="R1711" t="s">
        <v>111</v>
      </c>
      <c r="S1711" s="1">
        <v>46055</v>
      </c>
      <c r="T1711" s="1">
        <v>46054</v>
      </c>
      <c r="U1711" s="1">
        <v>46053</v>
      </c>
      <c r="V1711" s="1">
        <v>46418</v>
      </c>
      <c r="W1711" t="s">
        <v>38</v>
      </c>
      <c r="X1711">
        <v>12</v>
      </c>
      <c r="Y1711" t="s">
        <v>49</v>
      </c>
      <c r="Z1711" t="s">
        <v>76</v>
      </c>
      <c r="AA1711" t="s">
        <v>112</v>
      </c>
      <c r="AB1711">
        <v>12</v>
      </c>
      <c r="AC1711" t="s">
        <v>113</v>
      </c>
      <c r="AD1711" t="s">
        <v>85</v>
      </c>
      <c r="AE1711" t="s">
        <v>46</v>
      </c>
      <c r="AF1711" t="s">
        <v>44</v>
      </c>
      <c r="AG1711" t="str">
        <f t="shared" si="28"/>
        <v>CC 12x</v>
      </c>
      <c r="AH1711" t="str">
        <f>IF(AND(SUMIF(E:E,E1711,I:I)&gt;=400000,Q1711="B2G"),"n","")</f>
        <v/>
      </c>
    </row>
    <row r="1712" spans="1:34">
      <c r="A1712">
        <v>2026</v>
      </c>
      <c r="B1712">
        <v>2</v>
      </c>
      <c r="C1712" s="83">
        <v>36780507065</v>
      </c>
      <c r="D1712" t="s">
        <v>1638</v>
      </c>
      <c r="E1712">
        <v>55485193499</v>
      </c>
      <c r="F1712">
        <v>636006</v>
      </c>
      <c r="G1712">
        <v>51121472523</v>
      </c>
      <c r="H1712" t="s">
        <v>35</v>
      </c>
      <c r="I1712" s="36">
        <v>5748</v>
      </c>
      <c r="J1712" s="36">
        <v>2874</v>
      </c>
      <c r="K1712" s="85">
        <v>2874</v>
      </c>
      <c r="L1712" s="36">
        <v>239.5</v>
      </c>
      <c r="M1712" s="36">
        <v>0</v>
      </c>
      <c r="N1712" s="36">
        <v>239.5</v>
      </c>
      <c r="O1712" s="36">
        <v>0</v>
      </c>
      <c r="P1712" t="s">
        <v>367</v>
      </c>
      <c r="Q1712" t="s">
        <v>191</v>
      </c>
      <c r="R1712" t="s">
        <v>191</v>
      </c>
      <c r="S1712" s="1">
        <v>46062</v>
      </c>
      <c r="T1712" s="1">
        <v>46062</v>
      </c>
      <c r="V1712" s="1">
        <v>46792</v>
      </c>
      <c r="W1712" t="s">
        <v>56</v>
      </c>
      <c r="X1712">
        <v>24</v>
      </c>
      <c r="Y1712" t="s">
        <v>49</v>
      </c>
      <c r="AA1712" t="s">
        <v>122</v>
      </c>
      <c r="AB1712">
        <v>24</v>
      </c>
      <c r="AC1712" t="s">
        <v>192</v>
      </c>
      <c r="AD1712" t="s">
        <v>140</v>
      </c>
      <c r="AE1712" t="s">
        <v>46</v>
      </c>
      <c r="AF1712" t="s">
        <v>119</v>
      </c>
      <c r="AG1712" t="str">
        <f t="shared" si="28"/>
        <v>Recorrente</v>
      </c>
      <c r="AH1712" t="str">
        <f>IF(AND(SUMIF(E:E,E1712,I:I)&gt;=400000,Q1712="B2G"),"n","")</f>
        <v/>
      </c>
    </row>
    <row r="1713" spans="1:34">
      <c r="A1713">
        <v>2026</v>
      </c>
      <c r="B1713">
        <v>2</v>
      </c>
      <c r="C1713" s="83">
        <v>37315309436</v>
      </c>
      <c r="D1713" t="s">
        <v>1639</v>
      </c>
      <c r="E1713">
        <v>43072277572</v>
      </c>
      <c r="F1713">
        <v>636236</v>
      </c>
      <c r="G1713">
        <v>52198826338</v>
      </c>
      <c r="H1713" t="s">
        <v>35</v>
      </c>
      <c r="I1713" s="36">
        <v>86400</v>
      </c>
      <c r="J1713" s="36">
        <v>28800</v>
      </c>
      <c r="K1713" s="85">
        <v>57600</v>
      </c>
      <c r="L1713" s="36">
        <v>2400</v>
      </c>
      <c r="M1713" s="36">
        <v>2400</v>
      </c>
      <c r="N1713" s="36">
        <v>0</v>
      </c>
      <c r="O1713" s="36">
        <v>0</v>
      </c>
      <c r="P1713" t="s">
        <v>87</v>
      </c>
      <c r="Q1713" t="s">
        <v>37</v>
      </c>
      <c r="R1713" t="s">
        <v>37</v>
      </c>
      <c r="S1713" s="1">
        <v>46077</v>
      </c>
      <c r="T1713" s="1">
        <v>46077</v>
      </c>
      <c r="V1713" s="1">
        <v>47173</v>
      </c>
      <c r="W1713" t="s">
        <v>102</v>
      </c>
      <c r="X1713">
        <v>36</v>
      </c>
      <c r="Y1713" t="s">
        <v>49</v>
      </c>
      <c r="AA1713" t="s">
        <v>40</v>
      </c>
      <c r="AB1713">
        <v>1</v>
      </c>
      <c r="AC1713" t="s">
        <v>41</v>
      </c>
      <c r="AD1713" t="s">
        <v>73</v>
      </c>
      <c r="AE1713" t="s">
        <v>51</v>
      </c>
      <c r="AF1713" t="s">
        <v>47</v>
      </c>
      <c r="AG1713" t="str">
        <f t="shared" si="28"/>
        <v>À Vista</v>
      </c>
      <c r="AH1713" t="str">
        <f>IF(AND(SUMIF(E:E,E1713,I:I)&gt;=400000,Q1713="B2G"),"n","")</f>
        <v/>
      </c>
    </row>
    <row r="1714" spans="1:34">
      <c r="A1714">
        <v>2026</v>
      </c>
      <c r="B1714">
        <v>2</v>
      </c>
      <c r="C1714" s="83">
        <v>37821638668</v>
      </c>
      <c r="D1714" t="s">
        <v>1640</v>
      </c>
      <c r="E1714">
        <v>40861171061</v>
      </c>
      <c r="F1714">
        <v>636298</v>
      </c>
      <c r="G1714">
        <v>52355351695</v>
      </c>
      <c r="H1714" t="s">
        <v>35</v>
      </c>
      <c r="I1714" s="36">
        <v>1476</v>
      </c>
      <c r="J1714" s="36">
        <v>1476</v>
      </c>
      <c r="K1714" s="85">
        <v>0</v>
      </c>
      <c r="L1714" s="36">
        <v>123</v>
      </c>
      <c r="M1714" s="36">
        <v>123</v>
      </c>
      <c r="N1714" s="36">
        <v>0</v>
      </c>
      <c r="O1714" s="36">
        <v>0</v>
      </c>
      <c r="P1714" t="s">
        <v>668</v>
      </c>
      <c r="Q1714" t="s">
        <v>91</v>
      </c>
      <c r="R1714" t="s">
        <v>91</v>
      </c>
      <c r="S1714" s="1">
        <v>46080</v>
      </c>
      <c r="T1714" s="1">
        <v>46080</v>
      </c>
      <c r="V1714" s="1">
        <v>46445</v>
      </c>
      <c r="W1714" t="s">
        <v>38</v>
      </c>
      <c r="X1714">
        <v>12</v>
      </c>
      <c r="Y1714" t="s">
        <v>49</v>
      </c>
      <c r="AA1714" t="s">
        <v>92</v>
      </c>
      <c r="AB1714">
        <v>12</v>
      </c>
      <c r="AC1714" t="s">
        <v>93</v>
      </c>
      <c r="AD1714" t="s">
        <v>368</v>
      </c>
      <c r="AE1714" t="s">
        <v>95</v>
      </c>
      <c r="AF1714" t="s">
        <v>59</v>
      </c>
      <c r="AG1714" t="str">
        <f t="shared" si="28"/>
        <v>Recorrente</v>
      </c>
      <c r="AH1714" t="str">
        <f>IF(AND(SUMIF(E:E,E1714,I:I)&gt;=400000,Q1714="B2G"),"n","")</f>
        <v/>
      </c>
    </row>
    <row r="1715" spans="1:34">
      <c r="A1715">
        <v>2026</v>
      </c>
      <c r="B1715">
        <v>2</v>
      </c>
      <c r="C1715" s="83">
        <v>37821638668</v>
      </c>
      <c r="D1715" t="s">
        <v>1640</v>
      </c>
      <c r="E1715">
        <v>40861171061</v>
      </c>
      <c r="F1715">
        <v>636298</v>
      </c>
      <c r="G1715">
        <v>52355351696</v>
      </c>
      <c r="H1715" t="s">
        <v>35</v>
      </c>
      <c r="I1715" s="36">
        <v>38124</v>
      </c>
      <c r="J1715" s="36">
        <v>38124</v>
      </c>
      <c r="K1715" s="85">
        <v>0</v>
      </c>
      <c r="L1715" s="36">
        <v>3177</v>
      </c>
      <c r="M1715" s="36">
        <v>3177</v>
      </c>
      <c r="N1715" s="36">
        <v>0</v>
      </c>
      <c r="O1715" s="36">
        <v>0</v>
      </c>
      <c r="P1715" t="s">
        <v>668</v>
      </c>
      <c r="Q1715" t="s">
        <v>91</v>
      </c>
      <c r="R1715" t="s">
        <v>91</v>
      </c>
      <c r="S1715" s="1">
        <v>46080</v>
      </c>
      <c r="T1715" s="1">
        <v>46080</v>
      </c>
      <c r="V1715" s="1">
        <v>46445</v>
      </c>
      <c r="W1715" t="s">
        <v>38</v>
      </c>
      <c r="X1715">
        <v>12</v>
      </c>
      <c r="Y1715" t="s">
        <v>49</v>
      </c>
      <c r="AA1715" t="s">
        <v>92</v>
      </c>
      <c r="AB1715">
        <v>12</v>
      </c>
      <c r="AC1715" t="s">
        <v>93</v>
      </c>
      <c r="AD1715" t="s">
        <v>1167</v>
      </c>
      <c r="AE1715" t="s">
        <v>95</v>
      </c>
      <c r="AF1715" t="s">
        <v>96</v>
      </c>
      <c r="AG1715" t="str">
        <f t="shared" si="28"/>
        <v>Recorrente</v>
      </c>
      <c r="AH1715" t="str">
        <f>IF(AND(SUMIF(E:E,E1715,I:I)&gt;=400000,Q1715="B2G"),"n","")</f>
        <v/>
      </c>
    </row>
    <row r="1716" spans="1:34">
      <c r="A1716">
        <v>2026</v>
      </c>
      <c r="B1716">
        <v>2</v>
      </c>
      <c r="C1716" s="83">
        <v>38746621442</v>
      </c>
      <c r="D1716" t="s">
        <v>1641</v>
      </c>
      <c r="E1716">
        <v>54967185236</v>
      </c>
      <c r="F1716">
        <v>635858</v>
      </c>
      <c r="G1716">
        <v>50518686871</v>
      </c>
      <c r="H1716" t="s">
        <v>35</v>
      </c>
      <c r="I1716" s="36">
        <v>5754</v>
      </c>
      <c r="J1716" s="36">
        <v>5754</v>
      </c>
      <c r="K1716" s="85">
        <v>0</v>
      </c>
      <c r="L1716" s="36">
        <v>479.5</v>
      </c>
      <c r="M1716" s="36">
        <v>479.5</v>
      </c>
      <c r="N1716" s="36">
        <v>0</v>
      </c>
      <c r="O1716" s="36">
        <v>0</v>
      </c>
      <c r="P1716" t="s">
        <v>348</v>
      </c>
      <c r="Q1716" t="s">
        <v>349</v>
      </c>
      <c r="R1716" t="s">
        <v>349</v>
      </c>
      <c r="S1716" s="1">
        <v>46055</v>
      </c>
      <c r="T1716" s="1">
        <v>46055</v>
      </c>
      <c r="V1716" s="1">
        <v>46420</v>
      </c>
      <c r="W1716" t="s">
        <v>38</v>
      </c>
      <c r="X1716">
        <v>12</v>
      </c>
      <c r="Y1716" t="s">
        <v>49</v>
      </c>
      <c r="AA1716" t="s">
        <v>92</v>
      </c>
      <c r="AB1716">
        <v>12</v>
      </c>
      <c r="AC1716" t="s">
        <v>350</v>
      </c>
      <c r="AD1716" t="s">
        <v>85</v>
      </c>
      <c r="AE1716" t="s">
        <v>46</v>
      </c>
      <c r="AF1716" t="s">
        <v>44</v>
      </c>
      <c r="AG1716" t="str">
        <f t="shared" si="28"/>
        <v>Recorrente</v>
      </c>
      <c r="AH1716" t="str">
        <f>IF(AND(SUMIF(E:E,E1716,I:I)&gt;=400000,Q1716="B2G"),"n","")</f>
        <v/>
      </c>
    </row>
    <row r="1717" spans="1:34">
      <c r="A1717">
        <v>2026</v>
      </c>
      <c r="B1717">
        <v>2</v>
      </c>
      <c r="C1717" s="83">
        <v>38746623370</v>
      </c>
      <c r="D1717" t="s">
        <v>1642</v>
      </c>
      <c r="E1717">
        <v>53681770165</v>
      </c>
      <c r="F1717">
        <v>636130</v>
      </c>
      <c r="G1717">
        <v>51905558889</v>
      </c>
      <c r="H1717" t="s">
        <v>35</v>
      </c>
      <c r="I1717" s="36">
        <v>9354</v>
      </c>
      <c r="J1717" s="36">
        <v>9354</v>
      </c>
      <c r="K1717" s="85">
        <v>0</v>
      </c>
      <c r="L1717" s="36">
        <v>779.5</v>
      </c>
      <c r="M1717" s="36">
        <v>779.5</v>
      </c>
      <c r="N1717" s="36">
        <v>0</v>
      </c>
      <c r="O1717" s="36">
        <v>0</v>
      </c>
      <c r="P1717" t="s">
        <v>361</v>
      </c>
      <c r="Q1717" t="s">
        <v>349</v>
      </c>
      <c r="R1717" t="s">
        <v>349</v>
      </c>
      <c r="S1717" s="1">
        <v>46072</v>
      </c>
      <c r="T1717" s="1">
        <v>46072</v>
      </c>
      <c r="V1717" s="1">
        <v>46437</v>
      </c>
      <c r="W1717" t="s">
        <v>38</v>
      </c>
      <c r="X1717">
        <v>12</v>
      </c>
      <c r="Y1717" t="s">
        <v>49</v>
      </c>
      <c r="AA1717" t="s">
        <v>92</v>
      </c>
      <c r="AB1717">
        <v>12</v>
      </c>
      <c r="AC1717" t="s">
        <v>350</v>
      </c>
      <c r="AD1717" t="s">
        <v>134</v>
      </c>
      <c r="AE1717" t="s">
        <v>135</v>
      </c>
      <c r="AF1717" t="s">
        <v>44</v>
      </c>
      <c r="AG1717" t="str">
        <f t="shared" si="28"/>
        <v>Recorrente</v>
      </c>
      <c r="AH1717" t="str">
        <f>IF(AND(SUMIF(E:E,E1717,I:I)&gt;=400000,Q1717="B2G"),"n","")</f>
        <v/>
      </c>
    </row>
    <row r="1718" spans="1:34">
      <c r="A1718">
        <v>2026</v>
      </c>
      <c r="B1718">
        <v>2</v>
      </c>
      <c r="C1718" s="83">
        <v>38789489838</v>
      </c>
      <c r="D1718" t="s">
        <v>1643</v>
      </c>
      <c r="E1718">
        <v>56945581117</v>
      </c>
      <c r="F1718">
        <v>626838</v>
      </c>
      <c r="G1718">
        <v>52162148719</v>
      </c>
      <c r="H1718" t="s">
        <v>35</v>
      </c>
      <c r="I1718" s="36">
        <v>2787.72</v>
      </c>
      <c r="J1718" s="36">
        <v>2787.72</v>
      </c>
      <c r="K1718" s="85">
        <v>0</v>
      </c>
      <c r="L1718" s="36">
        <v>232.31</v>
      </c>
      <c r="M1718" s="36">
        <v>0</v>
      </c>
      <c r="N1718" s="36">
        <v>0</v>
      </c>
      <c r="O1718" s="36">
        <v>232.315</v>
      </c>
      <c r="P1718" t="s">
        <v>162</v>
      </c>
      <c r="Q1718" t="s">
        <v>111</v>
      </c>
      <c r="R1718" t="s">
        <v>111</v>
      </c>
      <c r="S1718" s="1">
        <v>46077</v>
      </c>
      <c r="T1718" s="1">
        <v>46077</v>
      </c>
      <c r="U1718" s="1">
        <v>46077</v>
      </c>
      <c r="V1718" s="1">
        <v>46442</v>
      </c>
      <c r="W1718" t="s">
        <v>38</v>
      </c>
      <c r="X1718">
        <v>12</v>
      </c>
      <c r="Y1718" t="s">
        <v>49</v>
      </c>
      <c r="Z1718" t="s">
        <v>81</v>
      </c>
      <c r="AA1718" t="s">
        <v>112</v>
      </c>
      <c r="AB1718">
        <v>12</v>
      </c>
      <c r="AC1718" t="s">
        <v>113</v>
      </c>
      <c r="AD1718" t="s">
        <v>140</v>
      </c>
      <c r="AE1718" t="s">
        <v>46</v>
      </c>
      <c r="AF1718" t="s">
        <v>119</v>
      </c>
      <c r="AG1718" t="str">
        <f t="shared" si="28"/>
        <v>CC 12x</v>
      </c>
      <c r="AH1718" t="str">
        <f>IF(AND(SUMIF(E:E,E1718,I:I)&gt;=400000,Q1718="B2G"),"n","")</f>
        <v/>
      </c>
    </row>
    <row r="1719" spans="1:34">
      <c r="A1719">
        <v>2026</v>
      </c>
      <c r="B1719">
        <v>2</v>
      </c>
      <c r="C1719" s="83">
        <v>38807871549</v>
      </c>
      <c r="D1719" t="s">
        <v>1644</v>
      </c>
      <c r="E1719">
        <v>54791224657</v>
      </c>
      <c r="F1719">
        <v>528127</v>
      </c>
      <c r="G1719">
        <v>52292501020</v>
      </c>
      <c r="H1719" t="s">
        <v>35</v>
      </c>
      <c r="I1719" s="36">
        <v>5962.44</v>
      </c>
      <c r="J1719" s="36">
        <v>5962.44</v>
      </c>
      <c r="K1719" s="85">
        <v>0</v>
      </c>
      <c r="L1719" s="36">
        <v>496.87</v>
      </c>
      <c r="M1719" s="36">
        <v>0</v>
      </c>
      <c r="N1719" s="36">
        <v>0</v>
      </c>
      <c r="O1719" s="36">
        <v>496.87399499999998</v>
      </c>
      <c r="P1719" t="s">
        <v>116</v>
      </c>
      <c r="Q1719" t="s">
        <v>111</v>
      </c>
      <c r="R1719" t="s">
        <v>111</v>
      </c>
      <c r="S1719" s="1">
        <v>46079</v>
      </c>
      <c r="T1719" s="1">
        <v>46079</v>
      </c>
      <c r="U1719" s="1">
        <v>46076</v>
      </c>
      <c r="V1719" s="1">
        <v>46441</v>
      </c>
      <c r="W1719" t="s">
        <v>38</v>
      </c>
      <c r="X1719">
        <v>12</v>
      </c>
      <c r="Y1719" t="s">
        <v>49</v>
      </c>
      <c r="Z1719" t="s">
        <v>81</v>
      </c>
      <c r="AA1719" t="s">
        <v>112</v>
      </c>
      <c r="AB1719">
        <v>10</v>
      </c>
      <c r="AC1719" t="s">
        <v>113</v>
      </c>
      <c r="AD1719" t="s">
        <v>125</v>
      </c>
      <c r="AE1719" t="s">
        <v>43</v>
      </c>
      <c r="AF1719" t="s">
        <v>47</v>
      </c>
      <c r="AG1719" t="str">
        <f t="shared" si="28"/>
        <v>CC 12x</v>
      </c>
      <c r="AH1719" t="str">
        <f>IF(AND(SUMIF(E:E,E1719,I:I)&gt;=400000,Q1719="B2G"),"n","")</f>
        <v/>
      </c>
    </row>
    <row r="1720" spans="1:34">
      <c r="A1720">
        <v>2026</v>
      </c>
      <c r="B1720">
        <v>2</v>
      </c>
      <c r="C1720" s="83">
        <v>39085233333</v>
      </c>
      <c r="D1720" t="s">
        <v>1645</v>
      </c>
      <c r="E1720">
        <v>55114898946</v>
      </c>
      <c r="F1720">
        <v>636292</v>
      </c>
      <c r="G1720">
        <v>52357388100</v>
      </c>
      <c r="H1720" t="s">
        <v>35</v>
      </c>
      <c r="I1720" s="36">
        <v>4329.24</v>
      </c>
      <c r="J1720" s="36">
        <v>4329.24</v>
      </c>
      <c r="K1720" s="85">
        <v>0</v>
      </c>
      <c r="L1720" s="36">
        <v>360.77</v>
      </c>
      <c r="M1720" s="36">
        <v>0</v>
      </c>
      <c r="N1720" s="36">
        <v>360.77</v>
      </c>
      <c r="O1720" s="36">
        <v>0</v>
      </c>
      <c r="P1720" t="s">
        <v>804</v>
      </c>
      <c r="Q1720" t="s">
        <v>191</v>
      </c>
      <c r="R1720" t="s">
        <v>191</v>
      </c>
      <c r="S1720" s="1">
        <v>46080</v>
      </c>
      <c r="T1720" s="1">
        <v>46080</v>
      </c>
      <c r="V1720" s="1">
        <v>46445</v>
      </c>
      <c r="W1720" t="s">
        <v>38</v>
      </c>
      <c r="X1720">
        <v>12</v>
      </c>
      <c r="Y1720" t="s">
        <v>49</v>
      </c>
      <c r="AA1720" t="s">
        <v>117</v>
      </c>
      <c r="AB1720">
        <v>1</v>
      </c>
      <c r="AC1720" t="s">
        <v>192</v>
      </c>
      <c r="AD1720" t="s">
        <v>84</v>
      </c>
      <c r="AE1720" t="s">
        <v>43</v>
      </c>
      <c r="AF1720" t="s">
        <v>44</v>
      </c>
      <c r="AG1720" t="str">
        <f t="shared" si="28"/>
        <v>À Vista</v>
      </c>
      <c r="AH1720" t="str">
        <f>IF(AND(SUMIF(E:E,E1720,I:I)&gt;=400000,Q1720="B2G"),"n","")</f>
        <v/>
      </c>
    </row>
    <row r="1721" spans="1:34">
      <c r="A1721">
        <v>2026</v>
      </c>
      <c r="B1721">
        <v>2</v>
      </c>
      <c r="C1721" s="83">
        <v>39616935267</v>
      </c>
      <c r="D1721" t="s">
        <v>1646</v>
      </c>
      <c r="E1721">
        <v>54387586081</v>
      </c>
      <c r="F1721">
        <v>527919</v>
      </c>
      <c r="G1721">
        <v>50735794280</v>
      </c>
      <c r="H1721" t="s">
        <v>35</v>
      </c>
      <c r="I1721" s="36">
        <v>3880.86</v>
      </c>
      <c r="J1721" s="36">
        <v>3880.86</v>
      </c>
      <c r="K1721" s="85">
        <v>0</v>
      </c>
      <c r="L1721" s="36">
        <v>323.40499999999997</v>
      </c>
      <c r="M1721" s="36">
        <v>0</v>
      </c>
      <c r="N1721" s="36">
        <v>48.7437775</v>
      </c>
      <c r="O1721" s="36">
        <v>274.66000000000003</v>
      </c>
      <c r="P1721" t="s">
        <v>116</v>
      </c>
      <c r="Q1721" t="s">
        <v>111</v>
      </c>
      <c r="R1721" t="s">
        <v>111</v>
      </c>
      <c r="S1721" s="1">
        <v>46057</v>
      </c>
      <c r="T1721" s="1">
        <v>46057</v>
      </c>
      <c r="U1721" s="1">
        <v>46075</v>
      </c>
      <c r="V1721" s="1">
        <v>46440</v>
      </c>
      <c r="W1721" t="s">
        <v>38</v>
      </c>
      <c r="X1721">
        <v>12</v>
      </c>
      <c r="Y1721" t="s">
        <v>49</v>
      </c>
      <c r="Z1721" t="s">
        <v>76</v>
      </c>
      <c r="AA1721" t="s">
        <v>82</v>
      </c>
      <c r="AB1721">
        <v>1</v>
      </c>
      <c r="AC1721" t="s">
        <v>113</v>
      </c>
      <c r="AD1721" t="s">
        <v>125</v>
      </c>
      <c r="AE1721" t="s">
        <v>43</v>
      </c>
      <c r="AF1721" t="s">
        <v>47</v>
      </c>
      <c r="AG1721" t="str">
        <f t="shared" si="28"/>
        <v>À Vista</v>
      </c>
      <c r="AH1721" t="str">
        <f>IF(AND(SUMIF(E:E,E1721,I:I)&gt;=400000,Q1721="B2G"),"n","")</f>
        <v/>
      </c>
    </row>
    <row r="1722" spans="1:34">
      <c r="A1722">
        <v>2026</v>
      </c>
      <c r="B1722">
        <v>2</v>
      </c>
      <c r="C1722" s="83">
        <v>39616935267</v>
      </c>
      <c r="D1722" t="s">
        <v>1646</v>
      </c>
      <c r="E1722">
        <v>54387586081</v>
      </c>
      <c r="F1722">
        <v>527919</v>
      </c>
      <c r="G1722">
        <v>50735794281</v>
      </c>
      <c r="H1722" t="s">
        <v>35</v>
      </c>
      <c r="I1722" s="36">
        <v>3880.86</v>
      </c>
      <c r="J1722" s="36">
        <v>3880.86</v>
      </c>
      <c r="K1722" s="85">
        <v>0</v>
      </c>
      <c r="L1722" s="36">
        <v>323.40499999999997</v>
      </c>
      <c r="M1722" s="36">
        <v>0</v>
      </c>
      <c r="N1722" s="36">
        <v>48.7437775</v>
      </c>
      <c r="O1722" s="36">
        <v>274.66000000000003</v>
      </c>
      <c r="P1722" t="s">
        <v>116</v>
      </c>
      <c r="Q1722" t="s">
        <v>111</v>
      </c>
      <c r="R1722" t="s">
        <v>111</v>
      </c>
      <c r="S1722" s="1">
        <v>46057</v>
      </c>
      <c r="T1722" s="1">
        <v>46057</v>
      </c>
      <c r="U1722" s="1">
        <v>46075</v>
      </c>
      <c r="V1722" s="1">
        <v>46440</v>
      </c>
      <c r="W1722" t="s">
        <v>38</v>
      </c>
      <c r="X1722">
        <v>12</v>
      </c>
      <c r="Y1722" t="s">
        <v>49</v>
      </c>
      <c r="Z1722" t="s">
        <v>76</v>
      </c>
      <c r="AA1722" t="s">
        <v>82</v>
      </c>
      <c r="AB1722">
        <v>1</v>
      </c>
      <c r="AC1722" t="s">
        <v>113</v>
      </c>
      <c r="AD1722" t="s">
        <v>118</v>
      </c>
      <c r="AE1722" t="s">
        <v>43</v>
      </c>
      <c r="AF1722" t="s">
        <v>119</v>
      </c>
      <c r="AG1722" t="str">
        <f t="shared" si="28"/>
        <v>À Vista</v>
      </c>
      <c r="AH1722" t="str">
        <f>IF(AND(SUMIF(E:E,E1722,I:I)&gt;=400000,Q1722="B2G"),"n","")</f>
        <v/>
      </c>
    </row>
    <row r="1723" spans="1:34">
      <c r="A1723">
        <v>2026</v>
      </c>
      <c r="B1723">
        <v>2</v>
      </c>
      <c r="C1723" s="83">
        <v>39767236776</v>
      </c>
      <c r="D1723" t="s">
        <v>1647</v>
      </c>
      <c r="E1723">
        <v>56616635242</v>
      </c>
      <c r="F1723">
        <v>636146</v>
      </c>
      <c r="G1723">
        <v>51902127430</v>
      </c>
      <c r="H1723" t="s">
        <v>35</v>
      </c>
      <c r="I1723" s="36">
        <v>3565.56</v>
      </c>
      <c r="J1723" s="36">
        <v>3565.62</v>
      </c>
      <c r="K1723" s="85">
        <v>0</v>
      </c>
      <c r="L1723" s="36">
        <v>297.13499999999999</v>
      </c>
      <c r="M1723" s="36">
        <v>297.13499999999999</v>
      </c>
      <c r="N1723" s="36">
        <v>0</v>
      </c>
      <c r="O1723" s="36">
        <v>0</v>
      </c>
      <c r="P1723" t="s">
        <v>506</v>
      </c>
      <c r="Q1723" t="s">
        <v>300</v>
      </c>
      <c r="R1723" t="s">
        <v>300</v>
      </c>
      <c r="S1723" s="1">
        <v>46072</v>
      </c>
      <c r="T1723" s="1">
        <v>46072</v>
      </c>
      <c r="V1723" s="1">
        <v>46437</v>
      </c>
      <c r="W1723" t="s">
        <v>38</v>
      </c>
      <c r="X1723">
        <v>12</v>
      </c>
      <c r="Y1723" t="s">
        <v>49</v>
      </c>
      <c r="AA1723" t="s">
        <v>112</v>
      </c>
      <c r="AB1723">
        <v>12</v>
      </c>
      <c r="AC1723" t="s">
        <v>301</v>
      </c>
      <c r="AD1723" t="s">
        <v>142</v>
      </c>
      <c r="AE1723" t="s">
        <v>95</v>
      </c>
      <c r="AF1723" t="s">
        <v>44</v>
      </c>
      <c r="AG1723" t="str">
        <f t="shared" si="28"/>
        <v>CC 12x</v>
      </c>
      <c r="AH1723" t="str">
        <f>IF(AND(SUMIF(E:E,E1723,I:I)&gt;=400000,Q1723="B2G"),"n","")</f>
        <v/>
      </c>
    </row>
    <row r="1724" spans="1:34">
      <c r="A1724">
        <v>2026</v>
      </c>
      <c r="B1724">
        <v>2</v>
      </c>
      <c r="C1724" s="83">
        <v>39895838320</v>
      </c>
      <c r="D1724" t="s">
        <v>1648</v>
      </c>
      <c r="E1724">
        <v>53751261750</v>
      </c>
      <c r="F1724">
        <v>609082</v>
      </c>
      <c r="G1724">
        <v>49270929292</v>
      </c>
      <c r="H1724" t="s">
        <v>35</v>
      </c>
      <c r="I1724" s="36">
        <v>4860.84</v>
      </c>
      <c r="J1724" s="36">
        <v>4860.84</v>
      </c>
      <c r="K1724" s="85">
        <v>0</v>
      </c>
      <c r="L1724" s="36">
        <v>405.07</v>
      </c>
      <c r="M1724" s="36">
        <v>0</v>
      </c>
      <c r="N1724" s="36">
        <v>191.57279500000001</v>
      </c>
      <c r="O1724" s="36">
        <v>213.5</v>
      </c>
      <c r="P1724" t="s">
        <v>116</v>
      </c>
      <c r="Q1724" t="s">
        <v>111</v>
      </c>
      <c r="R1724" t="s">
        <v>111</v>
      </c>
      <c r="S1724" s="1">
        <v>46051</v>
      </c>
      <c r="T1724" s="1">
        <v>46054</v>
      </c>
      <c r="U1724" s="1">
        <v>46081</v>
      </c>
      <c r="V1724" s="1">
        <v>46446</v>
      </c>
      <c r="W1724" t="s">
        <v>38</v>
      </c>
      <c r="X1724">
        <v>12</v>
      </c>
      <c r="Y1724" t="s">
        <v>49</v>
      </c>
      <c r="Z1724" t="s">
        <v>76</v>
      </c>
      <c r="AA1724" t="s">
        <v>112</v>
      </c>
      <c r="AB1724">
        <v>12</v>
      </c>
      <c r="AC1724" t="s">
        <v>113</v>
      </c>
      <c r="AD1724" t="s">
        <v>149</v>
      </c>
      <c r="AE1724" t="s">
        <v>43</v>
      </c>
      <c r="AF1724" t="s">
        <v>96</v>
      </c>
      <c r="AG1724" t="str">
        <f t="shared" si="28"/>
        <v>CC 12x</v>
      </c>
      <c r="AH1724" t="str">
        <f>IF(AND(SUMIF(E:E,E1724,I:I)&gt;=400000,Q1724="B2G"),"n","")</f>
        <v/>
      </c>
    </row>
    <row r="1725" spans="1:34">
      <c r="A1725">
        <v>2026</v>
      </c>
      <c r="B1725">
        <v>2</v>
      </c>
      <c r="C1725" s="83">
        <v>40000072527</v>
      </c>
      <c r="D1725" t="s">
        <v>1649</v>
      </c>
      <c r="E1725">
        <v>55953616561</v>
      </c>
      <c r="F1725">
        <v>636091</v>
      </c>
      <c r="G1725">
        <v>51471866453</v>
      </c>
      <c r="H1725" t="s">
        <v>35</v>
      </c>
      <c r="I1725" s="36">
        <v>2874</v>
      </c>
      <c r="J1725" s="36">
        <v>2874</v>
      </c>
      <c r="K1725" s="85">
        <v>0</v>
      </c>
      <c r="L1725" s="36">
        <v>239.5</v>
      </c>
      <c r="M1725" s="36">
        <v>239.5</v>
      </c>
      <c r="N1725" s="36">
        <v>0</v>
      </c>
      <c r="O1725" s="36">
        <v>0</v>
      </c>
      <c r="P1725" t="s">
        <v>511</v>
      </c>
      <c r="Q1725" t="s">
        <v>300</v>
      </c>
      <c r="R1725" t="s">
        <v>300</v>
      </c>
      <c r="S1725" s="1">
        <v>46066</v>
      </c>
      <c r="T1725" s="1">
        <v>46066</v>
      </c>
      <c r="V1725" s="1">
        <v>46431</v>
      </c>
      <c r="W1725" t="s">
        <v>38</v>
      </c>
      <c r="X1725">
        <v>12</v>
      </c>
      <c r="Y1725" t="s">
        <v>49</v>
      </c>
      <c r="AA1725" t="s">
        <v>122</v>
      </c>
      <c r="AB1725">
        <v>12</v>
      </c>
      <c r="AC1725" t="s">
        <v>301</v>
      </c>
      <c r="AD1725" t="s">
        <v>140</v>
      </c>
      <c r="AE1725" t="s">
        <v>46</v>
      </c>
      <c r="AF1725" t="s">
        <v>119</v>
      </c>
      <c r="AG1725" t="str">
        <f t="shared" si="28"/>
        <v>Recorrente</v>
      </c>
      <c r="AH1725" t="str">
        <f>IF(AND(SUMIF(E:E,E1725,I:I)&gt;=400000,Q1725="B2G"),"n","")</f>
        <v/>
      </c>
    </row>
    <row r="1726" spans="1:34">
      <c r="A1726">
        <v>2026</v>
      </c>
      <c r="B1726">
        <v>2</v>
      </c>
      <c r="C1726" s="83">
        <v>40173608779</v>
      </c>
      <c r="D1726" t="s">
        <v>579</v>
      </c>
      <c r="E1726">
        <v>54799144822</v>
      </c>
      <c r="F1726">
        <v>635546</v>
      </c>
      <c r="G1726">
        <v>51398417171</v>
      </c>
      <c r="H1726" t="s">
        <v>35</v>
      </c>
      <c r="I1726" s="36">
        <v>2458.1999999999998</v>
      </c>
      <c r="J1726" s="36">
        <v>2680.32</v>
      </c>
      <c r="K1726" s="85">
        <v>0</v>
      </c>
      <c r="L1726" s="36">
        <v>223.36</v>
      </c>
      <c r="M1726" s="36">
        <v>0</v>
      </c>
      <c r="N1726" s="36">
        <v>223.36</v>
      </c>
      <c r="O1726" s="36">
        <v>0</v>
      </c>
      <c r="P1726" t="s">
        <v>323</v>
      </c>
      <c r="Q1726" t="s">
        <v>191</v>
      </c>
      <c r="R1726" t="s">
        <v>191</v>
      </c>
      <c r="S1726" s="1">
        <v>46064</v>
      </c>
      <c r="T1726" s="1">
        <v>46064</v>
      </c>
      <c r="U1726" s="1">
        <v>46399</v>
      </c>
      <c r="V1726" s="1">
        <v>46399</v>
      </c>
      <c r="W1726" t="s">
        <v>38</v>
      </c>
      <c r="X1726">
        <v>11</v>
      </c>
      <c r="Y1726" t="s">
        <v>49</v>
      </c>
      <c r="Z1726" t="s">
        <v>324</v>
      </c>
      <c r="AA1726" t="s">
        <v>122</v>
      </c>
      <c r="AB1726">
        <v>11</v>
      </c>
      <c r="AC1726" t="s">
        <v>192</v>
      </c>
      <c r="AD1726" t="s">
        <v>85</v>
      </c>
      <c r="AE1726" t="s">
        <v>46</v>
      </c>
      <c r="AF1726" t="s">
        <v>44</v>
      </c>
      <c r="AG1726" t="str">
        <f t="shared" si="28"/>
        <v>Recorrente</v>
      </c>
      <c r="AH1726" t="str">
        <f>IF(AND(SUMIF(E:E,E1726,I:I)&gt;=400000,Q1726="B2G"),"n","")</f>
        <v/>
      </c>
    </row>
    <row r="1727" spans="1:34">
      <c r="A1727">
        <v>2026</v>
      </c>
      <c r="B1727">
        <v>2</v>
      </c>
      <c r="C1727" s="83">
        <v>40788670465</v>
      </c>
      <c r="D1727" t="s">
        <v>1650</v>
      </c>
      <c r="E1727">
        <v>55649217935</v>
      </c>
      <c r="F1727">
        <v>636129</v>
      </c>
      <c r="G1727">
        <v>51905587307</v>
      </c>
      <c r="H1727" t="s">
        <v>35</v>
      </c>
      <c r="I1727" s="36">
        <v>5514</v>
      </c>
      <c r="J1727" s="36">
        <v>5514</v>
      </c>
      <c r="K1727" s="85">
        <v>0</v>
      </c>
      <c r="L1727" s="36">
        <v>459.5</v>
      </c>
      <c r="M1727" s="36">
        <v>459.5</v>
      </c>
      <c r="N1727" s="36">
        <v>0</v>
      </c>
      <c r="O1727" s="36">
        <v>0</v>
      </c>
      <c r="P1727" t="s">
        <v>129</v>
      </c>
      <c r="Q1727" t="s">
        <v>91</v>
      </c>
      <c r="R1727" t="s">
        <v>91</v>
      </c>
      <c r="S1727" s="1">
        <v>46072</v>
      </c>
      <c r="T1727" s="1">
        <v>46072</v>
      </c>
      <c r="V1727" s="1">
        <v>46437</v>
      </c>
      <c r="W1727" t="s">
        <v>38</v>
      </c>
      <c r="X1727">
        <v>12</v>
      </c>
      <c r="Y1727" t="s">
        <v>49</v>
      </c>
      <c r="AA1727" t="s">
        <v>92</v>
      </c>
      <c r="AB1727">
        <v>12</v>
      </c>
      <c r="AC1727" t="s">
        <v>93</v>
      </c>
      <c r="AD1727" t="s">
        <v>138</v>
      </c>
      <c r="AE1727" t="s">
        <v>135</v>
      </c>
      <c r="AF1727" t="s">
        <v>119</v>
      </c>
      <c r="AG1727" t="str">
        <f t="shared" si="28"/>
        <v>Recorrente</v>
      </c>
      <c r="AH1727" t="str">
        <f>IF(AND(SUMIF(E:E,E1727,I:I)&gt;=400000,Q1727="B2G"),"n","")</f>
        <v/>
      </c>
    </row>
    <row r="1728" spans="1:34">
      <c r="A1728">
        <v>2026</v>
      </c>
      <c r="B1728">
        <v>2</v>
      </c>
      <c r="C1728" s="83">
        <v>41062502667</v>
      </c>
      <c r="D1728" t="s">
        <v>1651</v>
      </c>
      <c r="E1728">
        <v>56242429783</v>
      </c>
      <c r="F1728">
        <v>636157</v>
      </c>
      <c r="G1728">
        <v>51938919585</v>
      </c>
      <c r="H1728" t="s">
        <v>35</v>
      </c>
      <c r="I1728" s="36">
        <v>2299.1999999999998</v>
      </c>
      <c r="J1728" s="36">
        <v>1137.712941</v>
      </c>
      <c r="K1728" s="85">
        <v>1161.487059</v>
      </c>
      <c r="L1728" s="36">
        <v>94.809411769999997</v>
      </c>
      <c r="M1728" s="36">
        <v>0</v>
      </c>
      <c r="N1728" s="36">
        <v>94.809411769999997</v>
      </c>
      <c r="O1728" s="36">
        <v>0</v>
      </c>
      <c r="P1728" t="s">
        <v>323</v>
      </c>
      <c r="Q1728" t="s">
        <v>191</v>
      </c>
      <c r="R1728" t="s">
        <v>191</v>
      </c>
      <c r="S1728" s="1">
        <v>46072</v>
      </c>
      <c r="T1728" s="1">
        <v>46072</v>
      </c>
      <c r="V1728" s="1">
        <v>46437</v>
      </c>
      <c r="W1728" t="s">
        <v>38</v>
      </c>
      <c r="Y1728" t="s">
        <v>49</v>
      </c>
      <c r="AA1728" t="s">
        <v>122</v>
      </c>
      <c r="AB1728">
        <v>12</v>
      </c>
      <c r="AC1728" t="s">
        <v>192</v>
      </c>
      <c r="AD1728" t="s">
        <v>118</v>
      </c>
      <c r="AE1728" t="s">
        <v>43</v>
      </c>
      <c r="AF1728" t="s">
        <v>119</v>
      </c>
      <c r="AG1728" t="str">
        <f t="shared" si="28"/>
        <v>Recorrente</v>
      </c>
      <c r="AH1728" t="str">
        <f>IF(AND(SUMIF(E:E,E1728,I:I)&gt;=400000,Q1728="B2G"),"n","")</f>
        <v/>
      </c>
    </row>
    <row r="1729" spans="1:34">
      <c r="A1729">
        <v>2026</v>
      </c>
      <c r="B1729">
        <v>2</v>
      </c>
      <c r="C1729" s="83">
        <v>41062502667</v>
      </c>
      <c r="D1729" t="s">
        <v>1651</v>
      </c>
      <c r="E1729">
        <v>56242429783</v>
      </c>
      <c r="F1729">
        <v>636157</v>
      </c>
      <c r="G1729">
        <v>51938919586</v>
      </c>
      <c r="H1729" t="s">
        <v>35</v>
      </c>
      <c r="I1729" s="36">
        <v>2586.6</v>
      </c>
      <c r="J1729" s="36">
        <v>1279.9270590000001</v>
      </c>
      <c r="K1729" s="85">
        <v>1306.672941</v>
      </c>
      <c r="L1729" s="36">
        <v>106.66058820000001</v>
      </c>
      <c r="M1729" s="36">
        <v>0</v>
      </c>
      <c r="N1729" s="36">
        <v>106.66058820000001</v>
      </c>
      <c r="O1729" s="36">
        <v>0</v>
      </c>
      <c r="P1729" t="s">
        <v>323</v>
      </c>
      <c r="Q1729" t="s">
        <v>191</v>
      </c>
      <c r="R1729" t="s">
        <v>191</v>
      </c>
      <c r="S1729" s="1">
        <v>46072</v>
      </c>
      <c r="T1729" s="1">
        <v>46072</v>
      </c>
      <c r="V1729" s="1">
        <v>46437</v>
      </c>
      <c r="W1729" t="s">
        <v>38</v>
      </c>
      <c r="Y1729" t="s">
        <v>49</v>
      </c>
      <c r="AA1729" t="s">
        <v>122</v>
      </c>
      <c r="AB1729">
        <v>12</v>
      </c>
      <c r="AC1729" t="s">
        <v>192</v>
      </c>
      <c r="AD1729" t="s">
        <v>140</v>
      </c>
      <c r="AE1729" t="s">
        <v>46</v>
      </c>
      <c r="AF1729" t="s">
        <v>119</v>
      </c>
      <c r="AG1729" t="str">
        <f t="shared" si="28"/>
        <v>Recorrente</v>
      </c>
      <c r="AH1729" t="str">
        <f>IF(AND(SUMIF(E:E,E1729,I:I)&gt;=400000,Q1729="B2G"),"n","")</f>
        <v/>
      </c>
    </row>
    <row r="1730" spans="1:34">
      <c r="A1730">
        <v>2026</v>
      </c>
      <c r="B1730">
        <v>2</v>
      </c>
      <c r="C1730" s="83">
        <v>41355693187</v>
      </c>
      <c r="D1730" t="s">
        <v>1652</v>
      </c>
      <c r="E1730">
        <v>56014694239</v>
      </c>
      <c r="F1730">
        <v>636070</v>
      </c>
      <c r="G1730">
        <v>51425006437</v>
      </c>
      <c r="H1730" t="s">
        <v>35</v>
      </c>
      <c r="I1730" s="36">
        <v>2586.6</v>
      </c>
      <c r="J1730" s="36">
        <v>2586.6</v>
      </c>
      <c r="K1730" s="85">
        <v>0</v>
      </c>
      <c r="L1730" s="36">
        <v>215.55</v>
      </c>
      <c r="M1730" s="36">
        <v>0</v>
      </c>
      <c r="N1730" s="36">
        <v>215.55</v>
      </c>
      <c r="O1730" s="36">
        <v>0</v>
      </c>
      <c r="P1730" t="s">
        <v>367</v>
      </c>
      <c r="Q1730" t="s">
        <v>191</v>
      </c>
      <c r="R1730" t="s">
        <v>191</v>
      </c>
      <c r="S1730" s="1">
        <v>46065</v>
      </c>
      <c r="T1730" s="1">
        <v>46065</v>
      </c>
      <c r="V1730" s="1">
        <v>46430</v>
      </c>
      <c r="W1730" t="s">
        <v>38</v>
      </c>
      <c r="X1730">
        <v>12</v>
      </c>
      <c r="Y1730" t="s">
        <v>49</v>
      </c>
      <c r="AA1730" t="s">
        <v>117</v>
      </c>
      <c r="AB1730">
        <v>1</v>
      </c>
      <c r="AC1730" t="s">
        <v>192</v>
      </c>
      <c r="AD1730" t="s">
        <v>140</v>
      </c>
      <c r="AE1730" t="s">
        <v>46</v>
      </c>
      <c r="AF1730" t="s">
        <v>119</v>
      </c>
      <c r="AG1730" t="str">
        <f t="shared" si="28"/>
        <v>À Vista</v>
      </c>
      <c r="AH1730" t="str">
        <f>IF(AND(SUMIF(E:E,E1730,I:I)&gt;=400000,Q1730="B2G"),"n","")</f>
        <v/>
      </c>
    </row>
    <row r="1731" spans="1:34">
      <c r="A1731">
        <v>2026</v>
      </c>
      <c r="B1731">
        <v>2</v>
      </c>
      <c r="C1731" s="83">
        <v>42319728261</v>
      </c>
      <c r="D1731" t="s">
        <v>1653</v>
      </c>
      <c r="E1731">
        <v>55964499852</v>
      </c>
      <c r="F1731">
        <v>608639</v>
      </c>
      <c r="G1731">
        <v>51983600498</v>
      </c>
      <c r="H1731" t="s">
        <v>35</v>
      </c>
      <c r="I1731" s="36">
        <v>7794</v>
      </c>
      <c r="J1731" s="36">
        <v>7794</v>
      </c>
      <c r="K1731" s="85">
        <v>0</v>
      </c>
      <c r="L1731" s="36">
        <v>649.5</v>
      </c>
      <c r="M1731" s="36">
        <v>0</v>
      </c>
      <c r="N1731" s="36">
        <v>225.875</v>
      </c>
      <c r="O1731" s="36">
        <v>423.625</v>
      </c>
      <c r="P1731" t="s">
        <v>110</v>
      </c>
      <c r="Q1731" t="s">
        <v>111</v>
      </c>
      <c r="R1731" t="s">
        <v>111</v>
      </c>
      <c r="S1731" s="1">
        <v>46076</v>
      </c>
      <c r="T1731" s="1">
        <v>46076</v>
      </c>
      <c r="U1731" s="1">
        <v>46076</v>
      </c>
      <c r="V1731" s="1">
        <v>46441</v>
      </c>
      <c r="W1731" t="s">
        <v>38</v>
      </c>
      <c r="X1731">
        <v>12</v>
      </c>
      <c r="Y1731" t="s">
        <v>49</v>
      </c>
      <c r="Z1731" t="s">
        <v>76</v>
      </c>
      <c r="AA1731" t="s">
        <v>82</v>
      </c>
      <c r="AB1731">
        <v>1</v>
      </c>
      <c r="AC1731" t="s">
        <v>113</v>
      </c>
      <c r="AD1731" t="s">
        <v>125</v>
      </c>
      <c r="AE1731" t="s">
        <v>43</v>
      </c>
      <c r="AF1731" t="s">
        <v>47</v>
      </c>
      <c r="AG1731" t="str">
        <f t="shared" si="28"/>
        <v>À Vista</v>
      </c>
      <c r="AH1731" t="str">
        <f>IF(AND(SUMIF(E:E,E1731,I:I)&gt;=400000,Q1731="B2G"),"n","")</f>
        <v/>
      </c>
    </row>
    <row r="1732" spans="1:34">
      <c r="A1732">
        <v>2026</v>
      </c>
      <c r="B1732">
        <v>2</v>
      </c>
      <c r="C1732" s="83">
        <v>42319728261</v>
      </c>
      <c r="D1732" t="s">
        <v>1653</v>
      </c>
      <c r="E1732">
        <v>55964499852</v>
      </c>
      <c r="F1732">
        <v>608639</v>
      </c>
      <c r="G1732">
        <v>51983600499</v>
      </c>
      <c r="H1732" t="s">
        <v>35</v>
      </c>
      <c r="I1732" s="36">
        <v>7794</v>
      </c>
      <c r="J1732" s="36">
        <v>7794</v>
      </c>
      <c r="K1732" s="85">
        <v>0</v>
      </c>
      <c r="L1732" s="36">
        <v>649.5</v>
      </c>
      <c r="M1732" s="36">
        <v>0</v>
      </c>
      <c r="N1732" s="36">
        <v>225.875</v>
      </c>
      <c r="O1732" s="36">
        <v>423.625</v>
      </c>
      <c r="P1732" t="s">
        <v>110</v>
      </c>
      <c r="Q1732" t="s">
        <v>111</v>
      </c>
      <c r="R1732" t="s">
        <v>111</v>
      </c>
      <c r="S1732" s="1">
        <v>46076</v>
      </c>
      <c r="T1732" s="1">
        <v>46076</v>
      </c>
      <c r="U1732" s="1">
        <v>46076</v>
      </c>
      <c r="V1732" s="1">
        <v>46441</v>
      </c>
      <c r="W1732" t="s">
        <v>38</v>
      </c>
      <c r="X1732">
        <v>12</v>
      </c>
      <c r="Y1732" t="s">
        <v>49</v>
      </c>
      <c r="Z1732" t="s">
        <v>76</v>
      </c>
      <c r="AA1732" t="s">
        <v>82</v>
      </c>
      <c r="AB1732">
        <v>1</v>
      </c>
      <c r="AC1732" t="s">
        <v>113</v>
      </c>
      <c r="AD1732" t="s">
        <v>125</v>
      </c>
      <c r="AE1732" t="s">
        <v>43</v>
      </c>
      <c r="AF1732" t="s">
        <v>47</v>
      </c>
      <c r="AG1732" t="str">
        <f t="shared" si="28"/>
        <v>À Vista</v>
      </c>
      <c r="AH1732" t="str">
        <f>IF(AND(SUMIF(E:E,E1732,I:I)&gt;=400000,Q1732="B2G"),"n","")</f>
        <v/>
      </c>
    </row>
    <row r="1733" spans="1:34">
      <c r="A1733">
        <v>2026</v>
      </c>
      <c r="B1733">
        <v>2</v>
      </c>
      <c r="C1733" s="83">
        <v>43037796626</v>
      </c>
      <c r="D1733" t="s">
        <v>1654</v>
      </c>
      <c r="E1733">
        <v>45491384341</v>
      </c>
      <c r="F1733">
        <v>635870</v>
      </c>
      <c r="G1733">
        <v>50608149543</v>
      </c>
      <c r="H1733" t="s">
        <v>35</v>
      </c>
      <c r="I1733" s="36">
        <v>32085</v>
      </c>
      <c r="J1733" s="36">
        <v>32085</v>
      </c>
      <c r="K1733" s="85">
        <v>0</v>
      </c>
      <c r="L1733" s="36">
        <v>2673.75</v>
      </c>
      <c r="M1733" s="36">
        <v>2673.75</v>
      </c>
      <c r="N1733" s="36">
        <v>0</v>
      </c>
      <c r="O1733" s="36">
        <v>0</v>
      </c>
      <c r="P1733" t="s">
        <v>72</v>
      </c>
      <c r="Q1733" t="s">
        <v>37</v>
      </c>
      <c r="R1733" t="s">
        <v>37</v>
      </c>
      <c r="S1733" s="1">
        <v>46055</v>
      </c>
      <c r="T1733" s="1">
        <v>46055</v>
      </c>
      <c r="W1733" t="s">
        <v>38</v>
      </c>
      <c r="X1733">
        <v>12</v>
      </c>
      <c r="Y1733" t="s">
        <v>49</v>
      </c>
      <c r="AA1733" t="s">
        <v>40</v>
      </c>
      <c r="AB1733">
        <v>1</v>
      </c>
      <c r="AC1733" t="s">
        <v>41</v>
      </c>
      <c r="AD1733" t="s">
        <v>45</v>
      </c>
      <c r="AE1733" t="s">
        <v>46</v>
      </c>
      <c r="AF1733" t="s">
        <v>47</v>
      </c>
      <c r="AG1733" t="str">
        <f t="shared" si="28"/>
        <v>À Vista</v>
      </c>
      <c r="AH1733" t="str">
        <f>IF(AND(SUMIF(E:E,E1733,I:I)&gt;=400000,Q1733="B2G"),"n","")</f>
        <v/>
      </c>
    </row>
    <row r="1734" spans="1:34">
      <c r="A1734">
        <v>2026</v>
      </c>
      <c r="B1734">
        <v>2</v>
      </c>
      <c r="C1734" s="83">
        <v>43037796626</v>
      </c>
      <c r="D1734" t="s">
        <v>1654</v>
      </c>
      <c r="E1734">
        <v>45491384341</v>
      </c>
      <c r="F1734">
        <v>635870</v>
      </c>
      <c r="G1734">
        <v>50608149546</v>
      </c>
      <c r="H1734" t="s">
        <v>35</v>
      </c>
      <c r="I1734" s="36">
        <v>23196</v>
      </c>
      <c r="J1734" s="36">
        <v>23196</v>
      </c>
      <c r="K1734" s="85">
        <v>0</v>
      </c>
      <c r="L1734" s="36">
        <v>1933</v>
      </c>
      <c r="M1734" s="36">
        <v>1933</v>
      </c>
      <c r="N1734" s="36">
        <v>0</v>
      </c>
      <c r="O1734" s="36">
        <v>0</v>
      </c>
      <c r="P1734" t="s">
        <v>72</v>
      </c>
      <c r="Q1734" t="s">
        <v>37</v>
      </c>
      <c r="R1734" t="s">
        <v>37</v>
      </c>
      <c r="S1734" s="1">
        <v>46055</v>
      </c>
      <c r="T1734" s="1">
        <v>46055</v>
      </c>
      <c r="W1734" t="s">
        <v>38</v>
      </c>
      <c r="X1734">
        <v>12</v>
      </c>
      <c r="Y1734" t="s">
        <v>49</v>
      </c>
      <c r="AA1734" t="s">
        <v>40</v>
      </c>
      <c r="AB1734">
        <v>1</v>
      </c>
      <c r="AC1734" t="s">
        <v>41</v>
      </c>
      <c r="AD1734" t="s">
        <v>48</v>
      </c>
      <c r="AE1734" t="s">
        <v>43</v>
      </c>
      <c r="AF1734" t="s">
        <v>47</v>
      </c>
      <c r="AG1734" t="str">
        <f t="shared" si="28"/>
        <v>À Vista</v>
      </c>
      <c r="AH1734" t="str">
        <f>IF(AND(SUMIF(E:E,E1734,I:I)&gt;=400000,Q1734="B2G"),"n","")</f>
        <v/>
      </c>
    </row>
    <row r="1735" spans="1:34">
      <c r="A1735">
        <v>2026</v>
      </c>
      <c r="B1735">
        <v>2</v>
      </c>
      <c r="C1735" s="83">
        <v>45987647269</v>
      </c>
      <c r="D1735" t="s">
        <v>1655</v>
      </c>
      <c r="E1735">
        <v>52414846314</v>
      </c>
      <c r="F1735">
        <v>525195</v>
      </c>
      <c r="G1735">
        <v>47611641370</v>
      </c>
      <c r="H1735" t="s">
        <v>35</v>
      </c>
      <c r="I1735" s="36">
        <v>5845.44</v>
      </c>
      <c r="J1735" s="36">
        <v>5845.44</v>
      </c>
      <c r="K1735" s="85">
        <v>0</v>
      </c>
      <c r="L1735" s="36">
        <v>487.12</v>
      </c>
      <c r="M1735" s="36">
        <v>0</v>
      </c>
      <c r="N1735" s="36">
        <v>99.045000000000002</v>
      </c>
      <c r="O1735" s="36">
        <v>388.08</v>
      </c>
      <c r="P1735" t="s">
        <v>165</v>
      </c>
      <c r="Q1735" t="s">
        <v>166</v>
      </c>
      <c r="R1735" t="s">
        <v>166</v>
      </c>
      <c r="S1735" s="1">
        <v>46059</v>
      </c>
      <c r="T1735" s="1">
        <v>46059</v>
      </c>
      <c r="U1735" s="1">
        <v>46059</v>
      </c>
      <c r="V1735" s="1">
        <v>46424</v>
      </c>
      <c r="W1735" t="s">
        <v>38</v>
      </c>
      <c r="X1735">
        <v>12</v>
      </c>
      <c r="Y1735" t="s">
        <v>49</v>
      </c>
      <c r="Z1735" t="s">
        <v>81</v>
      </c>
      <c r="AA1735" t="s">
        <v>112</v>
      </c>
      <c r="AB1735">
        <v>1</v>
      </c>
      <c r="AC1735" t="s">
        <v>166</v>
      </c>
      <c r="AD1735" t="s">
        <v>125</v>
      </c>
      <c r="AE1735" t="s">
        <v>43</v>
      </c>
      <c r="AF1735" t="s">
        <v>47</v>
      </c>
      <c r="AG1735" t="str">
        <f t="shared" si="28"/>
        <v>À Vista</v>
      </c>
      <c r="AH1735" t="str">
        <f>IF(AND(SUMIF(E:E,E1735,I:I)&gt;=400000,Q1735="B2G"),"n","")</f>
        <v/>
      </c>
    </row>
    <row r="1736" spans="1:34">
      <c r="A1736">
        <v>2026</v>
      </c>
      <c r="B1736">
        <v>2</v>
      </c>
      <c r="C1736" s="83">
        <v>48380430502</v>
      </c>
      <c r="D1736" t="s">
        <v>1656</v>
      </c>
      <c r="E1736">
        <v>54110299141</v>
      </c>
      <c r="F1736">
        <v>635895</v>
      </c>
      <c r="G1736">
        <v>50764826263</v>
      </c>
      <c r="H1736" t="s">
        <v>35</v>
      </c>
      <c r="I1736" s="36">
        <v>2586.6</v>
      </c>
      <c r="J1736" s="36">
        <v>2586.6</v>
      </c>
      <c r="K1736" s="85">
        <v>0</v>
      </c>
      <c r="L1736" s="36">
        <v>215.55</v>
      </c>
      <c r="M1736" s="36">
        <v>215.55</v>
      </c>
      <c r="N1736" s="36">
        <v>0</v>
      </c>
      <c r="O1736" s="36">
        <v>0</v>
      </c>
      <c r="P1736" t="s">
        <v>511</v>
      </c>
      <c r="Q1736" t="s">
        <v>300</v>
      </c>
      <c r="R1736" t="s">
        <v>300</v>
      </c>
      <c r="S1736" s="1">
        <v>46056</v>
      </c>
      <c r="T1736" s="1">
        <v>46056</v>
      </c>
      <c r="V1736" s="1">
        <v>46421</v>
      </c>
      <c r="W1736" t="s">
        <v>38</v>
      </c>
      <c r="X1736">
        <v>12</v>
      </c>
      <c r="Y1736" t="s">
        <v>49</v>
      </c>
      <c r="AA1736" t="s">
        <v>112</v>
      </c>
      <c r="AB1736">
        <v>12</v>
      </c>
      <c r="AC1736" t="s">
        <v>301</v>
      </c>
      <c r="AD1736" t="s">
        <v>118</v>
      </c>
      <c r="AE1736" t="s">
        <v>43</v>
      </c>
      <c r="AF1736" t="s">
        <v>119</v>
      </c>
      <c r="AG1736" t="str">
        <f t="shared" si="28"/>
        <v>CC 12x</v>
      </c>
      <c r="AH1736" t="str">
        <f>IF(AND(SUMIF(E:E,E1736,I:I)&gt;=400000,Q1736="B2G"),"n","")</f>
        <v/>
      </c>
    </row>
    <row r="1737" spans="1:34">
      <c r="A1737">
        <v>2026</v>
      </c>
      <c r="B1737">
        <v>2</v>
      </c>
      <c r="C1737" s="83">
        <v>48499427746</v>
      </c>
      <c r="D1737" t="s">
        <v>1657</v>
      </c>
      <c r="E1737">
        <v>55029677382</v>
      </c>
      <c r="F1737">
        <v>626047</v>
      </c>
      <c r="G1737">
        <v>50697739338</v>
      </c>
      <c r="H1737" t="s">
        <v>35</v>
      </c>
      <c r="I1737" s="36">
        <v>4099.68</v>
      </c>
      <c r="J1737" s="36">
        <v>4099.68</v>
      </c>
      <c r="K1737" s="85">
        <v>0</v>
      </c>
      <c r="L1737" s="36">
        <v>341.64</v>
      </c>
      <c r="M1737" s="36">
        <v>0</v>
      </c>
      <c r="N1737" s="36">
        <v>198.24379999999999</v>
      </c>
      <c r="O1737" s="36">
        <v>143.4</v>
      </c>
      <c r="P1737" t="s">
        <v>162</v>
      </c>
      <c r="Q1737" t="s">
        <v>111</v>
      </c>
      <c r="R1737" t="s">
        <v>111</v>
      </c>
      <c r="S1737" s="1">
        <v>46057</v>
      </c>
      <c r="T1737" s="1">
        <v>46054</v>
      </c>
      <c r="U1737" s="1">
        <v>46053</v>
      </c>
      <c r="V1737" s="1">
        <v>46418</v>
      </c>
      <c r="W1737" t="s">
        <v>38</v>
      </c>
      <c r="X1737">
        <v>12</v>
      </c>
      <c r="Y1737" t="s">
        <v>49</v>
      </c>
      <c r="Z1737" t="s">
        <v>76</v>
      </c>
      <c r="AA1737" t="s">
        <v>122</v>
      </c>
      <c r="AB1737">
        <v>12</v>
      </c>
      <c r="AC1737" t="s">
        <v>113</v>
      </c>
      <c r="AD1737" t="s">
        <v>85</v>
      </c>
      <c r="AE1737" t="s">
        <v>46</v>
      </c>
      <c r="AF1737" t="s">
        <v>44</v>
      </c>
      <c r="AG1737" t="str">
        <f t="shared" si="28"/>
        <v>Recorrente</v>
      </c>
      <c r="AH1737" t="str">
        <f>IF(AND(SUMIF(E:E,E1737,I:I)&gt;=400000,Q1737="B2G"),"n","")</f>
        <v/>
      </c>
    </row>
    <row r="1738" spans="1:34">
      <c r="A1738">
        <v>2026</v>
      </c>
      <c r="B1738">
        <v>2</v>
      </c>
      <c r="C1738" s="83">
        <v>48556341146</v>
      </c>
      <c r="D1738" t="s">
        <v>1658</v>
      </c>
      <c r="E1738">
        <v>53338039608</v>
      </c>
      <c r="F1738">
        <v>636062</v>
      </c>
      <c r="G1738">
        <v>51425091912</v>
      </c>
      <c r="H1738" t="s">
        <v>35</v>
      </c>
      <c r="I1738" s="36">
        <v>5436</v>
      </c>
      <c r="J1738" s="36">
        <v>5436</v>
      </c>
      <c r="K1738" s="85">
        <v>0</v>
      </c>
      <c r="L1738" s="36">
        <v>453</v>
      </c>
      <c r="M1738" s="36">
        <v>453</v>
      </c>
      <c r="N1738" s="36">
        <v>0</v>
      </c>
      <c r="O1738" s="36">
        <v>0</v>
      </c>
      <c r="P1738" t="s">
        <v>1243</v>
      </c>
      <c r="Q1738" t="s">
        <v>37</v>
      </c>
      <c r="R1738" t="s">
        <v>37</v>
      </c>
      <c r="S1738" s="1">
        <v>46065</v>
      </c>
      <c r="T1738" s="1">
        <v>46065</v>
      </c>
      <c r="V1738" s="1">
        <v>46430</v>
      </c>
      <c r="W1738" t="s">
        <v>38</v>
      </c>
      <c r="X1738">
        <v>12</v>
      </c>
      <c r="Y1738" t="s">
        <v>49</v>
      </c>
      <c r="AA1738" t="s">
        <v>40</v>
      </c>
      <c r="AB1738">
        <v>1</v>
      </c>
      <c r="AC1738" t="s">
        <v>41</v>
      </c>
      <c r="AD1738" t="s">
        <v>54</v>
      </c>
      <c r="AE1738" t="s">
        <v>46</v>
      </c>
      <c r="AF1738" t="s">
        <v>44</v>
      </c>
      <c r="AG1738" t="str">
        <f t="shared" si="28"/>
        <v>À Vista</v>
      </c>
      <c r="AH1738" t="str">
        <f>IF(AND(SUMIF(E:E,E1738,I:I)&gt;=400000,Q1738="B2G"),"n","")</f>
        <v/>
      </c>
    </row>
    <row r="1739" spans="1:34">
      <c r="A1739">
        <v>2026</v>
      </c>
      <c r="B1739">
        <v>2</v>
      </c>
      <c r="C1739" s="83">
        <v>48556341146</v>
      </c>
      <c r="D1739" t="s">
        <v>1658</v>
      </c>
      <c r="E1739">
        <v>53338039608</v>
      </c>
      <c r="F1739">
        <v>636062</v>
      </c>
      <c r="G1739">
        <v>51425091913</v>
      </c>
      <c r="H1739" t="s">
        <v>35</v>
      </c>
      <c r="I1739" s="36">
        <v>4644</v>
      </c>
      <c r="J1739" s="36">
        <v>4644</v>
      </c>
      <c r="K1739" s="85">
        <v>0</v>
      </c>
      <c r="L1739" s="36">
        <v>387</v>
      </c>
      <c r="M1739" s="36">
        <v>387</v>
      </c>
      <c r="N1739" s="36">
        <v>0</v>
      </c>
      <c r="O1739" s="36">
        <v>0</v>
      </c>
      <c r="P1739" t="s">
        <v>1243</v>
      </c>
      <c r="Q1739" t="s">
        <v>37</v>
      </c>
      <c r="R1739" t="s">
        <v>37</v>
      </c>
      <c r="S1739" s="1">
        <v>46065</v>
      </c>
      <c r="T1739" s="1">
        <v>46065</v>
      </c>
      <c r="V1739" s="1">
        <v>46430</v>
      </c>
      <c r="W1739" t="s">
        <v>38</v>
      </c>
      <c r="X1739">
        <v>12</v>
      </c>
      <c r="Y1739" t="s">
        <v>49</v>
      </c>
      <c r="AA1739" t="s">
        <v>40</v>
      </c>
      <c r="AB1739">
        <v>1</v>
      </c>
      <c r="AC1739" t="s">
        <v>41</v>
      </c>
      <c r="AD1739" t="s">
        <v>53</v>
      </c>
      <c r="AE1739" t="s">
        <v>43</v>
      </c>
      <c r="AF1739" t="s">
        <v>44</v>
      </c>
      <c r="AG1739" t="str">
        <f t="shared" si="28"/>
        <v>À Vista</v>
      </c>
      <c r="AH1739" t="str">
        <f>IF(AND(SUMIF(E:E,E1739,I:I)&gt;=400000,Q1739="B2G"),"n","")</f>
        <v/>
      </c>
    </row>
    <row r="1740" spans="1:34">
      <c r="A1740">
        <v>2026</v>
      </c>
      <c r="B1740">
        <v>2</v>
      </c>
      <c r="C1740" s="83">
        <v>48666096479</v>
      </c>
      <c r="D1740" t="s">
        <v>1659</v>
      </c>
      <c r="E1740">
        <v>45357938788</v>
      </c>
      <c r="F1740">
        <v>531040</v>
      </c>
      <c r="G1740">
        <v>52245323095</v>
      </c>
      <c r="H1740" t="s">
        <v>35</v>
      </c>
      <c r="I1740" s="36">
        <v>36018</v>
      </c>
      <c r="J1740" s="36">
        <v>12006</v>
      </c>
      <c r="K1740" s="85">
        <v>24012</v>
      </c>
      <c r="L1740" s="36">
        <v>1000.5</v>
      </c>
      <c r="M1740" s="36">
        <v>0</v>
      </c>
      <c r="N1740" s="36">
        <v>594.875</v>
      </c>
      <c r="O1740" s="36">
        <v>405.625</v>
      </c>
      <c r="P1740" t="s">
        <v>1243</v>
      </c>
      <c r="Q1740" t="s">
        <v>37</v>
      </c>
      <c r="R1740" t="s">
        <v>37</v>
      </c>
      <c r="S1740" s="1">
        <v>46078</v>
      </c>
      <c r="T1740" s="1">
        <v>46078</v>
      </c>
      <c r="U1740" s="1">
        <v>46117</v>
      </c>
      <c r="V1740" s="1">
        <v>47213</v>
      </c>
      <c r="W1740" t="s">
        <v>102</v>
      </c>
      <c r="X1740">
        <v>36</v>
      </c>
      <c r="Y1740" t="s">
        <v>49</v>
      </c>
      <c r="Z1740" t="s">
        <v>76</v>
      </c>
      <c r="AA1740" t="s">
        <v>40</v>
      </c>
      <c r="AB1740">
        <v>1</v>
      </c>
      <c r="AC1740" t="s">
        <v>41</v>
      </c>
      <c r="AD1740" t="s">
        <v>54</v>
      </c>
      <c r="AE1740" t="s">
        <v>46</v>
      </c>
      <c r="AF1740" t="s">
        <v>44</v>
      </c>
      <c r="AG1740" t="str">
        <f t="shared" si="28"/>
        <v>À Vista</v>
      </c>
      <c r="AH1740" t="str">
        <f>IF(AND(SUMIF(E:E,E1740,I:I)&gt;=400000,Q1740="B2G"),"n","")</f>
        <v/>
      </c>
    </row>
    <row r="1741" spans="1:34">
      <c r="A1741">
        <v>2026</v>
      </c>
      <c r="B1741">
        <v>2</v>
      </c>
      <c r="C1741" s="83">
        <v>48666096479</v>
      </c>
      <c r="D1741" t="s">
        <v>1659</v>
      </c>
      <c r="E1741">
        <v>45357938788</v>
      </c>
      <c r="F1741">
        <v>531040</v>
      </c>
      <c r="G1741">
        <v>52245323096</v>
      </c>
      <c r="H1741" t="s">
        <v>35</v>
      </c>
      <c r="I1741" s="36">
        <v>36018</v>
      </c>
      <c r="J1741" s="36">
        <v>12006</v>
      </c>
      <c r="K1741" s="85">
        <v>24012</v>
      </c>
      <c r="L1741" s="36">
        <v>1000.5</v>
      </c>
      <c r="M1741" s="36">
        <v>0</v>
      </c>
      <c r="N1741" s="36">
        <v>594.875</v>
      </c>
      <c r="O1741" s="36">
        <v>405.625</v>
      </c>
      <c r="P1741" t="s">
        <v>1243</v>
      </c>
      <c r="Q1741" t="s">
        <v>37</v>
      </c>
      <c r="R1741" t="s">
        <v>37</v>
      </c>
      <c r="S1741" s="1">
        <v>46078</v>
      </c>
      <c r="T1741" s="1">
        <v>46078</v>
      </c>
      <c r="U1741" s="1">
        <v>46117</v>
      </c>
      <c r="V1741" s="1">
        <v>47213</v>
      </c>
      <c r="W1741" t="s">
        <v>102</v>
      </c>
      <c r="X1741">
        <v>36</v>
      </c>
      <c r="Y1741" t="s">
        <v>49</v>
      </c>
      <c r="Z1741" t="s">
        <v>76</v>
      </c>
      <c r="AA1741" t="s">
        <v>40</v>
      </c>
      <c r="AB1741">
        <v>1</v>
      </c>
      <c r="AC1741" t="s">
        <v>41</v>
      </c>
      <c r="AD1741" t="s">
        <v>53</v>
      </c>
      <c r="AE1741" t="s">
        <v>43</v>
      </c>
      <c r="AF1741" t="s">
        <v>44</v>
      </c>
      <c r="AG1741" t="str">
        <f t="shared" si="28"/>
        <v>À Vista</v>
      </c>
      <c r="AH1741" t="str">
        <f>IF(AND(SUMIF(E:E,E1741,I:I)&gt;=400000,Q1741="B2G"),"n","")</f>
        <v/>
      </c>
    </row>
    <row r="1742" spans="1:34">
      <c r="A1742">
        <v>2026</v>
      </c>
      <c r="B1742">
        <v>2</v>
      </c>
      <c r="C1742" s="83">
        <v>48949017503</v>
      </c>
      <c r="D1742" t="s">
        <v>1660</v>
      </c>
      <c r="E1742">
        <v>54055949239</v>
      </c>
      <c r="F1742">
        <v>636309</v>
      </c>
      <c r="G1742">
        <v>52438472726</v>
      </c>
      <c r="H1742" t="s">
        <v>35</v>
      </c>
      <c r="I1742" s="36">
        <v>16788</v>
      </c>
      <c r="J1742" s="36">
        <v>16788</v>
      </c>
      <c r="K1742" s="85">
        <v>0</v>
      </c>
      <c r="L1742" s="36">
        <v>1399</v>
      </c>
      <c r="M1742" s="36">
        <v>1399</v>
      </c>
      <c r="N1742" s="36">
        <v>0</v>
      </c>
      <c r="O1742" s="36">
        <v>0</v>
      </c>
      <c r="P1742" t="s">
        <v>90</v>
      </c>
      <c r="Q1742" t="s">
        <v>91</v>
      </c>
      <c r="R1742" t="s">
        <v>91</v>
      </c>
      <c r="S1742" s="1">
        <v>46080</v>
      </c>
      <c r="T1742" s="1">
        <v>46080</v>
      </c>
      <c r="V1742" s="1">
        <v>46445</v>
      </c>
      <c r="W1742" t="s">
        <v>38</v>
      </c>
      <c r="X1742">
        <v>12</v>
      </c>
      <c r="Y1742" t="s">
        <v>49</v>
      </c>
      <c r="AA1742" t="s">
        <v>92</v>
      </c>
      <c r="AB1742">
        <v>12</v>
      </c>
      <c r="AC1742" t="s">
        <v>93</v>
      </c>
      <c r="AD1742" t="s">
        <v>94</v>
      </c>
      <c r="AE1742" t="s">
        <v>95</v>
      </c>
      <c r="AF1742" t="s">
        <v>96</v>
      </c>
      <c r="AG1742" t="str">
        <f t="shared" si="28"/>
        <v>Recorrente</v>
      </c>
      <c r="AH1742" t="str">
        <f>IF(AND(SUMIF(E:E,E1742,I:I)&gt;=400000,Q1742="B2G"),"n","")</f>
        <v/>
      </c>
    </row>
    <row r="1743" spans="1:34">
      <c r="A1743">
        <v>2026</v>
      </c>
      <c r="B1743">
        <v>2</v>
      </c>
      <c r="C1743" s="83">
        <v>48949565184</v>
      </c>
      <c r="D1743" t="s">
        <v>1661</v>
      </c>
      <c r="E1743">
        <v>54206162334</v>
      </c>
      <c r="F1743">
        <v>635965</v>
      </c>
      <c r="G1743">
        <v>50925810357</v>
      </c>
      <c r="H1743" t="s">
        <v>35</v>
      </c>
      <c r="I1743" s="36">
        <v>2759.04</v>
      </c>
      <c r="J1743" s="36">
        <v>2759.04</v>
      </c>
      <c r="K1743" s="85">
        <v>0</v>
      </c>
      <c r="L1743" s="36">
        <v>229.92</v>
      </c>
      <c r="M1743" s="36">
        <v>229.92</v>
      </c>
      <c r="N1743" s="36">
        <v>0</v>
      </c>
      <c r="O1743" s="36">
        <v>0</v>
      </c>
      <c r="P1743" t="s">
        <v>829</v>
      </c>
      <c r="Q1743" t="s">
        <v>300</v>
      </c>
      <c r="R1743" t="s">
        <v>300</v>
      </c>
      <c r="S1743" s="1">
        <v>46058</v>
      </c>
      <c r="T1743" s="1">
        <v>46058</v>
      </c>
      <c r="V1743" s="1">
        <v>46424</v>
      </c>
      <c r="W1743" t="s">
        <v>38</v>
      </c>
      <c r="X1743">
        <v>12</v>
      </c>
      <c r="Y1743" t="s">
        <v>49</v>
      </c>
      <c r="AA1743" t="s">
        <v>112</v>
      </c>
      <c r="AB1743">
        <v>12</v>
      </c>
      <c r="AC1743" t="s">
        <v>301</v>
      </c>
      <c r="AD1743" t="s">
        <v>118</v>
      </c>
      <c r="AE1743" t="s">
        <v>43</v>
      </c>
      <c r="AF1743" t="s">
        <v>119</v>
      </c>
      <c r="AG1743" t="str">
        <f t="shared" si="28"/>
        <v>CC 12x</v>
      </c>
      <c r="AH1743" t="str">
        <f>IF(AND(SUMIF(E:E,E1743,I:I)&gt;=400000,Q1743="B2G"),"n","")</f>
        <v/>
      </c>
    </row>
    <row r="1744" spans="1:34">
      <c r="A1744">
        <v>2026</v>
      </c>
      <c r="B1744">
        <v>2</v>
      </c>
      <c r="C1744" s="83">
        <v>49121593975</v>
      </c>
      <c r="D1744" t="s">
        <v>1662</v>
      </c>
      <c r="E1744">
        <v>51521220971</v>
      </c>
      <c r="F1744">
        <v>625850</v>
      </c>
      <c r="G1744">
        <v>49268600490</v>
      </c>
      <c r="H1744" t="s">
        <v>35</v>
      </c>
      <c r="I1744" s="36">
        <v>4380</v>
      </c>
      <c r="J1744" s="36">
        <v>4380</v>
      </c>
      <c r="K1744" s="85">
        <v>0</v>
      </c>
      <c r="L1744" s="36">
        <v>365</v>
      </c>
      <c r="M1744" s="36">
        <v>0</v>
      </c>
      <c r="N1744" s="36">
        <v>22.697690000000001</v>
      </c>
      <c r="O1744" s="36">
        <v>342.3</v>
      </c>
      <c r="P1744" t="s">
        <v>110</v>
      </c>
      <c r="Q1744" t="s">
        <v>111</v>
      </c>
      <c r="R1744" t="s">
        <v>111</v>
      </c>
      <c r="S1744" s="1">
        <v>46037</v>
      </c>
      <c r="T1744" s="1">
        <v>46054</v>
      </c>
      <c r="U1744" s="1">
        <v>46046</v>
      </c>
      <c r="V1744" s="1">
        <v>46411</v>
      </c>
      <c r="W1744" t="s">
        <v>38</v>
      </c>
      <c r="X1744">
        <v>12</v>
      </c>
      <c r="Y1744" t="s">
        <v>49</v>
      </c>
      <c r="Z1744" t="s">
        <v>81</v>
      </c>
      <c r="AA1744" t="s">
        <v>112</v>
      </c>
      <c r="AB1744">
        <v>12</v>
      </c>
      <c r="AC1744" t="s">
        <v>113</v>
      </c>
      <c r="AD1744" t="s">
        <v>163</v>
      </c>
      <c r="AE1744" t="s">
        <v>43</v>
      </c>
      <c r="AF1744" t="s">
        <v>96</v>
      </c>
      <c r="AG1744" t="str">
        <f t="shared" si="28"/>
        <v>CC 12x</v>
      </c>
      <c r="AH1744" t="str">
        <f>IF(AND(SUMIF(E:E,E1744,I:I)&gt;=400000,Q1744="B2G"),"n","")</f>
        <v/>
      </c>
    </row>
    <row r="1745" spans="1:34">
      <c r="A1745">
        <v>2026</v>
      </c>
      <c r="B1745">
        <v>2</v>
      </c>
      <c r="C1745" s="83">
        <v>49203759181</v>
      </c>
      <c r="D1745" t="s">
        <v>1663</v>
      </c>
      <c r="E1745">
        <v>54210915244</v>
      </c>
      <c r="F1745">
        <v>635987</v>
      </c>
      <c r="G1745">
        <v>50986604032</v>
      </c>
      <c r="H1745" t="s">
        <v>35</v>
      </c>
      <c r="I1745" s="36">
        <v>2730.24</v>
      </c>
      <c r="J1745" s="36">
        <v>2730.3</v>
      </c>
      <c r="K1745" s="85">
        <v>0</v>
      </c>
      <c r="L1745" s="36">
        <v>227.52500000000001</v>
      </c>
      <c r="M1745" s="36">
        <v>227.52500000000001</v>
      </c>
      <c r="N1745" s="36">
        <v>0</v>
      </c>
      <c r="O1745" s="36">
        <v>0</v>
      </c>
      <c r="P1745" t="s">
        <v>129</v>
      </c>
      <c r="Q1745" t="s">
        <v>91</v>
      </c>
      <c r="R1745" t="s">
        <v>91</v>
      </c>
      <c r="S1745" s="1">
        <v>46060</v>
      </c>
      <c r="T1745" s="1">
        <v>46060</v>
      </c>
      <c r="V1745" s="1">
        <v>46425</v>
      </c>
      <c r="W1745" t="s">
        <v>38</v>
      </c>
      <c r="X1745">
        <v>12</v>
      </c>
      <c r="Y1745" t="s">
        <v>49</v>
      </c>
      <c r="AA1745" t="s">
        <v>112</v>
      </c>
      <c r="AB1745">
        <v>12</v>
      </c>
      <c r="AC1745" t="s">
        <v>93</v>
      </c>
      <c r="AD1745" t="s">
        <v>118</v>
      </c>
      <c r="AE1745" t="s">
        <v>43</v>
      </c>
      <c r="AF1745" t="s">
        <v>119</v>
      </c>
      <c r="AG1745" t="str">
        <f t="shared" si="28"/>
        <v>CC 12x</v>
      </c>
      <c r="AH1745" t="str">
        <f>IF(AND(SUMIF(E:E,E1745,I:I)&gt;=400000,Q1745="B2G"),"n","")</f>
        <v/>
      </c>
    </row>
    <row r="1746" spans="1:34">
      <c r="A1746">
        <v>2026</v>
      </c>
      <c r="B1746">
        <v>2</v>
      </c>
      <c r="C1746" s="83">
        <v>49203759181</v>
      </c>
      <c r="D1746" t="s">
        <v>1663</v>
      </c>
      <c r="E1746">
        <v>56565380203</v>
      </c>
      <c r="F1746">
        <v>635987</v>
      </c>
      <c r="G1746">
        <v>52251364021</v>
      </c>
      <c r="H1746" t="s">
        <v>35</v>
      </c>
      <c r="I1746" s="36">
        <v>2451.48</v>
      </c>
      <c r="J1746" s="36">
        <v>2580.6</v>
      </c>
      <c r="K1746" s="85">
        <v>0</v>
      </c>
      <c r="L1746" s="36">
        <v>215.05</v>
      </c>
      <c r="M1746" s="36">
        <v>0</v>
      </c>
      <c r="N1746" s="36">
        <v>215.05</v>
      </c>
      <c r="O1746" s="36">
        <v>0</v>
      </c>
      <c r="P1746" t="s">
        <v>190</v>
      </c>
      <c r="Q1746" t="s">
        <v>191</v>
      </c>
      <c r="R1746" t="s">
        <v>191</v>
      </c>
      <c r="S1746" s="1">
        <v>46079</v>
      </c>
      <c r="T1746" s="1">
        <v>46079</v>
      </c>
      <c r="U1746" s="1">
        <v>46425</v>
      </c>
      <c r="V1746" s="1">
        <v>46425</v>
      </c>
      <c r="W1746" t="s">
        <v>38</v>
      </c>
      <c r="X1746">
        <v>12</v>
      </c>
      <c r="Y1746" t="s">
        <v>49</v>
      </c>
      <c r="Z1746" t="s">
        <v>324</v>
      </c>
      <c r="AA1746" t="s">
        <v>112</v>
      </c>
      <c r="AB1746">
        <v>12</v>
      </c>
      <c r="AC1746" t="s">
        <v>192</v>
      </c>
      <c r="AD1746" t="s">
        <v>140</v>
      </c>
      <c r="AE1746" t="s">
        <v>46</v>
      </c>
      <c r="AF1746" t="s">
        <v>119</v>
      </c>
      <c r="AG1746" t="str">
        <f t="shared" si="28"/>
        <v>CC 12x</v>
      </c>
      <c r="AH1746" t="str">
        <f>IF(AND(SUMIF(E:E,E1746,I:I)&gt;=400000,Q1746="B2G"),"n","")</f>
        <v/>
      </c>
    </row>
    <row r="1747" spans="1:34">
      <c r="A1747">
        <v>2026</v>
      </c>
      <c r="B1747">
        <v>2</v>
      </c>
      <c r="C1747" s="83">
        <v>49203772554</v>
      </c>
      <c r="D1747" t="s">
        <v>1664</v>
      </c>
      <c r="E1747">
        <v>54210186362</v>
      </c>
      <c r="F1747">
        <v>636307</v>
      </c>
      <c r="G1747">
        <v>52402050154</v>
      </c>
      <c r="H1747" t="s">
        <v>35</v>
      </c>
      <c r="I1747" s="36">
        <v>2874</v>
      </c>
      <c r="J1747" s="36">
        <v>2874</v>
      </c>
      <c r="K1747" s="85">
        <v>0</v>
      </c>
      <c r="L1747" s="36">
        <v>239.5</v>
      </c>
      <c r="M1747" s="36">
        <v>239.5</v>
      </c>
      <c r="N1747" s="36">
        <v>0</v>
      </c>
      <c r="O1747" s="36">
        <v>0</v>
      </c>
      <c r="P1747" t="s">
        <v>129</v>
      </c>
      <c r="Q1747" t="s">
        <v>91</v>
      </c>
      <c r="R1747" t="s">
        <v>91</v>
      </c>
      <c r="S1747" s="1">
        <v>46080</v>
      </c>
      <c r="T1747" s="1">
        <v>46080</v>
      </c>
      <c r="V1747" s="1">
        <v>46445</v>
      </c>
      <c r="W1747" t="s">
        <v>38</v>
      </c>
      <c r="X1747">
        <v>12</v>
      </c>
      <c r="Y1747" t="s">
        <v>49</v>
      </c>
      <c r="AA1747" t="s">
        <v>92</v>
      </c>
      <c r="AB1747">
        <v>12</v>
      </c>
      <c r="AC1747" t="s">
        <v>93</v>
      </c>
      <c r="AD1747" t="s">
        <v>140</v>
      </c>
      <c r="AE1747" t="s">
        <v>46</v>
      </c>
      <c r="AF1747" t="s">
        <v>119</v>
      </c>
      <c r="AG1747" t="str">
        <f t="shared" si="28"/>
        <v>Recorrente</v>
      </c>
      <c r="AH1747" t="str">
        <f>IF(AND(SUMIF(E:E,E1747,I:I)&gt;=400000,Q1747="B2G"),"n","")</f>
        <v/>
      </c>
    </row>
    <row r="1748" spans="1:34">
      <c r="A1748">
        <v>2026</v>
      </c>
      <c r="B1748">
        <v>2</v>
      </c>
      <c r="C1748" s="83">
        <v>49241285956</v>
      </c>
      <c r="D1748" t="s">
        <v>1665</v>
      </c>
      <c r="E1748">
        <v>53412527783</v>
      </c>
      <c r="F1748">
        <v>636191</v>
      </c>
      <c r="G1748">
        <v>51983555915</v>
      </c>
      <c r="H1748" t="s">
        <v>35</v>
      </c>
      <c r="I1748" s="36">
        <v>2586.6</v>
      </c>
      <c r="J1748" s="36">
        <v>2586.6</v>
      </c>
      <c r="K1748" s="85">
        <v>0</v>
      </c>
      <c r="L1748" s="36">
        <v>215.55</v>
      </c>
      <c r="M1748" s="36">
        <v>215.55</v>
      </c>
      <c r="N1748" s="36">
        <v>0</v>
      </c>
      <c r="O1748" s="36">
        <v>0</v>
      </c>
      <c r="P1748" t="s">
        <v>361</v>
      </c>
      <c r="Q1748" t="s">
        <v>91</v>
      </c>
      <c r="R1748" t="s">
        <v>91</v>
      </c>
      <c r="S1748" s="1">
        <v>46074</v>
      </c>
      <c r="T1748" s="1">
        <v>46074</v>
      </c>
      <c r="V1748" s="1">
        <v>46439</v>
      </c>
      <c r="W1748" t="s">
        <v>38</v>
      </c>
      <c r="X1748">
        <v>12</v>
      </c>
      <c r="Y1748" t="s">
        <v>49</v>
      </c>
      <c r="AA1748" t="s">
        <v>117</v>
      </c>
      <c r="AB1748">
        <v>1</v>
      </c>
      <c r="AC1748" t="s">
        <v>93</v>
      </c>
      <c r="AD1748" t="s">
        <v>140</v>
      </c>
      <c r="AE1748" t="s">
        <v>46</v>
      </c>
      <c r="AF1748" t="s">
        <v>119</v>
      </c>
      <c r="AG1748" t="str">
        <f t="shared" si="28"/>
        <v>À Vista</v>
      </c>
      <c r="AH1748" t="str">
        <f>IF(AND(SUMIF(E:E,E1748,I:I)&gt;=400000,Q1748="B2G"),"n","")</f>
        <v/>
      </c>
    </row>
    <row r="1749" spans="1:34">
      <c r="A1749">
        <v>2026</v>
      </c>
      <c r="B1749">
        <v>2</v>
      </c>
      <c r="C1749" s="83">
        <v>49318463900</v>
      </c>
      <c r="D1749" t="s">
        <v>1666</v>
      </c>
      <c r="E1749">
        <v>54309139129</v>
      </c>
      <c r="F1749">
        <v>636247</v>
      </c>
      <c r="G1749">
        <v>52153648815</v>
      </c>
      <c r="H1749" t="s">
        <v>35</v>
      </c>
      <c r="I1749" s="36">
        <v>13230</v>
      </c>
      <c r="J1749" s="36">
        <v>13230</v>
      </c>
      <c r="K1749" s="85">
        <v>0</v>
      </c>
      <c r="L1749" s="36">
        <v>1102.5</v>
      </c>
      <c r="M1749" s="36">
        <v>1102.5</v>
      </c>
      <c r="N1749" s="36">
        <v>0</v>
      </c>
      <c r="O1749" s="36">
        <v>0</v>
      </c>
      <c r="P1749" t="s">
        <v>313</v>
      </c>
      <c r="Q1749" t="s">
        <v>314</v>
      </c>
      <c r="R1749" t="s">
        <v>314</v>
      </c>
      <c r="S1749" s="1">
        <v>46078</v>
      </c>
      <c r="T1749" s="1">
        <v>46078</v>
      </c>
      <c r="V1749" s="1">
        <v>46443</v>
      </c>
      <c r="W1749" t="s">
        <v>38</v>
      </c>
      <c r="X1749">
        <v>12</v>
      </c>
      <c r="Y1749" t="s">
        <v>49</v>
      </c>
      <c r="AA1749" t="s">
        <v>117</v>
      </c>
      <c r="AB1749">
        <v>1</v>
      </c>
      <c r="AC1749" t="s">
        <v>315</v>
      </c>
      <c r="AD1749" t="s">
        <v>149</v>
      </c>
      <c r="AE1749" t="s">
        <v>43</v>
      </c>
      <c r="AF1749" t="s">
        <v>96</v>
      </c>
      <c r="AG1749" t="str">
        <f t="shared" si="28"/>
        <v>À Vista</v>
      </c>
      <c r="AH1749" t="str">
        <f>IF(AND(SUMIF(E:E,E1749,I:I)&gt;=400000,Q1749="B2G"),"n","")</f>
        <v/>
      </c>
    </row>
    <row r="1750" spans="1:34">
      <c r="A1750">
        <v>2026</v>
      </c>
      <c r="B1750">
        <v>2</v>
      </c>
      <c r="C1750" s="83">
        <v>49535512591</v>
      </c>
      <c r="D1750" t="s">
        <v>1667</v>
      </c>
      <c r="E1750">
        <v>54391243103</v>
      </c>
      <c r="F1750">
        <v>636273</v>
      </c>
      <c r="G1750">
        <v>52357244234</v>
      </c>
      <c r="H1750" t="s">
        <v>35</v>
      </c>
      <c r="I1750" s="36">
        <v>4644</v>
      </c>
      <c r="J1750" s="36">
        <v>4644</v>
      </c>
      <c r="K1750" s="85">
        <v>0</v>
      </c>
      <c r="L1750" s="36">
        <v>387</v>
      </c>
      <c r="M1750" s="36">
        <v>387</v>
      </c>
      <c r="N1750" s="36">
        <v>0</v>
      </c>
      <c r="O1750" s="36">
        <v>0</v>
      </c>
      <c r="P1750" t="s">
        <v>75</v>
      </c>
      <c r="Q1750" t="s">
        <v>37</v>
      </c>
      <c r="R1750" t="s">
        <v>37</v>
      </c>
      <c r="S1750" s="1">
        <v>46079</v>
      </c>
      <c r="T1750" s="1">
        <v>46079</v>
      </c>
      <c r="V1750" s="1">
        <v>46444</v>
      </c>
      <c r="W1750" t="s">
        <v>38</v>
      </c>
      <c r="X1750">
        <v>12</v>
      </c>
      <c r="Y1750" t="s">
        <v>49</v>
      </c>
      <c r="AA1750" t="s">
        <v>40</v>
      </c>
      <c r="AB1750">
        <v>1</v>
      </c>
      <c r="AC1750" t="s">
        <v>41</v>
      </c>
      <c r="AD1750" t="s">
        <v>53</v>
      </c>
      <c r="AE1750" t="s">
        <v>43</v>
      </c>
      <c r="AF1750" t="s">
        <v>44</v>
      </c>
      <c r="AG1750" t="str">
        <f t="shared" si="28"/>
        <v>À Vista</v>
      </c>
      <c r="AH1750" t="str">
        <f>IF(AND(SUMIF(E:E,E1750,I:I)&gt;=400000,Q1750="B2G"),"n","")</f>
        <v/>
      </c>
    </row>
    <row r="1751" spans="1:34">
      <c r="A1751">
        <v>2026</v>
      </c>
      <c r="B1751">
        <v>2</v>
      </c>
      <c r="C1751" s="83">
        <v>49535512591</v>
      </c>
      <c r="D1751" t="s">
        <v>1667</v>
      </c>
      <c r="E1751">
        <v>54391243103</v>
      </c>
      <c r="F1751">
        <v>636273</v>
      </c>
      <c r="G1751">
        <v>52357244235</v>
      </c>
      <c r="H1751" t="s">
        <v>35</v>
      </c>
      <c r="I1751" s="36">
        <v>5436</v>
      </c>
      <c r="J1751" s="36">
        <v>5436</v>
      </c>
      <c r="K1751" s="85">
        <v>0</v>
      </c>
      <c r="L1751" s="36">
        <v>453</v>
      </c>
      <c r="M1751" s="36">
        <v>453</v>
      </c>
      <c r="N1751" s="36">
        <v>0</v>
      </c>
      <c r="O1751" s="36">
        <v>0</v>
      </c>
      <c r="P1751" t="s">
        <v>75</v>
      </c>
      <c r="Q1751" t="s">
        <v>37</v>
      </c>
      <c r="R1751" t="s">
        <v>37</v>
      </c>
      <c r="S1751" s="1">
        <v>46079</v>
      </c>
      <c r="T1751" s="1">
        <v>46079</v>
      </c>
      <c r="V1751" s="1">
        <v>46444</v>
      </c>
      <c r="W1751" t="s">
        <v>38</v>
      </c>
      <c r="X1751">
        <v>12</v>
      </c>
      <c r="Y1751" t="s">
        <v>49</v>
      </c>
      <c r="AA1751" t="s">
        <v>40</v>
      </c>
      <c r="AB1751">
        <v>1</v>
      </c>
      <c r="AC1751" t="s">
        <v>41</v>
      </c>
      <c r="AD1751" t="s">
        <v>54</v>
      </c>
      <c r="AE1751" t="s">
        <v>46</v>
      </c>
      <c r="AF1751" t="s">
        <v>44</v>
      </c>
      <c r="AG1751" t="str">
        <f t="shared" si="28"/>
        <v>À Vista</v>
      </c>
      <c r="AH1751" t="str">
        <f>IF(AND(SUMIF(E:E,E1751,I:I)&gt;=400000,Q1751="B2G"),"n","")</f>
        <v/>
      </c>
    </row>
    <row r="1752" spans="1:34">
      <c r="A1752">
        <v>2026</v>
      </c>
      <c r="B1752">
        <v>2</v>
      </c>
      <c r="C1752" s="83">
        <v>49740840263</v>
      </c>
      <c r="D1752" t="s">
        <v>1668</v>
      </c>
      <c r="E1752">
        <v>54625984925</v>
      </c>
      <c r="F1752">
        <v>636324</v>
      </c>
      <c r="G1752">
        <v>52438482458</v>
      </c>
      <c r="H1752" t="s">
        <v>35</v>
      </c>
      <c r="I1752" s="36">
        <v>15600</v>
      </c>
      <c r="J1752" s="36">
        <v>15600</v>
      </c>
      <c r="K1752" s="85">
        <v>0</v>
      </c>
      <c r="L1752" s="36">
        <v>1300</v>
      </c>
      <c r="M1752" s="36">
        <v>1300</v>
      </c>
      <c r="N1752" s="36">
        <v>0</v>
      </c>
      <c r="O1752" s="36">
        <v>0</v>
      </c>
      <c r="P1752" t="s">
        <v>668</v>
      </c>
      <c r="Q1752" t="s">
        <v>91</v>
      </c>
      <c r="R1752" t="s">
        <v>91</v>
      </c>
      <c r="S1752" s="1">
        <v>46080</v>
      </c>
      <c r="T1752" s="1">
        <v>46080</v>
      </c>
      <c r="V1752" s="1">
        <v>46445</v>
      </c>
      <c r="W1752" t="s">
        <v>38</v>
      </c>
      <c r="X1752">
        <v>12</v>
      </c>
      <c r="Y1752" t="s">
        <v>49</v>
      </c>
      <c r="AA1752" t="s">
        <v>92</v>
      </c>
      <c r="AB1752">
        <v>12</v>
      </c>
      <c r="AC1752" t="s">
        <v>93</v>
      </c>
      <c r="AD1752" t="s">
        <v>94</v>
      </c>
      <c r="AE1752" t="s">
        <v>95</v>
      </c>
      <c r="AF1752" t="s">
        <v>96</v>
      </c>
      <c r="AG1752" t="str">
        <f t="shared" si="28"/>
        <v>Recorrente</v>
      </c>
      <c r="AH1752" t="str">
        <f>IF(AND(SUMIF(E:E,E1752,I:I)&gt;=400000,Q1752="B2G"),"n","")</f>
        <v/>
      </c>
    </row>
    <row r="1753" spans="1:34">
      <c r="A1753">
        <v>2026</v>
      </c>
      <c r="B1753">
        <v>2</v>
      </c>
      <c r="C1753" s="83">
        <v>49740976448</v>
      </c>
      <c r="D1753" t="s">
        <v>1669</v>
      </c>
      <c r="E1753">
        <v>54974704307</v>
      </c>
      <c r="F1753">
        <v>636293</v>
      </c>
      <c r="G1753">
        <v>52401602897</v>
      </c>
      <c r="H1753" t="s">
        <v>35</v>
      </c>
      <c r="I1753" s="36">
        <v>2586.6</v>
      </c>
      <c r="J1753" s="36">
        <v>2586.6</v>
      </c>
      <c r="K1753" s="85">
        <v>0</v>
      </c>
      <c r="L1753" s="36">
        <v>215.55</v>
      </c>
      <c r="M1753" s="36">
        <v>215.55</v>
      </c>
      <c r="N1753" s="36">
        <v>0</v>
      </c>
      <c r="O1753" s="36">
        <v>0</v>
      </c>
      <c r="P1753" t="s">
        <v>348</v>
      </c>
      <c r="Q1753" t="s">
        <v>349</v>
      </c>
      <c r="R1753" t="s">
        <v>349</v>
      </c>
      <c r="S1753" s="1">
        <v>46080</v>
      </c>
      <c r="T1753" s="1">
        <v>46080</v>
      </c>
      <c r="V1753" s="1">
        <v>46445</v>
      </c>
      <c r="W1753" t="s">
        <v>38</v>
      </c>
      <c r="X1753">
        <v>12</v>
      </c>
      <c r="Y1753" t="s">
        <v>49</v>
      </c>
      <c r="AA1753" t="s">
        <v>117</v>
      </c>
      <c r="AB1753">
        <v>1</v>
      </c>
      <c r="AC1753" t="s">
        <v>350</v>
      </c>
      <c r="AD1753" t="s">
        <v>118</v>
      </c>
      <c r="AE1753" t="s">
        <v>43</v>
      </c>
      <c r="AF1753" t="s">
        <v>119</v>
      </c>
      <c r="AG1753" t="str">
        <f t="shared" si="28"/>
        <v>À Vista</v>
      </c>
      <c r="AH1753" t="str">
        <f>IF(AND(SUMIF(E:E,E1753,I:I)&gt;=400000,Q1753="B2G"),"n","")</f>
        <v/>
      </c>
    </row>
    <row r="1754" spans="1:34">
      <c r="A1754">
        <v>2026</v>
      </c>
      <c r="B1754">
        <v>2</v>
      </c>
      <c r="C1754" s="83">
        <v>49869169549</v>
      </c>
      <c r="D1754" t="s">
        <v>1670</v>
      </c>
      <c r="E1754">
        <v>54799907187</v>
      </c>
      <c r="F1754">
        <v>636219</v>
      </c>
      <c r="G1754">
        <v>52153648211</v>
      </c>
      <c r="H1754" t="s">
        <v>35</v>
      </c>
      <c r="I1754" s="36">
        <v>8634.6</v>
      </c>
      <c r="J1754" s="36">
        <v>8634.6</v>
      </c>
      <c r="K1754" s="85">
        <v>0</v>
      </c>
      <c r="L1754" s="36">
        <v>719.55</v>
      </c>
      <c r="M1754" s="36">
        <v>719.55</v>
      </c>
      <c r="N1754" s="36">
        <v>0</v>
      </c>
      <c r="O1754" s="36">
        <v>0</v>
      </c>
      <c r="P1754" t="s">
        <v>129</v>
      </c>
      <c r="Q1754" t="s">
        <v>91</v>
      </c>
      <c r="R1754" t="s">
        <v>91</v>
      </c>
      <c r="S1754" s="1">
        <v>46076</v>
      </c>
      <c r="T1754" s="1">
        <v>46076</v>
      </c>
      <c r="V1754" s="1">
        <v>46441</v>
      </c>
      <c r="W1754" t="s">
        <v>38</v>
      </c>
      <c r="X1754">
        <v>12</v>
      </c>
      <c r="Y1754" t="s">
        <v>49</v>
      </c>
      <c r="AA1754" t="s">
        <v>112</v>
      </c>
      <c r="AB1754">
        <v>12</v>
      </c>
      <c r="AC1754" t="s">
        <v>93</v>
      </c>
      <c r="AD1754" t="s">
        <v>131</v>
      </c>
      <c r="AE1754" t="s">
        <v>46</v>
      </c>
      <c r="AF1754" t="s">
        <v>96</v>
      </c>
      <c r="AG1754" t="str">
        <f t="shared" si="28"/>
        <v>CC 12x</v>
      </c>
      <c r="AH1754" t="str">
        <f>IF(AND(SUMIF(E:E,E1754,I:I)&gt;=400000,Q1754="B2G"),"n","")</f>
        <v/>
      </c>
    </row>
    <row r="1755" spans="1:34">
      <c r="A1755">
        <v>2026</v>
      </c>
      <c r="B1755">
        <v>2</v>
      </c>
      <c r="C1755" s="83">
        <v>50239212065</v>
      </c>
      <c r="D1755" t="s">
        <v>1671</v>
      </c>
      <c r="E1755">
        <v>55101977499</v>
      </c>
      <c r="F1755">
        <v>635884</v>
      </c>
      <c r="G1755">
        <v>50425098803</v>
      </c>
      <c r="H1755" t="s">
        <v>35</v>
      </c>
      <c r="I1755" s="36">
        <v>3585.12</v>
      </c>
      <c r="J1755" s="36">
        <v>3585.12</v>
      </c>
      <c r="K1755" s="85">
        <v>0</v>
      </c>
      <c r="L1755" s="36">
        <v>298.76</v>
      </c>
      <c r="M1755" s="36">
        <v>298.76</v>
      </c>
      <c r="N1755" s="36">
        <v>0</v>
      </c>
      <c r="O1755" s="36">
        <v>0</v>
      </c>
      <c r="P1755" t="s">
        <v>506</v>
      </c>
      <c r="Q1755" t="s">
        <v>300</v>
      </c>
      <c r="R1755" t="s">
        <v>300</v>
      </c>
      <c r="S1755" s="1">
        <v>46056</v>
      </c>
      <c r="T1755" s="1">
        <v>46056</v>
      </c>
      <c r="U1755" s="1"/>
      <c r="V1755" s="1">
        <v>46421</v>
      </c>
      <c r="W1755" t="s">
        <v>38</v>
      </c>
      <c r="X1755">
        <v>12</v>
      </c>
      <c r="Y1755" t="s">
        <v>49</v>
      </c>
      <c r="AA1755" t="s">
        <v>112</v>
      </c>
      <c r="AB1755">
        <v>12</v>
      </c>
      <c r="AC1755" t="s">
        <v>301</v>
      </c>
      <c r="AD1755" t="s">
        <v>114</v>
      </c>
      <c r="AE1755" t="s">
        <v>43</v>
      </c>
      <c r="AF1755" t="s">
        <v>44</v>
      </c>
      <c r="AG1755" t="str">
        <f t="shared" si="28"/>
        <v>CC 12x</v>
      </c>
      <c r="AH1755" t="str">
        <f>IF(AND(SUMIF(E:E,E1755,I:I)&gt;=400000,Q1755="B2G"),"n","")</f>
        <v/>
      </c>
    </row>
    <row r="1756" spans="1:34">
      <c r="A1756">
        <v>2026</v>
      </c>
      <c r="B1756">
        <v>2</v>
      </c>
      <c r="C1756" s="83">
        <v>50328169642</v>
      </c>
      <c r="D1756" t="s">
        <v>1672</v>
      </c>
      <c r="E1756">
        <v>55410075921</v>
      </c>
      <c r="F1756">
        <v>635890</v>
      </c>
      <c r="G1756">
        <v>50518371447</v>
      </c>
      <c r="H1756" t="s">
        <v>35</v>
      </c>
      <c r="I1756" s="36">
        <v>8231.52</v>
      </c>
      <c r="J1756" s="36">
        <v>8231.52</v>
      </c>
      <c r="K1756" s="85">
        <v>0</v>
      </c>
      <c r="L1756" s="36">
        <v>685.96</v>
      </c>
      <c r="M1756" s="36">
        <v>0</v>
      </c>
      <c r="N1756" s="36">
        <v>113.21</v>
      </c>
      <c r="O1756" s="36">
        <v>572.75</v>
      </c>
      <c r="P1756" t="s">
        <v>323</v>
      </c>
      <c r="Q1756" t="s">
        <v>191</v>
      </c>
      <c r="R1756" t="s">
        <v>191</v>
      </c>
      <c r="S1756" s="1">
        <v>46056</v>
      </c>
      <c r="T1756" s="1">
        <v>46056</v>
      </c>
      <c r="V1756" s="1">
        <v>46421</v>
      </c>
      <c r="W1756" t="s">
        <v>38</v>
      </c>
      <c r="Y1756" t="s">
        <v>49</v>
      </c>
      <c r="AA1756" t="s">
        <v>122</v>
      </c>
      <c r="AB1756">
        <v>12</v>
      </c>
      <c r="AC1756" t="s">
        <v>192</v>
      </c>
      <c r="AD1756" t="s">
        <v>134</v>
      </c>
      <c r="AE1756" t="s">
        <v>135</v>
      </c>
      <c r="AF1756" t="s">
        <v>44</v>
      </c>
      <c r="AG1756" t="str">
        <f t="shared" si="28"/>
        <v>Recorrente</v>
      </c>
      <c r="AH1756" t="str">
        <f>IF(AND(SUMIF(E:E,E1756,I:I)&gt;=400000,Q1756="B2G"),"n","")</f>
        <v/>
      </c>
    </row>
    <row r="1757" spans="1:34">
      <c r="A1757">
        <v>2026</v>
      </c>
      <c r="B1757">
        <v>2</v>
      </c>
      <c r="C1757" s="83">
        <v>50330420283</v>
      </c>
      <c r="D1757" t="s">
        <v>1673</v>
      </c>
      <c r="E1757">
        <v>55329108300</v>
      </c>
      <c r="F1757">
        <v>635887</v>
      </c>
      <c r="G1757">
        <v>50735772741</v>
      </c>
      <c r="H1757" t="s">
        <v>35</v>
      </c>
      <c r="I1757" s="36">
        <v>3055.44</v>
      </c>
      <c r="J1757" s="36">
        <v>1095.5741250000001</v>
      </c>
      <c r="K1757" s="85">
        <v>1959.865875</v>
      </c>
      <c r="L1757" s="36">
        <v>91.29784377</v>
      </c>
      <c r="M1757" s="36">
        <v>0</v>
      </c>
      <c r="N1757" s="36">
        <v>91.29784377</v>
      </c>
      <c r="O1757" s="36">
        <v>0</v>
      </c>
      <c r="P1757" t="s">
        <v>323</v>
      </c>
      <c r="Q1757" t="s">
        <v>191</v>
      </c>
      <c r="R1757" t="s">
        <v>191</v>
      </c>
      <c r="S1757" s="1">
        <v>46056</v>
      </c>
      <c r="T1757" s="1">
        <v>46056</v>
      </c>
      <c r="V1757" s="1">
        <v>46421</v>
      </c>
      <c r="W1757" t="s">
        <v>38</v>
      </c>
      <c r="Y1757" t="s">
        <v>49</v>
      </c>
      <c r="AA1757" t="s">
        <v>92</v>
      </c>
      <c r="AB1757">
        <v>12</v>
      </c>
      <c r="AC1757" t="s">
        <v>192</v>
      </c>
      <c r="AD1757" t="s">
        <v>114</v>
      </c>
      <c r="AE1757" t="s">
        <v>43</v>
      </c>
      <c r="AF1757" t="s">
        <v>44</v>
      </c>
      <c r="AG1757" t="str">
        <f t="shared" si="28"/>
        <v>Recorrente</v>
      </c>
      <c r="AH1757" t="str">
        <f>IF(AND(SUMIF(E:E,E1757,I:I)&gt;=400000,Q1757="B2G"),"n","")</f>
        <v/>
      </c>
    </row>
    <row r="1758" spans="1:34">
      <c r="A1758">
        <v>2026</v>
      </c>
      <c r="B1758">
        <v>2</v>
      </c>
      <c r="C1758" s="83">
        <v>50330420283</v>
      </c>
      <c r="D1758" t="s">
        <v>1673</v>
      </c>
      <c r="E1758">
        <v>55329108300</v>
      </c>
      <c r="F1758">
        <v>635887</v>
      </c>
      <c r="G1758">
        <v>50735772742</v>
      </c>
      <c r="H1758" t="s">
        <v>35</v>
      </c>
      <c r="I1758" s="36">
        <v>5466.24</v>
      </c>
      <c r="J1758" s="36">
        <v>1959.9858750000001</v>
      </c>
      <c r="K1758" s="85">
        <v>3506.2541249999999</v>
      </c>
      <c r="L1758" s="36">
        <v>163.33215619999999</v>
      </c>
      <c r="M1758" s="36">
        <v>0</v>
      </c>
      <c r="N1758" s="36">
        <v>163.33215619999999</v>
      </c>
      <c r="O1758" s="36">
        <v>0</v>
      </c>
      <c r="P1758" t="s">
        <v>323</v>
      </c>
      <c r="Q1758" t="s">
        <v>191</v>
      </c>
      <c r="R1758" t="s">
        <v>191</v>
      </c>
      <c r="S1758" s="1">
        <v>46056</v>
      </c>
      <c r="T1758" s="1">
        <v>46056</v>
      </c>
      <c r="V1758" s="1">
        <v>46421</v>
      </c>
      <c r="W1758" t="s">
        <v>38</v>
      </c>
      <c r="Y1758" t="s">
        <v>49</v>
      </c>
      <c r="AA1758" t="s">
        <v>92</v>
      </c>
      <c r="AB1758">
        <v>12</v>
      </c>
      <c r="AC1758" t="s">
        <v>192</v>
      </c>
      <c r="AD1758" t="s">
        <v>85</v>
      </c>
      <c r="AE1758" t="s">
        <v>46</v>
      </c>
      <c r="AF1758" t="s">
        <v>44</v>
      </c>
      <c r="AG1758" t="str">
        <f t="shared" si="28"/>
        <v>Recorrente</v>
      </c>
      <c r="AH1758" t="str">
        <f>IF(AND(SUMIF(E:E,E1758,I:I)&gt;=400000,Q1758="B2G"),"n","")</f>
        <v/>
      </c>
    </row>
    <row r="1759" spans="1:34">
      <c r="A1759">
        <v>2026</v>
      </c>
      <c r="B1759">
        <v>2</v>
      </c>
      <c r="C1759" s="83">
        <v>50330422132</v>
      </c>
      <c r="D1759" t="s">
        <v>1674</v>
      </c>
      <c r="E1759">
        <v>55450937244</v>
      </c>
      <c r="F1759">
        <v>635941</v>
      </c>
      <c r="G1759">
        <v>50735779913</v>
      </c>
      <c r="H1759" t="s">
        <v>35</v>
      </c>
      <c r="I1759" s="36">
        <v>4320.72</v>
      </c>
      <c r="J1759" s="36">
        <v>426.72</v>
      </c>
      <c r="K1759" s="85">
        <v>3894</v>
      </c>
      <c r="L1759" s="36">
        <v>35.56</v>
      </c>
      <c r="M1759" s="36">
        <v>0</v>
      </c>
      <c r="N1759" s="36">
        <v>35.56</v>
      </c>
      <c r="O1759" s="36">
        <v>0</v>
      </c>
      <c r="P1759" t="s">
        <v>367</v>
      </c>
      <c r="Q1759" t="s">
        <v>191</v>
      </c>
      <c r="R1759" t="s">
        <v>191</v>
      </c>
      <c r="S1759" s="1">
        <v>46058</v>
      </c>
      <c r="T1759" s="1">
        <v>46058</v>
      </c>
      <c r="V1759" s="1">
        <v>46423</v>
      </c>
      <c r="W1759" t="s">
        <v>38</v>
      </c>
      <c r="Y1759" t="s">
        <v>49</v>
      </c>
      <c r="AA1759" t="s">
        <v>117</v>
      </c>
      <c r="AB1759">
        <v>1</v>
      </c>
      <c r="AC1759" t="s">
        <v>192</v>
      </c>
      <c r="AD1759" t="s">
        <v>174</v>
      </c>
      <c r="AE1759" t="s">
        <v>43</v>
      </c>
      <c r="AF1759" t="s">
        <v>47</v>
      </c>
      <c r="AG1759" t="str">
        <f t="shared" si="28"/>
        <v>À Vista</v>
      </c>
      <c r="AH1759" t="str">
        <f>IF(AND(SUMIF(E:E,E1759,I:I)&gt;=400000,Q1759="B2G"),"n","")</f>
        <v/>
      </c>
    </row>
    <row r="1760" spans="1:34">
      <c r="A1760">
        <v>2026</v>
      </c>
      <c r="B1760">
        <v>2</v>
      </c>
      <c r="C1760" s="83">
        <v>50471142716</v>
      </c>
      <c r="D1760" t="s">
        <v>1675</v>
      </c>
      <c r="E1760">
        <v>55486414085</v>
      </c>
      <c r="F1760">
        <v>636128</v>
      </c>
      <c r="G1760">
        <v>51905561743</v>
      </c>
      <c r="H1760" t="s">
        <v>35</v>
      </c>
      <c r="I1760" s="36">
        <v>5238.24</v>
      </c>
      <c r="J1760" s="36">
        <v>5238.3</v>
      </c>
      <c r="K1760" s="85">
        <v>0</v>
      </c>
      <c r="L1760" s="36">
        <v>436.52499999999998</v>
      </c>
      <c r="M1760" s="36">
        <v>436.52499999999998</v>
      </c>
      <c r="N1760" s="36">
        <v>0</v>
      </c>
      <c r="O1760" s="36">
        <v>0</v>
      </c>
      <c r="P1760" t="s">
        <v>129</v>
      </c>
      <c r="Q1760" t="s">
        <v>91</v>
      </c>
      <c r="R1760" t="s">
        <v>91</v>
      </c>
      <c r="S1760" s="1">
        <v>46072</v>
      </c>
      <c r="T1760" s="1">
        <v>46072</v>
      </c>
      <c r="V1760" s="1">
        <v>46437</v>
      </c>
      <c r="W1760" t="s">
        <v>38</v>
      </c>
      <c r="X1760">
        <v>12</v>
      </c>
      <c r="Y1760" t="s">
        <v>49</v>
      </c>
      <c r="AA1760" t="s">
        <v>112</v>
      </c>
      <c r="AB1760">
        <v>12</v>
      </c>
      <c r="AC1760" t="s">
        <v>93</v>
      </c>
      <c r="AD1760" t="s">
        <v>138</v>
      </c>
      <c r="AE1760" t="s">
        <v>135</v>
      </c>
      <c r="AF1760" t="s">
        <v>119</v>
      </c>
      <c r="AG1760" t="str">
        <f t="shared" si="28"/>
        <v>CC 12x</v>
      </c>
      <c r="AH1760" t="str">
        <f>IF(AND(SUMIF(E:E,E1760,I:I)&gt;=400000,Q1760="B2G"),"n","")</f>
        <v/>
      </c>
    </row>
    <row r="1761" spans="1:34">
      <c r="A1761">
        <v>2026</v>
      </c>
      <c r="B1761">
        <v>2</v>
      </c>
      <c r="C1761" s="83">
        <v>50517796233</v>
      </c>
      <c r="D1761" t="s">
        <v>1676</v>
      </c>
      <c r="E1761">
        <v>55351832605</v>
      </c>
      <c r="F1761">
        <v>635994</v>
      </c>
      <c r="G1761">
        <v>51100708214</v>
      </c>
      <c r="H1761" t="s">
        <v>35</v>
      </c>
      <c r="I1761" s="36">
        <v>5754</v>
      </c>
      <c r="J1761" s="36">
        <v>5754</v>
      </c>
      <c r="K1761" s="85">
        <v>0</v>
      </c>
      <c r="L1761" s="36">
        <v>479.5</v>
      </c>
      <c r="M1761" s="36">
        <v>479.5</v>
      </c>
      <c r="N1761" s="36">
        <v>0</v>
      </c>
      <c r="O1761" s="36">
        <v>0</v>
      </c>
      <c r="P1761" t="s">
        <v>1210</v>
      </c>
      <c r="Q1761" t="s">
        <v>91</v>
      </c>
      <c r="R1761" t="s">
        <v>91</v>
      </c>
      <c r="S1761" s="1">
        <v>46062</v>
      </c>
      <c r="T1761" s="1">
        <v>46062</v>
      </c>
      <c r="V1761" s="1">
        <v>46427</v>
      </c>
      <c r="W1761" t="s">
        <v>38</v>
      </c>
      <c r="X1761">
        <v>12</v>
      </c>
      <c r="Y1761" t="s">
        <v>49</v>
      </c>
      <c r="AA1761" t="s">
        <v>92</v>
      </c>
      <c r="AB1761">
        <v>12</v>
      </c>
      <c r="AC1761" t="s">
        <v>93</v>
      </c>
      <c r="AD1761" t="s">
        <v>85</v>
      </c>
      <c r="AE1761" t="s">
        <v>46</v>
      </c>
      <c r="AF1761" t="s">
        <v>44</v>
      </c>
      <c r="AG1761" t="str">
        <f t="shared" si="28"/>
        <v>Recorrente</v>
      </c>
      <c r="AH1761" t="str">
        <f>IF(AND(SUMIF(E:E,E1761,I:I)&gt;=400000,Q1761="B2G"),"n","")</f>
        <v/>
      </c>
    </row>
    <row r="1762" spans="1:34">
      <c r="A1762">
        <v>2026</v>
      </c>
      <c r="B1762">
        <v>2</v>
      </c>
      <c r="C1762" s="83">
        <v>50517800574</v>
      </c>
      <c r="D1762" t="s">
        <v>1677</v>
      </c>
      <c r="E1762">
        <v>55429635129</v>
      </c>
      <c r="F1762">
        <v>635914</v>
      </c>
      <c r="G1762">
        <v>50773343331</v>
      </c>
      <c r="H1762" t="s">
        <v>35</v>
      </c>
      <c r="I1762" s="36">
        <v>5293.44</v>
      </c>
      <c r="J1762" s="36">
        <v>5293.44</v>
      </c>
      <c r="K1762" s="85">
        <v>0</v>
      </c>
      <c r="L1762" s="36">
        <v>441.12</v>
      </c>
      <c r="M1762" s="36">
        <v>441.12</v>
      </c>
      <c r="N1762" s="36">
        <v>0</v>
      </c>
      <c r="O1762" s="36">
        <v>0</v>
      </c>
      <c r="P1762" t="s">
        <v>511</v>
      </c>
      <c r="Q1762" t="s">
        <v>300</v>
      </c>
      <c r="R1762" t="s">
        <v>300</v>
      </c>
      <c r="S1762" s="1">
        <v>46056</v>
      </c>
      <c r="T1762" s="1">
        <v>46056</v>
      </c>
      <c r="V1762" s="1">
        <v>46421</v>
      </c>
      <c r="W1762" t="s">
        <v>38</v>
      </c>
      <c r="X1762">
        <v>12</v>
      </c>
      <c r="Y1762" t="s">
        <v>49</v>
      </c>
      <c r="AA1762" t="s">
        <v>112</v>
      </c>
      <c r="AB1762">
        <v>12</v>
      </c>
      <c r="AC1762" t="s">
        <v>301</v>
      </c>
      <c r="AD1762" t="s">
        <v>138</v>
      </c>
      <c r="AE1762" t="s">
        <v>135</v>
      </c>
      <c r="AF1762" t="s">
        <v>119</v>
      </c>
      <c r="AG1762" t="str">
        <f t="shared" si="28"/>
        <v>CC 12x</v>
      </c>
      <c r="AH1762" t="str">
        <f>IF(AND(SUMIF(E:E,E1762,I:I)&gt;=400000,Q1762="B2G"),"n","")</f>
        <v/>
      </c>
    </row>
    <row r="1763" spans="1:34">
      <c r="A1763">
        <v>2026</v>
      </c>
      <c r="B1763">
        <v>2</v>
      </c>
      <c r="C1763" s="83">
        <v>50524259334</v>
      </c>
      <c r="D1763" t="s">
        <v>1678</v>
      </c>
      <c r="E1763">
        <v>55071970720</v>
      </c>
      <c r="F1763">
        <v>635880</v>
      </c>
      <c r="G1763">
        <v>50608158816</v>
      </c>
      <c r="H1763" t="s">
        <v>35</v>
      </c>
      <c r="I1763" s="36">
        <v>3926.52</v>
      </c>
      <c r="J1763" s="36">
        <v>3926.52</v>
      </c>
      <c r="K1763" s="85">
        <v>0</v>
      </c>
      <c r="L1763" s="36">
        <v>327.20999999999998</v>
      </c>
      <c r="M1763" s="36">
        <v>327.20999999999998</v>
      </c>
      <c r="N1763" s="36">
        <v>0</v>
      </c>
      <c r="O1763" s="36">
        <v>0</v>
      </c>
      <c r="P1763" t="s">
        <v>506</v>
      </c>
      <c r="Q1763" t="s">
        <v>300</v>
      </c>
      <c r="R1763" t="s">
        <v>300</v>
      </c>
      <c r="S1763" s="1">
        <v>46055</v>
      </c>
      <c r="T1763" s="1">
        <v>46055</v>
      </c>
      <c r="V1763" s="1">
        <v>46420</v>
      </c>
      <c r="W1763" t="s">
        <v>38</v>
      </c>
      <c r="X1763">
        <v>12</v>
      </c>
      <c r="Y1763" t="s">
        <v>49</v>
      </c>
      <c r="AA1763" t="s">
        <v>117</v>
      </c>
      <c r="AB1763">
        <v>1</v>
      </c>
      <c r="AC1763" t="s">
        <v>301</v>
      </c>
      <c r="AD1763" t="s">
        <v>84</v>
      </c>
      <c r="AE1763" t="s">
        <v>43</v>
      </c>
      <c r="AF1763" t="s">
        <v>44</v>
      </c>
      <c r="AG1763" t="str">
        <f t="shared" si="28"/>
        <v>À Vista</v>
      </c>
      <c r="AH1763" t="str">
        <f>IF(AND(SUMIF(E:E,E1763,I:I)&gt;=400000,Q1763="B2G"),"n","")</f>
        <v/>
      </c>
    </row>
    <row r="1764" spans="1:34">
      <c r="A1764">
        <v>2026</v>
      </c>
      <c r="B1764">
        <v>2</v>
      </c>
      <c r="C1764" s="83">
        <v>50566779576</v>
      </c>
      <c r="D1764" t="s">
        <v>1679</v>
      </c>
      <c r="E1764">
        <v>55351837739</v>
      </c>
      <c r="F1764">
        <v>635943</v>
      </c>
      <c r="G1764">
        <v>50879753257</v>
      </c>
      <c r="H1764" t="s">
        <v>35</v>
      </c>
      <c r="I1764" s="36">
        <v>5034</v>
      </c>
      <c r="J1764" s="36">
        <v>5034</v>
      </c>
      <c r="K1764" s="85">
        <v>0</v>
      </c>
      <c r="L1764" s="36">
        <v>419.5</v>
      </c>
      <c r="M1764" s="36">
        <v>419.5</v>
      </c>
      <c r="N1764" s="36">
        <v>0</v>
      </c>
      <c r="O1764" s="36">
        <v>0</v>
      </c>
      <c r="P1764" t="s">
        <v>129</v>
      </c>
      <c r="Q1764" t="s">
        <v>91</v>
      </c>
      <c r="R1764" t="s">
        <v>91</v>
      </c>
      <c r="S1764" s="1">
        <v>46058</v>
      </c>
      <c r="T1764" s="1">
        <v>46058</v>
      </c>
      <c r="V1764" s="1">
        <v>46423</v>
      </c>
      <c r="W1764" t="s">
        <v>38</v>
      </c>
      <c r="X1764">
        <v>12</v>
      </c>
      <c r="Y1764" t="s">
        <v>49</v>
      </c>
      <c r="AA1764" t="s">
        <v>122</v>
      </c>
      <c r="AB1764">
        <v>12</v>
      </c>
      <c r="AC1764" t="s">
        <v>93</v>
      </c>
      <c r="AD1764" t="s">
        <v>84</v>
      </c>
      <c r="AE1764" t="s">
        <v>43</v>
      </c>
      <c r="AF1764" t="s">
        <v>44</v>
      </c>
      <c r="AG1764" t="str">
        <f t="shared" si="28"/>
        <v>Recorrente</v>
      </c>
      <c r="AH1764" t="str">
        <f>IF(AND(SUMIF(E:E,E1764,I:I)&gt;=400000,Q1764="B2G"),"n","")</f>
        <v/>
      </c>
    </row>
    <row r="1765" spans="1:34">
      <c r="A1765">
        <v>2026</v>
      </c>
      <c r="B1765">
        <v>2</v>
      </c>
      <c r="C1765" s="83">
        <v>50593169695</v>
      </c>
      <c r="D1765" t="s">
        <v>1680</v>
      </c>
      <c r="E1765">
        <v>55477689719</v>
      </c>
      <c r="F1765">
        <v>635934</v>
      </c>
      <c r="G1765">
        <v>50867915357</v>
      </c>
      <c r="H1765" t="s">
        <v>35</v>
      </c>
      <c r="I1765" s="36">
        <v>3834</v>
      </c>
      <c r="J1765" s="36">
        <v>3834</v>
      </c>
      <c r="K1765" s="85">
        <v>0</v>
      </c>
      <c r="L1765" s="36">
        <v>319.5</v>
      </c>
      <c r="M1765" s="36">
        <v>319.5</v>
      </c>
      <c r="N1765" s="36">
        <v>0</v>
      </c>
      <c r="O1765" s="36">
        <v>0</v>
      </c>
      <c r="P1765" t="s">
        <v>348</v>
      </c>
      <c r="Q1765" t="s">
        <v>349</v>
      </c>
      <c r="R1765" t="s">
        <v>349</v>
      </c>
      <c r="S1765" s="1">
        <v>46057</v>
      </c>
      <c r="T1765" s="1">
        <v>46057</v>
      </c>
      <c r="V1765" s="1">
        <v>46422</v>
      </c>
      <c r="W1765" t="s">
        <v>38</v>
      </c>
      <c r="X1765">
        <v>12</v>
      </c>
      <c r="Y1765" t="s">
        <v>49</v>
      </c>
      <c r="AA1765" t="s">
        <v>112</v>
      </c>
      <c r="AB1765">
        <v>12</v>
      </c>
      <c r="AC1765" t="s">
        <v>350</v>
      </c>
      <c r="AD1765" t="s">
        <v>142</v>
      </c>
      <c r="AE1765" t="s">
        <v>95</v>
      </c>
      <c r="AF1765" t="s">
        <v>44</v>
      </c>
      <c r="AG1765" t="str">
        <f t="shared" si="28"/>
        <v>CC 12x</v>
      </c>
      <c r="AH1765" t="str">
        <f>IF(AND(SUMIF(E:E,E1765,I:I)&gt;=400000,Q1765="B2G"),"n","")</f>
        <v/>
      </c>
    </row>
    <row r="1766" spans="1:34">
      <c r="A1766">
        <v>2026</v>
      </c>
      <c r="B1766">
        <v>2</v>
      </c>
      <c r="C1766" s="83">
        <v>50593220614</v>
      </c>
      <c r="D1766" t="s">
        <v>1681</v>
      </c>
      <c r="E1766">
        <v>55489194088</v>
      </c>
      <c r="F1766">
        <v>635938</v>
      </c>
      <c r="G1766">
        <v>50925774598</v>
      </c>
      <c r="H1766" t="s">
        <v>35</v>
      </c>
      <c r="I1766" s="36">
        <v>2500.3200000000002</v>
      </c>
      <c r="J1766" s="36">
        <v>2500.38</v>
      </c>
      <c r="K1766" s="85">
        <v>0</v>
      </c>
      <c r="L1766" s="36">
        <v>208.36500000000001</v>
      </c>
      <c r="M1766" s="36">
        <v>208.36500000000001</v>
      </c>
      <c r="N1766" s="36">
        <v>0</v>
      </c>
      <c r="O1766" s="36">
        <v>0</v>
      </c>
      <c r="P1766" t="s">
        <v>129</v>
      </c>
      <c r="Q1766" t="s">
        <v>91</v>
      </c>
      <c r="R1766" t="s">
        <v>91</v>
      </c>
      <c r="S1766" s="1">
        <v>46058</v>
      </c>
      <c r="T1766" s="1">
        <v>46058</v>
      </c>
      <c r="V1766" s="1">
        <v>46423</v>
      </c>
      <c r="W1766" t="s">
        <v>38</v>
      </c>
      <c r="X1766">
        <v>12</v>
      </c>
      <c r="Y1766" t="s">
        <v>49</v>
      </c>
      <c r="AA1766" t="s">
        <v>117</v>
      </c>
      <c r="AB1766">
        <v>1</v>
      </c>
      <c r="AC1766" t="s">
        <v>93</v>
      </c>
      <c r="AD1766" t="s">
        <v>140</v>
      </c>
      <c r="AE1766" t="s">
        <v>46</v>
      </c>
      <c r="AF1766" t="s">
        <v>119</v>
      </c>
      <c r="AG1766" t="str">
        <f t="shared" si="28"/>
        <v>À Vista</v>
      </c>
      <c r="AH1766" t="str">
        <f>IF(AND(SUMIF(E:E,E1766,I:I)&gt;=400000,Q1766="B2G"),"n","")</f>
        <v/>
      </c>
    </row>
    <row r="1767" spans="1:34">
      <c r="A1767">
        <v>2026</v>
      </c>
      <c r="B1767">
        <v>2</v>
      </c>
      <c r="C1767" s="83">
        <v>50593220614</v>
      </c>
      <c r="D1767" t="s">
        <v>1681</v>
      </c>
      <c r="E1767">
        <v>55489194088</v>
      </c>
      <c r="F1767">
        <v>635938</v>
      </c>
      <c r="G1767">
        <v>50925774599</v>
      </c>
      <c r="H1767" t="s">
        <v>35</v>
      </c>
      <c r="I1767" s="36">
        <v>2500.3200000000002</v>
      </c>
      <c r="J1767" s="36">
        <v>2500.38</v>
      </c>
      <c r="K1767" s="85">
        <v>0</v>
      </c>
      <c r="L1767" s="36">
        <v>208.36500000000001</v>
      </c>
      <c r="M1767" s="36">
        <v>208.36500000000001</v>
      </c>
      <c r="N1767" s="36">
        <v>0</v>
      </c>
      <c r="O1767" s="36">
        <v>0</v>
      </c>
      <c r="P1767" t="s">
        <v>129</v>
      </c>
      <c r="Q1767" t="s">
        <v>91</v>
      </c>
      <c r="R1767" t="s">
        <v>91</v>
      </c>
      <c r="S1767" s="1">
        <v>46058</v>
      </c>
      <c r="T1767" s="1">
        <v>46058</v>
      </c>
      <c r="V1767" s="1">
        <v>46423</v>
      </c>
      <c r="W1767" t="s">
        <v>38</v>
      </c>
      <c r="X1767">
        <v>12</v>
      </c>
      <c r="Y1767" t="s">
        <v>49</v>
      </c>
      <c r="AA1767" t="s">
        <v>117</v>
      </c>
      <c r="AB1767">
        <v>1</v>
      </c>
      <c r="AC1767" t="s">
        <v>93</v>
      </c>
      <c r="AD1767" t="s">
        <v>118</v>
      </c>
      <c r="AE1767" t="s">
        <v>43</v>
      </c>
      <c r="AF1767" t="s">
        <v>119</v>
      </c>
      <c r="AG1767" t="str">
        <f t="shared" si="28"/>
        <v>À Vista</v>
      </c>
      <c r="AH1767" t="str">
        <f>IF(AND(SUMIF(E:E,E1767,I:I)&gt;=400000,Q1767="B2G"),"n","")</f>
        <v/>
      </c>
    </row>
    <row r="1768" spans="1:34">
      <c r="A1768">
        <v>2026</v>
      </c>
      <c r="B1768">
        <v>2</v>
      </c>
      <c r="C1768" s="83">
        <v>50593406779</v>
      </c>
      <c r="D1768" t="s">
        <v>1682</v>
      </c>
      <c r="E1768">
        <v>55558549270</v>
      </c>
      <c r="F1768">
        <v>636182</v>
      </c>
      <c r="G1768">
        <v>51983666608</v>
      </c>
      <c r="H1768" t="s">
        <v>35</v>
      </c>
      <c r="I1768" s="36">
        <v>2730.24</v>
      </c>
      <c r="J1768" s="36">
        <v>2730.3</v>
      </c>
      <c r="K1768" s="85">
        <v>0</v>
      </c>
      <c r="L1768" s="36">
        <v>227.52500000000001</v>
      </c>
      <c r="M1768" s="36">
        <v>227.52500000000001</v>
      </c>
      <c r="N1768" s="36">
        <v>0</v>
      </c>
      <c r="O1768" s="36">
        <v>0</v>
      </c>
      <c r="P1768" t="s">
        <v>348</v>
      </c>
      <c r="Q1768" t="s">
        <v>349</v>
      </c>
      <c r="R1768" t="s">
        <v>349</v>
      </c>
      <c r="S1768" s="1">
        <v>46073</v>
      </c>
      <c r="T1768" s="1">
        <v>46073</v>
      </c>
      <c r="V1768" s="1">
        <v>46438</v>
      </c>
      <c r="W1768" t="s">
        <v>38</v>
      </c>
      <c r="X1768">
        <v>12</v>
      </c>
      <c r="Y1768" t="s">
        <v>49</v>
      </c>
      <c r="AA1768" t="s">
        <v>112</v>
      </c>
      <c r="AB1768">
        <v>12</v>
      </c>
      <c r="AC1768" t="s">
        <v>350</v>
      </c>
      <c r="AD1768" t="s">
        <v>140</v>
      </c>
      <c r="AE1768" t="s">
        <v>46</v>
      </c>
      <c r="AF1768" t="s">
        <v>119</v>
      </c>
      <c r="AG1768" t="str">
        <f t="shared" si="28"/>
        <v>CC 12x</v>
      </c>
      <c r="AH1768" t="str">
        <f>IF(AND(SUMIF(E:E,E1768,I:I)&gt;=400000,Q1768="B2G"),"n","")</f>
        <v/>
      </c>
    </row>
    <row r="1769" spans="1:34">
      <c r="A1769">
        <v>2026</v>
      </c>
      <c r="B1769">
        <v>2</v>
      </c>
      <c r="C1769" s="83">
        <v>50593474465</v>
      </c>
      <c r="D1769" t="s">
        <v>1683</v>
      </c>
      <c r="E1769">
        <v>55566995106</v>
      </c>
      <c r="F1769">
        <v>635993</v>
      </c>
      <c r="G1769">
        <v>51087488691</v>
      </c>
      <c r="H1769" t="s">
        <v>35</v>
      </c>
      <c r="I1769" s="36">
        <v>5455.8</v>
      </c>
      <c r="J1769" s="36">
        <v>1629.47856</v>
      </c>
      <c r="K1769" s="85">
        <v>3826.3214400000002</v>
      </c>
      <c r="L1769" s="36">
        <v>135.78988000000001</v>
      </c>
      <c r="M1769" s="36">
        <v>0</v>
      </c>
      <c r="N1769" s="36">
        <v>135.78988000000001</v>
      </c>
      <c r="O1769" s="36">
        <v>0</v>
      </c>
      <c r="P1769" t="s">
        <v>520</v>
      </c>
      <c r="Q1769" t="s">
        <v>191</v>
      </c>
      <c r="R1769" t="s">
        <v>191</v>
      </c>
      <c r="S1769" s="1">
        <v>46062</v>
      </c>
      <c r="T1769" s="1">
        <v>46062</v>
      </c>
      <c r="V1769" s="1">
        <v>46427</v>
      </c>
      <c r="W1769" t="s">
        <v>38</v>
      </c>
      <c r="Y1769" t="s">
        <v>49</v>
      </c>
      <c r="AA1769" t="s">
        <v>122</v>
      </c>
      <c r="AB1769">
        <v>12</v>
      </c>
      <c r="AC1769" t="s">
        <v>192</v>
      </c>
      <c r="AD1769" t="s">
        <v>158</v>
      </c>
      <c r="AE1769" t="s">
        <v>43</v>
      </c>
      <c r="AF1769" t="s">
        <v>47</v>
      </c>
      <c r="AG1769" t="str">
        <f t="shared" si="28"/>
        <v>Recorrente</v>
      </c>
      <c r="AH1769" t="str">
        <f>IF(AND(SUMIF(E:E,E1769,I:I)&gt;=400000,Q1769="B2G"),"n","")</f>
        <v/>
      </c>
    </row>
    <row r="1770" spans="1:34">
      <c r="A1770">
        <v>2026</v>
      </c>
      <c r="B1770">
        <v>2</v>
      </c>
      <c r="C1770" s="83">
        <v>50596825103</v>
      </c>
      <c r="D1770" t="s">
        <v>1684</v>
      </c>
      <c r="E1770">
        <v>55133558837</v>
      </c>
      <c r="F1770">
        <v>635927</v>
      </c>
      <c r="G1770">
        <v>50777870247</v>
      </c>
      <c r="H1770" t="s">
        <v>35</v>
      </c>
      <c r="I1770" s="36">
        <v>2874</v>
      </c>
      <c r="J1770" s="36">
        <v>2874</v>
      </c>
      <c r="K1770" s="85">
        <v>0</v>
      </c>
      <c r="L1770" s="36">
        <v>239.5</v>
      </c>
      <c r="M1770" s="36">
        <v>239.5</v>
      </c>
      <c r="N1770" s="36">
        <v>0</v>
      </c>
      <c r="O1770" s="36">
        <v>0</v>
      </c>
      <c r="P1770" t="s">
        <v>1210</v>
      </c>
      <c r="Q1770" t="s">
        <v>91</v>
      </c>
      <c r="R1770" t="s">
        <v>91</v>
      </c>
      <c r="S1770" s="1">
        <v>46057</v>
      </c>
      <c r="T1770" s="1">
        <v>46057</v>
      </c>
      <c r="V1770" s="1">
        <v>46422</v>
      </c>
      <c r="W1770" t="s">
        <v>38</v>
      </c>
      <c r="X1770">
        <v>12</v>
      </c>
      <c r="Y1770" t="s">
        <v>49</v>
      </c>
      <c r="AA1770" t="s">
        <v>92</v>
      </c>
      <c r="AB1770">
        <v>12</v>
      </c>
      <c r="AC1770" t="s">
        <v>93</v>
      </c>
      <c r="AD1770" t="s">
        <v>118</v>
      </c>
      <c r="AE1770" t="s">
        <v>43</v>
      </c>
      <c r="AF1770" t="s">
        <v>119</v>
      </c>
      <c r="AG1770" t="str">
        <f t="shared" si="28"/>
        <v>Recorrente</v>
      </c>
      <c r="AH1770" t="str">
        <f>IF(AND(SUMIF(E:E,E1770,I:I)&gt;=400000,Q1770="B2G"),"n","")</f>
        <v/>
      </c>
    </row>
    <row r="1771" spans="1:34">
      <c r="A1771">
        <v>2026</v>
      </c>
      <c r="B1771">
        <v>2</v>
      </c>
      <c r="C1771" s="83">
        <v>50696593782</v>
      </c>
      <c r="D1771" t="s">
        <v>1685</v>
      </c>
      <c r="E1771">
        <v>55636967195</v>
      </c>
      <c r="F1771">
        <v>636023</v>
      </c>
      <c r="G1771">
        <v>50925744958</v>
      </c>
      <c r="H1771" t="s">
        <v>35</v>
      </c>
      <c r="I1771" s="36">
        <v>9594</v>
      </c>
      <c r="J1771" s="36">
        <v>9594</v>
      </c>
      <c r="K1771" s="85">
        <v>0</v>
      </c>
      <c r="L1771" s="36">
        <v>799.5</v>
      </c>
      <c r="M1771" s="36">
        <v>799.5</v>
      </c>
      <c r="N1771" s="36">
        <v>0</v>
      </c>
      <c r="O1771" s="36">
        <v>0</v>
      </c>
      <c r="P1771" t="s">
        <v>129</v>
      </c>
      <c r="Q1771" t="s">
        <v>91</v>
      </c>
      <c r="R1771" t="s">
        <v>91</v>
      </c>
      <c r="S1771" s="1">
        <v>46063</v>
      </c>
      <c r="T1771" s="1">
        <v>46063</v>
      </c>
      <c r="V1771" s="1">
        <v>46428</v>
      </c>
      <c r="W1771" t="s">
        <v>38</v>
      </c>
      <c r="X1771">
        <v>12</v>
      </c>
      <c r="Y1771" t="s">
        <v>49</v>
      </c>
      <c r="AA1771" t="s">
        <v>122</v>
      </c>
      <c r="AB1771">
        <v>12</v>
      </c>
      <c r="AC1771" t="s">
        <v>93</v>
      </c>
      <c r="AD1771" t="s">
        <v>131</v>
      </c>
      <c r="AE1771" t="s">
        <v>46</v>
      </c>
      <c r="AF1771" t="s">
        <v>96</v>
      </c>
      <c r="AG1771" t="str">
        <f t="shared" si="28"/>
        <v>Recorrente</v>
      </c>
      <c r="AH1771" t="str">
        <f>IF(AND(SUMIF(E:E,E1771,I:I)&gt;=400000,Q1771="B2G"),"n","")</f>
        <v/>
      </c>
    </row>
    <row r="1772" spans="1:34">
      <c r="A1772">
        <v>2026</v>
      </c>
      <c r="B1772">
        <v>2</v>
      </c>
      <c r="C1772" s="83">
        <v>50740880389</v>
      </c>
      <c r="D1772" t="s">
        <v>1686</v>
      </c>
      <c r="E1772">
        <v>55568935819</v>
      </c>
      <c r="F1772">
        <v>636001</v>
      </c>
      <c r="G1772">
        <v>51107641924</v>
      </c>
      <c r="H1772" t="s">
        <v>35</v>
      </c>
      <c r="I1772" s="36">
        <v>7560.12</v>
      </c>
      <c r="J1772" s="36">
        <v>7560.18</v>
      </c>
      <c r="K1772" s="85">
        <v>0</v>
      </c>
      <c r="L1772" s="36">
        <v>630.01499999999999</v>
      </c>
      <c r="M1772" s="36">
        <v>630.01499999999999</v>
      </c>
      <c r="N1772" s="36">
        <v>0</v>
      </c>
      <c r="O1772" s="36">
        <v>0</v>
      </c>
      <c r="P1772" t="s">
        <v>348</v>
      </c>
      <c r="Q1772" t="s">
        <v>349</v>
      </c>
      <c r="R1772" t="s">
        <v>349</v>
      </c>
      <c r="S1772" s="1">
        <v>46062</v>
      </c>
      <c r="T1772" s="1">
        <v>46062</v>
      </c>
      <c r="V1772" s="1">
        <v>46427</v>
      </c>
      <c r="W1772" t="s">
        <v>38</v>
      </c>
      <c r="X1772">
        <v>12</v>
      </c>
      <c r="Y1772" t="s">
        <v>49</v>
      </c>
      <c r="AA1772" t="s">
        <v>112</v>
      </c>
      <c r="AB1772">
        <v>12</v>
      </c>
      <c r="AC1772" t="s">
        <v>350</v>
      </c>
      <c r="AD1772" t="s">
        <v>125</v>
      </c>
      <c r="AE1772" t="s">
        <v>43</v>
      </c>
      <c r="AF1772" t="s">
        <v>47</v>
      </c>
      <c r="AG1772" t="str">
        <f t="shared" ref="AG1772:AG1835" si="29">IF(IFERROR(SEARCH("Recorrente",AA1772),0)&gt;0,"Recorrente",IF(AB1772=1,"À Vista",IF(AB1772&lt;=3,"CC 3x",IF(AB1772&lt;=12,"CC 12x",IF(AB1772&gt;12,"Recorrente","")))))</f>
        <v>CC 12x</v>
      </c>
      <c r="AH1772" t="str">
        <f>IF(AND(SUMIF(E:E,E1772,I:I)&gt;=400000,Q1772="B2G"),"n","")</f>
        <v/>
      </c>
    </row>
    <row r="1773" spans="1:34">
      <c r="A1773">
        <v>2026</v>
      </c>
      <c r="B1773">
        <v>2</v>
      </c>
      <c r="C1773" s="83">
        <v>50740881680</v>
      </c>
      <c r="D1773" t="s">
        <v>1687</v>
      </c>
      <c r="E1773">
        <v>51924694942</v>
      </c>
      <c r="F1773">
        <v>525640</v>
      </c>
      <c r="G1773">
        <v>48382843417</v>
      </c>
      <c r="H1773" t="s">
        <v>35</v>
      </c>
      <c r="I1773" s="36">
        <v>4130.04</v>
      </c>
      <c r="J1773" s="36">
        <v>4130.04</v>
      </c>
      <c r="K1773" s="85">
        <v>0</v>
      </c>
      <c r="L1773" s="36">
        <v>344.17</v>
      </c>
      <c r="M1773" s="36">
        <v>0</v>
      </c>
      <c r="N1773" s="36">
        <v>25.675000000000001</v>
      </c>
      <c r="O1773" s="36">
        <v>318.5</v>
      </c>
      <c r="P1773" t="s">
        <v>133</v>
      </c>
      <c r="Q1773" t="s">
        <v>111</v>
      </c>
      <c r="R1773" t="s">
        <v>111</v>
      </c>
      <c r="S1773" s="1">
        <v>46031</v>
      </c>
      <c r="T1773" s="1">
        <v>46054</v>
      </c>
      <c r="U1773" s="1">
        <v>46048</v>
      </c>
      <c r="V1773" s="1">
        <v>46413</v>
      </c>
      <c r="W1773" t="s">
        <v>38</v>
      </c>
      <c r="X1773">
        <v>12</v>
      </c>
      <c r="Y1773" t="s">
        <v>49</v>
      </c>
      <c r="Z1773" t="s">
        <v>81</v>
      </c>
      <c r="AA1773" t="s">
        <v>112</v>
      </c>
      <c r="AB1773">
        <v>12</v>
      </c>
      <c r="AC1773" t="s">
        <v>113</v>
      </c>
      <c r="AD1773" t="s">
        <v>158</v>
      </c>
      <c r="AE1773" t="s">
        <v>43</v>
      </c>
      <c r="AF1773" t="s">
        <v>47</v>
      </c>
      <c r="AG1773" t="str">
        <f t="shared" si="29"/>
        <v>CC 12x</v>
      </c>
      <c r="AH1773" t="str">
        <f>IF(AND(SUMIF(E:E,E1773,I:I)&gt;=400000,Q1773="B2G"),"n","")</f>
        <v/>
      </c>
    </row>
    <row r="1774" spans="1:34">
      <c r="A1774">
        <v>2026</v>
      </c>
      <c r="B1774">
        <v>2</v>
      </c>
      <c r="C1774" s="83">
        <v>50740882755</v>
      </c>
      <c r="D1774" t="s">
        <v>1688</v>
      </c>
      <c r="E1774">
        <v>55632249906</v>
      </c>
      <c r="F1774">
        <v>635958</v>
      </c>
      <c r="G1774">
        <v>50880073263</v>
      </c>
      <c r="H1774" t="s">
        <v>35</v>
      </c>
      <c r="I1774" s="36">
        <v>3665.04</v>
      </c>
      <c r="J1774" s="36">
        <v>3665.04</v>
      </c>
      <c r="K1774" s="85">
        <v>0</v>
      </c>
      <c r="L1774" s="36">
        <v>305.42</v>
      </c>
      <c r="M1774" s="36">
        <v>305.42</v>
      </c>
      <c r="N1774" s="36">
        <v>0</v>
      </c>
      <c r="O1774" s="36">
        <v>0</v>
      </c>
      <c r="P1774" t="s">
        <v>511</v>
      </c>
      <c r="Q1774" t="s">
        <v>300</v>
      </c>
      <c r="R1774" t="s">
        <v>300</v>
      </c>
      <c r="S1774" s="1">
        <v>46059</v>
      </c>
      <c r="T1774" s="1">
        <v>46059</v>
      </c>
      <c r="U1774" s="1"/>
      <c r="V1774" s="1">
        <v>46424</v>
      </c>
      <c r="W1774" t="s">
        <v>38</v>
      </c>
      <c r="X1774">
        <v>12</v>
      </c>
      <c r="Y1774" t="s">
        <v>49</v>
      </c>
      <c r="AA1774" t="s">
        <v>117</v>
      </c>
      <c r="AB1774">
        <v>1</v>
      </c>
      <c r="AC1774" t="s">
        <v>301</v>
      </c>
      <c r="AD1774" t="s">
        <v>160</v>
      </c>
      <c r="AE1774" t="s">
        <v>43</v>
      </c>
      <c r="AF1774" t="s">
        <v>44</v>
      </c>
      <c r="AG1774" t="str">
        <f t="shared" si="29"/>
        <v>À Vista</v>
      </c>
      <c r="AH1774" t="str">
        <f>IF(AND(SUMIF(E:E,E1774,I:I)&gt;=400000,Q1774="B2G"),"n","")</f>
        <v/>
      </c>
    </row>
    <row r="1775" spans="1:34">
      <c r="A1775">
        <v>2026</v>
      </c>
      <c r="B1775">
        <v>2</v>
      </c>
      <c r="C1775" s="83">
        <v>50741198260</v>
      </c>
      <c r="D1775" t="s">
        <v>1689</v>
      </c>
      <c r="E1775">
        <v>53894171283</v>
      </c>
      <c r="F1775">
        <v>625844</v>
      </c>
      <c r="G1775">
        <v>50986440345</v>
      </c>
      <c r="H1775" t="s">
        <v>35</v>
      </c>
      <c r="I1775" s="36">
        <v>4860.84</v>
      </c>
      <c r="J1775" s="36">
        <v>4860.84</v>
      </c>
      <c r="K1775" s="85">
        <v>0</v>
      </c>
      <c r="L1775" s="36">
        <v>405.07</v>
      </c>
      <c r="M1775" s="36">
        <v>0</v>
      </c>
      <c r="N1775" s="36">
        <v>42.897500000000001</v>
      </c>
      <c r="O1775" s="36">
        <v>362.17</v>
      </c>
      <c r="P1775" t="s">
        <v>110</v>
      </c>
      <c r="Q1775" t="s">
        <v>111</v>
      </c>
      <c r="R1775" t="s">
        <v>111</v>
      </c>
      <c r="S1775" s="1">
        <v>46059</v>
      </c>
      <c r="T1775" s="1">
        <v>46054</v>
      </c>
      <c r="U1775" s="1">
        <v>46046</v>
      </c>
      <c r="V1775" s="1">
        <v>46424</v>
      </c>
      <c r="W1775" t="s">
        <v>38</v>
      </c>
      <c r="X1775">
        <v>13</v>
      </c>
      <c r="Y1775" t="s">
        <v>49</v>
      </c>
      <c r="Z1775" t="s">
        <v>81</v>
      </c>
      <c r="AA1775" t="s">
        <v>40</v>
      </c>
      <c r="AB1775">
        <v>1</v>
      </c>
      <c r="AC1775" t="s">
        <v>113</v>
      </c>
      <c r="AD1775" t="s">
        <v>149</v>
      </c>
      <c r="AE1775" t="s">
        <v>43</v>
      </c>
      <c r="AF1775" t="s">
        <v>96</v>
      </c>
      <c r="AG1775" t="str">
        <f t="shared" si="29"/>
        <v>À Vista</v>
      </c>
      <c r="AH1775" t="str">
        <f>IF(AND(SUMIF(E:E,E1775,I:I)&gt;=400000,Q1775="B2G"),"n","")</f>
        <v/>
      </c>
    </row>
    <row r="1776" spans="1:34">
      <c r="A1776">
        <v>2026</v>
      </c>
      <c r="B1776">
        <v>2</v>
      </c>
      <c r="C1776" s="83">
        <v>50775790650</v>
      </c>
      <c r="D1776" t="s">
        <v>1690</v>
      </c>
      <c r="E1776">
        <v>55632136232</v>
      </c>
      <c r="F1776">
        <v>635967</v>
      </c>
      <c r="G1776">
        <v>50926088349</v>
      </c>
      <c r="H1776" t="s">
        <v>35</v>
      </c>
      <c r="I1776" s="36">
        <v>4631.28</v>
      </c>
      <c r="J1776" s="36">
        <v>4631.28</v>
      </c>
      <c r="K1776" s="85">
        <v>0</v>
      </c>
      <c r="L1776" s="36">
        <v>385.94</v>
      </c>
      <c r="M1776" s="36">
        <v>385.94</v>
      </c>
      <c r="N1776" s="36">
        <v>0</v>
      </c>
      <c r="O1776" s="36">
        <v>0</v>
      </c>
      <c r="P1776" t="s">
        <v>506</v>
      </c>
      <c r="Q1776" t="s">
        <v>300</v>
      </c>
      <c r="R1776" t="s">
        <v>300</v>
      </c>
      <c r="S1776" s="1">
        <v>46059</v>
      </c>
      <c r="T1776" s="1">
        <v>46059</v>
      </c>
      <c r="U1776" s="1"/>
      <c r="V1776" s="1">
        <v>46424</v>
      </c>
      <c r="W1776" t="s">
        <v>38</v>
      </c>
      <c r="X1776">
        <v>12</v>
      </c>
      <c r="Y1776" t="s">
        <v>49</v>
      </c>
      <c r="AA1776" t="s">
        <v>112</v>
      </c>
      <c r="AB1776">
        <v>12</v>
      </c>
      <c r="AC1776" t="s">
        <v>301</v>
      </c>
      <c r="AD1776" t="s">
        <v>84</v>
      </c>
      <c r="AE1776" t="s">
        <v>43</v>
      </c>
      <c r="AF1776" t="s">
        <v>44</v>
      </c>
      <c r="AG1776" t="str">
        <f t="shared" si="29"/>
        <v>CC 12x</v>
      </c>
      <c r="AH1776" t="str">
        <f>IF(AND(SUMIF(E:E,E1776,I:I)&gt;=400000,Q1776="B2G"),"n","")</f>
        <v/>
      </c>
    </row>
    <row r="1777" spans="1:34">
      <c r="A1777">
        <v>2026</v>
      </c>
      <c r="B1777">
        <v>2</v>
      </c>
      <c r="C1777" s="83">
        <v>50787950006</v>
      </c>
      <c r="D1777" t="s">
        <v>1691</v>
      </c>
      <c r="E1777">
        <v>55804099718</v>
      </c>
      <c r="F1777">
        <v>636131</v>
      </c>
      <c r="G1777">
        <v>51841704988</v>
      </c>
      <c r="H1777" t="s">
        <v>35</v>
      </c>
      <c r="I1777" s="36">
        <v>5718.6</v>
      </c>
      <c r="J1777" s="36">
        <v>5718.6</v>
      </c>
      <c r="K1777" s="85">
        <v>0</v>
      </c>
      <c r="L1777" s="36">
        <v>476.55</v>
      </c>
      <c r="M1777" s="36">
        <v>476.55</v>
      </c>
      <c r="N1777" s="36">
        <v>0</v>
      </c>
      <c r="O1777" s="36">
        <v>0</v>
      </c>
      <c r="P1777" t="s">
        <v>348</v>
      </c>
      <c r="Q1777" t="s">
        <v>349</v>
      </c>
      <c r="R1777" t="s">
        <v>349</v>
      </c>
      <c r="S1777" s="1">
        <v>46072</v>
      </c>
      <c r="T1777" s="1">
        <v>46072</v>
      </c>
      <c r="V1777" s="1">
        <v>46437</v>
      </c>
      <c r="W1777" t="s">
        <v>38</v>
      </c>
      <c r="X1777">
        <v>12</v>
      </c>
      <c r="Y1777" t="s">
        <v>49</v>
      </c>
      <c r="AA1777" t="s">
        <v>117</v>
      </c>
      <c r="AB1777">
        <v>1</v>
      </c>
      <c r="AC1777" t="s">
        <v>350</v>
      </c>
      <c r="AD1777" t="s">
        <v>174</v>
      </c>
      <c r="AE1777" t="s">
        <v>43</v>
      </c>
      <c r="AF1777" t="s">
        <v>47</v>
      </c>
      <c r="AG1777" t="str">
        <f t="shared" si="29"/>
        <v>À Vista</v>
      </c>
      <c r="AH1777" t="str">
        <f>IF(AND(SUMIF(E:E,E1777,I:I)&gt;=400000,Q1777="B2G"),"n","")</f>
        <v/>
      </c>
    </row>
    <row r="1778" spans="1:34">
      <c r="A1778">
        <v>2026</v>
      </c>
      <c r="B1778">
        <v>2</v>
      </c>
      <c r="C1778" s="83">
        <v>50788011285</v>
      </c>
      <c r="D1778" t="s">
        <v>1692</v>
      </c>
      <c r="E1778">
        <v>55695870551</v>
      </c>
      <c r="F1778">
        <v>635985</v>
      </c>
      <c r="G1778">
        <v>50981287527</v>
      </c>
      <c r="H1778" t="s">
        <v>35</v>
      </c>
      <c r="I1778" s="36">
        <v>5754</v>
      </c>
      <c r="J1778" s="36">
        <v>5754</v>
      </c>
      <c r="K1778" s="85">
        <v>0</v>
      </c>
      <c r="L1778" s="36">
        <v>479.5</v>
      </c>
      <c r="M1778" s="36">
        <v>479.5</v>
      </c>
      <c r="N1778" s="36">
        <v>0</v>
      </c>
      <c r="O1778" s="36">
        <v>0</v>
      </c>
      <c r="P1778" t="s">
        <v>511</v>
      </c>
      <c r="Q1778" t="s">
        <v>300</v>
      </c>
      <c r="R1778" t="s">
        <v>300</v>
      </c>
      <c r="S1778" s="1">
        <v>46059</v>
      </c>
      <c r="T1778" s="1">
        <v>46059</v>
      </c>
      <c r="V1778" s="1">
        <v>46424</v>
      </c>
      <c r="W1778" t="s">
        <v>38</v>
      </c>
      <c r="X1778">
        <v>12</v>
      </c>
      <c r="Y1778" t="s">
        <v>49</v>
      </c>
      <c r="AA1778" t="s">
        <v>122</v>
      </c>
      <c r="AB1778">
        <v>12</v>
      </c>
      <c r="AC1778" t="s">
        <v>301</v>
      </c>
      <c r="AD1778" t="s">
        <v>85</v>
      </c>
      <c r="AE1778" t="s">
        <v>46</v>
      </c>
      <c r="AF1778" t="s">
        <v>44</v>
      </c>
      <c r="AG1778" t="str">
        <f t="shared" si="29"/>
        <v>Recorrente</v>
      </c>
      <c r="AH1778" t="str">
        <f>IF(AND(SUMIF(E:E,E1778,I:I)&gt;=400000,Q1778="B2G"),"n","")</f>
        <v/>
      </c>
    </row>
    <row r="1779" spans="1:34">
      <c r="A1779">
        <v>2026</v>
      </c>
      <c r="B1779">
        <v>2</v>
      </c>
      <c r="C1779" s="83">
        <v>50796192770</v>
      </c>
      <c r="D1779" t="s">
        <v>1693</v>
      </c>
      <c r="E1779">
        <v>55804296569</v>
      </c>
      <c r="F1779">
        <v>635992</v>
      </c>
      <c r="G1779">
        <v>51087486565</v>
      </c>
      <c r="H1779" t="s">
        <v>35</v>
      </c>
      <c r="I1779" s="36">
        <v>8826.48</v>
      </c>
      <c r="J1779" s="36">
        <v>8826.48</v>
      </c>
      <c r="K1779" s="85">
        <v>0</v>
      </c>
      <c r="L1779" s="36">
        <v>735.54</v>
      </c>
      <c r="M1779" s="36">
        <v>735.54</v>
      </c>
      <c r="N1779" s="36">
        <v>0</v>
      </c>
      <c r="O1779" s="36">
        <v>0</v>
      </c>
      <c r="P1779" t="s">
        <v>506</v>
      </c>
      <c r="Q1779" t="s">
        <v>300</v>
      </c>
      <c r="R1779" t="s">
        <v>300</v>
      </c>
      <c r="S1779" s="1">
        <v>46062</v>
      </c>
      <c r="T1779" s="1">
        <v>46062</v>
      </c>
      <c r="V1779" s="1">
        <v>46427</v>
      </c>
      <c r="W1779" t="s">
        <v>38</v>
      </c>
      <c r="X1779">
        <v>12</v>
      </c>
      <c r="Y1779" t="s">
        <v>49</v>
      </c>
      <c r="AA1779" t="s">
        <v>112</v>
      </c>
      <c r="AB1779">
        <v>12</v>
      </c>
      <c r="AC1779" t="s">
        <v>301</v>
      </c>
      <c r="AD1779" t="s">
        <v>131</v>
      </c>
      <c r="AE1779" t="s">
        <v>46</v>
      </c>
      <c r="AF1779" t="s">
        <v>96</v>
      </c>
      <c r="AG1779" t="str">
        <f t="shared" si="29"/>
        <v>CC 12x</v>
      </c>
      <c r="AH1779" t="str">
        <f>IF(AND(SUMIF(E:E,E1779,I:I)&gt;=400000,Q1779="B2G"),"n","")</f>
        <v/>
      </c>
    </row>
    <row r="1780" spans="1:34">
      <c r="A1780">
        <v>2026</v>
      </c>
      <c r="B1780">
        <v>2</v>
      </c>
      <c r="C1780" s="83">
        <v>50869616035</v>
      </c>
      <c r="D1780" t="s">
        <v>1694</v>
      </c>
      <c r="E1780">
        <v>54495103836</v>
      </c>
      <c r="F1780">
        <v>636323</v>
      </c>
      <c r="G1780">
        <v>52460770407</v>
      </c>
      <c r="H1780" t="s">
        <v>35</v>
      </c>
      <c r="I1780" s="36">
        <v>8394</v>
      </c>
      <c r="J1780" s="36">
        <v>8394</v>
      </c>
      <c r="K1780" s="85">
        <v>0</v>
      </c>
      <c r="L1780" s="36">
        <v>699.5</v>
      </c>
      <c r="M1780" s="36">
        <v>699.5</v>
      </c>
      <c r="N1780" s="36">
        <v>0</v>
      </c>
      <c r="O1780" s="36">
        <v>0</v>
      </c>
      <c r="P1780" t="s">
        <v>668</v>
      </c>
      <c r="Q1780" t="s">
        <v>91</v>
      </c>
      <c r="R1780" t="s">
        <v>91</v>
      </c>
      <c r="S1780" s="1">
        <v>46080</v>
      </c>
      <c r="T1780" s="1">
        <v>46080</v>
      </c>
      <c r="V1780" s="1">
        <v>46445</v>
      </c>
      <c r="W1780" t="s">
        <v>38</v>
      </c>
      <c r="X1780">
        <v>12</v>
      </c>
      <c r="Y1780" t="s">
        <v>49</v>
      </c>
      <c r="AA1780" t="s">
        <v>92</v>
      </c>
      <c r="AB1780">
        <v>12</v>
      </c>
      <c r="AC1780" t="s">
        <v>93</v>
      </c>
      <c r="AD1780" t="s">
        <v>94</v>
      </c>
      <c r="AE1780" t="s">
        <v>95</v>
      </c>
      <c r="AF1780" t="s">
        <v>96</v>
      </c>
      <c r="AG1780" t="str">
        <f t="shared" si="29"/>
        <v>Recorrente</v>
      </c>
      <c r="AH1780" t="str">
        <f>IF(AND(SUMIF(E:E,E1780,I:I)&gt;=400000,Q1780="B2G"),"n","")</f>
        <v/>
      </c>
    </row>
    <row r="1781" spans="1:34">
      <c r="A1781">
        <v>2026</v>
      </c>
      <c r="B1781">
        <v>2</v>
      </c>
      <c r="C1781" s="83">
        <v>50869616035</v>
      </c>
      <c r="D1781" t="s">
        <v>1694</v>
      </c>
      <c r="E1781">
        <v>54495103836</v>
      </c>
      <c r="F1781">
        <v>636323</v>
      </c>
      <c r="G1781">
        <v>52460770408</v>
      </c>
      <c r="H1781" t="s">
        <v>35</v>
      </c>
      <c r="I1781" s="36">
        <v>10080</v>
      </c>
      <c r="J1781" s="36">
        <v>10080</v>
      </c>
      <c r="K1781" s="85">
        <v>0</v>
      </c>
      <c r="L1781" s="36">
        <v>840</v>
      </c>
      <c r="M1781" s="36">
        <v>840</v>
      </c>
      <c r="N1781" s="36">
        <v>0</v>
      </c>
      <c r="O1781" s="36">
        <v>0</v>
      </c>
      <c r="P1781" t="s">
        <v>668</v>
      </c>
      <c r="Q1781" t="s">
        <v>91</v>
      </c>
      <c r="R1781" t="s">
        <v>91</v>
      </c>
      <c r="S1781" s="1">
        <v>46080</v>
      </c>
      <c r="T1781" s="1">
        <v>46080</v>
      </c>
      <c r="V1781" s="1">
        <v>46445</v>
      </c>
      <c r="W1781" t="s">
        <v>38</v>
      </c>
      <c r="X1781">
        <v>12</v>
      </c>
      <c r="Y1781" t="s">
        <v>49</v>
      </c>
      <c r="AA1781" t="s">
        <v>92</v>
      </c>
      <c r="AB1781">
        <v>12</v>
      </c>
      <c r="AC1781" t="s">
        <v>93</v>
      </c>
      <c r="AD1781" t="s">
        <v>1695</v>
      </c>
      <c r="AE1781" t="s">
        <v>1696</v>
      </c>
      <c r="AF1781" t="s">
        <v>59</v>
      </c>
      <c r="AG1781" t="str">
        <f t="shared" si="29"/>
        <v>Recorrente</v>
      </c>
      <c r="AH1781" t="str">
        <f>IF(AND(SUMIF(E:E,E1781,I:I)&gt;=400000,Q1781="B2G"),"n","")</f>
        <v/>
      </c>
    </row>
    <row r="1782" spans="1:34">
      <c r="A1782">
        <v>2026</v>
      </c>
      <c r="B1782">
        <v>2</v>
      </c>
      <c r="C1782" s="83">
        <v>50927402391</v>
      </c>
      <c r="D1782" t="s">
        <v>1697</v>
      </c>
      <c r="E1782">
        <v>55822075921</v>
      </c>
      <c r="F1782">
        <v>636025</v>
      </c>
      <c r="G1782">
        <v>51121350426</v>
      </c>
      <c r="H1782" t="s">
        <v>35</v>
      </c>
      <c r="I1782" s="36">
        <v>2759.04</v>
      </c>
      <c r="J1782" s="36">
        <v>2759.04</v>
      </c>
      <c r="K1782" s="85">
        <v>0</v>
      </c>
      <c r="L1782" s="36">
        <v>229.92</v>
      </c>
      <c r="M1782" s="36">
        <v>229.92</v>
      </c>
      <c r="N1782" s="36">
        <v>0</v>
      </c>
      <c r="O1782" s="36">
        <v>0</v>
      </c>
      <c r="P1782" t="s">
        <v>511</v>
      </c>
      <c r="Q1782" t="s">
        <v>300</v>
      </c>
      <c r="R1782" t="s">
        <v>300</v>
      </c>
      <c r="S1782" s="1">
        <v>46063</v>
      </c>
      <c r="T1782" s="1">
        <v>46063</v>
      </c>
      <c r="V1782" s="1">
        <v>46428</v>
      </c>
      <c r="W1782" t="s">
        <v>38</v>
      </c>
      <c r="X1782">
        <v>12</v>
      </c>
      <c r="Y1782" t="s">
        <v>49</v>
      </c>
      <c r="AA1782" t="s">
        <v>112</v>
      </c>
      <c r="AB1782">
        <v>12</v>
      </c>
      <c r="AC1782" t="s">
        <v>301</v>
      </c>
      <c r="AD1782" t="s">
        <v>140</v>
      </c>
      <c r="AE1782" t="s">
        <v>46</v>
      </c>
      <c r="AF1782" t="s">
        <v>119</v>
      </c>
      <c r="AG1782" t="str">
        <f t="shared" si="29"/>
        <v>CC 12x</v>
      </c>
      <c r="AH1782" t="str">
        <f>IF(AND(SUMIF(E:E,E1782,I:I)&gt;=400000,Q1782="B2G"),"n","")</f>
        <v/>
      </c>
    </row>
    <row r="1783" spans="1:34">
      <c r="A1783">
        <v>2026</v>
      </c>
      <c r="B1783">
        <v>2</v>
      </c>
      <c r="C1783" s="83">
        <v>50927411034</v>
      </c>
      <c r="D1783" t="s">
        <v>1698</v>
      </c>
      <c r="E1783">
        <v>55927581952</v>
      </c>
      <c r="F1783">
        <v>636283</v>
      </c>
      <c r="G1783">
        <v>52357317890</v>
      </c>
      <c r="H1783" t="s">
        <v>35</v>
      </c>
      <c r="I1783" s="36">
        <v>4644</v>
      </c>
      <c r="J1783" s="36">
        <v>4644</v>
      </c>
      <c r="K1783" s="85">
        <v>0</v>
      </c>
      <c r="L1783" s="36">
        <v>387</v>
      </c>
      <c r="M1783" s="36">
        <v>387</v>
      </c>
      <c r="N1783" s="36">
        <v>0</v>
      </c>
      <c r="O1783" s="36">
        <v>0</v>
      </c>
      <c r="P1783" t="s">
        <v>1165</v>
      </c>
      <c r="Q1783" t="s">
        <v>37</v>
      </c>
      <c r="R1783" t="s">
        <v>37</v>
      </c>
      <c r="S1783" s="1">
        <v>46079</v>
      </c>
      <c r="T1783" s="1">
        <v>46079</v>
      </c>
      <c r="V1783" s="1">
        <v>46444</v>
      </c>
      <c r="W1783" t="s">
        <v>38</v>
      </c>
      <c r="X1783">
        <v>12</v>
      </c>
      <c r="Y1783" t="s">
        <v>49</v>
      </c>
      <c r="AA1783" t="s">
        <v>40</v>
      </c>
      <c r="AB1783">
        <v>1</v>
      </c>
      <c r="AC1783" t="s">
        <v>41</v>
      </c>
      <c r="AD1783" t="s">
        <v>53</v>
      </c>
      <c r="AE1783" t="s">
        <v>43</v>
      </c>
      <c r="AF1783" t="s">
        <v>44</v>
      </c>
      <c r="AG1783" t="str">
        <f t="shared" si="29"/>
        <v>À Vista</v>
      </c>
      <c r="AH1783" t="str">
        <f>IF(AND(SUMIF(E:E,E1783,I:I)&gt;=400000,Q1783="B2G"),"n","")</f>
        <v/>
      </c>
    </row>
    <row r="1784" spans="1:34">
      <c r="A1784">
        <v>2026</v>
      </c>
      <c r="B1784">
        <v>2</v>
      </c>
      <c r="C1784" s="83">
        <v>50927962395</v>
      </c>
      <c r="D1784" t="s">
        <v>1699</v>
      </c>
      <c r="E1784">
        <v>56503239536</v>
      </c>
      <c r="F1784">
        <v>636320</v>
      </c>
      <c r="G1784">
        <v>52473513833</v>
      </c>
      <c r="H1784" t="s">
        <v>35</v>
      </c>
      <c r="I1784" s="36">
        <v>4832.6400000000003</v>
      </c>
      <c r="J1784" s="36">
        <v>4832.6400000000003</v>
      </c>
      <c r="K1784" s="85">
        <v>9.0949500000000005E-13</v>
      </c>
      <c r="L1784" s="36">
        <v>402.72</v>
      </c>
      <c r="M1784" s="36">
        <v>402.72</v>
      </c>
      <c r="N1784" s="36">
        <v>0</v>
      </c>
      <c r="O1784" s="36">
        <v>0</v>
      </c>
      <c r="P1784" t="s">
        <v>90</v>
      </c>
      <c r="Q1784" t="s">
        <v>91</v>
      </c>
      <c r="R1784" t="s">
        <v>91</v>
      </c>
      <c r="S1784" s="1">
        <v>46080</v>
      </c>
      <c r="T1784" s="1">
        <v>46080</v>
      </c>
      <c r="V1784" s="1">
        <v>46445</v>
      </c>
      <c r="W1784" t="s">
        <v>38</v>
      </c>
      <c r="X1784">
        <v>12</v>
      </c>
      <c r="Y1784" t="s">
        <v>49</v>
      </c>
      <c r="AA1784" t="s">
        <v>112</v>
      </c>
      <c r="AB1784">
        <v>12</v>
      </c>
      <c r="AC1784" t="s">
        <v>93</v>
      </c>
      <c r="AD1784" t="s">
        <v>84</v>
      </c>
      <c r="AE1784" t="s">
        <v>43</v>
      </c>
      <c r="AF1784" t="s">
        <v>44</v>
      </c>
      <c r="AG1784" t="str">
        <f t="shared" si="29"/>
        <v>CC 12x</v>
      </c>
      <c r="AH1784" t="str">
        <f>IF(AND(SUMIF(E:E,E1784,I:I)&gt;=400000,Q1784="B2G"),"n","")</f>
        <v/>
      </c>
    </row>
    <row r="1785" spans="1:34">
      <c r="A1785">
        <v>2026</v>
      </c>
      <c r="B1785">
        <v>2</v>
      </c>
      <c r="C1785" s="83">
        <v>51025203886</v>
      </c>
      <c r="D1785" t="s">
        <v>1700</v>
      </c>
      <c r="E1785">
        <v>21486256050</v>
      </c>
      <c r="F1785">
        <v>636063</v>
      </c>
      <c r="G1785">
        <v>51427206743</v>
      </c>
      <c r="H1785" t="s">
        <v>35</v>
      </c>
      <c r="I1785" s="36">
        <v>18576</v>
      </c>
      <c r="J1785" s="36">
        <v>18576</v>
      </c>
      <c r="K1785" s="85">
        <v>0</v>
      </c>
      <c r="L1785" s="36">
        <v>1548</v>
      </c>
      <c r="M1785" s="36">
        <v>1548</v>
      </c>
      <c r="N1785" s="36">
        <v>0</v>
      </c>
      <c r="O1785" s="36">
        <v>0</v>
      </c>
      <c r="P1785" t="s">
        <v>1165</v>
      </c>
      <c r="Q1785" t="s">
        <v>37</v>
      </c>
      <c r="R1785" t="s">
        <v>37</v>
      </c>
      <c r="S1785" s="1">
        <v>46065</v>
      </c>
      <c r="T1785" s="1">
        <v>46065</v>
      </c>
      <c r="V1785" s="1">
        <v>46430</v>
      </c>
      <c r="W1785" t="s">
        <v>38</v>
      </c>
      <c r="X1785">
        <v>12</v>
      </c>
      <c r="Y1785" t="s">
        <v>49</v>
      </c>
      <c r="AA1785" t="s">
        <v>40</v>
      </c>
      <c r="AB1785">
        <v>1</v>
      </c>
      <c r="AC1785" t="s">
        <v>41</v>
      </c>
      <c r="AD1785" t="s">
        <v>53</v>
      </c>
      <c r="AE1785" t="s">
        <v>43</v>
      </c>
      <c r="AF1785" t="s">
        <v>44</v>
      </c>
      <c r="AG1785" t="str">
        <f t="shared" si="29"/>
        <v>À Vista</v>
      </c>
      <c r="AH1785" t="str">
        <f>IF(AND(SUMIF(E:E,E1785,I:I)&gt;=400000,Q1785="B2G"),"n","")</f>
        <v/>
      </c>
    </row>
    <row r="1786" spans="1:34">
      <c r="A1786">
        <v>2026</v>
      </c>
      <c r="B1786">
        <v>2</v>
      </c>
      <c r="C1786" s="83">
        <v>51114917538</v>
      </c>
      <c r="D1786" t="s">
        <v>1701</v>
      </c>
      <c r="E1786">
        <v>56128253337</v>
      </c>
      <c r="F1786">
        <v>636030</v>
      </c>
      <c r="G1786">
        <v>51321014383</v>
      </c>
      <c r="H1786" t="s">
        <v>35</v>
      </c>
      <c r="I1786" s="36">
        <v>5754</v>
      </c>
      <c r="J1786" s="36">
        <v>5754</v>
      </c>
      <c r="K1786" s="85">
        <v>0</v>
      </c>
      <c r="L1786" s="36">
        <v>479.5</v>
      </c>
      <c r="M1786" s="36">
        <v>479.5</v>
      </c>
      <c r="N1786" s="36">
        <v>0</v>
      </c>
      <c r="O1786" s="36">
        <v>0</v>
      </c>
      <c r="P1786" t="s">
        <v>497</v>
      </c>
      <c r="Q1786" t="s">
        <v>498</v>
      </c>
      <c r="R1786" t="s">
        <v>498</v>
      </c>
      <c r="S1786" s="1">
        <v>46064</v>
      </c>
      <c r="T1786" s="1">
        <v>46064</v>
      </c>
      <c r="V1786" s="1">
        <v>46429</v>
      </c>
      <c r="W1786" t="s">
        <v>38</v>
      </c>
      <c r="X1786">
        <v>12</v>
      </c>
      <c r="Y1786" t="s">
        <v>49</v>
      </c>
      <c r="AA1786" t="s">
        <v>112</v>
      </c>
      <c r="AB1786">
        <v>12</v>
      </c>
      <c r="AC1786" t="s">
        <v>499</v>
      </c>
      <c r="AD1786" t="s">
        <v>85</v>
      </c>
      <c r="AE1786" t="s">
        <v>46</v>
      </c>
      <c r="AF1786" t="s">
        <v>44</v>
      </c>
      <c r="AG1786" t="str">
        <f t="shared" si="29"/>
        <v>CC 12x</v>
      </c>
      <c r="AH1786" t="str">
        <f>IF(AND(SUMIF(E:E,E1786,I:I)&gt;=400000,Q1786="B2G"),"n","")</f>
        <v/>
      </c>
    </row>
    <row r="1787" spans="1:34">
      <c r="A1787">
        <v>2026</v>
      </c>
      <c r="B1787">
        <v>2</v>
      </c>
      <c r="C1787" s="83">
        <v>51224347270</v>
      </c>
      <c r="D1787" t="s">
        <v>1702</v>
      </c>
      <c r="E1787">
        <v>55734456340</v>
      </c>
      <c r="F1787">
        <v>526613</v>
      </c>
      <c r="G1787">
        <v>51288850967</v>
      </c>
      <c r="H1787" t="s">
        <v>35</v>
      </c>
      <c r="I1787" s="36">
        <v>4854.6000000000004</v>
      </c>
      <c r="J1787" s="36">
        <v>4854.6000000000004</v>
      </c>
      <c r="K1787" s="85">
        <v>0</v>
      </c>
      <c r="L1787" s="36">
        <v>404.55</v>
      </c>
      <c r="M1787" s="36">
        <v>0</v>
      </c>
      <c r="N1787" s="36">
        <v>51.564999999999998</v>
      </c>
      <c r="O1787" s="36">
        <v>352.98500000000001</v>
      </c>
      <c r="P1787" t="s">
        <v>110</v>
      </c>
      <c r="Q1787" t="s">
        <v>111</v>
      </c>
      <c r="R1787" t="s">
        <v>111</v>
      </c>
      <c r="S1787" s="1">
        <v>46064</v>
      </c>
      <c r="T1787" s="1">
        <v>46064</v>
      </c>
      <c r="U1787" s="1">
        <v>46059</v>
      </c>
      <c r="V1787" s="1">
        <v>46429</v>
      </c>
      <c r="W1787" t="s">
        <v>38</v>
      </c>
      <c r="X1787">
        <v>12</v>
      </c>
      <c r="Y1787" t="s">
        <v>49</v>
      </c>
      <c r="Z1787" t="s">
        <v>81</v>
      </c>
      <c r="AA1787" t="s">
        <v>122</v>
      </c>
      <c r="AB1787">
        <v>12</v>
      </c>
      <c r="AC1787" t="s">
        <v>113</v>
      </c>
      <c r="AD1787" t="s">
        <v>85</v>
      </c>
      <c r="AE1787" t="s">
        <v>46</v>
      </c>
      <c r="AF1787" t="s">
        <v>44</v>
      </c>
      <c r="AG1787" t="str">
        <f t="shared" si="29"/>
        <v>Recorrente</v>
      </c>
      <c r="AH1787" t="str">
        <f>IF(AND(SUMIF(E:E,E1787,I:I)&gt;=400000,Q1787="B2G"),"n","")</f>
        <v/>
      </c>
    </row>
    <row r="1788" spans="1:34">
      <c r="A1788">
        <v>2026</v>
      </c>
      <c r="B1788">
        <v>2</v>
      </c>
      <c r="C1788" s="83">
        <v>51224347270</v>
      </c>
      <c r="D1788" t="s">
        <v>1702</v>
      </c>
      <c r="E1788">
        <v>55734456340</v>
      </c>
      <c r="F1788">
        <v>526613</v>
      </c>
      <c r="G1788">
        <v>51288850968</v>
      </c>
      <c r="H1788" t="s">
        <v>35</v>
      </c>
      <c r="I1788" s="36">
        <v>4854.6000000000004</v>
      </c>
      <c r="J1788" s="36">
        <v>4854.6000000000004</v>
      </c>
      <c r="K1788" s="85">
        <v>0</v>
      </c>
      <c r="L1788" s="36">
        <v>404.55</v>
      </c>
      <c r="M1788" s="36">
        <v>0</v>
      </c>
      <c r="N1788" s="36">
        <v>51.564999999999998</v>
      </c>
      <c r="O1788" s="36">
        <v>352.98500000000001</v>
      </c>
      <c r="P1788" t="s">
        <v>110</v>
      </c>
      <c r="Q1788" t="s">
        <v>111</v>
      </c>
      <c r="R1788" t="s">
        <v>111</v>
      </c>
      <c r="S1788" s="1">
        <v>46064</v>
      </c>
      <c r="T1788" s="1">
        <v>46064</v>
      </c>
      <c r="U1788" s="1">
        <v>46059</v>
      </c>
      <c r="V1788" s="1">
        <v>46429</v>
      </c>
      <c r="W1788" t="s">
        <v>38</v>
      </c>
      <c r="X1788">
        <v>12</v>
      </c>
      <c r="Y1788" t="s">
        <v>49</v>
      </c>
      <c r="Z1788" t="s">
        <v>81</v>
      </c>
      <c r="AA1788" t="s">
        <v>122</v>
      </c>
      <c r="AB1788">
        <v>12</v>
      </c>
      <c r="AC1788" t="s">
        <v>113</v>
      </c>
      <c r="AD1788" t="s">
        <v>84</v>
      </c>
      <c r="AE1788" t="s">
        <v>43</v>
      </c>
      <c r="AF1788" t="s">
        <v>44</v>
      </c>
      <c r="AG1788" t="str">
        <f t="shared" si="29"/>
        <v>Recorrente</v>
      </c>
      <c r="AH1788" t="str">
        <f>IF(AND(SUMIF(E:E,E1788,I:I)&gt;=400000,Q1788="B2G"),"n","")</f>
        <v/>
      </c>
    </row>
    <row r="1789" spans="1:34">
      <c r="A1789">
        <v>2026</v>
      </c>
      <c r="B1789">
        <v>2</v>
      </c>
      <c r="C1789" s="83">
        <v>51354414935</v>
      </c>
      <c r="D1789" t="s">
        <v>1703</v>
      </c>
      <c r="E1789">
        <v>56432698015</v>
      </c>
      <c r="F1789">
        <v>636107</v>
      </c>
      <c r="G1789">
        <v>51581533709</v>
      </c>
      <c r="H1789" t="s">
        <v>35</v>
      </c>
      <c r="I1789" s="36">
        <v>9354</v>
      </c>
      <c r="J1789" s="36">
        <v>9354</v>
      </c>
      <c r="K1789" s="85">
        <v>0</v>
      </c>
      <c r="L1789" s="36">
        <v>779.5</v>
      </c>
      <c r="M1789" s="36">
        <v>779.5</v>
      </c>
      <c r="N1789" s="36">
        <v>0</v>
      </c>
      <c r="O1789" s="36">
        <v>0</v>
      </c>
      <c r="P1789" t="s">
        <v>497</v>
      </c>
      <c r="Q1789" t="s">
        <v>498</v>
      </c>
      <c r="R1789" t="s">
        <v>498</v>
      </c>
      <c r="S1789" s="1">
        <v>46069</v>
      </c>
      <c r="T1789" s="1">
        <v>46069</v>
      </c>
      <c r="U1789" s="1"/>
      <c r="V1789" s="1">
        <v>46434</v>
      </c>
      <c r="W1789" t="s">
        <v>38</v>
      </c>
      <c r="X1789">
        <v>12</v>
      </c>
      <c r="Y1789" t="s">
        <v>49</v>
      </c>
      <c r="AA1789" t="s">
        <v>112</v>
      </c>
      <c r="AB1789">
        <v>12</v>
      </c>
      <c r="AC1789" t="s">
        <v>499</v>
      </c>
      <c r="AD1789" t="s">
        <v>134</v>
      </c>
      <c r="AE1789" t="s">
        <v>135</v>
      </c>
      <c r="AF1789" t="s">
        <v>44</v>
      </c>
      <c r="AG1789" t="str">
        <f t="shared" si="29"/>
        <v>CC 12x</v>
      </c>
      <c r="AH1789" t="str">
        <f>IF(AND(SUMIF(E:E,E1789,I:I)&gt;=400000,Q1789="B2G"),"n","")</f>
        <v/>
      </c>
    </row>
    <row r="1790" spans="1:34">
      <c r="A1790">
        <v>2026</v>
      </c>
      <c r="B1790">
        <v>2</v>
      </c>
      <c r="C1790" s="83">
        <v>51621236330</v>
      </c>
      <c r="D1790" t="s">
        <v>1704</v>
      </c>
      <c r="E1790">
        <v>56700432471</v>
      </c>
      <c r="F1790">
        <v>636200</v>
      </c>
      <c r="G1790">
        <v>51982185848</v>
      </c>
      <c r="H1790" t="s">
        <v>35</v>
      </c>
      <c r="I1790" s="36">
        <v>2730.24</v>
      </c>
      <c r="J1790" s="36">
        <v>2730.3</v>
      </c>
      <c r="K1790" s="85">
        <v>0</v>
      </c>
      <c r="L1790" s="36">
        <v>227.52500000000001</v>
      </c>
      <c r="M1790" s="36">
        <v>227.52500000000001</v>
      </c>
      <c r="N1790" s="36">
        <v>0</v>
      </c>
      <c r="O1790" s="36">
        <v>0</v>
      </c>
      <c r="P1790" t="s">
        <v>129</v>
      </c>
      <c r="Q1790" t="s">
        <v>91</v>
      </c>
      <c r="R1790" t="s">
        <v>91</v>
      </c>
      <c r="S1790" s="1">
        <v>46076</v>
      </c>
      <c r="T1790" s="1">
        <v>46076</v>
      </c>
      <c r="V1790" s="1">
        <v>46441</v>
      </c>
      <c r="W1790" t="s">
        <v>38</v>
      </c>
      <c r="X1790">
        <v>12</v>
      </c>
      <c r="Y1790" t="s">
        <v>49</v>
      </c>
      <c r="AA1790" t="s">
        <v>112</v>
      </c>
      <c r="AB1790">
        <v>12</v>
      </c>
      <c r="AC1790" t="s">
        <v>93</v>
      </c>
      <c r="AD1790" t="s">
        <v>140</v>
      </c>
      <c r="AE1790" t="s">
        <v>46</v>
      </c>
      <c r="AF1790" t="s">
        <v>119</v>
      </c>
      <c r="AG1790" t="str">
        <f t="shared" si="29"/>
        <v>CC 12x</v>
      </c>
      <c r="AH1790" t="str">
        <f>IF(AND(SUMIF(E:E,E1790,I:I)&gt;=400000,Q1790="B2G"),"n","")</f>
        <v/>
      </c>
    </row>
    <row r="1791" spans="1:34">
      <c r="A1791">
        <v>2026</v>
      </c>
      <c r="B1791">
        <v>2</v>
      </c>
      <c r="C1791" s="83">
        <v>51632325717</v>
      </c>
      <c r="D1791" t="s">
        <v>1705</v>
      </c>
      <c r="E1791">
        <v>56560758827</v>
      </c>
      <c r="F1791">
        <v>636112</v>
      </c>
      <c r="G1791">
        <v>51829741659</v>
      </c>
      <c r="H1791" t="s">
        <v>35</v>
      </c>
      <c r="I1791" s="36">
        <v>3600.6</v>
      </c>
      <c r="J1791" s="36">
        <v>3600.6012000000001</v>
      </c>
      <c r="K1791" s="85">
        <v>0</v>
      </c>
      <c r="L1791" s="36">
        <v>300.05009999999999</v>
      </c>
      <c r="M1791" s="36">
        <v>300.05009999999999</v>
      </c>
      <c r="N1791" s="36">
        <v>0</v>
      </c>
      <c r="O1791" s="36">
        <v>0</v>
      </c>
      <c r="P1791" t="s">
        <v>829</v>
      </c>
      <c r="Q1791" t="s">
        <v>300</v>
      </c>
      <c r="R1791" t="s">
        <v>300</v>
      </c>
      <c r="S1791" s="1">
        <v>46070</v>
      </c>
      <c r="T1791" s="1">
        <v>46070</v>
      </c>
      <c r="V1791" s="1">
        <v>46435</v>
      </c>
      <c r="W1791" t="s">
        <v>38</v>
      </c>
      <c r="X1791">
        <v>12</v>
      </c>
      <c r="Y1791" t="s">
        <v>49</v>
      </c>
      <c r="AA1791" t="s">
        <v>117</v>
      </c>
      <c r="AB1791">
        <v>1</v>
      </c>
      <c r="AC1791" t="s">
        <v>301</v>
      </c>
      <c r="AD1791" t="s">
        <v>160</v>
      </c>
      <c r="AE1791" t="s">
        <v>43</v>
      </c>
      <c r="AF1791" t="s">
        <v>44</v>
      </c>
      <c r="AG1791" t="str">
        <f t="shared" si="29"/>
        <v>À Vista</v>
      </c>
      <c r="AH1791" t="str">
        <f>IF(AND(SUMIF(E:E,E1791,I:I)&gt;=400000,Q1791="B2G"),"n","")</f>
        <v/>
      </c>
    </row>
    <row r="1792" spans="1:34">
      <c r="A1792">
        <v>2026</v>
      </c>
      <c r="B1792">
        <v>2</v>
      </c>
      <c r="C1792" s="83">
        <v>51690640208</v>
      </c>
      <c r="D1792" t="s">
        <v>1706</v>
      </c>
      <c r="E1792">
        <v>56463082606</v>
      </c>
      <c r="F1792">
        <v>328350</v>
      </c>
      <c r="G1792">
        <v>51905769626</v>
      </c>
      <c r="H1792" t="s">
        <v>35</v>
      </c>
      <c r="I1792" s="36">
        <v>4638.6000000000004</v>
      </c>
      <c r="J1792" s="36">
        <v>4638.6000000000004</v>
      </c>
      <c r="K1792" s="85">
        <v>0</v>
      </c>
      <c r="L1792" s="36">
        <v>386.55</v>
      </c>
      <c r="M1792" s="36">
        <v>0</v>
      </c>
      <c r="N1792" s="36">
        <v>18.45</v>
      </c>
      <c r="O1792" s="36">
        <v>368.1</v>
      </c>
      <c r="P1792" t="s">
        <v>133</v>
      </c>
      <c r="Q1792" t="s">
        <v>111</v>
      </c>
      <c r="R1792" t="s">
        <v>111</v>
      </c>
      <c r="S1792" s="1">
        <v>46072</v>
      </c>
      <c r="T1792" s="1">
        <v>46072</v>
      </c>
      <c r="U1792" s="1">
        <v>46069</v>
      </c>
      <c r="V1792" s="1">
        <v>46434</v>
      </c>
      <c r="W1792" t="s">
        <v>38</v>
      </c>
      <c r="X1792">
        <v>12</v>
      </c>
      <c r="Y1792" t="s">
        <v>49</v>
      </c>
      <c r="Z1792" t="s">
        <v>81</v>
      </c>
      <c r="AA1792" t="s">
        <v>117</v>
      </c>
      <c r="AB1792">
        <v>1</v>
      </c>
      <c r="AC1792" t="s">
        <v>113</v>
      </c>
      <c r="AD1792" t="s">
        <v>163</v>
      </c>
      <c r="AE1792" t="s">
        <v>43</v>
      </c>
      <c r="AF1792" t="s">
        <v>96</v>
      </c>
      <c r="AG1792" t="str">
        <f t="shared" si="29"/>
        <v>À Vista</v>
      </c>
      <c r="AH1792" t="str">
        <f>IF(AND(SUMIF(E:E,E1792,I:I)&gt;=400000,Q1792="B2G"),"n","")</f>
        <v/>
      </c>
    </row>
    <row r="1793" spans="1:34">
      <c r="A1793">
        <v>2026</v>
      </c>
      <c r="B1793">
        <v>2</v>
      </c>
      <c r="C1793" s="83">
        <v>51691459115</v>
      </c>
      <c r="D1793" t="s">
        <v>1707</v>
      </c>
      <c r="E1793">
        <v>56609571153</v>
      </c>
      <c r="F1793">
        <v>636186</v>
      </c>
      <c r="G1793">
        <v>51983780514</v>
      </c>
      <c r="H1793" t="s">
        <v>35</v>
      </c>
      <c r="I1793" s="36">
        <v>5754</v>
      </c>
      <c r="J1793" s="36">
        <v>5754</v>
      </c>
      <c r="K1793" s="85">
        <v>0</v>
      </c>
      <c r="L1793" s="36">
        <v>479.5</v>
      </c>
      <c r="M1793" s="36">
        <v>479.5</v>
      </c>
      <c r="N1793" s="36">
        <v>0</v>
      </c>
      <c r="O1793" s="36">
        <v>0</v>
      </c>
      <c r="P1793" t="s">
        <v>129</v>
      </c>
      <c r="Q1793" t="s">
        <v>91</v>
      </c>
      <c r="R1793" t="s">
        <v>91</v>
      </c>
      <c r="S1793" s="1">
        <v>46073</v>
      </c>
      <c r="T1793" s="1">
        <v>46073</v>
      </c>
      <c r="U1793" s="1"/>
      <c r="V1793" s="1">
        <v>46438</v>
      </c>
      <c r="W1793" t="s">
        <v>38</v>
      </c>
      <c r="X1793">
        <v>12</v>
      </c>
      <c r="Y1793" t="s">
        <v>49</v>
      </c>
      <c r="AA1793" t="s">
        <v>92</v>
      </c>
      <c r="AB1793">
        <v>12</v>
      </c>
      <c r="AC1793" t="s">
        <v>93</v>
      </c>
      <c r="AD1793" t="s">
        <v>85</v>
      </c>
      <c r="AE1793" t="s">
        <v>46</v>
      </c>
      <c r="AF1793" t="s">
        <v>44</v>
      </c>
      <c r="AG1793" t="str">
        <f t="shared" si="29"/>
        <v>Recorrente</v>
      </c>
      <c r="AH1793" t="str">
        <f>IF(AND(SUMIF(E:E,E1793,I:I)&gt;=400000,Q1793="B2G"),"n","")</f>
        <v/>
      </c>
    </row>
    <row r="1794" spans="1:34">
      <c r="A1794">
        <v>2026</v>
      </c>
      <c r="B1794">
        <v>2</v>
      </c>
      <c r="C1794" s="83">
        <v>51722011982</v>
      </c>
      <c r="D1794" t="s">
        <v>1708</v>
      </c>
      <c r="E1794">
        <v>56596215454</v>
      </c>
      <c r="F1794">
        <v>636171</v>
      </c>
      <c r="G1794">
        <v>51938950280</v>
      </c>
      <c r="H1794" t="s">
        <v>35</v>
      </c>
      <c r="I1794" s="36">
        <v>2644.08</v>
      </c>
      <c r="J1794" s="36">
        <v>2644.08</v>
      </c>
      <c r="K1794" s="85">
        <v>0</v>
      </c>
      <c r="L1794" s="36">
        <v>220.34</v>
      </c>
      <c r="M1794" s="36">
        <v>0</v>
      </c>
      <c r="N1794" s="36">
        <v>220.34</v>
      </c>
      <c r="O1794" s="36">
        <v>0</v>
      </c>
      <c r="P1794" t="s">
        <v>323</v>
      </c>
      <c r="Q1794" t="s">
        <v>191</v>
      </c>
      <c r="R1794" t="s">
        <v>191</v>
      </c>
      <c r="S1794" s="1">
        <v>46073</v>
      </c>
      <c r="T1794" s="1">
        <v>46073</v>
      </c>
      <c r="V1794" s="1">
        <v>46438</v>
      </c>
      <c r="W1794" t="s">
        <v>38</v>
      </c>
      <c r="X1794">
        <v>12</v>
      </c>
      <c r="Y1794" t="s">
        <v>49</v>
      </c>
      <c r="AA1794" t="s">
        <v>112</v>
      </c>
      <c r="AB1794">
        <v>12</v>
      </c>
      <c r="AC1794" t="s">
        <v>192</v>
      </c>
      <c r="AD1794" t="s">
        <v>118</v>
      </c>
      <c r="AE1794" t="s">
        <v>43</v>
      </c>
      <c r="AF1794" t="s">
        <v>119</v>
      </c>
      <c r="AG1794" t="str">
        <f t="shared" si="29"/>
        <v>CC 12x</v>
      </c>
      <c r="AH1794" t="str">
        <f>IF(AND(SUMIF(E:E,E1794,I:I)&gt;=400000,Q1794="B2G"),"n","")</f>
        <v/>
      </c>
    </row>
    <row r="1795" spans="1:34">
      <c r="A1795">
        <v>2026</v>
      </c>
      <c r="B1795">
        <v>2</v>
      </c>
      <c r="C1795" s="83">
        <v>51722328857</v>
      </c>
      <c r="D1795" t="s">
        <v>1709</v>
      </c>
      <c r="E1795">
        <v>56878649423</v>
      </c>
      <c r="F1795">
        <v>636243</v>
      </c>
      <c r="G1795">
        <v>52042431013</v>
      </c>
      <c r="H1795" t="s">
        <v>35</v>
      </c>
      <c r="I1795" s="36">
        <v>5514</v>
      </c>
      <c r="J1795" s="36">
        <v>5514</v>
      </c>
      <c r="K1795" s="85">
        <v>0</v>
      </c>
      <c r="L1795" s="36">
        <v>459.5</v>
      </c>
      <c r="M1795" s="36">
        <v>459.5</v>
      </c>
      <c r="N1795" s="36">
        <v>0</v>
      </c>
      <c r="O1795" s="36">
        <v>0</v>
      </c>
      <c r="P1795" t="s">
        <v>129</v>
      </c>
      <c r="Q1795" t="s">
        <v>91</v>
      </c>
      <c r="R1795" t="s">
        <v>91</v>
      </c>
      <c r="S1795" s="1">
        <v>46078</v>
      </c>
      <c r="T1795" s="1">
        <v>46078</v>
      </c>
      <c r="V1795" s="1">
        <v>46443</v>
      </c>
      <c r="W1795" t="s">
        <v>38</v>
      </c>
      <c r="X1795">
        <v>12</v>
      </c>
      <c r="Y1795" t="s">
        <v>49</v>
      </c>
      <c r="AA1795" t="s">
        <v>92</v>
      </c>
      <c r="AB1795">
        <v>12</v>
      </c>
      <c r="AC1795" t="s">
        <v>93</v>
      </c>
      <c r="AD1795" t="s">
        <v>138</v>
      </c>
      <c r="AE1795" t="s">
        <v>135</v>
      </c>
      <c r="AF1795" t="s">
        <v>119</v>
      </c>
      <c r="AG1795" t="str">
        <f t="shared" si="29"/>
        <v>Recorrente</v>
      </c>
      <c r="AH1795" t="str">
        <f>IF(AND(SUMIF(E:E,E1795,I:I)&gt;=400000,Q1795="B2G"),"n","")</f>
        <v/>
      </c>
    </row>
    <row r="1796" spans="1:34">
      <c r="A1796">
        <v>2026</v>
      </c>
      <c r="B1796">
        <v>2</v>
      </c>
      <c r="C1796" s="83">
        <v>51724606752</v>
      </c>
      <c r="D1796" t="s">
        <v>1710</v>
      </c>
      <c r="E1796">
        <v>57096525315</v>
      </c>
      <c r="F1796">
        <v>636290</v>
      </c>
      <c r="G1796">
        <v>52401580948</v>
      </c>
      <c r="H1796" t="s">
        <v>35</v>
      </c>
      <c r="I1796" s="36">
        <v>2874</v>
      </c>
      <c r="J1796" s="36">
        <v>2874</v>
      </c>
      <c r="K1796" s="85">
        <v>0</v>
      </c>
      <c r="L1796" s="36">
        <v>239.5</v>
      </c>
      <c r="M1796" s="36">
        <v>239.5</v>
      </c>
      <c r="N1796" s="36">
        <v>0</v>
      </c>
      <c r="O1796" s="36">
        <v>0</v>
      </c>
      <c r="P1796" t="s">
        <v>361</v>
      </c>
      <c r="Q1796" t="s">
        <v>349</v>
      </c>
      <c r="R1796" t="s">
        <v>349</v>
      </c>
      <c r="S1796" s="1">
        <v>46080</v>
      </c>
      <c r="T1796" s="1">
        <v>46080</v>
      </c>
      <c r="V1796" s="1">
        <v>46445</v>
      </c>
      <c r="W1796" t="s">
        <v>38</v>
      </c>
      <c r="X1796">
        <v>12</v>
      </c>
      <c r="Y1796" t="s">
        <v>49</v>
      </c>
      <c r="AA1796" t="s">
        <v>122</v>
      </c>
      <c r="AB1796">
        <v>12</v>
      </c>
      <c r="AC1796" t="s">
        <v>350</v>
      </c>
      <c r="AD1796" t="s">
        <v>140</v>
      </c>
      <c r="AE1796" t="s">
        <v>46</v>
      </c>
      <c r="AF1796" t="s">
        <v>119</v>
      </c>
      <c r="AG1796" t="str">
        <f t="shared" si="29"/>
        <v>Recorrente</v>
      </c>
      <c r="AH1796" t="str">
        <f>IF(AND(SUMIF(E:E,E1796,I:I)&gt;=400000,Q1796="B2G"),"n","")</f>
        <v/>
      </c>
    </row>
    <row r="1797" spans="1:34">
      <c r="A1797">
        <v>2026</v>
      </c>
      <c r="B1797">
        <v>2</v>
      </c>
      <c r="C1797" s="83">
        <v>51724606752</v>
      </c>
      <c r="D1797" t="s">
        <v>1710</v>
      </c>
      <c r="E1797">
        <v>57096525315</v>
      </c>
      <c r="F1797">
        <v>636290</v>
      </c>
      <c r="G1797">
        <v>52401580949</v>
      </c>
      <c r="H1797" t="s">
        <v>35</v>
      </c>
      <c r="I1797" s="36">
        <v>5034</v>
      </c>
      <c r="J1797" s="36">
        <v>5034</v>
      </c>
      <c r="K1797" s="85">
        <v>0</v>
      </c>
      <c r="L1797" s="36">
        <v>419.5</v>
      </c>
      <c r="M1797" s="36">
        <v>419.5</v>
      </c>
      <c r="N1797" s="36">
        <v>0</v>
      </c>
      <c r="O1797" s="36">
        <v>0</v>
      </c>
      <c r="P1797" t="s">
        <v>361</v>
      </c>
      <c r="Q1797" t="s">
        <v>349</v>
      </c>
      <c r="R1797" t="s">
        <v>349</v>
      </c>
      <c r="S1797" s="1">
        <v>46080</v>
      </c>
      <c r="T1797" s="1">
        <v>46080</v>
      </c>
      <c r="V1797" s="1">
        <v>46445</v>
      </c>
      <c r="W1797" t="s">
        <v>38</v>
      </c>
      <c r="X1797">
        <v>12</v>
      </c>
      <c r="Y1797" t="s">
        <v>49</v>
      </c>
      <c r="AA1797" t="s">
        <v>122</v>
      </c>
      <c r="AB1797">
        <v>12</v>
      </c>
      <c r="AC1797" t="s">
        <v>350</v>
      </c>
      <c r="AD1797" t="s">
        <v>84</v>
      </c>
      <c r="AE1797" t="s">
        <v>43</v>
      </c>
      <c r="AF1797" t="s">
        <v>44</v>
      </c>
      <c r="AG1797" t="str">
        <f t="shared" si="29"/>
        <v>Recorrente</v>
      </c>
      <c r="AH1797" t="str">
        <f>IF(AND(SUMIF(E:E,E1797,I:I)&gt;=400000,Q1797="B2G"),"n","")</f>
        <v/>
      </c>
    </row>
    <row r="1798" spans="1:34">
      <c r="A1798">
        <v>2026</v>
      </c>
      <c r="B1798">
        <v>2</v>
      </c>
      <c r="C1798" s="83">
        <v>51724610116</v>
      </c>
      <c r="D1798" t="s">
        <v>1711</v>
      </c>
      <c r="E1798">
        <v>56664413098</v>
      </c>
      <c r="F1798">
        <v>636185</v>
      </c>
      <c r="G1798">
        <v>51977246808</v>
      </c>
      <c r="H1798" t="s">
        <v>35</v>
      </c>
      <c r="I1798" s="36">
        <v>8418.6</v>
      </c>
      <c r="J1798" s="36">
        <v>8418.6</v>
      </c>
      <c r="K1798" s="85">
        <v>0</v>
      </c>
      <c r="L1798" s="36">
        <v>701.55</v>
      </c>
      <c r="M1798" s="36">
        <v>701.55</v>
      </c>
      <c r="N1798" s="36">
        <v>0</v>
      </c>
      <c r="O1798" s="36">
        <v>0</v>
      </c>
      <c r="P1798" t="s">
        <v>506</v>
      </c>
      <c r="Q1798" t="s">
        <v>300</v>
      </c>
      <c r="R1798" t="s">
        <v>300</v>
      </c>
      <c r="S1798" s="1">
        <v>46073</v>
      </c>
      <c r="T1798" s="1">
        <v>46073</v>
      </c>
      <c r="V1798" s="1">
        <v>46438</v>
      </c>
      <c r="W1798" t="s">
        <v>38</v>
      </c>
      <c r="X1798">
        <v>12</v>
      </c>
      <c r="Y1798" t="s">
        <v>49</v>
      </c>
      <c r="AA1798" t="s">
        <v>112</v>
      </c>
      <c r="AB1798">
        <v>12</v>
      </c>
      <c r="AC1798" t="s">
        <v>301</v>
      </c>
      <c r="AD1798" t="s">
        <v>134</v>
      </c>
      <c r="AE1798" t="s">
        <v>135</v>
      </c>
      <c r="AF1798" t="s">
        <v>44</v>
      </c>
      <c r="AG1798" t="str">
        <f t="shared" si="29"/>
        <v>CC 12x</v>
      </c>
      <c r="AH1798" t="str">
        <f>IF(AND(SUMIF(E:E,E1798,I:I)&gt;=400000,Q1798="B2G"),"n","")</f>
        <v/>
      </c>
    </row>
    <row r="1799" spans="1:34">
      <c r="A1799">
        <v>2026</v>
      </c>
      <c r="B1799">
        <v>2</v>
      </c>
      <c r="C1799" s="83">
        <v>51763276570</v>
      </c>
      <c r="D1799" t="s">
        <v>1712</v>
      </c>
      <c r="E1799">
        <v>56759798581</v>
      </c>
      <c r="F1799">
        <v>636184</v>
      </c>
      <c r="G1799">
        <v>51984283716</v>
      </c>
      <c r="H1799" t="s">
        <v>35</v>
      </c>
      <c r="I1799" s="36">
        <v>4962.6000000000004</v>
      </c>
      <c r="J1799" s="36">
        <v>4962.6000000000004</v>
      </c>
      <c r="K1799" s="85">
        <v>0</v>
      </c>
      <c r="L1799" s="36">
        <v>413.55</v>
      </c>
      <c r="M1799" s="36">
        <v>413.55</v>
      </c>
      <c r="N1799" s="36">
        <v>0</v>
      </c>
      <c r="O1799" s="36">
        <v>0</v>
      </c>
      <c r="P1799" t="s">
        <v>129</v>
      </c>
      <c r="Q1799" t="s">
        <v>91</v>
      </c>
      <c r="R1799" t="s">
        <v>91</v>
      </c>
      <c r="S1799" s="1">
        <v>46073</v>
      </c>
      <c r="T1799" s="1">
        <v>46073</v>
      </c>
      <c r="V1799" s="1">
        <v>46438</v>
      </c>
      <c r="W1799" t="s">
        <v>38</v>
      </c>
      <c r="X1799">
        <v>12</v>
      </c>
      <c r="Y1799" t="s">
        <v>49</v>
      </c>
      <c r="AA1799" t="s">
        <v>117</v>
      </c>
      <c r="AB1799">
        <v>1</v>
      </c>
      <c r="AC1799" t="s">
        <v>93</v>
      </c>
      <c r="AD1799" t="s">
        <v>138</v>
      </c>
      <c r="AE1799" t="s">
        <v>135</v>
      </c>
      <c r="AF1799" t="s">
        <v>119</v>
      </c>
      <c r="AG1799" t="str">
        <f t="shared" si="29"/>
        <v>À Vista</v>
      </c>
      <c r="AH1799" t="str">
        <f>IF(AND(SUMIF(E:E,E1799,I:I)&gt;=400000,Q1799="B2G"),"n","")</f>
        <v/>
      </c>
    </row>
    <row r="1800" spans="1:34">
      <c r="A1800">
        <v>2026</v>
      </c>
      <c r="B1800">
        <v>2</v>
      </c>
      <c r="C1800" s="83">
        <v>51774929816</v>
      </c>
      <c r="D1800" t="s">
        <v>1713</v>
      </c>
      <c r="E1800">
        <v>56732240664</v>
      </c>
      <c r="F1800">
        <v>636178</v>
      </c>
      <c r="G1800">
        <v>52030261887</v>
      </c>
      <c r="H1800" t="s">
        <v>35</v>
      </c>
      <c r="I1800" s="36">
        <v>2874</v>
      </c>
      <c r="J1800" s="36">
        <v>2874</v>
      </c>
      <c r="K1800" s="85">
        <v>0</v>
      </c>
      <c r="L1800" s="36">
        <v>239.5</v>
      </c>
      <c r="M1800" s="36">
        <v>239.5</v>
      </c>
      <c r="N1800" s="36">
        <v>0</v>
      </c>
      <c r="O1800" s="36">
        <v>0</v>
      </c>
      <c r="P1800" t="s">
        <v>497</v>
      </c>
      <c r="Q1800" t="s">
        <v>498</v>
      </c>
      <c r="R1800" t="s">
        <v>498</v>
      </c>
      <c r="S1800" s="1">
        <v>46073</v>
      </c>
      <c r="T1800" s="1">
        <v>46073</v>
      </c>
      <c r="V1800" s="1">
        <v>46438</v>
      </c>
      <c r="W1800" t="s">
        <v>38</v>
      </c>
      <c r="X1800">
        <v>12</v>
      </c>
      <c r="Y1800" t="s">
        <v>49</v>
      </c>
      <c r="AA1800" t="s">
        <v>117</v>
      </c>
      <c r="AB1800">
        <v>1</v>
      </c>
      <c r="AC1800" t="s">
        <v>499</v>
      </c>
      <c r="AD1800" t="s">
        <v>118</v>
      </c>
      <c r="AE1800" t="s">
        <v>43</v>
      </c>
      <c r="AF1800" t="s">
        <v>119</v>
      </c>
      <c r="AG1800" t="str">
        <f t="shared" si="29"/>
        <v>À Vista</v>
      </c>
      <c r="AH1800" t="str">
        <f>IF(AND(SUMIF(E:E,E1800,I:I)&gt;=400000,Q1800="B2G"),"n","")</f>
        <v/>
      </c>
    </row>
    <row r="1801" spans="1:34">
      <c r="A1801">
        <v>2026</v>
      </c>
      <c r="B1801">
        <v>2</v>
      </c>
      <c r="C1801" s="83">
        <v>51855075412</v>
      </c>
      <c r="D1801" t="s">
        <v>1714</v>
      </c>
      <c r="E1801">
        <v>56607736441</v>
      </c>
      <c r="F1801">
        <v>636216</v>
      </c>
      <c r="G1801">
        <v>52098702370</v>
      </c>
      <c r="H1801" t="s">
        <v>35</v>
      </c>
      <c r="I1801" s="36">
        <v>7134.84</v>
      </c>
      <c r="J1801" s="36">
        <v>5003.9744119999996</v>
      </c>
      <c r="K1801" s="85">
        <v>2130.8655880000001</v>
      </c>
      <c r="L1801" s="36">
        <v>416.99786769999997</v>
      </c>
      <c r="M1801" s="36">
        <v>0</v>
      </c>
      <c r="N1801" s="36">
        <v>416.99786769999997</v>
      </c>
      <c r="O1801" s="36">
        <v>0</v>
      </c>
      <c r="P1801" t="s">
        <v>190</v>
      </c>
      <c r="Q1801" t="s">
        <v>191</v>
      </c>
      <c r="R1801" t="s">
        <v>191</v>
      </c>
      <c r="S1801" s="1">
        <v>46076</v>
      </c>
      <c r="T1801" s="1">
        <v>46076</v>
      </c>
      <c r="V1801" s="1">
        <v>46441</v>
      </c>
      <c r="W1801" t="s">
        <v>38</v>
      </c>
      <c r="Y1801" t="s">
        <v>49</v>
      </c>
      <c r="AA1801" t="s">
        <v>92</v>
      </c>
      <c r="AB1801">
        <v>12</v>
      </c>
      <c r="AC1801" t="s">
        <v>192</v>
      </c>
      <c r="AD1801" t="s">
        <v>94</v>
      </c>
      <c r="AE1801" t="s">
        <v>95</v>
      </c>
      <c r="AF1801" t="s">
        <v>96</v>
      </c>
      <c r="AG1801" t="str">
        <f t="shared" si="29"/>
        <v>Recorrente</v>
      </c>
      <c r="AH1801" t="str">
        <f>IF(AND(SUMIF(E:E,E1801,I:I)&gt;=400000,Q1801="B2G"),"n","")</f>
        <v/>
      </c>
    </row>
    <row r="1802" spans="1:34">
      <c r="A1802">
        <v>2026</v>
      </c>
      <c r="B1802">
        <v>2</v>
      </c>
      <c r="C1802" s="83">
        <v>51855075412</v>
      </c>
      <c r="D1802" t="s">
        <v>1714</v>
      </c>
      <c r="E1802">
        <v>56607736441</v>
      </c>
      <c r="F1802">
        <v>636216</v>
      </c>
      <c r="G1802">
        <v>52098702371</v>
      </c>
      <c r="H1802" t="s">
        <v>35</v>
      </c>
      <c r="I1802" s="36">
        <v>3490.44</v>
      </c>
      <c r="J1802" s="36">
        <v>2448.0192699999998</v>
      </c>
      <c r="K1802" s="85">
        <v>1042.42073</v>
      </c>
      <c r="L1802" s="36">
        <v>204.00160579999999</v>
      </c>
      <c r="M1802" s="36">
        <v>0</v>
      </c>
      <c r="N1802" s="36">
        <v>204.00160579999999</v>
      </c>
      <c r="O1802" s="36">
        <v>0</v>
      </c>
      <c r="P1802" t="s">
        <v>190</v>
      </c>
      <c r="Q1802" t="s">
        <v>191</v>
      </c>
      <c r="R1802" t="s">
        <v>191</v>
      </c>
      <c r="S1802" s="1">
        <v>46076</v>
      </c>
      <c r="T1802" s="1">
        <v>46076</v>
      </c>
      <c r="V1802" s="1">
        <v>46441</v>
      </c>
      <c r="W1802" t="s">
        <v>38</v>
      </c>
      <c r="Y1802" t="s">
        <v>49</v>
      </c>
      <c r="AA1802" t="s">
        <v>92</v>
      </c>
      <c r="AB1802">
        <v>12</v>
      </c>
      <c r="AC1802" t="s">
        <v>192</v>
      </c>
      <c r="AD1802" t="s">
        <v>256</v>
      </c>
      <c r="AE1802" t="s">
        <v>257</v>
      </c>
      <c r="AF1802" t="s">
        <v>59</v>
      </c>
      <c r="AG1802" t="str">
        <f t="shared" si="29"/>
        <v>Recorrente</v>
      </c>
      <c r="AH1802" t="str">
        <f>IF(AND(SUMIF(E:E,E1802,I:I)&gt;=400000,Q1802="B2G"),"n","")</f>
        <v/>
      </c>
    </row>
    <row r="1803" spans="1:34">
      <c r="A1803">
        <v>2026</v>
      </c>
      <c r="B1803">
        <v>2</v>
      </c>
      <c r="C1803" s="83">
        <v>51855075412</v>
      </c>
      <c r="D1803" t="s">
        <v>1714</v>
      </c>
      <c r="E1803">
        <v>56607736441</v>
      </c>
      <c r="F1803">
        <v>636216</v>
      </c>
      <c r="G1803">
        <v>52098702372</v>
      </c>
      <c r="H1803" t="s">
        <v>35</v>
      </c>
      <c r="I1803" s="36">
        <v>3490.44</v>
      </c>
      <c r="J1803" s="36">
        <v>2448.0192699999998</v>
      </c>
      <c r="K1803" s="85">
        <v>1042.42073</v>
      </c>
      <c r="L1803" s="36">
        <v>204.00160579999999</v>
      </c>
      <c r="M1803" s="36">
        <v>0</v>
      </c>
      <c r="N1803" s="36">
        <v>204.00160579999999</v>
      </c>
      <c r="O1803" s="36">
        <v>0</v>
      </c>
      <c r="P1803" t="s">
        <v>190</v>
      </c>
      <c r="Q1803" t="s">
        <v>191</v>
      </c>
      <c r="R1803" t="s">
        <v>191</v>
      </c>
      <c r="S1803" s="1">
        <v>46076</v>
      </c>
      <c r="T1803" s="1">
        <v>46076</v>
      </c>
      <c r="V1803" s="1">
        <v>46441</v>
      </c>
      <c r="W1803" t="s">
        <v>38</v>
      </c>
      <c r="Y1803" t="s">
        <v>49</v>
      </c>
      <c r="AA1803" t="s">
        <v>92</v>
      </c>
      <c r="AB1803">
        <v>12</v>
      </c>
      <c r="AC1803" t="s">
        <v>192</v>
      </c>
      <c r="AD1803" t="s">
        <v>1026</v>
      </c>
      <c r="AE1803" t="s">
        <v>363</v>
      </c>
      <c r="AF1803" t="s">
        <v>59</v>
      </c>
      <c r="AG1803" t="str">
        <f t="shared" si="29"/>
        <v>Recorrente</v>
      </c>
      <c r="AH1803" t="str">
        <f>IF(AND(SUMIF(E:E,E1803,I:I)&gt;=400000,Q1803="B2G"),"n","")</f>
        <v/>
      </c>
    </row>
    <row r="1804" spans="1:34">
      <c r="A1804">
        <v>2026</v>
      </c>
      <c r="B1804">
        <v>2</v>
      </c>
      <c r="C1804" s="83">
        <v>51855075412</v>
      </c>
      <c r="D1804" t="s">
        <v>1714</v>
      </c>
      <c r="E1804">
        <v>56607736441</v>
      </c>
      <c r="F1804">
        <v>636216</v>
      </c>
      <c r="G1804">
        <v>52098702373</v>
      </c>
      <c r="H1804" t="s">
        <v>35</v>
      </c>
      <c r="I1804" s="36">
        <v>2804.04</v>
      </c>
      <c r="J1804" s="36">
        <v>1966.621067</v>
      </c>
      <c r="K1804" s="85">
        <v>837.41893319999997</v>
      </c>
      <c r="L1804" s="36">
        <v>163.8850889</v>
      </c>
      <c r="M1804" s="36">
        <v>0</v>
      </c>
      <c r="N1804" s="36">
        <v>163.8850889</v>
      </c>
      <c r="O1804" s="36">
        <v>0</v>
      </c>
      <c r="P1804" t="s">
        <v>190</v>
      </c>
      <c r="Q1804" t="s">
        <v>191</v>
      </c>
      <c r="R1804" t="s">
        <v>191</v>
      </c>
      <c r="S1804" s="1">
        <v>46076</v>
      </c>
      <c r="T1804" s="1">
        <v>46076</v>
      </c>
      <c r="V1804" s="1">
        <v>46441</v>
      </c>
      <c r="W1804" t="s">
        <v>38</v>
      </c>
      <c r="Y1804" t="s">
        <v>49</v>
      </c>
      <c r="AA1804" t="s">
        <v>92</v>
      </c>
      <c r="AB1804">
        <v>12</v>
      </c>
      <c r="AC1804" t="s">
        <v>192</v>
      </c>
      <c r="AD1804" t="s">
        <v>1715</v>
      </c>
      <c r="AE1804" t="s">
        <v>289</v>
      </c>
      <c r="AF1804" t="s">
        <v>59</v>
      </c>
      <c r="AG1804" t="str">
        <f t="shared" si="29"/>
        <v>Recorrente</v>
      </c>
      <c r="AH1804" t="str">
        <f>IF(AND(SUMIF(E:E,E1804,I:I)&gt;=400000,Q1804="B2G"),"n","")</f>
        <v/>
      </c>
    </row>
    <row r="1805" spans="1:34">
      <c r="A1805">
        <v>2026</v>
      </c>
      <c r="B1805">
        <v>2</v>
      </c>
      <c r="C1805" s="83">
        <v>51855075412</v>
      </c>
      <c r="D1805" t="s">
        <v>1714</v>
      </c>
      <c r="E1805">
        <v>56607736441</v>
      </c>
      <c r="F1805">
        <v>636216</v>
      </c>
      <c r="G1805">
        <v>52098702374</v>
      </c>
      <c r="H1805" t="s">
        <v>35</v>
      </c>
      <c r="I1805" s="36">
        <v>7950.84</v>
      </c>
      <c r="J1805" s="36">
        <v>5576.2659819999999</v>
      </c>
      <c r="K1805" s="85">
        <v>2374.5740179999998</v>
      </c>
      <c r="L1805" s="36">
        <v>464.6888318</v>
      </c>
      <c r="M1805" s="36">
        <v>0</v>
      </c>
      <c r="N1805" s="36">
        <v>464.6888318</v>
      </c>
      <c r="O1805" s="36">
        <v>0</v>
      </c>
      <c r="P1805" t="s">
        <v>190</v>
      </c>
      <c r="Q1805" t="s">
        <v>191</v>
      </c>
      <c r="R1805" t="s">
        <v>191</v>
      </c>
      <c r="S1805" s="1">
        <v>46076</v>
      </c>
      <c r="T1805" s="1">
        <v>46076</v>
      </c>
      <c r="V1805" s="1">
        <v>46441</v>
      </c>
      <c r="W1805" t="s">
        <v>38</v>
      </c>
      <c r="Y1805" t="s">
        <v>49</v>
      </c>
      <c r="AA1805" t="s">
        <v>92</v>
      </c>
      <c r="AB1805">
        <v>12</v>
      </c>
      <c r="AC1805" t="s">
        <v>192</v>
      </c>
      <c r="AD1805" t="s">
        <v>134</v>
      </c>
      <c r="AE1805" t="s">
        <v>135</v>
      </c>
      <c r="AF1805" t="s">
        <v>44</v>
      </c>
      <c r="AG1805" t="str">
        <f t="shared" si="29"/>
        <v>Recorrente</v>
      </c>
      <c r="AH1805" t="str">
        <f>IF(AND(SUMIF(E:E,E1805,I:I)&gt;=400000,Q1805="B2G"),"n","")</f>
        <v/>
      </c>
    </row>
    <row r="1806" spans="1:34">
      <c r="A1806">
        <v>2026</v>
      </c>
      <c r="B1806">
        <v>2</v>
      </c>
      <c r="C1806" s="83">
        <v>51855075412</v>
      </c>
      <c r="D1806" t="s">
        <v>1714</v>
      </c>
      <c r="E1806">
        <v>56985450915</v>
      </c>
      <c r="F1806">
        <v>636216</v>
      </c>
      <c r="G1806">
        <v>52162174741</v>
      </c>
      <c r="H1806" t="s">
        <v>35</v>
      </c>
      <c r="I1806" s="36">
        <v>3490.44</v>
      </c>
      <c r="J1806" s="36">
        <v>1365.62</v>
      </c>
      <c r="K1806" s="85">
        <v>2124.8200000000002</v>
      </c>
      <c r="L1806" s="36">
        <v>113.8016667</v>
      </c>
      <c r="M1806" s="36">
        <v>0</v>
      </c>
      <c r="N1806" s="36">
        <v>113.8016667</v>
      </c>
      <c r="O1806" s="36">
        <v>0</v>
      </c>
      <c r="P1806" t="s">
        <v>190</v>
      </c>
      <c r="Q1806" t="s">
        <v>191</v>
      </c>
      <c r="R1806" t="s">
        <v>191</v>
      </c>
      <c r="S1806" s="1">
        <v>46077</v>
      </c>
      <c r="T1806" s="1">
        <v>46077</v>
      </c>
      <c r="V1806" s="1">
        <v>46441</v>
      </c>
      <c r="W1806" t="s">
        <v>38</v>
      </c>
      <c r="X1806">
        <v>12</v>
      </c>
      <c r="Y1806" t="s">
        <v>49</v>
      </c>
      <c r="Z1806" t="s">
        <v>324</v>
      </c>
      <c r="AA1806" t="s">
        <v>92</v>
      </c>
      <c r="AB1806">
        <v>12</v>
      </c>
      <c r="AC1806" t="s">
        <v>192</v>
      </c>
      <c r="AD1806" t="s">
        <v>256</v>
      </c>
      <c r="AE1806" t="s">
        <v>257</v>
      </c>
      <c r="AF1806" t="s">
        <v>59</v>
      </c>
      <c r="AG1806" t="str">
        <f t="shared" si="29"/>
        <v>Recorrente</v>
      </c>
      <c r="AH1806" t="str">
        <f>IF(AND(SUMIF(E:E,E1806,I:I)&gt;=400000,Q1806="B2G"),"n","")</f>
        <v/>
      </c>
    </row>
    <row r="1807" spans="1:34">
      <c r="A1807">
        <v>2026</v>
      </c>
      <c r="B1807">
        <v>2</v>
      </c>
      <c r="C1807" s="83">
        <v>51855075412</v>
      </c>
      <c r="D1807" t="s">
        <v>1714</v>
      </c>
      <c r="E1807">
        <v>56985450915</v>
      </c>
      <c r="F1807">
        <v>636216</v>
      </c>
      <c r="G1807">
        <v>52162174742</v>
      </c>
      <c r="H1807" t="s">
        <v>35</v>
      </c>
      <c r="I1807" s="36">
        <v>3490.44</v>
      </c>
      <c r="J1807" s="36">
        <v>1365.62</v>
      </c>
      <c r="K1807" s="85">
        <v>2124.8200000000002</v>
      </c>
      <c r="L1807" s="36">
        <v>113.8016667</v>
      </c>
      <c r="M1807" s="36">
        <v>0</v>
      </c>
      <c r="N1807" s="36">
        <v>113.8016667</v>
      </c>
      <c r="O1807" s="36">
        <v>0</v>
      </c>
      <c r="P1807" t="s">
        <v>190</v>
      </c>
      <c r="Q1807" t="s">
        <v>191</v>
      </c>
      <c r="R1807" t="s">
        <v>191</v>
      </c>
      <c r="S1807" s="1">
        <v>46077</v>
      </c>
      <c r="T1807" s="1">
        <v>46077</v>
      </c>
      <c r="V1807" s="1">
        <v>46441</v>
      </c>
      <c r="W1807" t="s">
        <v>38</v>
      </c>
      <c r="X1807">
        <v>12</v>
      </c>
      <c r="Y1807" t="s">
        <v>49</v>
      </c>
      <c r="Z1807" t="s">
        <v>324</v>
      </c>
      <c r="AA1807" t="s">
        <v>92</v>
      </c>
      <c r="AB1807">
        <v>12</v>
      </c>
      <c r="AC1807" t="s">
        <v>192</v>
      </c>
      <c r="AD1807" t="s">
        <v>1026</v>
      </c>
      <c r="AE1807" t="s">
        <v>363</v>
      </c>
      <c r="AF1807" t="s">
        <v>59</v>
      </c>
      <c r="AG1807" t="str">
        <f t="shared" si="29"/>
        <v>Recorrente</v>
      </c>
      <c r="AH1807" t="str">
        <f>IF(AND(SUMIF(E:E,E1807,I:I)&gt;=400000,Q1807="B2G"),"n","")</f>
        <v/>
      </c>
    </row>
    <row r="1808" spans="1:34">
      <c r="A1808">
        <v>2026</v>
      </c>
      <c r="B1808">
        <v>2</v>
      </c>
      <c r="C1808" s="83">
        <v>51855075412</v>
      </c>
      <c r="D1808" t="s">
        <v>1714</v>
      </c>
      <c r="E1808">
        <v>56985450915</v>
      </c>
      <c r="F1808">
        <v>636216</v>
      </c>
      <c r="G1808">
        <v>52162174743</v>
      </c>
      <c r="H1808" t="s">
        <v>35</v>
      </c>
      <c r="I1808" s="36">
        <v>7134.84</v>
      </c>
      <c r="J1808" s="36">
        <v>1365.62</v>
      </c>
      <c r="K1808" s="85">
        <v>5769.22</v>
      </c>
      <c r="L1808" s="36">
        <v>113.8016667</v>
      </c>
      <c r="M1808" s="36">
        <v>0</v>
      </c>
      <c r="N1808" s="36">
        <v>113.8016667</v>
      </c>
      <c r="O1808" s="36">
        <v>0</v>
      </c>
      <c r="P1808" t="s">
        <v>190</v>
      </c>
      <c r="Q1808" t="s">
        <v>191</v>
      </c>
      <c r="R1808" t="s">
        <v>191</v>
      </c>
      <c r="S1808" s="1">
        <v>46077</v>
      </c>
      <c r="T1808" s="1">
        <v>46077</v>
      </c>
      <c r="V1808" s="1">
        <v>46441</v>
      </c>
      <c r="W1808" t="s">
        <v>38</v>
      </c>
      <c r="X1808">
        <v>12</v>
      </c>
      <c r="Y1808" t="s">
        <v>49</v>
      </c>
      <c r="Z1808" t="s">
        <v>324</v>
      </c>
      <c r="AA1808" t="s">
        <v>92</v>
      </c>
      <c r="AB1808">
        <v>12</v>
      </c>
      <c r="AC1808" t="s">
        <v>192</v>
      </c>
      <c r="AD1808" t="s">
        <v>94</v>
      </c>
      <c r="AE1808" t="s">
        <v>95</v>
      </c>
      <c r="AF1808" t="s">
        <v>96</v>
      </c>
      <c r="AG1808" t="str">
        <f t="shared" si="29"/>
        <v>Recorrente</v>
      </c>
      <c r="AH1808" t="str">
        <f>IF(AND(SUMIF(E:E,E1808,I:I)&gt;=400000,Q1808="B2G"),"n","")</f>
        <v/>
      </c>
    </row>
    <row r="1809" spans="1:34">
      <c r="A1809">
        <v>2026</v>
      </c>
      <c r="B1809">
        <v>2</v>
      </c>
      <c r="C1809" s="83">
        <v>51855075412</v>
      </c>
      <c r="D1809" t="s">
        <v>1714</v>
      </c>
      <c r="E1809">
        <v>56985450915</v>
      </c>
      <c r="F1809">
        <v>636216</v>
      </c>
      <c r="G1809">
        <v>52162174744</v>
      </c>
      <c r="H1809" t="s">
        <v>35</v>
      </c>
      <c r="I1809" s="36">
        <v>3506.88</v>
      </c>
      <c r="J1809" s="36">
        <v>1365.62</v>
      </c>
      <c r="K1809" s="85">
        <v>2141.2600000000002</v>
      </c>
      <c r="L1809" s="36">
        <v>113.8016667</v>
      </c>
      <c r="M1809" s="36">
        <v>0</v>
      </c>
      <c r="N1809" s="36">
        <v>113.8016667</v>
      </c>
      <c r="O1809" s="36">
        <v>0</v>
      </c>
      <c r="P1809" t="s">
        <v>190</v>
      </c>
      <c r="Q1809" t="s">
        <v>191</v>
      </c>
      <c r="R1809" t="s">
        <v>191</v>
      </c>
      <c r="S1809" s="1">
        <v>46077</v>
      </c>
      <c r="T1809" s="1">
        <v>46077</v>
      </c>
      <c r="V1809" s="1">
        <v>46441</v>
      </c>
      <c r="W1809" t="s">
        <v>38</v>
      </c>
      <c r="X1809">
        <v>12</v>
      </c>
      <c r="Y1809" t="s">
        <v>49</v>
      </c>
      <c r="Z1809" t="s">
        <v>324</v>
      </c>
      <c r="AA1809" t="s">
        <v>92</v>
      </c>
      <c r="AB1809">
        <v>12</v>
      </c>
      <c r="AC1809" t="s">
        <v>192</v>
      </c>
      <c r="AD1809" t="s">
        <v>1695</v>
      </c>
      <c r="AE1809" t="s">
        <v>1696</v>
      </c>
      <c r="AF1809" t="s">
        <v>59</v>
      </c>
      <c r="AG1809" t="str">
        <f t="shared" si="29"/>
        <v>Recorrente</v>
      </c>
      <c r="AH1809" t="str">
        <f>IF(AND(SUMIF(E:E,E1809,I:I)&gt;=400000,Q1809="B2G"),"n","")</f>
        <v/>
      </c>
    </row>
    <row r="1810" spans="1:34">
      <c r="A1810">
        <v>2026</v>
      </c>
      <c r="B1810">
        <v>2</v>
      </c>
      <c r="C1810" s="83">
        <v>51855075412</v>
      </c>
      <c r="D1810" t="s">
        <v>1714</v>
      </c>
      <c r="E1810">
        <v>56985450915</v>
      </c>
      <c r="F1810">
        <v>636216</v>
      </c>
      <c r="G1810">
        <v>52162174745</v>
      </c>
      <c r="H1810" t="s">
        <v>35</v>
      </c>
      <c r="I1810" s="36">
        <v>6469.2</v>
      </c>
      <c r="J1810" s="36">
        <v>1365.62</v>
      </c>
      <c r="K1810" s="85">
        <v>5103.58</v>
      </c>
      <c r="L1810" s="36">
        <v>113.8016667</v>
      </c>
      <c r="M1810" s="36">
        <v>0</v>
      </c>
      <c r="N1810" s="36">
        <v>113.8016667</v>
      </c>
      <c r="O1810" s="36">
        <v>0</v>
      </c>
      <c r="P1810" t="s">
        <v>190</v>
      </c>
      <c r="Q1810" t="s">
        <v>191</v>
      </c>
      <c r="R1810" t="s">
        <v>191</v>
      </c>
      <c r="S1810" s="1">
        <v>46077</v>
      </c>
      <c r="T1810" s="1">
        <v>46077</v>
      </c>
      <c r="V1810" s="1">
        <v>46441</v>
      </c>
      <c r="W1810" t="s">
        <v>38</v>
      </c>
      <c r="X1810">
        <v>12</v>
      </c>
      <c r="Y1810" t="s">
        <v>49</v>
      </c>
      <c r="Z1810" t="s">
        <v>324</v>
      </c>
      <c r="AA1810" t="s">
        <v>92</v>
      </c>
      <c r="AB1810">
        <v>12</v>
      </c>
      <c r="AC1810" t="s">
        <v>192</v>
      </c>
      <c r="AD1810" t="s">
        <v>833</v>
      </c>
      <c r="AE1810" t="s">
        <v>58</v>
      </c>
      <c r="AF1810" t="s">
        <v>59</v>
      </c>
      <c r="AG1810" t="str">
        <f t="shared" si="29"/>
        <v>Recorrente</v>
      </c>
      <c r="AH1810" t="str">
        <f>IF(AND(SUMIF(E:E,E1810,I:I)&gt;=400000,Q1810="B2G"),"n","")</f>
        <v/>
      </c>
    </row>
    <row r="1811" spans="1:34">
      <c r="A1811">
        <v>2026</v>
      </c>
      <c r="B1811">
        <v>2</v>
      </c>
      <c r="C1811" s="83">
        <v>51855075412</v>
      </c>
      <c r="D1811" t="s">
        <v>1714</v>
      </c>
      <c r="E1811">
        <v>56985450915</v>
      </c>
      <c r="F1811">
        <v>636216</v>
      </c>
      <c r="G1811">
        <v>52162174746</v>
      </c>
      <c r="H1811" t="s">
        <v>35</v>
      </c>
      <c r="I1811" s="36">
        <v>7950.84</v>
      </c>
      <c r="J1811" s="36">
        <v>1365.62</v>
      </c>
      <c r="K1811" s="85">
        <v>6585.22</v>
      </c>
      <c r="L1811" s="36">
        <v>113.8016667</v>
      </c>
      <c r="M1811" s="36">
        <v>0</v>
      </c>
      <c r="N1811" s="36">
        <v>113.8016667</v>
      </c>
      <c r="O1811" s="36">
        <v>0</v>
      </c>
      <c r="P1811" t="s">
        <v>190</v>
      </c>
      <c r="Q1811" t="s">
        <v>191</v>
      </c>
      <c r="R1811" t="s">
        <v>191</v>
      </c>
      <c r="S1811" s="1">
        <v>46077</v>
      </c>
      <c r="T1811" s="1">
        <v>46077</v>
      </c>
      <c r="V1811" s="1">
        <v>46441</v>
      </c>
      <c r="W1811" t="s">
        <v>38</v>
      </c>
      <c r="X1811">
        <v>12</v>
      </c>
      <c r="Y1811" t="s">
        <v>49</v>
      </c>
      <c r="Z1811" t="s">
        <v>324</v>
      </c>
      <c r="AA1811" t="s">
        <v>92</v>
      </c>
      <c r="AB1811">
        <v>12</v>
      </c>
      <c r="AC1811" t="s">
        <v>192</v>
      </c>
      <c r="AD1811" t="s">
        <v>134</v>
      </c>
      <c r="AE1811" t="s">
        <v>135</v>
      </c>
      <c r="AF1811" t="s">
        <v>44</v>
      </c>
      <c r="AG1811" t="str">
        <f t="shared" si="29"/>
        <v>Recorrente</v>
      </c>
      <c r="AH1811" t="str">
        <f>IF(AND(SUMIF(E:E,E1811,I:I)&gt;=400000,Q1811="B2G"),"n","")</f>
        <v/>
      </c>
    </row>
    <row r="1812" spans="1:34">
      <c r="A1812">
        <v>2026</v>
      </c>
      <c r="B1812">
        <v>2</v>
      </c>
      <c r="C1812" s="83">
        <v>51884679942</v>
      </c>
      <c r="D1812" t="s">
        <v>1716</v>
      </c>
      <c r="E1812">
        <v>56990794293</v>
      </c>
      <c r="F1812">
        <v>636282</v>
      </c>
      <c r="G1812">
        <v>52292080798</v>
      </c>
      <c r="H1812" t="s">
        <v>35</v>
      </c>
      <c r="I1812" s="36">
        <v>2874</v>
      </c>
      <c r="J1812" s="36">
        <v>2874</v>
      </c>
      <c r="K1812" s="85">
        <v>0</v>
      </c>
      <c r="L1812" s="36">
        <v>239.5</v>
      </c>
      <c r="M1812" s="36">
        <v>239.5</v>
      </c>
      <c r="N1812" s="36">
        <v>0</v>
      </c>
      <c r="O1812" s="36">
        <v>0</v>
      </c>
      <c r="P1812" t="s">
        <v>348</v>
      </c>
      <c r="Q1812" t="s">
        <v>349</v>
      </c>
      <c r="R1812" t="s">
        <v>349</v>
      </c>
      <c r="S1812" s="1">
        <v>46079</v>
      </c>
      <c r="T1812" s="1">
        <v>46079</v>
      </c>
      <c r="V1812" s="1">
        <v>46444</v>
      </c>
      <c r="W1812" t="s">
        <v>38</v>
      </c>
      <c r="X1812">
        <v>12</v>
      </c>
      <c r="Y1812" t="s">
        <v>49</v>
      </c>
      <c r="AA1812" t="s">
        <v>92</v>
      </c>
      <c r="AB1812">
        <v>12</v>
      </c>
      <c r="AC1812" t="s">
        <v>350</v>
      </c>
      <c r="AD1812" t="s">
        <v>140</v>
      </c>
      <c r="AE1812" t="s">
        <v>46</v>
      </c>
      <c r="AF1812" t="s">
        <v>119</v>
      </c>
      <c r="AG1812" t="str">
        <f t="shared" si="29"/>
        <v>Recorrente</v>
      </c>
      <c r="AH1812" t="str">
        <f>IF(AND(SUMIF(E:E,E1812,I:I)&gt;=400000,Q1812="B2G"),"n","")</f>
        <v/>
      </c>
    </row>
    <row r="1813" spans="1:34">
      <c r="A1813">
        <v>2026</v>
      </c>
      <c r="B1813">
        <v>2</v>
      </c>
      <c r="C1813" s="83">
        <v>51934090037</v>
      </c>
      <c r="D1813" t="s">
        <v>1717</v>
      </c>
      <c r="E1813">
        <v>56889757309</v>
      </c>
      <c r="F1813">
        <v>636271</v>
      </c>
      <c r="G1813">
        <v>52292387438</v>
      </c>
      <c r="H1813" t="s">
        <v>35</v>
      </c>
      <c r="I1813" s="36">
        <v>4882.92</v>
      </c>
      <c r="J1813" s="36">
        <v>4882.9799999999996</v>
      </c>
      <c r="K1813" s="85">
        <v>0</v>
      </c>
      <c r="L1813" s="36">
        <v>406.91500000000002</v>
      </c>
      <c r="M1813" s="36">
        <v>406.91500000000002</v>
      </c>
      <c r="N1813" s="36">
        <v>0</v>
      </c>
      <c r="O1813" s="36">
        <v>0</v>
      </c>
      <c r="P1813" t="s">
        <v>361</v>
      </c>
      <c r="Q1813" t="s">
        <v>349</v>
      </c>
      <c r="R1813" t="s">
        <v>349</v>
      </c>
      <c r="S1813" s="1">
        <v>46079</v>
      </c>
      <c r="T1813" s="1">
        <v>46079</v>
      </c>
      <c r="V1813" s="1">
        <v>46444</v>
      </c>
      <c r="W1813" t="s">
        <v>38</v>
      </c>
      <c r="X1813">
        <v>12</v>
      </c>
      <c r="Y1813" t="s">
        <v>49</v>
      </c>
      <c r="AA1813" t="s">
        <v>112</v>
      </c>
      <c r="AB1813">
        <v>12</v>
      </c>
      <c r="AC1813" t="s">
        <v>350</v>
      </c>
      <c r="AD1813" t="s">
        <v>84</v>
      </c>
      <c r="AE1813" t="s">
        <v>43</v>
      </c>
      <c r="AF1813" t="s">
        <v>44</v>
      </c>
      <c r="AG1813" t="str">
        <f t="shared" si="29"/>
        <v>CC 12x</v>
      </c>
      <c r="AH1813" t="str">
        <f>IF(AND(SUMIF(E:E,E1813,I:I)&gt;=400000,Q1813="B2G"),"n","")</f>
        <v/>
      </c>
    </row>
    <row r="1814" spans="1:34">
      <c r="A1814">
        <v>2026</v>
      </c>
      <c r="B1814">
        <v>2</v>
      </c>
      <c r="C1814" s="83">
        <v>51934090037</v>
      </c>
      <c r="D1814" t="s">
        <v>1717</v>
      </c>
      <c r="E1814">
        <v>56889757309</v>
      </c>
      <c r="F1814">
        <v>636271</v>
      </c>
      <c r="G1814">
        <v>52292387439</v>
      </c>
      <c r="H1814" t="s">
        <v>35</v>
      </c>
      <c r="I1814" s="36">
        <v>3951.72</v>
      </c>
      <c r="J1814" s="36">
        <v>3951.78</v>
      </c>
      <c r="K1814" s="85">
        <v>0</v>
      </c>
      <c r="L1814" s="36">
        <v>329.315</v>
      </c>
      <c r="M1814" s="36">
        <v>329.315</v>
      </c>
      <c r="N1814" s="36">
        <v>0</v>
      </c>
      <c r="O1814" s="36">
        <v>0</v>
      </c>
      <c r="P1814" t="s">
        <v>361</v>
      </c>
      <c r="Q1814" t="s">
        <v>349</v>
      </c>
      <c r="R1814" t="s">
        <v>349</v>
      </c>
      <c r="S1814" s="1">
        <v>46079</v>
      </c>
      <c r="T1814" s="1">
        <v>46079</v>
      </c>
      <c r="V1814" s="1">
        <v>46444</v>
      </c>
      <c r="W1814" t="s">
        <v>38</v>
      </c>
      <c r="X1814">
        <v>12</v>
      </c>
      <c r="Y1814" t="s">
        <v>49</v>
      </c>
      <c r="AA1814" t="s">
        <v>112</v>
      </c>
      <c r="AB1814">
        <v>12</v>
      </c>
      <c r="AC1814" t="s">
        <v>350</v>
      </c>
      <c r="AD1814" t="s">
        <v>160</v>
      </c>
      <c r="AE1814" t="s">
        <v>43</v>
      </c>
      <c r="AF1814" t="s">
        <v>44</v>
      </c>
      <c r="AG1814" t="str">
        <f t="shared" si="29"/>
        <v>CC 12x</v>
      </c>
      <c r="AH1814" t="str">
        <f>IF(AND(SUMIF(E:E,E1814,I:I)&gt;=400000,Q1814="B2G"),"n","")</f>
        <v/>
      </c>
    </row>
    <row r="1815" spans="1:34">
      <c r="A1815">
        <v>2026</v>
      </c>
      <c r="B1815">
        <v>2</v>
      </c>
      <c r="C1815" s="83">
        <v>51943026217</v>
      </c>
      <c r="D1815" t="s">
        <v>1718</v>
      </c>
      <c r="E1815">
        <v>56993220000</v>
      </c>
      <c r="F1815">
        <v>636244</v>
      </c>
      <c r="G1815">
        <v>52292685745</v>
      </c>
      <c r="H1815" t="s">
        <v>35</v>
      </c>
      <c r="I1815" s="36">
        <v>4074</v>
      </c>
      <c r="J1815" s="36">
        <v>4074</v>
      </c>
      <c r="K1815" s="85">
        <v>0</v>
      </c>
      <c r="L1815" s="36">
        <v>339.5</v>
      </c>
      <c r="M1815" s="36">
        <v>339.5</v>
      </c>
      <c r="N1815" s="36">
        <v>0</v>
      </c>
      <c r="O1815" s="36">
        <v>0</v>
      </c>
      <c r="P1815" t="s">
        <v>361</v>
      </c>
      <c r="Q1815" t="s">
        <v>349</v>
      </c>
      <c r="R1815" t="s">
        <v>349</v>
      </c>
      <c r="S1815" s="1">
        <v>46078</v>
      </c>
      <c r="T1815" s="1">
        <v>46078</v>
      </c>
      <c r="V1815" s="1">
        <v>46443</v>
      </c>
      <c r="W1815" t="s">
        <v>38</v>
      </c>
      <c r="X1815">
        <v>12</v>
      </c>
      <c r="Y1815" t="s">
        <v>49</v>
      </c>
      <c r="AA1815" t="s">
        <v>92</v>
      </c>
      <c r="AB1815">
        <v>12</v>
      </c>
      <c r="AC1815" t="s">
        <v>350</v>
      </c>
      <c r="AD1815" t="s">
        <v>160</v>
      </c>
      <c r="AE1815" t="s">
        <v>43</v>
      </c>
      <c r="AF1815" t="s">
        <v>44</v>
      </c>
      <c r="AG1815" t="str">
        <f t="shared" si="29"/>
        <v>Recorrente</v>
      </c>
      <c r="AH1815" t="str">
        <f>IF(AND(SUMIF(E:E,E1815,I:I)&gt;=400000,Q1815="B2G"),"n","")</f>
        <v/>
      </c>
    </row>
    <row r="1816" spans="1:34">
      <c r="A1816">
        <v>2026</v>
      </c>
      <c r="B1816">
        <v>2</v>
      </c>
      <c r="C1816" s="83">
        <v>51943036532</v>
      </c>
      <c r="D1816" t="s">
        <v>1719</v>
      </c>
      <c r="E1816">
        <v>56943285402</v>
      </c>
      <c r="F1816">
        <v>636250</v>
      </c>
      <c r="G1816">
        <v>52284874087</v>
      </c>
      <c r="H1816" t="s">
        <v>35</v>
      </c>
      <c r="I1816" s="36">
        <v>5466.24</v>
      </c>
      <c r="J1816" s="36">
        <v>5466.3</v>
      </c>
      <c r="K1816" s="85">
        <v>0</v>
      </c>
      <c r="L1816" s="36">
        <v>455.52499999999998</v>
      </c>
      <c r="M1816" s="36">
        <v>455.52499999999998</v>
      </c>
      <c r="N1816" s="36">
        <v>0</v>
      </c>
      <c r="O1816" s="36">
        <v>0</v>
      </c>
      <c r="P1816" t="s">
        <v>129</v>
      </c>
      <c r="Q1816" t="s">
        <v>91</v>
      </c>
      <c r="R1816" t="s">
        <v>91</v>
      </c>
      <c r="S1816" s="1">
        <v>46078</v>
      </c>
      <c r="T1816" s="1">
        <v>46078</v>
      </c>
      <c r="V1816" s="1">
        <v>46443</v>
      </c>
      <c r="W1816" t="s">
        <v>38</v>
      </c>
      <c r="X1816">
        <v>12</v>
      </c>
      <c r="Y1816" t="s">
        <v>49</v>
      </c>
      <c r="AA1816" t="s">
        <v>112</v>
      </c>
      <c r="AB1816">
        <v>12</v>
      </c>
      <c r="AC1816" t="s">
        <v>93</v>
      </c>
      <c r="AD1816" t="s">
        <v>85</v>
      </c>
      <c r="AE1816" t="s">
        <v>46</v>
      </c>
      <c r="AF1816" t="s">
        <v>44</v>
      </c>
      <c r="AG1816" t="str">
        <f t="shared" si="29"/>
        <v>CC 12x</v>
      </c>
      <c r="AH1816" t="str">
        <f>IF(AND(SUMIF(E:E,E1816,I:I)&gt;=400000,Q1816="B2G"),"n","")</f>
        <v/>
      </c>
    </row>
    <row r="1817" spans="1:34">
      <c r="A1817">
        <v>2026</v>
      </c>
      <c r="B1817">
        <v>2</v>
      </c>
      <c r="C1817" s="83">
        <v>51943097438</v>
      </c>
      <c r="D1817" t="s">
        <v>1720</v>
      </c>
      <c r="E1817">
        <v>56932049203</v>
      </c>
      <c r="F1817">
        <v>636234</v>
      </c>
      <c r="G1817">
        <v>52162708006</v>
      </c>
      <c r="H1817" t="s">
        <v>35</v>
      </c>
      <c r="I1817" s="36">
        <v>2730.24</v>
      </c>
      <c r="J1817" s="36">
        <v>2730.3</v>
      </c>
      <c r="K1817" s="85">
        <v>0</v>
      </c>
      <c r="L1817" s="36">
        <v>227.52500000000001</v>
      </c>
      <c r="M1817" s="36">
        <v>227.52500000000001</v>
      </c>
      <c r="N1817" s="36">
        <v>0</v>
      </c>
      <c r="O1817" s="36">
        <v>0</v>
      </c>
      <c r="P1817" t="s">
        <v>129</v>
      </c>
      <c r="Q1817" t="s">
        <v>91</v>
      </c>
      <c r="R1817" t="s">
        <v>91</v>
      </c>
      <c r="S1817" s="1">
        <v>46077</v>
      </c>
      <c r="T1817" s="1">
        <v>46077</v>
      </c>
      <c r="V1817" s="1">
        <v>46442</v>
      </c>
      <c r="W1817" t="s">
        <v>38</v>
      </c>
      <c r="X1817">
        <v>12</v>
      </c>
      <c r="Y1817" t="s">
        <v>49</v>
      </c>
      <c r="AA1817" t="s">
        <v>112</v>
      </c>
      <c r="AB1817">
        <v>12</v>
      </c>
      <c r="AC1817" t="s">
        <v>93</v>
      </c>
      <c r="AD1817" t="s">
        <v>140</v>
      </c>
      <c r="AE1817" t="s">
        <v>46</v>
      </c>
      <c r="AF1817" t="s">
        <v>119</v>
      </c>
      <c r="AG1817" t="str">
        <f t="shared" si="29"/>
        <v>CC 12x</v>
      </c>
      <c r="AH1817" t="str">
        <f>IF(AND(SUMIF(E:E,E1817,I:I)&gt;=400000,Q1817="B2G"),"n","")</f>
        <v/>
      </c>
    </row>
    <row r="1818" spans="1:34">
      <c r="A1818">
        <v>2026</v>
      </c>
      <c r="B1818">
        <v>2</v>
      </c>
      <c r="C1818" s="83">
        <v>51943170098</v>
      </c>
      <c r="D1818" t="s">
        <v>1721</v>
      </c>
      <c r="E1818">
        <v>56936508495</v>
      </c>
      <c r="F1818">
        <v>636239</v>
      </c>
      <c r="G1818">
        <v>52245284715</v>
      </c>
      <c r="H1818" t="s">
        <v>35</v>
      </c>
      <c r="I1818" s="36">
        <v>5514</v>
      </c>
      <c r="J1818" s="36">
        <v>5514</v>
      </c>
      <c r="K1818" s="85">
        <v>0</v>
      </c>
      <c r="L1818" s="36">
        <v>459.5</v>
      </c>
      <c r="M1818" s="36">
        <v>459.5</v>
      </c>
      <c r="N1818" s="36">
        <v>0</v>
      </c>
      <c r="O1818" s="36">
        <v>0</v>
      </c>
      <c r="P1818" t="s">
        <v>129</v>
      </c>
      <c r="Q1818" t="s">
        <v>91</v>
      </c>
      <c r="R1818" t="s">
        <v>91</v>
      </c>
      <c r="S1818" s="1">
        <v>46077</v>
      </c>
      <c r="T1818" s="1">
        <v>46077</v>
      </c>
      <c r="V1818" s="1">
        <v>46442</v>
      </c>
      <c r="W1818" t="s">
        <v>38</v>
      </c>
      <c r="X1818">
        <v>12</v>
      </c>
      <c r="Y1818" t="s">
        <v>49</v>
      </c>
      <c r="AA1818" t="s">
        <v>92</v>
      </c>
      <c r="AB1818">
        <v>12</v>
      </c>
      <c r="AC1818" t="s">
        <v>93</v>
      </c>
      <c r="AD1818" t="s">
        <v>138</v>
      </c>
      <c r="AE1818" t="s">
        <v>135</v>
      </c>
      <c r="AF1818" t="s">
        <v>119</v>
      </c>
      <c r="AG1818" t="str">
        <f t="shared" si="29"/>
        <v>Recorrente</v>
      </c>
      <c r="AH1818" t="str">
        <f>IF(AND(SUMIF(E:E,E1818,I:I)&gt;=400000,Q1818="B2G"),"n","")</f>
        <v/>
      </c>
    </row>
    <row r="1819" spans="1:34">
      <c r="A1819">
        <v>2026</v>
      </c>
      <c r="B1819">
        <v>2</v>
      </c>
      <c r="C1819" s="83">
        <v>51974143644</v>
      </c>
      <c r="D1819" t="s">
        <v>1722</v>
      </c>
      <c r="E1819">
        <v>53200557462</v>
      </c>
      <c r="F1819">
        <v>626728</v>
      </c>
      <c r="G1819">
        <v>48322509926</v>
      </c>
      <c r="H1819" t="s">
        <v>35</v>
      </c>
      <c r="I1819" s="36">
        <v>5514</v>
      </c>
      <c r="J1819" s="36">
        <v>5514</v>
      </c>
      <c r="K1819" s="85">
        <v>0</v>
      </c>
      <c r="L1819" s="36">
        <v>459.5</v>
      </c>
      <c r="M1819" s="36">
        <v>0</v>
      </c>
      <c r="N1819" s="36">
        <v>30.5</v>
      </c>
      <c r="O1819" s="36">
        <v>429</v>
      </c>
      <c r="P1819" t="s">
        <v>165</v>
      </c>
      <c r="Q1819" t="s">
        <v>166</v>
      </c>
      <c r="R1819" t="s">
        <v>166</v>
      </c>
      <c r="S1819" s="1">
        <v>46072</v>
      </c>
      <c r="T1819" s="1">
        <v>46072</v>
      </c>
      <c r="U1819" s="1">
        <v>46072</v>
      </c>
      <c r="V1819" s="1">
        <v>46437</v>
      </c>
      <c r="W1819" t="s">
        <v>38</v>
      </c>
      <c r="X1819">
        <v>12</v>
      </c>
      <c r="Y1819" t="s">
        <v>49</v>
      </c>
      <c r="Z1819" t="s">
        <v>81</v>
      </c>
      <c r="AA1819" t="s">
        <v>122</v>
      </c>
      <c r="AB1819">
        <v>12</v>
      </c>
      <c r="AC1819" t="s">
        <v>166</v>
      </c>
      <c r="AD1819" t="s">
        <v>138</v>
      </c>
      <c r="AE1819" t="s">
        <v>135</v>
      </c>
      <c r="AF1819" t="s">
        <v>119</v>
      </c>
      <c r="AG1819" t="str">
        <f t="shared" si="29"/>
        <v>Recorrente</v>
      </c>
      <c r="AH1819" t="str">
        <f>IF(AND(SUMIF(E:E,E1819,I:I)&gt;=400000,Q1819="B2G"),"n","")</f>
        <v/>
      </c>
    </row>
    <row r="1820" spans="1:34">
      <c r="A1820">
        <v>2026</v>
      </c>
      <c r="B1820">
        <v>2</v>
      </c>
      <c r="C1820" s="83">
        <v>52211116143</v>
      </c>
      <c r="D1820" t="s">
        <v>1723</v>
      </c>
      <c r="E1820">
        <v>57164981039</v>
      </c>
      <c r="F1820">
        <v>636326</v>
      </c>
      <c r="G1820">
        <v>52460804894</v>
      </c>
      <c r="H1820" t="s">
        <v>35</v>
      </c>
      <c r="I1820" s="36">
        <v>5514</v>
      </c>
      <c r="J1820" s="36">
        <v>5514</v>
      </c>
      <c r="K1820" s="85">
        <v>0</v>
      </c>
      <c r="L1820" s="36">
        <v>459.5</v>
      </c>
      <c r="M1820" s="36">
        <v>459.5</v>
      </c>
      <c r="N1820" s="36">
        <v>0</v>
      </c>
      <c r="O1820" s="36">
        <v>0</v>
      </c>
      <c r="P1820" t="s">
        <v>511</v>
      </c>
      <c r="Q1820" t="s">
        <v>300</v>
      </c>
      <c r="R1820" t="s">
        <v>300</v>
      </c>
      <c r="S1820" s="1">
        <v>46080</v>
      </c>
      <c r="T1820" s="1">
        <v>46080</v>
      </c>
      <c r="U1820" s="1"/>
      <c r="V1820" s="1">
        <v>46445</v>
      </c>
      <c r="W1820" t="s">
        <v>38</v>
      </c>
      <c r="X1820">
        <v>12</v>
      </c>
      <c r="Y1820" t="s">
        <v>49</v>
      </c>
      <c r="AA1820" t="s">
        <v>122</v>
      </c>
      <c r="AB1820">
        <v>12</v>
      </c>
      <c r="AC1820" t="s">
        <v>301</v>
      </c>
      <c r="AD1820" t="s">
        <v>138</v>
      </c>
      <c r="AE1820" t="s">
        <v>135</v>
      </c>
      <c r="AF1820" t="s">
        <v>119</v>
      </c>
      <c r="AG1820" t="str">
        <f t="shared" si="29"/>
        <v>Recorrente</v>
      </c>
      <c r="AH1820" t="str">
        <f>IF(AND(SUMIF(E:E,E1820,I:I)&gt;=400000,Q1820="B2G"),"n","")</f>
        <v/>
      </c>
    </row>
    <row r="1821" spans="1:34">
      <c r="A1821">
        <v>2026</v>
      </c>
      <c r="B1821">
        <v>2</v>
      </c>
      <c r="C1821" s="83">
        <v>52233000196</v>
      </c>
      <c r="D1821" t="s">
        <v>1724</v>
      </c>
      <c r="E1821">
        <v>57129233218</v>
      </c>
      <c r="F1821">
        <v>636297</v>
      </c>
      <c r="G1821">
        <v>52422354766</v>
      </c>
      <c r="H1821" t="s">
        <v>35</v>
      </c>
      <c r="I1821" s="36">
        <v>2874</v>
      </c>
      <c r="J1821" s="36">
        <v>2874</v>
      </c>
      <c r="K1821" s="85">
        <v>0</v>
      </c>
      <c r="L1821" s="36">
        <v>239.5</v>
      </c>
      <c r="M1821" s="36">
        <v>239.5</v>
      </c>
      <c r="N1821" s="36">
        <v>0</v>
      </c>
      <c r="O1821" s="36">
        <v>0</v>
      </c>
      <c r="P1821" t="s">
        <v>497</v>
      </c>
      <c r="Q1821" t="s">
        <v>498</v>
      </c>
      <c r="R1821" t="s">
        <v>498</v>
      </c>
      <c r="S1821" s="1">
        <v>46080</v>
      </c>
      <c r="T1821" s="1">
        <v>46080</v>
      </c>
      <c r="V1821" s="1">
        <v>46445</v>
      </c>
      <c r="W1821" t="s">
        <v>38</v>
      </c>
      <c r="X1821">
        <v>12</v>
      </c>
      <c r="Y1821" t="s">
        <v>49</v>
      </c>
      <c r="AA1821" t="s">
        <v>117</v>
      </c>
      <c r="AB1821">
        <v>1</v>
      </c>
      <c r="AC1821" t="s">
        <v>499</v>
      </c>
      <c r="AD1821" t="s">
        <v>118</v>
      </c>
      <c r="AE1821" t="s">
        <v>43</v>
      </c>
      <c r="AF1821" t="s">
        <v>119</v>
      </c>
      <c r="AG1821" t="str">
        <f t="shared" si="29"/>
        <v>À Vista</v>
      </c>
      <c r="AH1821" t="str">
        <f>IF(AND(SUMIF(E:E,E1821,I:I)&gt;=400000,Q1821="B2G"),"n","")</f>
        <v/>
      </c>
    </row>
    <row r="1822" spans="1:34">
      <c r="A1822">
        <v>2026</v>
      </c>
      <c r="B1822">
        <v>2</v>
      </c>
      <c r="C1822" s="83">
        <v>52624037700</v>
      </c>
      <c r="D1822" t="s">
        <v>1725</v>
      </c>
      <c r="E1822">
        <v>53895045197</v>
      </c>
      <c r="F1822">
        <v>528190</v>
      </c>
      <c r="G1822">
        <v>51983531153</v>
      </c>
      <c r="H1822" t="s">
        <v>35</v>
      </c>
      <c r="I1822" s="36">
        <v>4431.3599999999997</v>
      </c>
      <c r="J1822" s="36">
        <v>4431.3599999999997</v>
      </c>
      <c r="K1822" s="85">
        <v>0</v>
      </c>
      <c r="L1822" s="36">
        <v>369.28</v>
      </c>
      <c r="M1822" s="36">
        <v>0</v>
      </c>
      <c r="N1822" s="36">
        <v>0</v>
      </c>
      <c r="O1822" s="36">
        <v>369.28500000000003</v>
      </c>
      <c r="P1822" t="s">
        <v>133</v>
      </c>
      <c r="Q1822" t="s">
        <v>111</v>
      </c>
      <c r="R1822" t="s">
        <v>111</v>
      </c>
      <c r="S1822" s="1">
        <v>46073</v>
      </c>
      <c r="T1822" s="1">
        <v>46073</v>
      </c>
      <c r="U1822" s="1">
        <v>46077</v>
      </c>
      <c r="V1822" s="1">
        <v>46442</v>
      </c>
      <c r="W1822" t="s">
        <v>38</v>
      </c>
      <c r="X1822">
        <v>12</v>
      </c>
      <c r="Y1822" t="s">
        <v>49</v>
      </c>
      <c r="Z1822" t="s">
        <v>81</v>
      </c>
      <c r="AA1822" t="s">
        <v>122</v>
      </c>
      <c r="AB1822">
        <v>12</v>
      </c>
      <c r="AC1822" t="s">
        <v>113</v>
      </c>
      <c r="AD1822" t="s">
        <v>94</v>
      </c>
      <c r="AE1822" t="s">
        <v>95</v>
      </c>
      <c r="AF1822" t="s">
        <v>96</v>
      </c>
      <c r="AG1822" t="str">
        <f t="shared" si="29"/>
        <v>Recorrente</v>
      </c>
      <c r="AH1822" t="str">
        <f>IF(AND(SUMIF(E:E,E1822,I:I)&gt;=400000,Q1822="B2G"),"n","")</f>
        <v/>
      </c>
    </row>
    <row r="1823" spans="1:34">
      <c r="A1823">
        <v>2026</v>
      </c>
      <c r="B1823">
        <v>2</v>
      </c>
      <c r="C1823" s="83">
        <v>52624037700</v>
      </c>
      <c r="D1823" t="s">
        <v>1725</v>
      </c>
      <c r="E1823">
        <v>53895045197</v>
      </c>
      <c r="F1823">
        <v>528190</v>
      </c>
      <c r="G1823">
        <v>51983531154</v>
      </c>
      <c r="H1823" t="s">
        <v>35</v>
      </c>
      <c r="I1823" s="36">
        <v>4431.3599999999997</v>
      </c>
      <c r="J1823" s="36">
        <v>4431.3599999999997</v>
      </c>
      <c r="K1823" s="85">
        <v>0</v>
      </c>
      <c r="L1823" s="36">
        <v>369.28</v>
      </c>
      <c r="M1823" s="36">
        <v>0</v>
      </c>
      <c r="N1823" s="36">
        <v>0</v>
      </c>
      <c r="O1823" s="36">
        <v>369.28500000000003</v>
      </c>
      <c r="P1823" t="s">
        <v>133</v>
      </c>
      <c r="Q1823" t="s">
        <v>111</v>
      </c>
      <c r="R1823" t="s">
        <v>111</v>
      </c>
      <c r="S1823" s="1">
        <v>46073</v>
      </c>
      <c r="T1823" s="1">
        <v>46073</v>
      </c>
      <c r="U1823" s="1">
        <v>46077</v>
      </c>
      <c r="V1823" s="1">
        <v>46442</v>
      </c>
      <c r="W1823" t="s">
        <v>38</v>
      </c>
      <c r="X1823">
        <v>12</v>
      </c>
      <c r="Y1823" t="s">
        <v>49</v>
      </c>
      <c r="Z1823" t="s">
        <v>81</v>
      </c>
      <c r="AA1823" t="s">
        <v>122</v>
      </c>
      <c r="AB1823">
        <v>12</v>
      </c>
      <c r="AC1823" t="s">
        <v>113</v>
      </c>
      <c r="AD1823" t="s">
        <v>94</v>
      </c>
      <c r="AE1823" t="s">
        <v>95</v>
      </c>
      <c r="AF1823" t="s">
        <v>96</v>
      </c>
      <c r="AG1823" t="str">
        <f t="shared" si="29"/>
        <v>Recorrente</v>
      </c>
      <c r="AH1823" t="str">
        <f>IF(AND(SUMIF(E:E,E1823,I:I)&gt;=400000,Q1823="B2G"),"n","")</f>
        <v/>
      </c>
    </row>
    <row r="1824" spans="1:34">
      <c r="A1824">
        <v>2026</v>
      </c>
      <c r="B1824">
        <v>2</v>
      </c>
      <c r="C1824" s="83">
        <v>52624037700</v>
      </c>
      <c r="D1824" t="s">
        <v>1725</v>
      </c>
      <c r="E1824">
        <v>53895045197</v>
      </c>
      <c r="F1824">
        <v>528190</v>
      </c>
      <c r="G1824">
        <v>51983531155</v>
      </c>
      <c r="H1824" t="s">
        <v>35</v>
      </c>
      <c r="I1824" s="36">
        <v>4431.3599999999997</v>
      </c>
      <c r="J1824" s="36">
        <v>4431.3599999999997</v>
      </c>
      <c r="K1824" s="85">
        <v>0</v>
      </c>
      <c r="L1824" s="36">
        <v>369.28</v>
      </c>
      <c r="M1824" s="36">
        <v>0</v>
      </c>
      <c r="N1824" s="36">
        <v>0</v>
      </c>
      <c r="O1824" s="36">
        <v>369.28500000000003</v>
      </c>
      <c r="P1824" t="s">
        <v>133</v>
      </c>
      <c r="Q1824" t="s">
        <v>111</v>
      </c>
      <c r="R1824" t="s">
        <v>111</v>
      </c>
      <c r="S1824" s="1">
        <v>46073</v>
      </c>
      <c r="T1824" s="1">
        <v>46073</v>
      </c>
      <c r="U1824" s="1">
        <v>46077</v>
      </c>
      <c r="V1824" s="1">
        <v>46442</v>
      </c>
      <c r="W1824" t="s">
        <v>38</v>
      </c>
      <c r="X1824">
        <v>12</v>
      </c>
      <c r="Y1824" t="s">
        <v>49</v>
      </c>
      <c r="Z1824" t="s">
        <v>81</v>
      </c>
      <c r="AA1824" t="s">
        <v>122</v>
      </c>
      <c r="AB1824">
        <v>12</v>
      </c>
      <c r="AC1824" t="s">
        <v>113</v>
      </c>
      <c r="AD1824" t="s">
        <v>1715</v>
      </c>
      <c r="AE1824" t="s">
        <v>289</v>
      </c>
      <c r="AF1824" t="s">
        <v>59</v>
      </c>
      <c r="AG1824" t="str">
        <f t="shared" si="29"/>
        <v>Recorrente</v>
      </c>
      <c r="AH1824" t="str">
        <f>IF(AND(SUMIF(E:E,E1824,I:I)&gt;=400000,Q1824="B2G"),"n","")</f>
        <v/>
      </c>
    </row>
    <row r="1825" spans="1:34">
      <c r="A1825">
        <v>2026</v>
      </c>
      <c r="B1825">
        <v>2</v>
      </c>
      <c r="C1825" s="83">
        <v>57800035955</v>
      </c>
      <c r="D1825" t="s">
        <v>1726</v>
      </c>
      <c r="E1825">
        <v>55416209063</v>
      </c>
      <c r="F1825">
        <v>635892</v>
      </c>
      <c r="G1825">
        <v>50751771156</v>
      </c>
      <c r="H1825" t="s">
        <v>35</v>
      </c>
      <c r="I1825" s="36">
        <v>2874</v>
      </c>
      <c r="J1825" s="36">
        <v>2874</v>
      </c>
      <c r="K1825" s="85">
        <v>0</v>
      </c>
      <c r="L1825" s="36">
        <v>239.5</v>
      </c>
      <c r="M1825" s="36">
        <v>239.5</v>
      </c>
      <c r="N1825" s="36">
        <v>0</v>
      </c>
      <c r="O1825" s="36">
        <v>0</v>
      </c>
      <c r="Q1825" t="s">
        <v>498</v>
      </c>
      <c r="R1825" t="s">
        <v>498</v>
      </c>
      <c r="S1825" s="1">
        <v>46056</v>
      </c>
      <c r="T1825" s="1">
        <v>46056</v>
      </c>
      <c r="V1825" s="1">
        <v>46421</v>
      </c>
      <c r="W1825" t="s">
        <v>38</v>
      </c>
      <c r="X1825">
        <v>12</v>
      </c>
      <c r="Y1825" t="s">
        <v>49</v>
      </c>
      <c r="AA1825" t="s">
        <v>122</v>
      </c>
      <c r="AB1825">
        <v>12</v>
      </c>
      <c r="AC1825" t="s">
        <v>499</v>
      </c>
      <c r="AD1825" t="s">
        <v>118</v>
      </c>
      <c r="AE1825" t="s">
        <v>43</v>
      </c>
      <c r="AF1825" t="s">
        <v>119</v>
      </c>
      <c r="AG1825" t="str">
        <f t="shared" si="29"/>
        <v>Recorrente</v>
      </c>
      <c r="AH1825" t="str">
        <f>IF(AND(SUMIF(E:E,E1825,I:I)&gt;=400000,Q1825="B2G"),"n","")</f>
        <v/>
      </c>
    </row>
    <row r="1826" spans="1:34">
      <c r="A1826">
        <v>2026</v>
      </c>
      <c r="B1826">
        <v>2</v>
      </c>
      <c r="C1826" s="83">
        <v>57800035955</v>
      </c>
      <c r="D1826" t="s">
        <v>1726</v>
      </c>
      <c r="E1826">
        <v>55516091770</v>
      </c>
      <c r="F1826">
        <v>635919</v>
      </c>
      <c r="G1826">
        <v>50802475596</v>
      </c>
      <c r="H1826" t="s">
        <v>35</v>
      </c>
      <c r="I1826" s="36">
        <v>2874</v>
      </c>
      <c r="J1826" s="36">
        <v>2874</v>
      </c>
      <c r="K1826" s="85">
        <v>0</v>
      </c>
      <c r="L1826" s="36">
        <v>239.5</v>
      </c>
      <c r="M1826" s="36">
        <v>239.5</v>
      </c>
      <c r="N1826" s="36">
        <v>0</v>
      </c>
      <c r="O1826" s="36">
        <v>0</v>
      </c>
      <c r="Q1826" t="s">
        <v>498</v>
      </c>
      <c r="R1826" t="s">
        <v>498</v>
      </c>
      <c r="S1826" s="1">
        <v>46057</v>
      </c>
      <c r="T1826" s="1">
        <v>46057</v>
      </c>
      <c r="V1826" s="1">
        <v>46422</v>
      </c>
      <c r="W1826" t="s">
        <v>38</v>
      </c>
      <c r="X1826">
        <v>12</v>
      </c>
      <c r="Y1826" t="s">
        <v>49</v>
      </c>
      <c r="AA1826" t="s">
        <v>122</v>
      </c>
      <c r="AB1826">
        <v>12</v>
      </c>
      <c r="AC1826" t="s">
        <v>499</v>
      </c>
      <c r="AD1826" t="s">
        <v>118</v>
      </c>
      <c r="AE1826" t="s">
        <v>43</v>
      </c>
      <c r="AF1826" t="s">
        <v>119</v>
      </c>
      <c r="AG1826" t="str">
        <f t="shared" si="29"/>
        <v>Recorrente</v>
      </c>
      <c r="AH1826" t="str">
        <f>IF(AND(SUMIF(E:E,E1826,I:I)&gt;=400000,Q1826="B2G"),"n","")</f>
        <v/>
      </c>
    </row>
    <row r="1827" spans="1:34">
      <c r="A1827">
        <v>2026</v>
      </c>
      <c r="B1827">
        <v>2</v>
      </c>
      <c r="C1827" s="83">
        <v>57800035955</v>
      </c>
      <c r="D1827" t="s">
        <v>1726</v>
      </c>
      <c r="E1827">
        <v>55569547835</v>
      </c>
      <c r="F1827">
        <v>635948</v>
      </c>
      <c r="G1827">
        <v>50919267657</v>
      </c>
      <c r="H1827" t="s">
        <v>35</v>
      </c>
      <c r="I1827" s="36">
        <v>2874</v>
      </c>
      <c r="J1827" s="36">
        <v>2874</v>
      </c>
      <c r="K1827" s="85">
        <v>0</v>
      </c>
      <c r="L1827" s="36">
        <v>239.5</v>
      </c>
      <c r="M1827" s="36">
        <v>239.5</v>
      </c>
      <c r="N1827" s="36">
        <v>0</v>
      </c>
      <c r="O1827" s="36">
        <v>0</v>
      </c>
      <c r="Q1827" t="s">
        <v>498</v>
      </c>
      <c r="R1827" t="s">
        <v>498</v>
      </c>
      <c r="S1827" s="1">
        <v>46058</v>
      </c>
      <c r="T1827" s="1">
        <v>46058</v>
      </c>
      <c r="V1827" s="1">
        <v>46423</v>
      </c>
      <c r="W1827" t="s">
        <v>38</v>
      </c>
      <c r="X1827">
        <v>12</v>
      </c>
      <c r="Y1827" t="s">
        <v>49</v>
      </c>
      <c r="AA1827" t="s">
        <v>122</v>
      </c>
      <c r="AB1827">
        <v>6</v>
      </c>
      <c r="AC1827" t="s">
        <v>499</v>
      </c>
      <c r="AD1827" t="s">
        <v>118</v>
      </c>
      <c r="AE1827" t="s">
        <v>43</v>
      </c>
      <c r="AF1827" t="s">
        <v>119</v>
      </c>
      <c r="AG1827" t="str">
        <f t="shared" si="29"/>
        <v>Recorrente</v>
      </c>
      <c r="AH1827" t="str">
        <f>IF(AND(SUMIF(E:E,E1827,I:I)&gt;=400000,Q1827="B2G"),"n","")</f>
        <v/>
      </c>
    </row>
    <row r="1828" spans="1:34">
      <c r="A1828">
        <v>2026</v>
      </c>
      <c r="B1828">
        <v>2</v>
      </c>
      <c r="C1828" s="83">
        <v>57800035955</v>
      </c>
      <c r="D1828" t="s">
        <v>1726</v>
      </c>
      <c r="E1828">
        <v>57096040207</v>
      </c>
      <c r="F1828">
        <v>636275</v>
      </c>
      <c r="G1828">
        <v>52359068760</v>
      </c>
      <c r="H1828" t="s">
        <v>35</v>
      </c>
      <c r="I1828" s="36">
        <v>2874</v>
      </c>
      <c r="J1828" s="36">
        <v>2874</v>
      </c>
      <c r="K1828" s="85">
        <v>0</v>
      </c>
      <c r="L1828" s="36">
        <v>239.5</v>
      </c>
      <c r="M1828" s="36">
        <v>239.5</v>
      </c>
      <c r="N1828" s="36">
        <v>0</v>
      </c>
      <c r="O1828" s="36">
        <v>0</v>
      </c>
      <c r="Q1828" t="s">
        <v>498</v>
      </c>
      <c r="R1828" t="s">
        <v>498</v>
      </c>
      <c r="S1828" s="1">
        <v>46079</v>
      </c>
      <c r="T1828" s="1">
        <v>46079</v>
      </c>
      <c r="U1828" s="1"/>
      <c r="V1828" s="1">
        <v>46444</v>
      </c>
      <c r="W1828" t="s">
        <v>38</v>
      </c>
      <c r="X1828">
        <v>12</v>
      </c>
      <c r="Y1828" t="s">
        <v>49</v>
      </c>
      <c r="AA1828" t="s">
        <v>117</v>
      </c>
      <c r="AB1828">
        <v>1</v>
      </c>
      <c r="AC1828" t="s">
        <v>499</v>
      </c>
      <c r="AD1828" t="s">
        <v>118</v>
      </c>
      <c r="AE1828" t="s">
        <v>43</v>
      </c>
      <c r="AF1828" t="s">
        <v>119</v>
      </c>
      <c r="AG1828" t="str">
        <f t="shared" si="29"/>
        <v>À Vista</v>
      </c>
      <c r="AH1828" t="str">
        <f>IF(AND(SUMIF(E:E,E1828,I:I)&gt;=400000,Q1828="B2G"),"n","")</f>
        <v/>
      </c>
    </row>
    <row r="1829" spans="1:34">
      <c r="A1829">
        <v>2026</v>
      </c>
      <c r="B1829">
        <v>2</v>
      </c>
      <c r="C1829" s="83">
        <v>57800035955</v>
      </c>
      <c r="D1829" t="s">
        <v>1726</v>
      </c>
      <c r="E1829">
        <v>57112225848</v>
      </c>
      <c r="F1829">
        <v>636281</v>
      </c>
      <c r="G1829">
        <v>52383147670</v>
      </c>
      <c r="H1829" t="s">
        <v>35</v>
      </c>
      <c r="I1829" s="36">
        <v>2874</v>
      </c>
      <c r="J1829" s="36">
        <v>2874</v>
      </c>
      <c r="K1829" s="85">
        <v>0</v>
      </c>
      <c r="L1829" s="36">
        <v>239.5</v>
      </c>
      <c r="M1829" s="36">
        <v>239.5</v>
      </c>
      <c r="N1829" s="36">
        <v>0</v>
      </c>
      <c r="O1829" s="36">
        <v>0</v>
      </c>
      <c r="Q1829" t="s">
        <v>498</v>
      </c>
      <c r="R1829" t="s">
        <v>498</v>
      </c>
      <c r="S1829" s="1">
        <v>46079</v>
      </c>
      <c r="T1829" s="1">
        <v>46079</v>
      </c>
      <c r="V1829" s="1">
        <v>46444</v>
      </c>
      <c r="W1829" t="s">
        <v>38</v>
      </c>
      <c r="X1829">
        <v>12</v>
      </c>
      <c r="Y1829" t="s">
        <v>49</v>
      </c>
      <c r="AA1829" t="s">
        <v>117</v>
      </c>
      <c r="AB1829">
        <v>1</v>
      </c>
      <c r="AC1829" t="s">
        <v>499</v>
      </c>
      <c r="AD1829" t="s">
        <v>118</v>
      </c>
      <c r="AE1829" t="s">
        <v>43</v>
      </c>
      <c r="AF1829" t="s">
        <v>119</v>
      </c>
      <c r="AG1829" t="str">
        <f t="shared" si="29"/>
        <v>À Vista</v>
      </c>
      <c r="AH1829" t="str">
        <f>IF(AND(SUMIF(E:E,E1829,I:I)&gt;=400000,Q1829="B2G"),"n","")</f>
        <v/>
      </c>
    </row>
    <row r="1830" spans="1:34">
      <c r="A1830">
        <v>2026</v>
      </c>
      <c r="B1830">
        <v>2</v>
      </c>
      <c r="C1830" s="83">
        <v>58852439895</v>
      </c>
      <c r="D1830" t="s">
        <v>1727</v>
      </c>
      <c r="E1830">
        <v>53551607470</v>
      </c>
      <c r="F1830">
        <v>626842</v>
      </c>
      <c r="G1830">
        <v>48725081207</v>
      </c>
      <c r="H1830" t="s">
        <v>35</v>
      </c>
      <c r="I1830" s="36">
        <v>2874</v>
      </c>
      <c r="J1830" s="36">
        <v>2874</v>
      </c>
      <c r="K1830" s="85">
        <v>0</v>
      </c>
      <c r="L1830" s="36">
        <v>239.5</v>
      </c>
      <c r="M1830" s="36">
        <v>0</v>
      </c>
      <c r="N1830" s="36">
        <v>0.5</v>
      </c>
      <c r="O1830" s="36">
        <v>239</v>
      </c>
      <c r="P1830" t="s">
        <v>165</v>
      </c>
      <c r="Q1830" t="s">
        <v>166</v>
      </c>
      <c r="R1830" t="s">
        <v>166</v>
      </c>
      <c r="S1830" s="1">
        <v>46077</v>
      </c>
      <c r="T1830" s="1">
        <v>46077</v>
      </c>
      <c r="U1830" s="1">
        <v>46077</v>
      </c>
      <c r="V1830" s="1">
        <v>46442</v>
      </c>
      <c r="W1830" t="s">
        <v>38</v>
      </c>
      <c r="X1830">
        <v>12</v>
      </c>
      <c r="Y1830" t="s">
        <v>49</v>
      </c>
      <c r="Z1830" t="s">
        <v>81</v>
      </c>
      <c r="AA1830" t="s">
        <v>122</v>
      </c>
      <c r="AB1830">
        <v>12</v>
      </c>
      <c r="AC1830" t="s">
        <v>166</v>
      </c>
      <c r="AD1830" t="s">
        <v>118</v>
      </c>
      <c r="AE1830" t="s">
        <v>43</v>
      </c>
      <c r="AF1830" t="s">
        <v>119</v>
      </c>
      <c r="AG1830" t="str">
        <f t="shared" si="29"/>
        <v>Recorrente</v>
      </c>
      <c r="AH1830" t="str">
        <f>IF(AND(SUMIF(E:E,E1830,I:I)&gt;=400000,Q1830="B2G"),"n","")</f>
        <v/>
      </c>
    </row>
    <row r="1831" spans="1:34">
      <c r="A1831">
        <v>2026</v>
      </c>
      <c r="B1831">
        <v>2</v>
      </c>
      <c r="C1831" s="83">
        <v>62769095741</v>
      </c>
      <c r="D1831" t="s">
        <v>1728</v>
      </c>
      <c r="E1831">
        <v>56006190708</v>
      </c>
      <c r="F1831">
        <v>636031</v>
      </c>
      <c r="G1831">
        <v>51412767525</v>
      </c>
      <c r="H1831" t="s">
        <v>35</v>
      </c>
      <c r="I1831" s="36">
        <v>2586.6</v>
      </c>
      <c r="J1831" s="36">
        <v>2586.6</v>
      </c>
      <c r="K1831" s="85">
        <v>0</v>
      </c>
      <c r="L1831" s="36">
        <v>215.55</v>
      </c>
      <c r="M1831" s="36">
        <v>215.55</v>
      </c>
      <c r="N1831" s="36">
        <v>0</v>
      </c>
      <c r="O1831" s="36">
        <v>0</v>
      </c>
      <c r="P1831" t="s">
        <v>506</v>
      </c>
      <c r="Q1831" t="s">
        <v>300</v>
      </c>
      <c r="R1831" t="s">
        <v>300</v>
      </c>
      <c r="S1831" s="1">
        <v>46064</v>
      </c>
      <c r="T1831" s="1">
        <v>46064</v>
      </c>
      <c r="U1831" s="1"/>
      <c r="V1831" s="1">
        <v>46429</v>
      </c>
      <c r="W1831" t="s">
        <v>38</v>
      </c>
      <c r="X1831">
        <v>12</v>
      </c>
      <c r="Y1831" t="s">
        <v>49</v>
      </c>
      <c r="AA1831" t="s">
        <v>112</v>
      </c>
      <c r="AB1831">
        <v>12</v>
      </c>
      <c r="AC1831" t="s">
        <v>301</v>
      </c>
      <c r="AD1831" t="s">
        <v>140</v>
      </c>
      <c r="AE1831" t="s">
        <v>46</v>
      </c>
      <c r="AF1831" t="s">
        <v>119</v>
      </c>
      <c r="AG1831" t="str">
        <f t="shared" si="29"/>
        <v>CC 12x</v>
      </c>
      <c r="AH1831" t="str">
        <f>IF(AND(SUMIF(E:E,E1831,I:I)&gt;=400000,Q1831="B2G"),"n","")</f>
        <v/>
      </c>
    </row>
    <row r="1832" spans="1:34">
      <c r="A1832">
        <v>2026</v>
      </c>
      <c r="B1832">
        <v>2</v>
      </c>
      <c r="C1832" s="83">
        <v>69913419946</v>
      </c>
      <c r="D1832" t="s">
        <v>1729</v>
      </c>
      <c r="E1832">
        <v>56743573396</v>
      </c>
      <c r="F1832">
        <v>636288</v>
      </c>
      <c r="G1832">
        <v>52153340711</v>
      </c>
      <c r="H1832" t="s">
        <v>35</v>
      </c>
      <c r="I1832" s="36">
        <v>3020.4</v>
      </c>
      <c r="J1832" s="36">
        <v>3020.4</v>
      </c>
      <c r="K1832" s="85">
        <v>4.5474699999999999E-13</v>
      </c>
      <c r="L1832" s="36">
        <v>251.7</v>
      </c>
      <c r="M1832" s="36">
        <v>251.7</v>
      </c>
      <c r="N1832" s="36">
        <v>0</v>
      </c>
      <c r="O1832" s="36">
        <v>0</v>
      </c>
      <c r="P1832" t="s">
        <v>511</v>
      </c>
      <c r="Q1832" t="s">
        <v>300</v>
      </c>
      <c r="R1832" t="s">
        <v>80</v>
      </c>
      <c r="S1832" s="1">
        <v>46079</v>
      </c>
      <c r="T1832" s="1">
        <v>46079</v>
      </c>
      <c r="U1832" s="1"/>
      <c r="V1832" s="1">
        <v>46444</v>
      </c>
      <c r="W1832" t="s">
        <v>38</v>
      </c>
      <c r="X1832">
        <v>12</v>
      </c>
      <c r="Y1832" t="s">
        <v>49</v>
      </c>
      <c r="AA1832" t="s">
        <v>112</v>
      </c>
      <c r="AB1832">
        <v>12</v>
      </c>
      <c r="AC1832" t="s">
        <v>495</v>
      </c>
      <c r="AD1832" t="s">
        <v>84</v>
      </c>
      <c r="AE1832" t="s">
        <v>43</v>
      </c>
      <c r="AF1832" t="s">
        <v>44</v>
      </c>
      <c r="AG1832" t="str">
        <f t="shared" si="29"/>
        <v>CC 12x</v>
      </c>
      <c r="AH1832" t="str">
        <f>IF(AND(SUMIF(E:E,E1832,I:I)&gt;=400000,Q1832="B2G"),"n","")</f>
        <v/>
      </c>
    </row>
    <row r="1833" spans="1:34">
      <c r="A1833">
        <v>2026</v>
      </c>
      <c r="B1833">
        <v>2</v>
      </c>
      <c r="C1833" s="83">
        <v>78648593020</v>
      </c>
      <c r="D1833" t="s">
        <v>1730</v>
      </c>
      <c r="E1833">
        <v>56709332741</v>
      </c>
      <c r="F1833">
        <v>624039</v>
      </c>
      <c r="G1833">
        <v>51983423859</v>
      </c>
      <c r="H1833" t="s">
        <v>35</v>
      </c>
      <c r="I1833" s="36">
        <v>2943.48</v>
      </c>
      <c r="J1833" s="36">
        <v>2943.48</v>
      </c>
      <c r="K1833" s="85">
        <v>0</v>
      </c>
      <c r="L1833" s="36">
        <v>245.29</v>
      </c>
      <c r="M1833" s="36">
        <v>245.29</v>
      </c>
      <c r="N1833" s="36">
        <v>0</v>
      </c>
      <c r="O1833" s="36">
        <v>0</v>
      </c>
      <c r="P1833" t="s">
        <v>110</v>
      </c>
      <c r="Q1833" t="s">
        <v>111</v>
      </c>
      <c r="R1833" t="s">
        <v>111</v>
      </c>
      <c r="S1833" s="1">
        <v>46073</v>
      </c>
      <c r="T1833" s="1">
        <v>46073</v>
      </c>
      <c r="U1833" s="1">
        <v>45983</v>
      </c>
      <c r="V1833" s="1">
        <v>46446</v>
      </c>
      <c r="W1833" t="s">
        <v>38</v>
      </c>
      <c r="X1833">
        <v>15</v>
      </c>
      <c r="Y1833" t="s">
        <v>49</v>
      </c>
      <c r="Z1833" t="s">
        <v>81</v>
      </c>
      <c r="AA1833" t="s">
        <v>117</v>
      </c>
      <c r="AB1833">
        <v>1</v>
      </c>
      <c r="AC1833" t="s">
        <v>113</v>
      </c>
      <c r="AD1833" t="s">
        <v>160</v>
      </c>
      <c r="AE1833" t="s">
        <v>43</v>
      </c>
      <c r="AF1833" t="s">
        <v>44</v>
      </c>
      <c r="AG1833" t="str">
        <f t="shared" si="29"/>
        <v>À Vista</v>
      </c>
      <c r="AH1833" t="str">
        <f>IF(AND(SUMIF(E:E,E1833,I:I)&gt;=400000,Q1833="B2G"),"n","")</f>
        <v/>
      </c>
    </row>
    <row r="1834" spans="1:34">
      <c r="A1834">
        <v>2026</v>
      </c>
      <c r="B1834">
        <v>2</v>
      </c>
      <c r="C1834" s="83">
        <v>86402429278</v>
      </c>
      <c r="D1834" t="s">
        <v>1731</v>
      </c>
      <c r="E1834">
        <v>54983200559</v>
      </c>
      <c r="F1834">
        <v>625546</v>
      </c>
      <c r="G1834">
        <v>52153155185</v>
      </c>
      <c r="H1834" t="s">
        <v>35</v>
      </c>
      <c r="I1834" s="36">
        <v>7155.96</v>
      </c>
      <c r="J1834" s="36">
        <v>7155.96</v>
      </c>
      <c r="K1834" s="85">
        <v>0</v>
      </c>
      <c r="L1834" s="36">
        <v>596.33000000000004</v>
      </c>
      <c r="M1834" s="36">
        <v>596.33000000000004</v>
      </c>
      <c r="N1834" s="36">
        <v>0</v>
      </c>
      <c r="O1834" s="36">
        <v>0</v>
      </c>
      <c r="P1834" t="s">
        <v>116</v>
      </c>
      <c r="Q1834" t="s">
        <v>111</v>
      </c>
      <c r="R1834" t="s">
        <v>111</v>
      </c>
      <c r="S1834" s="1">
        <v>46076</v>
      </c>
      <c r="T1834" s="1">
        <v>46076</v>
      </c>
      <c r="U1834" s="1">
        <v>46037</v>
      </c>
      <c r="V1834" s="1">
        <v>46441</v>
      </c>
      <c r="W1834" t="s">
        <v>38</v>
      </c>
      <c r="X1834">
        <v>13</v>
      </c>
      <c r="Y1834" t="s">
        <v>49</v>
      </c>
      <c r="Z1834" t="s">
        <v>81</v>
      </c>
      <c r="AA1834" t="s">
        <v>122</v>
      </c>
      <c r="AB1834">
        <v>12</v>
      </c>
      <c r="AC1834" t="s">
        <v>113</v>
      </c>
      <c r="AD1834" t="s">
        <v>134</v>
      </c>
      <c r="AE1834" t="s">
        <v>135</v>
      </c>
      <c r="AF1834" t="s">
        <v>44</v>
      </c>
      <c r="AG1834" t="str">
        <f t="shared" si="29"/>
        <v>Recorrente</v>
      </c>
      <c r="AH1834" t="str">
        <f>IF(AND(SUMIF(E:E,E1834,I:I)&gt;=400000,Q1834="B2G"),"n","")</f>
        <v/>
      </c>
    </row>
    <row r="1835" spans="1:34">
      <c r="A1835">
        <v>2026</v>
      </c>
      <c r="B1835">
        <v>2</v>
      </c>
      <c r="C1835" s="83">
        <v>90488267940</v>
      </c>
      <c r="D1835" t="s">
        <v>1732</v>
      </c>
      <c r="E1835">
        <v>53142357807</v>
      </c>
      <c r="F1835">
        <v>626629</v>
      </c>
      <c r="G1835">
        <v>48080680277</v>
      </c>
      <c r="H1835" t="s">
        <v>35</v>
      </c>
      <c r="I1835" s="36">
        <v>5514</v>
      </c>
      <c r="J1835" s="36">
        <v>5514</v>
      </c>
      <c r="K1835" s="85">
        <v>0</v>
      </c>
      <c r="L1835" s="36">
        <v>459.5</v>
      </c>
      <c r="M1835" s="36">
        <v>0</v>
      </c>
      <c r="N1835" s="36">
        <v>64.180000000000007</v>
      </c>
      <c r="O1835" s="36">
        <v>395.32</v>
      </c>
      <c r="P1835" t="s">
        <v>165</v>
      </c>
      <c r="Q1835" t="s">
        <v>166</v>
      </c>
      <c r="R1835" t="s">
        <v>166</v>
      </c>
      <c r="S1835" s="1">
        <v>46070</v>
      </c>
      <c r="T1835" s="1">
        <v>46070</v>
      </c>
      <c r="U1835" s="1">
        <v>46070</v>
      </c>
      <c r="V1835" s="1">
        <v>46435</v>
      </c>
      <c r="W1835" t="s">
        <v>38</v>
      </c>
      <c r="X1835">
        <v>12</v>
      </c>
      <c r="Y1835" t="s">
        <v>49</v>
      </c>
      <c r="Z1835" t="s">
        <v>81</v>
      </c>
      <c r="AA1835" t="s">
        <v>112</v>
      </c>
      <c r="AB1835">
        <v>12</v>
      </c>
      <c r="AC1835" t="s">
        <v>166</v>
      </c>
      <c r="AD1835" t="s">
        <v>138</v>
      </c>
      <c r="AE1835" t="s">
        <v>135</v>
      </c>
      <c r="AF1835" t="s">
        <v>119</v>
      </c>
      <c r="AG1835" t="str">
        <f t="shared" si="29"/>
        <v>CC 12x</v>
      </c>
      <c r="AH1835" t="str">
        <f>IF(AND(SUMIF(E:E,E1835,I:I)&gt;=400000,Q1835="B2G"),"n","")</f>
        <v/>
      </c>
    </row>
    <row r="1836" spans="1:34">
      <c r="A1836">
        <v>2026</v>
      </c>
      <c r="B1836">
        <v>2</v>
      </c>
      <c r="C1836" s="83">
        <v>91544232259</v>
      </c>
      <c r="D1836" t="s">
        <v>1733</v>
      </c>
      <c r="E1836">
        <v>54164167323</v>
      </c>
      <c r="F1836">
        <v>607708</v>
      </c>
      <c r="G1836">
        <v>49754375059</v>
      </c>
      <c r="H1836" t="s">
        <v>35</v>
      </c>
      <c r="I1836" s="36">
        <v>2442.84</v>
      </c>
      <c r="J1836" s="36">
        <v>2442.84</v>
      </c>
      <c r="K1836" s="85">
        <v>0</v>
      </c>
      <c r="L1836" s="36">
        <v>203.57</v>
      </c>
      <c r="M1836" s="36">
        <v>0</v>
      </c>
      <c r="N1836" s="36">
        <v>26.155000000000001</v>
      </c>
      <c r="O1836" s="36">
        <v>177.42</v>
      </c>
      <c r="P1836" t="s">
        <v>116</v>
      </c>
      <c r="Q1836" t="s">
        <v>111</v>
      </c>
      <c r="R1836" t="s">
        <v>111</v>
      </c>
      <c r="S1836" s="1">
        <v>46045</v>
      </c>
      <c r="T1836" s="1">
        <v>46054</v>
      </c>
      <c r="U1836" s="1">
        <v>46040</v>
      </c>
      <c r="V1836" s="1">
        <v>46410</v>
      </c>
      <c r="W1836" t="s">
        <v>38</v>
      </c>
      <c r="X1836">
        <v>12</v>
      </c>
      <c r="Y1836" t="s">
        <v>49</v>
      </c>
      <c r="Z1836" t="s">
        <v>81</v>
      </c>
      <c r="AA1836" t="s">
        <v>122</v>
      </c>
      <c r="AB1836">
        <v>12</v>
      </c>
      <c r="AC1836" t="s">
        <v>113</v>
      </c>
      <c r="AD1836" t="s">
        <v>140</v>
      </c>
      <c r="AE1836" t="s">
        <v>46</v>
      </c>
      <c r="AF1836" t="s">
        <v>119</v>
      </c>
      <c r="AG1836" t="str">
        <f t="shared" ref="AG1836:AG1899" si="30">IF(IFERROR(SEARCH("Recorrente",AA1836),0)&gt;0,"Recorrente",IF(AB1836=1,"À Vista",IF(AB1836&lt;=3,"CC 3x",IF(AB1836&lt;=12,"CC 12x",IF(AB1836&gt;12,"Recorrente","")))))</f>
        <v>Recorrente</v>
      </c>
      <c r="AH1836" t="str">
        <f>IF(AND(SUMIF(E:E,E1836,I:I)&gt;=400000,Q1836="B2G"),"n","")</f>
        <v/>
      </c>
    </row>
    <row r="1837" spans="1:34">
      <c r="A1837">
        <v>2026</v>
      </c>
      <c r="B1837">
        <v>2</v>
      </c>
      <c r="C1837" s="83">
        <v>91625331221</v>
      </c>
      <c r="D1837" t="s">
        <v>1734</v>
      </c>
      <c r="E1837">
        <v>52235593652</v>
      </c>
      <c r="F1837">
        <v>525320</v>
      </c>
      <c r="G1837">
        <v>48884598628</v>
      </c>
      <c r="H1837" t="s">
        <v>35</v>
      </c>
      <c r="I1837" s="36">
        <v>5083.2</v>
      </c>
      <c r="J1837" s="36">
        <v>5083.2</v>
      </c>
      <c r="K1837" s="85">
        <v>0</v>
      </c>
      <c r="L1837" s="36">
        <v>423.6</v>
      </c>
      <c r="M1837" s="36">
        <v>0</v>
      </c>
      <c r="N1837" s="36">
        <v>126.46</v>
      </c>
      <c r="O1837" s="36">
        <v>297.14</v>
      </c>
      <c r="P1837" t="s">
        <v>121</v>
      </c>
      <c r="Q1837" t="s">
        <v>111</v>
      </c>
      <c r="R1837" t="s">
        <v>111</v>
      </c>
      <c r="S1837" s="1">
        <v>46034</v>
      </c>
      <c r="T1837" s="1">
        <v>46054</v>
      </c>
      <c r="U1837" s="1">
        <v>46049</v>
      </c>
      <c r="V1837" s="1">
        <v>46414</v>
      </c>
      <c r="W1837" t="s">
        <v>38</v>
      </c>
      <c r="X1837">
        <v>12</v>
      </c>
      <c r="Y1837" t="s">
        <v>49</v>
      </c>
      <c r="Z1837" t="s">
        <v>81</v>
      </c>
      <c r="AA1837" t="s">
        <v>122</v>
      </c>
      <c r="AB1837">
        <v>12</v>
      </c>
      <c r="AC1837" t="s">
        <v>113</v>
      </c>
      <c r="AD1837" t="s">
        <v>158</v>
      </c>
      <c r="AE1837" t="s">
        <v>43</v>
      </c>
      <c r="AF1837" t="s">
        <v>47</v>
      </c>
      <c r="AG1837" t="str">
        <f t="shared" si="30"/>
        <v>Recorrente</v>
      </c>
      <c r="AH1837" t="str">
        <f>IF(AND(SUMIF(E:E,E1837,I:I)&gt;=400000,Q1837="B2G"),"n","")</f>
        <v/>
      </c>
    </row>
    <row r="1838" spans="1:34">
      <c r="A1838">
        <v>2026</v>
      </c>
      <c r="B1838">
        <v>2</v>
      </c>
      <c r="C1838" s="83">
        <v>91826286160</v>
      </c>
      <c r="D1838" t="s">
        <v>1735</v>
      </c>
      <c r="E1838">
        <v>56516642893</v>
      </c>
      <c r="F1838">
        <v>625341</v>
      </c>
      <c r="G1838">
        <v>51891756396</v>
      </c>
      <c r="H1838" t="s">
        <v>35</v>
      </c>
      <c r="I1838" s="36">
        <v>4315.4399999999996</v>
      </c>
      <c r="J1838" s="36">
        <v>4315.4399999999996</v>
      </c>
      <c r="K1838" s="85">
        <v>0</v>
      </c>
      <c r="L1838" s="36">
        <v>359.62</v>
      </c>
      <c r="M1838" s="36">
        <v>359.62</v>
      </c>
      <c r="N1838" s="36">
        <v>0</v>
      </c>
      <c r="O1838" s="36">
        <v>0</v>
      </c>
      <c r="P1838" t="s">
        <v>121</v>
      </c>
      <c r="Q1838" t="s">
        <v>111</v>
      </c>
      <c r="R1838" t="s">
        <v>111</v>
      </c>
      <c r="S1838" s="1">
        <v>46071</v>
      </c>
      <c r="T1838" s="1">
        <v>46071</v>
      </c>
      <c r="U1838" s="1">
        <v>46031</v>
      </c>
      <c r="V1838" s="1">
        <v>46446</v>
      </c>
      <c r="W1838" t="s">
        <v>38</v>
      </c>
      <c r="X1838">
        <v>13</v>
      </c>
      <c r="Y1838" t="s">
        <v>49</v>
      </c>
      <c r="Z1838" t="s">
        <v>81</v>
      </c>
      <c r="AA1838" t="s">
        <v>117</v>
      </c>
      <c r="AB1838">
        <v>1</v>
      </c>
      <c r="AC1838" t="s">
        <v>113</v>
      </c>
      <c r="AD1838" t="s">
        <v>85</v>
      </c>
      <c r="AE1838" t="s">
        <v>46</v>
      </c>
      <c r="AF1838" t="s">
        <v>44</v>
      </c>
      <c r="AG1838" t="str">
        <f t="shared" si="30"/>
        <v>À Vista</v>
      </c>
      <c r="AH1838" t="str">
        <f>IF(AND(SUMIF(E:E,E1838,I:I)&gt;=400000,Q1838="B2G"),"n","")</f>
        <v/>
      </c>
    </row>
    <row r="1839" spans="1:34">
      <c r="A1839">
        <v>2026</v>
      </c>
      <c r="B1839">
        <v>2</v>
      </c>
      <c r="C1839" s="83">
        <v>91899863901</v>
      </c>
      <c r="D1839" t="s">
        <v>597</v>
      </c>
      <c r="E1839">
        <v>53426708224</v>
      </c>
      <c r="F1839">
        <v>625392</v>
      </c>
      <c r="G1839">
        <v>48997494192</v>
      </c>
      <c r="H1839" t="s">
        <v>35</v>
      </c>
      <c r="I1839" s="36">
        <v>4065</v>
      </c>
      <c r="J1839" s="36">
        <v>4065</v>
      </c>
      <c r="K1839" s="85">
        <v>0</v>
      </c>
      <c r="L1839" s="36">
        <v>338.75</v>
      </c>
      <c r="M1839" s="36">
        <v>0</v>
      </c>
      <c r="N1839" s="36">
        <v>55.96</v>
      </c>
      <c r="O1839" s="36">
        <v>282.79000000000002</v>
      </c>
      <c r="P1839" t="s">
        <v>162</v>
      </c>
      <c r="Q1839" t="s">
        <v>111</v>
      </c>
      <c r="R1839" t="s">
        <v>111</v>
      </c>
      <c r="S1839" s="1">
        <v>46036</v>
      </c>
      <c r="T1839" s="1">
        <v>46054</v>
      </c>
      <c r="U1839" s="1">
        <v>46033</v>
      </c>
      <c r="V1839" s="1">
        <v>46398</v>
      </c>
      <c r="W1839" t="s">
        <v>38</v>
      </c>
      <c r="X1839">
        <v>12</v>
      </c>
      <c r="Y1839" t="s">
        <v>49</v>
      </c>
      <c r="Z1839" t="s">
        <v>81</v>
      </c>
      <c r="AA1839" t="s">
        <v>112</v>
      </c>
      <c r="AB1839">
        <v>12</v>
      </c>
      <c r="AC1839" t="s">
        <v>113</v>
      </c>
      <c r="AD1839" t="s">
        <v>84</v>
      </c>
      <c r="AE1839" t="s">
        <v>43</v>
      </c>
      <c r="AF1839" t="s">
        <v>44</v>
      </c>
      <c r="AG1839" t="str">
        <f t="shared" si="30"/>
        <v>CC 12x</v>
      </c>
      <c r="AH1839" t="str">
        <f>IF(AND(SUMIF(E:E,E1839,I:I)&gt;=400000,Q1839="B2G"),"n","")</f>
        <v/>
      </c>
    </row>
    <row r="1840" spans="1:34">
      <c r="A1840">
        <v>2026</v>
      </c>
      <c r="B1840">
        <v>2</v>
      </c>
      <c r="C1840" s="83">
        <v>92119070231</v>
      </c>
      <c r="D1840" t="s">
        <v>1736</v>
      </c>
      <c r="E1840">
        <v>56611627061</v>
      </c>
      <c r="F1840">
        <v>303762</v>
      </c>
      <c r="G1840">
        <v>51905558451</v>
      </c>
      <c r="H1840" t="s">
        <v>35</v>
      </c>
      <c r="I1840" s="36">
        <v>5611.68</v>
      </c>
      <c r="J1840" s="36">
        <v>5611.68</v>
      </c>
      <c r="K1840" s="85">
        <v>0</v>
      </c>
      <c r="L1840" s="36">
        <v>467.64</v>
      </c>
      <c r="M1840" s="36">
        <v>467.64</v>
      </c>
      <c r="N1840" s="36">
        <v>0</v>
      </c>
      <c r="O1840" s="36">
        <v>0</v>
      </c>
      <c r="P1840" t="s">
        <v>116</v>
      </c>
      <c r="Q1840" t="s">
        <v>111</v>
      </c>
      <c r="R1840" t="s">
        <v>111</v>
      </c>
      <c r="S1840" s="1">
        <v>46071</v>
      </c>
      <c r="T1840" s="1">
        <v>46071</v>
      </c>
      <c r="U1840" s="1">
        <v>46053</v>
      </c>
      <c r="V1840" s="1">
        <v>46446</v>
      </c>
      <c r="W1840" t="s">
        <v>38</v>
      </c>
      <c r="X1840">
        <v>13</v>
      </c>
      <c r="Y1840" t="s">
        <v>49</v>
      </c>
      <c r="Z1840" t="s">
        <v>81</v>
      </c>
      <c r="AA1840" t="s">
        <v>112</v>
      </c>
      <c r="AB1840">
        <v>12</v>
      </c>
      <c r="AC1840" t="s">
        <v>113</v>
      </c>
      <c r="AD1840" t="s">
        <v>125</v>
      </c>
      <c r="AE1840" t="s">
        <v>43</v>
      </c>
      <c r="AF1840" t="s">
        <v>47</v>
      </c>
      <c r="AG1840" t="str">
        <f t="shared" si="30"/>
        <v>CC 12x</v>
      </c>
      <c r="AH1840" t="str">
        <f>IF(AND(SUMIF(E:E,E1840,I:I)&gt;=400000,Q1840="B2G"),"n","")</f>
        <v/>
      </c>
    </row>
    <row r="1841" spans="1:34">
      <c r="A1841">
        <v>2026</v>
      </c>
      <c r="B1841">
        <v>2</v>
      </c>
      <c r="C1841" s="83">
        <v>92138315835</v>
      </c>
      <c r="D1841" t="s">
        <v>1737</v>
      </c>
      <c r="E1841">
        <v>53942574615</v>
      </c>
      <c r="F1841">
        <v>625636</v>
      </c>
      <c r="G1841">
        <v>50778484616</v>
      </c>
      <c r="H1841" t="s">
        <v>35</v>
      </c>
      <c r="I1841" s="36">
        <v>2730.24</v>
      </c>
      <c r="J1841" s="36">
        <v>2730.24</v>
      </c>
      <c r="K1841" s="85">
        <v>0</v>
      </c>
      <c r="L1841" s="36">
        <v>227.52</v>
      </c>
      <c r="M1841" s="36">
        <v>0</v>
      </c>
      <c r="N1841" s="36">
        <v>8.4450000000000003</v>
      </c>
      <c r="O1841" s="36">
        <v>219.08</v>
      </c>
      <c r="P1841" t="s">
        <v>162</v>
      </c>
      <c r="Q1841" t="s">
        <v>111</v>
      </c>
      <c r="R1841" t="s">
        <v>111</v>
      </c>
      <c r="S1841" s="1">
        <v>46057</v>
      </c>
      <c r="T1841" s="1">
        <v>46054</v>
      </c>
      <c r="U1841" s="1">
        <v>46038</v>
      </c>
      <c r="V1841" s="1">
        <v>46422</v>
      </c>
      <c r="W1841" t="s">
        <v>38</v>
      </c>
      <c r="X1841">
        <v>13</v>
      </c>
      <c r="Y1841" t="s">
        <v>49</v>
      </c>
      <c r="Z1841" t="s">
        <v>81</v>
      </c>
      <c r="AA1841" t="s">
        <v>122</v>
      </c>
      <c r="AB1841">
        <v>12</v>
      </c>
      <c r="AC1841" t="s">
        <v>113</v>
      </c>
      <c r="AD1841" t="s">
        <v>140</v>
      </c>
      <c r="AE1841" t="s">
        <v>46</v>
      </c>
      <c r="AF1841" t="s">
        <v>119</v>
      </c>
      <c r="AG1841" t="str">
        <f t="shared" si="30"/>
        <v>Recorrente</v>
      </c>
      <c r="AH1841" t="str">
        <f>IF(AND(SUMIF(E:E,E1841,I:I)&gt;=400000,Q1841="B2G"),"n","")</f>
        <v/>
      </c>
    </row>
    <row r="1842" spans="1:34">
      <c r="A1842">
        <v>2026</v>
      </c>
      <c r="B1842">
        <v>2</v>
      </c>
      <c r="C1842" s="83">
        <v>92359562601</v>
      </c>
      <c r="D1842" t="s">
        <v>1738</v>
      </c>
      <c r="E1842">
        <v>53244404757</v>
      </c>
      <c r="F1842">
        <v>625663</v>
      </c>
      <c r="G1842">
        <v>50778399284</v>
      </c>
      <c r="H1842" t="s">
        <v>35</v>
      </c>
      <c r="I1842" s="36">
        <v>4782.24</v>
      </c>
      <c r="J1842" s="36">
        <v>4782.24</v>
      </c>
      <c r="K1842" s="85">
        <v>0</v>
      </c>
      <c r="L1842" s="36">
        <v>398.52</v>
      </c>
      <c r="M1842" s="36">
        <v>0</v>
      </c>
      <c r="N1842" s="36">
        <v>0</v>
      </c>
      <c r="O1842" s="36">
        <v>398.52499999999998</v>
      </c>
      <c r="P1842" t="s">
        <v>121</v>
      </c>
      <c r="Q1842" t="s">
        <v>111</v>
      </c>
      <c r="R1842" t="s">
        <v>111</v>
      </c>
      <c r="S1842" s="1">
        <v>46057</v>
      </c>
      <c r="T1842" s="1">
        <v>46054</v>
      </c>
      <c r="U1842" s="1">
        <v>46040</v>
      </c>
      <c r="V1842" s="1">
        <v>46422</v>
      </c>
      <c r="W1842" t="s">
        <v>38</v>
      </c>
      <c r="X1842">
        <v>13</v>
      </c>
      <c r="Y1842" t="s">
        <v>49</v>
      </c>
      <c r="Z1842" t="s">
        <v>76</v>
      </c>
      <c r="AA1842" t="s">
        <v>122</v>
      </c>
      <c r="AB1842">
        <v>12</v>
      </c>
      <c r="AC1842" t="s">
        <v>113</v>
      </c>
      <c r="AD1842" t="s">
        <v>84</v>
      </c>
      <c r="AE1842" t="s">
        <v>43</v>
      </c>
      <c r="AF1842" t="s">
        <v>44</v>
      </c>
      <c r="AG1842" t="str">
        <f t="shared" si="30"/>
        <v>Recorrente</v>
      </c>
      <c r="AH1842" t="str">
        <f>IF(AND(SUMIF(E:E,E1842,I:I)&gt;=400000,Q1842="B2G"),"n","")</f>
        <v/>
      </c>
    </row>
    <row r="1843" spans="1:34">
      <c r="A1843">
        <v>2026</v>
      </c>
      <c r="B1843">
        <v>2</v>
      </c>
      <c r="C1843" s="83">
        <v>92919224428</v>
      </c>
      <c r="D1843" t="s">
        <v>1739</v>
      </c>
      <c r="E1843">
        <v>53556252484</v>
      </c>
      <c r="F1843">
        <v>626839</v>
      </c>
      <c r="G1843">
        <v>48737839873</v>
      </c>
      <c r="H1843" t="s">
        <v>35</v>
      </c>
      <c r="I1843" s="36">
        <v>9594</v>
      </c>
      <c r="J1843" s="36">
        <v>9594</v>
      </c>
      <c r="K1843" s="85">
        <v>0</v>
      </c>
      <c r="L1843" s="36">
        <v>799.5</v>
      </c>
      <c r="M1843" s="36">
        <v>0</v>
      </c>
      <c r="N1843" s="36">
        <v>88.15</v>
      </c>
      <c r="O1843" s="36">
        <v>711.35</v>
      </c>
      <c r="P1843" t="s">
        <v>165</v>
      </c>
      <c r="Q1843" t="s">
        <v>166</v>
      </c>
      <c r="R1843" t="s">
        <v>166</v>
      </c>
      <c r="S1843" s="1">
        <v>46077</v>
      </c>
      <c r="T1843" s="1">
        <v>46077</v>
      </c>
      <c r="U1843" s="1">
        <v>46077</v>
      </c>
      <c r="V1843" s="1">
        <v>46442</v>
      </c>
      <c r="W1843" t="s">
        <v>38</v>
      </c>
      <c r="X1843">
        <v>12</v>
      </c>
      <c r="Y1843" t="s">
        <v>49</v>
      </c>
      <c r="Z1843" t="s">
        <v>81</v>
      </c>
      <c r="AA1843" t="s">
        <v>112</v>
      </c>
      <c r="AB1843">
        <v>2</v>
      </c>
      <c r="AC1843" t="s">
        <v>166</v>
      </c>
      <c r="AD1843" t="s">
        <v>131</v>
      </c>
      <c r="AE1843" t="s">
        <v>46</v>
      </c>
      <c r="AF1843" t="s">
        <v>96</v>
      </c>
      <c r="AG1843" t="str">
        <f t="shared" si="30"/>
        <v>CC 3x</v>
      </c>
      <c r="AH1843" t="str">
        <f>IF(AND(SUMIF(E:E,E1843,I:I)&gt;=400000,Q1843="B2G"),"n","")</f>
        <v/>
      </c>
    </row>
    <row r="1844" spans="1:34">
      <c r="A1844">
        <v>2026</v>
      </c>
      <c r="B1844">
        <v>2</v>
      </c>
      <c r="C1844" s="83">
        <v>92931949065</v>
      </c>
      <c r="D1844" t="s">
        <v>1740</v>
      </c>
      <c r="E1844">
        <v>54842753830</v>
      </c>
      <c r="F1844">
        <v>609572</v>
      </c>
      <c r="G1844">
        <v>51984287846</v>
      </c>
      <c r="H1844" t="s">
        <v>35</v>
      </c>
      <c r="I1844" s="36">
        <v>10242</v>
      </c>
      <c r="J1844" s="36">
        <v>5121</v>
      </c>
      <c r="K1844" s="85">
        <v>5121</v>
      </c>
      <c r="L1844" s="36">
        <v>426.75</v>
      </c>
      <c r="M1844" s="36">
        <v>0</v>
      </c>
      <c r="N1844" s="36">
        <v>314.50232499999998</v>
      </c>
      <c r="O1844" s="36">
        <v>112.25</v>
      </c>
      <c r="P1844" t="s">
        <v>110</v>
      </c>
      <c r="Q1844" t="s">
        <v>111</v>
      </c>
      <c r="R1844" t="s">
        <v>111</v>
      </c>
      <c r="S1844" s="1">
        <v>46073</v>
      </c>
      <c r="T1844" s="1">
        <v>46073</v>
      </c>
      <c r="U1844" s="1">
        <v>46073</v>
      </c>
      <c r="V1844" s="1">
        <v>46803</v>
      </c>
      <c r="W1844" t="s">
        <v>56</v>
      </c>
      <c r="X1844">
        <v>24</v>
      </c>
      <c r="Y1844" t="s">
        <v>49</v>
      </c>
      <c r="Z1844" t="s">
        <v>76</v>
      </c>
      <c r="AA1844" t="s">
        <v>122</v>
      </c>
      <c r="AB1844">
        <v>24</v>
      </c>
      <c r="AC1844" t="s">
        <v>113</v>
      </c>
      <c r="AD1844" t="s">
        <v>85</v>
      </c>
      <c r="AE1844" t="s">
        <v>46</v>
      </c>
      <c r="AF1844" t="s">
        <v>44</v>
      </c>
      <c r="AG1844" t="str">
        <f t="shared" si="30"/>
        <v>Recorrente</v>
      </c>
      <c r="AH1844" t="str">
        <f>IF(AND(SUMIF(E:E,E1844,I:I)&gt;=400000,Q1844="B2G"),"n","")</f>
        <v/>
      </c>
    </row>
    <row r="1845" spans="1:34">
      <c r="A1845">
        <v>2026</v>
      </c>
      <c r="B1845">
        <v>2</v>
      </c>
      <c r="C1845" s="83">
        <v>92931949065</v>
      </c>
      <c r="D1845" t="s">
        <v>1740</v>
      </c>
      <c r="E1845">
        <v>54842753830</v>
      </c>
      <c r="F1845">
        <v>609572</v>
      </c>
      <c r="G1845">
        <v>51984287847</v>
      </c>
      <c r="H1845" t="s">
        <v>35</v>
      </c>
      <c r="I1845" s="36">
        <v>10242</v>
      </c>
      <c r="J1845" s="36">
        <v>5121</v>
      </c>
      <c r="K1845" s="85">
        <v>5121</v>
      </c>
      <c r="L1845" s="36">
        <v>426.75</v>
      </c>
      <c r="M1845" s="36">
        <v>0</v>
      </c>
      <c r="N1845" s="36">
        <v>314.50232499999998</v>
      </c>
      <c r="O1845" s="36">
        <v>112.25</v>
      </c>
      <c r="P1845" t="s">
        <v>110</v>
      </c>
      <c r="Q1845" t="s">
        <v>111</v>
      </c>
      <c r="R1845" t="s">
        <v>111</v>
      </c>
      <c r="S1845" s="1">
        <v>46073</v>
      </c>
      <c r="T1845" s="1">
        <v>46073</v>
      </c>
      <c r="U1845" s="1">
        <v>46073</v>
      </c>
      <c r="V1845" s="1">
        <v>46803</v>
      </c>
      <c r="W1845" t="s">
        <v>56</v>
      </c>
      <c r="X1845">
        <v>24</v>
      </c>
      <c r="Y1845" t="s">
        <v>49</v>
      </c>
      <c r="Z1845" t="s">
        <v>76</v>
      </c>
      <c r="AA1845" t="s">
        <v>122</v>
      </c>
      <c r="AB1845">
        <v>24</v>
      </c>
      <c r="AC1845" t="s">
        <v>113</v>
      </c>
      <c r="AD1845" t="s">
        <v>85</v>
      </c>
      <c r="AE1845" t="s">
        <v>46</v>
      </c>
      <c r="AF1845" t="s">
        <v>44</v>
      </c>
      <c r="AG1845" t="str">
        <f t="shared" si="30"/>
        <v>Recorrente</v>
      </c>
      <c r="AH1845" t="str">
        <f>IF(AND(SUMIF(E:E,E1845,I:I)&gt;=400000,Q1845="B2G"),"n","")</f>
        <v/>
      </c>
    </row>
    <row r="1846" spans="1:34">
      <c r="A1846">
        <v>2026</v>
      </c>
      <c r="B1846">
        <v>2</v>
      </c>
      <c r="C1846" s="83">
        <v>92931949065</v>
      </c>
      <c r="D1846" t="s">
        <v>1740</v>
      </c>
      <c r="E1846">
        <v>54842753830</v>
      </c>
      <c r="F1846">
        <v>609572</v>
      </c>
      <c r="G1846">
        <v>51984287848</v>
      </c>
      <c r="H1846" t="s">
        <v>35</v>
      </c>
      <c r="I1846" s="36">
        <v>10242</v>
      </c>
      <c r="J1846" s="36">
        <v>5121</v>
      </c>
      <c r="K1846" s="85">
        <v>5121</v>
      </c>
      <c r="L1846" s="36">
        <v>426.75</v>
      </c>
      <c r="M1846" s="36">
        <v>0</v>
      </c>
      <c r="N1846" s="36">
        <v>314.50232499999998</v>
      </c>
      <c r="O1846" s="36">
        <v>112.25</v>
      </c>
      <c r="P1846" t="s">
        <v>110</v>
      </c>
      <c r="Q1846" t="s">
        <v>111</v>
      </c>
      <c r="R1846" t="s">
        <v>111</v>
      </c>
      <c r="S1846" s="1">
        <v>46073</v>
      </c>
      <c r="T1846" s="1">
        <v>46073</v>
      </c>
      <c r="U1846" s="1">
        <v>46073</v>
      </c>
      <c r="V1846" s="1">
        <v>46803</v>
      </c>
      <c r="W1846" t="s">
        <v>56</v>
      </c>
      <c r="X1846">
        <v>24</v>
      </c>
      <c r="Y1846" t="s">
        <v>49</v>
      </c>
      <c r="Z1846" t="s">
        <v>76</v>
      </c>
      <c r="AA1846" t="s">
        <v>122</v>
      </c>
      <c r="AB1846">
        <v>24</v>
      </c>
      <c r="AC1846" t="s">
        <v>113</v>
      </c>
      <c r="AD1846" t="s">
        <v>84</v>
      </c>
      <c r="AE1846" t="s">
        <v>43</v>
      </c>
      <c r="AF1846" t="s">
        <v>44</v>
      </c>
      <c r="AG1846" t="str">
        <f t="shared" si="30"/>
        <v>Recorrente</v>
      </c>
      <c r="AH1846" t="str">
        <f>IF(AND(SUMIF(E:E,E1846,I:I)&gt;=400000,Q1846="B2G"),"n","")</f>
        <v/>
      </c>
    </row>
    <row r="1847" spans="1:34">
      <c r="A1847">
        <v>2026</v>
      </c>
      <c r="B1847">
        <v>2</v>
      </c>
      <c r="C1847" s="83">
        <v>92931949065</v>
      </c>
      <c r="D1847" t="s">
        <v>1740</v>
      </c>
      <c r="E1847">
        <v>54842753830</v>
      </c>
      <c r="F1847">
        <v>609572</v>
      </c>
      <c r="G1847">
        <v>51984287849</v>
      </c>
      <c r="H1847" t="s">
        <v>35</v>
      </c>
      <c r="I1847" s="36">
        <v>10242</v>
      </c>
      <c r="J1847" s="36">
        <v>5121</v>
      </c>
      <c r="K1847" s="85">
        <v>5121</v>
      </c>
      <c r="L1847" s="36">
        <v>426.75</v>
      </c>
      <c r="M1847" s="36">
        <v>0</v>
      </c>
      <c r="N1847" s="36">
        <v>314.50232499999998</v>
      </c>
      <c r="O1847" s="36">
        <v>112.25</v>
      </c>
      <c r="P1847" t="s">
        <v>110</v>
      </c>
      <c r="Q1847" t="s">
        <v>111</v>
      </c>
      <c r="R1847" t="s">
        <v>111</v>
      </c>
      <c r="S1847" s="1">
        <v>46073</v>
      </c>
      <c r="T1847" s="1">
        <v>46073</v>
      </c>
      <c r="U1847" s="1">
        <v>46073</v>
      </c>
      <c r="V1847" s="1">
        <v>46803</v>
      </c>
      <c r="W1847" t="s">
        <v>56</v>
      </c>
      <c r="X1847">
        <v>24</v>
      </c>
      <c r="Y1847" t="s">
        <v>49</v>
      </c>
      <c r="Z1847" t="s">
        <v>76</v>
      </c>
      <c r="AA1847" t="s">
        <v>122</v>
      </c>
      <c r="AB1847">
        <v>24</v>
      </c>
      <c r="AC1847" t="s">
        <v>113</v>
      </c>
      <c r="AD1847" t="s">
        <v>84</v>
      </c>
      <c r="AE1847" t="s">
        <v>43</v>
      </c>
      <c r="AF1847" t="s">
        <v>44</v>
      </c>
      <c r="AG1847" t="str">
        <f t="shared" si="30"/>
        <v>Recorrente</v>
      </c>
      <c r="AH1847" t="str">
        <f>IF(AND(SUMIF(E:E,E1847,I:I)&gt;=400000,Q1847="B2G"),"n","")</f>
        <v/>
      </c>
    </row>
    <row r="1848" spans="1:34">
      <c r="A1848">
        <v>2026</v>
      </c>
      <c r="B1848">
        <v>2</v>
      </c>
      <c r="C1848" s="83">
        <v>93121575477</v>
      </c>
      <c r="D1848" t="s">
        <v>1741</v>
      </c>
      <c r="E1848">
        <v>52220879670</v>
      </c>
      <c r="F1848">
        <v>526396</v>
      </c>
      <c r="G1848">
        <v>47650351901</v>
      </c>
      <c r="H1848" t="s">
        <v>35</v>
      </c>
      <c r="I1848" s="36">
        <v>6360</v>
      </c>
      <c r="J1848" s="36">
        <v>6360</v>
      </c>
      <c r="K1848" s="85">
        <v>0</v>
      </c>
      <c r="L1848" s="36">
        <v>530</v>
      </c>
      <c r="M1848" s="36">
        <v>0</v>
      </c>
      <c r="N1848" s="36">
        <v>74.89</v>
      </c>
      <c r="O1848" s="36">
        <v>455.11</v>
      </c>
      <c r="P1848" t="s">
        <v>127</v>
      </c>
      <c r="Q1848" t="s">
        <v>111</v>
      </c>
      <c r="R1848" t="s">
        <v>111</v>
      </c>
      <c r="S1848" s="1">
        <v>46014</v>
      </c>
      <c r="T1848" s="1">
        <v>46054</v>
      </c>
      <c r="U1848" s="1">
        <v>46055</v>
      </c>
      <c r="V1848" s="1">
        <v>46420</v>
      </c>
      <c r="W1848" t="s">
        <v>38</v>
      </c>
      <c r="X1848">
        <v>12</v>
      </c>
      <c r="Y1848" t="s">
        <v>49</v>
      </c>
      <c r="Z1848" t="s">
        <v>81</v>
      </c>
      <c r="AA1848" t="s">
        <v>112</v>
      </c>
      <c r="AB1848">
        <v>12</v>
      </c>
      <c r="AC1848" t="s">
        <v>113</v>
      </c>
      <c r="AD1848" t="s">
        <v>134</v>
      </c>
      <c r="AE1848" t="s">
        <v>135</v>
      </c>
      <c r="AF1848" t="s">
        <v>44</v>
      </c>
      <c r="AG1848" t="str">
        <f t="shared" si="30"/>
        <v>CC 12x</v>
      </c>
      <c r="AH1848" t="str">
        <f>IF(AND(SUMIF(E:E,E1848,I:I)&gt;=400000,Q1848="B2G"),"n","")</f>
        <v/>
      </c>
    </row>
    <row r="1849" spans="1:34">
      <c r="A1849">
        <v>2026</v>
      </c>
      <c r="B1849">
        <v>2</v>
      </c>
      <c r="C1849" s="83">
        <v>93123076467</v>
      </c>
      <c r="D1849" t="s">
        <v>1742</v>
      </c>
      <c r="E1849">
        <v>52226832790</v>
      </c>
      <c r="F1849">
        <v>276501</v>
      </c>
      <c r="G1849">
        <v>47505229393</v>
      </c>
      <c r="H1849" t="s">
        <v>35</v>
      </c>
      <c r="I1849" s="36">
        <v>7015.44</v>
      </c>
      <c r="J1849" s="36">
        <v>7015.44</v>
      </c>
      <c r="K1849" s="85">
        <v>0</v>
      </c>
      <c r="L1849" s="36">
        <v>584.62</v>
      </c>
      <c r="M1849" s="36">
        <v>0</v>
      </c>
      <c r="N1849" s="36">
        <v>84.745000000000005</v>
      </c>
      <c r="O1849" s="36">
        <v>499.88</v>
      </c>
      <c r="P1849" t="s">
        <v>165</v>
      </c>
      <c r="Q1849" t="s">
        <v>166</v>
      </c>
      <c r="R1849" t="s">
        <v>166</v>
      </c>
      <c r="S1849" s="1">
        <v>46057</v>
      </c>
      <c r="T1849" s="1">
        <v>46057</v>
      </c>
      <c r="U1849" s="1">
        <v>46057</v>
      </c>
      <c r="V1849" s="1">
        <v>46422</v>
      </c>
      <c r="W1849" t="s">
        <v>38</v>
      </c>
      <c r="X1849">
        <v>12</v>
      </c>
      <c r="Y1849" t="s">
        <v>49</v>
      </c>
      <c r="Z1849" t="s">
        <v>81</v>
      </c>
      <c r="AA1849" t="s">
        <v>112</v>
      </c>
      <c r="AB1849">
        <v>12</v>
      </c>
      <c r="AC1849" t="s">
        <v>166</v>
      </c>
      <c r="AD1849" t="s">
        <v>134</v>
      </c>
      <c r="AE1849" t="s">
        <v>135</v>
      </c>
      <c r="AF1849" t="s">
        <v>44</v>
      </c>
      <c r="AG1849" t="str">
        <f t="shared" si="30"/>
        <v>CC 12x</v>
      </c>
      <c r="AH1849" t="str">
        <f>IF(AND(SUMIF(E:E,E1849,I:I)&gt;=400000,Q1849="B2G"),"n","")</f>
        <v/>
      </c>
    </row>
    <row r="1850" spans="1:34">
      <c r="A1850">
        <v>2026</v>
      </c>
      <c r="B1850">
        <v>2</v>
      </c>
      <c r="C1850" s="83">
        <v>93137900869</v>
      </c>
      <c r="D1850" t="s">
        <v>1743</v>
      </c>
      <c r="E1850">
        <v>54617935694</v>
      </c>
      <c r="F1850">
        <v>303218</v>
      </c>
      <c r="G1850">
        <v>51427236944</v>
      </c>
      <c r="H1850" t="s">
        <v>35</v>
      </c>
      <c r="I1850" s="36">
        <v>5144.6400000000003</v>
      </c>
      <c r="J1850" s="36">
        <v>5144.6400000000003</v>
      </c>
      <c r="K1850" s="85">
        <v>0</v>
      </c>
      <c r="L1850" s="36">
        <v>428.72</v>
      </c>
      <c r="M1850" s="36">
        <v>0</v>
      </c>
      <c r="N1850" s="36">
        <v>24.175000000000001</v>
      </c>
      <c r="O1850" s="36">
        <v>404.55</v>
      </c>
      <c r="P1850" t="s">
        <v>133</v>
      </c>
      <c r="Q1850" t="s">
        <v>111</v>
      </c>
      <c r="R1850" t="s">
        <v>111</v>
      </c>
      <c r="S1850" s="1">
        <v>46073</v>
      </c>
      <c r="T1850" s="1">
        <v>46054</v>
      </c>
      <c r="U1850" s="1">
        <v>46048</v>
      </c>
      <c r="V1850" s="1">
        <v>46446</v>
      </c>
      <c r="W1850" t="s">
        <v>38</v>
      </c>
      <c r="X1850">
        <v>13</v>
      </c>
      <c r="Y1850" t="s">
        <v>49</v>
      </c>
      <c r="Z1850" t="s">
        <v>81</v>
      </c>
      <c r="AA1850" t="s">
        <v>82</v>
      </c>
      <c r="AB1850">
        <v>1</v>
      </c>
      <c r="AC1850" t="s">
        <v>113</v>
      </c>
      <c r="AD1850" t="s">
        <v>134</v>
      </c>
      <c r="AE1850" t="s">
        <v>135</v>
      </c>
      <c r="AF1850" t="s">
        <v>44</v>
      </c>
      <c r="AG1850" t="str">
        <f t="shared" si="30"/>
        <v>À Vista</v>
      </c>
      <c r="AH1850" t="str">
        <f>IF(AND(SUMIF(E:E,E1850,I:I)&gt;=400000,Q1850="B2G"),"n","")</f>
        <v/>
      </c>
    </row>
    <row r="1851" spans="1:34">
      <c r="A1851">
        <v>2026</v>
      </c>
      <c r="B1851">
        <v>2</v>
      </c>
      <c r="C1851" s="83">
        <v>93143266103</v>
      </c>
      <c r="D1851" t="s">
        <v>1744</v>
      </c>
      <c r="E1851">
        <v>52522539684</v>
      </c>
      <c r="F1851">
        <v>524438</v>
      </c>
      <c r="G1851">
        <v>47691324050</v>
      </c>
      <c r="H1851" t="s">
        <v>35</v>
      </c>
      <c r="I1851" s="36">
        <v>3775.44</v>
      </c>
      <c r="J1851" s="36">
        <v>3775.44</v>
      </c>
      <c r="K1851" s="85">
        <v>0</v>
      </c>
      <c r="L1851" s="36">
        <v>314.62</v>
      </c>
      <c r="M1851" s="36">
        <v>0</v>
      </c>
      <c r="N1851" s="36">
        <v>88.805000000000007</v>
      </c>
      <c r="O1851" s="36">
        <v>225.82</v>
      </c>
      <c r="P1851" t="s">
        <v>165</v>
      </c>
      <c r="Q1851" t="s">
        <v>166</v>
      </c>
      <c r="R1851" t="s">
        <v>166</v>
      </c>
      <c r="S1851" s="1">
        <v>46061</v>
      </c>
      <c r="T1851" s="1">
        <v>46061</v>
      </c>
      <c r="U1851" s="1">
        <v>46061</v>
      </c>
      <c r="V1851" s="1">
        <v>46426</v>
      </c>
      <c r="W1851" t="s">
        <v>38</v>
      </c>
      <c r="X1851">
        <v>12</v>
      </c>
      <c r="Y1851" t="s">
        <v>49</v>
      </c>
      <c r="Z1851" t="s">
        <v>81</v>
      </c>
      <c r="AA1851" t="s">
        <v>122</v>
      </c>
      <c r="AB1851">
        <v>12</v>
      </c>
      <c r="AC1851" t="s">
        <v>166</v>
      </c>
      <c r="AD1851" t="s">
        <v>84</v>
      </c>
      <c r="AE1851" t="s">
        <v>43</v>
      </c>
      <c r="AF1851" t="s">
        <v>44</v>
      </c>
      <c r="AG1851" t="str">
        <f t="shared" si="30"/>
        <v>Recorrente</v>
      </c>
      <c r="AH1851" t="str">
        <f>IF(AND(SUMIF(E:E,E1851,I:I)&gt;=400000,Q1851="B2G"),"n","")</f>
        <v/>
      </c>
    </row>
    <row r="1852" spans="1:34">
      <c r="A1852">
        <v>2026</v>
      </c>
      <c r="B1852">
        <v>2</v>
      </c>
      <c r="C1852" s="83">
        <v>93176146819</v>
      </c>
      <c r="D1852" t="s">
        <v>1745</v>
      </c>
      <c r="E1852">
        <v>55489195434</v>
      </c>
      <c r="F1852">
        <v>636088</v>
      </c>
      <c r="G1852">
        <v>51427328572</v>
      </c>
      <c r="H1852" t="s">
        <v>35</v>
      </c>
      <c r="I1852" s="36">
        <v>3888.96</v>
      </c>
      <c r="J1852" s="36">
        <v>3888.96</v>
      </c>
      <c r="K1852" s="85">
        <v>0</v>
      </c>
      <c r="L1852" s="36">
        <v>324.08</v>
      </c>
      <c r="M1852" s="36">
        <v>324.08</v>
      </c>
      <c r="N1852" s="36">
        <v>0</v>
      </c>
      <c r="O1852" s="36">
        <v>0</v>
      </c>
      <c r="P1852" t="s">
        <v>1073</v>
      </c>
      <c r="Q1852" t="s">
        <v>314</v>
      </c>
      <c r="R1852" t="s">
        <v>314</v>
      </c>
      <c r="S1852" s="1">
        <v>46066</v>
      </c>
      <c r="T1852" s="1">
        <v>46066</v>
      </c>
      <c r="U1852" s="1"/>
      <c r="V1852" s="1">
        <v>46431</v>
      </c>
      <c r="W1852" t="s">
        <v>38</v>
      </c>
      <c r="X1852">
        <v>12</v>
      </c>
      <c r="Y1852" t="s">
        <v>49</v>
      </c>
      <c r="AA1852" t="s">
        <v>117</v>
      </c>
      <c r="AB1852">
        <v>1</v>
      </c>
      <c r="AC1852" t="s">
        <v>315</v>
      </c>
      <c r="AD1852" t="s">
        <v>138</v>
      </c>
      <c r="AE1852" t="s">
        <v>135</v>
      </c>
      <c r="AF1852" t="s">
        <v>119</v>
      </c>
      <c r="AG1852" t="str">
        <f t="shared" si="30"/>
        <v>À Vista</v>
      </c>
      <c r="AH1852" t="str">
        <f>IF(AND(SUMIF(E:E,E1852,I:I)&gt;=400000,Q1852="B2G"),"n","")</f>
        <v/>
      </c>
    </row>
    <row r="1853" spans="1:34">
      <c r="A1853">
        <v>2026</v>
      </c>
      <c r="B1853">
        <v>2</v>
      </c>
      <c r="C1853" s="83">
        <v>93323888989</v>
      </c>
      <c r="D1853" t="s">
        <v>1746</v>
      </c>
      <c r="E1853">
        <v>55503113594</v>
      </c>
      <c r="F1853">
        <v>608128</v>
      </c>
      <c r="G1853">
        <v>50922657681</v>
      </c>
      <c r="H1853" t="s">
        <v>35</v>
      </c>
      <c r="I1853" s="36">
        <v>4686.84</v>
      </c>
      <c r="J1853" s="36">
        <v>4686.84</v>
      </c>
      <c r="K1853" s="85">
        <v>0</v>
      </c>
      <c r="L1853" s="36">
        <v>390.57</v>
      </c>
      <c r="M1853" s="36">
        <v>390.57</v>
      </c>
      <c r="N1853" s="36">
        <v>0</v>
      </c>
      <c r="O1853" s="36">
        <v>0</v>
      </c>
      <c r="P1853" t="s">
        <v>162</v>
      </c>
      <c r="Q1853" t="s">
        <v>111</v>
      </c>
      <c r="R1853" t="s">
        <v>111</v>
      </c>
      <c r="S1853" s="1">
        <v>46059</v>
      </c>
      <c r="T1853" s="1">
        <v>46059</v>
      </c>
      <c r="U1853" s="1">
        <v>46048</v>
      </c>
      <c r="V1853" s="1">
        <v>46424</v>
      </c>
      <c r="W1853" t="s">
        <v>38</v>
      </c>
      <c r="X1853">
        <v>13</v>
      </c>
      <c r="Y1853" t="s">
        <v>49</v>
      </c>
      <c r="Z1853" t="s">
        <v>81</v>
      </c>
      <c r="AA1853" t="s">
        <v>122</v>
      </c>
      <c r="AB1853">
        <v>12</v>
      </c>
      <c r="AC1853" t="s">
        <v>113</v>
      </c>
      <c r="AD1853" t="s">
        <v>138</v>
      </c>
      <c r="AE1853" t="s">
        <v>135</v>
      </c>
      <c r="AF1853" t="s">
        <v>119</v>
      </c>
      <c r="AG1853" t="str">
        <f t="shared" si="30"/>
        <v>Recorrente</v>
      </c>
      <c r="AH1853" t="str">
        <f>IF(AND(SUMIF(E:E,E1853,I:I)&gt;=400000,Q1853="B2G"),"n","")</f>
        <v/>
      </c>
    </row>
    <row r="1854" spans="1:34">
      <c r="A1854">
        <v>2026</v>
      </c>
      <c r="B1854">
        <v>2</v>
      </c>
      <c r="C1854" s="83">
        <v>93414236976</v>
      </c>
      <c r="D1854" t="s">
        <v>1747</v>
      </c>
      <c r="E1854">
        <v>51727155791</v>
      </c>
      <c r="F1854">
        <v>525674</v>
      </c>
      <c r="G1854">
        <v>47441808748</v>
      </c>
      <c r="H1854" t="s">
        <v>35</v>
      </c>
      <c r="I1854" s="36">
        <v>4633.2</v>
      </c>
      <c r="J1854" s="36">
        <v>4633.2</v>
      </c>
      <c r="K1854" s="85">
        <v>0</v>
      </c>
      <c r="L1854" s="36">
        <v>386.1</v>
      </c>
      <c r="M1854" s="36">
        <v>0</v>
      </c>
      <c r="N1854" s="36">
        <v>61.24</v>
      </c>
      <c r="O1854" s="36">
        <v>324.86</v>
      </c>
      <c r="P1854" t="s">
        <v>133</v>
      </c>
      <c r="Q1854" t="s">
        <v>111</v>
      </c>
      <c r="R1854" t="s">
        <v>111</v>
      </c>
      <c r="S1854" s="1">
        <v>46024</v>
      </c>
      <c r="T1854" s="1">
        <v>46054</v>
      </c>
      <c r="U1854" s="1">
        <v>46047</v>
      </c>
      <c r="V1854" s="1">
        <v>46412</v>
      </c>
      <c r="W1854" t="s">
        <v>38</v>
      </c>
      <c r="X1854">
        <v>12</v>
      </c>
      <c r="Y1854" t="s">
        <v>49</v>
      </c>
      <c r="Z1854" t="s">
        <v>81</v>
      </c>
      <c r="AA1854" t="s">
        <v>122</v>
      </c>
      <c r="AB1854">
        <v>12</v>
      </c>
      <c r="AC1854" t="s">
        <v>113</v>
      </c>
      <c r="AD1854" t="s">
        <v>149</v>
      </c>
      <c r="AE1854" t="s">
        <v>43</v>
      </c>
      <c r="AF1854" t="s">
        <v>96</v>
      </c>
      <c r="AG1854" t="str">
        <f t="shared" si="30"/>
        <v>Recorrente</v>
      </c>
      <c r="AH1854" t="str">
        <f>IF(AND(SUMIF(E:E,E1854,I:I)&gt;=400000,Q1854="B2G"),"n","")</f>
        <v/>
      </c>
    </row>
    <row r="1855" spans="1:34">
      <c r="A1855">
        <v>2026</v>
      </c>
      <c r="B1855">
        <v>2</v>
      </c>
      <c r="C1855" s="83">
        <v>93661214577</v>
      </c>
      <c r="D1855" t="s">
        <v>1748</v>
      </c>
      <c r="E1855">
        <v>54347130804</v>
      </c>
      <c r="F1855">
        <v>526406</v>
      </c>
      <c r="G1855">
        <v>50518346119</v>
      </c>
      <c r="H1855" t="s">
        <v>35</v>
      </c>
      <c r="I1855" s="36">
        <v>7109.04</v>
      </c>
      <c r="J1855" s="36">
        <v>7109.04</v>
      </c>
      <c r="K1855" s="85">
        <v>9.0949500000000005E-13</v>
      </c>
      <c r="L1855" s="36">
        <v>592.41999999999996</v>
      </c>
      <c r="M1855" s="36">
        <v>0</v>
      </c>
      <c r="N1855" s="36">
        <v>304.27</v>
      </c>
      <c r="O1855" s="36">
        <v>288.14999999999998</v>
      </c>
      <c r="P1855" t="s">
        <v>133</v>
      </c>
      <c r="Q1855" t="s">
        <v>111</v>
      </c>
      <c r="R1855" t="s">
        <v>111</v>
      </c>
      <c r="S1855" s="1">
        <v>46055</v>
      </c>
      <c r="T1855" s="1">
        <v>46055</v>
      </c>
      <c r="U1855" s="1">
        <v>46056</v>
      </c>
      <c r="V1855" s="1">
        <v>46421</v>
      </c>
      <c r="W1855" t="s">
        <v>38</v>
      </c>
      <c r="X1855">
        <v>12</v>
      </c>
      <c r="Y1855" t="s">
        <v>49</v>
      </c>
      <c r="Z1855" t="s">
        <v>76</v>
      </c>
      <c r="AA1855" t="s">
        <v>122</v>
      </c>
      <c r="AB1855">
        <v>12</v>
      </c>
      <c r="AC1855" t="s">
        <v>113</v>
      </c>
      <c r="AD1855" t="s">
        <v>134</v>
      </c>
      <c r="AE1855" t="s">
        <v>135</v>
      </c>
      <c r="AF1855" t="s">
        <v>44</v>
      </c>
      <c r="AG1855" t="str">
        <f t="shared" si="30"/>
        <v>Recorrente</v>
      </c>
      <c r="AH1855" t="str">
        <f>IF(AND(SUMIF(E:E,E1855,I:I)&gt;=400000,Q1855="B2G"),"n","")</f>
        <v/>
      </c>
    </row>
    <row r="1856" spans="1:34">
      <c r="A1856">
        <v>2026</v>
      </c>
      <c r="B1856">
        <v>2</v>
      </c>
      <c r="C1856" s="83">
        <v>93681256976</v>
      </c>
      <c r="D1856" t="s">
        <v>1749</v>
      </c>
      <c r="E1856">
        <v>52410575621</v>
      </c>
      <c r="F1856">
        <v>304523</v>
      </c>
      <c r="G1856">
        <v>47590875271</v>
      </c>
      <c r="H1856" t="s">
        <v>35</v>
      </c>
      <c r="I1856" s="36">
        <v>5718.6</v>
      </c>
      <c r="J1856" s="36">
        <v>5718.6</v>
      </c>
      <c r="K1856" s="85">
        <v>0</v>
      </c>
      <c r="L1856" s="36">
        <v>476.55</v>
      </c>
      <c r="M1856" s="36">
        <v>0</v>
      </c>
      <c r="N1856" s="36">
        <v>77.349999999999994</v>
      </c>
      <c r="O1856" s="36">
        <v>399.2</v>
      </c>
      <c r="P1856" t="s">
        <v>165</v>
      </c>
      <c r="Q1856" t="s">
        <v>166</v>
      </c>
      <c r="R1856" t="s">
        <v>166</v>
      </c>
      <c r="S1856" s="1">
        <v>46059</v>
      </c>
      <c r="T1856" s="1">
        <v>46059</v>
      </c>
      <c r="U1856" s="1">
        <v>46059</v>
      </c>
      <c r="V1856" s="1">
        <v>46424</v>
      </c>
      <c r="W1856" t="s">
        <v>38</v>
      </c>
      <c r="X1856">
        <v>12</v>
      </c>
      <c r="Y1856" t="s">
        <v>49</v>
      </c>
      <c r="Z1856" t="s">
        <v>81</v>
      </c>
      <c r="AA1856" t="s">
        <v>122</v>
      </c>
      <c r="AB1856">
        <v>12</v>
      </c>
      <c r="AC1856" t="s">
        <v>166</v>
      </c>
      <c r="AD1856" t="s">
        <v>174</v>
      </c>
      <c r="AE1856" t="s">
        <v>43</v>
      </c>
      <c r="AF1856" t="s">
        <v>47</v>
      </c>
      <c r="AG1856" t="str">
        <f t="shared" si="30"/>
        <v>Recorrente</v>
      </c>
      <c r="AH1856" t="str">
        <f>IF(AND(SUMIF(E:E,E1856,I:I)&gt;=400000,Q1856="B2G"),"n","")</f>
        <v/>
      </c>
    </row>
    <row r="1857" spans="1:34">
      <c r="A1857">
        <v>2026</v>
      </c>
      <c r="B1857">
        <v>2</v>
      </c>
      <c r="C1857" s="83">
        <v>93730282795</v>
      </c>
      <c r="D1857" t="s">
        <v>1750</v>
      </c>
      <c r="E1857">
        <v>54634492736</v>
      </c>
      <c r="F1857">
        <v>636071</v>
      </c>
      <c r="G1857">
        <v>51425097372</v>
      </c>
      <c r="H1857" t="s">
        <v>35</v>
      </c>
      <c r="I1857" s="36">
        <v>10795.44</v>
      </c>
      <c r="J1857" s="36">
        <v>10795.5</v>
      </c>
      <c r="K1857" s="85">
        <v>0</v>
      </c>
      <c r="L1857" s="36">
        <v>899.625</v>
      </c>
      <c r="M1857" s="36">
        <v>0</v>
      </c>
      <c r="N1857" s="36">
        <v>370.76249999999999</v>
      </c>
      <c r="O1857" s="36">
        <v>528.86249999999995</v>
      </c>
      <c r="P1857" t="s">
        <v>469</v>
      </c>
      <c r="Q1857" t="s">
        <v>191</v>
      </c>
      <c r="R1857" t="s">
        <v>191</v>
      </c>
      <c r="S1857" s="1">
        <v>46065</v>
      </c>
      <c r="T1857" s="1">
        <v>46065</v>
      </c>
      <c r="U1857" s="1">
        <v>46069</v>
      </c>
      <c r="V1857" s="1">
        <v>46430</v>
      </c>
      <c r="W1857" t="s">
        <v>38</v>
      </c>
      <c r="X1857">
        <v>12</v>
      </c>
      <c r="Y1857" t="s">
        <v>49</v>
      </c>
      <c r="AA1857" t="s">
        <v>122</v>
      </c>
      <c r="AB1857">
        <v>12</v>
      </c>
      <c r="AC1857" t="s">
        <v>192</v>
      </c>
      <c r="AD1857" t="s">
        <v>154</v>
      </c>
      <c r="AE1857" t="s">
        <v>46</v>
      </c>
      <c r="AF1857" t="s">
        <v>47</v>
      </c>
      <c r="AG1857" t="str">
        <f t="shared" si="30"/>
        <v>Recorrente</v>
      </c>
      <c r="AH1857" t="str">
        <f>IF(AND(SUMIF(E:E,E1857,I:I)&gt;=400000,Q1857="B2G"),"n","")</f>
        <v/>
      </c>
    </row>
    <row r="1858" spans="1:34">
      <c r="A1858">
        <v>2026</v>
      </c>
      <c r="B1858">
        <v>2</v>
      </c>
      <c r="C1858" s="83">
        <v>93877901924</v>
      </c>
      <c r="D1858" t="s">
        <v>1751</v>
      </c>
      <c r="E1858">
        <v>53391865090</v>
      </c>
      <c r="F1858">
        <v>304342</v>
      </c>
      <c r="G1858">
        <v>49822915146</v>
      </c>
      <c r="H1858" t="s">
        <v>35</v>
      </c>
      <c r="I1858" s="36">
        <v>4701.6000000000004</v>
      </c>
      <c r="J1858" s="36">
        <v>4701.6000000000004</v>
      </c>
      <c r="K1858" s="85">
        <v>0</v>
      </c>
      <c r="L1858" s="36">
        <v>391.8</v>
      </c>
      <c r="M1858" s="36">
        <v>0</v>
      </c>
      <c r="N1858" s="36">
        <v>24.969449999999998</v>
      </c>
      <c r="O1858" s="36">
        <v>366.83</v>
      </c>
      <c r="P1858" t="s">
        <v>121</v>
      </c>
      <c r="Q1858" t="s">
        <v>111</v>
      </c>
      <c r="R1858" t="s">
        <v>111</v>
      </c>
      <c r="S1858" s="1">
        <v>46048</v>
      </c>
      <c r="T1858" s="1">
        <v>46054</v>
      </c>
      <c r="U1858" s="1">
        <v>46054</v>
      </c>
      <c r="V1858" s="1">
        <v>46419</v>
      </c>
      <c r="W1858" t="s">
        <v>38</v>
      </c>
      <c r="X1858">
        <v>12</v>
      </c>
      <c r="Y1858" t="s">
        <v>49</v>
      </c>
      <c r="Z1858" t="s">
        <v>81</v>
      </c>
      <c r="AA1858" t="s">
        <v>122</v>
      </c>
      <c r="AB1858">
        <v>12</v>
      </c>
      <c r="AC1858" t="s">
        <v>113</v>
      </c>
      <c r="AD1858" t="s">
        <v>85</v>
      </c>
      <c r="AE1858" t="s">
        <v>46</v>
      </c>
      <c r="AF1858" t="s">
        <v>44</v>
      </c>
      <c r="AG1858" t="str">
        <f t="shared" si="30"/>
        <v>Recorrente</v>
      </c>
      <c r="AH1858" t="str">
        <f>IF(AND(SUMIF(E:E,E1858,I:I)&gt;=400000,Q1858="B2G"),"n","")</f>
        <v/>
      </c>
    </row>
    <row r="1859" spans="1:34">
      <c r="A1859">
        <v>2026</v>
      </c>
      <c r="B1859">
        <v>2</v>
      </c>
      <c r="C1859" s="83">
        <v>93896851857</v>
      </c>
      <c r="D1859" t="s">
        <v>1752</v>
      </c>
      <c r="E1859">
        <v>53177874070</v>
      </c>
      <c r="F1859">
        <v>626109</v>
      </c>
      <c r="G1859">
        <v>50159223331</v>
      </c>
      <c r="H1859" t="s">
        <v>35</v>
      </c>
      <c r="I1859" s="36">
        <v>2724.6</v>
      </c>
      <c r="J1859" s="36">
        <v>2724.6</v>
      </c>
      <c r="K1859" s="85">
        <v>0</v>
      </c>
      <c r="L1859" s="36">
        <v>227.05</v>
      </c>
      <c r="M1859" s="36">
        <v>227.05</v>
      </c>
      <c r="N1859" s="36">
        <v>0</v>
      </c>
      <c r="O1859" s="36">
        <v>0</v>
      </c>
      <c r="P1859" t="s">
        <v>127</v>
      </c>
      <c r="Q1859" t="s">
        <v>111</v>
      </c>
      <c r="R1859" t="s">
        <v>111</v>
      </c>
      <c r="S1859" s="1">
        <v>46051</v>
      </c>
      <c r="T1859" s="1">
        <v>46054</v>
      </c>
      <c r="U1859" s="1">
        <v>46056</v>
      </c>
      <c r="V1859" s="1">
        <v>46421</v>
      </c>
      <c r="W1859" t="s">
        <v>38</v>
      </c>
      <c r="X1859">
        <v>12</v>
      </c>
      <c r="Y1859" t="s">
        <v>49</v>
      </c>
      <c r="Z1859" t="s">
        <v>81</v>
      </c>
      <c r="AA1859" t="s">
        <v>122</v>
      </c>
      <c r="AB1859">
        <v>12</v>
      </c>
      <c r="AC1859" t="s">
        <v>113</v>
      </c>
      <c r="AD1859" t="s">
        <v>140</v>
      </c>
      <c r="AE1859" t="s">
        <v>46</v>
      </c>
      <c r="AF1859" t="s">
        <v>119</v>
      </c>
      <c r="AG1859" t="str">
        <f t="shared" si="30"/>
        <v>Recorrente</v>
      </c>
      <c r="AH1859" t="str">
        <f>IF(AND(SUMIF(E:E,E1859,I:I)&gt;=400000,Q1859="B2G"),"n","")</f>
        <v/>
      </c>
    </row>
    <row r="1860" spans="1:34">
      <c r="A1860">
        <v>2026</v>
      </c>
      <c r="B1860">
        <v>2</v>
      </c>
      <c r="C1860" s="83">
        <v>94545357656</v>
      </c>
      <c r="D1860" t="s">
        <v>1753</v>
      </c>
      <c r="E1860">
        <v>54295791216</v>
      </c>
      <c r="F1860">
        <v>304233</v>
      </c>
      <c r="G1860">
        <v>50981152383</v>
      </c>
      <c r="H1860" t="s">
        <v>35</v>
      </c>
      <c r="I1860" s="36">
        <v>15901.68</v>
      </c>
      <c r="J1860" s="36">
        <v>7950.84</v>
      </c>
      <c r="K1860" s="85">
        <v>7950.84</v>
      </c>
      <c r="L1860" s="36">
        <v>662.57</v>
      </c>
      <c r="M1860" s="36">
        <v>0</v>
      </c>
      <c r="N1860" s="36">
        <v>138.505</v>
      </c>
      <c r="O1860" s="36">
        <v>524.07000000000005</v>
      </c>
      <c r="P1860" t="s">
        <v>323</v>
      </c>
      <c r="Q1860" t="s">
        <v>191</v>
      </c>
      <c r="R1860" t="s">
        <v>191</v>
      </c>
      <c r="S1860" s="1">
        <v>46059</v>
      </c>
      <c r="T1860" s="1">
        <v>46059</v>
      </c>
      <c r="U1860" s="1">
        <v>46058</v>
      </c>
      <c r="V1860" s="1">
        <v>46817</v>
      </c>
      <c r="W1860" t="s">
        <v>56</v>
      </c>
      <c r="X1860">
        <v>25</v>
      </c>
      <c r="Y1860" t="s">
        <v>49</v>
      </c>
      <c r="Z1860" t="s">
        <v>81</v>
      </c>
      <c r="AA1860" t="s">
        <v>122</v>
      </c>
      <c r="AB1860">
        <v>24</v>
      </c>
      <c r="AC1860" t="s">
        <v>192</v>
      </c>
      <c r="AD1860" t="s">
        <v>134</v>
      </c>
      <c r="AE1860" t="s">
        <v>135</v>
      </c>
      <c r="AF1860" t="s">
        <v>44</v>
      </c>
      <c r="AG1860" t="str">
        <f t="shared" si="30"/>
        <v>Recorrente</v>
      </c>
      <c r="AH1860" t="str">
        <f>IF(AND(SUMIF(E:E,E1860,I:I)&gt;=400000,Q1860="B2G"),"n","")</f>
        <v/>
      </c>
    </row>
    <row r="1861" spans="1:34">
      <c r="A1861">
        <v>2026</v>
      </c>
      <c r="B1861">
        <v>2</v>
      </c>
      <c r="C1861" s="83">
        <v>94554236985</v>
      </c>
      <c r="D1861" t="s">
        <v>1754</v>
      </c>
      <c r="E1861">
        <v>52493892774</v>
      </c>
      <c r="F1861">
        <v>526700</v>
      </c>
      <c r="G1861">
        <v>47454067577</v>
      </c>
      <c r="H1861" t="s">
        <v>35</v>
      </c>
      <c r="I1861" s="36">
        <v>3775.44</v>
      </c>
      <c r="J1861" s="36">
        <v>3775.44</v>
      </c>
      <c r="K1861" s="85">
        <v>0</v>
      </c>
      <c r="L1861" s="36">
        <v>314.62</v>
      </c>
      <c r="M1861" s="36">
        <v>0</v>
      </c>
      <c r="N1861" s="36">
        <v>85.805000000000007</v>
      </c>
      <c r="O1861" s="36">
        <v>228.82</v>
      </c>
      <c r="P1861" t="s">
        <v>165</v>
      </c>
      <c r="Q1861" t="s">
        <v>166</v>
      </c>
      <c r="R1861" t="s">
        <v>166</v>
      </c>
      <c r="S1861" s="1">
        <v>46060</v>
      </c>
      <c r="T1861" s="1">
        <v>46060</v>
      </c>
      <c r="U1861" s="1">
        <v>46060</v>
      </c>
      <c r="V1861" s="1">
        <v>46425</v>
      </c>
      <c r="W1861" t="s">
        <v>38</v>
      </c>
      <c r="X1861">
        <v>12</v>
      </c>
      <c r="Y1861" t="s">
        <v>49</v>
      </c>
      <c r="Z1861" t="s">
        <v>81</v>
      </c>
      <c r="AA1861" t="s">
        <v>112</v>
      </c>
      <c r="AB1861">
        <v>12</v>
      </c>
      <c r="AC1861" t="s">
        <v>166</v>
      </c>
      <c r="AD1861" t="s">
        <v>84</v>
      </c>
      <c r="AE1861" t="s">
        <v>43</v>
      </c>
      <c r="AF1861" t="s">
        <v>44</v>
      </c>
      <c r="AG1861" t="str">
        <f t="shared" si="30"/>
        <v>CC 12x</v>
      </c>
      <c r="AH1861" t="str">
        <f>IF(AND(SUMIF(E:E,E1861,I:I)&gt;=400000,Q1861="B2G"),"n","")</f>
        <v/>
      </c>
    </row>
    <row r="1862" spans="1:34">
      <c r="A1862">
        <v>2026</v>
      </c>
      <c r="B1862">
        <v>2</v>
      </c>
      <c r="C1862" s="83">
        <v>94557446248</v>
      </c>
      <c r="D1862" t="s">
        <v>1755</v>
      </c>
      <c r="E1862">
        <v>54231887545</v>
      </c>
      <c r="F1862">
        <v>303626</v>
      </c>
      <c r="G1862">
        <v>51901906211</v>
      </c>
      <c r="H1862" t="s">
        <v>35</v>
      </c>
      <c r="I1862" s="36">
        <v>4404</v>
      </c>
      <c r="J1862" s="36">
        <v>4404</v>
      </c>
      <c r="K1862" s="85">
        <v>0</v>
      </c>
      <c r="L1862" s="36">
        <v>367</v>
      </c>
      <c r="M1862" s="36">
        <v>0</v>
      </c>
      <c r="N1862" s="36">
        <v>59.92</v>
      </c>
      <c r="O1862" s="36">
        <v>307.08</v>
      </c>
      <c r="P1862" t="s">
        <v>127</v>
      </c>
      <c r="Q1862" t="s">
        <v>111</v>
      </c>
      <c r="R1862" t="s">
        <v>111</v>
      </c>
      <c r="S1862" s="1">
        <v>46073</v>
      </c>
      <c r="T1862" s="1">
        <v>46072</v>
      </c>
      <c r="U1862" s="1">
        <v>46041</v>
      </c>
      <c r="V1862" s="1">
        <v>46438</v>
      </c>
      <c r="W1862" t="s">
        <v>38</v>
      </c>
      <c r="X1862">
        <v>13</v>
      </c>
      <c r="Y1862" t="s">
        <v>49</v>
      </c>
      <c r="Z1862" t="s">
        <v>81</v>
      </c>
      <c r="AA1862" t="s">
        <v>112</v>
      </c>
      <c r="AB1862">
        <v>12</v>
      </c>
      <c r="AC1862" t="s">
        <v>113</v>
      </c>
      <c r="AD1862" t="s">
        <v>85</v>
      </c>
      <c r="AE1862" t="s">
        <v>46</v>
      </c>
      <c r="AF1862" t="s">
        <v>44</v>
      </c>
      <c r="AG1862" t="str">
        <f t="shared" si="30"/>
        <v>CC 12x</v>
      </c>
      <c r="AH1862" t="str">
        <f>IF(AND(SUMIF(E:E,E1862,I:I)&gt;=400000,Q1862="B2G"),"n","")</f>
        <v/>
      </c>
    </row>
    <row r="1863" spans="1:34">
      <c r="A1863">
        <v>2026</v>
      </c>
      <c r="B1863">
        <v>2</v>
      </c>
      <c r="C1863" s="83">
        <v>94949528717</v>
      </c>
      <c r="D1863" t="s">
        <v>1756</v>
      </c>
      <c r="E1863">
        <v>52026155852</v>
      </c>
      <c r="F1863">
        <v>625962</v>
      </c>
      <c r="G1863">
        <v>47278928451</v>
      </c>
      <c r="H1863" t="s">
        <v>35</v>
      </c>
      <c r="I1863" s="36">
        <v>2480.4</v>
      </c>
      <c r="J1863" s="36">
        <v>2480.4</v>
      </c>
      <c r="K1863" s="85">
        <v>0</v>
      </c>
      <c r="L1863" s="36">
        <v>206.7</v>
      </c>
      <c r="M1863" s="36">
        <v>0</v>
      </c>
      <c r="N1863" s="36">
        <v>0</v>
      </c>
      <c r="O1863" s="36">
        <v>206.70047500000001</v>
      </c>
      <c r="P1863" t="s">
        <v>110</v>
      </c>
      <c r="Q1863" t="s">
        <v>111</v>
      </c>
      <c r="R1863" t="s">
        <v>111</v>
      </c>
      <c r="S1863" s="1">
        <v>46043</v>
      </c>
      <c r="T1863" s="1">
        <v>46054</v>
      </c>
      <c r="U1863" s="1">
        <v>46051</v>
      </c>
      <c r="V1863" s="1">
        <v>46416</v>
      </c>
      <c r="W1863" t="s">
        <v>38</v>
      </c>
      <c r="X1863">
        <v>12</v>
      </c>
      <c r="Y1863" t="s">
        <v>49</v>
      </c>
      <c r="Z1863" t="s">
        <v>81</v>
      </c>
      <c r="AA1863" t="s">
        <v>112</v>
      </c>
      <c r="AB1863">
        <v>12</v>
      </c>
      <c r="AC1863" t="s">
        <v>113</v>
      </c>
      <c r="AD1863" t="s">
        <v>118</v>
      </c>
      <c r="AE1863" t="s">
        <v>43</v>
      </c>
      <c r="AF1863" t="s">
        <v>119</v>
      </c>
      <c r="AG1863" t="str">
        <f t="shared" si="30"/>
        <v>CC 12x</v>
      </c>
      <c r="AH1863" t="str">
        <f>IF(AND(SUMIF(E:E,E1863,I:I)&gt;=400000,Q1863="B2G"),"n","")</f>
        <v/>
      </c>
    </row>
    <row r="1864" spans="1:34">
      <c r="A1864">
        <v>2026</v>
      </c>
      <c r="B1864">
        <v>2</v>
      </c>
      <c r="C1864" s="83">
        <v>95300113291</v>
      </c>
      <c r="D1864" t="s">
        <v>1757</v>
      </c>
      <c r="E1864">
        <v>52047477638</v>
      </c>
      <c r="F1864">
        <v>626091</v>
      </c>
      <c r="G1864">
        <v>47177963898</v>
      </c>
      <c r="H1864" t="s">
        <v>35</v>
      </c>
      <c r="I1864" s="36">
        <v>4962.6000000000004</v>
      </c>
      <c r="J1864" s="36">
        <v>4962.6000000000004</v>
      </c>
      <c r="K1864" s="85">
        <v>0</v>
      </c>
      <c r="L1864" s="36">
        <v>413.55</v>
      </c>
      <c r="M1864" s="36">
        <v>0</v>
      </c>
      <c r="N1864" s="36">
        <v>47.8</v>
      </c>
      <c r="O1864" s="36">
        <v>365.75</v>
      </c>
      <c r="P1864" t="s">
        <v>165</v>
      </c>
      <c r="Q1864" t="s">
        <v>166</v>
      </c>
      <c r="R1864" t="s">
        <v>166</v>
      </c>
      <c r="S1864" s="1">
        <v>46054</v>
      </c>
      <c r="T1864" s="1">
        <v>46054</v>
      </c>
      <c r="U1864" s="1">
        <v>46054</v>
      </c>
      <c r="V1864" s="1">
        <v>46419</v>
      </c>
      <c r="W1864" t="s">
        <v>38</v>
      </c>
      <c r="X1864">
        <v>12</v>
      </c>
      <c r="Y1864" t="s">
        <v>49</v>
      </c>
      <c r="Z1864" t="s">
        <v>81</v>
      </c>
      <c r="AA1864" t="s">
        <v>112</v>
      </c>
      <c r="AB1864">
        <v>12</v>
      </c>
      <c r="AC1864" t="s">
        <v>166</v>
      </c>
      <c r="AD1864" t="s">
        <v>138</v>
      </c>
      <c r="AE1864" t="s">
        <v>135</v>
      </c>
      <c r="AF1864" t="s">
        <v>119</v>
      </c>
      <c r="AG1864" t="str">
        <f t="shared" si="30"/>
        <v>CC 12x</v>
      </c>
      <c r="AH1864" t="str">
        <f>IF(AND(SUMIF(E:E,E1864,I:I)&gt;=400000,Q1864="B2G"),"n","")</f>
        <v/>
      </c>
    </row>
    <row r="1865" spans="1:34">
      <c r="A1865">
        <v>2026</v>
      </c>
      <c r="B1865">
        <v>2</v>
      </c>
      <c r="C1865" s="83">
        <v>95498002957</v>
      </c>
      <c r="D1865" t="s">
        <v>1758</v>
      </c>
      <c r="E1865">
        <v>56202625399</v>
      </c>
      <c r="F1865">
        <v>636089</v>
      </c>
      <c r="G1865">
        <v>51429394501</v>
      </c>
      <c r="H1865" t="s">
        <v>35</v>
      </c>
      <c r="I1865" s="36">
        <v>2874</v>
      </c>
      <c r="J1865" s="36">
        <v>2874</v>
      </c>
      <c r="K1865" s="85">
        <v>0</v>
      </c>
      <c r="L1865" s="36">
        <v>239.5</v>
      </c>
      <c r="M1865" s="36">
        <v>239.5</v>
      </c>
      <c r="N1865" s="36">
        <v>0</v>
      </c>
      <c r="O1865" s="36">
        <v>0</v>
      </c>
      <c r="P1865" t="s">
        <v>497</v>
      </c>
      <c r="Q1865" t="s">
        <v>498</v>
      </c>
      <c r="R1865" t="s">
        <v>498</v>
      </c>
      <c r="S1865" s="1">
        <v>46066</v>
      </c>
      <c r="T1865" s="1">
        <v>46066</v>
      </c>
      <c r="U1865" s="1"/>
      <c r="V1865" s="1">
        <v>46431</v>
      </c>
      <c r="W1865" t="s">
        <v>38</v>
      </c>
      <c r="X1865">
        <v>12</v>
      </c>
      <c r="Y1865" t="s">
        <v>49</v>
      </c>
      <c r="AA1865" t="s">
        <v>117</v>
      </c>
      <c r="AB1865">
        <v>1</v>
      </c>
      <c r="AC1865" t="s">
        <v>499</v>
      </c>
      <c r="AD1865" t="s">
        <v>140</v>
      </c>
      <c r="AE1865" t="s">
        <v>46</v>
      </c>
      <c r="AF1865" t="s">
        <v>119</v>
      </c>
      <c r="AG1865" t="str">
        <f t="shared" si="30"/>
        <v>À Vista</v>
      </c>
      <c r="AH1865" t="str">
        <f>IF(AND(SUMIF(E:E,E1865,I:I)&gt;=400000,Q1865="B2G"),"n","")</f>
        <v/>
      </c>
    </row>
    <row r="1866" spans="1:34">
      <c r="A1866">
        <v>2026</v>
      </c>
      <c r="B1866">
        <v>2</v>
      </c>
      <c r="C1866" s="83">
        <v>95552529326</v>
      </c>
      <c r="D1866" t="s">
        <v>1759</v>
      </c>
      <c r="E1866">
        <v>53407375953</v>
      </c>
      <c r="F1866">
        <v>527926</v>
      </c>
      <c r="G1866">
        <v>48530641485</v>
      </c>
      <c r="H1866" t="s">
        <v>35</v>
      </c>
      <c r="I1866" s="36">
        <v>7015.44</v>
      </c>
      <c r="J1866" s="36">
        <v>7015.44</v>
      </c>
      <c r="K1866" s="85">
        <v>0</v>
      </c>
      <c r="L1866" s="36">
        <v>584.62</v>
      </c>
      <c r="M1866" s="36">
        <v>0</v>
      </c>
      <c r="N1866" s="36">
        <v>97.875</v>
      </c>
      <c r="O1866" s="36">
        <v>486.75</v>
      </c>
      <c r="P1866" t="s">
        <v>165</v>
      </c>
      <c r="Q1866" t="s">
        <v>166</v>
      </c>
      <c r="R1866" t="s">
        <v>166</v>
      </c>
      <c r="S1866" s="1">
        <v>46075</v>
      </c>
      <c r="T1866" s="1">
        <v>46075</v>
      </c>
      <c r="U1866" s="1">
        <v>46075</v>
      </c>
      <c r="V1866" s="1">
        <v>46440</v>
      </c>
      <c r="W1866" t="s">
        <v>38</v>
      </c>
      <c r="X1866">
        <v>12</v>
      </c>
      <c r="Y1866" t="s">
        <v>49</v>
      </c>
      <c r="Z1866" t="s">
        <v>81</v>
      </c>
      <c r="AA1866" t="s">
        <v>122</v>
      </c>
      <c r="AB1866">
        <v>12</v>
      </c>
      <c r="AC1866" t="s">
        <v>166</v>
      </c>
      <c r="AD1866" t="s">
        <v>134</v>
      </c>
      <c r="AE1866" t="s">
        <v>135</v>
      </c>
      <c r="AF1866" t="s">
        <v>44</v>
      </c>
      <c r="AG1866" t="str">
        <f t="shared" si="30"/>
        <v>Recorrente</v>
      </c>
      <c r="AH1866" t="str">
        <f>IF(AND(SUMIF(E:E,E1866,I:I)&gt;=400000,Q1866="B2G"),"n","")</f>
        <v/>
      </c>
    </row>
    <row r="1867" spans="1:34">
      <c r="A1867">
        <v>2026</v>
      </c>
      <c r="B1867">
        <v>2</v>
      </c>
      <c r="C1867" s="83">
        <v>95569187387</v>
      </c>
      <c r="D1867" t="s">
        <v>1760</v>
      </c>
      <c r="E1867">
        <v>56710891117</v>
      </c>
      <c r="F1867">
        <v>528611</v>
      </c>
      <c r="G1867">
        <v>52355231004</v>
      </c>
      <c r="H1867" t="s">
        <v>35</v>
      </c>
      <c r="I1867" s="36">
        <v>3459</v>
      </c>
      <c r="J1867" s="36">
        <v>3459</v>
      </c>
      <c r="K1867" s="85">
        <v>0</v>
      </c>
      <c r="L1867" s="36">
        <v>288.25</v>
      </c>
      <c r="M1867" s="36">
        <v>0</v>
      </c>
      <c r="N1867" s="36">
        <v>26.65</v>
      </c>
      <c r="O1867" s="36">
        <v>261.60000000000002</v>
      </c>
      <c r="P1867" t="s">
        <v>127</v>
      </c>
      <c r="Q1867" t="s">
        <v>111</v>
      </c>
      <c r="R1867" t="s">
        <v>111</v>
      </c>
      <c r="S1867" s="1">
        <v>46080</v>
      </c>
      <c r="T1867" s="1">
        <v>46080</v>
      </c>
      <c r="U1867" s="1">
        <v>46081</v>
      </c>
      <c r="V1867" s="1">
        <v>46446</v>
      </c>
      <c r="W1867" t="s">
        <v>38</v>
      </c>
      <c r="X1867">
        <v>12</v>
      </c>
      <c r="Y1867" t="s">
        <v>49</v>
      </c>
      <c r="Z1867" t="s">
        <v>81</v>
      </c>
      <c r="AA1867" t="s">
        <v>117</v>
      </c>
      <c r="AB1867">
        <v>1</v>
      </c>
      <c r="AC1867" t="s">
        <v>113</v>
      </c>
      <c r="AD1867" t="s">
        <v>85</v>
      </c>
      <c r="AE1867" t="s">
        <v>46</v>
      </c>
      <c r="AF1867" t="s">
        <v>44</v>
      </c>
      <c r="AG1867" t="str">
        <f t="shared" si="30"/>
        <v>À Vista</v>
      </c>
      <c r="AH1867" t="str">
        <f>IF(AND(SUMIF(E:E,E1867,I:I)&gt;=400000,Q1867="B2G"),"n","")</f>
        <v/>
      </c>
    </row>
    <row r="1868" spans="1:34">
      <c r="A1868">
        <v>2026</v>
      </c>
      <c r="B1868">
        <v>2</v>
      </c>
      <c r="C1868" s="83">
        <v>95576860848</v>
      </c>
      <c r="D1868" t="s">
        <v>1761</v>
      </c>
      <c r="E1868">
        <v>52260189103</v>
      </c>
      <c r="F1868">
        <v>304515</v>
      </c>
      <c r="G1868">
        <v>47487617857</v>
      </c>
      <c r="H1868" t="s">
        <v>35</v>
      </c>
      <c r="I1868" s="36">
        <v>4962.6000000000004</v>
      </c>
      <c r="J1868" s="36">
        <v>4962.6000000000004</v>
      </c>
      <c r="K1868" s="85">
        <v>0</v>
      </c>
      <c r="L1868" s="36">
        <v>413.55</v>
      </c>
      <c r="M1868" s="36">
        <v>0</v>
      </c>
      <c r="N1868" s="36">
        <v>63.06</v>
      </c>
      <c r="O1868" s="36">
        <v>350.49</v>
      </c>
      <c r="P1868" t="s">
        <v>165</v>
      </c>
      <c r="Q1868" t="s">
        <v>166</v>
      </c>
      <c r="R1868" t="s">
        <v>166</v>
      </c>
      <c r="S1868" s="1">
        <v>46057</v>
      </c>
      <c r="T1868" s="1">
        <v>46057</v>
      </c>
      <c r="U1868" s="1">
        <v>46057</v>
      </c>
      <c r="V1868" s="1">
        <v>46422</v>
      </c>
      <c r="W1868" t="s">
        <v>38</v>
      </c>
      <c r="X1868">
        <v>12</v>
      </c>
      <c r="Y1868" t="s">
        <v>49</v>
      </c>
      <c r="Z1868" t="s">
        <v>81</v>
      </c>
      <c r="AA1868" t="s">
        <v>112</v>
      </c>
      <c r="AB1868">
        <v>12</v>
      </c>
      <c r="AC1868" t="s">
        <v>166</v>
      </c>
      <c r="AD1868" t="s">
        <v>138</v>
      </c>
      <c r="AE1868" t="s">
        <v>135</v>
      </c>
      <c r="AF1868" t="s">
        <v>119</v>
      </c>
      <c r="AG1868" t="str">
        <f t="shared" si="30"/>
        <v>CC 12x</v>
      </c>
      <c r="AH1868" t="str">
        <f>IF(AND(SUMIF(E:E,E1868,I:I)&gt;=400000,Q1868="B2G"),"n","")</f>
        <v/>
      </c>
    </row>
    <row r="1869" spans="1:34">
      <c r="A1869">
        <v>2026</v>
      </c>
      <c r="B1869">
        <v>2</v>
      </c>
      <c r="C1869" s="83">
        <v>95585109780</v>
      </c>
      <c r="D1869" t="s">
        <v>1762</v>
      </c>
      <c r="E1869">
        <v>53232027059</v>
      </c>
      <c r="F1869">
        <v>306125</v>
      </c>
      <c r="G1869">
        <v>49944700750</v>
      </c>
      <c r="H1869" t="s">
        <v>35</v>
      </c>
      <c r="I1869" s="36">
        <v>4218.24</v>
      </c>
      <c r="J1869" s="36">
        <v>4218.24</v>
      </c>
      <c r="K1869" s="85">
        <v>0</v>
      </c>
      <c r="L1869" s="36">
        <v>351.52</v>
      </c>
      <c r="M1869" s="36">
        <v>0</v>
      </c>
      <c r="N1869" s="36">
        <v>0</v>
      </c>
      <c r="O1869" s="36">
        <v>351.52209499999998</v>
      </c>
      <c r="P1869" t="s">
        <v>116</v>
      </c>
      <c r="Q1869" t="s">
        <v>111</v>
      </c>
      <c r="R1869" t="s">
        <v>111</v>
      </c>
      <c r="S1869" s="1">
        <v>46049</v>
      </c>
      <c r="T1869" s="1">
        <v>46054</v>
      </c>
      <c r="U1869" s="1">
        <v>46061</v>
      </c>
      <c r="V1869" s="1">
        <v>46426</v>
      </c>
      <c r="W1869" t="s">
        <v>38</v>
      </c>
      <c r="X1869">
        <v>12</v>
      </c>
      <c r="Y1869" t="s">
        <v>49</v>
      </c>
      <c r="Z1869" t="s">
        <v>76</v>
      </c>
      <c r="AA1869" t="s">
        <v>112</v>
      </c>
      <c r="AB1869">
        <v>12</v>
      </c>
      <c r="AC1869" t="s">
        <v>113</v>
      </c>
      <c r="AD1869" t="s">
        <v>138</v>
      </c>
      <c r="AE1869" t="s">
        <v>135</v>
      </c>
      <c r="AF1869" t="s">
        <v>119</v>
      </c>
      <c r="AG1869" t="str">
        <f t="shared" si="30"/>
        <v>CC 12x</v>
      </c>
      <c r="AH1869" t="str">
        <f>IF(AND(SUMIF(E:E,E1869,I:I)&gt;=400000,Q1869="B2G"),"n","")</f>
        <v/>
      </c>
    </row>
    <row r="1870" spans="1:34">
      <c r="A1870">
        <v>2026</v>
      </c>
      <c r="B1870">
        <v>2</v>
      </c>
      <c r="C1870" s="83">
        <v>95604375218</v>
      </c>
      <c r="D1870" t="s">
        <v>1763</v>
      </c>
      <c r="E1870">
        <v>57094192011</v>
      </c>
      <c r="F1870">
        <v>626486</v>
      </c>
      <c r="G1870">
        <v>52355302797</v>
      </c>
      <c r="H1870" t="s">
        <v>35</v>
      </c>
      <c r="I1870" s="36">
        <v>2457.2399999999998</v>
      </c>
      <c r="J1870" s="36">
        <v>2457.2399999999998</v>
      </c>
      <c r="K1870" s="85">
        <v>0</v>
      </c>
      <c r="L1870" s="36">
        <v>204.77</v>
      </c>
      <c r="M1870" s="36">
        <v>204.77</v>
      </c>
      <c r="N1870" s="36">
        <v>0</v>
      </c>
      <c r="O1870" s="36">
        <v>0</v>
      </c>
      <c r="P1870" t="s">
        <v>116</v>
      </c>
      <c r="Q1870" t="s">
        <v>111</v>
      </c>
      <c r="R1870" t="s">
        <v>111</v>
      </c>
      <c r="S1870" s="1">
        <v>46079</v>
      </c>
      <c r="T1870" s="1">
        <v>46079</v>
      </c>
      <c r="U1870" s="1">
        <v>46064</v>
      </c>
      <c r="V1870" s="1">
        <v>46446</v>
      </c>
      <c r="W1870" t="s">
        <v>38</v>
      </c>
      <c r="X1870">
        <v>12</v>
      </c>
      <c r="Y1870" t="s">
        <v>49</v>
      </c>
      <c r="Z1870" t="s">
        <v>81</v>
      </c>
      <c r="AA1870" t="s">
        <v>122</v>
      </c>
      <c r="AB1870">
        <v>12</v>
      </c>
      <c r="AC1870" t="s">
        <v>113</v>
      </c>
      <c r="AD1870" t="s">
        <v>140</v>
      </c>
      <c r="AE1870" t="s">
        <v>46</v>
      </c>
      <c r="AF1870" t="s">
        <v>119</v>
      </c>
      <c r="AG1870" t="str">
        <f t="shared" si="30"/>
        <v>Recorrente</v>
      </c>
      <c r="AH1870" t="str">
        <f>IF(AND(SUMIF(E:E,E1870,I:I)&gt;=400000,Q1870="B2G"),"n","")</f>
        <v/>
      </c>
    </row>
    <row r="1871" spans="1:34">
      <c r="A1871">
        <v>2026</v>
      </c>
      <c r="B1871">
        <v>2</v>
      </c>
      <c r="C1871" s="83">
        <v>95635660377</v>
      </c>
      <c r="D1871" t="s">
        <v>1764</v>
      </c>
      <c r="E1871">
        <v>52947391274</v>
      </c>
      <c r="F1871">
        <v>626075</v>
      </c>
      <c r="G1871">
        <v>50922498609</v>
      </c>
      <c r="H1871" t="s">
        <v>35</v>
      </c>
      <c r="I1871" s="36">
        <v>2586.6</v>
      </c>
      <c r="J1871" s="36">
        <v>2586.6</v>
      </c>
      <c r="K1871" s="85">
        <v>0</v>
      </c>
      <c r="L1871" s="36">
        <v>215.55</v>
      </c>
      <c r="M1871" s="36">
        <v>0</v>
      </c>
      <c r="N1871" s="36">
        <v>0</v>
      </c>
      <c r="O1871" s="36">
        <v>215.55</v>
      </c>
      <c r="P1871" t="s">
        <v>127</v>
      </c>
      <c r="Q1871" t="s">
        <v>111</v>
      </c>
      <c r="R1871" t="s">
        <v>111</v>
      </c>
      <c r="S1871" s="1">
        <v>46059</v>
      </c>
      <c r="T1871" s="1">
        <v>46059</v>
      </c>
      <c r="U1871" s="1">
        <v>46053</v>
      </c>
      <c r="V1871" s="1">
        <v>46424</v>
      </c>
      <c r="W1871" t="s">
        <v>38</v>
      </c>
      <c r="X1871">
        <v>13</v>
      </c>
      <c r="Y1871" t="s">
        <v>49</v>
      </c>
      <c r="Z1871" t="s">
        <v>81</v>
      </c>
      <c r="AA1871" t="s">
        <v>112</v>
      </c>
      <c r="AB1871">
        <v>12</v>
      </c>
      <c r="AC1871" t="s">
        <v>113</v>
      </c>
      <c r="AD1871" t="s">
        <v>140</v>
      </c>
      <c r="AE1871" t="s">
        <v>46</v>
      </c>
      <c r="AF1871" t="s">
        <v>119</v>
      </c>
      <c r="AG1871" t="str">
        <f t="shared" si="30"/>
        <v>CC 12x</v>
      </c>
      <c r="AH1871" t="str">
        <f>IF(AND(SUMIF(E:E,E1871,I:I)&gt;=400000,Q1871="B2G"),"n","")</f>
        <v/>
      </c>
    </row>
    <row r="1872" spans="1:34">
      <c r="A1872">
        <v>2026</v>
      </c>
      <c r="B1872">
        <v>2</v>
      </c>
      <c r="C1872" s="83">
        <v>96504482651</v>
      </c>
      <c r="D1872" t="s">
        <v>1765</v>
      </c>
      <c r="E1872">
        <v>52047052978</v>
      </c>
      <c r="F1872">
        <v>503795</v>
      </c>
      <c r="G1872">
        <v>47183854889</v>
      </c>
      <c r="H1872" t="s">
        <v>35</v>
      </c>
      <c r="I1872" s="36">
        <v>12594</v>
      </c>
      <c r="J1872" s="36">
        <v>12594</v>
      </c>
      <c r="K1872" s="85">
        <v>0</v>
      </c>
      <c r="L1872" s="36">
        <v>1049.5</v>
      </c>
      <c r="M1872" s="36">
        <v>0</v>
      </c>
      <c r="N1872" s="36">
        <v>80.5</v>
      </c>
      <c r="O1872" s="36">
        <v>969</v>
      </c>
      <c r="P1872" t="s">
        <v>165</v>
      </c>
      <c r="Q1872" t="s">
        <v>166</v>
      </c>
      <c r="R1872" t="s">
        <v>166</v>
      </c>
      <c r="S1872" s="1">
        <v>46054</v>
      </c>
      <c r="T1872" s="1">
        <v>46054</v>
      </c>
      <c r="U1872" s="1">
        <v>46054</v>
      </c>
      <c r="V1872" s="1">
        <v>46419</v>
      </c>
      <c r="W1872" t="s">
        <v>38</v>
      </c>
      <c r="X1872">
        <v>12</v>
      </c>
      <c r="Y1872" t="s">
        <v>49</v>
      </c>
      <c r="Z1872" t="s">
        <v>81</v>
      </c>
      <c r="AA1872" t="s">
        <v>122</v>
      </c>
      <c r="AB1872">
        <v>12</v>
      </c>
      <c r="AC1872" t="s">
        <v>166</v>
      </c>
      <c r="AD1872" t="s">
        <v>146</v>
      </c>
      <c r="AE1872" t="s">
        <v>135</v>
      </c>
      <c r="AF1872" t="s">
        <v>96</v>
      </c>
      <c r="AG1872" t="str">
        <f t="shared" si="30"/>
        <v>Recorrente</v>
      </c>
      <c r="AH1872" t="str">
        <f>IF(AND(SUMIF(E:E,E1872,I:I)&gt;=400000,Q1872="B2G"),"n","")</f>
        <v/>
      </c>
    </row>
    <row r="1873" spans="1:34">
      <c r="A1873">
        <v>2026</v>
      </c>
      <c r="B1873">
        <v>2</v>
      </c>
      <c r="C1873" s="83">
        <v>96607238206</v>
      </c>
      <c r="D1873" t="s">
        <v>1766</v>
      </c>
      <c r="E1873">
        <v>52493899104</v>
      </c>
      <c r="F1873">
        <v>626254</v>
      </c>
      <c r="G1873">
        <v>47656866315</v>
      </c>
      <c r="H1873" t="s">
        <v>35</v>
      </c>
      <c r="I1873" s="36">
        <v>5754</v>
      </c>
      <c r="J1873" s="36">
        <v>5754</v>
      </c>
      <c r="K1873" s="85">
        <v>0</v>
      </c>
      <c r="L1873" s="36">
        <v>479.5</v>
      </c>
      <c r="M1873" s="36">
        <v>0</v>
      </c>
      <c r="N1873" s="36">
        <v>26.5</v>
      </c>
      <c r="O1873" s="36">
        <v>453</v>
      </c>
      <c r="P1873" t="s">
        <v>165</v>
      </c>
      <c r="Q1873" t="s">
        <v>166</v>
      </c>
      <c r="R1873" t="s">
        <v>166</v>
      </c>
      <c r="S1873" s="1">
        <v>46060</v>
      </c>
      <c r="T1873" s="1">
        <v>46060</v>
      </c>
      <c r="U1873" s="1">
        <v>46060</v>
      </c>
      <c r="V1873" s="1">
        <v>46425</v>
      </c>
      <c r="W1873" t="s">
        <v>38</v>
      </c>
      <c r="X1873">
        <v>12</v>
      </c>
      <c r="Y1873" t="s">
        <v>49</v>
      </c>
      <c r="Z1873" t="s">
        <v>81</v>
      </c>
      <c r="AA1873" t="s">
        <v>122</v>
      </c>
      <c r="AB1873">
        <v>10</v>
      </c>
      <c r="AC1873" t="s">
        <v>166</v>
      </c>
      <c r="AD1873" t="s">
        <v>85</v>
      </c>
      <c r="AE1873" t="s">
        <v>46</v>
      </c>
      <c r="AF1873" t="s">
        <v>44</v>
      </c>
      <c r="AG1873" t="str">
        <f t="shared" si="30"/>
        <v>Recorrente</v>
      </c>
      <c r="AH1873" t="str">
        <f>IF(AND(SUMIF(E:E,E1873,I:I)&gt;=400000,Q1873="B2G"),"n","")</f>
        <v/>
      </c>
    </row>
    <row r="1874" spans="1:34">
      <c r="A1874">
        <v>2026</v>
      </c>
      <c r="B1874">
        <v>2</v>
      </c>
      <c r="C1874" s="83">
        <v>96645942615</v>
      </c>
      <c r="D1874" t="s">
        <v>1767</v>
      </c>
      <c r="E1874">
        <v>52166076250</v>
      </c>
      <c r="F1874">
        <v>304417</v>
      </c>
      <c r="G1874">
        <v>47293857675</v>
      </c>
      <c r="H1874" t="s">
        <v>35</v>
      </c>
      <c r="I1874" s="36">
        <v>7015.44</v>
      </c>
      <c r="J1874" s="36">
        <v>7015.44</v>
      </c>
      <c r="K1874" s="85">
        <v>0</v>
      </c>
      <c r="L1874" s="36">
        <v>584.62</v>
      </c>
      <c r="M1874" s="36">
        <v>0</v>
      </c>
      <c r="N1874" s="36">
        <v>119.05500000000001</v>
      </c>
      <c r="O1874" s="36">
        <v>465.57</v>
      </c>
      <c r="P1874" t="s">
        <v>165</v>
      </c>
      <c r="Q1874" t="s">
        <v>166</v>
      </c>
      <c r="R1874" t="s">
        <v>166</v>
      </c>
      <c r="S1874" s="1">
        <v>46055</v>
      </c>
      <c r="T1874" s="1">
        <v>46055</v>
      </c>
      <c r="U1874" s="1">
        <v>46055</v>
      </c>
      <c r="V1874" s="1">
        <v>46420</v>
      </c>
      <c r="W1874" t="s">
        <v>38</v>
      </c>
      <c r="X1874">
        <v>12</v>
      </c>
      <c r="Y1874" t="s">
        <v>49</v>
      </c>
      <c r="Z1874" t="s">
        <v>81</v>
      </c>
      <c r="AA1874" t="s">
        <v>122</v>
      </c>
      <c r="AB1874">
        <v>12</v>
      </c>
      <c r="AC1874" t="s">
        <v>166</v>
      </c>
      <c r="AD1874" t="s">
        <v>134</v>
      </c>
      <c r="AE1874" t="s">
        <v>135</v>
      </c>
      <c r="AF1874" t="s">
        <v>44</v>
      </c>
      <c r="AG1874" t="str">
        <f t="shared" si="30"/>
        <v>Recorrente</v>
      </c>
      <c r="AH1874" t="str">
        <f>IF(AND(SUMIF(E:E,E1874,I:I)&gt;=400000,Q1874="B2G"),"n","")</f>
        <v/>
      </c>
    </row>
    <row r="1875" spans="1:34">
      <c r="A1875">
        <v>2026</v>
      </c>
      <c r="B1875">
        <v>2</v>
      </c>
      <c r="C1875" s="83">
        <v>96818494353</v>
      </c>
      <c r="D1875" t="s">
        <v>1768</v>
      </c>
      <c r="E1875">
        <v>56562938012</v>
      </c>
      <c r="F1875">
        <v>527826</v>
      </c>
      <c r="G1875">
        <v>51889156741</v>
      </c>
      <c r="H1875" t="s">
        <v>35</v>
      </c>
      <c r="I1875" s="36">
        <v>6475.92</v>
      </c>
      <c r="J1875" s="36">
        <v>6475.92</v>
      </c>
      <c r="K1875" s="85">
        <v>0</v>
      </c>
      <c r="L1875" s="36">
        <v>539.66</v>
      </c>
      <c r="M1875" s="36">
        <v>0</v>
      </c>
      <c r="N1875" s="36">
        <v>87.732500000000002</v>
      </c>
      <c r="O1875" s="36">
        <v>451.93</v>
      </c>
      <c r="P1875" t="s">
        <v>110</v>
      </c>
      <c r="Q1875" t="s">
        <v>111</v>
      </c>
      <c r="R1875" t="s">
        <v>111</v>
      </c>
      <c r="S1875" s="1">
        <v>46071</v>
      </c>
      <c r="T1875" s="1">
        <v>46071</v>
      </c>
      <c r="U1875" s="1">
        <v>46070</v>
      </c>
      <c r="V1875" s="1">
        <v>46435</v>
      </c>
      <c r="W1875" t="s">
        <v>38</v>
      </c>
      <c r="X1875">
        <v>12</v>
      </c>
      <c r="Y1875" t="s">
        <v>49</v>
      </c>
      <c r="Z1875" t="s">
        <v>81</v>
      </c>
      <c r="AA1875" t="s">
        <v>112</v>
      </c>
      <c r="AB1875">
        <v>12</v>
      </c>
      <c r="AC1875" t="s">
        <v>113</v>
      </c>
      <c r="AD1875" t="s">
        <v>131</v>
      </c>
      <c r="AE1875" t="s">
        <v>46</v>
      </c>
      <c r="AF1875" t="s">
        <v>96</v>
      </c>
      <c r="AG1875" t="str">
        <f t="shared" si="30"/>
        <v>CC 12x</v>
      </c>
      <c r="AH1875" t="str">
        <f>IF(AND(SUMIF(E:E,E1875,I:I)&gt;=400000,Q1875="B2G"),"n","")</f>
        <v/>
      </c>
    </row>
    <row r="1876" spans="1:34">
      <c r="A1876">
        <v>2026</v>
      </c>
      <c r="B1876">
        <v>2</v>
      </c>
      <c r="C1876" s="83">
        <v>96824380736</v>
      </c>
      <c r="D1876" t="s">
        <v>1769</v>
      </c>
      <c r="E1876">
        <v>53039647309</v>
      </c>
      <c r="F1876">
        <v>505838</v>
      </c>
      <c r="G1876">
        <v>48885759331</v>
      </c>
      <c r="H1876" t="s">
        <v>35</v>
      </c>
      <c r="I1876" s="36">
        <v>4218.24</v>
      </c>
      <c r="J1876" s="36">
        <v>4218.24</v>
      </c>
      <c r="K1876" s="85">
        <v>0</v>
      </c>
      <c r="L1876" s="36">
        <v>351.52</v>
      </c>
      <c r="M1876" s="36">
        <v>0</v>
      </c>
      <c r="N1876" s="36">
        <v>0</v>
      </c>
      <c r="O1876" s="36">
        <v>351.52209499999998</v>
      </c>
      <c r="P1876" t="s">
        <v>116</v>
      </c>
      <c r="Q1876" t="s">
        <v>111</v>
      </c>
      <c r="R1876" t="s">
        <v>111</v>
      </c>
      <c r="S1876" s="1">
        <v>46036</v>
      </c>
      <c r="T1876" s="1">
        <v>46054</v>
      </c>
      <c r="U1876" s="1">
        <v>46068</v>
      </c>
      <c r="V1876" s="1">
        <v>46433</v>
      </c>
      <c r="W1876" t="s">
        <v>38</v>
      </c>
      <c r="X1876">
        <v>12</v>
      </c>
      <c r="Y1876" t="s">
        <v>49</v>
      </c>
      <c r="Z1876" t="s">
        <v>81</v>
      </c>
      <c r="AA1876" t="s">
        <v>112</v>
      </c>
      <c r="AB1876">
        <v>12</v>
      </c>
      <c r="AC1876" t="s">
        <v>113</v>
      </c>
      <c r="AD1876" t="s">
        <v>138</v>
      </c>
      <c r="AE1876" t="s">
        <v>135</v>
      </c>
      <c r="AF1876" t="s">
        <v>119</v>
      </c>
      <c r="AG1876" t="str">
        <f t="shared" si="30"/>
        <v>CC 12x</v>
      </c>
      <c r="AH1876" t="str">
        <f>IF(AND(SUMIF(E:E,E1876,I:I)&gt;=400000,Q1876="B2G"),"n","")</f>
        <v/>
      </c>
    </row>
    <row r="1877" spans="1:34">
      <c r="A1877">
        <v>2026</v>
      </c>
      <c r="B1877">
        <v>2</v>
      </c>
      <c r="C1877" s="83">
        <v>96828195182</v>
      </c>
      <c r="D1877" t="s">
        <v>1770</v>
      </c>
      <c r="E1877">
        <v>52415481254</v>
      </c>
      <c r="F1877">
        <v>305975</v>
      </c>
      <c r="G1877">
        <v>47454960505</v>
      </c>
      <c r="H1877" t="s">
        <v>35</v>
      </c>
      <c r="I1877" s="36">
        <v>2874</v>
      </c>
      <c r="J1877" s="36">
        <v>2874</v>
      </c>
      <c r="K1877" s="85">
        <v>0</v>
      </c>
      <c r="L1877" s="36">
        <v>239.5</v>
      </c>
      <c r="M1877" s="36">
        <v>0</v>
      </c>
      <c r="N1877" s="36">
        <v>0.5</v>
      </c>
      <c r="O1877" s="36">
        <v>239</v>
      </c>
      <c r="P1877" t="s">
        <v>165</v>
      </c>
      <c r="Q1877" t="s">
        <v>166</v>
      </c>
      <c r="R1877" t="s">
        <v>166</v>
      </c>
      <c r="S1877" s="1">
        <v>46059</v>
      </c>
      <c r="T1877" s="1">
        <v>46059</v>
      </c>
      <c r="U1877" s="1">
        <v>46059</v>
      </c>
      <c r="V1877" s="1">
        <v>46424</v>
      </c>
      <c r="W1877" t="s">
        <v>38</v>
      </c>
      <c r="X1877">
        <v>12</v>
      </c>
      <c r="Y1877" t="s">
        <v>49</v>
      </c>
      <c r="Z1877" t="s">
        <v>81</v>
      </c>
      <c r="AA1877" t="s">
        <v>122</v>
      </c>
      <c r="AB1877">
        <v>12</v>
      </c>
      <c r="AC1877" t="s">
        <v>166</v>
      </c>
      <c r="AD1877" t="s">
        <v>140</v>
      </c>
      <c r="AE1877" t="s">
        <v>46</v>
      </c>
      <c r="AF1877" t="s">
        <v>119</v>
      </c>
      <c r="AG1877" t="str">
        <f t="shared" si="30"/>
        <v>Recorrente</v>
      </c>
      <c r="AH1877" t="str">
        <f>IF(AND(SUMIF(E:E,E1877,I:I)&gt;=400000,Q1877="B2G"),"n","")</f>
        <v/>
      </c>
    </row>
    <row r="1878" spans="1:34">
      <c r="A1878">
        <v>2026</v>
      </c>
      <c r="B1878">
        <v>2</v>
      </c>
      <c r="C1878" s="83">
        <v>96828699281</v>
      </c>
      <c r="D1878" t="s">
        <v>1771</v>
      </c>
      <c r="E1878">
        <v>56287971610</v>
      </c>
      <c r="F1878">
        <v>527379</v>
      </c>
      <c r="G1878">
        <v>51905740459</v>
      </c>
      <c r="H1878" t="s">
        <v>35</v>
      </c>
      <c r="I1878" s="36">
        <v>4962.6000000000004</v>
      </c>
      <c r="J1878" s="36">
        <v>4962.6000000000004</v>
      </c>
      <c r="K1878" s="85">
        <v>0</v>
      </c>
      <c r="L1878" s="36">
        <v>413.55</v>
      </c>
      <c r="M1878" s="36">
        <v>0</v>
      </c>
      <c r="N1878" s="36">
        <v>0</v>
      </c>
      <c r="O1878" s="36">
        <v>413.55</v>
      </c>
      <c r="P1878" t="s">
        <v>121</v>
      </c>
      <c r="Q1878" t="s">
        <v>111</v>
      </c>
      <c r="R1878" t="s">
        <v>111</v>
      </c>
      <c r="S1878" s="1">
        <v>46071</v>
      </c>
      <c r="T1878" s="1">
        <v>46071</v>
      </c>
      <c r="U1878" s="1">
        <v>46068</v>
      </c>
      <c r="V1878" s="1">
        <v>46433</v>
      </c>
      <c r="W1878" t="s">
        <v>38</v>
      </c>
      <c r="X1878">
        <v>12</v>
      </c>
      <c r="Y1878" t="s">
        <v>49</v>
      </c>
      <c r="Z1878" t="s">
        <v>81</v>
      </c>
      <c r="AA1878" t="s">
        <v>122</v>
      </c>
      <c r="AB1878">
        <v>12</v>
      </c>
      <c r="AC1878" t="s">
        <v>113</v>
      </c>
      <c r="AD1878" t="s">
        <v>138</v>
      </c>
      <c r="AE1878" t="s">
        <v>135</v>
      </c>
      <c r="AF1878" t="s">
        <v>119</v>
      </c>
      <c r="AG1878" t="str">
        <f t="shared" si="30"/>
        <v>Recorrente</v>
      </c>
      <c r="AH1878" t="str">
        <f>IF(AND(SUMIF(E:E,E1878,I:I)&gt;=400000,Q1878="B2G"),"n","")</f>
        <v/>
      </c>
    </row>
    <row r="1879" spans="1:34">
      <c r="A1879">
        <v>2026</v>
      </c>
      <c r="B1879">
        <v>2</v>
      </c>
      <c r="C1879" s="83">
        <v>96829535160</v>
      </c>
      <c r="D1879" t="s">
        <v>1772</v>
      </c>
      <c r="E1879">
        <v>52838119199</v>
      </c>
      <c r="F1879">
        <v>306719</v>
      </c>
      <c r="G1879">
        <v>48011787397</v>
      </c>
      <c r="H1879" t="s">
        <v>35</v>
      </c>
      <c r="I1879" s="36">
        <v>5455.8</v>
      </c>
      <c r="J1879" s="36">
        <v>5455.8</v>
      </c>
      <c r="K1879" s="85">
        <v>0</v>
      </c>
      <c r="L1879" s="36">
        <v>454.65</v>
      </c>
      <c r="M1879" s="36">
        <v>0</v>
      </c>
      <c r="N1879" s="36">
        <v>140.28</v>
      </c>
      <c r="O1879" s="36">
        <v>314.37</v>
      </c>
      <c r="P1879" t="s">
        <v>165</v>
      </c>
      <c r="Q1879" t="s">
        <v>166</v>
      </c>
      <c r="R1879" t="s">
        <v>166</v>
      </c>
      <c r="S1879" s="1">
        <v>46067</v>
      </c>
      <c r="T1879" s="1">
        <v>46067</v>
      </c>
      <c r="U1879" s="1">
        <v>46067</v>
      </c>
      <c r="V1879" s="1">
        <v>46432</v>
      </c>
      <c r="W1879" t="s">
        <v>38</v>
      </c>
      <c r="X1879">
        <v>12</v>
      </c>
      <c r="Y1879" t="s">
        <v>49</v>
      </c>
      <c r="Z1879" t="s">
        <v>81</v>
      </c>
      <c r="AA1879" t="s">
        <v>122</v>
      </c>
      <c r="AB1879">
        <v>12</v>
      </c>
      <c r="AC1879" t="s">
        <v>166</v>
      </c>
      <c r="AD1879" t="s">
        <v>125</v>
      </c>
      <c r="AE1879" t="s">
        <v>43</v>
      </c>
      <c r="AF1879" t="s">
        <v>47</v>
      </c>
      <c r="AG1879" t="str">
        <f t="shared" si="30"/>
        <v>Recorrente</v>
      </c>
      <c r="AH1879" t="str">
        <f>IF(AND(SUMIF(E:E,E1879,I:I)&gt;=400000,Q1879="B2G"),"n","")</f>
        <v/>
      </c>
    </row>
    <row r="1880" spans="1:34">
      <c r="A1880">
        <v>2026</v>
      </c>
      <c r="B1880">
        <v>2</v>
      </c>
      <c r="C1880" s="83">
        <v>96832740873</v>
      </c>
      <c r="D1880" t="s">
        <v>1773</v>
      </c>
      <c r="E1880">
        <v>53951793028</v>
      </c>
      <c r="F1880">
        <v>327078</v>
      </c>
      <c r="G1880">
        <v>49321051264</v>
      </c>
      <c r="H1880" t="s">
        <v>35</v>
      </c>
      <c r="I1880" s="36">
        <v>7950.84</v>
      </c>
      <c r="J1880" s="36">
        <v>7950.84</v>
      </c>
      <c r="K1880" s="85">
        <v>0</v>
      </c>
      <c r="L1880" s="36">
        <v>662.57</v>
      </c>
      <c r="M1880" s="36">
        <v>0</v>
      </c>
      <c r="N1880" s="36">
        <v>78.474999999999994</v>
      </c>
      <c r="O1880" s="36">
        <v>584.1</v>
      </c>
      <c r="P1880" t="s">
        <v>110</v>
      </c>
      <c r="Q1880" t="s">
        <v>111</v>
      </c>
      <c r="R1880" t="s">
        <v>111</v>
      </c>
      <c r="S1880" s="1">
        <v>46064</v>
      </c>
      <c r="T1880" s="1">
        <v>46064</v>
      </c>
      <c r="U1880" s="1">
        <v>46067</v>
      </c>
      <c r="V1880" s="1">
        <v>46432</v>
      </c>
      <c r="W1880" t="s">
        <v>38</v>
      </c>
      <c r="X1880">
        <v>12</v>
      </c>
      <c r="Y1880" t="s">
        <v>49</v>
      </c>
      <c r="Z1880" t="s">
        <v>81</v>
      </c>
      <c r="AA1880" t="s">
        <v>122</v>
      </c>
      <c r="AB1880">
        <v>12</v>
      </c>
      <c r="AC1880" t="s">
        <v>113</v>
      </c>
      <c r="AD1880" t="s">
        <v>134</v>
      </c>
      <c r="AE1880" t="s">
        <v>135</v>
      </c>
      <c r="AF1880" t="s">
        <v>44</v>
      </c>
      <c r="AG1880" t="str">
        <f t="shared" si="30"/>
        <v>Recorrente</v>
      </c>
      <c r="AH1880" t="str">
        <f>IF(AND(SUMIF(E:E,E1880,I:I)&gt;=400000,Q1880="B2G"),"n","")</f>
        <v/>
      </c>
    </row>
    <row r="1881" spans="1:34">
      <c r="A1881">
        <v>2026</v>
      </c>
      <c r="B1881">
        <v>2</v>
      </c>
      <c r="C1881" s="83">
        <v>96849185167</v>
      </c>
      <c r="D1881" t="s">
        <v>1774</v>
      </c>
      <c r="E1881">
        <v>52489753403</v>
      </c>
      <c r="F1881">
        <v>626253</v>
      </c>
      <c r="G1881">
        <v>52603069523</v>
      </c>
      <c r="H1881" t="s">
        <v>35</v>
      </c>
      <c r="I1881" s="36">
        <v>2155.44</v>
      </c>
      <c r="J1881" s="36">
        <v>2155.44</v>
      </c>
      <c r="K1881" s="85">
        <v>0</v>
      </c>
      <c r="L1881" s="36">
        <v>179.62</v>
      </c>
      <c r="M1881" s="36">
        <v>0</v>
      </c>
      <c r="N1881" s="36">
        <v>36.225000000000001</v>
      </c>
      <c r="O1881" s="36">
        <v>143.4</v>
      </c>
      <c r="P1881" t="s">
        <v>165</v>
      </c>
      <c r="Q1881" t="s">
        <v>166</v>
      </c>
      <c r="R1881" t="s">
        <v>166</v>
      </c>
      <c r="S1881" s="1">
        <v>46060</v>
      </c>
      <c r="T1881" s="1">
        <v>46060</v>
      </c>
      <c r="U1881" s="1">
        <v>46060</v>
      </c>
      <c r="V1881" s="1">
        <v>46425</v>
      </c>
      <c r="W1881" t="s">
        <v>38</v>
      </c>
      <c r="X1881">
        <v>12</v>
      </c>
      <c r="Y1881" t="s">
        <v>49</v>
      </c>
      <c r="Z1881" t="s">
        <v>81</v>
      </c>
      <c r="AA1881" t="s">
        <v>112</v>
      </c>
      <c r="AB1881">
        <v>12</v>
      </c>
      <c r="AC1881" t="s">
        <v>166</v>
      </c>
      <c r="AD1881" t="s">
        <v>140</v>
      </c>
      <c r="AE1881" t="s">
        <v>46</v>
      </c>
      <c r="AF1881" t="s">
        <v>119</v>
      </c>
      <c r="AG1881" t="str">
        <f t="shared" si="30"/>
        <v>CC 12x</v>
      </c>
      <c r="AH1881" t="str">
        <f>IF(AND(SUMIF(E:E,E1881,I:I)&gt;=400000,Q1881="B2G"),"n","")</f>
        <v/>
      </c>
    </row>
    <row r="1882" spans="1:34">
      <c r="A1882">
        <v>2026</v>
      </c>
      <c r="B1882">
        <v>2</v>
      </c>
      <c r="C1882" s="83">
        <v>96970069927</v>
      </c>
      <c r="D1882" t="s">
        <v>1775</v>
      </c>
      <c r="E1882">
        <v>54638236766</v>
      </c>
      <c r="F1882">
        <v>626968</v>
      </c>
      <c r="G1882">
        <v>52162148534</v>
      </c>
      <c r="H1882" t="s">
        <v>35</v>
      </c>
      <c r="I1882" s="36">
        <v>2328</v>
      </c>
      <c r="J1882" s="36">
        <v>2328</v>
      </c>
      <c r="K1882" s="85">
        <v>0</v>
      </c>
      <c r="L1882" s="36">
        <v>194</v>
      </c>
      <c r="M1882" s="36">
        <v>0</v>
      </c>
      <c r="N1882" s="36">
        <v>0</v>
      </c>
      <c r="O1882" s="36">
        <v>194.002185</v>
      </c>
      <c r="P1882" t="s">
        <v>116</v>
      </c>
      <c r="Q1882" t="s">
        <v>111</v>
      </c>
      <c r="R1882" t="s">
        <v>111</v>
      </c>
      <c r="S1882" s="1">
        <v>46077</v>
      </c>
      <c r="T1882" s="1">
        <v>46077</v>
      </c>
      <c r="U1882" s="1">
        <v>46079</v>
      </c>
      <c r="V1882" s="1">
        <v>46444</v>
      </c>
      <c r="W1882" t="s">
        <v>38</v>
      </c>
      <c r="X1882">
        <v>12</v>
      </c>
      <c r="Y1882" t="s">
        <v>49</v>
      </c>
      <c r="Z1882" t="s">
        <v>81</v>
      </c>
      <c r="AA1882" t="s">
        <v>122</v>
      </c>
      <c r="AB1882">
        <v>12</v>
      </c>
      <c r="AC1882" t="s">
        <v>113</v>
      </c>
      <c r="AD1882" t="s">
        <v>118</v>
      </c>
      <c r="AE1882" t="s">
        <v>43</v>
      </c>
      <c r="AF1882" t="s">
        <v>119</v>
      </c>
      <c r="AG1882" t="str">
        <f t="shared" si="30"/>
        <v>Recorrente</v>
      </c>
      <c r="AH1882" t="str">
        <f>IF(AND(SUMIF(E:E,E1882,I:I)&gt;=400000,Q1882="B2G"),"n","")</f>
        <v/>
      </c>
    </row>
    <row r="1883" spans="1:34">
      <c r="A1883">
        <v>2026</v>
      </c>
      <c r="B1883">
        <v>2</v>
      </c>
      <c r="C1883" s="83">
        <v>9707840640</v>
      </c>
      <c r="D1883" t="s">
        <v>1776</v>
      </c>
      <c r="E1883">
        <v>52703434798</v>
      </c>
      <c r="F1883">
        <v>626500</v>
      </c>
      <c r="G1883">
        <v>47857905581</v>
      </c>
      <c r="H1883" t="s">
        <v>35</v>
      </c>
      <c r="I1883" s="36">
        <v>2874</v>
      </c>
      <c r="J1883" s="36">
        <v>2874</v>
      </c>
      <c r="K1883" s="85">
        <v>0</v>
      </c>
      <c r="L1883" s="36">
        <v>239.5</v>
      </c>
      <c r="M1883" s="36">
        <v>0</v>
      </c>
      <c r="N1883" s="36">
        <v>0.5</v>
      </c>
      <c r="O1883" s="36">
        <v>239</v>
      </c>
      <c r="P1883" t="s">
        <v>165</v>
      </c>
      <c r="Q1883" t="s">
        <v>166</v>
      </c>
      <c r="R1883" t="s">
        <v>166</v>
      </c>
      <c r="S1883" s="1">
        <v>46064</v>
      </c>
      <c r="T1883" s="1">
        <v>46064</v>
      </c>
      <c r="U1883" s="1">
        <v>46064</v>
      </c>
      <c r="V1883" s="1">
        <v>46429</v>
      </c>
      <c r="W1883" t="s">
        <v>38</v>
      </c>
      <c r="X1883">
        <v>12</v>
      </c>
      <c r="Y1883" t="s">
        <v>49</v>
      </c>
      <c r="Z1883" t="s">
        <v>81</v>
      </c>
      <c r="AA1883" t="s">
        <v>112</v>
      </c>
      <c r="AB1883">
        <v>12</v>
      </c>
      <c r="AC1883" t="s">
        <v>166</v>
      </c>
      <c r="AD1883" t="s">
        <v>118</v>
      </c>
      <c r="AE1883" t="s">
        <v>43</v>
      </c>
      <c r="AF1883" t="s">
        <v>119</v>
      </c>
      <c r="AG1883" t="str">
        <f t="shared" si="30"/>
        <v>CC 12x</v>
      </c>
      <c r="AH1883" t="str">
        <f>IF(AND(SUMIF(E:E,E1883,I:I)&gt;=400000,Q1883="B2G"),"n","")</f>
        <v/>
      </c>
    </row>
    <row r="1884" spans="1:34">
      <c r="A1884">
        <v>2026</v>
      </c>
      <c r="B1884">
        <v>2</v>
      </c>
      <c r="C1884" s="83">
        <v>97085445728</v>
      </c>
      <c r="D1884" t="s">
        <v>1777</v>
      </c>
      <c r="E1884">
        <v>53879103079</v>
      </c>
      <c r="F1884">
        <v>527316</v>
      </c>
      <c r="G1884">
        <v>51226459803</v>
      </c>
      <c r="H1884" t="s">
        <v>35</v>
      </c>
      <c r="I1884" s="36">
        <v>3586.68</v>
      </c>
      <c r="J1884" s="36">
        <v>3586.68</v>
      </c>
      <c r="K1884" s="85">
        <v>0</v>
      </c>
      <c r="L1884" s="36">
        <v>298.89</v>
      </c>
      <c r="M1884" s="36">
        <v>0</v>
      </c>
      <c r="N1884" s="36">
        <v>55.079554999999999</v>
      </c>
      <c r="O1884" s="36">
        <v>243.81</v>
      </c>
      <c r="P1884" t="s">
        <v>110</v>
      </c>
      <c r="Q1884" t="s">
        <v>111</v>
      </c>
      <c r="R1884" t="s">
        <v>111</v>
      </c>
      <c r="S1884" s="1">
        <v>46063</v>
      </c>
      <c r="T1884" s="1">
        <v>46063</v>
      </c>
      <c r="U1884" s="1">
        <v>46067</v>
      </c>
      <c r="V1884" s="1">
        <v>46432</v>
      </c>
      <c r="W1884" t="s">
        <v>38</v>
      </c>
      <c r="X1884">
        <v>12</v>
      </c>
      <c r="Y1884" t="s">
        <v>49</v>
      </c>
      <c r="Z1884" t="s">
        <v>81</v>
      </c>
      <c r="AA1884" t="s">
        <v>122</v>
      </c>
      <c r="AB1884">
        <v>12</v>
      </c>
      <c r="AC1884" t="s">
        <v>113</v>
      </c>
      <c r="AD1884" t="s">
        <v>84</v>
      </c>
      <c r="AE1884" t="s">
        <v>43</v>
      </c>
      <c r="AF1884" t="s">
        <v>44</v>
      </c>
      <c r="AG1884" t="str">
        <f t="shared" si="30"/>
        <v>Recorrente</v>
      </c>
      <c r="AH1884" t="str">
        <f>IF(AND(SUMIF(E:E,E1884,I:I)&gt;=400000,Q1884="B2G"),"n","")</f>
        <v/>
      </c>
    </row>
    <row r="1885" spans="1:34">
      <c r="A1885">
        <v>2026</v>
      </c>
      <c r="B1885">
        <v>2</v>
      </c>
      <c r="C1885" s="83">
        <v>97169051400</v>
      </c>
      <c r="D1885" t="s">
        <v>1778</v>
      </c>
      <c r="E1885">
        <v>53421002884</v>
      </c>
      <c r="F1885">
        <v>626197</v>
      </c>
      <c r="G1885">
        <v>49068550411</v>
      </c>
      <c r="H1885" t="s">
        <v>35</v>
      </c>
      <c r="I1885" s="36">
        <v>6547.8</v>
      </c>
      <c r="J1885" s="36">
        <v>6547.8</v>
      </c>
      <c r="K1885" s="85">
        <v>9.0949500000000005E-13</v>
      </c>
      <c r="L1885" s="36">
        <v>545.65</v>
      </c>
      <c r="M1885" s="36">
        <v>0</v>
      </c>
      <c r="N1885" s="36">
        <v>156.25</v>
      </c>
      <c r="O1885" s="36">
        <v>389.4</v>
      </c>
      <c r="P1885" t="s">
        <v>137</v>
      </c>
      <c r="Q1885" t="s">
        <v>111</v>
      </c>
      <c r="R1885" t="s">
        <v>111</v>
      </c>
      <c r="S1885" s="1">
        <v>46042</v>
      </c>
      <c r="T1885" s="1">
        <v>46054</v>
      </c>
      <c r="U1885" s="1">
        <v>46059</v>
      </c>
      <c r="V1885" s="1">
        <v>46424</v>
      </c>
      <c r="W1885" t="s">
        <v>38</v>
      </c>
      <c r="X1885">
        <v>12</v>
      </c>
      <c r="Y1885" t="s">
        <v>49</v>
      </c>
      <c r="Z1885" t="s">
        <v>81</v>
      </c>
      <c r="AA1885" t="s">
        <v>122</v>
      </c>
      <c r="AB1885">
        <v>12</v>
      </c>
      <c r="AC1885" t="s">
        <v>113</v>
      </c>
      <c r="AD1885" t="s">
        <v>134</v>
      </c>
      <c r="AE1885" t="s">
        <v>135</v>
      </c>
      <c r="AF1885" t="s">
        <v>44</v>
      </c>
      <c r="AG1885" t="str">
        <f t="shared" si="30"/>
        <v>Recorrente</v>
      </c>
      <c r="AH1885" t="str">
        <f>IF(AND(SUMIF(E:E,E1885,I:I)&gt;=400000,Q1885="B2G"),"n","")</f>
        <v/>
      </c>
    </row>
    <row r="1886" spans="1:34">
      <c r="A1886">
        <v>2026</v>
      </c>
      <c r="B1886">
        <v>2</v>
      </c>
      <c r="C1886" s="83">
        <v>97181850399</v>
      </c>
      <c r="D1886" t="s">
        <v>1779</v>
      </c>
      <c r="E1886">
        <v>53281597091</v>
      </c>
      <c r="F1886">
        <v>609591</v>
      </c>
      <c r="G1886">
        <v>48382702519</v>
      </c>
      <c r="H1886" t="s">
        <v>35</v>
      </c>
      <c r="I1886" s="36">
        <v>4638.6000000000004</v>
      </c>
      <c r="J1886" s="36">
        <v>4638.6000000000004</v>
      </c>
      <c r="K1886" s="85">
        <v>0</v>
      </c>
      <c r="L1886" s="36">
        <v>386.55</v>
      </c>
      <c r="M1886" s="36">
        <v>0</v>
      </c>
      <c r="N1886" s="36">
        <v>87.37</v>
      </c>
      <c r="O1886" s="36">
        <v>299.18</v>
      </c>
      <c r="P1886" t="s">
        <v>165</v>
      </c>
      <c r="Q1886" t="s">
        <v>166</v>
      </c>
      <c r="R1886" t="s">
        <v>166</v>
      </c>
      <c r="S1886" s="1">
        <v>46073</v>
      </c>
      <c r="T1886" s="1">
        <v>46073</v>
      </c>
      <c r="U1886" s="1">
        <v>46073</v>
      </c>
      <c r="V1886" s="1">
        <v>46438</v>
      </c>
      <c r="W1886" t="s">
        <v>38</v>
      </c>
      <c r="X1886">
        <v>12</v>
      </c>
      <c r="Y1886" t="s">
        <v>49</v>
      </c>
      <c r="Z1886" t="s">
        <v>81</v>
      </c>
      <c r="AA1886" t="s">
        <v>112</v>
      </c>
      <c r="AB1886">
        <v>12</v>
      </c>
      <c r="AC1886" t="s">
        <v>166</v>
      </c>
      <c r="AD1886" t="s">
        <v>163</v>
      </c>
      <c r="AE1886" t="s">
        <v>43</v>
      </c>
      <c r="AF1886" t="s">
        <v>96</v>
      </c>
      <c r="AG1886" t="str">
        <f t="shared" si="30"/>
        <v>CC 12x</v>
      </c>
      <c r="AH1886" t="str">
        <f>IF(AND(SUMIF(E:E,E1886,I:I)&gt;=400000,Q1886="B2G"),"n","")</f>
        <v/>
      </c>
    </row>
    <row r="1887" spans="1:34">
      <c r="A1887">
        <v>2026</v>
      </c>
      <c r="B1887">
        <v>2</v>
      </c>
      <c r="C1887" s="83">
        <v>97182480455</v>
      </c>
      <c r="D1887" t="s">
        <v>1780</v>
      </c>
      <c r="E1887">
        <v>55724765094</v>
      </c>
      <c r="F1887">
        <v>626207</v>
      </c>
      <c r="G1887">
        <v>52401767985</v>
      </c>
      <c r="H1887" t="s">
        <v>35</v>
      </c>
      <c r="I1887" s="36">
        <v>2586.6</v>
      </c>
      <c r="J1887" s="36">
        <v>2586.6</v>
      </c>
      <c r="K1887" s="85">
        <v>0</v>
      </c>
      <c r="L1887" s="36">
        <v>215.55</v>
      </c>
      <c r="M1887" s="36">
        <v>0</v>
      </c>
      <c r="N1887" s="36">
        <v>3.12</v>
      </c>
      <c r="O1887" s="36">
        <v>212.43</v>
      </c>
      <c r="P1887" t="s">
        <v>137</v>
      </c>
      <c r="Q1887" t="s">
        <v>111</v>
      </c>
      <c r="R1887" t="s">
        <v>111</v>
      </c>
      <c r="S1887" s="1">
        <v>46079</v>
      </c>
      <c r="T1887" s="1">
        <v>46079</v>
      </c>
      <c r="U1887" s="1">
        <v>46059</v>
      </c>
      <c r="V1887" s="1">
        <v>46444</v>
      </c>
      <c r="W1887" t="s">
        <v>38</v>
      </c>
      <c r="X1887">
        <v>12</v>
      </c>
      <c r="Y1887" t="s">
        <v>49</v>
      </c>
      <c r="Z1887" t="s">
        <v>81</v>
      </c>
      <c r="AA1887" t="s">
        <v>112</v>
      </c>
      <c r="AB1887">
        <v>12</v>
      </c>
      <c r="AC1887" t="s">
        <v>113</v>
      </c>
      <c r="AD1887" t="s">
        <v>118</v>
      </c>
      <c r="AE1887" t="s">
        <v>43</v>
      </c>
      <c r="AF1887" t="s">
        <v>119</v>
      </c>
      <c r="AG1887" t="str">
        <f t="shared" si="30"/>
        <v>CC 12x</v>
      </c>
      <c r="AH1887" t="str">
        <f>IF(AND(SUMIF(E:E,E1887,I:I)&gt;=400000,Q1887="B2G"),"n","")</f>
        <v/>
      </c>
    </row>
    <row r="1888" spans="1:34">
      <c r="A1888">
        <v>2026</v>
      </c>
      <c r="B1888">
        <v>2</v>
      </c>
      <c r="C1888" s="83">
        <v>97187413635</v>
      </c>
      <c r="D1888" t="s">
        <v>1781</v>
      </c>
      <c r="E1888">
        <v>55766110597</v>
      </c>
      <c r="F1888">
        <v>608794</v>
      </c>
      <c r="G1888">
        <v>52357255451</v>
      </c>
      <c r="H1888" t="s">
        <v>35</v>
      </c>
      <c r="I1888" s="36">
        <v>2787.72</v>
      </c>
      <c r="J1888" s="36">
        <v>2787.72</v>
      </c>
      <c r="K1888" s="85">
        <v>0</v>
      </c>
      <c r="L1888" s="36">
        <v>232.31</v>
      </c>
      <c r="M1888" s="36">
        <v>0</v>
      </c>
      <c r="N1888" s="36">
        <v>0</v>
      </c>
      <c r="O1888" s="36">
        <v>232.315</v>
      </c>
      <c r="P1888" t="s">
        <v>137</v>
      </c>
      <c r="Q1888" t="s">
        <v>111</v>
      </c>
      <c r="R1888" t="s">
        <v>111</v>
      </c>
      <c r="S1888" s="1">
        <v>46079</v>
      </c>
      <c r="T1888" s="1">
        <v>46079</v>
      </c>
      <c r="U1888" s="1">
        <v>46061</v>
      </c>
      <c r="V1888" s="1">
        <v>46444</v>
      </c>
      <c r="W1888" t="s">
        <v>38</v>
      </c>
      <c r="X1888">
        <v>12</v>
      </c>
      <c r="Y1888" t="s">
        <v>49</v>
      </c>
      <c r="Z1888" t="s">
        <v>81</v>
      </c>
      <c r="AA1888" t="s">
        <v>112</v>
      </c>
      <c r="AB1888">
        <v>12</v>
      </c>
      <c r="AC1888" t="s">
        <v>113</v>
      </c>
      <c r="AD1888" t="s">
        <v>140</v>
      </c>
      <c r="AE1888" t="s">
        <v>46</v>
      </c>
      <c r="AF1888" t="s">
        <v>119</v>
      </c>
      <c r="AG1888" t="str">
        <f t="shared" si="30"/>
        <v>CC 12x</v>
      </c>
      <c r="AH1888" t="str">
        <f>IF(AND(SUMIF(E:E,E1888,I:I)&gt;=400000,Q1888="B2G"),"n","")</f>
        <v/>
      </c>
    </row>
    <row r="1889" spans="1:34">
      <c r="A1889">
        <v>2026</v>
      </c>
      <c r="B1889">
        <v>2</v>
      </c>
      <c r="C1889" s="83">
        <v>97209634367</v>
      </c>
      <c r="D1889" t="s">
        <v>1782</v>
      </c>
      <c r="E1889">
        <v>53626374518</v>
      </c>
      <c r="F1889">
        <v>524712</v>
      </c>
      <c r="G1889">
        <v>49004612866</v>
      </c>
      <c r="H1889" t="s">
        <v>35</v>
      </c>
      <c r="I1889" s="36">
        <v>5178.6000000000004</v>
      </c>
      <c r="J1889" s="36">
        <v>5178.6000000000004</v>
      </c>
      <c r="K1889" s="85">
        <v>0</v>
      </c>
      <c r="L1889" s="36">
        <v>431.55</v>
      </c>
      <c r="M1889" s="36">
        <v>0</v>
      </c>
      <c r="N1889" s="36">
        <v>84.02</v>
      </c>
      <c r="O1889" s="36">
        <v>347.53</v>
      </c>
      <c r="P1889" t="s">
        <v>137</v>
      </c>
      <c r="Q1889" t="s">
        <v>111</v>
      </c>
      <c r="R1889" t="s">
        <v>111</v>
      </c>
      <c r="S1889" s="1">
        <v>46036</v>
      </c>
      <c r="T1889" s="1">
        <v>46054</v>
      </c>
      <c r="U1889" s="1">
        <v>46033</v>
      </c>
      <c r="V1889" s="1">
        <v>46398</v>
      </c>
      <c r="W1889" t="s">
        <v>38</v>
      </c>
      <c r="X1889">
        <v>12</v>
      </c>
      <c r="Y1889" t="s">
        <v>49</v>
      </c>
      <c r="Z1889" t="s">
        <v>81</v>
      </c>
      <c r="AA1889" t="s">
        <v>122</v>
      </c>
      <c r="AB1889">
        <v>12</v>
      </c>
      <c r="AC1889" t="s">
        <v>113</v>
      </c>
      <c r="AD1889" t="s">
        <v>85</v>
      </c>
      <c r="AE1889" t="s">
        <v>46</v>
      </c>
      <c r="AF1889" t="s">
        <v>44</v>
      </c>
      <c r="AG1889" t="str">
        <f t="shared" si="30"/>
        <v>Recorrente</v>
      </c>
      <c r="AH1889" t="str">
        <f>IF(AND(SUMIF(E:E,E1889,I:I)&gt;=400000,Q1889="B2G"),"n","")</f>
        <v/>
      </c>
    </row>
    <row r="1890" spans="1:34">
      <c r="A1890">
        <v>2026</v>
      </c>
      <c r="B1890">
        <v>2</v>
      </c>
      <c r="C1890" s="83">
        <v>97374417241</v>
      </c>
      <c r="D1890" t="s">
        <v>1783</v>
      </c>
      <c r="E1890">
        <v>54349212779</v>
      </c>
      <c r="F1890">
        <v>607315</v>
      </c>
      <c r="G1890">
        <v>51841702703</v>
      </c>
      <c r="H1890" t="s">
        <v>35</v>
      </c>
      <c r="I1890" s="36">
        <v>6664.68</v>
      </c>
      <c r="J1890" s="36">
        <v>6664.68</v>
      </c>
      <c r="K1890" s="85">
        <v>0</v>
      </c>
      <c r="L1890" s="36">
        <v>555.39</v>
      </c>
      <c r="M1890" s="36">
        <v>0</v>
      </c>
      <c r="N1890" s="36">
        <v>114.07375</v>
      </c>
      <c r="O1890" s="36">
        <v>441.32</v>
      </c>
      <c r="P1890" t="s">
        <v>137</v>
      </c>
      <c r="Q1890" t="s">
        <v>111</v>
      </c>
      <c r="R1890" t="s">
        <v>111</v>
      </c>
      <c r="S1890" s="1">
        <v>46073</v>
      </c>
      <c r="T1890" s="1">
        <v>46054</v>
      </c>
      <c r="U1890" s="1">
        <v>46044</v>
      </c>
      <c r="V1890" s="1">
        <v>46438</v>
      </c>
      <c r="W1890" t="s">
        <v>38</v>
      </c>
      <c r="X1890">
        <v>13</v>
      </c>
      <c r="Y1890" t="s">
        <v>49</v>
      </c>
      <c r="Z1890" t="s">
        <v>81</v>
      </c>
      <c r="AA1890" t="s">
        <v>112</v>
      </c>
      <c r="AB1890">
        <v>12</v>
      </c>
      <c r="AC1890" t="s">
        <v>113</v>
      </c>
      <c r="AD1890" t="s">
        <v>134</v>
      </c>
      <c r="AE1890" t="s">
        <v>135</v>
      </c>
      <c r="AF1890" t="s">
        <v>44</v>
      </c>
      <c r="AG1890" t="str">
        <f t="shared" si="30"/>
        <v>CC 12x</v>
      </c>
      <c r="AH1890" t="str">
        <f>IF(AND(SUMIF(E:E,E1890,I:I)&gt;=400000,Q1890="B2G"),"n","")</f>
        <v/>
      </c>
    </row>
    <row r="1891" spans="1:34">
      <c r="A1891">
        <v>2026</v>
      </c>
      <c r="B1891">
        <v>2</v>
      </c>
      <c r="C1891" s="83">
        <v>97382431026</v>
      </c>
      <c r="D1891" t="s">
        <v>1784</v>
      </c>
      <c r="E1891">
        <v>53462195477</v>
      </c>
      <c r="F1891">
        <v>306912</v>
      </c>
      <c r="G1891">
        <v>48581958241</v>
      </c>
      <c r="H1891" t="s">
        <v>35</v>
      </c>
      <c r="I1891" s="36">
        <v>4315.4399999999996</v>
      </c>
      <c r="J1891" s="36">
        <v>4315.4399999999996</v>
      </c>
      <c r="K1891" s="85">
        <v>0</v>
      </c>
      <c r="L1891" s="36">
        <v>359.62</v>
      </c>
      <c r="M1891" s="36">
        <v>0</v>
      </c>
      <c r="N1891" s="36">
        <v>69.625</v>
      </c>
      <c r="O1891" s="36">
        <v>290</v>
      </c>
      <c r="P1891" t="s">
        <v>165</v>
      </c>
      <c r="Q1891" t="s">
        <v>166</v>
      </c>
      <c r="R1891" t="s">
        <v>166</v>
      </c>
      <c r="S1891" s="1">
        <v>46076</v>
      </c>
      <c r="T1891" s="1">
        <v>46076</v>
      </c>
      <c r="U1891" s="1">
        <v>46076</v>
      </c>
      <c r="V1891" s="1">
        <v>46441</v>
      </c>
      <c r="W1891" t="s">
        <v>38</v>
      </c>
      <c r="X1891">
        <v>12</v>
      </c>
      <c r="Y1891" t="s">
        <v>49</v>
      </c>
      <c r="Z1891" t="s">
        <v>81</v>
      </c>
      <c r="AA1891" t="s">
        <v>112</v>
      </c>
      <c r="AB1891">
        <v>12</v>
      </c>
      <c r="AC1891" t="s">
        <v>166</v>
      </c>
      <c r="AD1891" t="s">
        <v>85</v>
      </c>
      <c r="AE1891" t="s">
        <v>46</v>
      </c>
      <c r="AF1891" t="s">
        <v>44</v>
      </c>
      <c r="AG1891" t="str">
        <f t="shared" si="30"/>
        <v>CC 12x</v>
      </c>
      <c r="AH1891" t="str">
        <f>IF(AND(SUMIF(E:E,E1891,I:I)&gt;=400000,Q1891="B2G"),"n","")</f>
        <v/>
      </c>
    </row>
    <row r="1892" spans="1:34">
      <c r="A1892">
        <v>2026</v>
      </c>
      <c r="B1892">
        <v>2</v>
      </c>
      <c r="C1892" s="83">
        <v>97383003396</v>
      </c>
      <c r="D1892" t="s">
        <v>1785</v>
      </c>
      <c r="E1892">
        <v>56178820884</v>
      </c>
      <c r="F1892">
        <v>506212</v>
      </c>
      <c r="G1892">
        <v>51504304722</v>
      </c>
      <c r="H1892" t="s">
        <v>35</v>
      </c>
      <c r="I1892" s="36">
        <v>6360.72</v>
      </c>
      <c r="J1892" s="36">
        <v>6360.72</v>
      </c>
      <c r="K1892" s="85">
        <v>0</v>
      </c>
      <c r="L1892" s="36">
        <v>530.05999999999995</v>
      </c>
      <c r="M1892" s="36">
        <v>0</v>
      </c>
      <c r="N1892" s="36">
        <v>36.81</v>
      </c>
      <c r="O1892" s="36">
        <v>493.25</v>
      </c>
      <c r="P1892" t="s">
        <v>137</v>
      </c>
      <c r="Q1892" t="s">
        <v>111</v>
      </c>
      <c r="R1892" t="s">
        <v>111</v>
      </c>
      <c r="S1892" s="1">
        <v>46073</v>
      </c>
      <c r="T1892" s="1">
        <v>46073</v>
      </c>
      <c r="U1892" s="1">
        <v>46076</v>
      </c>
      <c r="V1892" s="1">
        <v>46441</v>
      </c>
      <c r="W1892" t="s">
        <v>38</v>
      </c>
      <c r="X1892">
        <v>12</v>
      </c>
      <c r="Y1892" t="s">
        <v>49</v>
      </c>
      <c r="Z1892" t="s">
        <v>81</v>
      </c>
      <c r="AA1892" t="s">
        <v>117</v>
      </c>
      <c r="AB1892">
        <v>1</v>
      </c>
      <c r="AC1892" t="s">
        <v>113</v>
      </c>
      <c r="AD1892" t="s">
        <v>134</v>
      </c>
      <c r="AE1892" t="s">
        <v>135</v>
      </c>
      <c r="AF1892" t="s">
        <v>44</v>
      </c>
      <c r="AG1892" t="str">
        <f t="shared" si="30"/>
        <v>À Vista</v>
      </c>
      <c r="AH1892" t="str">
        <f>IF(AND(SUMIF(E:E,E1892,I:I)&gt;=400000,Q1892="B2G"),"n","")</f>
        <v/>
      </c>
    </row>
    <row r="1893" spans="1:34">
      <c r="A1893">
        <v>2026</v>
      </c>
      <c r="B1893">
        <v>2</v>
      </c>
      <c r="C1893" s="83">
        <v>97384219270</v>
      </c>
      <c r="D1893" t="s">
        <v>1786</v>
      </c>
      <c r="E1893">
        <v>53851822876</v>
      </c>
      <c r="F1893">
        <v>528407</v>
      </c>
      <c r="G1893">
        <v>52401672012</v>
      </c>
      <c r="H1893" t="s">
        <v>35</v>
      </c>
      <c r="I1893" s="36">
        <v>6313.92</v>
      </c>
      <c r="J1893" s="36">
        <v>6313.92</v>
      </c>
      <c r="K1893" s="85">
        <v>0</v>
      </c>
      <c r="L1893" s="36">
        <v>526.16</v>
      </c>
      <c r="M1893" s="36">
        <v>0</v>
      </c>
      <c r="N1893" s="36">
        <v>60.592500000000001</v>
      </c>
      <c r="O1893" s="36">
        <v>465.57</v>
      </c>
      <c r="P1893" t="s">
        <v>137</v>
      </c>
      <c r="Q1893" t="s">
        <v>111</v>
      </c>
      <c r="R1893" t="s">
        <v>111</v>
      </c>
      <c r="S1893" s="1">
        <v>46080</v>
      </c>
      <c r="T1893" s="1">
        <v>46080</v>
      </c>
      <c r="U1893" s="1">
        <v>46081</v>
      </c>
      <c r="V1893" s="1">
        <v>46446</v>
      </c>
      <c r="W1893" t="s">
        <v>38</v>
      </c>
      <c r="X1893">
        <v>12</v>
      </c>
      <c r="Y1893" t="s">
        <v>49</v>
      </c>
      <c r="Z1893" t="s">
        <v>81</v>
      </c>
      <c r="AA1893" t="s">
        <v>122</v>
      </c>
      <c r="AB1893">
        <v>12</v>
      </c>
      <c r="AC1893" t="s">
        <v>113</v>
      </c>
      <c r="AD1893" t="s">
        <v>134</v>
      </c>
      <c r="AE1893" t="s">
        <v>135</v>
      </c>
      <c r="AF1893" t="s">
        <v>44</v>
      </c>
      <c r="AG1893" t="str">
        <f t="shared" si="30"/>
        <v>Recorrente</v>
      </c>
      <c r="AH1893" t="str">
        <f>IF(AND(SUMIF(E:E,E1893,I:I)&gt;=400000,Q1893="B2G"),"n","")</f>
        <v/>
      </c>
    </row>
    <row r="1894" spans="1:34">
      <c r="A1894">
        <v>2026</v>
      </c>
      <c r="B1894">
        <v>2</v>
      </c>
      <c r="C1894" s="83">
        <v>97386125962</v>
      </c>
      <c r="D1894" t="s">
        <v>1787</v>
      </c>
      <c r="E1894">
        <v>55400235427</v>
      </c>
      <c r="F1894">
        <v>526938</v>
      </c>
      <c r="G1894">
        <v>50750735003</v>
      </c>
      <c r="H1894" t="s">
        <v>35</v>
      </c>
      <c r="I1894" s="36">
        <v>8418.6</v>
      </c>
      <c r="J1894" s="36">
        <v>8418.6</v>
      </c>
      <c r="K1894" s="85">
        <v>0</v>
      </c>
      <c r="L1894" s="36">
        <v>701.55</v>
      </c>
      <c r="M1894" s="36">
        <v>0</v>
      </c>
      <c r="N1894" s="36">
        <v>36.450000000000003</v>
      </c>
      <c r="O1894" s="36">
        <v>665.1</v>
      </c>
      <c r="P1894" t="s">
        <v>110</v>
      </c>
      <c r="Q1894" t="s">
        <v>111</v>
      </c>
      <c r="R1894" t="s">
        <v>111</v>
      </c>
      <c r="S1894" s="1">
        <v>46056</v>
      </c>
      <c r="T1894" s="1">
        <v>46056</v>
      </c>
      <c r="U1894" s="1">
        <v>46063</v>
      </c>
      <c r="V1894" s="1">
        <v>46428</v>
      </c>
      <c r="W1894" t="s">
        <v>38</v>
      </c>
      <c r="X1894">
        <v>12</v>
      </c>
      <c r="Y1894" t="s">
        <v>49</v>
      </c>
      <c r="Z1894" t="s">
        <v>81</v>
      </c>
      <c r="AA1894" t="s">
        <v>122</v>
      </c>
      <c r="AB1894">
        <v>12</v>
      </c>
      <c r="AC1894" t="s">
        <v>113</v>
      </c>
      <c r="AD1894" t="s">
        <v>134</v>
      </c>
      <c r="AE1894" t="s">
        <v>135</v>
      </c>
      <c r="AF1894" t="s">
        <v>44</v>
      </c>
      <c r="AG1894" t="str">
        <f t="shared" si="30"/>
        <v>Recorrente</v>
      </c>
      <c r="AH1894" t="str">
        <f>IF(AND(SUMIF(E:E,E1894,I:I)&gt;=400000,Q1894="B2G"),"n","")</f>
        <v/>
      </c>
    </row>
    <row r="1895" spans="1:34">
      <c r="A1895">
        <v>2026</v>
      </c>
      <c r="B1895">
        <v>2</v>
      </c>
      <c r="C1895" s="83">
        <v>97386338426</v>
      </c>
      <c r="D1895" t="s">
        <v>1788</v>
      </c>
      <c r="E1895">
        <v>53378182734</v>
      </c>
      <c r="F1895">
        <v>526764</v>
      </c>
      <c r="G1895">
        <v>51100911015</v>
      </c>
      <c r="H1895" t="s">
        <v>35</v>
      </c>
      <c r="I1895" s="36">
        <v>6313.92</v>
      </c>
      <c r="J1895" s="36">
        <v>6313.92</v>
      </c>
      <c r="K1895" s="85">
        <v>0</v>
      </c>
      <c r="L1895" s="36">
        <v>526.16</v>
      </c>
      <c r="M1895" s="36">
        <v>0</v>
      </c>
      <c r="N1895" s="36">
        <v>60.592500000000001</v>
      </c>
      <c r="O1895" s="36">
        <v>465.57</v>
      </c>
      <c r="P1895" t="s">
        <v>110</v>
      </c>
      <c r="Q1895" t="s">
        <v>111</v>
      </c>
      <c r="R1895" t="s">
        <v>111</v>
      </c>
      <c r="S1895" s="1">
        <v>46063</v>
      </c>
      <c r="T1895" s="1">
        <v>46063</v>
      </c>
      <c r="U1895" s="1">
        <v>46061</v>
      </c>
      <c r="V1895" s="1">
        <v>46426</v>
      </c>
      <c r="W1895" t="s">
        <v>38</v>
      </c>
      <c r="X1895">
        <v>12</v>
      </c>
      <c r="Y1895" t="s">
        <v>49</v>
      </c>
      <c r="Z1895" t="s">
        <v>81</v>
      </c>
      <c r="AA1895" t="s">
        <v>112</v>
      </c>
      <c r="AB1895">
        <v>12</v>
      </c>
      <c r="AC1895" t="s">
        <v>113</v>
      </c>
      <c r="AD1895" t="s">
        <v>134</v>
      </c>
      <c r="AE1895" t="s">
        <v>135</v>
      </c>
      <c r="AF1895" t="s">
        <v>44</v>
      </c>
      <c r="AG1895" t="str">
        <f t="shared" si="30"/>
        <v>CC 12x</v>
      </c>
      <c r="AH1895" t="str">
        <f>IF(AND(SUMIF(E:E,E1895,I:I)&gt;=400000,Q1895="B2G"),"n","")</f>
        <v/>
      </c>
    </row>
    <row r="1896" spans="1:34">
      <c r="A1896">
        <v>2026</v>
      </c>
      <c r="B1896">
        <v>2</v>
      </c>
      <c r="C1896" s="83">
        <v>97396303269</v>
      </c>
      <c r="D1896" t="s">
        <v>1789</v>
      </c>
      <c r="E1896">
        <v>52489780092</v>
      </c>
      <c r="F1896">
        <v>626243</v>
      </c>
      <c r="G1896">
        <v>47532840273</v>
      </c>
      <c r="H1896" t="s">
        <v>35</v>
      </c>
      <c r="I1896" s="36">
        <v>2874</v>
      </c>
      <c r="J1896" s="36">
        <v>2874</v>
      </c>
      <c r="K1896" s="85">
        <v>0</v>
      </c>
      <c r="L1896" s="36">
        <v>239.5</v>
      </c>
      <c r="M1896" s="36">
        <v>0</v>
      </c>
      <c r="N1896" s="36">
        <v>0.5</v>
      </c>
      <c r="O1896" s="36">
        <v>239</v>
      </c>
      <c r="P1896" t="s">
        <v>165</v>
      </c>
      <c r="Q1896" t="s">
        <v>166</v>
      </c>
      <c r="R1896" t="s">
        <v>166</v>
      </c>
      <c r="S1896" s="1">
        <v>46060</v>
      </c>
      <c r="T1896" s="1">
        <v>46060</v>
      </c>
      <c r="U1896" s="1">
        <v>46060</v>
      </c>
      <c r="V1896" s="1">
        <v>46425</v>
      </c>
      <c r="W1896" t="s">
        <v>38</v>
      </c>
      <c r="X1896">
        <v>12</v>
      </c>
      <c r="Y1896" t="s">
        <v>49</v>
      </c>
      <c r="Z1896" t="s">
        <v>81</v>
      </c>
      <c r="AA1896" t="s">
        <v>112</v>
      </c>
      <c r="AB1896">
        <v>12</v>
      </c>
      <c r="AC1896" t="s">
        <v>166</v>
      </c>
      <c r="AD1896" t="s">
        <v>118</v>
      </c>
      <c r="AE1896" t="s">
        <v>43</v>
      </c>
      <c r="AF1896" t="s">
        <v>119</v>
      </c>
      <c r="AG1896" t="str">
        <f t="shared" si="30"/>
        <v>CC 12x</v>
      </c>
      <c r="AH1896" t="str">
        <f>IF(AND(SUMIF(E:E,E1896,I:I)&gt;=400000,Q1896="B2G"),"n","")</f>
        <v/>
      </c>
    </row>
    <row r="1897" spans="1:34">
      <c r="A1897">
        <v>2026</v>
      </c>
      <c r="B1897">
        <v>2</v>
      </c>
      <c r="C1897" s="83">
        <v>97412253589</v>
      </c>
      <c r="D1897" t="s">
        <v>1790</v>
      </c>
      <c r="E1897">
        <v>55405057345</v>
      </c>
      <c r="F1897">
        <v>528578</v>
      </c>
      <c r="G1897">
        <v>50697750936</v>
      </c>
      <c r="H1897" t="s">
        <v>35</v>
      </c>
      <c r="I1897" s="36">
        <v>6313.92</v>
      </c>
      <c r="J1897" s="36">
        <v>6313.92</v>
      </c>
      <c r="K1897" s="85">
        <v>0</v>
      </c>
      <c r="L1897" s="36">
        <v>526.16</v>
      </c>
      <c r="M1897" s="36">
        <v>0</v>
      </c>
      <c r="N1897" s="36">
        <v>60.592500000000001</v>
      </c>
      <c r="O1897" s="36">
        <v>465.57</v>
      </c>
      <c r="P1897" t="s">
        <v>116</v>
      </c>
      <c r="Q1897" t="s">
        <v>111</v>
      </c>
      <c r="R1897" t="s">
        <v>111</v>
      </c>
      <c r="S1897" s="1">
        <v>46076</v>
      </c>
      <c r="T1897" s="1">
        <v>46076</v>
      </c>
      <c r="U1897" s="1">
        <v>46081</v>
      </c>
      <c r="V1897" s="1">
        <v>46446</v>
      </c>
      <c r="W1897" t="s">
        <v>38</v>
      </c>
      <c r="X1897">
        <v>12</v>
      </c>
      <c r="Y1897" t="s">
        <v>49</v>
      </c>
      <c r="Z1897" t="s">
        <v>81</v>
      </c>
      <c r="AA1897" t="s">
        <v>112</v>
      </c>
      <c r="AB1897">
        <v>12</v>
      </c>
      <c r="AC1897" t="s">
        <v>113</v>
      </c>
      <c r="AD1897" t="s">
        <v>134</v>
      </c>
      <c r="AE1897" t="s">
        <v>135</v>
      </c>
      <c r="AF1897" t="s">
        <v>44</v>
      </c>
      <c r="AG1897" t="str">
        <f t="shared" si="30"/>
        <v>CC 12x</v>
      </c>
      <c r="AH1897" t="str">
        <f>IF(AND(SUMIF(E:E,E1897,I:I)&gt;=400000,Q1897="B2G"),"n","")</f>
        <v/>
      </c>
    </row>
    <row r="1898" spans="1:34">
      <c r="A1898">
        <v>2026</v>
      </c>
      <c r="B1898">
        <v>2</v>
      </c>
      <c r="C1898" s="83">
        <v>97418328411</v>
      </c>
      <c r="D1898" t="s">
        <v>1791</v>
      </c>
      <c r="E1898">
        <v>53052207252</v>
      </c>
      <c r="F1898">
        <v>626635</v>
      </c>
      <c r="G1898">
        <v>48024287591</v>
      </c>
      <c r="H1898" t="s">
        <v>35</v>
      </c>
      <c r="I1898" s="36">
        <v>5514</v>
      </c>
      <c r="J1898" s="36">
        <v>5514</v>
      </c>
      <c r="K1898" s="85">
        <v>0</v>
      </c>
      <c r="L1898" s="36">
        <v>459.5</v>
      </c>
      <c r="M1898" s="36">
        <v>0</v>
      </c>
      <c r="N1898" s="36">
        <v>51.95</v>
      </c>
      <c r="O1898" s="36">
        <v>407.55</v>
      </c>
      <c r="P1898" t="s">
        <v>165</v>
      </c>
      <c r="Q1898" t="s">
        <v>166</v>
      </c>
      <c r="R1898" t="s">
        <v>166</v>
      </c>
      <c r="S1898" s="1">
        <v>46070</v>
      </c>
      <c r="T1898" s="1">
        <v>46070</v>
      </c>
      <c r="U1898" s="1">
        <v>46070</v>
      </c>
      <c r="V1898" s="1">
        <v>46435</v>
      </c>
      <c r="W1898" t="s">
        <v>38</v>
      </c>
      <c r="X1898">
        <v>12</v>
      </c>
      <c r="Y1898" t="s">
        <v>49</v>
      </c>
      <c r="Z1898" t="s">
        <v>81</v>
      </c>
      <c r="AA1898" t="s">
        <v>122</v>
      </c>
      <c r="AB1898">
        <v>12</v>
      </c>
      <c r="AC1898" t="s">
        <v>166</v>
      </c>
      <c r="AD1898" t="s">
        <v>138</v>
      </c>
      <c r="AE1898" t="s">
        <v>135</v>
      </c>
      <c r="AF1898" t="s">
        <v>119</v>
      </c>
      <c r="AG1898" t="str">
        <f t="shared" si="30"/>
        <v>Recorrente</v>
      </c>
      <c r="AH1898" t="str">
        <f>IF(AND(SUMIF(E:E,E1898,I:I)&gt;=400000,Q1898="B2G"),"n","")</f>
        <v/>
      </c>
    </row>
    <row r="1899" spans="1:34">
      <c r="A1899">
        <v>2026</v>
      </c>
      <c r="B1899">
        <v>2</v>
      </c>
      <c r="C1899" s="83">
        <v>97446499354</v>
      </c>
      <c r="D1899" t="s">
        <v>1792</v>
      </c>
      <c r="E1899">
        <v>53580225339</v>
      </c>
      <c r="F1899">
        <v>626867</v>
      </c>
      <c r="G1899">
        <v>48785057058</v>
      </c>
      <c r="H1899" t="s">
        <v>35</v>
      </c>
      <c r="I1899" s="36">
        <v>2874</v>
      </c>
      <c r="J1899" s="36">
        <v>2874</v>
      </c>
      <c r="K1899" s="85">
        <v>0</v>
      </c>
      <c r="L1899" s="36">
        <v>239.5</v>
      </c>
      <c r="M1899" s="36">
        <v>0</v>
      </c>
      <c r="N1899" s="36">
        <v>0.5</v>
      </c>
      <c r="O1899" s="36">
        <v>239</v>
      </c>
      <c r="P1899" t="s">
        <v>165</v>
      </c>
      <c r="Q1899" t="s">
        <v>166</v>
      </c>
      <c r="R1899" t="s">
        <v>166</v>
      </c>
      <c r="S1899" s="1">
        <v>46077</v>
      </c>
      <c r="T1899" s="1">
        <v>46077</v>
      </c>
      <c r="U1899" s="1">
        <v>46078</v>
      </c>
      <c r="V1899" s="1">
        <v>46443</v>
      </c>
      <c r="W1899" t="s">
        <v>38</v>
      </c>
      <c r="X1899">
        <v>12</v>
      </c>
      <c r="Y1899" t="s">
        <v>49</v>
      </c>
      <c r="Z1899" t="s">
        <v>81</v>
      </c>
      <c r="AA1899" t="s">
        <v>122</v>
      </c>
      <c r="AB1899">
        <v>12</v>
      </c>
      <c r="AC1899" t="s">
        <v>166</v>
      </c>
      <c r="AD1899" t="s">
        <v>140</v>
      </c>
      <c r="AE1899" t="s">
        <v>46</v>
      </c>
      <c r="AF1899" t="s">
        <v>119</v>
      </c>
      <c r="AG1899" t="str">
        <f t="shared" si="30"/>
        <v>Recorrente</v>
      </c>
      <c r="AH1899" t="str">
        <f>IF(AND(SUMIF(E:E,E1899,I:I)&gt;=400000,Q1899="B2G"),"n","")</f>
        <v/>
      </c>
    </row>
    <row r="1900" spans="1:34">
      <c r="A1900">
        <v>2026</v>
      </c>
      <c r="B1900">
        <v>2</v>
      </c>
      <c r="C1900" s="83">
        <v>97457943955</v>
      </c>
      <c r="D1900" t="s">
        <v>1793</v>
      </c>
      <c r="E1900">
        <v>56925385002</v>
      </c>
      <c r="F1900">
        <v>610169</v>
      </c>
      <c r="G1900">
        <v>52347417695</v>
      </c>
      <c r="H1900" t="s">
        <v>35</v>
      </c>
      <c r="I1900" s="36">
        <v>4414.4399999999996</v>
      </c>
      <c r="J1900" s="36">
        <v>4414.4399999999996</v>
      </c>
      <c r="K1900" s="85">
        <v>0</v>
      </c>
      <c r="L1900" s="36">
        <v>367.87</v>
      </c>
      <c r="M1900" s="36">
        <v>0</v>
      </c>
      <c r="N1900" s="36">
        <v>20.362400000000001</v>
      </c>
      <c r="O1900" s="36">
        <v>347.51</v>
      </c>
      <c r="P1900" t="s">
        <v>520</v>
      </c>
      <c r="Q1900" t="s">
        <v>111</v>
      </c>
      <c r="R1900" t="s">
        <v>111</v>
      </c>
      <c r="S1900" s="1">
        <v>46079</v>
      </c>
      <c r="T1900" s="1">
        <v>46079</v>
      </c>
      <c r="U1900" s="1">
        <v>46081</v>
      </c>
      <c r="V1900" s="1">
        <v>46446</v>
      </c>
      <c r="W1900" t="s">
        <v>38</v>
      </c>
      <c r="X1900">
        <v>12</v>
      </c>
      <c r="Y1900" t="s">
        <v>49</v>
      </c>
      <c r="Z1900" t="s">
        <v>81</v>
      </c>
      <c r="AA1900" t="s">
        <v>112</v>
      </c>
      <c r="AB1900">
        <v>12</v>
      </c>
      <c r="AC1900" t="s">
        <v>113</v>
      </c>
      <c r="AD1900" t="s">
        <v>85</v>
      </c>
      <c r="AE1900" t="s">
        <v>46</v>
      </c>
      <c r="AF1900" t="s">
        <v>44</v>
      </c>
      <c r="AG1900" t="str">
        <f t="shared" ref="AG1900:AG1913" si="31">IF(IFERROR(SEARCH("Recorrente",AA1900),0)&gt;0,"Recorrente",IF(AB1900=1,"À Vista",IF(AB1900&lt;=3,"CC 3x",IF(AB1900&lt;=12,"CC 12x",IF(AB1900&gt;12,"Recorrente","")))))</f>
        <v>CC 12x</v>
      </c>
      <c r="AH1900" t="str">
        <f>IF(AND(SUMIF(E:E,E1900,I:I)&gt;=400000,Q1900="B2G"),"n","")</f>
        <v/>
      </c>
    </row>
    <row r="1901" spans="1:34">
      <c r="A1901">
        <v>2026</v>
      </c>
      <c r="B1901">
        <v>2</v>
      </c>
      <c r="C1901" s="83">
        <v>97467918212</v>
      </c>
      <c r="D1901" t="s">
        <v>1794</v>
      </c>
      <c r="E1901">
        <v>53418228841</v>
      </c>
      <c r="F1901">
        <v>506120</v>
      </c>
      <c r="G1901">
        <v>48529248104</v>
      </c>
      <c r="H1901" t="s">
        <v>35</v>
      </c>
      <c r="I1901" s="36">
        <v>7015.44</v>
      </c>
      <c r="J1901" s="36">
        <v>7015.44</v>
      </c>
      <c r="K1901" s="85">
        <v>0</v>
      </c>
      <c r="L1901" s="36">
        <v>584.62</v>
      </c>
      <c r="M1901" s="36">
        <v>0</v>
      </c>
      <c r="N1901" s="36">
        <v>92.424999999999997</v>
      </c>
      <c r="O1901" s="36">
        <v>492.2</v>
      </c>
      <c r="P1901" t="s">
        <v>165</v>
      </c>
      <c r="Q1901" t="s">
        <v>166</v>
      </c>
      <c r="R1901" t="s">
        <v>166</v>
      </c>
      <c r="S1901" s="1">
        <v>46075</v>
      </c>
      <c r="T1901" s="1">
        <v>46075</v>
      </c>
      <c r="U1901" s="1">
        <v>46075</v>
      </c>
      <c r="V1901" s="1">
        <v>46440</v>
      </c>
      <c r="W1901" t="s">
        <v>38</v>
      </c>
      <c r="X1901">
        <v>12</v>
      </c>
      <c r="Y1901" t="s">
        <v>49</v>
      </c>
      <c r="Z1901" t="s">
        <v>81</v>
      </c>
      <c r="AA1901" t="s">
        <v>122</v>
      </c>
      <c r="AB1901">
        <v>12</v>
      </c>
      <c r="AC1901" t="s">
        <v>166</v>
      </c>
      <c r="AD1901" t="s">
        <v>134</v>
      </c>
      <c r="AE1901" t="s">
        <v>135</v>
      </c>
      <c r="AF1901" t="s">
        <v>44</v>
      </c>
      <c r="AG1901" t="str">
        <f t="shared" si="31"/>
        <v>Recorrente</v>
      </c>
      <c r="AH1901" t="str">
        <f>IF(AND(SUMIF(E:E,E1901,I:I)&gt;=400000,Q1901="B2G"),"n","")</f>
        <v/>
      </c>
    </row>
    <row r="1902" spans="1:34">
      <c r="A1902">
        <v>2026</v>
      </c>
      <c r="B1902">
        <v>2</v>
      </c>
      <c r="C1902" s="83">
        <v>97612937771</v>
      </c>
      <c r="D1902" t="s">
        <v>1795</v>
      </c>
      <c r="E1902">
        <v>52044725785</v>
      </c>
      <c r="F1902">
        <v>304379</v>
      </c>
      <c r="G1902">
        <v>47249124694</v>
      </c>
      <c r="H1902" t="s">
        <v>35</v>
      </c>
      <c r="I1902" s="36">
        <v>3775.44</v>
      </c>
      <c r="J1902" s="36">
        <v>3775.44</v>
      </c>
      <c r="K1902" s="85">
        <v>0</v>
      </c>
      <c r="L1902" s="36">
        <v>314.62</v>
      </c>
      <c r="M1902" s="36">
        <v>0</v>
      </c>
      <c r="N1902" s="36">
        <v>60.375</v>
      </c>
      <c r="O1902" s="36">
        <v>254.25</v>
      </c>
      <c r="P1902" t="s">
        <v>165</v>
      </c>
      <c r="Q1902" t="s">
        <v>166</v>
      </c>
      <c r="R1902" t="s">
        <v>166</v>
      </c>
      <c r="S1902" s="1">
        <v>46054</v>
      </c>
      <c r="T1902" s="1">
        <v>46054</v>
      </c>
      <c r="U1902" s="1">
        <v>46054</v>
      </c>
      <c r="V1902" s="1">
        <v>46419</v>
      </c>
      <c r="W1902" t="s">
        <v>38</v>
      </c>
      <c r="X1902">
        <v>12</v>
      </c>
      <c r="Y1902" t="s">
        <v>49</v>
      </c>
      <c r="Z1902" t="s">
        <v>81</v>
      </c>
      <c r="AA1902" t="s">
        <v>122</v>
      </c>
      <c r="AB1902">
        <v>12</v>
      </c>
      <c r="AC1902" t="s">
        <v>166</v>
      </c>
      <c r="AD1902" t="s">
        <v>84</v>
      </c>
      <c r="AE1902" t="s">
        <v>43</v>
      </c>
      <c r="AF1902" t="s">
        <v>44</v>
      </c>
      <c r="AG1902" t="str">
        <f t="shared" si="31"/>
        <v>Recorrente</v>
      </c>
      <c r="AH1902" t="str">
        <f>IF(AND(SUMIF(E:E,E1902,I:I)&gt;=400000,Q1902="B2G"),"n","")</f>
        <v/>
      </c>
    </row>
    <row r="1903" spans="1:34">
      <c r="A1903">
        <v>2026</v>
      </c>
      <c r="B1903">
        <v>2</v>
      </c>
      <c r="C1903" s="83">
        <v>97670917692</v>
      </c>
      <c r="D1903" t="s">
        <v>1796</v>
      </c>
      <c r="E1903">
        <v>52327244092</v>
      </c>
      <c r="F1903">
        <v>608631</v>
      </c>
      <c r="G1903">
        <v>47459670931</v>
      </c>
      <c r="H1903" t="s">
        <v>35</v>
      </c>
      <c r="I1903" s="36">
        <v>2874</v>
      </c>
      <c r="J1903" s="36">
        <v>2874</v>
      </c>
      <c r="K1903" s="85">
        <v>0</v>
      </c>
      <c r="L1903" s="36">
        <v>239.5</v>
      </c>
      <c r="M1903" s="36">
        <v>0</v>
      </c>
      <c r="N1903" s="36">
        <v>35.15</v>
      </c>
      <c r="O1903" s="36">
        <v>204.35</v>
      </c>
      <c r="P1903" t="s">
        <v>165</v>
      </c>
      <c r="Q1903" t="s">
        <v>166</v>
      </c>
      <c r="R1903" t="s">
        <v>166</v>
      </c>
      <c r="S1903" s="1">
        <v>46058</v>
      </c>
      <c r="T1903" s="1">
        <v>46058</v>
      </c>
      <c r="U1903" s="1">
        <v>46058</v>
      </c>
      <c r="V1903" s="1">
        <v>46423</v>
      </c>
      <c r="W1903" t="s">
        <v>38</v>
      </c>
      <c r="X1903">
        <v>12</v>
      </c>
      <c r="Y1903" t="s">
        <v>49</v>
      </c>
      <c r="Z1903" t="s">
        <v>81</v>
      </c>
      <c r="AA1903" t="s">
        <v>112</v>
      </c>
      <c r="AB1903">
        <v>12</v>
      </c>
      <c r="AC1903" t="s">
        <v>166</v>
      </c>
      <c r="AD1903" t="s">
        <v>118</v>
      </c>
      <c r="AE1903" t="s">
        <v>43</v>
      </c>
      <c r="AF1903" t="s">
        <v>119</v>
      </c>
      <c r="AG1903" t="str">
        <f t="shared" si="31"/>
        <v>CC 12x</v>
      </c>
      <c r="AH1903" t="str">
        <f>IF(AND(SUMIF(E:E,E1903,I:I)&gt;=400000,Q1903="B2G"),"n","")</f>
        <v/>
      </c>
    </row>
    <row r="1904" spans="1:34">
      <c r="A1904">
        <v>2026</v>
      </c>
      <c r="B1904">
        <v>2</v>
      </c>
      <c r="C1904" s="83">
        <v>97670917692</v>
      </c>
      <c r="D1904" t="s">
        <v>1796</v>
      </c>
      <c r="E1904">
        <v>52327244092</v>
      </c>
      <c r="F1904">
        <v>608631</v>
      </c>
      <c r="G1904">
        <v>47523468925</v>
      </c>
      <c r="H1904" t="s">
        <v>35</v>
      </c>
      <c r="I1904" s="36">
        <v>2874</v>
      </c>
      <c r="J1904" s="36">
        <v>2874</v>
      </c>
      <c r="K1904" s="85">
        <v>0</v>
      </c>
      <c r="L1904" s="36">
        <v>239.5</v>
      </c>
      <c r="M1904" s="36">
        <v>0</v>
      </c>
      <c r="N1904" s="36">
        <v>35.15</v>
      </c>
      <c r="O1904" s="36">
        <v>204.35</v>
      </c>
      <c r="P1904" t="s">
        <v>165</v>
      </c>
      <c r="Q1904" t="s">
        <v>166</v>
      </c>
      <c r="R1904" t="s">
        <v>166</v>
      </c>
      <c r="S1904" s="1">
        <v>46058</v>
      </c>
      <c r="T1904" s="1">
        <v>46058</v>
      </c>
      <c r="U1904" s="1">
        <v>46058</v>
      </c>
      <c r="V1904" s="1">
        <v>46423</v>
      </c>
      <c r="W1904" t="s">
        <v>38</v>
      </c>
      <c r="X1904">
        <v>12</v>
      </c>
      <c r="Y1904" t="s">
        <v>49</v>
      </c>
      <c r="Z1904" t="s">
        <v>81</v>
      </c>
      <c r="AA1904" t="s">
        <v>112</v>
      </c>
      <c r="AB1904">
        <v>12</v>
      </c>
      <c r="AC1904" t="s">
        <v>166</v>
      </c>
      <c r="AD1904" t="s">
        <v>118</v>
      </c>
      <c r="AE1904" t="s">
        <v>43</v>
      </c>
      <c r="AF1904" t="s">
        <v>119</v>
      </c>
      <c r="AG1904" t="str">
        <f t="shared" si="31"/>
        <v>CC 12x</v>
      </c>
      <c r="AH1904" t="str">
        <f>IF(AND(SUMIF(E:E,E1904,I:I)&gt;=400000,Q1904="B2G"),"n","")</f>
        <v/>
      </c>
    </row>
    <row r="1905" spans="1:34">
      <c r="A1905">
        <v>2026</v>
      </c>
      <c r="B1905">
        <v>2</v>
      </c>
      <c r="C1905" s="83">
        <v>98347114904</v>
      </c>
      <c r="D1905" t="s">
        <v>1797</v>
      </c>
      <c r="E1905">
        <v>55887160868</v>
      </c>
      <c r="F1905">
        <v>636007</v>
      </c>
      <c r="G1905">
        <v>51123585714</v>
      </c>
      <c r="H1905" t="s">
        <v>35</v>
      </c>
      <c r="I1905" s="36">
        <v>5514</v>
      </c>
      <c r="J1905" s="36">
        <v>5514</v>
      </c>
      <c r="K1905" s="85">
        <v>0</v>
      </c>
      <c r="L1905" s="36">
        <v>459.5</v>
      </c>
      <c r="M1905" s="36">
        <v>459.5</v>
      </c>
      <c r="N1905" s="36">
        <v>0</v>
      </c>
      <c r="O1905" s="36">
        <v>0</v>
      </c>
      <c r="P1905" t="s">
        <v>497</v>
      </c>
      <c r="Q1905" t="s">
        <v>498</v>
      </c>
      <c r="R1905" t="s">
        <v>498</v>
      </c>
      <c r="S1905" s="1">
        <v>46062</v>
      </c>
      <c r="T1905" s="1">
        <v>46062</v>
      </c>
      <c r="U1905" s="1"/>
      <c r="V1905" s="1">
        <v>46427</v>
      </c>
      <c r="W1905" t="s">
        <v>38</v>
      </c>
      <c r="X1905">
        <v>12</v>
      </c>
      <c r="Y1905" t="s">
        <v>49</v>
      </c>
      <c r="AA1905" t="s">
        <v>112</v>
      </c>
      <c r="AB1905">
        <v>12</v>
      </c>
      <c r="AC1905" t="s">
        <v>499</v>
      </c>
      <c r="AD1905" t="s">
        <v>138</v>
      </c>
      <c r="AE1905" t="s">
        <v>135</v>
      </c>
      <c r="AF1905" t="s">
        <v>119</v>
      </c>
      <c r="AG1905" t="str">
        <f t="shared" si="31"/>
        <v>CC 12x</v>
      </c>
      <c r="AH1905" t="str">
        <f>IF(AND(SUMIF(E:E,E1905,I:I)&gt;=400000,Q1905="B2G"),"n","")</f>
        <v/>
      </c>
    </row>
    <row r="1906" spans="1:34">
      <c r="A1906">
        <v>2026</v>
      </c>
      <c r="B1906">
        <v>2</v>
      </c>
      <c r="C1906" s="83">
        <v>98397542145</v>
      </c>
      <c r="D1906" t="s">
        <v>1798</v>
      </c>
      <c r="E1906">
        <v>56284434203</v>
      </c>
      <c r="F1906">
        <v>505685</v>
      </c>
      <c r="G1906">
        <v>51902166109</v>
      </c>
      <c r="H1906" t="s">
        <v>35</v>
      </c>
      <c r="I1906" s="36">
        <v>4452.6000000000004</v>
      </c>
      <c r="J1906" s="36">
        <v>4452.6000000000004</v>
      </c>
      <c r="K1906" s="85">
        <v>0</v>
      </c>
      <c r="L1906" s="36">
        <v>371.05</v>
      </c>
      <c r="M1906" s="36">
        <v>0</v>
      </c>
      <c r="N1906" s="36">
        <v>42.07</v>
      </c>
      <c r="O1906" s="36">
        <v>328.98</v>
      </c>
      <c r="P1906" t="s">
        <v>110</v>
      </c>
      <c r="Q1906" t="s">
        <v>111</v>
      </c>
      <c r="R1906" t="s">
        <v>111</v>
      </c>
      <c r="S1906" s="1">
        <v>46076</v>
      </c>
      <c r="T1906" s="1">
        <v>46076</v>
      </c>
      <c r="U1906" s="1">
        <v>46066</v>
      </c>
      <c r="V1906" s="1">
        <v>46441</v>
      </c>
      <c r="W1906" t="s">
        <v>38</v>
      </c>
      <c r="X1906">
        <v>12</v>
      </c>
      <c r="Y1906" t="s">
        <v>49</v>
      </c>
      <c r="Z1906" t="s">
        <v>81</v>
      </c>
      <c r="AA1906" t="s">
        <v>112</v>
      </c>
      <c r="AB1906">
        <v>12</v>
      </c>
      <c r="AC1906" t="s">
        <v>113</v>
      </c>
      <c r="AD1906" t="s">
        <v>138</v>
      </c>
      <c r="AE1906" t="s">
        <v>135</v>
      </c>
      <c r="AF1906" t="s">
        <v>119</v>
      </c>
      <c r="AG1906" t="str">
        <f t="shared" si="31"/>
        <v>CC 12x</v>
      </c>
      <c r="AH1906" t="str">
        <f>IF(AND(SUMIF(E:E,E1906,I:I)&gt;=400000,Q1906="B2G"),"n","")</f>
        <v/>
      </c>
    </row>
    <row r="1907" spans="1:34">
      <c r="A1907">
        <v>2026</v>
      </c>
      <c r="B1907">
        <v>2</v>
      </c>
      <c r="C1907" s="83">
        <v>98619014580</v>
      </c>
      <c r="D1907" t="s">
        <v>1799</v>
      </c>
      <c r="E1907">
        <v>56168600451</v>
      </c>
      <c r="F1907">
        <v>626517</v>
      </c>
      <c r="G1907">
        <v>52282666895</v>
      </c>
      <c r="H1907" t="s">
        <v>35</v>
      </c>
      <c r="I1907" s="36">
        <v>2388</v>
      </c>
      <c r="J1907" s="36">
        <v>2388</v>
      </c>
      <c r="K1907" s="85">
        <v>0</v>
      </c>
      <c r="L1907" s="36">
        <v>199</v>
      </c>
      <c r="M1907" s="36">
        <v>0</v>
      </c>
      <c r="N1907" s="36">
        <v>55.600549999999998</v>
      </c>
      <c r="O1907" s="36">
        <v>143.4</v>
      </c>
      <c r="P1907" t="s">
        <v>190</v>
      </c>
      <c r="Q1907" t="s">
        <v>111</v>
      </c>
      <c r="R1907" t="s">
        <v>111</v>
      </c>
      <c r="S1907" s="1">
        <v>46079</v>
      </c>
      <c r="T1907" s="1">
        <v>46079</v>
      </c>
      <c r="U1907" s="1">
        <v>46065</v>
      </c>
      <c r="V1907" s="1">
        <v>46444</v>
      </c>
      <c r="W1907" t="s">
        <v>38</v>
      </c>
      <c r="X1907">
        <v>12</v>
      </c>
      <c r="Y1907" t="s">
        <v>49</v>
      </c>
      <c r="Z1907" t="s">
        <v>81</v>
      </c>
      <c r="AA1907" t="s">
        <v>122</v>
      </c>
      <c r="AB1907">
        <v>12</v>
      </c>
      <c r="AC1907" t="s">
        <v>113</v>
      </c>
      <c r="AD1907" t="s">
        <v>140</v>
      </c>
      <c r="AE1907" t="s">
        <v>46</v>
      </c>
      <c r="AF1907" t="s">
        <v>119</v>
      </c>
      <c r="AG1907" t="str">
        <f t="shared" si="31"/>
        <v>Recorrente</v>
      </c>
      <c r="AH1907" t="str">
        <f>IF(AND(SUMIF(E:E,E1907,I:I)&gt;=400000,Q1907="B2G"),"n","")</f>
        <v/>
      </c>
    </row>
    <row r="1908" spans="1:34">
      <c r="A1908">
        <v>2026</v>
      </c>
      <c r="B1908">
        <v>2</v>
      </c>
      <c r="C1908" s="83">
        <v>98622198692</v>
      </c>
      <c r="D1908" t="s">
        <v>1800</v>
      </c>
      <c r="E1908">
        <v>52939461149</v>
      </c>
      <c r="F1908">
        <v>626569</v>
      </c>
      <c r="G1908">
        <v>48079605260</v>
      </c>
      <c r="H1908" t="s">
        <v>35</v>
      </c>
      <c r="I1908" s="36">
        <v>2874</v>
      </c>
      <c r="J1908" s="36">
        <v>2874</v>
      </c>
      <c r="K1908" s="85">
        <v>0</v>
      </c>
      <c r="L1908" s="36">
        <v>239.5</v>
      </c>
      <c r="M1908" s="36">
        <v>0</v>
      </c>
      <c r="N1908" s="36">
        <v>36.35</v>
      </c>
      <c r="O1908" s="36">
        <v>203.15</v>
      </c>
      <c r="P1908" t="s">
        <v>165</v>
      </c>
      <c r="Q1908" t="s">
        <v>166</v>
      </c>
      <c r="R1908" t="s">
        <v>166</v>
      </c>
      <c r="S1908" s="1">
        <v>46067</v>
      </c>
      <c r="T1908" s="1">
        <v>46067</v>
      </c>
      <c r="U1908" s="1">
        <v>46067</v>
      </c>
      <c r="V1908" s="1">
        <v>46432</v>
      </c>
      <c r="W1908" t="s">
        <v>38</v>
      </c>
      <c r="X1908">
        <v>12</v>
      </c>
      <c r="Y1908" t="s">
        <v>49</v>
      </c>
      <c r="Z1908" t="s">
        <v>81</v>
      </c>
      <c r="AA1908" t="s">
        <v>122</v>
      </c>
      <c r="AB1908">
        <v>12</v>
      </c>
      <c r="AC1908" t="s">
        <v>166</v>
      </c>
      <c r="AD1908" t="s">
        <v>140</v>
      </c>
      <c r="AE1908" t="s">
        <v>46</v>
      </c>
      <c r="AF1908" t="s">
        <v>119</v>
      </c>
      <c r="AG1908" t="str">
        <f t="shared" si="31"/>
        <v>Recorrente</v>
      </c>
      <c r="AH1908" t="str">
        <f>IF(AND(SUMIF(E:E,E1908,I:I)&gt;=400000,Q1908="B2G"),"n","")</f>
        <v/>
      </c>
    </row>
    <row r="1909" spans="1:34">
      <c r="A1909">
        <v>2026</v>
      </c>
      <c r="B1909">
        <v>2</v>
      </c>
      <c r="C1909" s="83">
        <v>98880178524</v>
      </c>
      <c r="D1909" t="s">
        <v>1801</v>
      </c>
      <c r="E1909">
        <v>53091211090</v>
      </c>
      <c r="F1909">
        <v>527650</v>
      </c>
      <c r="G1909">
        <v>51567586203</v>
      </c>
      <c r="H1909" t="s">
        <v>35</v>
      </c>
      <c r="I1909" s="36">
        <v>4603.2</v>
      </c>
      <c r="J1909" s="36">
        <v>4603.2</v>
      </c>
      <c r="K1909" s="85">
        <v>0</v>
      </c>
      <c r="L1909" s="36">
        <v>383.6</v>
      </c>
      <c r="M1909" s="36">
        <v>0</v>
      </c>
      <c r="N1909" s="36">
        <v>55</v>
      </c>
      <c r="O1909" s="36">
        <v>328.6</v>
      </c>
      <c r="P1909" t="s">
        <v>110</v>
      </c>
      <c r="Q1909" t="s">
        <v>111</v>
      </c>
      <c r="R1909" t="s">
        <v>111</v>
      </c>
      <c r="S1909" s="1">
        <v>46070</v>
      </c>
      <c r="T1909" s="1">
        <v>46070</v>
      </c>
      <c r="U1909" s="1">
        <v>46069</v>
      </c>
      <c r="V1909" s="1">
        <v>46434</v>
      </c>
      <c r="W1909" t="s">
        <v>38</v>
      </c>
      <c r="X1909">
        <v>12</v>
      </c>
      <c r="Y1909" t="s">
        <v>49</v>
      </c>
      <c r="Z1909" t="s">
        <v>81</v>
      </c>
      <c r="AA1909" t="s">
        <v>112</v>
      </c>
      <c r="AB1909">
        <v>12</v>
      </c>
      <c r="AC1909" t="s">
        <v>113</v>
      </c>
      <c r="AD1909" t="s">
        <v>85</v>
      </c>
      <c r="AE1909" t="s">
        <v>46</v>
      </c>
      <c r="AF1909" t="s">
        <v>44</v>
      </c>
      <c r="AG1909" t="str">
        <f t="shared" si="31"/>
        <v>CC 12x</v>
      </c>
      <c r="AH1909" t="str">
        <f>IF(AND(SUMIF(E:E,E1909,I:I)&gt;=400000,Q1909="B2G"),"n","")</f>
        <v/>
      </c>
    </row>
    <row r="1910" spans="1:34">
      <c r="A1910">
        <v>2026</v>
      </c>
      <c r="B1910">
        <v>2</v>
      </c>
      <c r="C1910" s="83">
        <v>98950301190</v>
      </c>
      <c r="D1910" t="s">
        <v>1802</v>
      </c>
      <c r="E1910">
        <v>57021966463</v>
      </c>
      <c r="F1910">
        <v>626532</v>
      </c>
      <c r="G1910">
        <v>52292953449</v>
      </c>
      <c r="H1910" t="s">
        <v>35</v>
      </c>
      <c r="I1910" s="36">
        <v>3116.64</v>
      </c>
      <c r="J1910" s="36">
        <v>3116.64</v>
      </c>
      <c r="K1910" s="85">
        <v>4.5474699999999999E-13</v>
      </c>
      <c r="L1910" s="36">
        <v>259.72000000000003</v>
      </c>
      <c r="M1910" s="36">
        <v>259.72000000000003</v>
      </c>
      <c r="N1910" s="36">
        <v>0</v>
      </c>
      <c r="O1910" s="36">
        <v>0</v>
      </c>
      <c r="P1910" t="s">
        <v>162</v>
      </c>
      <c r="Q1910" t="s">
        <v>111</v>
      </c>
      <c r="R1910" t="s">
        <v>111</v>
      </c>
      <c r="S1910" s="1">
        <v>46079</v>
      </c>
      <c r="T1910" s="1">
        <v>46079</v>
      </c>
      <c r="U1910" s="1">
        <v>46066</v>
      </c>
      <c r="V1910" s="1">
        <v>46446</v>
      </c>
      <c r="W1910" t="s">
        <v>38</v>
      </c>
      <c r="X1910">
        <v>12</v>
      </c>
      <c r="Y1910" t="s">
        <v>49</v>
      </c>
      <c r="Z1910" t="s">
        <v>81</v>
      </c>
      <c r="AA1910" t="s">
        <v>112</v>
      </c>
      <c r="AB1910">
        <v>12</v>
      </c>
      <c r="AC1910" t="s">
        <v>113</v>
      </c>
      <c r="AD1910" t="s">
        <v>160</v>
      </c>
      <c r="AE1910" t="s">
        <v>43</v>
      </c>
      <c r="AF1910" t="s">
        <v>44</v>
      </c>
      <c r="AG1910" t="str">
        <f t="shared" si="31"/>
        <v>CC 12x</v>
      </c>
      <c r="AH1910" t="str">
        <f>IF(AND(SUMIF(E:E,E1910,I:I)&gt;=400000,Q1910="B2G"),"n","")</f>
        <v/>
      </c>
    </row>
    <row r="1911" spans="1:34">
      <c r="A1911">
        <v>2026</v>
      </c>
      <c r="B1911">
        <v>2</v>
      </c>
      <c r="C1911" s="83">
        <v>99364306795</v>
      </c>
      <c r="D1911" t="s">
        <v>1803</v>
      </c>
      <c r="E1911">
        <v>55886428513</v>
      </c>
      <c r="F1911">
        <v>636021</v>
      </c>
      <c r="G1911">
        <v>51226272951</v>
      </c>
      <c r="H1911" t="s">
        <v>35</v>
      </c>
      <c r="I1911" s="36">
        <v>2874</v>
      </c>
      <c r="J1911" s="36">
        <v>2874</v>
      </c>
      <c r="K1911" s="85">
        <v>0</v>
      </c>
      <c r="L1911" s="36">
        <v>239.5</v>
      </c>
      <c r="M1911" s="36">
        <v>239.5</v>
      </c>
      <c r="N1911" s="36">
        <v>0</v>
      </c>
      <c r="O1911" s="36">
        <v>0</v>
      </c>
      <c r="P1911" t="s">
        <v>829</v>
      </c>
      <c r="Q1911" t="s">
        <v>300</v>
      </c>
      <c r="R1911" t="s">
        <v>300</v>
      </c>
      <c r="S1911" s="1">
        <v>46063</v>
      </c>
      <c r="T1911" s="1">
        <v>46063</v>
      </c>
      <c r="U1911" s="1"/>
      <c r="V1911" s="1">
        <v>46428</v>
      </c>
      <c r="W1911" t="s">
        <v>38</v>
      </c>
      <c r="X1911">
        <v>12</v>
      </c>
      <c r="Y1911" t="s">
        <v>49</v>
      </c>
      <c r="AA1911" t="s">
        <v>122</v>
      </c>
      <c r="AB1911">
        <v>12</v>
      </c>
      <c r="AC1911" t="s">
        <v>301</v>
      </c>
      <c r="AD1911" t="s">
        <v>118</v>
      </c>
      <c r="AE1911" t="s">
        <v>43</v>
      </c>
      <c r="AF1911" t="s">
        <v>119</v>
      </c>
      <c r="AG1911" t="str">
        <f t="shared" si="31"/>
        <v>Recorrente</v>
      </c>
      <c r="AH1911" t="str">
        <f>IF(AND(SUMIF(E:E,E1911,I:I)&gt;=400000,Q1911="B2G"),"n","")</f>
        <v/>
      </c>
    </row>
    <row r="1912" spans="1:34">
      <c r="A1912">
        <v>2026</v>
      </c>
      <c r="B1912">
        <v>2</v>
      </c>
      <c r="C1912" s="83">
        <v>99447465571</v>
      </c>
      <c r="D1912" t="s">
        <v>1804</v>
      </c>
      <c r="E1912">
        <v>53209891093</v>
      </c>
      <c r="F1912">
        <v>606880</v>
      </c>
      <c r="G1912">
        <v>48449162502</v>
      </c>
      <c r="H1912" t="s">
        <v>35</v>
      </c>
      <c r="I1912" s="36">
        <v>3928.68</v>
      </c>
      <c r="J1912" s="36">
        <v>3928.68</v>
      </c>
      <c r="K1912" s="85">
        <v>0</v>
      </c>
      <c r="L1912" s="36">
        <v>327.39</v>
      </c>
      <c r="M1912" s="36">
        <v>0</v>
      </c>
      <c r="N1912" s="36">
        <v>66.803749999999994</v>
      </c>
      <c r="O1912" s="36">
        <v>260.58999999999997</v>
      </c>
      <c r="P1912" t="s">
        <v>116</v>
      </c>
      <c r="Q1912" t="s">
        <v>111</v>
      </c>
      <c r="R1912" t="s">
        <v>111</v>
      </c>
      <c r="S1912" s="1">
        <v>46032</v>
      </c>
      <c r="T1912" s="1">
        <v>46054</v>
      </c>
      <c r="U1912" s="1">
        <v>46026</v>
      </c>
      <c r="V1912" s="1">
        <v>46397</v>
      </c>
      <c r="W1912" t="s">
        <v>38</v>
      </c>
      <c r="X1912">
        <v>12</v>
      </c>
      <c r="Y1912" t="s">
        <v>49</v>
      </c>
      <c r="Z1912" t="s">
        <v>81</v>
      </c>
      <c r="AA1912" t="s">
        <v>122</v>
      </c>
      <c r="AB1912">
        <v>12</v>
      </c>
      <c r="AC1912" t="s">
        <v>113</v>
      </c>
      <c r="AD1912" t="s">
        <v>138</v>
      </c>
      <c r="AE1912" t="s">
        <v>135</v>
      </c>
      <c r="AF1912" t="s">
        <v>119</v>
      </c>
      <c r="AG1912" t="str">
        <f t="shared" si="31"/>
        <v>Recorrente</v>
      </c>
      <c r="AH1912" t="str">
        <f>IF(AND(SUMIF(E:E,E1912,I:I)&gt;=400000,Q1912="B2G"),"n","")</f>
        <v/>
      </c>
    </row>
    <row r="1913" spans="1:34">
      <c r="A1913">
        <v>2026</v>
      </c>
      <c r="B1913">
        <v>2</v>
      </c>
      <c r="C1913" s="83">
        <v>99475510418</v>
      </c>
      <c r="D1913" t="s">
        <v>1805</v>
      </c>
      <c r="E1913">
        <v>53119071840</v>
      </c>
      <c r="F1913">
        <v>626601</v>
      </c>
      <c r="G1913">
        <v>48245926057</v>
      </c>
      <c r="H1913" t="s">
        <v>35</v>
      </c>
      <c r="I1913" s="36">
        <v>2874</v>
      </c>
      <c r="J1913" s="36">
        <v>2874</v>
      </c>
      <c r="K1913" s="85">
        <v>0</v>
      </c>
      <c r="L1913" s="36">
        <v>239.5</v>
      </c>
      <c r="M1913" s="36">
        <v>0</v>
      </c>
      <c r="N1913" s="36">
        <v>36.35</v>
      </c>
      <c r="O1913" s="36">
        <v>203.15</v>
      </c>
      <c r="P1913" t="s">
        <v>165</v>
      </c>
      <c r="Q1913" t="s">
        <v>166</v>
      </c>
      <c r="R1913" t="s">
        <v>166</v>
      </c>
      <c r="S1913" s="1">
        <v>46070</v>
      </c>
      <c r="T1913" s="1">
        <v>46070</v>
      </c>
      <c r="U1913" s="1">
        <v>46070</v>
      </c>
      <c r="V1913" s="1">
        <v>46435</v>
      </c>
      <c r="W1913" t="s">
        <v>38</v>
      </c>
      <c r="X1913">
        <v>12</v>
      </c>
      <c r="Y1913" t="s">
        <v>49</v>
      </c>
      <c r="Z1913" t="s">
        <v>81</v>
      </c>
      <c r="AA1913" t="s">
        <v>122</v>
      </c>
      <c r="AB1913">
        <v>12</v>
      </c>
      <c r="AC1913" t="s">
        <v>166</v>
      </c>
      <c r="AD1913" t="s">
        <v>118</v>
      </c>
      <c r="AE1913" t="s">
        <v>43</v>
      </c>
      <c r="AF1913" t="s">
        <v>119</v>
      </c>
      <c r="AG1913" t="str">
        <f t="shared" si="31"/>
        <v>Recorrente</v>
      </c>
      <c r="AH1913" t="str">
        <f>IF(AND(SUMIF(E:E,E1913,I:I)&gt;=400000,Q1913="B2G"),"n","")</f>
        <v/>
      </c>
    </row>
    <row r="1914" spans="1:34">
      <c r="A1914">
        <v>2026</v>
      </c>
      <c r="B1914">
        <v>2</v>
      </c>
      <c r="C1914" s="83">
        <v>99519230862</v>
      </c>
      <c r="D1914" t="s">
        <v>1806</v>
      </c>
      <c r="E1914">
        <v>53563341936</v>
      </c>
      <c r="F1914">
        <v>626814</v>
      </c>
      <c r="G1914">
        <v>48748439696</v>
      </c>
      <c r="H1914" t="s">
        <v>35</v>
      </c>
      <c r="I1914" s="36">
        <v>5034</v>
      </c>
      <c r="J1914" s="36">
        <v>5034</v>
      </c>
      <c r="K1914" s="85">
        <v>0</v>
      </c>
      <c r="L1914" s="36">
        <v>419.5</v>
      </c>
      <c r="M1914" s="36">
        <v>0</v>
      </c>
      <c r="N1914" s="36">
        <v>32.5</v>
      </c>
      <c r="O1914" s="36">
        <v>387</v>
      </c>
      <c r="P1914" t="s">
        <v>165</v>
      </c>
      <c r="Q1914" t="s">
        <v>166</v>
      </c>
      <c r="R1914" t="s">
        <v>166</v>
      </c>
      <c r="S1914" s="1">
        <v>46077</v>
      </c>
      <c r="T1914" s="1">
        <v>46077</v>
      </c>
      <c r="U1914" s="1">
        <v>46077</v>
      </c>
      <c r="V1914" s="1">
        <v>46442</v>
      </c>
      <c r="W1914" t="s">
        <v>38</v>
      </c>
      <c r="X1914">
        <v>12</v>
      </c>
      <c r="Y1914" t="s">
        <v>49</v>
      </c>
      <c r="Z1914" t="s">
        <v>81</v>
      </c>
      <c r="AA1914" t="s">
        <v>112</v>
      </c>
      <c r="AB1914">
        <v>12</v>
      </c>
      <c r="AC1914" t="s">
        <v>166</v>
      </c>
      <c r="AD1914" t="s">
        <v>84</v>
      </c>
      <c r="AE1914" t="s">
        <v>43</v>
      </c>
      <c r="AF1914" t="s">
        <v>44</v>
      </c>
      <c r="AG1914" t="str">
        <f t="shared" ref="AG1914:AG1915" si="32">IF(IFERROR(SEARCH("Recorrente",AA1914),0)&gt;0,"Recorrente",IF(AB1914=1,"À Vista",IF(AB1914&lt;=3,"CC 3x",IF(AB1914&lt;=12,"CC 12x",IF(AB1914&gt;12,"Recorrente","")))))</f>
        <v>CC 12x</v>
      </c>
      <c r="AH1914" t="str">
        <f>IF(AND(SUMIF(E:E,E1914,I:I)&gt;=400000,Q1914="B2G"),"n","")</f>
        <v/>
      </c>
    </row>
    <row r="1915" spans="1:34">
      <c r="A1915">
        <v>2026</v>
      </c>
      <c r="B1915">
        <v>2</v>
      </c>
      <c r="C1915" s="83">
        <v>99582879834</v>
      </c>
      <c r="D1915" t="s">
        <v>1807</v>
      </c>
      <c r="E1915">
        <v>55382602874</v>
      </c>
      <c r="F1915">
        <v>635911</v>
      </c>
      <c r="G1915">
        <v>50777820970</v>
      </c>
      <c r="H1915" t="s">
        <v>35</v>
      </c>
      <c r="I1915" s="36">
        <v>4603.2</v>
      </c>
      <c r="J1915" s="36">
        <v>4603.2</v>
      </c>
      <c r="K1915" s="85">
        <v>0</v>
      </c>
      <c r="L1915" s="36">
        <v>383.6</v>
      </c>
      <c r="M1915" s="36">
        <v>383.6</v>
      </c>
      <c r="N1915" s="36">
        <v>0</v>
      </c>
      <c r="O1915" s="36">
        <v>0</v>
      </c>
      <c r="P1915" t="s">
        <v>829</v>
      </c>
      <c r="Q1915" t="s">
        <v>300</v>
      </c>
      <c r="R1915" t="s">
        <v>300</v>
      </c>
      <c r="S1915" s="1">
        <v>46056</v>
      </c>
      <c r="T1915" s="1">
        <v>46056</v>
      </c>
      <c r="V1915" s="1">
        <v>46421</v>
      </c>
      <c r="W1915" t="s">
        <v>38</v>
      </c>
      <c r="X1915">
        <v>12</v>
      </c>
      <c r="Y1915" t="s">
        <v>49</v>
      </c>
      <c r="AA1915" t="s">
        <v>122</v>
      </c>
      <c r="AB1915">
        <v>12</v>
      </c>
      <c r="AC1915" t="s">
        <v>301</v>
      </c>
      <c r="AD1915" t="s">
        <v>85</v>
      </c>
      <c r="AE1915" t="s">
        <v>46</v>
      </c>
      <c r="AF1915" t="s">
        <v>44</v>
      </c>
      <c r="AG1915" t="str">
        <f t="shared" si="32"/>
        <v>Recorrente</v>
      </c>
      <c r="AH1915" t="str">
        <f>IF(AND(SUMIF(E:E,E1915,I:I)&gt;=400000,Q1915="B2G"),"n","")</f>
        <v/>
      </c>
    </row>
    <row r="1916" spans="1:34">
      <c r="A1916">
        <v>2026</v>
      </c>
      <c r="B1916">
        <v>3</v>
      </c>
      <c r="C1916" s="83">
        <v>100034781554</v>
      </c>
      <c r="D1916" t="s">
        <v>1808</v>
      </c>
      <c r="E1916">
        <v>54129416842</v>
      </c>
      <c r="F1916">
        <v>506920</v>
      </c>
      <c r="G1916">
        <v>49462627238</v>
      </c>
      <c r="H1916" t="s">
        <v>35</v>
      </c>
      <c r="I1916" s="36">
        <v>9594</v>
      </c>
      <c r="J1916" s="36">
        <v>9594</v>
      </c>
      <c r="K1916" s="85">
        <v>0</v>
      </c>
      <c r="L1916" s="36">
        <v>799.5</v>
      </c>
      <c r="M1916" s="36">
        <v>0</v>
      </c>
      <c r="N1916" s="36">
        <v>152.4</v>
      </c>
      <c r="O1916" s="36">
        <v>647.1</v>
      </c>
      <c r="P1916" t="s">
        <v>165</v>
      </c>
      <c r="Q1916" t="s">
        <v>166</v>
      </c>
      <c r="R1916" t="s">
        <v>166</v>
      </c>
      <c r="S1916" s="1">
        <v>46085</v>
      </c>
      <c r="T1916" s="1">
        <v>46085</v>
      </c>
      <c r="U1916" s="1">
        <v>46085</v>
      </c>
      <c r="V1916" s="1">
        <v>46450</v>
      </c>
      <c r="W1916" t="s">
        <v>38</v>
      </c>
      <c r="X1916">
        <v>12</v>
      </c>
      <c r="Y1916" t="s">
        <v>49</v>
      </c>
      <c r="Z1916" t="s">
        <v>81</v>
      </c>
      <c r="AA1916" t="s">
        <v>122</v>
      </c>
      <c r="AB1916">
        <v>12</v>
      </c>
      <c r="AC1916" t="s">
        <v>166</v>
      </c>
      <c r="AD1916" t="s">
        <v>131</v>
      </c>
      <c r="AE1916" t="s">
        <v>46</v>
      </c>
      <c r="AF1916" t="s">
        <v>96</v>
      </c>
      <c r="AG1916" t="str">
        <f t="shared" ref="AG1916:AG1979" si="33">IF(IFERROR(SEARCH("Recorrente",AA1916),0)&gt;0,"Recorrente",IF(AB1916=1,"À Vista",IF(AB1916&lt;=3,"CC 3x",IF(AB1916&lt;=12,"CC 12x",IF(AB1916&gt;12,"Recorrente","")))))</f>
        <v>Recorrente</v>
      </c>
      <c r="AH1916" t="str">
        <f>IF(AND(SUMIF(E:E,E1916,I:I)&gt;=400000,Q1916="B2G"),"n","")</f>
        <v/>
      </c>
    </row>
    <row r="1917" spans="1:34">
      <c r="A1917">
        <v>2026</v>
      </c>
      <c r="B1917">
        <v>3</v>
      </c>
      <c r="C1917" s="83">
        <v>100272874157</v>
      </c>
      <c r="D1917" t="s">
        <v>1809</v>
      </c>
      <c r="E1917">
        <v>58029765538</v>
      </c>
      <c r="F1917">
        <v>610834</v>
      </c>
      <c r="G1917">
        <v>53239547509</v>
      </c>
      <c r="H1917" t="s">
        <v>35</v>
      </c>
      <c r="I1917" s="36">
        <v>2735.76</v>
      </c>
      <c r="J1917" s="36">
        <v>2735.76</v>
      </c>
      <c r="K1917" s="85">
        <v>0</v>
      </c>
      <c r="L1917" s="36">
        <v>227.98</v>
      </c>
      <c r="M1917" s="36">
        <v>227.98</v>
      </c>
      <c r="N1917" s="36">
        <v>0</v>
      </c>
      <c r="O1917" s="36">
        <v>0</v>
      </c>
      <c r="P1917" t="s">
        <v>110</v>
      </c>
      <c r="Q1917" t="s">
        <v>111</v>
      </c>
      <c r="R1917" t="s">
        <v>111</v>
      </c>
      <c r="S1917" s="1">
        <v>46098</v>
      </c>
      <c r="T1917" s="1">
        <v>46098</v>
      </c>
      <c r="U1917" s="1">
        <v>46088</v>
      </c>
      <c r="V1917" s="1">
        <v>46463</v>
      </c>
      <c r="W1917" t="s">
        <v>38</v>
      </c>
      <c r="X1917">
        <v>12</v>
      </c>
      <c r="Y1917" t="s">
        <v>49</v>
      </c>
      <c r="Z1917" t="s">
        <v>81</v>
      </c>
      <c r="AA1917" t="s">
        <v>122</v>
      </c>
      <c r="AB1917">
        <v>12</v>
      </c>
      <c r="AC1917" t="s">
        <v>113</v>
      </c>
      <c r="AD1917" t="s">
        <v>140</v>
      </c>
      <c r="AE1917" t="s">
        <v>46</v>
      </c>
      <c r="AF1917" t="s">
        <v>119</v>
      </c>
      <c r="AG1917" t="str">
        <f t="shared" si="33"/>
        <v>Recorrente</v>
      </c>
      <c r="AH1917" t="str">
        <f>IF(AND(SUMIF(E:E,E1917,I:I)&gt;=400000,Q1917="B2G"),"n","")</f>
        <v/>
      </c>
    </row>
    <row r="1918" spans="1:34">
      <c r="A1918">
        <v>2026</v>
      </c>
      <c r="B1918">
        <v>3</v>
      </c>
      <c r="C1918" s="83">
        <v>100310842677</v>
      </c>
      <c r="D1918" t="s">
        <v>1810</v>
      </c>
      <c r="E1918">
        <v>55342558739</v>
      </c>
      <c r="F1918">
        <v>611661</v>
      </c>
      <c r="G1918">
        <v>50523269442</v>
      </c>
      <c r="H1918" t="s">
        <v>35</v>
      </c>
      <c r="I1918" s="36">
        <v>4135.4399999999996</v>
      </c>
      <c r="J1918" s="36">
        <v>4135.4399999999996</v>
      </c>
      <c r="K1918" s="85">
        <v>0</v>
      </c>
      <c r="L1918" s="36">
        <v>344.62</v>
      </c>
      <c r="M1918" s="36">
        <v>0</v>
      </c>
      <c r="N1918" s="36">
        <v>50.174999999999997</v>
      </c>
      <c r="O1918" s="36">
        <v>294.45</v>
      </c>
      <c r="P1918" t="s">
        <v>165</v>
      </c>
      <c r="Q1918" t="s">
        <v>166</v>
      </c>
      <c r="R1918" t="s">
        <v>166</v>
      </c>
      <c r="S1918" s="1">
        <v>46100</v>
      </c>
      <c r="T1918" s="1">
        <v>46100</v>
      </c>
      <c r="U1918" s="1">
        <v>46100</v>
      </c>
      <c r="V1918" s="1">
        <v>46465</v>
      </c>
      <c r="W1918" t="s">
        <v>38</v>
      </c>
      <c r="X1918">
        <v>12</v>
      </c>
      <c r="Y1918" t="s">
        <v>49</v>
      </c>
      <c r="Z1918" t="s">
        <v>81</v>
      </c>
      <c r="AA1918" t="s">
        <v>122</v>
      </c>
      <c r="AB1918">
        <v>12</v>
      </c>
      <c r="AC1918" t="s">
        <v>166</v>
      </c>
      <c r="AD1918" t="s">
        <v>138</v>
      </c>
      <c r="AE1918" t="s">
        <v>135</v>
      </c>
      <c r="AF1918" t="s">
        <v>119</v>
      </c>
      <c r="AG1918" t="str">
        <f t="shared" si="33"/>
        <v>Recorrente</v>
      </c>
      <c r="AH1918" t="str">
        <f>IF(AND(SUMIF(E:E,E1918,I:I)&gt;=400000,Q1918="B2G"),"n","")</f>
        <v/>
      </c>
    </row>
    <row r="1919" spans="1:34">
      <c r="A1919">
        <v>2026</v>
      </c>
      <c r="B1919">
        <v>3</v>
      </c>
      <c r="C1919" s="83">
        <v>100904682842</v>
      </c>
      <c r="D1919" t="s">
        <v>1811</v>
      </c>
      <c r="E1919">
        <v>56535586179</v>
      </c>
      <c r="F1919">
        <v>530094</v>
      </c>
      <c r="G1919">
        <v>51841771297</v>
      </c>
      <c r="H1919" t="s">
        <v>35</v>
      </c>
      <c r="I1919" s="36">
        <v>4099.68</v>
      </c>
      <c r="J1919" s="36">
        <v>4099.68</v>
      </c>
      <c r="K1919" s="85">
        <v>0</v>
      </c>
      <c r="L1919" s="36">
        <v>341.64</v>
      </c>
      <c r="M1919" s="36">
        <v>0</v>
      </c>
      <c r="N1919" s="36">
        <v>56.25</v>
      </c>
      <c r="O1919" s="36">
        <v>285.39</v>
      </c>
      <c r="P1919" t="s">
        <v>162</v>
      </c>
      <c r="Q1919" t="s">
        <v>111</v>
      </c>
      <c r="R1919" t="s">
        <v>111</v>
      </c>
      <c r="S1919" s="1">
        <v>46078</v>
      </c>
      <c r="T1919" s="1">
        <v>46082</v>
      </c>
      <c r="U1919" s="1">
        <v>46098</v>
      </c>
      <c r="V1919" s="1">
        <v>46463</v>
      </c>
      <c r="W1919" t="s">
        <v>38</v>
      </c>
      <c r="X1919">
        <v>12</v>
      </c>
      <c r="Y1919" t="s">
        <v>49</v>
      </c>
      <c r="Z1919" t="s">
        <v>81</v>
      </c>
      <c r="AA1919" t="s">
        <v>112</v>
      </c>
      <c r="AB1919">
        <v>12</v>
      </c>
      <c r="AC1919" t="s">
        <v>113</v>
      </c>
      <c r="AD1919" t="s">
        <v>85</v>
      </c>
      <c r="AE1919" t="s">
        <v>46</v>
      </c>
      <c r="AF1919" t="s">
        <v>44</v>
      </c>
      <c r="AG1919" t="str">
        <f t="shared" si="33"/>
        <v>CC 12x</v>
      </c>
      <c r="AH1919" t="str">
        <f>IF(AND(SUMIF(E:E,E1919,I:I)&gt;=400000,Q1919="B2G"),"n","")</f>
        <v/>
      </c>
    </row>
    <row r="1920" spans="1:34">
      <c r="A1920">
        <v>2026</v>
      </c>
      <c r="B1920">
        <v>3</v>
      </c>
      <c r="C1920" s="83">
        <v>100909589570</v>
      </c>
      <c r="D1920" t="s">
        <v>1812</v>
      </c>
      <c r="E1920">
        <v>57611091778</v>
      </c>
      <c r="F1920">
        <v>528630</v>
      </c>
      <c r="G1920">
        <v>53239131157</v>
      </c>
      <c r="H1920" t="s">
        <v>35</v>
      </c>
      <c r="I1920" s="36">
        <v>4530.6000000000004</v>
      </c>
      <c r="J1920" s="36">
        <v>4530.6000000000004</v>
      </c>
      <c r="K1920" s="85">
        <v>0</v>
      </c>
      <c r="L1920" s="36">
        <v>377.55</v>
      </c>
      <c r="M1920" s="36">
        <v>0</v>
      </c>
      <c r="N1920" s="36">
        <v>99.45</v>
      </c>
      <c r="O1920" s="36">
        <v>278.10000000000002</v>
      </c>
      <c r="P1920" t="s">
        <v>1160</v>
      </c>
      <c r="Q1920" t="s">
        <v>111</v>
      </c>
      <c r="R1920" t="s">
        <v>111</v>
      </c>
      <c r="S1920" s="1">
        <v>46097</v>
      </c>
      <c r="T1920" s="1">
        <v>46097</v>
      </c>
      <c r="U1920" s="1">
        <v>46081</v>
      </c>
      <c r="V1920" s="1">
        <v>46462</v>
      </c>
      <c r="W1920" t="s">
        <v>38</v>
      </c>
      <c r="X1920">
        <v>13</v>
      </c>
      <c r="Y1920" t="s">
        <v>49</v>
      </c>
      <c r="Z1920" t="s">
        <v>76</v>
      </c>
      <c r="AA1920" t="s">
        <v>112</v>
      </c>
      <c r="AB1920">
        <v>12</v>
      </c>
      <c r="AC1920" t="s">
        <v>113</v>
      </c>
      <c r="AD1920" t="s">
        <v>84</v>
      </c>
      <c r="AE1920" t="s">
        <v>43</v>
      </c>
      <c r="AF1920" t="s">
        <v>44</v>
      </c>
      <c r="AG1920" t="str">
        <f t="shared" si="33"/>
        <v>CC 12x</v>
      </c>
      <c r="AH1920" t="str">
        <f>IF(AND(SUMIF(E:E,E1920,I:I)&gt;=400000,Q1920="B2G"),"n","")</f>
        <v/>
      </c>
    </row>
    <row r="1921" spans="1:34">
      <c r="A1921">
        <v>2026</v>
      </c>
      <c r="B1921">
        <v>3</v>
      </c>
      <c r="C1921" s="83">
        <v>100915671700</v>
      </c>
      <c r="D1921" t="s">
        <v>1813</v>
      </c>
      <c r="E1921">
        <v>57270269844</v>
      </c>
      <c r="F1921">
        <v>506115</v>
      </c>
      <c r="G1921">
        <v>53342997372</v>
      </c>
      <c r="H1921" t="s">
        <v>35</v>
      </c>
      <c r="I1921" s="36">
        <v>7109.04</v>
      </c>
      <c r="J1921" s="36">
        <v>7109.04</v>
      </c>
      <c r="K1921" s="85">
        <v>9.0949500000000005E-13</v>
      </c>
      <c r="L1921" s="36">
        <v>592.41999999999996</v>
      </c>
      <c r="M1921" s="36">
        <v>0</v>
      </c>
      <c r="N1921" s="36">
        <v>65.88</v>
      </c>
      <c r="O1921" s="36">
        <v>526.54</v>
      </c>
      <c r="P1921" t="s">
        <v>116</v>
      </c>
      <c r="Q1921" t="s">
        <v>111</v>
      </c>
      <c r="R1921" t="s">
        <v>111</v>
      </c>
      <c r="S1921" s="1">
        <v>46100</v>
      </c>
      <c r="T1921" s="1">
        <v>46100</v>
      </c>
      <c r="U1921" s="1">
        <v>46112</v>
      </c>
      <c r="V1921" s="1">
        <v>46477</v>
      </c>
      <c r="W1921" t="s">
        <v>38</v>
      </c>
      <c r="X1921">
        <v>12</v>
      </c>
      <c r="Y1921" t="s">
        <v>49</v>
      </c>
      <c r="Z1921" t="s">
        <v>81</v>
      </c>
      <c r="AA1921" t="s">
        <v>122</v>
      </c>
      <c r="AB1921">
        <v>12</v>
      </c>
      <c r="AC1921" t="s">
        <v>113</v>
      </c>
      <c r="AD1921" t="s">
        <v>134</v>
      </c>
      <c r="AE1921" t="s">
        <v>135</v>
      </c>
      <c r="AF1921" t="s">
        <v>44</v>
      </c>
      <c r="AG1921" t="str">
        <f t="shared" si="33"/>
        <v>Recorrente</v>
      </c>
      <c r="AH1921" t="str">
        <f>IF(AND(SUMIF(E:E,E1921,I:I)&gt;=400000,Q1921="B2G"),"n","")</f>
        <v/>
      </c>
    </row>
    <row r="1922" spans="1:34">
      <c r="A1922">
        <v>2026</v>
      </c>
      <c r="B1922">
        <v>3</v>
      </c>
      <c r="C1922" s="83">
        <v>101771684537</v>
      </c>
      <c r="D1922" t="s">
        <v>1814</v>
      </c>
      <c r="E1922">
        <v>54975158702</v>
      </c>
      <c r="F1922">
        <v>507637</v>
      </c>
      <c r="G1922">
        <v>53206448972</v>
      </c>
      <c r="H1922" t="s">
        <v>35</v>
      </c>
      <c r="I1922" s="36">
        <v>4315.4399999999996</v>
      </c>
      <c r="J1922" s="36">
        <v>4315.4399999999996</v>
      </c>
      <c r="K1922" s="85">
        <v>0</v>
      </c>
      <c r="L1922" s="36">
        <v>359.62</v>
      </c>
      <c r="M1922" s="36">
        <v>0</v>
      </c>
      <c r="N1922" s="36">
        <v>9.625</v>
      </c>
      <c r="O1922" s="36">
        <v>350</v>
      </c>
      <c r="P1922" t="s">
        <v>804</v>
      </c>
      <c r="Q1922" t="s">
        <v>191</v>
      </c>
      <c r="R1922" t="s">
        <v>191</v>
      </c>
      <c r="S1922" s="1">
        <v>46094</v>
      </c>
      <c r="T1922" s="1">
        <v>46094</v>
      </c>
      <c r="U1922" s="1">
        <v>46096</v>
      </c>
      <c r="V1922" s="1">
        <v>46461</v>
      </c>
      <c r="W1922" t="s">
        <v>38</v>
      </c>
      <c r="X1922">
        <v>12</v>
      </c>
      <c r="Y1922" t="s">
        <v>49</v>
      </c>
      <c r="Z1922" t="s">
        <v>81</v>
      </c>
      <c r="AA1922" t="s">
        <v>117</v>
      </c>
      <c r="AB1922">
        <v>1</v>
      </c>
      <c r="AC1922" t="s">
        <v>192</v>
      </c>
      <c r="AD1922" t="s">
        <v>85</v>
      </c>
      <c r="AE1922" t="s">
        <v>46</v>
      </c>
      <c r="AF1922" t="s">
        <v>44</v>
      </c>
      <c r="AG1922" t="str">
        <f t="shared" si="33"/>
        <v>À Vista</v>
      </c>
      <c r="AH1922" t="str">
        <f>IF(AND(SUMIF(E:E,E1922,I:I)&gt;=400000,Q1922="B2G"),"n","")</f>
        <v/>
      </c>
    </row>
    <row r="1923" spans="1:34">
      <c r="A1923">
        <v>2026</v>
      </c>
      <c r="B1923">
        <v>3</v>
      </c>
      <c r="C1923" s="83">
        <v>101813091594</v>
      </c>
      <c r="D1923" t="s">
        <v>913</v>
      </c>
      <c r="E1923">
        <v>58370092150</v>
      </c>
      <c r="F1923">
        <v>506253</v>
      </c>
      <c r="G1923">
        <v>53747184746</v>
      </c>
      <c r="H1923" t="s">
        <v>35</v>
      </c>
      <c r="I1923" s="36">
        <v>900</v>
      </c>
      <c r="J1923" s="36">
        <v>900</v>
      </c>
      <c r="K1923" s="85">
        <v>0</v>
      </c>
      <c r="L1923" s="36">
        <v>75</v>
      </c>
      <c r="M1923" s="36">
        <v>75</v>
      </c>
      <c r="N1923" s="36">
        <v>0</v>
      </c>
      <c r="O1923" s="36">
        <v>0</v>
      </c>
      <c r="P1923" t="s">
        <v>110</v>
      </c>
      <c r="Q1923" t="s">
        <v>111</v>
      </c>
      <c r="R1923" t="s">
        <v>111</v>
      </c>
      <c r="S1923" s="1">
        <v>46111</v>
      </c>
      <c r="T1923" s="1">
        <v>46111</v>
      </c>
      <c r="V1923" s="1">
        <v>46476</v>
      </c>
      <c r="W1923" t="s">
        <v>38</v>
      </c>
      <c r="X1923">
        <v>12</v>
      </c>
      <c r="Y1923" t="s">
        <v>49</v>
      </c>
      <c r="Z1923" t="s">
        <v>81</v>
      </c>
      <c r="AA1923" t="s">
        <v>122</v>
      </c>
      <c r="AB1923">
        <v>12</v>
      </c>
      <c r="AC1923" t="s">
        <v>113</v>
      </c>
      <c r="AD1923" t="s">
        <v>243</v>
      </c>
      <c r="AE1923" t="s">
        <v>95</v>
      </c>
      <c r="AF1923" t="s">
        <v>244</v>
      </c>
      <c r="AG1923" t="str">
        <f t="shared" si="33"/>
        <v>Recorrente</v>
      </c>
      <c r="AH1923" t="str">
        <f>IF(AND(SUMIF(E:E,E1923,I:I)&gt;=400000,Q1923="B2G"),"n","")</f>
        <v/>
      </c>
    </row>
    <row r="1924" spans="1:34">
      <c r="A1924">
        <v>2026</v>
      </c>
      <c r="B1924">
        <v>3</v>
      </c>
      <c r="C1924" s="83">
        <v>101813091594</v>
      </c>
      <c r="D1924" t="s">
        <v>913</v>
      </c>
      <c r="E1924">
        <v>58370092150</v>
      </c>
      <c r="F1924">
        <v>506253</v>
      </c>
      <c r="G1924">
        <v>53747184747</v>
      </c>
      <c r="H1924" t="s">
        <v>35</v>
      </c>
      <c r="I1924" s="36">
        <v>6036.24</v>
      </c>
      <c r="J1924" s="36">
        <v>6036.3</v>
      </c>
      <c r="K1924" s="85">
        <v>0</v>
      </c>
      <c r="L1924" s="36">
        <v>503.02499999999998</v>
      </c>
      <c r="M1924" s="36">
        <v>503.02499999999998</v>
      </c>
      <c r="N1924" s="36">
        <v>0</v>
      </c>
      <c r="O1924" s="36">
        <v>0</v>
      </c>
      <c r="P1924" t="s">
        <v>110</v>
      </c>
      <c r="Q1924" t="s">
        <v>111</v>
      </c>
      <c r="R1924" t="s">
        <v>111</v>
      </c>
      <c r="S1924" s="1">
        <v>46111</v>
      </c>
      <c r="T1924" s="1">
        <v>46111</v>
      </c>
      <c r="V1924" s="1">
        <v>46476</v>
      </c>
      <c r="W1924" t="s">
        <v>38</v>
      </c>
      <c r="X1924">
        <v>12</v>
      </c>
      <c r="Y1924" t="s">
        <v>49</v>
      </c>
      <c r="Z1924" t="s">
        <v>81</v>
      </c>
      <c r="AA1924" t="s">
        <v>122</v>
      </c>
      <c r="AB1924">
        <v>12</v>
      </c>
      <c r="AC1924" t="s">
        <v>113</v>
      </c>
      <c r="AD1924" t="s">
        <v>149</v>
      </c>
      <c r="AE1924" t="s">
        <v>43</v>
      </c>
      <c r="AF1924" t="s">
        <v>96</v>
      </c>
      <c r="AG1924" t="str">
        <f t="shared" si="33"/>
        <v>Recorrente</v>
      </c>
      <c r="AH1924" t="str">
        <f>IF(AND(SUMIF(E:E,E1924,I:I)&gt;=400000,Q1924="B2G"),"n","")</f>
        <v/>
      </c>
    </row>
    <row r="1925" spans="1:34">
      <c r="A1925">
        <v>2026</v>
      </c>
      <c r="B1925">
        <v>3</v>
      </c>
      <c r="C1925" s="83">
        <v>101827460255</v>
      </c>
      <c r="D1925" t="s">
        <v>1815</v>
      </c>
      <c r="E1925">
        <v>58633067021</v>
      </c>
      <c r="F1925">
        <v>508533</v>
      </c>
      <c r="G1925">
        <v>53812348810</v>
      </c>
      <c r="H1925" t="s">
        <v>35</v>
      </c>
      <c r="I1925" s="36">
        <v>7560</v>
      </c>
      <c r="J1925" s="36">
        <v>7560</v>
      </c>
      <c r="K1925" s="85">
        <v>0</v>
      </c>
      <c r="L1925" s="36">
        <v>630</v>
      </c>
      <c r="M1925" s="36">
        <v>0</v>
      </c>
      <c r="N1925" s="36">
        <v>64.92</v>
      </c>
      <c r="O1925" s="36">
        <v>565.08000000000004</v>
      </c>
      <c r="P1925" t="s">
        <v>127</v>
      </c>
      <c r="Q1925" t="s">
        <v>111</v>
      </c>
      <c r="R1925" t="s">
        <v>111</v>
      </c>
      <c r="S1925" s="1">
        <v>46112</v>
      </c>
      <c r="T1925" s="1">
        <v>46112</v>
      </c>
      <c r="U1925" s="1">
        <v>46104</v>
      </c>
      <c r="V1925" s="1">
        <v>46477</v>
      </c>
      <c r="W1925" t="s">
        <v>38</v>
      </c>
      <c r="X1925">
        <v>12</v>
      </c>
      <c r="Y1925" t="s">
        <v>49</v>
      </c>
      <c r="Z1925" t="s">
        <v>81</v>
      </c>
      <c r="AA1925" t="s">
        <v>122</v>
      </c>
      <c r="AB1925">
        <v>12</v>
      </c>
      <c r="AC1925" t="s">
        <v>113</v>
      </c>
      <c r="AD1925" t="s">
        <v>134</v>
      </c>
      <c r="AE1925" t="s">
        <v>135</v>
      </c>
      <c r="AF1925" t="s">
        <v>44</v>
      </c>
      <c r="AG1925" t="str">
        <f t="shared" si="33"/>
        <v>Recorrente</v>
      </c>
      <c r="AH1925" t="str">
        <f>IF(AND(SUMIF(E:E,E1925,I:I)&gt;=400000,Q1925="B2G"),"n","")</f>
        <v/>
      </c>
    </row>
    <row r="1926" spans="1:34">
      <c r="A1926">
        <v>2026</v>
      </c>
      <c r="B1926">
        <v>3</v>
      </c>
      <c r="C1926" s="83">
        <v>101837461143</v>
      </c>
      <c r="D1926" t="s">
        <v>1816</v>
      </c>
      <c r="E1926">
        <v>55078391341</v>
      </c>
      <c r="F1926">
        <v>529730</v>
      </c>
      <c r="G1926">
        <v>50365891342</v>
      </c>
      <c r="H1926" t="s">
        <v>35</v>
      </c>
      <c r="I1926" s="36">
        <v>9445.44</v>
      </c>
      <c r="J1926" s="36">
        <v>9445.44</v>
      </c>
      <c r="K1926" s="85">
        <v>0</v>
      </c>
      <c r="L1926" s="36">
        <v>787.12</v>
      </c>
      <c r="M1926" s="36">
        <v>0</v>
      </c>
      <c r="N1926" s="36">
        <v>176.655</v>
      </c>
      <c r="O1926" s="36">
        <v>610.47</v>
      </c>
      <c r="P1926" t="s">
        <v>165</v>
      </c>
      <c r="Q1926" t="s">
        <v>166</v>
      </c>
      <c r="R1926" t="s">
        <v>166</v>
      </c>
      <c r="S1926" s="1">
        <v>46097</v>
      </c>
      <c r="T1926" s="1">
        <v>46097</v>
      </c>
      <c r="U1926" s="1">
        <v>46097</v>
      </c>
      <c r="V1926" s="1">
        <v>46462</v>
      </c>
      <c r="W1926" t="s">
        <v>38</v>
      </c>
      <c r="X1926">
        <v>12</v>
      </c>
      <c r="Y1926" t="s">
        <v>49</v>
      </c>
      <c r="Z1926" t="s">
        <v>81</v>
      </c>
      <c r="AA1926" t="s">
        <v>122</v>
      </c>
      <c r="AB1926">
        <v>12</v>
      </c>
      <c r="AC1926" t="s">
        <v>166</v>
      </c>
      <c r="AD1926" t="s">
        <v>146</v>
      </c>
      <c r="AE1926" t="s">
        <v>135</v>
      </c>
      <c r="AF1926" t="s">
        <v>96</v>
      </c>
      <c r="AG1926" t="str">
        <f t="shared" si="33"/>
        <v>Recorrente</v>
      </c>
      <c r="AH1926" t="str">
        <f>IF(AND(SUMIF(E:E,E1926,I:I)&gt;=400000,Q1926="B2G"),"n","")</f>
        <v/>
      </c>
    </row>
    <row r="1927" spans="1:34">
      <c r="A1927">
        <v>2026</v>
      </c>
      <c r="B1927">
        <v>3</v>
      </c>
      <c r="C1927" s="83">
        <v>101838717441</v>
      </c>
      <c r="D1927" t="s">
        <v>1817</v>
      </c>
      <c r="E1927">
        <v>55392774068</v>
      </c>
      <c r="F1927">
        <v>611321</v>
      </c>
      <c r="G1927">
        <v>53409799690</v>
      </c>
      <c r="H1927" t="s">
        <v>35</v>
      </c>
      <c r="I1927" s="36">
        <v>2730.24</v>
      </c>
      <c r="J1927" s="36">
        <v>2730.24</v>
      </c>
      <c r="K1927" s="85">
        <v>0</v>
      </c>
      <c r="L1927" s="36">
        <v>227.52</v>
      </c>
      <c r="M1927" s="36">
        <v>0</v>
      </c>
      <c r="N1927" s="36">
        <v>24.375</v>
      </c>
      <c r="O1927" s="36">
        <v>203.15</v>
      </c>
      <c r="P1927" t="s">
        <v>121</v>
      </c>
      <c r="Q1927" t="s">
        <v>111</v>
      </c>
      <c r="R1927" t="s">
        <v>111</v>
      </c>
      <c r="S1927" s="1">
        <v>46105</v>
      </c>
      <c r="T1927" s="1">
        <v>46105</v>
      </c>
      <c r="U1927" s="1">
        <v>46099</v>
      </c>
      <c r="V1927" s="1">
        <v>46470</v>
      </c>
      <c r="W1927" t="s">
        <v>38</v>
      </c>
      <c r="X1927">
        <v>12</v>
      </c>
      <c r="Y1927" t="s">
        <v>49</v>
      </c>
      <c r="Z1927" t="s">
        <v>76</v>
      </c>
      <c r="AA1927" t="s">
        <v>122</v>
      </c>
      <c r="AB1927">
        <v>12</v>
      </c>
      <c r="AC1927" t="s">
        <v>113</v>
      </c>
      <c r="AD1927" t="s">
        <v>140</v>
      </c>
      <c r="AE1927" t="s">
        <v>46</v>
      </c>
      <c r="AF1927" t="s">
        <v>119</v>
      </c>
      <c r="AG1927" t="str">
        <f t="shared" si="33"/>
        <v>Recorrente</v>
      </c>
      <c r="AH1927" t="str">
        <f>IF(AND(SUMIF(E:E,E1927,I:I)&gt;=400000,Q1927="B2G"),"n","")</f>
        <v/>
      </c>
    </row>
    <row r="1928" spans="1:34">
      <c r="A1928">
        <v>2026</v>
      </c>
      <c r="B1928">
        <v>3</v>
      </c>
      <c r="C1928" s="83">
        <v>101985125980</v>
      </c>
      <c r="D1928" t="s">
        <v>1818</v>
      </c>
      <c r="E1928">
        <v>55698087594</v>
      </c>
      <c r="F1928">
        <v>611233</v>
      </c>
      <c r="G1928">
        <v>51034977176</v>
      </c>
      <c r="H1928" t="s">
        <v>35</v>
      </c>
      <c r="I1928" s="36">
        <v>5718.6</v>
      </c>
      <c r="J1928" s="36">
        <v>5718.6</v>
      </c>
      <c r="K1928" s="85">
        <v>0</v>
      </c>
      <c r="L1928" s="36">
        <v>476.55</v>
      </c>
      <c r="M1928" s="36">
        <v>0</v>
      </c>
      <c r="N1928" s="36">
        <v>163.66999999999999</v>
      </c>
      <c r="O1928" s="36">
        <v>312.88</v>
      </c>
      <c r="P1928" t="s">
        <v>165</v>
      </c>
      <c r="Q1928" t="s">
        <v>166</v>
      </c>
      <c r="R1928" t="s">
        <v>166</v>
      </c>
      <c r="S1928" s="1">
        <v>46105</v>
      </c>
      <c r="T1928" s="1">
        <v>46105</v>
      </c>
      <c r="U1928" s="1">
        <v>46105</v>
      </c>
      <c r="V1928" s="1">
        <v>46470</v>
      </c>
      <c r="W1928" t="s">
        <v>38</v>
      </c>
      <c r="X1928">
        <v>12</v>
      </c>
      <c r="Y1928" t="s">
        <v>49</v>
      </c>
      <c r="Z1928" t="s">
        <v>81</v>
      </c>
      <c r="AA1928" t="s">
        <v>122</v>
      </c>
      <c r="AB1928">
        <v>12</v>
      </c>
      <c r="AC1928" t="s">
        <v>166</v>
      </c>
      <c r="AD1928" t="s">
        <v>149</v>
      </c>
      <c r="AE1928" t="s">
        <v>43</v>
      </c>
      <c r="AF1928" t="s">
        <v>96</v>
      </c>
      <c r="AG1928" t="str">
        <f t="shared" si="33"/>
        <v>Recorrente</v>
      </c>
      <c r="AH1928" t="str">
        <f>IF(AND(SUMIF(E:E,E1928,I:I)&gt;=400000,Q1928="B2G"),"n","")</f>
        <v/>
      </c>
    </row>
    <row r="1929" spans="1:34">
      <c r="A1929">
        <v>2026</v>
      </c>
      <c r="B1929">
        <v>3</v>
      </c>
      <c r="C1929" s="83">
        <v>101986117174</v>
      </c>
      <c r="D1929" t="s">
        <v>915</v>
      </c>
      <c r="E1929">
        <v>58636274768</v>
      </c>
      <c r="F1929">
        <v>626868</v>
      </c>
      <c r="G1929">
        <v>53812379816</v>
      </c>
      <c r="H1929" t="s">
        <v>35</v>
      </c>
      <c r="I1929" s="36">
        <v>2154.7199999999998</v>
      </c>
      <c r="J1929" s="36">
        <v>2377.8000000000002</v>
      </c>
      <c r="K1929" s="85">
        <v>0</v>
      </c>
      <c r="L1929" s="36">
        <v>198.15</v>
      </c>
      <c r="M1929" s="36">
        <v>0</v>
      </c>
      <c r="N1929" s="36">
        <v>198.15</v>
      </c>
      <c r="O1929" s="36">
        <v>0</v>
      </c>
      <c r="P1929" t="s">
        <v>804</v>
      </c>
      <c r="Q1929" t="s">
        <v>191</v>
      </c>
      <c r="R1929" t="s">
        <v>191</v>
      </c>
      <c r="S1929" s="1">
        <v>46112</v>
      </c>
      <c r="T1929" s="1">
        <v>46112</v>
      </c>
      <c r="U1929" s="1">
        <v>46443</v>
      </c>
      <c r="V1929" s="1">
        <v>46443</v>
      </c>
      <c r="W1929" t="s">
        <v>38</v>
      </c>
      <c r="X1929">
        <v>11</v>
      </c>
      <c r="Y1929" t="s">
        <v>49</v>
      </c>
      <c r="Z1929" t="s">
        <v>324</v>
      </c>
      <c r="AA1929" t="s">
        <v>122</v>
      </c>
      <c r="AB1929">
        <v>10</v>
      </c>
      <c r="AC1929" t="s">
        <v>192</v>
      </c>
      <c r="AD1929" t="s">
        <v>138</v>
      </c>
      <c r="AE1929" t="s">
        <v>135</v>
      </c>
      <c r="AF1929" t="s">
        <v>119</v>
      </c>
      <c r="AG1929" t="str">
        <f t="shared" si="33"/>
        <v>Recorrente</v>
      </c>
      <c r="AH1929" t="str">
        <f>IF(AND(SUMIF(E:E,E1929,I:I)&gt;=400000,Q1929="B2G"),"n","")</f>
        <v/>
      </c>
    </row>
    <row r="1930" spans="1:34">
      <c r="A1930">
        <v>2026</v>
      </c>
      <c r="B1930">
        <v>3</v>
      </c>
      <c r="C1930" s="83">
        <v>102033254999</v>
      </c>
      <c r="D1930" t="s">
        <v>1819</v>
      </c>
      <c r="E1930">
        <v>54626729592</v>
      </c>
      <c r="F1930">
        <v>611215</v>
      </c>
      <c r="G1930">
        <v>49957977641</v>
      </c>
      <c r="H1930" t="s">
        <v>35</v>
      </c>
      <c r="I1930" s="36">
        <v>2874</v>
      </c>
      <c r="J1930" s="36">
        <v>2874</v>
      </c>
      <c r="K1930" s="85">
        <v>0</v>
      </c>
      <c r="L1930" s="36">
        <v>239.5</v>
      </c>
      <c r="M1930" s="36">
        <v>0</v>
      </c>
      <c r="N1930" s="36">
        <v>35.159999999999997</v>
      </c>
      <c r="O1930" s="36">
        <v>204.34</v>
      </c>
      <c r="P1930" t="s">
        <v>165</v>
      </c>
      <c r="Q1930" t="s">
        <v>166</v>
      </c>
      <c r="R1930" t="s">
        <v>166</v>
      </c>
      <c r="S1930" s="1">
        <v>46094</v>
      </c>
      <c r="T1930" s="1">
        <v>46094</v>
      </c>
      <c r="U1930" s="1">
        <v>46094</v>
      </c>
      <c r="V1930" s="1">
        <v>46459</v>
      </c>
      <c r="W1930" t="s">
        <v>38</v>
      </c>
      <c r="X1930">
        <v>12</v>
      </c>
      <c r="Y1930" t="s">
        <v>49</v>
      </c>
      <c r="Z1930" t="s">
        <v>81</v>
      </c>
      <c r="AA1930" t="s">
        <v>92</v>
      </c>
      <c r="AB1930">
        <v>1</v>
      </c>
      <c r="AC1930" t="s">
        <v>166</v>
      </c>
      <c r="AD1930" t="s">
        <v>140</v>
      </c>
      <c r="AE1930" t="s">
        <v>46</v>
      </c>
      <c r="AF1930" t="s">
        <v>119</v>
      </c>
      <c r="AG1930" t="str">
        <f t="shared" si="33"/>
        <v>Recorrente</v>
      </c>
      <c r="AH1930" t="str">
        <f>IF(AND(SUMIF(E:E,E1930,I:I)&gt;=400000,Q1930="B2G"),"n","")</f>
        <v/>
      </c>
    </row>
    <row r="1931" spans="1:34">
      <c r="A1931">
        <v>2026</v>
      </c>
      <c r="B1931">
        <v>3</v>
      </c>
      <c r="C1931" s="83">
        <v>102281048576</v>
      </c>
      <c r="D1931" t="s">
        <v>1820</v>
      </c>
      <c r="E1931">
        <v>57451850151</v>
      </c>
      <c r="F1931">
        <v>506391</v>
      </c>
      <c r="G1931">
        <v>52599356467</v>
      </c>
      <c r="H1931" t="s">
        <v>35</v>
      </c>
      <c r="I1931" s="36">
        <v>6547.8</v>
      </c>
      <c r="J1931" s="36">
        <v>6547.8</v>
      </c>
      <c r="K1931" s="85">
        <v>9.0949500000000005E-13</v>
      </c>
      <c r="L1931" s="36">
        <v>545.65</v>
      </c>
      <c r="M1931" s="36">
        <v>545.65</v>
      </c>
      <c r="N1931" s="36">
        <v>0</v>
      </c>
      <c r="O1931" s="36">
        <v>0</v>
      </c>
      <c r="P1931" t="s">
        <v>133</v>
      </c>
      <c r="Q1931" t="s">
        <v>111</v>
      </c>
      <c r="R1931" t="s">
        <v>111</v>
      </c>
      <c r="S1931" s="1">
        <v>46090</v>
      </c>
      <c r="T1931" s="1">
        <v>46090</v>
      </c>
      <c r="U1931" s="1">
        <v>46082</v>
      </c>
      <c r="V1931" s="1">
        <v>46455</v>
      </c>
      <c r="W1931" t="s">
        <v>38</v>
      </c>
      <c r="X1931">
        <v>12</v>
      </c>
      <c r="Y1931" t="s">
        <v>49</v>
      </c>
      <c r="Z1931" t="s">
        <v>81</v>
      </c>
      <c r="AA1931" t="s">
        <v>122</v>
      </c>
      <c r="AB1931">
        <v>12</v>
      </c>
      <c r="AC1931" t="s">
        <v>113</v>
      </c>
      <c r="AD1931" t="s">
        <v>134</v>
      </c>
      <c r="AE1931" t="s">
        <v>135</v>
      </c>
      <c r="AF1931" t="s">
        <v>44</v>
      </c>
      <c r="AG1931" t="str">
        <f t="shared" si="33"/>
        <v>Recorrente</v>
      </c>
      <c r="AH1931" t="str">
        <f>IF(AND(SUMIF(E:E,E1931,I:I)&gt;=400000,Q1931="B2G"),"n","")</f>
        <v/>
      </c>
    </row>
    <row r="1932" spans="1:34">
      <c r="A1932">
        <v>2026</v>
      </c>
      <c r="B1932">
        <v>3</v>
      </c>
      <c r="C1932" s="83">
        <v>102347509103</v>
      </c>
      <c r="D1932" t="s">
        <v>1821</v>
      </c>
      <c r="E1932">
        <v>55041737506</v>
      </c>
      <c r="F1932">
        <v>506675</v>
      </c>
      <c r="G1932">
        <v>52603118220</v>
      </c>
      <c r="H1932" t="s">
        <v>35</v>
      </c>
      <c r="I1932" s="36">
        <v>7553.4</v>
      </c>
      <c r="J1932" s="36">
        <v>7553.4</v>
      </c>
      <c r="K1932" s="85">
        <v>0</v>
      </c>
      <c r="L1932" s="36">
        <v>629.45000000000005</v>
      </c>
      <c r="M1932" s="36">
        <v>0</v>
      </c>
      <c r="N1932" s="36">
        <v>75.2</v>
      </c>
      <c r="O1932" s="36">
        <v>554.25</v>
      </c>
      <c r="P1932" t="s">
        <v>162</v>
      </c>
      <c r="Q1932" t="s">
        <v>111</v>
      </c>
      <c r="R1932" t="s">
        <v>111</v>
      </c>
      <c r="S1932" s="1">
        <v>46084</v>
      </c>
      <c r="T1932" s="1">
        <v>46084</v>
      </c>
      <c r="U1932" s="1">
        <v>46082</v>
      </c>
      <c r="V1932" s="1">
        <v>46449</v>
      </c>
      <c r="W1932" t="s">
        <v>38</v>
      </c>
      <c r="X1932">
        <v>12</v>
      </c>
      <c r="Y1932" t="s">
        <v>49</v>
      </c>
      <c r="Z1932" t="s">
        <v>81</v>
      </c>
      <c r="AA1932" t="s">
        <v>122</v>
      </c>
      <c r="AB1932">
        <v>12</v>
      </c>
      <c r="AC1932" t="s">
        <v>113</v>
      </c>
      <c r="AD1932" t="s">
        <v>134</v>
      </c>
      <c r="AE1932" t="s">
        <v>135</v>
      </c>
      <c r="AF1932" t="s">
        <v>44</v>
      </c>
      <c r="AG1932" t="str">
        <f t="shared" si="33"/>
        <v>Recorrente</v>
      </c>
      <c r="AH1932" t="str">
        <f>IF(AND(SUMIF(E:E,E1932,I:I)&gt;=400000,Q1932="B2G"),"n","")</f>
        <v/>
      </c>
    </row>
    <row r="1933" spans="1:34">
      <c r="A1933">
        <v>2026</v>
      </c>
      <c r="B1933">
        <v>3</v>
      </c>
      <c r="C1933" s="83">
        <v>102837819940</v>
      </c>
      <c r="D1933" t="s">
        <v>1822</v>
      </c>
      <c r="E1933">
        <v>56749171544</v>
      </c>
      <c r="F1933">
        <v>636797</v>
      </c>
      <c r="G1933">
        <v>53748084351</v>
      </c>
      <c r="H1933" t="s">
        <v>35</v>
      </c>
      <c r="I1933" s="36">
        <v>2874</v>
      </c>
      <c r="J1933" s="36">
        <v>2874</v>
      </c>
      <c r="K1933" s="85">
        <v>0</v>
      </c>
      <c r="L1933" s="36">
        <v>239.5</v>
      </c>
      <c r="M1933" s="36">
        <v>239.5</v>
      </c>
      <c r="N1933" s="36">
        <v>0</v>
      </c>
      <c r="O1933" s="36">
        <v>0</v>
      </c>
      <c r="P1933" t="s">
        <v>511</v>
      </c>
      <c r="Q1933" t="s">
        <v>300</v>
      </c>
      <c r="R1933" t="s">
        <v>300</v>
      </c>
      <c r="S1933" s="1">
        <v>46112</v>
      </c>
      <c r="T1933" s="1">
        <v>46112</v>
      </c>
      <c r="U1933" s="1"/>
      <c r="V1933" s="1">
        <v>46477</v>
      </c>
      <c r="W1933" t="s">
        <v>38</v>
      </c>
      <c r="X1933">
        <v>12</v>
      </c>
      <c r="Y1933" t="s">
        <v>49</v>
      </c>
      <c r="AA1933" t="s">
        <v>122</v>
      </c>
      <c r="AB1933">
        <v>12</v>
      </c>
      <c r="AC1933" t="s">
        <v>301</v>
      </c>
      <c r="AD1933" t="s">
        <v>118</v>
      </c>
      <c r="AE1933" t="s">
        <v>43</v>
      </c>
      <c r="AF1933" t="s">
        <v>119</v>
      </c>
      <c r="AG1933" t="str">
        <f t="shared" si="33"/>
        <v>Recorrente</v>
      </c>
      <c r="AH1933" t="str">
        <f>IF(AND(SUMIF(E:E,E1933,I:I)&gt;=400000,Q1933="B2G"),"n","")</f>
        <v/>
      </c>
    </row>
    <row r="1934" spans="1:34">
      <c r="A1934">
        <v>2026</v>
      </c>
      <c r="B1934">
        <v>3</v>
      </c>
      <c r="C1934" s="83">
        <v>102887852033</v>
      </c>
      <c r="D1934" t="s">
        <v>1823</v>
      </c>
      <c r="E1934">
        <v>55949301578</v>
      </c>
      <c r="F1934">
        <v>636382</v>
      </c>
      <c r="G1934">
        <v>52868510371</v>
      </c>
      <c r="H1934" t="s">
        <v>35</v>
      </c>
      <c r="I1934" s="36">
        <v>3020.4</v>
      </c>
      <c r="J1934" s="36">
        <v>3020.4</v>
      </c>
      <c r="K1934" s="85">
        <v>4.5474699999999999E-13</v>
      </c>
      <c r="L1934" s="36">
        <v>251.7</v>
      </c>
      <c r="M1934" s="36">
        <v>251.7</v>
      </c>
      <c r="N1934" s="36">
        <v>0</v>
      </c>
      <c r="O1934" s="36">
        <v>0</v>
      </c>
      <c r="P1934" t="s">
        <v>829</v>
      </c>
      <c r="Q1934" t="s">
        <v>300</v>
      </c>
      <c r="R1934" t="s">
        <v>80</v>
      </c>
      <c r="S1934" s="1">
        <v>46087</v>
      </c>
      <c r="T1934" s="1">
        <v>46087</v>
      </c>
      <c r="V1934" s="1">
        <v>46452</v>
      </c>
      <c r="W1934" t="s">
        <v>38</v>
      </c>
      <c r="X1934">
        <v>12</v>
      </c>
      <c r="Y1934" t="s">
        <v>49</v>
      </c>
      <c r="AA1934" t="s">
        <v>122</v>
      </c>
      <c r="AB1934">
        <v>12</v>
      </c>
      <c r="AC1934" t="s">
        <v>495</v>
      </c>
      <c r="AD1934" t="s">
        <v>84</v>
      </c>
      <c r="AE1934" t="s">
        <v>43</v>
      </c>
      <c r="AF1934" t="s">
        <v>44</v>
      </c>
      <c r="AG1934" t="str">
        <f t="shared" si="33"/>
        <v>Recorrente</v>
      </c>
      <c r="AH1934" t="str">
        <f>IF(AND(SUMIF(E:E,E1934,I:I)&gt;=400000,Q1934="B2G"),"n","")</f>
        <v/>
      </c>
    </row>
    <row r="1935" spans="1:34">
      <c r="A1935">
        <v>2026</v>
      </c>
      <c r="B1935">
        <v>3</v>
      </c>
      <c r="C1935" s="83">
        <v>102921657919</v>
      </c>
      <c r="D1935" t="s">
        <v>1824</v>
      </c>
      <c r="E1935">
        <v>57841896787</v>
      </c>
      <c r="F1935">
        <v>278471</v>
      </c>
      <c r="G1935">
        <v>53090577336</v>
      </c>
      <c r="H1935" t="s">
        <v>35</v>
      </c>
      <c r="I1935" s="36">
        <v>5210.28</v>
      </c>
      <c r="J1935" s="36">
        <v>5210.28</v>
      </c>
      <c r="K1935" s="85">
        <v>0</v>
      </c>
      <c r="L1935" s="36">
        <v>434.19</v>
      </c>
      <c r="M1935" s="36">
        <v>0</v>
      </c>
      <c r="N1935" s="36">
        <v>30</v>
      </c>
      <c r="O1935" s="36">
        <v>404.19</v>
      </c>
      <c r="P1935" t="s">
        <v>110</v>
      </c>
      <c r="Q1935" t="s">
        <v>111</v>
      </c>
      <c r="R1935" t="s">
        <v>111</v>
      </c>
      <c r="S1935" s="1">
        <v>46091</v>
      </c>
      <c r="T1935" s="1">
        <v>46091</v>
      </c>
      <c r="U1935" s="1">
        <v>46090</v>
      </c>
      <c r="V1935" s="1">
        <v>46456</v>
      </c>
      <c r="W1935" t="s">
        <v>38</v>
      </c>
      <c r="X1935">
        <v>12</v>
      </c>
      <c r="Y1935" t="s">
        <v>49</v>
      </c>
      <c r="Z1935" t="s">
        <v>81</v>
      </c>
      <c r="AA1935" t="s">
        <v>122</v>
      </c>
      <c r="AB1935">
        <v>12</v>
      </c>
      <c r="AC1935" t="s">
        <v>113</v>
      </c>
      <c r="AD1935" t="s">
        <v>158</v>
      </c>
      <c r="AE1935" t="s">
        <v>43</v>
      </c>
      <c r="AF1935" t="s">
        <v>47</v>
      </c>
      <c r="AG1935" t="str">
        <f t="shared" si="33"/>
        <v>Recorrente</v>
      </c>
      <c r="AH1935" t="str">
        <f>IF(AND(SUMIF(E:E,E1935,I:I)&gt;=400000,Q1935="B2G"),"n","")</f>
        <v/>
      </c>
    </row>
    <row r="1936" spans="1:34">
      <c r="A1936">
        <v>2026</v>
      </c>
      <c r="B1936">
        <v>3</v>
      </c>
      <c r="C1936" s="83">
        <v>103217441409</v>
      </c>
      <c r="D1936" t="s">
        <v>1825</v>
      </c>
      <c r="E1936">
        <v>55947281255</v>
      </c>
      <c r="F1936">
        <v>627451</v>
      </c>
      <c r="G1936">
        <v>51251249675</v>
      </c>
      <c r="H1936" t="s">
        <v>35</v>
      </c>
      <c r="I1936" s="36">
        <v>2874</v>
      </c>
      <c r="J1936" s="36">
        <v>2874</v>
      </c>
      <c r="K1936" s="85">
        <v>0</v>
      </c>
      <c r="L1936" s="36">
        <v>239.5</v>
      </c>
      <c r="M1936" s="36">
        <v>0</v>
      </c>
      <c r="N1936" s="36">
        <v>36.35</v>
      </c>
      <c r="O1936" s="36">
        <v>203.15</v>
      </c>
      <c r="P1936" t="s">
        <v>165</v>
      </c>
      <c r="Q1936" t="s">
        <v>166</v>
      </c>
      <c r="R1936" t="s">
        <v>166</v>
      </c>
      <c r="S1936" s="1">
        <v>46098</v>
      </c>
      <c r="T1936" s="1">
        <v>46098</v>
      </c>
      <c r="U1936" s="1">
        <v>46098</v>
      </c>
      <c r="V1936" s="1">
        <v>46463</v>
      </c>
      <c r="W1936" t="s">
        <v>38</v>
      </c>
      <c r="X1936">
        <v>12</v>
      </c>
      <c r="Y1936" t="s">
        <v>49</v>
      </c>
      <c r="Z1936" t="s">
        <v>81</v>
      </c>
      <c r="AA1936" t="s">
        <v>92</v>
      </c>
      <c r="AB1936">
        <v>1</v>
      </c>
      <c r="AC1936" t="s">
        <v>166</v>
      </c>
      <c r="AD1936" t="s">
        <v>118</v>
      </c>
      <c r="AE1936" t="s">
        <v>43</v>
      </c>
      <c r="AF1936" t="s">
        <v>119</v>
      </c>
      <c r="AG1936" t="str">
        <f t="shared" si="33"/>
        <v>Recorrente</v>
      </c>
      <c r="AH1936" t="str">
        <f>IF(AND(SUMIF(E:E,E1936,I:I)&gt;=400000,Q1936="B2G"),"n","")</f>
        <v/>
      </c>
    </row>
    <row r="1937" spans="1:34">
      <c r="A1937">
        <v>2026</v>
      </c>
      <c r="B1937">
        <v>3</v>
      </c>
      <c r="C1937" s="83">
        <v>103870777772</v>
      </c>
      <c r="D1937" t="s">
        <v>1826</v>
      </c>
      <c r="E1937">
        <v>54025208408</v>
      </c>
      <c r="F1937">
        <v>627088</v>
      </c>
      <c r="G1937">
        <v>49463050102</v>
      </c>
      <c r="H1937" t="s">
        <v>35</v>
      </c>
      <c r="I1937" s="36">
        <v>2874</v>
      </c>
      <c r="J1937" s="36">
        <v>2874</v>
      </c>
      <c r="K1937" s="85">
        <v>0</v>
      </c>
      <c r="L1937" s="36">
        <v>239.5</v>
      </c>
      <c r="M1937" s="36">
        <v>0</v>
      </c>
      <c r="N1937" s="36">
        <v>0.5</v>
      </c>
      <c r="O1937" s="36">
        <v>239</v>
      </c>
      <c r="P1937" t="s">
        <v>165</v>
      </c>
      <c r="Q1937" t="s">
        <v>166</v>
      </c>
      <c r="R1937" t="s">
        <v>166</v>
      </c>
      <c r="S1937" s="1">
        <v>46085</v>
      </c>
      <c r="T1937" s="1">
        <v>46085</v>
      </c>
      <c r="U1937" s="1">
        <v>46085</v>
      </c>
      <c r="V1937" s="1">
        <v>46450</v>
      </c>
      <c r="W1937" t="s">
        <v>38</v>
      </c>
      <c r="X1937">
        <v>12</v>
      </c>
      <c r="Y1937" t="s">
        <v>49</v>
      </c>
      <c r="Z1937" t="s">
        <v>81</v>
      </c>
      <c r="AA1937" t="s">
        <v>112</v>
      </c>
      <c r="AB1937">
        <v>12</v>
      </c>
      <c r="AC1937" t="s">
        <v>166</v>
      </c>
      <c r="AD1937" t="s">
        <v>118</v>
      </c>
      <c r="AE1937" t="s">
        <v>43</v>
      </c>
      <c r="AF1937" t="s">
        <v>119</v>
      </c>
      <c r="AG1937" t="str">
        <f t="shared" si="33"/>
        <v>CC 12x</v>
      </c>
      <c r="AH1937" t="str">
        <f>IF(AND(SUMIF(E:E,E1937,I:I)&gt;=400000,Q1937="B2G"),"n","")</f>
        <v/>
      </c>
    </row>
    <row r="1938" spans="1:34">
      <c r="A1938">
        <v>2026</v>
      </c>
      <c r="B1938">
        <v>3</v>
      </c>
      <c r="C1938" s="83">
        <v>103907892108</v>
      </c>
      <c r="D1938" t="s">
        <v>1827</v>
      </c>
      <c r="E1938">
        <v>57134490977</v>
      </c>
      <c r="F1938">
        <v>627620</v>
      </c>
      <c r="G1938">
        <v>52472068275</v>
      </c>
      <c r="H1938" t="s">
        <v>35</v>
      </c>
      <c r="I1938" s="36">
        <v>2875.44</v>
      </c>
      <c r="J1938" s="36">
        <v>2875.44</v>
      </c>
      <c r="K1938" s="85">
        <v>0</v>
      </c>
      <c r="L1938" s="36">
        <v>239.62</v>
      </c>
      <c r="M1938" s="36">
        <v>0</v>
      </c>
      <c r="N1938" s="36">
        <v>45.924999999999997</v>
      </c>
      <c r="O1938" s="36">
        <v>193.7</v>
      </c>
      <c r="P1938" t="s">
        <v>165</v>
      </c>
      <c r="Q1938" t="s">
        <v>166</v>
      </c>
      <c r="R1938" t="s">
        <v>166</v>
      </c>
      <c r="S1938" s="1">
        <v>46102</v>
      </c>
      <c r="T1938" s="1">
        <v>46102</v>
      </c>
      <c r="U1938" s="1">
        <v>46102</v>
      </c>
      <c r="V1938" s="1">
        <v>46467</v>
      </c>
      <c r="W1938" t="s">
        <v>38</v>
      </c>
      <c r="X1938">
        <v>12</v>
      </c>
      <c r="Y1938" t="s">
        <v>49</v>
      </c>
      <c r="Z1938" t="s">
        <v>81</v>
      </c>
      <c r="AA1938" t="s">
        <v>112</v>
      </c>
      <c r="AB1938">
        <v>3</v>
      </c>
      <c r="AC1938" t="s">
        <v>166</v>
      </c>
      <c r="AD1938" t="s">
        <v>142</v>
      </c>
      <c r="AE1938" t="s">
        <v>95</v>
      </c>
      <c r="AF1938" t="s">
        <v>44</v>
      </c>
      <c r="AG1938" t="str">
        <f t="shared" si="33"/>
        <v>CC 3x</v>
      </c>
      <c r="AH1938" t="str">
        <f>IF(AND(SUMIF(E:E,E1938,I:I)&gt;=400000,Q1938="B2G"),"n","")</f>
        <v/>
      </c>
    </row>
    <row r="1939" spans="1:34">
      <c r="A1939">
        <v>2026</v>
      </c>
      <c r="B1939">
        <v>3</v>
      </c>
      <c r="C1939" s="83">
        <v>103918360126</v>
      </c>
      <c r="D1939" t="s">
        <v>1828</v>
      </c>
      <c r="E1939">
        <v>54328509459</v>
      </c>
      <c r="F1939">
        <v>507082</v>
      </c>
      <c r="G1939">
        <v>49625555791</v>
      </c>
      <c r="H1939" t="s">
        <v>35</v>
      </c>
      <c r="I1939" s="36">
        <v>4962.6000000000004</v>
      </c>
      <c r="J1939" s="36">
        <v>4962.6000000000004</v>
      </c>
      <c r="K1939" s="85">
        <v>0</v>
      </c>
      <c r="L1939" s="36">
        <v>413.55</v>
      </c>
      <c r="M1939" s="36">
        <v>0</v>
      </c>
      <c r="N1939" s="36">
        <v>84.57</v>
      </c>
      <c r="O1939" s="36">
        <v>328.98</v>
      </c>
      <c r="P1939" t="s">
        <v>165</v>
      </c>
      <c r="Q1939" t="s">
        <v>166</v>
      </c>
      <c r="R1939" t="s">
        <v>166</v>
      </c>
      <c r="S1939" s="1">
        <v>46089</v>
      </c>
      <c r="T1939" s="1">
        <v>46089</v>
      </c>
      <c r="U1939" s="1">
        <v>46089</v>
      </c>
      <c r="V1939" s="1">
        <v>46454</v>
      </c>
      <c r="W1939" t="s">
        <v>38</v>
      </c>
      <c r="X1939">
        <v>12</v>
      </c>
      <c r="Y1939" t="s">
        <v>49</v>
      </c>
      <c r="Z1939" t="s">
        <v>81</v>
      </c>
      <c r="AA1939" t="s">
        <v>122</v>
      </c>
      <c r="AB1939">
        <v>12</v>
      </c>
      <c r="AC1939" t="s">
        <v>166</v>
      </c>
      <c r="AD1939" t="s">
        <v>138</v>
      </c>
      <c r="AE1939" t="s">
        <v>135</v>
      </c>
      <c r="AF1939" t="s">
        <v>119</v>
      </c>
      <c r="AG1939" t="str">
        <f t="shared" si="33"/>
        <v>Recorrente</v>
      </c>
      <c r="AH1939" t="str">
        <f>IF(AND(SUMIF(E:E,E1939,I:I)&gt;=400000,Q1939="B2G"),"n","")</f>
        <v/>
      </c>
    </row>
    <row r="1940" spans="1:34">
      <c r="A1940">
        <v>2026</v>
      </c>
      <c r="B1940">
        <v>3</v>
      </c>
      <c r="C1940" s="83">
        <v>104018555224</v>
      </c>
      <c r="D1940" t="s">
        <v>1829</v>
      </c>
      <c r="E1940">
        <v>58382974282</v>
      </c>
      <c r="F1940">
        <v>611463</v>
      </c>
      <c r="G1940">
        <v>53601938825</v>
      </c>
      <c r="H1940" t="s">
        <v>35</v>
      </c>
      <c r="I1940" s="36">
        <v>6036.24</v>
      </c>
      <c r="J1940" s="36">
        <v>6036.24</v>
      </c>
      <c r="K1940" s="85">
        <v>0</v>
      </c>
      <c r="L1940" s="36">
        <v>503.02</v>
      </c>
      <c r="M1940" s="36">
        <v>0</v>
      </c>
      <c r="N1940" s="36">
        <v>152.34</v>
      </c>
      <c r="O1940" s="36">
        <v>350.685</v>
      </c>
      <c r="P1940" t="s">
        <v>162</v>
      </c>
      <c r="Q1940" t="s">
        <v>111</v>
      </c>
      <c r="R1940" t="s">
        <v>111</v>
      </c>
      <c r="S1940" s="1">
        <v>46108</v>
      </c>
      <c r="T1940" s="1">
        <v>46108</v>
      </c>
      <c r="U1940" s="1">
        <v>46107</v>
      </c>
      <c r="V1940" s="1">
        <v>46473</v>
      </c>
      <c r="W1940" t="s">
        <v>38</v>
      </c>
      <c r="X1940">
        <v>12</v>
      </c>
      <c r="Y1940" t="s">
        <v>49</v>
      </c>
      <c r="Z1940" t="s">
        <v>81</v>
      </c>
      <c r="AA1940" t="s">
        <v>122</v>
      </c>
      <c r="AB1940">
        <v>12</v>
      </c>
      <c r="AC1940" t="s">
        <v>113</v>
      </c>
      <c r="AD1940" t="s">
        <v>149</v>
      </c>
      <c r="AE1940" t="s">
        <v>43</v>
      </c>
      <c r="AF1940" t="s">
        <v>96</v>
      </c>
      <c r="AG1940" t="str">
        <f t="shared" si="33"/>
        <v>Recorrente</v>
      </c>
      <c r="AH1940" t="str">
        <f>IF(AND(SUMIF(E:E,E1940,I:I)&gt;=400000,Q1940="B2G"),"n","")</f>
        <v/>
      </c>
    </row>
    <row r="1941" spans="1:34">
      <c r="A1941">
        <v>2026</v>
      </c>
      <c r="B1941">
        <v>3</v>
      </c>
      <c r="C1941" s="83">
        <v>104018555224</v>
      </c>
      <c r="D1941" t="s">
        <v>1829</v>
      </c>
      <c r="E1941">
        <v>58382974282</v>
      </c>
      <c r="F1941">
        <v>611463</v>
      </c>
      <c r="G1941">
        <v>53601938826</v>
      </c>
      <c r="H1941" t="s">
        <v>35</v>
      </c>
      <c r="I1941" s="36">
        <v>6036.24</v>
      </c>
      <c r="J1941" s="36">
        <v>6036.24</v>
      </c>
      <c r="K1941" s="85">
        <v>0</v>
      </c>
      <c r="L1941" s="36">
        <v>503.02</v>
      </c>
      <c r="M1941" s="36">
        <v>0</v>
      </c>
      <c r="N1941" s="36">
        <v>152.34</v>
      </c>
      <c r="O1941" s="36">
        <v>350.685</v>
      </c>
      <c r="P1941" t="s">
        <v>162</v>
      </c>
      <c r="Q1941" t="s">
        <v>111</v>
      </c>
      <c r="R1941" t="s">
        <v>111</v>
      </c>
      <c r="S1941" s="1">
        <v>46108</v>
      </c>
      <c r="T1941" s="1">
        <v>46108</v>
      </c>
      <c r="U1941" s="1">
        <v>46107</v>
      </c>
      <c r="V1941" s="1">
        <v>46473</v>
      </c>
      <c r="W1941" t="s">
        <v>38</v>
      </c>
      <c r="X1941">
        <v>12</v>
      </c>
      <c r="Y1941" t="s">
        <v>49</v>
      </c>
      <c r="Z1941" t="s">
        <v>81</v>
      </c>
      <c r="AA1941" t="s">
        <v>122</v>
      </c>
      <c r="AB1941">
        <v>12</v>
      </c>
      <c r="AC1941" t="s">
        <v>113</v>
      </c>
      <c r="AD1941" t="s">
        <v>149</v>
      </c>
      <c r="AE1941" t="s">
        <v>43</v>
      </c>
      <c r="AF1941" t="s">
        <v>96</v>
      </c>
      <c r="AG1941" t="str">
        <f t="shared" si="33"/>
        <v>Recorrente</v>
      </c>
      <c r="AH1941" t="str">
        <f>IF(AND(SUMIF(E:E,E1941,I:I)&gt;=400000,Q1941="B2G"),"n","")</f>
        <v/>
      </c>
    </row>
    <row r="1942" spans="1:34">
      <c r="A1942">
        <v>2026</v>
      </c>
      <c r="B1942">
        <v>3</v>
      </c>
      <c r="C1942" s="83">
        <v>104247839349</v>
      </c>
      <c r="D1942" t="s">
        <v>1830</v>
      </c>
      <c r="E1942">
        <v>55934498903</v>
      </c>
      <c r="F1942">
        <v>627373</v>
      </c>
      <c r="G1942">
        <v>51230652593</v>
      </c>
      <c r="H1942" t="s">
        <v>35</v>
      </c>
      <c r="I1942" s="36">
        <v>5754</v>
      </c>
      <c r="J1942" s="36">
        <v>5754</v>
      </c>
      <c r="K1942" s="85">
        <v>0</v>
      </c>
      <c r="L1942" s="36">
        <v>479.5</v>
      </c>
      <c r="M1942" s="36">
        <v>0</v>
      </c>
      <c r="N1942" s="36">
        <v>131.96</v>
      </c>
      <c r="O1942" s="36">
        <v>347.54</v>
      </c>
      <c r="P1942" t="s">
        <v>165</v>
      </c>
      <c r="Q1942" t="s">
        <v>166</v>
      </c>
      <c r="R1942" t="s">
        <v>166</v>
      </c>
      <c r="S1942" s="1">
        <v>46094</v>
      </c>
      <c r="T1942" s="1">
        <v>46094</v>
      </c>
      <c r="U1942" s="1">
        <v>46094</v>
      </c>
      <c r="V1942" s="1">
        <v>46459</v>
      </c>
      <c r="W1942" t="s">
        <v>38</v>
      </c>
      <c r="X1942">
        <v>12</v>
      </c>
      <c r="Y1942" t="s">
        <v>49</v>
      </c>
      <c r="Z1942" t="s">
        <v>81</v>
      </c>
      <c r="AA1942" t="s">
        <v>112</v>
      </c>
      <c r="AB1942">
        <v>12</v>
      </c>
      <c r="AC1942" t="s">
        <v>166</v>
      </c>
      <c r="AD1942" t="s">
        <v>85</v>
      </c>
      <c r="AE1942" t="s">
        <v>46</v>
      </c>
      <c r="AF1942" t="s">
        <v>44</v>
      </c>
      <c r="AG1942" t="str">
        <f t="shared" si="33"/>
        <v>CC 12x</v>
      </c>
      <c r="AH1942" t="str">
        <f>IF(AND(SUMIF(E:E,E1942,I:I)&gt;=400000,Q1942="B2G"),"n","")</f>
        <v/>
      </c>
    </row>
    <row r="1943" spans="1:34">
      <c r="A1943">
        <v>2026</v>
      </c>
      <c r="B1943">
        <v>3</v>
      </c>
      <c r="C1943" s="83">
        <v>104392824125</v>
      </c>
      <c r="D1943" t="s">
        <v>1831</v>
      </c>
      <c r="E1943">
        <v>57888522904</v>
      </c>
      <c r="F1943">
        <v>636447</v>
      </c>
      <c r="G1943">
        <v>53140763461</v>
      </c>
      <c r="H1943" t="s">
        <v>35</v>
      </c>
      <c r="I1943" s="36">
        <v>4728</v>
      </c>
      <c r="J1943" s="36">
        <v>4728</v>
      </c>
      <c r="K1943" s="85">
        <v>0</v>
      </c>
      <c r="L1943" s="36">
        <v>394</v>
      </c>
      <c r="M1943" s="36">
        <v>394</v>
      </c>
      <c r="N1943" s="36">
        <v>0</v>
      </c>
      <c r="O1943" s="36">
        <v>0</v>
      </c>
      <c r="P1943" t="s">
        <v>313</v>
      </c>
      <c r="Q1943" t="s">
        <v>314</v>
      </c>
      <c r="R1943" t="s">
        <v>314</v>
      </c>
      <c r="S1943" s="1">
        <v>46091</v>
      </c>
      <c r="T1943" s="1">
        <v>46091</v>
      </c>
      <c r="U1943" s="1"/>
      <c r="V1943" s="1">
        <v>46456</v>
      </c>
      <c r="W1943" t="s">
        <v>38</v>
      </c>
      <c r="X1943">
        <v>12</v>
      </c>
      <c r="Y1943" t="s">
        <v>49</v>
      </c>
      <c r="AA1943" t="s">
        <v>112</v>
      </c>
      <c r="AB1943">
        <v>12</v>
      </c>
      <c r="AC1943" t="s">
        <v>315</v>
      </c>
      <c r="AD1943" t="s">
        <v>138</v>
      </c>
      <c r="AE1943" t="s">
        <v>135</v>
      </c>
      <c r="AF1943" t="s">
        <v>119</v>
      </c>
      <c r="AG1943" t="str">
        <f t="shared" si="33"/>
        <v>CC 12x</v>
      </c>
      <c r="AH1943" t="str">
        <f>IF(AND(SUMIF(E:E,E1943,I:I)&gt;=400000,Q1943="B2G"),"n","")</f>
        <v/>
      </c>
    </row>
    <row r="1944" spans="1:34">
      <c r="A1944">
        <v>2026</v>
      </c>
      <c r="B1944">
        <v>3</v>
      </c>
      <c r="C1944" s="83">
        <v>104398272674</v>
      </c>
      <c r="D1944" t="s">
        <v>1832</v>
      </c>
      <c r="E1944">
        <v>54326627335</v>
      </c>
      <c r="F1944">
        <v>610974</v>
      </c>
      <c r="G1944">
        <v>49632920643</v>
      </c>
      <c r="H1944" t="s">
        <v>35</v>
      </c>
      <c r="I1944" s="36">
        <v>5514</v>
      </c>
      <c r="J1944" s="36">
        <v>5514</v>
      </c>
      <c r="K1944" s="85">
        <v>0</v>
      </c>
      <c r="L1944" s="36">
        <v>459.5</v>
      </c>
      <c r="M1944" s="36">
        <v>0</v>
      </c>
      <c r="N1944" s="36">
        <v>30.5</v>
      </c>
      <c r="O1944" s="36">
        <v>429</v>
      </c>
      <c r="P1944" t="s">
        <v>165</v>
      </c>
      <c r="Q1944" t="s">
        <v>166</v>
      </c>
      <c r="R1944" t="s">
        <v>166</v>
      </c>
      <c r="S1944" s="1">
        <v>46089</v>
      </c>
      <c r="T1944" s="1">
        <v>46089</v>
      </c>
      <c r="U1944" s="1">
        <v>46089</v>
      </c>
      <c r="V1944" s="1">
        <v>46454</v>
      </c>
      <c r="W1944" t="s">
        <v>38</v>
      </c>
      <c r="X1944">
        <v>12</v>
      </c>
      <c r="Y1944" t="s">
        <v>49</v>
      </c>
      <c r="Z1944" t="s">
        <v>81</v>
      </c>
      <c r="AA1944" t="s">
        <v>122</v>
      </c>
      <c r="AB1944">
        <v>12</v>
      </c>
      <c r="AC1944" t="s">
        <v>166</v>
      </c>
      <c r="AD1944" t="s">
        <v>138</v>
      </c>
      <c r="AE1944" t="s">
        <v>135</v>
      </c>
      <c r="AF1944" t="s">
        <v>119</v>
      </c>
      <c r="AG1944" t="str">
        <f t="shared" si="33"/>
        <v>Recorrente</v>
      </c>
      <c r="AH1944" t="str">
        <f>IF(AND(SUMIF(E:E,E1944,I:I)&gt;=400000,Q1944="B2G"),"n","")</f>
        <v/>
      </c>
    </row>
    <row r="1945" spans="1:34">
      <c r="A1945">
        <v>2026</v>
      </c>
      <c r="B1945">
        <v>3</v>
      </c>
      <c r="C1945" s="83">
        <v>104408469398</v>
      </c>
      <c r="D1945" t="s">
        <v>1833</v>
      </c>
      <c r="E1945">
        <v>57939165334</v>
      </c>
      <c r="F1945">
        <v>529101</v>
      </c>
      <c r="G1945">
        <v>53172561241</v>
      </c>
      <c r="H1945" t="s">
        <v>35</v>
      </c>
      <c r="I1945" s="36">
        <v>8166</v>
      </c>
      <c r="J1945" s="36">
        <v>8166</v>
      </c>
      <c r="K1945" s="85">
        <v>0</v>
      </c>
      <c r="L1945" s="36">
        <v>680.5</v>
      </c>
      <c r="M1945" s="36">
        <v>680.5</v>
      </c>
      <c r="N1945" s="36">
        <v>0</v>
      </c>
      <c r="O1945" s="36">
        <v>0</v>
      </c>
      <c r="P1945" t="s">
        <v>110</v>
      </c>
      <c r="Q1945" t="s">
        <v>111</v>
      </c>
      <c r="R1945" t="s">
        <v>111</v>
      </c>
      <c r="S1945" s="1">
        <v>46093</v>
      </c>
      <c r="T1945" s="1">
        <v>46093</v>
      </c>
      <c r="U1945" s="1">
        <v>46090</v>
      </c>
      <c r="V1945" s="1">
        <v>46458</v>
      </c>
      <c r="W1945" t="s">
        <v>38</v>
      </c>
      <c r="X1945">
        <v>12</v>
      </c>
      <c r="Y1945" t="s">
        <v>49</v>
      </c>
      <c r="Z1945" t="s">
        <v>81</v>
      </c>
      <c r="AA1945" t="s">
        <v>122</v>
      </c>
      <c r="AB1945">
        <v>12</v>
      </c>
      <c r="AC1945" t="s">
        <v>113</v>
      </c>
      <c r="AD1945" t="s">
        <v>134</v>
      </c>
      <c r="AE1945" t="s">
        <v>135</v>
      </c>
      <c r="AF1945" t="s">
        <v>44</v>
      </c>
      <c r="AG1945" t="str">
        <f t="shared" si="33"/>
        <v>Recorrente</v>
      </c>
      <c r="AH1945" t="str">
        <f>IF(AND(SUMIF(E:E,E1945,I:I)&gt;=400000,Q1945="B2G"),"n","")</f>
        <v/>
      </c>
    </row>
    <row r="1946" spans="1:34">
      <c r="A1946">
        <v>2026</v>
      </c>
      <c r="B1946">
        <v>3</v>
      </c>
      <c r="C1946" s="83">
        <v>104411561509</v>
      </c>
      <c r="D1946" t="s">
        <v>1834</v>
      </c>
      <c r="E1946">
        <v>54249693258</v>
      </c>
      <c r="F1946">
        <v>627189</v>
      </c>
      <c r="G1946">
        <v>49651847252</v>
      </c>
      <c r="H1946" t="s">
        <v>35</v>
      </c>
      <c r="I1946" s="36">
        <v>2874</v>
      </c>
      <c r="J1946" s="36">
        <v>2874</v>
      </c>
      <c r="K1946" s="85">
        <v>0</v>
      </c>
      <c r="L1946" s="36">
        <v>239.5</v>
      </c>
      <c r="M1946" s="36">
        <v>0</v>
      </c>
      <c r="N1946" s="36">
        <v>0.5</v>
      </c>
      <c r="O1946" s="36">
        <v>239</v>
      </c>
      <c r="P1946" t="s">
        <v>165</v>
      </c>
      <c r="Q1946" t="s">
        <v>166</v>
      </c>
      <c r="R1946" t="s">
        <v>166</v>
      </c>
      <c r="S1946" s="1">
        <v>46088</v>
      </c>
      <c r="T1946" s="1">
        <v>46088</v>
      </c>
      <c r="U1946" s="1">
        <v>46088</v>
      </c>
      <c r="V1946" s="1">
        <v>46453</v>
      </c>
      <c r="W1946" t="s">
        <v>38</v>
      </c>
      <c r="X1946">
        <v>12</v>
      </c>
      <c r="Y1946" t="s">
        <v>49</v>
      </c>
      <c r="Z1946" t="s">
        <v>81</v>
      </c>
      <c r="AA1946" t="s">
        <v>122</v>
      </c>
      <c r="AB1946">
        <v>12</v>
      </c>
      <c r="AC1946" t="s">
        <v>166</v>
      </c>
      <c r="AD1946" t="s">
        <v>140</v>
      </c>
      <c r="AE1946" t="s">
        <v>46</v>
      </c>
      <c r="AF1946" t="s">
        <v>119</v>
      </c>
      <c r="AG1946" t="str">
        <f t="shared" si="33"/>
        <v>Recorrente</v>
      </c>
      <c r="AH1946" t="str">
        <f>IF(AND(SUMIF(E:E,E1946,I:I)&gt;=400000,Q1946="B2G"),"n","")</f>
        <v/>
      </c>
    </row>
    <row r="1947" spans="1:34">
      <c r="A1947">
        <v>2026</v>
      </c>
      <c r="B1947">
        <v>3</v>
      </c>
      <c r="C1947" s="83">
        <v>104423662777</v>
      </c>
      <c r="D1947" t="s">
        <v>1835</v>
      </c>
      <c r="E1947">
        <v>53869651353</v>
      </c>
      <c r="F1947">
        <v>506726</v>
      </c>
      <c r="G1947">
        <v>49089296022</v>
      </c>
      <c r="H1947" t="s">
        <v>35</v>
      </c>
      <c r="I1947" s="36">
        <v>5754</v>
      </c>
      <c r="J1947" s="36">
        <v>5754</v>
      </c>
      <c r="K1947" s="85">
        <v>0</v>
      </c>
      <c r="L1947" s="36">
        <v>479.5</v>
      </c>
      <c r="M1947" s="36">
        <v>0</v>
      </c>
      <c r="N1947" s="36">
        <v>94.45</v>
      </c>
      <c r="O1947" s="36">
        <v>385.05</v>
      </c>
      <c r="P1947" t="s">
        <v>165</v>
      </c>
      <c r="Q1947" t="s">
        <v>166</v>
      </c>
      <c r="R1947" t="s">
        <v>166</v>
      </c>
      <c r="S1947" s="1">
        <v>46082</v>
      </c>
      <c r="T1947" s="1">
        <v>46082</v>
      </c>
      <c r="U1947" s="1">
        <v>46082</v>
      </c>
      <c r="V1947" s="1">
        <v>46447</v>
      </c>
      <c r="W1947" t="s">
        <v>38</v>
      </c>
      <c r="X1947">
        <v>12</v>
      </c>
      <c r="Y1947" t="s">
        <v>49</v>
      </c>
      <c r="Z1947" t="s">
        <v>81</v>
      </c>
      <c r="AA1947" t="s">
        <v>122</v>
      </c>
      <c r="AB1947">
        <v>12</v>
      </c>
      <c r="AC1947" t="s">
        <v>166</v>
      </c>
      <c r="AD1947" t="s">
        <v>85</v>
      </c>
      <c r="AE1947" t="s">
        <v>46</v>
      </c>
      <c r="AF1947" t="s">
        <v>44</v>
      </c>
      <c r="AG1947" t="str">
        <f t="shared" si="33"/>
        <v>Recorrente</v>
      </c>
      <c r="AH1947" t="str">
        <f>IF(AND(SUMIF(E:E,E1947,I:I)&gt;=400000,Q1947="B2G"),"n","")</f>
        <v/>
      </c>
    </row>
    <row r="1948" spans="1:34">
      <c r="A1948">
        <v>2026</v>
      </c>
      <c r="B1948">
        <v>3</v>
      </c>
      <c r="C1948" s="83">
        <v>104426746396</v>
      </c>
      <c r="D1948" t="s">
        <v>1836</v>
      </c>
      <c r="E1948">
        <v>55924889161</v>
      </c>
      <c r="F1948">
        <v>627187</v>
      </c>
      <c r="G1948">
        <v>51246835091</v>
      </c>
      <c r="H1948" t="s">
        <v>35</v>
      </c>
      <c r="I1948" s="36">
        <v>2874</v>
      </c>
      <c r="J1948" s="36">
        <v>2874</v>
      </c>
      <c r="K1948" s="85">
        <v>0</v>
      </c>
      <c r="L1948" s="36">
        <v>239.5</v>
      </c>
      <c r="M1948" s="36">
        <v>0</v>
      </c>
      <c r="N1948" s="36">
        <v>36.35</v>
      </c>
      <c r="O1948" s="36">
        <v>203.15</v>
      </c>
      <c r="P1948" t="s">
        <v>165</v>
      </c>
      <c r="Q1948" t="s">
        <v>166</v>
      </c>
      <c r="R1948" t="s">
        <v>166</v>
      </c>
      <c r="S1948" s="1">
        <v>46088</v>
      </c>
      <c r="T1948" s="1">
        <v>46088</v>
      </c>
      <c r="U1948" s="1">
        <v>46088</v>
      </c>
      <c r="V1948" s="1">
        <v>46453</v>
      </c>
      <c r="W1948" t="s">
        <v>38</v>
      </c>
      <c r="X1948">
        <v>12</v>
      </c>
      <c r="Y1948" t="s">
        <v>49</v>
      </c>
      <c r="Z1948" t="s">
        <v>81</v>
      </c>
      <c r="AA1948" t="s">
        <v>112</v>
      </c>
      <c r="AB1948">
        <v>12</v>
      </c>
      <c r="AC1948" t="s">
        <v>166</v>
      </c>
      <c r="AD1948" t="s">
        <v>118</v>
      </c>
      <c r="AE1948" t="s">
        <v>43</v>
      </c>
      <c r="AF1948" t="s">
        <v>119</v>
      </c>
      <c r="AG1948" t="str">
        <f t="shared" si="33"/>
        <v>CC 12x</v>
      </c>
      <c r="AH1948" t="str">
        <f>IF(AND(SUMIF(E:E,E1948,I:I)&gt;=400000,Q1948="B2G"),"n","")</f>
        <v/>
      </c>
    </row>
    <row r="1949" spans="1:34">
      <c r="A1949">
        <v>2026</v>
      </c>
      <c r="B1949">
        <v>3</v>
      </c>
      <c r="C1949" s="83">
        <v>104436916310</v>
      </c>
      <c r="D1949" t="s">
        <v>1837</v>
      </c>
      <c r="E1949">
        <v>57971472512</v>
      </c>
      <c r="F1949">
        <v>507384</v>
      </c>
      <c r="G1949">
        <v>53206488386</v>
      </c>
      <c r="H1949" t="s">
        <v>35</v>
      </c>
      <c r="I1949" s="36">
        <v>4130.04</v>
      </c>
      <c r="J1949" s="36">
        <v>4130.04</v>
      </c>
      <c r="K1949" s="85">
        <v>0</v>
      </c>
      <c r="L1949" s="36">
        <v>344.17</v>
      </c>
      <c r="M1949" s="36">
        <v>0</v>
      </c>
      <c r="N1949" s="36">
        <v>29.805</v>
      </c>
      <c r="O1949" s="36">
        <v>314.37</v>
      </c>
      <c r="P1949" t="s">
        <v>133</v>
      </c>
      <c r="Q1949" t="s">
        <v>111</v>
      </c>
      <c r="R1949" t="s">
        <v>111</v>
      </c>
      <c r="S1949" s="1">
        <v>46094</v>
      </c>
      <c r="T1949" s="1">
        <v>46094</v>
      </c>
      <c r="U1949" s="1">
        <v>46093</v>
      </c>
      <c r="V1949" s="1">
        <v>46459</v>
      </c>
      <c r="W1949" t="s">
        <v>38</v>
      </c>
      <c r="X1949">
        <v>12</v>
      </c>
      <c r="Y1949" t="s">
        <v>49</v>
      </c>
      <c r="Z1949" t="s">
        <v>81</v>
      </c>
      <c r="AA1949" t="s">
        <v>112</v>
      </c>
      <c r="AB1949">
        <v>12</v>
      </c>
      <c r="AC1949" t="s">
        <v>113</v>
      </c>
      <c r="AD1949" t="s">
        <v>174</v>
      </c>
      <c r="AE1949" t="s">
        <v>43</v>
      </c>
      <c r="AF1949" t="s">
        <v>47</v>
      </c>
      <c r="AG1949" t="str">
        <f t="shared" si="33"/>
        <v>CC 12x</v>
      </c>
      <c r="AH1949" t="str">
        <f>IF(AND(SUMIF(E:E,E1949,I:I)&gt;=400000,Q1949="B2G"),"n","")</f>
        <v/>
      </c>
    </row>
    <row r="1950" spans="1:34">
      <c r="A1950">
        <v>2026</v>
      </c>
      <c r="B1950">
        <v>3</v>
      </c>
      <c r="C1950" s="83">
        <v>104976826626</v>
      </c>
      <c r="D1950" t="s">
        <v>1838</v>
      </c>
      <c r="E1950">
        <v>57718137879</v>
      </c>
      <c r="F1950">
        <v>610762</v>
      </c>
      <c r="G1950">
        <v>53747445937</v>
      </c>
      <c r="H1950" t="s">
        <v>35</v>
      </c>
      <c r="I1950" s="36">
        <v>4686.84</v>
      </c>
      <c r="J1950" s="36">
        <v>4686.84</v>
      </c>
      <c r="K1950" s="85">
        <v>0</v>
      </c>
      <c r="L1950" s="36">
        <v>390.57</v>
      </c>
      <c r="M1950" s="36">
        <v>0</v>
      </c>
      <c r="N1950" s="36">
        <v>80.625</v>
      </c>
      <c r="O1950" s="36">
        <v>309.95</v>
      </c>
      <c r="P1950" t="s">
        <v>121</v>
      </c>
      <c r="Q1950" t="s">
        <v>111</v>
      </c>
      <c r="R1950" t="s">
        <v>111</v>
      </c>
      <c r="S1950" s="1">
        <v>46111</v>
      </c>
      <c r="T1950" s="1">
        <v>46111</v>
      </c>
      <c r="U1950" s="1">
        <v>46087</v>
      </c>
      <c r="V1950" s="1">
        <v>46476</v>
      </c>
      <c r="W1950" t="s">
        <v>38</v>
      </c>
      <c r="X1950">
        <v>12</v>
      </c>
      <c r="Y1950" t="s">
        <v>49</v>
      </c>
      <c r="Z1950" t="s">
        <v>81</v>
      </c>
      <c r="AA1950" t="s">
        <v>112</v>
      </c>
      <c r="AB1950">
        <v>12</v>
      </c>
      <c r="AC1950" t="s">
        <v>113</v>
      </c>
      <c r="AD1950" t="s">
        <v>138</v>
      </c>
      <c r="AE1950" t="s">
        <v>135</v>
      </c>
      <c r="AF1950" t="s">
        <v>119</v>
      </c>
      <c r="AG1950" t="str">
        <f t="shared" si="33"/>
        <v>CC 12x</v>
      </c>
      <c r="AH1950" t="str">
        <f>IF(AND(SUMIF(E:E,E1950,I:I)&gt;=400000,Q1950="B2G"),"n","")</f>
        <v/>
      </c>
    </row>
    <row r="1951" spans="1:34">
      <c r="A1951">
        <v>2026</v>
      </c>
      <c r="B1951">
        <v>3</v>
      </c>
      <c r="C1951" s="83">
        <v>105005073039</v>
      </c>
      <c r="D1951" t="s">
        <v>1839</v>
      </c>
      <c r="E1951">
        <v>57718383156</v>
      </c>
      <c r="F1951">
        <v>529208</v>
      </c>
      <c r="G1951">
        <v>53059934214</v>
      </c>
      <c r="H1951" t="s">
        <v>35</v>
      </c>
      <c r="I1951" s="36">
        <v>3740.04</v>
      </c>
      <c r="J1951" s="36">
        <v>3740.04</v>
      </c>
      <c r="K1951" s="85">
        <v>0</v>
      </c>
      <c r="L1951" s="36">
        <v>311.67</v>
      </c>
      <c r="M1951" s="36">
        <v>0</v>
      </c>
      <c r="N1951" s="36">
        <v>25.675000000000001</v>
      </c>
      <c r="O1951" s="36">
        <v>286</v>
      </c>
      <c r="P1951" t="s">
        <v>133</v>
      </c>
      <c r="Q1951" t="s">
        <v>111</v>
      </c>
      <c r="R1951" t="s">
        <v>111</v>
      </c>
      <c r="S1951" s="1">
        <v>46090</v>
      </c>
      <c r="T1951" s="1">
        <v>46090</v>
      </c>
      <c r="U1951" s="1">
        <v>46088</v>
      </c>
      <c r="V1951" s="1">
        <v>46455</v>
      </c>
      <c r="W1951" t="s">
        <v>38</v>
      </c>
      <c r="X1951">
        <v>12</v>
      </c>
      <c r="Y1951" t="s">
        <v>49</v>
      </c>
      <c r="Z1951" t="s">
        <v>81</v>
      </c>
      <c r="AA1951" t="s">
        <v>112</v>
      </c>
      <c r="AB1951">
        <v>12</v>
      </c>
      <c r="AC1951" t="s">
        <v>113</v>
      </c>
      <c r="AD1951" t="s">
        <v>85</v>
      </c>
      <c r="AE1951" t="s">
        <v>46</v>
      </c>
      <c r="AF1951" t="s">
        <v>44</v>
      </c>
      <c r="AG1951" t="str">
        <f t="shared" si="33"/>
        <v>CC 12x</v>
      </c>
      <c r="AH1951" t="str">
        <f>IF(AND(SUMIF(E:E,E1951,I:I)&gt;=400000,Q1951="B2G"),"n","")</f>
        <v/>
      </c>
    </row>
    <row r="1952" spans="1:34">
      <c r="A1952">
        <v>2026</v>
      </c>
      <c r="B1952">
        <v>3</v>
      </c>
      <c r="C1952" s="83">
        <v>105005159960</v>
      </c>
      <c r="D1952" t="s">
        <v>1840</v>
      </c>
      <c r="E1952">
        <v>57944458794</v>
      </c>
      <c r="F1952">
        <v>627270</v>
      </c>
      <c r="G1952">
        <v>53170479195</v>
      </c>
      <c r="H1952" t="s">
        <v>35</v>
      </c>
      <c r="I1952" s="36">
        <v>2586.6</v>
      </c>
      <c r="J1952" s="36">
        <v>2586.6</v>
      </c>
      <c r="K1952" s="85">
        <v>0</v>
      </c>
      <c r="L1952" s="36">
        <v>215.55</v>
      </c>
      <c r="M1952" s="36">
        <v>0</v>
      </c>
      <c r="N1952" s="36">
        <v>12.4</v>
      </c>
      <c r="O1952" s="36">
        <v>203.15</v>
      </c>
      <c r="P1952" t="s">
        <v>121</v>
      </c>
      <c r="Q1952" t="s">
        <v>111</v>
      </c>
      <c r="R1952" t="s">
        <v>111</v>
      </c>
      <c r="S1952" s="1">
        <v>46093</v>
      </c>
      <c r="T1952" s="1">
        <v>46093</v>
      </c>
      <c r="U1952" s="1">
        <v>46092</v>
      </c>
      <c r="V1952" s="1">
        <v>46458</v>
      </c>
      <c r="W1952" t="s">
        <v>38</v>
      </c>
      <c r="X1952">
        <v>12</v>
      </c>
      <c r="Y1952" t="s">
        <v>49</v>
      </c>
      <c r="Z1952" t="s">
        <v>81</v>
      </c>
      <c r="AA1952" t="s">
        <v>112</v>
      </c>
      <c r="AB1952">
        <v>12</v>
      </c>
      <c r="AC1952" t="s">
        <v>113</v>
      </c>
      <c r="AD1952" t="s">
        <v>118</v>
      </c>
      <c r="AE1952" t="s">
        <v>43</v>
      </c>
      <c r="AF1952" t="s">
        <v>119</v>
      </c>
      <c r="AG1952" t="str">
        <f t="shared" si="33"/>
        <v>CC 12x</v>
      </c>
      <c r="AH1952" t="str">
        <f>IF(AND(SUMIF(E:E,E1952,I:I)&gt;=400000,Q1952="B2G"),"n","")</f>
        <v/>
      </c>
    </row>
    <row r="1953" spans="1:34">
      <c r="A1953">
        <v>2026</v>
      </c>
      <c r="B1953">
        <v>3</v>
      </c>
      <c r="C1953" s="83">
        <v>105254255009</v>
      </c>
      <c r="D1953" t="s">
        <v>1841</v>
      </c>
      <c r="E1953">
        <v>55207378432</v>
      </c>
      <c r="F1953">
        <v>611540</v>
      </c>
      <c r="G1953">
        <v>50526614091</v>
      </c>
      <c r="H1953" t="s">
        <v>35</v>
      </c>
      <c r="I1953" s="36">
        <v>2874</v>
      </c>
      <c r="J1953" s="36">
        <v>2874</v>
      </c>
      <c r="K1953" s="85">
        <v>0</v>
      </c>
      <c r="L1953" s="36">
        <v>239.5</v>
      </c>
      <c r="M1953" s="36">
        <v>0</v>
      </c>
      <c r="N1953" s="36">
        <v>12.45</v>
      </c>
      <c r="O1953" s="36">
        <v>227.05</v>
      </c>
      <c r="P1953" t="s">
        <v>165</v>
      </c>
      <c r="Q1953" t="s">
        <v>166</v>
      </c>
      <c r="R1953" t="s">
        <v>166</v>
      </c>
      <c r="S1953" s="1">
        <v>46099</v>
      </c>
      <c r="T1953" s="1">
        <v>46099</v>
      </c>
      <c r="U1953" s="1">
        <v>46099</v>
      </c>
      <c r="V1953" s="1">
        <v>46464</v>
      </c>
      <c r="W1953" t="s">
        <v>38</v>
      </c>
      <c r="X1953">
        <v>12</v>
      </c>
      <c r="Y1953" t="s">
        <v>49</v>
      </c>
      <c r="Z1953" t="s">
        <v>81</v>
      </c>
      <c r="AA1953" t="s">
        <v>122</v>
      </c>
      <c r="AB1953">
        <v>12</v>
      </c>
      <c r="AC1953" t="s">
        <v>166</v>
      </c>
      <c r="AD1953" t="s">
        <v>140</v>
      </c>
      <c r="AE1953" t="s">
        <v>46</v>
      </c>
      <c r="AF1953" t="s">
        <v>119</v>
      </c>
      <c r="AG1953" t="str">
        <f t="shared" si="33"/>
        <v>Recorrente</v>
      </c>
      <c r="AH1953" t="str">
        <f>IF(AND(SUMIF(E:E,E1953,I:I)&gt;=400000,Q1953="B2G"),"n","")</f>
        <v/>
      </c>
    </row>
    <row r="1954" spans="1:34">
      <c r="A1954">
        <v>2026</v>
      </c>
      <c r="B1954">
        <v>3</v>
      </c>
      <c r="C1954" s="83">
        <v>105261387544</v>
      </c>
      <c r="D1954" t="s">
        <v>1842</v>
      </c>
      <c r="E1954">
        <v>57500655486</v>
      </c>
      <c r="F1954">
        <v>627377</v>
      </c>
      <c r="G1954">
        <v>52704265992</v>
      </c>
      <c r="H1954" t="s">
        <v>35</v>
      </c>
      <c r="I1954" s="36">
        <v>4161.84</v>
      </c>
      <c r="J1954" s="36">
        <v>4161.84</v>
      </c>
      <c r="K1954" s="85">
        <v>0</v>
      </c>
      <c r="L1954" s="36">
        <v>346.82</v>
      </c>
      <c r="M1954" s="36">
        <v>0</v>
      </c>
      <c r="N1954" s="36">
        <v>16.55125</v>
      </c>
      <c r="O1954" s="36">
        <v>330.27</v>
      </c>
      <c r="P1954" t="s">
        <v>133</v>
      </c>
      <c r="Q1954" t="s">
        <v>111</v>
      </c>
      <c r="R1954" t="s">
        <v>111</v>
      </c>
      <c r="S1954" s="1">
        <v>46092</v>
      </c>
      <c r="T1954" s="1">
        <v>46092</v>
      </c>
      <c r="U1954" s="1">
        <v>46094</v>
      </c>
      <c r="V1954" s="1">
        <v>46459</v>
      </c>
      <c r="W1954" t="s">
        <v>38</v>
      </c>
      <c r="X1954">
        <v>12</v>
      </c>
      <c r="Y1954" t="s">
        <v>49</v>
      </c>
      <c r="Z1954" t="s">
        <v>81</v>
      </c>
      <c r="AA1954" t="s">
        <v>122</v>
      </c>
      <c r="AB1954">
        <v>12</v>
      </c>
      <c r="AC1954" t="s">
        <v>113</v>
      </c>
      <c r="AD1954" t="s">
        <v>163</v>
      </c>
      <c r="AE1954" t="s">
        <v>43</v>
      </c>
      <c r="AF1954" t="s">
        <v>96</v>
      </c>
      <c r="AG1954" t="str">
        <f t="shared" si="33"/>
        <v>Recorrente</v>
      </c>
      <c r="AH1954" t="str">
        <f>IF(AND(SUMIF(E:E,E1954,I:I)&gt;=400000,Q1954="B2G"),"n","")</f>
        <v/>
      </c>
    </row>
    <row r="1955" spans="1:34">
      <c r="A1955">
        <v>2026</v>
      </c>
      <c r="B1955">
        <v>3</v>
      </c>
      <c r="C1955" s="83">
        <v>105270124119</v>
      </c>
      <c r="D1955" t="s">
        <v>1843</v>
      </c>
      <c r="E1955">
        <v>54323605093</v>
      </c>
      <c r="F1955">
        <v>610988</v>
      </c>
      <c r="G1955">
        <v>49687726864</v>
      </c>
      <c r="H1955" t="s">
        <v>35</v>
      </c>
      <c r="I1955" s="36">
        <v>5754</v>
      </c>
      <c r="J1955" s="36">
        <v>5754</v>
      </c>
      <c r="K1955" s="85">
        <v>0</v>
      </c>
      <c r="L1955" s="36">
        <v>479.5</v>
      </c>
      <c r="M1955" s="36">
        <v>0</v>
      </c>
      <c r="N1955" s="36">
        <v>49.15</v>
      </c>
      <c r="O1955" s="36">
        <v>430.35</v>
      </c>
      <c r="P1955" t="s">
        <v>165</v>
      </c>
      <c r="Q1955" t="s">
        <v>166</v>
      </c>
      <c r="R1955" t="s">
        <v>166</v>
      </c>
      <c r="S1955" s="1">
        <v>46089</v>
      </c>
      <c r="T1955" s="1">
        <v>46089</v>
      </c>
      <c r="U1955" s="1">
        <v>46089</v>
      </c>
      <c r="V1955" s="1">
        <v>46454</v>
      </c>
      <c r="W1955" t="s">
        <v>38</v>
      </c>
      <c r="X1955">
        <v>12</v>
      </c>
      <c r="Y1955" t="s">
        <v>49</v>
      </c>
      <c r="Z1955" t="s">
        <v>81</v>
      </c>
      <c r="AA1955" t="s">
        <v>122</v>
      </c>
      <c r="AB1955">
        <v>12</v>
      </c>
      <c r="AC1955" t="s">
        <v>166</v>
      </c>
      <c r="AD1955" t="s">
        <v>85</v>
      </c>
      <c r="AE1955" t="s">
        <v>46</v>
      </c>
      <c r="AF1955" t="s">
        <v>44</v>
      </c>
      <c r="AG1955" t="str">
        <f t="shared" si="33"/>
        <v>Recorrente</v>
      </c>
      <c r="AH1955" t="str">
        <f>IF(AND(SUMIF(E:E,E1955,I:I)&gt;=400000,Q1955="B2G"),"n","")</f>
        <v/>
      </c>
    </row>
    <row r="1956" spans="1:34">
      <c r="A1956">
        <v>2026</v>
      </c>
      <c r="B1956">
        <v>3</v>
      </c>
      <c r="C1956" s="83">
        <v>105272904021</v>
      </c>
      <c r="D1956" t="s">
        <v>1844</v>
      </c>
      <c r="E1956">
        <v>54503476224</v>
      </c>
      <c r="F1956">
        <v>627266</v>
      </c>
      <c r="G1956">
        <v>49831501594</v>
      </c>
      <c r="H1956" t="s">
        <v>35</v>
      </c>
      <c r="I1956" s="36">
        <v>3666.6</v>
      </c>
      <c r="J1956" s="36">
        <v>3666.6</v>
      </c>
      <c r="K1956" s="85">
        <v>0</v>
      </c>
      <c r="L1956" s="36">
        <v>305.55</v>
      </c>
      <c r="M1956" s="36">
        <v>0</v>
      </c>
      <c r="N1956" s="36">
        <v>42.9</v>
      </c>
      <c r="O1956" s="36">
        <v>262.64999999999998</v>
      </c>
      <c r="P1956" t="s">
        <v>165</v>
      </c>
      <c r="Q1956" t="s">
        <v>166</v>
      </c>
      <c r="R1956" t="s">
        <v>166</v>
      </c>
      <c r="S1956" s="1">
        <v>46092</v>
      </c>
      <c r="T1956" s="1">
        <v>46092</v>
      </c>
      <c r="U1956" s="1">
        <v>46092</v>
      </c>
      <c r="V1956" s="1">
        <v>46457</v>
      </c>
      <c r="W1956" t="s">
        <v>38</v>
      </c>
      <c r="X1956">
        <v>12</v>
      </c>
      <c r="Y1956" t="s">
        <v>49</v>
      </c>
      <c r="Z1956" t="s">
        <v>81</v>
      </c>
      <c r="AA1956" t="s">
        <v>122</v>
      </c>
      <c r="AB1956">
        <v>12</v>
      </c>
      <c r="AC1956" t="s">
        <v>166</v>
      </c>
      <c r="AD1956" t="s">
        <v>114</v>
      </c>
      <c r="AE1956" t="s">
        <v>43</v>
      </c>
      <c r="AF1956" t="s">
        <v>44</v>
      </c>
      <c r="AG1956" t="str">
        <f t="shared" si="33"/>
        <v>Recorrente</v>
      </c>
      <c r="AH1956" t="str">
        <f>IF(AND(SUMIF(E:E,E1956,I:I)&gt;=400000,Q1956="B2G"),"n","")</f>
        <v/>
      </c>
    </row>
    <row r="1957" spans="1:34">
      <c r="A1957">
        <v>2026</v>
      </c>
      <c r="B1957">
        <v>3</v>
      </c>
      <c r="C1957" s="83">
        <v>105273124428</v>
      </c>
      <c r="D1957" t="s">
        <v>1845</v>
      </c>
      <c r="E1957">
        <v>55925351530</v>
      </c>
      <c r="F1957">
        <v>627271</v>
      </c>
      <c r="G1957">
        <v>51236807773</v>
      </c>
      <c r="H1957" t="s">
        <v>35</v>
      </c>
      <c r="I1957" s="36">
        <v>2874</v>
      </c>
      <c r="J1957" s="36">
        <v>2874</v>
      </c>
      <c r="K1957" s="85">
        <v>0</v>
      </c>
      <c r="L1957" s="36">
        <v>239.5</v>
      </c>
      <c r="M1957" s="36">
        <v>0</v>
      </c>
      <c r="N1957" s="36">
        <v>36.35</v>
      </c>
      <c r="O1957" s="36">
        <v>203.15</v>
      </c>
      <c r="P1957" t="s">
        <v>165</v>
      </c>
      <c r="Q1957" t="s">
        <v>166</v>
      </c>
      <c r="R1957" t="s">
        <v>166</v>
      </c>
      <c r="S1957" s="1">
        <v>46092</v>
      </c>
      <c r="T1957" s="1">
        <v>46092</v>
      </c>
      <c r="U1957" s="1">
        <v>46092</v>
      </c>
      <c r="V1957" s="1">
        <v>46457</v>
      </c>
      <c r="W1957" t="s">
        <v>38</v>
      </c>
      <c r="X1957">
        <v>12</v>
      </c>
      <c r="Y1957" t="s">
        <v>49</v>
      </c>
      <c r="Z1957" t="s">
        <v>81</v>
      </c>
      <c r="AA1957" t="s">
        <v>112</v>
      </c>
      <c r="AB1957">
        <v>12</v>
      </c>
      <c r="AC1957" t="s">
        <v>166</v>
      </c>
      <c r="AD1957" t="s">
        <v>118</v>
      </c>
      <c r="AE1957" t="s">
        <v>43</v>
      </c>
      <c r="AF1957" t="s">
        <v>119</v>
      </c>
      <c r="AG1957" t="str">
        <f t="shared" si="33"/>
        <v>CC 12x</v>
      </c>
      <c r="AH1957" t="str">
        <f>IF(AND(SUMIF(E:E,E1957,I:I)&gt;=400000,Q1957="B2G"),"n","")</f>
        <v/>
      </c>
    </row>
    <row r="1958" spans="1:34">
      <c r="A1958">
        <v>2026</v>
      </c>
      <c r="B1958">
        <v>3</v>
      </c>
      <c r="C1958" s="83">
        <v>105281760282</v>
      </c>
      <c r="D1958" t="s">
        <v>1846</v>
      </c>
      <c r="E1958">
        <v>58384067978</v>
      </c>
      <c r="F1958">
        <v>531658</v>
      </c>
      <c r="G1958">
        <v>53640550766</v>
      </c>
      <c r="H1958" t="s">
        <v>35</v>
      </c>
      <c r="I1958" s="36">
        <v>4099.68</v>
      </c>
      <c r="J1958" s="36">
        <v>4099.68</v>
      </c>
      <c r="K1958" s="85">
        <v>0</v>
      </c>
      <c r="L1958" s="36">
        <v>341.64</v>
      </c>
      <c r="M1958" s="36">
        <v>0</v>
      </c>
      <c r="N1958" s="36">
        <v>56.3</v>
      </c>
      <c r="O1958" s="36">
        <v>285.33999999999997</v>
      </c>
      <c r="P1958" t="s">
        <v>162</v>
      </c>
      <c r="Q1958" t="s">
        <v>111</v>
      </c>
      <c r="R1958" t="s">
        <v>111</v>
      </c>
      <c r="S1958" s="1">
        <v>46107</v>
      </c>
      <c r="T1958" s="1">
        <v>46107</v>
      </c>
      <c r="U1958" s="1">
        <v>46112</v>
      </c>
      <c r="V1958" s="1">
        <v>46477</v>
      </c>
      <c r="W1958" t="s">
        <v>38</v>
      </c>
      <c r="X1958">
        <v>12</v>
      </c>
      <c r="Y1958" t="s">
        <v>49</v>
      </c>
      <c r="Z1958" t="s">
        <v>81</v>
      </c>
      <c r="AA1958" t="s">
        <v>122</v>
      </c>
      <c r="AB1958">
        <v>12</v>
      </c>
      <c r="AC1958" t="s">
        <v>113</v>
      </c>
      <c r="AD1958" t="s">
        <v>85</v>
      </c>
      <c r="AE1958" t="s">
        <v>46</v>
      </c>
      <c r="AF1958" t="s">
        <v>44</v>
      </c>
      <c r="AG1958" t="str">
        <f t="shared" si="33"/>
        <v>Recorrente</v>
      </c>
      <c r="AH1958" t="str">
        <f>IF(AND(SUMIF(E:E,E1958,I:I)&gt;=400000,Q1958="B2G"),"n","")</f>
        <v/>
      </c>
    </row>
    <row r="1959" spans="1:34">
      <c r="A1959">
        <v>2026</v>
      </c>
      <c r="B1959">
        <v>3</v>
      </c>
      <c r="C1959" s="83">
        <v>105491352338</v>
      </c>
      <c r="D1959" t="s">
        <v>1847</v>
      </c>
      <c r="E1959">
        <v>57035221323</v>
      </c>
      <c r="F1959">
        <v>627337</v>
      </c>
      <c r="G1959">
        <v>53090703984</v>
      </c>
      <c r="H1959" t="s">
        <v>35</v>
      </c>
      <c r="I1959" s="36">
        <v>2874</v>
      </c>
      <c r="J1959" s="36">
        <v>2874</v>
      </c>
      <c r="K1959" s="85">
        <v>0</v>
      </c>
      <c r="L1959" s="36">
        <v>239.5</v>
      </c>
      <c r="M1959" s="36">
        <v>0</v>
      </c>
      <c r="N1959" s="36">
        <v>0</v>
      </c>
      <c r="O1959" s="36">
        <v>239.5</v>
      </c>
      <c r="P1959" t="s">
        <v>162</v>
      </c>
      <c r="Q1959" t="s">
        <v>111</v>
      </c>
      <c r="R1959" t="s">
        <v>111</v>
      </c>
      <c r="S1959" s="1">
        <v>46095</v>
      </c>
      <c r="T1959" s="1">
        <v>46095</v>
      </c>
      <c r="U1959" s="1">
        <v>46093</v>
      </c>
      <c r="V1959" s="1">
        <v>46460</v>
      </c>
      <c r="W1959" t="s">
        <v>38</v>
      </c>
      <c r="X1959">
        <v>12</v>
      </c>
      <c r="Y1959" t="s">
        <v>49</v>
      </c>
      <c r="Z1959" t="s">
        <v>76</v>
      </c>
      <c r="AA1959" t="s">
        <v>122</v>
      </c>
      <c r="AB1959">
        <v>12</v>
      </c>
      <c r="AC1959" t="s">
        <v>113</v>
      </c>
      <c r="AD1959" t="s">
        <v>118</v>
      </c>
      <c r="AE1959" t="s">
        <v>43</v>
      </c>
      <c r="AF1959" t="s">
        <v>119</v>
      </c>
      <c r="AG1959" t="str">
        <f t="shared" si="33"/>
        <v>Recorrente</v>
      </c>
      <c r="AH1959" t="str">
        <f>IF(AND(SUMIF(E:E,E1959,I:I)&gt;=400000,Q1959="B2G"),"n","")</f>
        <v/>
      </c>
    </row>
    <row r="1960" spans="1:34">
      <c r="A1960">
        <v>2026</v>
      </c>
      <c r="B1960">
        <v>3</v>
      </c>
      <c r="C1960" s="83">
        <v>105514210130</v>
      </c>
      <c r="D1960" t="s">
        <v>1848</v>
      </c>
      <c r="E1960">
        <v>55932950390</v>
      </c>
      <c r="F1960">
        <v>627305</v>
      </c>
      <c r="G1960">
        <v>51225562403</v>
      </c>
      <c r="H1960" t="s">
        <v>35</v>
      </c>
      <c r="I1960" s="36">
        <v>4530.6000000000004</v>
      </c>
      <c r="J1960" s="36">
        <v>4530.6000000000004</v>
      </c>
      <c r="K1960" s="85">
        <v>0</v>
      </c>
      <c r="L1960" s="36">
        <v>377.55</v>
      </c>
      <c r="M1960" s="36">
        <v>0</v>
      </c>
      <c r="N1960" s="36">
        <v>87.3</v>
      </c>
      <c r="O1960" s="36">
        <v>290.25</v>
      </c>
      <c r="P1960" t="s">
        <v>165</v>
      </c>
      <c r="Q1960" t="s">
        <v>166</v>
      </c>
      <c r="R1960" t="s">
        <v>166</v>
      </c>
      <c r="S1960" s="1">
        <v>46093</v>
      </c>
      <c r="T1960" s="1">
        <v>46093</v>
      </c>
      <c r="U1960" s="1">
        <v>46093</v>
      </c>
      <c r="V1960" s="1">
        <v>46458</v>
      </c>
      <c r="W1960" t="s">
        <v>38</v>
      </c>
      <c r="X1960">
        <v>12</v>
      </c>
      <c r="Y1960" t="s">
        <v>49</v>
      </c>
      <c r="Z1960" t="s">
        <v>81</v>
      </c>
      <c r="AA1960" t="s">
        <v>112</v>
      </c>
      <c r="AB1960">
        <v>12</v>
      </c>
      <c r="AC1960" t="s">
        <v>166</v>
      </c>
      <c r="AD1960" t="s">
        <v>84</v>
      </c>
      <c r="AE1960" t="s">
        <v>43</v>
      </c>
      <c r="AF1960" t="s">
        <v>44</v>
      </c>
      <c r="AG1960" t="str">
        <f t="shared" si="33"/>
        <v>CC 12x</v>
      </c>
      <c r="AH1960" t="str">
        <f>IF(AND(SUMIF(E:E,E1960,I:I)&gt;=400000,Q1960="B2G"),"n","")</f>
        <v/>
      </c>
    </row>
    <row r="1961" spans="1:34">
      <c r="A1961">
        <v>2026</v>
      </c>
      <c r="B1961">
        <v>3</v>
      </c>
      <c r="C1961" s="83">
        <v>105552195605</v>
      </c>
      <c r="D1961" t="s">
        <v>1849</v>
      </c>
      <c r="E1961">
        <v>55935893296</v>
      </c>
      <c r="F1961">
        <v>627172</v>
      </c>
      <c r="G1961">
        <v>51233401448</v>
      </c>
      <c r="H1961" t="s">
        <v>35</v>
      </c>
      <c r="I1961" s="36">
        <v>5178.6000000000004</v>
      </c>
      <c r="J1961" s="36">
        <v>5178.6000000000004</v>
      </c>
      <c r="K1961" s="85">
        <v>0</v>
      </c>
      <c r="L1961" s="36">
        <v>431.55</v>
      </c>
      <c r="M1961" s="36">
        <v>0</v>
      </c>
      <c r="N1961" s="36">
        <v>65.75</v>
      </c>
      <c r="O1961" s="36">
        <v>365.8</v>
      </c>
      <c r="P1961" t="s">
        <v>165</v>
      </c>
      <c r="Q1961" t="s">
        <v>166</v>
      </c>
      <c r="R1961" t="s">
        <v>166</v>
      </c>
      <c r="S1961" s="1">
        <v>46088</v>
      </c>
      <c r="T1961" s="1">
        <v>46088</v>
      </c>
      <c r="U1961" s="1">
        <v>46088</v>
      </c>
      <c r="V1961" s="1">
        <v>46453</v>
      </c>
      <c r="W1961" t="s">
        <v>38</v>
      </c>
      <c r="X1961">
        <v>12</v>
      </c>
      <c r="Y1961" t="s">
        <v>49</v>
      </c>
      <c r="Z1961" t="s">
        <v>81</v>
      </c>
      <c r="AA1961" t="s">
        <v>112</v>
      </c>
      <c r="AB1961">
        <v>12</v>
      </c>
      <c r="AC1961" t="s">
        <v>166</v>
      </c>
      <c r="AD1961" t="s">
        <v>85</v>
      </c>
      <c r="AE1961" t="s">
        <v>46</v>
      </c>
      <c r="AF1961" t="s">
        <v>44</v>
      </c>
      <c r="AG1961" t="str">
        <f t="shared" si="33"/>
        <v>CC 12x</v>
      </c>
      <c r="AH1961" t="str">
        <f>IF(AND(SUMIF(E:E,E1961,I:I)&gt;=400000,Q1961="B2G"),"n","")</f>
        <v/>
      </c>
    </row>
    <row r="1962" spans="1:34">
      <c r="A1962">
        <v>2026</v>
      </c>
      <c r="B1962">
        <v>3</v>
      </c>
      <c r="C1962" s="83">
        <v>105775491881</v>
      </c>
      <c r="D1962" t="s">
        <v>1850</v>
      </c>
      <c r="E1962">
        <v>55943410432</v>
      </c>
      <c r="F1962">
        <v>627539</v>
      </c>
      <c r="G1962">
        <v>51259911009</v>
      </c>
      <c r="H1962" t="s">
        <v>35</v>
      </c>
      <c r="I1962" s="36">
        <v>2586.6</v>
      </c>
      <c r="J1962" s="36">
        <v>2586.6</v>
      </c>
      <c r="K1962" s="85">
        <v>0</v>
      </c>
      <c r="L1962" s="36">
        <v>215.55</v>
      </c>
      <c r="M1962" s="36">
        <v>0</v>
      </c>
      <c r="N1962" s="36">
        <v>42.15</v>
      </c>
      <c r="O1962" s="36">
        <v>173.4</v>
      </c>
      <c r="P1962" t="s">
        <v>165</v>
      </c>
      <c r="Q1962" t="s">
        <v>166</v>
      </c>
      <c r="R1962" t="s">
        <v>166</v>
      </c>
      <c r="S1962" s="1">
        <v>46100</v>
      </c>
      <c r="T1962" s="1">
        <v>46100</v>
      </c>
      <c r="U1962" s="1">
        <v>46100</v>
      </c>
      <c r="V1962" s="1">
        <v>46465</v>
      </c>
      <c r="W1962" t="s">
        <v>38</v>
      </c>
      <c r="X1962">
        <v>12</v>
      </c>
      <c r="Y1962" t="s">
        <v>49</v>
      </c>
      <c r="Z1962" t="s">
        <v>81</v>
      </c>
      <c r="AA1962" t="s">
        <v>112</v>
      </c>
      <c r="AB1962">
        <v>1</v>
      </c>
      <c r="AC1962" t="s">
        <v>166</v>
      </c>
      <c r="AD1962" t="s">
        <v>118</v>
      </c>
      <c r="AE1962" t="s">
        <v>43</v>
      </c>
      <c r="AF1962" t="s">
        <v>119</v>
      </c>
      <c r="AG1962" t="str">
        <f t="shared" si="33"/>
        <v>À Vista</v>
      </c>
      <c r="AH1962" t="str">
        <f>IF(AND(SUMIF(E:E,E1962,I:I)&gt;=400000,Q1962="B2G"),"n","")</f>
        <v/>
      </c>
    </row>
    <row r="1963" spans="1:34">
      <c r="A1963">
        <v>2026</v>
      </c>
      <c r="B1963">
        <v>3</v>
      </c>
      <c r="C1963" s="83">
        <v>105802229864</v>
      </c>
      <c r="D1963" t="s">
        <v>1851</v>
      </c>
      <c r="E1963">
        <v>55885624481</v>
      </c>
      <c r="F1963">
        <v>627943</v>
      </c>
      <c r="G1963">
        <v>51183967519</v>
      </c>
      <c r="H1963" t="s">
        <v>35</v>
      </c>
      <c r="I1963" s="36">
        <v>4530.6000000000004</v>
      </c>
      <c r="J1963" s="36">
        <v>4530.6000000000004</v>
      </c>
      <c r="K1963" s="85">
        <v>0</v>
      </c>
      <c r="L1963" s="36">
        <v>377.55</v>
      </c>
      <c r="M1963" s="36">
        <v>0</v>
      </c>
      <c r="N1963" s="36">
        <v>87.3</v>
      </c>
      <c r="O1963" s="36">
        <v>290.25</v>
      </c>
      <c r="P1963" t="s">
        <v>165</v>
      </c>
      <c r="Q1963" t="s">
        <v>166</v>
      </c>
      <c r="R1963" t="s">
        <v>166</v>
      </c>
      <c r="S1963" s="1">
        <v>46107</v>
      </c>
      <c r="T1963" s="1">
        <v>46107</v>
      </c>
      <c r="U1963" s="1">
        <v>46108</v>
      </c>
      <c r="V1963" s="1">
        <v>46473</v>
      </c>
      <c r="W1963" t="s">
        <v>38</v>
      </c>
      <c r="X1963">
        <v>12</v>
      </c>
      <c r="Y1963" t="s">
        <v>49</v>
      </c>
      <c r="Z1963" t="s">
        <v>81</v>
      </c>
      <c r="AA1963" t="s">
        <v>122</v>
      </c>
      <c r="AB1963">
        <v>12</v>
      </c>
      <c r="AC1963" t="s">
        <v>166</v>
      </c>
      <c r="AD1963" t="s">
        <v>84</v>
      </c>
      <c r="AE1963" t="s">
        <v>43</v>
      </c>
      <c r="AF1963" t="s">
        <v>44</v>
      </c>
      <c r="AG1963" t="str">
        <f t="shared" si="33"/>
        <v>Recorrente</v>
      </c>
      <c r="AH1963" t="str">
        <f>IF(AND(SUMIF(E:E,E1963,I:I)&gt;=400000,Q1963="B2G"),"n","")</f>
        <v/>
      </c>
    </row>
    <row r="1964" spans="1:34">
      <c r="A1964">
        <v>2026</v>
      </c>
      <c r="B1964">
        <v>3</v>
      </c>
      <c r="C1964" s="83">
        <v>105862588449</v>
      </c>
      <c r="D1964" t="s">
        <v>1852</v>
      </c>
      <c r="E1964">
        <v>57354655085</v>
      </c>
      <c r="F1964">
        <v>278776</v>
      </c>
      <c r="G1964">
        <v>52704616375</v>
      </c>
      <c r="H1964" t="s">
        <v>35</v>
      </c>
      <c r="I1964" s="36">
        <v>7015.44</v>
      </c>
      <c r="J1964" s="36">
        <v>7015.44</v>
      </c>
      <c r="K1964" s="85">
        <v>0</v>
      </c>
      <c r="L1964" s="36">
        <v>584.62</v>
      </c>
      <c r="M1964" s="36">
        <v>0</v>
      </c>
      <c r="N1964" s="36">
        <v>104.08499999999999</v>
      </c>
      <c r="O1964" s="36">
        <v>480.54</v>
      </c>
      <c r="P1964" t="s">
        <v>127</v>
      </c>
      <c r="Q1964" t="s">
        <v>111</v>
      </c>
      <c r="R1964" t="s">
        <v>111</v>
      </c>
      <c r="S1964" s="1">
        <v>46093</v>
      </c>
      <c r="T1964" s="1">
        <v>46093</v>
      </c>
      <c r="U1964" s="1">
        <v>46096</v>
      </c>
      <c r="V1964" s="1">
        <v>46461</v>
      </c>
      <c r="W1964" t="s">
        <v>38</v>
      </c>
      <c r="X1964">
        <v>12</v>
      </c>
      <c r="Y1964" t="s">
        <v>49</v>
      </c>
      <c r="Z1964" t="s">
        <v>81</v>
      </c>
      <c r="AA1964" t="s">
        <v>117</v>
      </c>
      <c r="AB1964">
        <v>1</v>
      </c>
      <c r="AC1964" t="s">
        <v>113</v>
      </c>
      <c r="AD1964" t="s">
        <v>134</v>
      </c>
      <c r="AE1964" t="s">
        <v>135</v>
      </c>
      <c r="AF1964" t="s">
        <v>44</v>
      </c>
      <c r="AG1964" t="str">
        <f t="shared" si="33"/>
        <v>À Vista</v>
      </c>
      <c r="AH1964" t="str">
        <f>IF(AND(SUMIF(E:E,E1964,I:I)&gt;=400000,Q1964="B2G"),"n","")</f>
        <v/>
      </c>
    </row>
    <row r="1965" spans="1:34">
      <c r="A1965">
        <v>2026</v>
      </c>
      <c r="B1965">
        <v>3</v>
      </c>
      <c r="C1965" s="83">
        <v>106028185183</v>
      </c>
      <c r="D1965" t="s">
        <v>1853</v>
      </c>
      <c r="E1965">
        <v>57350936204</v>
      </c>
      <c r="F1965">
        <v>628006</v>
      </c>
      <c r="G1965">
        <v>52603183876</v>
      </c>
      <c r="H1965" t="s">
        <v>35</v>
      </c>
      <c r="I1965" s="36">
        <v>5754</v>
      </c>
      <c r="J1965" s="36">
        <v>5754</v>
      </c>
      <c r="K1965" s="85">
        <v>0</v>
      </c>
      <c r="L1965" s="36">
        <v>479.5</v>
      </c>
      <c r="M1965" s="36">
        <v>479.5</v>
      </c>
      <c r="N1965" s="36">
        <v>0</v>
      </c>
      <c r="O1965" s="36">
        <v>0</v>
      </c>
      <c r="P1965" t="s">
        <v>127</v>
      </c>
      <c r="Q1965" t="s">
        <v>111</v>
      </c>
      <c r="R1965" t="s">
        <v>111</v>
      </c>
      <c r="S1965" s="1">
        <v>46083</v>
      </c>
      <c r="T1965" s="1">
        <v>46083</v>
      </c>
      <c r="U1965" s="1">
        <v>46081</v>
      </c>
      <c r="V1965" s="1">
        <v>46477</v>
      </c>
      <c r="W1965" t="s">
        <v>38</v>
      </c>
      <c r="X1965">
        <v>13</v>
      </c>
      <c r="Y1965" t="s">
        <v>49</v>
      </c>
      <c r="Z1965" t="s">
        <v>81</v>
      </c>
      <c r="AA1965" t="s">
        <v>122</v>
      </c>
      <c r="AB1965">
        <v>12</v>
      </c>
      <c r="AC1965" t="s">
        <v>113</v>
      </c>
      <c r="AD1965" t="s">
        <v>85</v>
      </c>
      <c r="AE1965" t="s">
        <v>46</v>
      </c>
      <c r="AF1965" t="s">
        <v>44</v>
      </c>
      <c r="AG1965" t="str">
        <f t="shared" si="33"/>
        <v>Recorrente</v>
      </c>
      <c r="AH1965" t="str">
        <f>IF(AND(SUMIF(E:E,E1965,I:I)&gt;=400000,Q1965="B2G"),"n","")</f>
        <v/>
      </c>
    </row>
    <row r="1966" spans="1:34">
      <c r="A1966">
        <v>2026</v>
      </c>
      <c r="B1966">
        <v>3</v>
      </c>
      <c r="C1966" s="83">
        <v>106093105518</v>
      </c>
      <c r="D1966" t="s">
        <v>1854</v>
      </c>
      <c r="E1966">
        <v>57733586517</v>
      </c>
      <c r="F1966">
        <v>529029</v>
      </c>
      <c r="G1966">
        <v>53241857944</v>
      </c>
      <c r="H1966" t="s">
        <v>35</v>
      </c>
      <c r="I1966" s="36">
        <v>7670.28</v>
      </c>
      <c r="J1966" s="36">
        <v>7670.28</v>
      </c>
      <c r="K1966" s="85">
        <v>9.0949500000000005E-13</v>
      </c>
      <c r="L1966" s="36">
        <v>639.19000000000005</v>
      </c>
      <c r="M1966" s="36">
        <v>0</v>
      </c>
      <c r="N1966" s="36">
        <v>11.04</v>
      </c>
      <c r="O1966" s="36">
        <v>628.15</v>
      </c>
      <c r="P1966" t="s">
        <v>133</v>
      </c>
      <c r="Q1966" t="s">
        <v>111</v>
      </c>
      <c r="R1966" t="s">
        <v>111</v>
      </c>
      <c r="S1966" s="1">
        <v>46098</v>
      </c>
      <c r="T1966" s="1">
        <v>46098</v>
      </c>
      <c r="U1966" s="1">
        <v>46087</v>
      </c>
      <c r="V1966" s="1">
        <v>46463</v>
      </c>
      <c r="W1966" t="s">
        <v>38</v>
      </c>
      <c r="X1966">
        <v>12</v>
      </c>
      <c r="Y1966" t="s">
        <v>49</v>
      </c>
      <c r="Z1966" t="s">
        <v>81</v>
      </c>
      <c r="AA1966" t="s">
        <v>112</v>
      </c>
      <c r="AB1966">
        <v>12</v>
      </c>
      <c r="AC1966" t="s">
        <v>113</v>
      </c>
      <c r="AD1966" t="s">
        <v>134</v>
      </c>
      <c r="AE1966" t="s">
        <v>135</v>
      </c>
      <c r="AF1966" t="s">
        <v>44</v>
      </c>
      <c r="AG1966" t="str">
        <f t="shared" si="33"/>
        <v>CC 12x</v>
      </c>
      <c r="AH1966" t="str">
        <f>IF(AND(SUMIF(E:E,E1966,I:I)&gt;=400000,Q1966="B2G"),"n","")</f>
        <v/>
      </c>
    </row>
    <row r="1967" spans="1:34">
      <c r="A1967">
        <v>2026</v>
      </c>
      <c r="B1967">
        <v>3</v>
      </c>
      <c r="C1967" s="83">
        <v>106648704693</v>
      </c>
      <c r="D1967" t="s">
        <v>1855</v>
      </c>
      <c r="E1967">
        <v>57731111740</v>
      </c>
      <c r="F1967">
        <v>627135</v>
      </c>
      <c r="G1967">
        <v>53383500096</v>
      </c>
      <c r="H1967" t="s">
        <v>35</v>
      </c>
      <c r="I1967" s="36">
        <v>9588</v>
      </c>
      <c r="J1967" s="36">
        <v>9588</v>
      </c>
      <c r="K1967" s="85">
        <v>0</v>
      </c>
      <c r="L1967" s="36">
        <v>799</v>
      </c>
      <c r="M1967" s="36">
        <v>0</v>
      </c>
      <c r="N1967" s="36">
        <v>0</v>
      </c>
      <c r="O1967" s="36">
        <v>798.99894500000005</v>
      </c>
      <c r="P1967" t="s">
        <v>116</v>
      </c>
      <c r="Q1967" t="s">
        <v>111</v>
      </c>
      <c r="R1967" t="s">
        <v>111</v>
      </c>
      <c r="S1967" s="1">
        <v>46100</v>
      </c>
      <c r="T1967" s="1">
        <v>46100</v>
      </c>
      <c r="U1967" s="1">
        <v>46087</v>
      </c>
      <c r="V1967" s="1">
        <v>46465</v>
      </c>
      <c r="W1967" t="s">
        <v>38</v>
      </c>
      <c r="X1967">
        <v>12</v>
      </c>
      <c r="Y1967" t="s">
        <v>49</v>
      </c>
      <c r="Z1967" t="s">
        <v>81</v>
      </c>
      <c r="AA1967" t="s">
        <v>82</v>
      </c>
      <c r="AB1967">
        <v>1</v>
      </c>
      <c r="AC1967" t="s">
        <v>113</v>
      </c>
      <c r="AD1967" t="s">
        <v>154</v>
      </c>
      <c r="AE1967" t="s">
        <v>46</v>
      </c>
      <c r="AF1967" t="s">
        <v>47</v>
      </c>
      <c r="AG1967" t="str">
        <f t="shared" si="33"/>
        <v>À Vista</v>
      </c>
      <c r="AH1967" t="str">
        <f>IF(AND(SUMIF(E:E,E1967,I:I)&gt;=400000,Q1967="B2G"),"n","")</f>
        <v/>
      </c>
    </row>
    <row r="1968" spans="1:34">
      <c r="A1968">
        <v>2026</v>
      </c>
      <c r="B1968">
        <v>3</v>
      </c>
      <c r="C1968" s="83">
        <v>106656211821</v>
      </c>
      <c r="D1968" t="s">
        <v>1856</v>
      </c>
      <c r="E1968">
        <v>55933251467</v>
      </c>
      <c r="F1968">
        <v>627468</v>
      </c>
      <c r="G1968">
        <v>51240951951</v>
      </c>
      <c r="H1968" t="s">
        <v>35</v>
      </c>
      <c r="I1968" s="36">
        <v>2874</v>
      </c>
      <c r="J1968" s="36">
        <v>2874</v>
      </c>
      <c r="K1968" s="85">
        <v>0</v>
      </c>
      <c r="L1968" s="36">
        <v>239.5</v>
      </c>
      <c r="M1968" s="36">
        <v>0</v>
      </c>
      <c r="N1968" s="36">
        <v>96.1</v>
      </c>
      <c r="O1968" s="36">
        <v>143.4</v>
      </c>
      <c r="P1968" t="s">
        <v>165</v>
      </c>
      <c r="Q1968" t="s">
        <v>166</v>
      </c>
      <c r="R1968" t="s">
        <v>166</v>
      </c>
      <c r="S1968" s="1">
        <v>46098</v>
      </c>
      <c r="T1968" s="1">
        <v>46098</v>
      </c>
      <c r="U1968" s="1">
        <v>46098</v>
      </c>
      <c r="V1968" s="1">
        <v>46463</v>
      </c>
      <c r="W1968" t="s">
        <v>38</v>
      </c>
      <c r="X1968">
        <v>12</v>
      </c>
      <c r="Y1968" t="s">
        <v>49</v>
      </c>
      <c r="Z1968" t="s">
        <v>81</v>
      </c>
      <c r="AA1968" t="s">
        <v>112</v>
      </c>
      <c r="AB1968">
        <v>12</v>
      </c>
      <c r="AC1968" t="s">
        <v>166</v>
      </c>
      <c r="AD1968" t="s">
        <v>140</v>
      </c>
      <c r="AE1968" t="s">
        <v>46</v>
      </c>
      <c r="AF1968" t="s">
        <v>119</v>
      </c>
      <c r="AG1968" t="str">
        <f t="shared" si="33"/>
        <v>CC 12x</v>
      </c>
      <c r="AH1968" t="str">
        <f>IF(AND(SUMIF(E:E,E1968,I:I)&gt;=400000,Q1968="B2G"),"n","")</f>
        <v/>
      </c>
    </row>
    <row r="1969" spans="1:34">
      <c r="A1969">
        <v>2026</v>
      </c>
      <c r="B1969">
        <v>3</v>
      </c>
      <c r="C1969" s="83">
        <v>106662177966</v>
      </c>
      <c r="D1969" t="s">
        <v>1857</v>
      </c>
      <c r="E1969">
        <v>58366351464</v>
      </c>
      <c r="F1969">
        <v>531428</v>
      </c>
      <c r="G1969">
        <v>53601777746</v>
      </c>
      <c r="H1969" t="s">
        <v>35</v>
      </c>
      <c r="I1969" s="36">
        <v>4530.6000000000004</v>
      </c>
      <c r="J1969" s="36">
        <v>4530.6000000000004</v>
      </c>
      <c r="K1969" s="85">
        <v>0</v>
      </c>
      <c r="L1969" s="36">
        <v>377.55</v>
      </c>
      <c r="M1969" s="36">
        <v>0</v>
      </c>
      <c r="N1969" s="36">
        <v>75.55</v>
      </c>
      <c r="O1969" s="36">
        <v>302</v>
      </c>
      <c r="P1969" t="s">
        <v>121</v>
      </c>
      <c r="Q1969" t="s">
        <v>111</v>
      </c>
      <c r="R1969" t="s">
        <v>111</v>
      </c>
      <c r="S1969" s="1">
        <v>46107</v>
      </c>
      <c r="T1969" s="1">
        <v>46107</v>
      </c>
      <c r="U1969" s="1">
        <v>46111</v>
      </c>
      <c r="V1969" s="1">
        <v>46476</v>
      </c>
      <c r="W1969" t="s">
        <v>38</v>
      </c>
      <c r="X1969">
        <v>12</v>
      </c>
      <c r="Y1969" t="s">
        <v>49</v>
      </c>
      <c r="Z1969" t="s">
        <v>81</v>
      </c>
      <c r="AA1969" t="s">
        <v>112</v>
      </c>
      <c r="AB1969">
        <v>12</v>
      </c>
      <c r="AC1969" t="s">
        <v>113</v>
      </c>
      <c r="AD1969" t="s">
        <v>84</v>
      </c>
      <c r="AE1969" t="s">
        <v>43</v>
      </c>
      <c r="AF1969" t="s">
        <v>44</v>
      </c>
      <c r="AG1969" t="str">
        <f t="shared" si="33"/>
        <v>CC 12x</v>
      </c>
      <c r="AH1969" t="str">
        <f>IF(AND(SUMIF(E:E,E1969,I:I)&gt;=400000,Q1969="B2G"),"n","")</f>
        <v/>
      </c>
    </row>
    <row r="1970" spans="1:34">
      <c r="A1970">
        <v>2026</v>
      </c>
      <c r="B1970">
        <v>3</v>
      </c>
      <c r="C1970" s="83">
        <v>106667752601</v>
      </c>
      <c r="D1970" t="s">
        <v>1858</v>
      </c>
      <c r="E1970">
        <v>57034259776</v>
      </c>
      <c r="F1970">
        <v>310183</v>
      </c>
      <c r="G1970">
        <v>53452830819</v>
      </c>
      <c r="H1970" t="s">
        <v>35</v>
      </c>
      <c r="I1970" s="36">
        <v>2874</v>
      </c>
      <c r="J1970" s="36">
        <v>2874</v>
      </c>
      <c r="K1970" s="85">
        <v>0</v>
      </c>
      <c r="L1970" s="36">
        <v>239.5</v>
      </c>
      <c r="M1970" s="36">
        <v>239.5</v>
      </c>
      <c r="N1970" s="36">
        <v>0</v>
      </c>
      <c r="O1970" s="36">
        <v>0</v>
      </c>
      <c r="P1970" t="s">
        <v>110</v>
      </c>
      <c r="Q1970" t="s">
        <v>111</v>
      </c>
      <c r="R1970" t="s">
        <v>111</v>
      </c>
      <c r="S1970" s="1">
        <v>46104</v>
      </c>
      <c r="T1970" s="1">
        <v>46104</v>
      </c>
      <c r="U1970" s="1">
        <v>46109</v>
      </c>
      <c r="V1970" s="1">
        <v>46474</v>
      </c>
      <c r="W1970" t="s">
        <v>38</v>
      </c>
      <c r="X1970">
        <v>12</v>
      </c>
      <c r="Y1970" t="s">
        <v>49</v>
      </c>
      <c r="Z1970" t="s">
        <v>76</v>
      </c>
      <c r="AA1970" t="s">
        <v>122</v>
      </c>
      <c r="AB1970">
        <v>12</v>
      </c>
      <c r="AC1970" t="s">
        <v>113</v>
      </c>
      <c r="AD1970" t="s">
        <v>140</v>
      </c>
      <c r="AE1970" t="s">
        <v>46</v>
      </c>
      <c r="AF1970" t="s">
        <v>119</v>
      </c>
      <c r="AG1970" t="str">
        <f t="shared" si="33"/>
        <v>Recorrente</v>
      </c>
      <c r="AH1970" t="str">
        <f>IF(AND(SUMIF(E:E,E1970,I:I)&gt;=400000,Q1970="B2G"),"n","")</f>
        <v/>
      </c>
    </row>
    <row r="1971" spans="1:34">
      <c r="A1971">
        <v>2026</v>
      </c>
      <c r="B1971">
        <v>3</v>
      </c>
      <c r="C1971" s="83">
        <v>106683928454</v>
      </c>
      <c r="D1971" t="s">
        <v>1859</v>
      </c>
      <c r="E1971">
        <v>55507968416</v>
      </c>
      <c r="F1971">
        <v>530620</v>
      </c>
      <c r="G1971">
        <v>52869920912</v>
      </c>
      <c r="H1971" t="s">
        <v>35</v>
      </c>
      <c r="I1971" s="36">
        <v>3883.56</v>
      </c>
      <c r="J1971" s="36">
        <v>3883.56</v>
      </c>
      <c r="K1971" s="85">
        <v>0</v>
      </c>
      <c r="L1971" s="36">
        <v>323.63</v>
      </c>
      <c r="M1971" s="36">
        <v>0</v>
      </c>
      <c r="N1971" s="36">
        <v>38.238934999999998</v>
      </c>
      <c r="O1971" s="36">
        <v>285.39</v>
      </c>
      <c r="P1971" t="s">
        <v>110</v>
      </c>
      <c r="Q1971" t="s">
        <v>111</v>
      </c>
      <c r="R1971" t="s">
        <v>111</v>
      </c>
      <c r="S1971" s="1">
        <v>46087</v>
      </c>
      <c r="T1971" s="1">
        <v>46087</v>
      </c>
      <c r="U1971" s="1">
        <v>46103</v>
      </c>
      <c r="V1971" s="1">
        <v>46468</v>
      </c>
      <c r="W1971" t="s">
        <v>38</v>
      </c>
      <c r="X1971">
        <v>12</v>
      </c>
      <c r="Y1971" t="s">
        <v>49</v>
      </c>
      <c r="Z1971" t="s">
        <v>81</v>
      </c>
      <c r="AA1971" t="s">
        <v>112</v>
      </c>
      <c r="AB1971">
        <v>12</v>
      </c>
      <c r="AC1971" t="s">
        <v>113</v>
      </c>
      <c r="AD1971" t="s">
        <v>85</v>
      </c>
      <c r="AE1971" t="s">
        <v>46</v>
      </c>
      <c r="AF1971" t="s">
        <v>44</v>
      </c>
      <c r="AG1971" t="str">
        <f t="shared" si="33"/>
        <v>CC 12x</v>
      </c>
      <c r="AH1971" t="str">
        <f>IF(AND(SUMIF(E:E,E1971,I:I)&gt;=400000,Q1971="B2G"),"n","")</f>
        <v/>
      </c>
    </row>
    <row r="1972" spans="1:34">
      <c r="A1972">
        <v>2026</v>
      </c>
      <c r="B1972">
        <v>3</v>
      </c>
      <c r="C1972" s="83">
        <v>106707445163</v>
      </c>
      <c r="D1972" t="s">
        <v>1860</v>
      </c>
      <c r="E1972">
        <v>58387444333</v>
      </c>
      <c r="F1972">
        <v>531012</v>
      </c>
      <c r="G1972">
        <v>53747120568</v>
      </c>
      <c r="H1972" t="s">
        <v>35</v>
      </c>
      <c r="I1972" s="36">
        <v>3851.04</v>
      </c>
      <c r="J1972" s="36">
        <v>3851.04</v>
      </c>
      <c r="K1972" s="85">
        <v>0</v>
      </c>
      <c r="L1972" s="36">
        <v>320.92</v>
      </c>
      <c r="M1972" s="36">
        <v>0</v>
      </c>
      <c r="N1972" s="36">
        <v>11.321695</v>
      </c>
      <c r="O1972" s="36">
        <v>309.60000000000002</v>
      </c>
      <c r="P1972" t="s">
        <v>116</v>
      </c>
      <c r="Q1972" t="s">
        <v>111</v>
      </c>
      <c r="R1972" t="s">
        <v>111</v>
      </c>
      <c r="S1972" s="1">
        <v>46111</v>
      </c>
      <c r="T1972" s="1">
        <v>46111</v>
      </c>
      <c r="U1972" s="1">
        <v>46112</v>
      </c>
      <c r="V1972" s="1">
        <v>46477</v>
      </c>
      <c r="W1972" t="s">
        <v>38</v>
      </c>
      <c r="X1972">
        <v>12</v>
      </c>
      <c r="Y1972" t="s">
        <v>49</v>
      </c>
      <c r="Z1972" t="s">
        <v>81</v>
      </c>
      <c r="AA1972" t="s">
        <v>112</v>
      </c>
      <c r="AB1972">
        <v>12</v>
      </c>
      <c r="AC1972" t="s">
        <v>113</v>
      </c>
      <c r="AD1972" t="s">
        <v>84</v>
      </c>
      <c r="AE1972" t="s">
        <v>43</v>
      </c>
      <c r="AF1972" t="s">
        <v>44</v>
      </c>
      <c r="AG1972" t="str">
        <f t="shared" si="33"/>
        <v>CC 12x</v>
      </c>
      <c r="AH1972" t="str">
        <f>IF(AND(SUMIF(E:E,E1972,I:I)&gt;=400000,Q1972="B2G"),"n","")</f>
        <v/>
      </c>
    </row>
    <row r="1973" spans="1:34">
      <c r="A1973">
        <v>2026</v>
      </c>
      <c r="B1973">
        <v>3</v>
      </c>
      <c r="C1973" s="83">
        <v>106707620613</v>
      </c>
      <c r="D1973" t="s">
        <v>1861</v>
      </c>
      <c r="E1973">
        <v>58375717923</v>
      </c>
      <c r="F1973">
        <v>531780</v>
      </c>
      <c r="G1973">
        <v>53666508710</v>
      </c>
      <c r="H1973" t="s">
        <v>35</v>
      </c>
      <c r="I1973" s="36">
        <v>3912.72</v>
      </c>
      <c r="J1973" s="36">
        <v>3912.72</v>
      </c>
      <c r="K1973" s="85">
        <v>0</v>
      </c>
      <c r="L1973" s="36">
        <v>326.06</v>
      </c>
      <c r="M1973" s="36">
        <v>0</v>
      </c>
      <c r="N1973" s="36">
        <v>0</v>
      </c>
      <c r="O1973" s="36">
        <v>326.06</v>
      </c>
      <c r="P1973" t="s">
        <v>116</v>
      </c>
      <c r="Q1973" t="s">
        <v>111</v>
      </c>
      <c r="R1973" t="s">
        <v>111</v>
      </c>
      <c r="S1973" s="1">
        <v>46108</v>
      </c>
      <c r="T1973" s="1">
        <v>46108</v>
      </c>
      <c r="U1973" s="1">
        <v>46112</v>
      </c>
      <c r="V1973" s="1">
        <v>46477</v>
      </c>
      <c r="W1973" t="s">
        <v>38</v>
      </c>
      <c r="X1973">
        <v>12</v>
      </c>
      <c r="Y1973" t="s">
        <v>49</v>
      </c>
      <c r="Z1973" t="s">
        <v>81</v>
      </c>
      <c r="AA1973" t="s">
        <v>117</v>
      </c>
      <c r="AB1973">
        <v>1</v>
      </c>
      <c r="AC1973" t="s">
        <v>113</v>
      </c>
      <c r="AD1973" t="s">
        <v>85</v>
      </c>
      <c r="AE1973" t="s">
        <v>46</v>
      </c>
      <c r="AF1973" t="s">
        <v>44</v>
      </c>
      <c r="AG1973" t="str">
        <f t="shared" si="33"/>
        <v>À Vista</v>
      </c>
      <c r="AH1973" t="str">
        <f>IF(AND(SUMIF(E:E,E1973,I:I)&gt;=400000,Q1973="B2G"),"n","")</f>
        <v/>
      </c>
    </row>
    <row r="1974" spans="1:34">
      <c r="A1974">
        <v>2026</v>
      </c>
      <c r="B1974">
        <v>3</v>
      </c>
      <c r="C1974" s="83">
        <v>106707796855</v>
      </c>
      <c r="D1974" t="s">
        <v>1862</v>
      </c>
      <c r="E1974">
        <v>58272990320</v>
      </c>
      <c r="F1974">
        <v>310141</v>
      </c>
      <c r="G1974">
        <v>53710813014</v>
      </c>
      <c r="H1974" t="s">
        <v>35</v>
      </c>
      <c r="I1974" s="36">
        <v>5892.96</v>
      </c>
      <c r="J1974" s="36">
        <v>5892.96</v>
      </c>
      <c r="K1974" s="85">
        <v>0</v>
      </c>
      <c r="L1974" s="36">
        <v>491.08</v>
      </c>
      <c r="M1974" s="36">
        <v>0</v>
      </c>
      <c r="N1974" s="36">
        <v>25.515000000000001</v>
      </c>
      <c r="O1974" s="36">
        <v>465.57</v>
      </c>
      <c r="P1974" t="s">
        <v>133</v>
      </c>
      <c r="Q1974" t="s">
        <v>111</v>
      </c>
      <c r="R1974" t="s">
        <v>111</v>
      </c>
      <c r="S1974" s="1">
        <v>46112</v>
      </c>
      <c r="T1974" s="1">
        <v>46112</v>
      </c>
      <c r="U1974" s="1">
        <v>46104</v>
      </c>
      <c r="V1974" s="1">
        <v>46477</v>
      </c>
      <c r="W1974" t="s">
        <v>38</v>
      </c>
      <c r="X1974">
        <v>12</v>
      </c>
      <c r="Y1974" t="s">
        <v>49</v>
      </c>
      <c r="Z1974" t="s">
        <v>81</v>
      </c>
      <c r="AA1974" t="s">
        <v>112</v>
      </c>
      <c r="AB1974">
        <v>12</v>
      </c>
      <c r="AC1974" t="s">
        <v>113</v>
      </c>
      <c r="AD1974" t="s">
        <v>134</v>
      </c>
      <c r="AE1974" t="s">
        <v>135</v>
      </c>
      <c r="AF1974" t="s">
        <v>44</v>
      </c>
      <c r="AG1974" t="str">
        <f t="shared" si="33"/>
        <v>CC 12x</v>
      </c>
      <c r="AH1974" t="str">
        <f>IF(AND(SUMIF(E:E,E1974,I:I)&gt;=400000,Q1974="B2G"),"n","")</f>
        <v/>
      </c>
    </row>
    <row r="1975" spans="1:34">
      <c r="A1975">
        <v>2026</v>
      </c>
      <c r="B1975">
        <v>3</v>
      </c>
      <c r="C1975" s="83">
        <v>106707912025</v>
      </c>
      <c r="D1975" t="s">
        <v>1863</v>
      </c>
      <c r="E1975">
        <v>55784484221</v>
      </c>
      <c r="F1975">
        <v>530897</v>
      </c>
      <c r="G1975">
        <v>52868710818</v>
      </c>
      <c r="H1975" t="s">
        <v>35</v>
      </c>
      <c r="I1975" s="36">
        <v>6547.8</v>
      </c>
      <c r="J1975" s="36">
        <v>6547.8</v>
      </c>
      <c r="K1975" s="85">
        <v>9.0949500000000005E-13</v>
      </c>
      <c r="L1975" s="36">
        <v>545.65</v>
      </c>
      <c r="M1975" s="36">
        <v>0</v>
      </c>
      <c r="N1975" s="36">
        <v>11.72</v>
      </c>
      <c r="O1975" s="36">
        <v>533.92999999999995</v>
      </c>
      <c r="P1975" t="s">
        <v>110</v>
      </c>
      <c r="Q1975" t="s">
        <v>111</v>
      </c>
      <c r="R1975" t="s">
        <v>111</v>
      </c>
      <c r="S1975" s="1">
        <v>46101</v>
      </c>
      <c r="T1975" s="1">
        <v>46101</v>
      </c>
      <c r="U1975" s="1">
        <v>46105</v>
      </c>
      <c r="V1975" s="1">
        <v>46470</v>
      </c>
      <c r="W1975" t="s">
        <v>38</v>
      </c>
      <c r="X1975">
        <v>12</v>
      </c>
      <c r="Y1975" t="s">
        <v>49</v>
      </c>
      <c r="Z1975" t="s">
        <v>81</v>
      </c>
      <c r="AA1975" t="s">
        <v>117</v>
      </c>
      <c r="AB1975">
        <v>1</v>
      </c>
      <c r="AC1975" t="s">
        <v>113</v>
      </c>
      <c r="AD1975" t="s">
        <v>134</v>
      </c>
      <c r="AE1975" t="s">
        <v>135</v>
      </c>
      <c r="AF1975" t="s">
        <v>44</v>
      </c>
      <c r="AG1975" t="str">
        <f t="shared" si="33"/>
        <v>À Vista</v>
      </c>
      <c r="AH1975" t="str">
        <f>IF(AND(SUMIF(E:E,E1975,I:I)&gt;=400000,Q1975="B2G"),"n","")</f>
        <v/>
      </c>
    </row>
    <row r="1976" spans="1:34">
      <c r="A1976">
        <v>2026</v>
      </c>
      <c r="B1976">
        <v>3</v>
      </c>
      <c r="C1976" s="83">
        <v>106718669990</v>
      </c>
      <c r="D1976" t="s">
        <v>1864</v>
      </c>
      <c r="E1976">
        <v>56850572574</v>
      </c>
      <c r="F1976">
        <v>508668</v>
      </c>
      <c r="G1976">
        <v>53452778934</v>
      </c>
      <c r="H1976" t="s">
        <v>35</v>
      </c>
      <c r="I1976" s="36">
        <v>4919.6400000000003</v>
      </c>
      <c r="J1976" s="36">
        <v>4919.6400000000003</v>
      </c>
      <c r="K1976" s="85">
        <v>0</v>
      </c>
      <c r="L1976" s="36">
        <v>409.97</v>
      </c>
      <c r="M1976" s="36">
        <v>409.97</v>
      </c>
      <c r="N1976" s="36">
        <v>0</v>
      </c>
      <c r="O1976" s="36">
        <v>0</v>
      </c>
      <c r="P1976" t="s">
        <v>110</v>
      </c>
      <c r="Q1976" t="s">
        <v>111</v>
      </c>
      <c r="R1976" t="s">
        <v>111</v>
      </c>
      <c r="S1976" s="1">
        <v>46105</v>
      </c>
      <c r="T1976" s="1">
        <v>46105</v>
      </c>
      <c r="U1976" s="1">
        <v>46106</v>
      </c>
      <c r="V1976" s="1">
        <v>46471</v>
      </c>
      <c r="W1976" t="s">
        <v>38</v>
      </c>
      <c r="X1976">
        <v>12</v>
      </c>
      <c r="Y1976" t="s">
        <v>49</v>
      </c>
      <c r="Z1976" t="s">
        <v>81</v>
      </c>
      <c r="AA1976" t="s">
        <v>112</v>
      </c>
      <c r="AB1976">
        <v>12</v>
      </c>
      <c r="AC1976" t="s">
        <v>113</v>
      </c>
      <c r="AD1976" t="s">
        <v>85</v>
      </c>
      <c r="AE1976" t="s">
        <v>46</v>
      </c>
      <c r="AF1976" t="s">
        <v>44</v>
      </c>
      <c r="AG1976" t="str">
        <f t="shared" si="33"/>
        <v>CC 12x</v>
      </c>
      <c r="AH1976" t="str">
        <f>IF(AND(SUMIF(E:E,E1976,I:I)&gt;=400000,Q1976="B2G"),"n","")</f>
        <v/>
      </c>
    </row>
    <row r="1977" spans="1:34">
      <c r="A1977">
        <v>2026</v>
      </c>
      <c r="B1977">
        <v>3</v>
      </c>
      <c r="C1977" s="83">
        <v>106719679098</v>
      </c>
      <c r="D1977" t="s">
        <v>1865</v>
      </c>
      <c r="E1977">
        <v>56003403433</v>
      </c>
      <c r="F1977">
        <v>508700</v>
      </c>
      <c r="G1977">
        <v>52873082184</v>
      </c>
      <c r="H1977" t="s">
        <v>35</v>
      </c>
      <c r="I1977" s="36">
        <v>5754</v>
      </c>
      <c r="J1977" s="36">
        <v>5754</v>
      </c>
      <c r="K1977" s="85">
        <v>0</v>
      </c>
      <c r="L1977" s="36">
        <v>479.5</v>
      </c>
      <c r="M1977" s="36">
        <v>0</v>
      </c>
      <c r="N1977" s="36">
        <v>0</v>
      </c>
      <c r="O1977" s="36">
        <v>479.5</v>
      </c>
      <c r="P1977" t="s">
        <v>137</v>
      </c>
      <c r="Q1977" t="s">
        <v>111</v>
      </c>
      <c r="R1977" t="s">
        <v>111</v>
      </c>
      <c r="S1977" s="1">
        <v>46108</v>
      </c>
      <c r="T1977" s="1">
        <v>46108</v>
      </c>
      <c r="U1977" s="1">
        <v>46109</v>
      </c>
      <c r="V1977" s="1">
        <v>46474</v>
      </c>
      <c r="W1977" t="s">
        <v>38</v>
      </c>
      <c r="X1977">
        <v>12</v>
      </c>
      <c r="Y1977" t="s">
        <v>49</v>
      </c>
      <c r="Z1977" t="s">
        <v>76</v>
      </c>
      <c r="AA1977" t="s">
        <v>112</v>
      </c>
      <c r="AB1977">
        <v>12</v>
      </c>
      <c r="AC1977" t="s">
        <v>113</v>
      </c>
      <c r="AD1977" t="s">
        <v>85</v>
      </c>
      <c r="AE1977" t="s">
        <v>46</v>
      </c>
      <c r="AF1977" t="s">
        <v>44</v>
      </c>
      <c r="AG1977" t="str">
        <f t="shared" si="33"/>
        <v>CC 12x</v>
      </c>
      <c r="AH1977" t="str">
        <f>IF(AND(SUMIF(E:E,E1977,I:I)&gt;=400000,Q1977="B2G"),"n","")</f>
        <v/>
      </c>
    </row>
    <row r="1978" spans="1:34">
      <c r="A1978">
        <v>2026</v>
      </c>
      <c r="B1978">
        <v>3</v>
      </c>
      <c r="C1978" s="83">
        <v>106898425119</v>
      </c>
      <c r="D1978" t="s">
        <v>1866</v>
      </c>
      <c r="E1978">
        <v>58182395246</v>
      </c>
      <c r="F1978">
        <v>627546</v>
      </c>
      <c r="G1978">
        <v>53409939049</v>
      </c>
      <c r="H1978" t="s">
        <v>35</v>
      </c>
      <c r="I1978" s="36">
        <v>2586.6</v>
      </c>
      <c r="J1978" s="36">
        <v>2586.6</v>
      </c>
      <c r="K1978" s="85">
        <v>0</v>
      </c>
      <c r="L1978" s="36">
        <v>215.55</v>
      </c>
      <c r="M1978" s="36">
        <v>0</v>
      </c>
      <c r="N1978" s="36">
        <v>22.56</v>
      </c>
      <c r="O1978" s="36">
        <v>192.99</v>
      </c>
      <c r="P1978" t="s">
        <v>162</v>
      </c>
      <c r="Q1978" t="s">
        <v>111</v>
      </c>
      <c r="R1978" t="s">
        <v>111</v>
      </c>
      <c r="S1978" s="1">
        <v>46101</v>
      </c>
      <c r="T1978" s="1">
        <v>46101</v>
      </c>
      <c r="U1978" s="1">
        <v>46100</v>
      </c>
      <c r="V1978" s="1">
        <v>46466</v>
      </c>
      <c r="W1978" t="s">
        <v>38</v>
      </c>
      <c r="X1978">
        <v>12</v>
      </c>
      <c r="Y1978" t="s">
        <v>49</v>
      </c>
      <c r="Z1978" t="s">
        <v>81</v>
      </c>
      <c r="AA1978" t="s">
        <v>112</v>
      </c>
      <c r="AB1978">
        <v>12</v>
      </c>
      <c r="AC1978" t="s">
        <v>113</v>
      </c>
      <c r="AD1978" t="s">
        <v>118</v>
      </c>
      <c r="AE1978" t="s">
        <v>43</v>
      </c>
      <c r="AF1978" t="s">
        <v>119</v>
      </c>
      <c r="AG1978" t="str">
        <f t="shared" si="33"/>
        <v>CC 12x</v>
      </c>
      <c r="AH1978" t="str">
        <f>IF(AND(SUMIF(E:E,E1978,I:I)&gt;=400000,Q1978="B2G"),"n","")</f>
        <v/>
      </c>
    </row>
    <row r="1979" spans="1:34">
      <c r="A1979">
        <v>2026</v>
      </c>
      <c r="B1979">
        <v>3</v>
      </c>
      <c r="C1979" s="83">
        <v>106942461077</v>
      </c>
      <c r="D1979" t="s">
        <v>930</v>
      </c>
      <c r="E1979">
        <v>55278455881</v>
      </c>
      <c r="F1979">
        <v>627517</v>
      </c>
      <c r="G1979">
        <v>50535716869</v>
      </c>
      <c r="H1979" t="s">
        <v>35</v>
      </c>
      <c r="I1979" s="36">
        <v>6354</v>
      </c>
      <c r="J1979" s="36">
        <v>6354</v>
      </c>
      <c r="K1979" s="85">
        <v>0</v>
      </c>
      <c r="L1979" s="36">
        <v>529.5</v>
      </c>
      <c r="M1979" s="36">
        <v>0</v>
      </c>
      <c r="N1979" s="36">
        <v>105.35</v>
      </c>
      <c r="O1979" s="36">
        <v>424.15</v>
      </c>
      <c r="P1979" t="s">
        <v>165</v>
      </c>
      <c r="Q1979" t="s">
        <v>166</v>
      </c>
      <c r="R1979" t="s">
        <v>166</v>
      </c>
      <c r="S1979" s="1">
        <v>46099</v>
      </c>
      <c r="T1979" s="1">
        <v>46099</v>
      </c>
      <c r="U1979" s="1">
        <v>46099</v>
      </c>
      <c r="V1979" s="1">
        <v>46464</v>
      </c>
      <c r="W1979" t="s">
        <v>38</v>
      </c>
      <c r="X1979">
        <v>12</v>
      </c>
      <c r="Y1979" t="s">
        <v>49</v>
      </c>
      <c r="Z1979" t="s">
        <v>81</v>
      </c>
      <c r="AA1979" t="s">
        <v>122</v>
      </c>
      <c r="AB1979">
        <v>12</v>
      </c>
      <c r="AC1979" t="s">
        <v>166</v>
      </c>
      <c r="AD1979" t="s">
        <v>149</v>
      </c>
      <c r="AE1979" t="s">
        <v>43</v>
      </c>
      <c r="AF1979" t="s">
        <v>96</v>
      </c>
      <c r="AG1979" t="str">
        <f t="shared" si="33"/>
        <v>Recorrente</v>
      </c>
      <c r="AH1979" t="str">
        <f>IF(AND(SUMIF(E:E,E1979,I:I)&gt;=400000,Q1979="B2G"),"n","")</f>
        <v/>
      </c>
    </row>
    <row r="1980" spans="1:34">
      <c r="A1980">
        <v>2026</v>
      </c>
      <c r="B1980">
        <v>3</v>
      </c>
      <c r="C1980" s="83">
        <v>106970052159</v>
      </c>
      <c r="D1980" t="s">
        <v>1867</v>
      </c>
      <c r="E1980">
        <v>58383911041</v>
      </c>
      <c r="F1980">
        <v>328236</v>
      </c>
      <c r="G1980">
        <v>53808836155</v>
      </c>
      <c r="H1980" t="s">
        <v>35</v>
      </c>
      <c r="I1980" s="36">
        <v>7747.2</v>
      </c>
      <c r="J1980" s="36">
        <v>7747.2</v>
      </c>
      <c r="K1980" s="85">
        <v>0</v>
      </c>
      <c r="L1980" s="36">
        <v>645.6</v>
      </c>
      <c r="M1980" s="36">
        <v>0</v>
      </c>
      <c r="N1980" s="36">
        <v>0</v>
      </c>
      <c r="O1980" s="36">
        <v>645.59625000000005</v>
      </c>
      <c r="P1980" t="s">
        <v>137</v>
      </c>
      <c r="Q1980" t="s">
        <v>111</v>
      </c>
      <c r="R1980" t="s">
        <v>111</v>
      </c>
      <c r="S1980" s="1">
        <v>46112</v>
      </c>
      <c r="T1980" s="1">
        <v>46112</v>
      </c>
      <c r="U1980" s="1">
        <v>46107</v>
      </c>
      <c r="V1980" s="1">
        <v>46477</v>
      </c>
      <c r="W1980" t="s">
        <v>38</v>
      </c>
      <c r="X1980">
        <v>12</v>
      </c>
      <c r="Y1980" t="s">
        <v>49</v>
      </c>
      <c r="Z1980" t="s">
        <v>81</v>
      </c>
      <c r="AA1980" t="s">
        <v>122</v>
      </c>
      <c r="AB1980">
        <v>12</v>
      </c>
      <c r="AC1980" t="s">
        <v>113</v>
      </c>
      <c r="AD1980" t="s">
        <v>131</v>
      </c>
      <c r="AE1980" t="s">
        <v>46</v>
      </c>
      <c r="AF1980" t="s">
        <v>96</v>
      </c>
      <c r="AG1980" t="str">
        <f t="shared" ref="AG1980:AG2043" si="34">IF(IFERROR(SEARCH("Recorrente",AA1980),0)&gt;0,"Recorrente",IF(AB1980=1,"À Vista",IF(AB1980&lt;=3,"CC 3x",IF(AB1980&lt;=12,"CC 12x",IF(AB1980&gt;12,"Recorrente","")))))</f>
        <v>Recorrente</v>
      </c>
      <c r="AH1980" t="str">
        <f>IF(AND(SUMIF(E:E,E1980,I:I)&gt;=400000,Q1980="B2G"),"n","")</f>
        <v/>
      </c>
    </row>
    <row r="1981" spans="1:34">
      <c r="A1981">
        <v>2026</v>
      </c>
      <c r="B1981">
        <v>3</v>
      </c>
      <c r="C1981" s="83">
        <v>107328177774</v>
      </c>
      <c r="D1981" t="s">
        <v>1868</v>
      </c>
      <c r="E1981">
        <v>55926812583</v>
      </c>
      <c r="F1981">
        <v>627440</v>
      </c>
      <c r="G1981">
        <v>51248225964</v>
      </c>
      <c r="H1981" t="s">
        <v>35</v>
      </c>
      <c r="I1981" s="36">
        <v>2874</v>
      </c>
      <c r="J1981" s="36">
        <v>2874</v>
      </c>
      <c r="K1981" s="85">
        <v>0</v>
      </c>
      <c r="L1981" s="36">
        <v>239.5</v>
      </c>
      <c r="M1981" s="36">
        <v>0</v>
      </c>
      <c r="N1981" s="36">
        <v>0.5</v>
      </c>
      <c r="O1981" s="36">
        <v>239</v>
      </c>
      <c r="P1981" t="s">
        <v>165</v>
      </c>
      <c r="Q1981" t="s">
        <v>166</v>
      </c>
      <c r="R1981" t="s">
        <v>166</v>
      </c>
      <c r="S1981" s="1">
        <v>46098</v>
      </c>
      <c r="T1981" s="1">
        <v>46098</v>
      </c>
      <c r="U1981" s="1">
        <v>46098</v>
      </c>
      <c r="V1981" s="1">
        <v>46463</v>
      </c>
      <c r="W1981" t="s">
        <v>38</v>
      </c>
      <c r="X1981">
        <v>12</v>
      </c>
      <c r="Y1981" t="s">
        <v>49</v>
      </c>
      <c r="Z1981" t="s">
        <v>81</v>
      </c>
      <c r="AA1981" t="s">
        <v>112</v>
      </c>
      <c r="AB1981">
        <v>12</v>
      </c>
      <c r="AC1981" t="s">
        <v>166</v>
      </c>
      <c r="AD1981" t="s">
        <v>140</v>
      </c>
      <c r="AE1981" t="s">
        <v>46</v>
      </c>
      <c r="AF1981" t="s">
        <v>119</v>
      </c>
      <c r="AG1981" t="str">
        <f t="shared" si="34"/>
        <v>CC 12x</v>
      </c>
      <c r="AH1981" t="str">
        <f>IF(AND(SUMIF(E:E,E1981,I:I)&gt;=400000,Q1981="B2G"),"n","")</f>
        <v/>
      </c>
    </row>
    <row r="1982" spans="1:34">
      <c r="A1982">
        <v>2026</v>
      </c>
      <c r="B1982">
        <v>3</v>
      </c>
      <c r="C1982" s="83">
        <v>107378781271</v>
      </c>
      <c r="D1982" t="s">
        <v>1869</v>
      </c>
      <c r="E1982">
        <v>57543408138</v>
      </c>
      <c r="F1982">
        <v>627579</v>
      </c>
      <c r="G1982">
        <v>52798489501</v>
      </c>
      <c r="H1982" t="s">
        <v>35</v>
      </c>
      <c r="I1982" s="36">
        <v>4430.5200000000004</v>
      </c>
      <c r="J1982" s="36">
        <v>4430.5200000000004</v>
      </c>
      <c r="K1982" s="85">
        <v>0</v>
      </c>
      <c r="L1982" s="36">
        <v>369.21</v>
      </c>
      <c r="M1982" s="36">
        <v>0</v>
      </c>
      <c r="N1982" s="36">
        <v>3.415</v>
      </c>
      <c r="O1982" s="36">
        <v>365.8</v>
      </c>
      <c r="P1982" t="s">
        <v>133</v>
      </c>
      <c r="Q1982" t="s">
        <v>111</v>
      </c>
      <c r="R1982" t="s">
        <v>111</v>
      </c>
      <c r="S1982" s="1">
        <v>46091</v>
      </c>
      <c r="T1982" s="1">
        <v>46091</v>
      </c>
      <c r="U1982" s="1">
        <v>46101</v>
      </c>
      <c r="V1982" s="1">
        <v>46466</v>
      </c>
      <c r="W1982" t="s">
        <v>38</v>
      </c>
      <c r="X1982">
        <v>12</v>
      </c>
      <c r="Y1982" t="s">
        <v>49</v>
      </c>
      <c r="Z1982" t="s">
        <v>81</v>
      </c>
      <c r="AA1982" t="s">
        <v>112</v>
      </c>
      <c r="AB1982">
        <v>12</v>
      </c>
      <c r="AC1982" t="s">
        <v>113</v>
      </c>
      <c r="AD1982" t="s">
        <v>85</v>
      </c>
      <c r="AE1982" t="s">
        <v>46</v>
      </c>
      <c r="AF1982" t="s">
        <v>44</v>
      </c>
      <c r="AG1982" t="str">
        <f t="shared" si="34"/>
        <v>CC 12x</v>
      </c>
      <c r="AH1982" t="str">
        <f>IF(AND(SUMIF(E:E,E1982,I:I)&gt;=400000,Q1982="B2G"),"n","")</f>
        <v/>
      </c>
    </row>
    <row r="1983" spans="1:34">
      <c r="A1983">
        <v>2026</v>
      </c>
      <c r="B1983">
        <v>3</v>
      </c>
      <c r="C1983" s="83">
        <v>107583409924</v>
      </c>
      <c r="D1983" t="s">
        <v>1870</v>
      </c>
      <c r="E1983">
        <v>56176634790</v>
      </c>
      <c r="F1983">
        <v>611723</v>
      </c>
      <c r="G1983">
        <v>51320146448</v>
      </c>
      <c r="H1983" t="s">
        <v>35</v>
      </c>
      <c r="I1983" s="36">
        <v>2874</v>
      </c>
      <c r="J1983" s="36">
        <v>2874</v>
      </c>
      <c r="K1983" s="85">
        <v>0</v>
      </c>
      <c r="L1983" s="36">
        <v>239.5</v>
      </c>
      <c r="M1983" s="36">
        <v>0</v>
      </c>
      <c r="N1983" s="36">
        <v>36.35</v>
      </c>
      <c r="O1983" s="36">
        <v>203.15</v>
      </c>
      <c r="P1983" t="s">
        <v>165</v>
      </c>
      <c r="Q1983" t="s">
        <v>166</v>
      </c>
      <c r="R1983" t="s">
        <v>166</v>
      </c>
      <c r="S1983" s="1">
        <v>46100</v>
      </c>
      <c r="T1983" s="1">
        <v>46100</v>
      </c>
      <c r="U1983" s="1">
        <v>46100</v>
      </c>
      <c r="V1983" s="1">
        <v>46465</v>
      </c>
      <c r="W1983" t="s">
        <v>38</v>
      </c>
      <c r="X1983">
        <v>12</v>
      </c>
      <c r="Y1983" t="s">
        <v>49</v>
      </c>
      <c r="Z1983" t="s">
        <v>81</v>
      </c>
      <c r="AA1983" t="s">
        <v>112</v>
      </c>
      <c r="AB1983">
        <v>12</v>
      </c>
      <c r="AC1983" t="s">
        <v>166</v>
      </c>
      <c r="AD1983" t="s">
        <v>140</v>
      </c>
      <c r="AE1983" t="s">
        <v>46</v>
      </c>
      <c r="AF1983" t="s">
        <v>119</v>
      </c>
      <c r="AG1983" t="str">
        <f t="shared" si="34"/>
        <v>CC 12x</v>
      </c>
      <c r="AH1983" t="str">
        <f>IF(AND(SUMIF(E:E,E1983,I:I)&gt;=400000,Q1983="B2G"),"n","")</f>
        <v/>
      </c>
    </row>
    <row r="1984" spans="1:34">
      <c r="A1984">
        <v>2026</v>
      </c>
      <c r="B1984">
        <v>3</v>
      </c>
      <c r="C1984" s="83">
        <v>107585661228</v>
      </c>
      <c r="D1984" t="s">
        <v>1871</v>
      </c>
      <c r="E1984">
        <v>55427244576</v>
      </c>
      <c r="F1984">
        <v>627599</v>
      </c>
      <c r="G1984">
        <v>50590859697</v>
      </c>
      <c r="H1984" t="s">
        <v>35</v>
      </c>
      <c r="I1984" s="36">
        <v>2874</v>
      </c>
      <c r="J1984" s="36">
        <v>2874</v>
      </c>
      <c r="K1984" s="85">
        <v>0</v>
      </c>
      <c r="L1984" s="36">
        <v>239.5</v>
      </c>
      <c r="M1984" s="36">
        <v>0</v>
      </c>
      <c r="N1984" s="36">
        <v>36.35</v>
      </c>
      <c r="O1984" s="36">
        <v>203.15</v>
      </c>
      <c r="P1984" t="s">
        <v>165</v>
      </c>
      <c r="Q1984" t="s">
        <v>166</v>
      </c>
      <c r="R1984" t="s">
        <v>166</v>
      </c>
      <c r="S1984" s="1">
        <v>46101</v>
      </c>
      <c r="T1984" s="1">
        <v>46101</v>
      </c>
      <c r="U1984" s="1">
        <v>46101</v>
      </c>
      <c r="V1984" s="1">
        <v>46466</v>
      </c>
      <c r="W1984" t="s">
        <v>38</v>
      </c>
      <c r="X1984">
        <v>12</v>
      </c>
      <c r="Y1984" t="s">
        <v>49</v>
      </c>
      <c r="Z1984" t="s">
        <v>81</v>
      </c>
      <c r="AA1984" t="s">
        <v>122</v>
      </c>
      <c r="AB1984">
        <v>12</v>
      </c>
      <c r="AC1984" t="s">
        <v>166</v>
      </c>
      <c r="AD1984" t="s">
        <v>140</v>
      </c>
      <c r="AE1984" t="s">
        <v>46</v>
      </c>
      <c r="AF1984" t="s">
        <v>119</v>
      </c>
      <c r="AG1984" t="str">
        <f t="shared" si="34"/>
        <v>Recorrente</v>
      </c>
      <c r="AH1984" t="str">
        <f>IF(AND(SUMIF(E:E,E1984,I:I)&gt;=400000,Q1984="B2G"),"n","")</f>
        <v/>
      </c>
    </row>
    <row r="1985" spans="1:34">
      <c r="A1985">
        <v>2026</v>
      </c>
      <c r="B1985">
        <v>3</v>
      </c>
      <c r="C1985" s="83">
        <v>107607831866</v>
      </c>
      <c r="D1985" t="s">
        <v>1872</v>
      </c>
      <c r="E1985">
        <v>55936342373</v>
      </c>
      <c r="F1985">
        <v>627605</v>
      </c>
      <c r="G1985">
        <v>51243113386</v>
      </c>
      <c r="H1985" t="s">
        <v>35</v>
      </c>
      <c r="I1985" s="36">
        <v>3666.6</v>
      </c>
      <c r="J1985" s="36">
        <v>3666.6</v>
      </c>
      <c r="K1985" s="85">
        <v>0</v>
      </c>
      <c r="L1985" s="36">
        <v>305.55</v>
      </c>
      <c r="M1985" s="36">
        <v>0</v>
      </c>
      <c r="N1985" s="36">
        <v>73.8</v>
      </c>
      <c r="O1985" s="36">
        <v>231.75</v>
      </c>
      <c r="P1985" t="s">
        <v>165</v>
      </c>
      <c r="Q1985" t="s">
        <v>166</v>
      </c>
      <c r="R1985" t="s">
        <v>166</v>
      </c>
      <c r="S1985" s="1">
        <v>46101</v>
      </c>
      <c r="T1985" s="1">
        <v>46101</v>
      </c>
      <c r="U1985" s="1">
        <v>46101</v>
      </c>
      <c r="V1985" s="1">
        <v>46466</v>
      </c>
      <c r="W1985" t="s">
        <v>38</v>
      </c>
      <c r="X1985">
        <v>12</v>
      </c>
      <c r="Y1985" t="s">
        <v>49</v>
      </c>
      <c r="Z1985" t="s">
        <v>81</v>
      </c>
      <c r="AA1985" t="s">
        <v>112</v>
      </c>
      <c r="AB1985">
        <v>12</v>
      </c>
      <c r="AC1985" t="s">
        <v>166</v>
      </c>
      <c r="AD1985" t="s">
        <v>114</v>
      </c>
      <c r="AE1985" t="s">
        <v>43</v>
      </c>
      <c r="AF1985" t="s">
        <v>44</v>
      </c>
      <c r="AG1985" t="str">
        <f t="shared" si="34"/>
        <v>CC 12x</v>
      </c>
      <c r="AH1985" t="str">
        <f>IF(AND(SUMIF(E:E,E1985,I:I)&gt;=400000,Q1985="B2G"),"n","")</f>
        <v/>
      </c>
    </row>
    <row r="1986" spans="1:34">
      <c r="A1986">
        <v>2026</v>
      </c>
      <c r="B1986">
        <v>3</v>
      </c>
      <c r="C1986" s="83">
        <v>107630132993</v>
      </c>
      <c r="D1986" t="s">
        <v>1873</v>
      </c>
      <c r="E1986">
        <v>58220602276</v>
      </c>
      <c r="F1986">
        <v>627612</v>
      </c>
      <c r="G1986">
        <v>53492893794</v>
      </c>
      <c r="H1986" t="s">
        <v>35</v>
      </c>
      <c r="I1986" s="36">
        <v>5611.68</v>
      </c>
      <c r="J1986" s="36">
        <v>5611.68</v>
      </c>
      <c r="K1986" s="85">
        <v>0</v>
      </c>
      <c r="L1986" s="36">
        <v>467.64</v>
      </c>
      <c r="M1986" s="36">
        <v>0</v>
      </c>
      <c r="N1986" s="36">
        <v>4.25</v>
      </c>
      <c r="O1986" s="36">
        <v>463.39</v>
      </c>
      <c r="P1986" t="s">
        <v>116</v>
      </c>
      <c r="Q1986" t="s">
        <v>111</v>
      </c>
      <c r="R1986" t="s">
        <v>111</v>
      </c>
      <c r="S1986" s="1">
        <v>46105</v>
      </c>
      <c r="T1986" s="1">
        <v>46105</v>
      </c>
      <c r="U1986" s="1">
        <v>46101</v>
      </c>
      <c r="V1986" s="1">
        <v>46471</v>
      </c>
      <c r="W1986" t="s">
        <v>38</v>
      </c>
      <c r="X1986">
        <v>12</v>
      </c>
      <c r="Y1986" t="s">
        <v>49</v>
      </c>
      <c r="Z1986" t="s">
        <v>81</v>
      </c>
      <c r="AA1986" t="s">
        <v>112</v>
      </c>
      <c r="AB1986">
        <v>12</v>
      </c>
      <c r="AC1986" t="s">
        <v>113</v>
      </c>
      <c r="AD1986" t="s">
        <v>125</v>
      </c>
      <c r="AE1986" t="s">
        <v>43</v>
      </c>
      <c r="AF1986" t="s">
        <v>47</v>
      </c>
      <c r="AG1986" t="str">
        <f t="shared" si="34"/>
        <v>CC 12x</v>
      </c>
      <c r="AH1986" t="str">
        <f>IF(AND(SUMIF(E:E,E1986,I:I)&gt;=400000,Q1986="B2G"),"n","")</f>
        <v/>
      </c>
    </row>
    <row r="1987" spans="1:34">
      <c r="A1987">
        <v>2026</v>
      </c>
      <c r="B1987">
        <v>3</v>
      </c>
      <c r="C1987" s="83">
        <v>107856483336</v>
      </c>
      <c r="D1987" t="s">
        <v>1874</v>
      </c>
      <c r="E1987">
        <v>58379229828</v>
      </c>
      <c r="F1987">
        <v>612293</v>
      </c>
      <c r="G1987">
        <v>53666449182</v>
      </c>
      <c r="H1987" t="s">
        <v>35</v>
      </c>
      <c r="I1987" s="36">
        <v>4646.3999999999996</v>
      </c>
      <c r="J1987" s="36">
        <v>4646.3999999999996</v>
      </c>
      <c r="K1987" s="85">
        <v>0</v>
      </c>
      <c r="L1987" s="36">
        <v>387.2</v>
      </c>
      <c r="M1987" s="36">
        <v>0</v>
      </c>
      <c r="N1987" s="36">
        <v>21.396999999999998</v>
      </c>
      <c r="O1987" s="36">
        <v>365.8</v>
      </c>
      <c r="P1987" t="s">
        <v>162</v>
      </c>
      <c r="Q1987" t="s">
        <v>111</v>
      </c>
      <c r="R1987" t="s">
        <v>111</v>
      </c>
      <c r="S1987" s="1">
        <v>46108</v>
      </c>
      <c r="T1987" s="1">
        <v>46108</v>
      </c>
      <c r="U1987" s="1">
        <v>46108</v>
      </c>
      <c r="V1987" s="1">
        <v>46473</v>
      </c>
      <c r="W1987" t="s">
        <v>38</v>
      </c>
      <c r="X1987">
        <v>12</v>
      </c>
      <c r="Y1987" t="s">
        <v>49</v>
      </c>
      <c r="Z1987" t="s">
        <v>81</v>
      </c>
      <c r="AA1987" t="s">
        <v>112</v>
      </c>
      <c r="AB1987">
        <v>12</v>
      </c>
      <c r="AC1987" t="s">
        <v>113</v>
      </c>
      <c r="AD1987" t="s">
        <v>85</v>
      </c>
      <c r="AE1987" t="s">
        <v>46</v>
      </c>
      <c r="AF1987" t="s">
        <v>44</v>
      </c>
      <c r="AG1987" t="str">
        <f t="shared" si="34"/>
        <v>CC 12x</v>
      </c>
      <c r="AH1987" t="str">
        <f>IF(AND(SUMIF(E:E,E1987,I:I)&gt;=400000,Q1987="B2G"),"n","")</f>
        <v/>
      </c>
    </row>
    <row r="1988" spans="1:34">
      <c r="A1988">
        <v>2026</v>
      </c>
      <c r="B1988">
        <v>3</v>
      </c>
      <c r="C1988" s="83">
        <v>10823428460</v>
      </c>
      <c r="D1988" t="s">
        <v>1875</v>
      </c>
      <c r="E1988">
        <v>57988617486</v>
      </c>
      <c r="F1988">
        <v>636532</v>
      </c>
      <c r="G1988">
        <v>53208777633</v>
      </c>
      <c r="H1988" t="s">
        <v>35</v>
      </c>
      <c r="I1988" s="36">
        <v>4127.88</v>
      </c>
      <c r="J1988" s="36">
        <v>4127.88</v>
      </c>
      <c r="K1988" s="85">
        <v>0</v>
      </c>
      <c r="L1988" s="36">
        <v>343.99</v>
      </c>
      <c r="M1988" s="36">
        <v>343.99</v>
      </c>
      <c r="N1988" s="36">
        <v>0</v>
      </c>
      <c r="O1988" s="36">
        <v>0</v>
      </c>
      <c r="P1988" t="s">
        <v>506</v>
      </c>
      <c r="Q1988" t="s">
        <v>300</v>
      </c>
      <c r="R1988" t="s">
        <v>300</v>
      </c>
      <c r="S1988" s="1">
        <v>46097</v>
      </c>
      <c r="T1988" s="1">
        <v>46097</v>
      </c>
      <c r="U1988" s="1"/>
      <c r="V1988" s="1">
        <v>46462</v>
      </c>
      <c r="W1988" t="s">
        <v>38</v>
      </c>
      <c r="X1988">
        <v>12</v>
      </c>
      <c r="Y1988" t="s">
        <v>49</v>
      </c>
      <c r="AA1988" t="s">
        <v>117</v>
      </c>
      <c r="AB1988">
        <v>1</v>
      </c>
      <c r="AC1988" t="s">
        <v>301</v>
      </c>
      <c r="AD1988" t="s">
        <v>84</v>
      </c>
      <c r="AE1988" t="s">
        <v>43</v>
      </c>
      <c r="AF1988" t="s">
        <v>44</v>
      </c>
      <c r="AG1988" t="str">
        <f t="shared" si="34"/>
        <v>À Vista</v>
      </c>
      <c r="AH1988" t="str">
        <f>IF(AND(SUMIF(E:E,E1988,I:I)&gt;=400000,Q1988="B2G"),"n","")</f>
        <v/>
      </c>
    </row>
    <row r="1989" spans="1:34">
      <c r="A1989">
        <v>2026</v>
      </c>
      <c r="B1989">
        <v>3</v>
      </c>
      <c r="C1989" s="83">
        <v>108398165429</v>
      </c>
      <c r="D1989" t="s">
        <v>1876</v>
      </c>
      <c r="E1989">
        <v>58362841395</v>
      </c>
      <c r="F1989">
        <v>529028</v>
      </c>
      <c r="G1989">
        <v>53710977544</v>
      </c>
      <c r="H1989" t="s">
        <v>35</v>
      </c>
      <c r="I1989" s="36">
        <v>5260.92</v>
      </c>
      <c r="J1989" s="36">
        <v>5260.92</v>
      </c>
      <c r="K1989" s="85">
        <v>0</v>
      </c>
      <c r="L1989" s="36">
        <v>438.41</v>
      </c>
      <c r="M1989" s="36">
        <v>0</v>
      </c>
      <c r="N1989" s="36">
        <v>76.012500000000003</v>
      </c>
      <c r="O1989" s="36">
        <v>362.4</v>
      </c>
      <c r="P1989" t="s">
        <v>110</v>
      </c>
      <c r="Q1989" t="s">
        <v>111</v>
      </c>
      <c r="R1989" t="s">
        <v>111</v>
      </c>
      <c r="S1989" s="1">
        <v>46111</v>
      </c>
      <c r="T1989" s="1">
        <v>46111</v>
      </c>
      <c r="U1989" s="1">
        <v>46108</v>
      </c>
      <c r="V1989" s="1">
        <v>46476</v>
      </c>
      <c r="W1989" t="s">
        <v>38</v>
      </c>
      <c r="X1989">
        <v>12</v>
      </c>
      <c r="Y1989" t="s">
        <v>49</v>
      </c>
      <c r="Z1989" t="s">
        <v>81</v>
      </c>
      <c r="AA1989" t="s">
        <v>122</v>
      </c>
      <c r="AB1989">
        <v>12</v>
      </c>
      <c r="AC1989" t="s">
        <v>113</v>
      </c>
      <c r="AD1989" t="s">
        <v>125</v>
      </c>
      <c r="AE1989" t="s">
        <v>43</v>
      </c>
      <c r="AF1989" t="s">
        <v>47</v>
      </c>
      <c r="AG1989" t="str">
        <f t="shared" si="34"/>
        <v>Recorrente</v>
      </c>
      <c r="AH1989" t="str">
        <f>IF(AND(SUMIF(E:E,E1989,I:I)&gt;=400000,Q1989="B2G"),"n","")</f>
        <v/>
      </c>
    </row>
    <row r="1990" spans="1:34">
      <c r="A1990">
        <v>2026</v>
      </c>
      <c r="B1990">
        <v>3</v>
      </c>
      <c r="C1990" s="83">
        <v>108778914227</v>
      </c>
      <c r="D1990" t="s">
        <v>1877</v>
      </c>
      <c r="E1990">
        <v>58479697691</v>
      </c>
      <c r="F1990">
        <v>636764</v>
      </c>
      <c r="G1990">
        <v>53744431225</v>
      </c>
      <c r="H1990" t="s">
        <v>35</v>
      </c>
      <c r="I1990" s="36">
        <v>361</v>
      </c>
      <c r="J1990" s="36">
        <v>4332</v>
      </c>
      <c r="K1990" s="85">
        <v>0</v>
      </c>
      <c r="L1990" s="36">
        <v>361</v>
      </c>
      <c r="M1990" s="36">
        <v>361</v>
      </c>
      <c r="N1990" s="36">
        <v>0</v>
      </c>
      <c r="O1990" s="36">
        <v>0</v>
      </c>
      <c r="P1990" t="s">
        <v>121</v>
      </c>
      <c r="Q1990" t="s">
        <v>111</v>
      </c>
      <c r="R1990" t="s">
        <v>111</v>
      </c>
      <c r="S1990" s="1">
        <v>46111</v>
      </c>
      <c r="T1990" s="1">
        <v>46111</v>
      </c>
      <c r="V1990" s="1">
        <v>46142</v>
      </c>
      <c r="W1990" t="s">
        <v>679</v>
      </c>
      <c r="X1990">
        <v>1</v>
      </c>
      <c r="Y1990" t="s">
        <v>49</v>
      </c>
      <c r="AA1990" t="s">
        <v>117</v>
      </c>
      <c r="AB1990">
        <v>1</v>
      </c>
      <c r="AC1990" t="s">
        <v>113</v>
      </c>
      <c r="AD1990" t="s">
        <v>140</v>
      </c>
      <c r="AE1990" t="s">
        <v>46</v>
      </c>
      <c r="AF1990" t="s">
        <v>119</v>
      </c>
      <c r="AG1990" t="str">
        <f t="shared" si="34"/>
        <v>À Vista</v>
      </c>
      <c r="AH1990" t="str">
        <f>IF(AND(SUMIF(E:E,E1990,I:I)&gt;=400000,Q1990="B2G"),"n","")</f>
        <v/>
      </c>
    </row>
    <row r="1991" spans="1:34">
      <c r="A1991">
        <v>2026</v>
      </c>
      <c r="B1991">
        <v>3</v>
      </c>
      <c r="C1991" s="83">
        <v>109061805390</v>
      </c>
      <c r="D1991" t="s">
        <v>1878</v>
      </c>
      <c r="E1991">
        <v>57989684321</v>
      </c>
      <c r="F1991">
        <v>310970</v>
      </c>
      <c r="G1991">
        <v>53409400133</v>
      </c>
      <c r="H1991" t="s">
        <v>35</v>
      </c>
      <c r="I1991" s="36">
        <v>4890.84</v>
      </c>
      <c r="J1991" s="36">
        <v>4890.84</v>
      </c>
      <c r="K1991" s="85">
        <v>0</v>
      </c>
      <c r="L1991" s="36">
        <v>407.57</v>
      </c>
      <c r="M1991" s="36">
        <v>0</v>
      </c>
      <c r="N1991" s="36">
        <v>0</v>
      </c>
      <c r="O1991" s="36">
        <v>407.57499999999999</v>
      </c>
      <c r="P1991" t="s">
        <v>162</v>
      </c>
      <c r="Q1991" t="s">
        <v>111</v>
      </c>
      <c r="R1991" t="s">
        <v>111</v>
      </c>
      <c r="S1991" s="1">
        <v>46107</v>
      </c>
      <c r="T1991" s="1">
        <v>46107</v>
      </c>
      <c r="U1991" s="1">
        <v>46110</v>
      </c>
      <c r="V1991" s="1">
        <v>46475</v>
      </c>
      <c r="W1991" t="s">
        <v>38</v>
      </c>
      <c r="X1991">
        <v>12</v>
      </c>
      <c r="Y1991" t="s">
        <v>49</v>
      </c>
      <c r="Z1991" t="s">
        <v>81</v>
      </c>
      <c r="AA1991" t="s">
        <v>112</v>
      </c>
      <c r="AB1991">
        <v>12</v>
      </c>
      <c r="AC1991" t="s">
        <v>113</v>
      </c>
      <c r="AD1991" t="s">
        <v>85</v>
      </c>
      <c r="AE1991" t="s">
        <v>46</v>
      </c>
      <c r="AF1991" t="s">
        <v>44</v>
      </c>
      <c r="AG1991" t="str">
        <f t="shared" si="34"/>
        <v>CC 12x</v>
      </c>
      <c r="AH1991" t="str">
        <f>IF(AND(SUMIF(E:E,E1991,I:I)&gt;=400000,Q1991="B2G"),"n","")</f>
        <v/>
      </c>
    </row>
    <row r="1992" spans="1:34">
      <c r="A1992">
        <v>2026</v>
      </c>
      <c r="B1992">
        <v>3</v>
      </c>
      <c r="C1992" s="83">
        <v>109065090823</v>
      </c>
      <c r="D1992" t="s">
        <v>1879</v>
      </c>
      <c r="E1992">
        <v>58377982529</v>
      </c>
      <c r="F1992">
        <v>627990</v>
      </c>
      <c r="G1992">
        <v>53601963837</v>
      </c>
      <c r="H1992" t="s">
        <v>35</v>
      </c>
      <c r="I1992" s="36">
        <v>7155.84</v>
      </c>
      <c r="J1992" s="36">
        <v>7155.84</v>
      </c>
      <c r="K1992" s="85">
        <v>0</v>
      </c>
      <c r="L1992" s="36">
        <v>596.32000000000005</v>
      </c>
      <c r="M1992" s="36">
        <v>0</v>
      </c>
      <c r="N1992" s="36">
        <v>27.29</v>
      </c>
      <c r="O1992" s="36">
        <v>569.03</v>
      </c>
      <c r="P1992" t="s">
        <v>127</v>
      </c>
      <c r="Q1992" t="s">
        <v>111</v>
      </c>
      <c r="R1992" t="s">
        <v>111</v>
      </c>
      <c r="S1992" s="1">
        <v>46108</v>
      </c>
      <c r="T1992" s="1">
        <v>46108</v>
      </c>
      <c r="U1992" s="1">
        <v>46109</v>
      </c>
      <c r="V1992" s="1">
        <v>46474</v>
      </c>
      <c r="W1992" t="s">
        <v>38</v>
      </c>
      <c r="X1992">
        <v>12</v>
      </c>
      <c r="Y1992" t="s">
        <v>49</v>
      </c>
      <c r="Z1992" t="s">
        <v>81</v>
      </c>
      <c r="AA1992" t="s">
        <v>112</v>
      </c>
      <c r="AB1992">
        <v>12</v>
      </c>
      <c r="AC1992" t="s">
        <v>113</v>
      </c>
      <c r="AD1992" t="s">
        <v>134</v>
      </c>
      <c r="AE1992" t="s">
        <v>135</v>
      </c>
      <c r="AF1992" t="s">
        <v>44</v>
      </c>
      <c r="AG1992" t="str">
        <f t="shared" si="34"/>
        <v>CC 12x</v>
      </c>
      <c r="AH1992" t="str">
        <f>IF(AND(SUMIF(E:E,E1992,I:I)&gt;=400000,Q1992="B2G"),"n","")</f>
        <v/>
      </c>
    </row>
    <row r="1993" spans="1:34">
      <c r="A1993">
        <v>2026</v>
      </c>
      <c r="B1993">
        <v>3</v>
      </c>
      <c r="C1993" s="83">
        <v>109328155927</v>
      </c>
      <c r="D1993" t="s">
        <v>1880</v>
      </c>
      <c r="E1993">
        <v>58230540146</v>
      </c>
      <c r="F1993">
        <v>636626</v>
      </c>
      <c r="G1993">
        <v>53409217974</v>
      </c>
      <c r="H1993" t="s">
        <v>35</v>
      </c>
      <c r="I1993" s="36">
        <v>4603.2</v>
      </c>
      <c r="J1993" s="36">
        <v>4603.2</v>
      </c>
      <c r="K1993" s="85">
        <v>0</v>
      </c>
      <c r="L1993" s="36">
        <v>383.6</v>
      </c>
      <c r="M1993" s="36">
        <v>383.6</v>
      </c>
      <c r="N1993" s="36">
        <v>0</v>
      </c>
      <c r="O1993" s="36">
        <v>0</v>
      </c>
      <c r="P1993" t="s">
        <v>829</v>
      </c>
      <c r="Q1993" t="s">
        <v>300</v>
      </c>
      <c r="R1993" t="s">
        <v>300</v>
      </c>
      <c r="S1993" s="1">
        <v>46101</v>
      </c>
      <c r="T1993" s="1">
        <v>46101</v>
      </c>
      <c r="U1993" s="1"/>
      <c r="V1993" s="1">
        <v>46466</v>
      </c>
      <c r="W1993" t="s">
        <v>38</v>
      </c>
      <c r="X1993">
        <v>12</v>
      </c>
      <c r="Y1993" t="s">
        <v>49</v>
      </c>
      <c r="AA1993" t="s">
        <v>122</v>
      </c>
      <c r="AB1993">
        <v>12</v>
      </c>
      <c r="AC1993" t="s">
        <v>301</v>
      </c>
      <c r="AD1993" t="s">
        <v>85</v>
      </c>
      <c r="AE1993" t="s">
        <v>46</v>
      </c>
      <c r="AF1993" t="s">
        <v>44</v>
      </c>
      <c r="AG1993" t="str">
        <f t="shared" si="34"/>
        <v>Recorrente</v>
      </c>
      <c r="AH1993" t="str">
        <f>IF(AND(SUMIF(E:E,E1993,I:I)&gt;=400000,Q1993="B2G"),"n","")</f>
        <v/>
      </c>
    </row>
    <row r="1994" spans="1:34">
      <c r="A1994">
        <v>2026</v>
      </c>
      <c r="B1994">
        <v>3</v>
      </c>
      <c r="C1994" s="83">
        <v>109364335914</v>
      </c>
      <c r="D1994" t="s">
        <v>1881</v>
      </c>
      <c r="E1994">
        <v>55698617733</v>
      </c>
      <c r="F1994">
        <v>627778</v>
      </c>
      <c r="G1994">
        <v>51008591755</v>
      </c>
      <c r="H1994" t="s">
        <v>35</v>
      </c>
      <c r="I1994" s="36">
        <v>4962.6000000000004</v>
      </c>
      <c r="J1994" s="36">
        <v>4962.6000000000004</v>
      </c>
      <c r="K1994" s="85">
        <v>0</v>
      </c>
      <c r="L1994" s="36">
        <v>413.55</v>
      </c>
      <c r="M1994" s="36">
        <v>0</v>
      </c>
      <c r="N1994" s="36">
        <v>68.55</v>
      </c>
      <c r="O1994" s="36">
        <v>345</v>
      </c>
      <c r="P1994" t="s">
        <v>165</v>
      </c>
      <c r="Q1994" t="s">
        <v>166</v>
      </c>
      <c r="R1994" t="s">
        <v>166</v>
      </c>
      <c r="S1994" s="1">
        <v>46106</v>
      </c>
      <c r="T1994" s="1">
        <v>46106</v>
      </c>
      <c r="U1994" s="1">
        <v>46106</v>
      </c>
      <c r="V1994" s="1">
        <v>46471</v>
      </c>
      <c r="W1994" t="s">
        <v>38</v>
      </c>
      <c r="X1994">
        <v>12</v>
      </c>
      <c r="Y1994" t="s">
        <v>49</v>
      </c>
      <c r="Z1994" t="s">
        <v>81</v>
      </c>
      <c r="AA1994" t="s">
        <v>112</v>
      </c>
      <c r="AB1994">
        <v>12</v>
      </c>
      <c r="AC1994" t="s">
        <v>166</v>
      </c>
      <c r="AD1994" t="s">
        <v>138</v>
      </c>
      <c r="AE1994" t="s">
        <v>135</v>
      </c>
      <c r="AF1994" t="s">
        <v>119</v>
      </c>
      <c r="AG1994" t="str">
        <f t="shared" si="34"/>
        <v>CC 12x</v>
      </c>
      <c r="AH1994" t="str">
        <f>IF(AND(SUMIF(E:E,E1994,I:I)&gt;=400000,Q1994="B2G"),"n","")</f>
        <v/>
      </c>
    </row>
    <row r="1995" spans="1:34">
      <c r="A1995">
        <v>2026</v>
      </c>
      <c r="B1995">
        <v>3</v>
      </c>
      <c r="C1995" s="83">
        <v>109589182845</v>
      </c>
      <c r="D1995" t="s">
        <v>1882</v>
      </c>
      <c r="E1995">
        <v>52843729793</v>
      </c>
      <c r="F1995">
        <v>508914</v>
      </c>
      <c r="G1995">
        <v>53601920334</v>
      </c>
      <c r="H1995" t="s">
        <v>35</v>
      </c>
      <c r="I1995" s="36">
        <v>4278.84</v>
      </c>
      <c r="J1995" s="36">
        <v>4278.84</v>
      </c>
      <c r="K1995" s="85">
        <v>0</v>
      </c>
      <c r="L1995" s="36">
        <v>356.57</v>
      </c>
      <c r="M1995" s="36">
        <v>0</v>
      </c>
      <c r="N1995" s="36">
        <v>46.975000000000001</v>
      </c>
      <c r="O1995" s="36">
        <v>309.60000000000002</v>
      </c>
      <c r="P1995" t="s">
        <v>804</v>
      </c>
      <c r="Q1995" t="s">
        <v>191</v>
      </c>
      <c r="R1995" t="s">
        <v>191</v>
      </c>
      <c r="S1995" s="1">
        <v>46108</v>
      </c>
      <c r="T1995" s="1">
        <v>46108</v>
      </c>
      <c r="U1995" s="1">
        <v>46115</v>
      </c>
      <c r="V1995" s="1">
        <v>46480</v>
      </c>
      <c r="W1995" t="s">
        <v>38</v>
      </c>
      <c r="X1995">
        <v>12</v>
      </c>
      <c r="Y1995" t="s">
        <v>49</v>
      </c>
      <c r="Z1995" t="s">
        <v>81</v>
      </c>
      <c r="AA1995" t="s">
        <v>112</v>
      </c>
      <c r="AB1995">
        <v>12</v>
      </c>
      <c r="AC1995" t="s">
        <v>192</v>
      </c>
      <c r="AD1995" t="s">
        <v>84</v>
      </c>
      <c r="AE1995" t="s">
        <v>43</v>
      </c>
      <c r="AF1995" t="s">
        <v>44</v>
      </c>
      <c r="AG1995" t="str">
        <f t="shared" si="34"/>
        <v>CC 12x</v>
      </c>
      <c r="AH1995" t="str">
        <f>IF(AND(SUMIF(E:E,E1995,I:I)&gt;=400000,Q1995="B2G"),"n","")</f>
        <v/>
      </c>
    </row>
    <row r="1996" spans="1:34">
      <c r="A1996">
        <v>2026</v>
      </c>
      <c r="B1996">
        <v>3</v>
      </c>
      <c r="C1996" s="83">
        <v>109724790283</v>
      </c>
      <c r="D1996" t="s">
        <v>1883</v>
      </c>
      <c r="E1996">
        <v>56271926024</v>
      </c>
      <c r="F1996">
        <v>531732</v>
      </c>
      <c r="G1996">
        <v>51581127221</v>
      </c>
      <c r="H1996" t="s">
        <v>35</v>
      </c>
      <c r="I1996" s="36">
        <v>2874</v>
      </c>
      <c r="J1996" s="36">
        <v>2874</v>
      </c>
      <c r="K1996" s="85">
        <v>0</v>
      </c>
      <c r="L1996" s="36">
        <v>239.5</v>
      </c>
      <c r="M1996" s="36">
        <v>0</v>
      </c>
      <c r="N1996" s="36">
        <v>0.5</v>
      </c>
      <c r="O1996" s="36">
        <v>239</v>
      </c>
      <c r="P1996" t="s">
        <v>165</v>
      </c>
      <c r="Q1996" t="s">
        <v>166</v>
      </c>
      <c r="R1996" t="s">
        <v>166</v>
      </c>
      <c r="S1996" s="1">
        <v>46107</v>
      </c>
      <c r="T1996" s="1">
        <v>46107</v>
      </c>
      <c r="U1996" s="1">
        <v>46112</v>
      </c>
      <c r="V1996" s="1">
        <v>46477</v>
      </c>
      <c r="W1996" t="s">
        <v>38</v>
      </c>
      <c r="X1996">
        <v>12</v>
      </c>
      <c r="Y1996" t="s">
        <v>49</v>
      </c>
      <c r="Z1996" t="s">
        <v>81</v>
      </c>
      <c r="AA1996" t="s">
        <v>112</v>
      </c>
      <c r="AB1996">
        <v>12</v>
      </c>
      <c r="AC1996" t="s">
        <v>166</v>
      </c>
      <c r="AD1996" t="s">
        <v>118</v>
      </c>
      <c r="AE1996" t="s">
        <v>43</v>
      </c>
      <c r="AF1996" t="s">
        <v>119</v>
      </c>
      <c r="AG1996" t="str">
        <f t="shared" si="34"/>
        <v>CC 12x</v>
      </c>
      <c r="AH1996" t="str">
        <f>IF(AND(SUMIF(E:E,E1996,I:I)&gt;=400000,Q1996="B2G"),"n","")</f>
        <v/>
      </c>
    </row>
    <row r="1997" spans="1:34">
      <c r="A1997">
        <v>2026</v>
      </c>
      <c r="B1997">
        <v>3</v>
      </c>
      <c r="C1997" s="83">
        <v>109865969675</v>
      </c>
      <c r="D1997" t="s">
        <v>1884</v>
      </c>
      <c r="E1997">
        <v>56044538462</v>
      </c>
      <c r="F1997">
        <v>628013</v>
      </c>
      <c r="G1997">
        <v>51304345164</v>
      </c>
      <c r="H1997" t="s">
        <v>35</v>
      </c>
      <c r="I1997" s="36">
        <v>5514</v>
      </c>
      <c r="J1997" s="36">
        <v>5514</v>
      </c>
      <c r="K1997" s="85">
        <v>0</v>
      </c>
      <c r="L1997" s="36">
        <v>459.5</v>
      </c>
      <c r="M1997" s="36">
        <v>0</v>
      </c>
      <c r="N1997" s="36">
        <v>79.84</v>
      </c>
      <c r="O1997" s="36">
        <v>379.66</v>
      </c>
      <c r="P1997" t="s">
        <v>165</v>
      </c>
      <c r="Q1997" t="s">
        <v>166</v>
      </c>
      <c r="R1997" t="s">
        <v>166</v>
      </c>
      <c r="S1997" s="1">
        <v>46107</v>
      </c>
      <c r="T1997" s="1">
        <v>46107</v>
      </c>
      <c r="U1997" s="1">
        <v>46109</v>
      </c>
      <c r="V1997" s="1">
        <v>46474</v>
      </c>
      <c r="W1997" t="s">
        <v>38</v>
      </c>
      <c r="X1997">
        <v>12</v>
      </c>
      <c r="Y1997" t="s">
        <v>49</v>
      </c>
      <c r="Z1997" t="s">
        <v>81</v>
      </c>
      <c r="AA1997" t="s">
        <v>122</v>
      </c>
      <c r="AB1997">
        <v>12</v>
      </c>
      <c r="AC1997" t="s">
        <v>166</v>
      </c>
      <c r="AD1997" t="s">
        <v>138</v>
      </c>
      <c r="AE1997" t="s">
        <v>135</v>
      </c>
      <c r="AF1997" t="s">
        <v>119</v>
      </c>
      <c r="AG1997" t="str">
        <f t="shared" si="34"/>
        <v>Recorrente</v>
      </c>
      <c r="AH1997" t="str">
        <f>IF(AND(SUMIF(E:E,E1997,I:I)&gt;=400000,Q1997="B2G"),"n","")</f>
        <v/>
      </c>
    </row>
    <row r="1998" spans="1:34">
      <c r="A1998">
        <v>2026</v>
      </c>
      <c r="B1998">
        <v>3</v>
      </c>
      <c r="C1998" s="83">
        <v>110294550906</v>
      </c>
      <c r="D1998" t="s">
        <v>1885</v>
      </c>
      <c r="E1998">
        <v>55692216104</v>
      </c>
      <c r="F1998">
        <v>612197</v>
      </c>
      <c r="G1998">
        <v>51035990554</v>
      </c>
      <c r="H1998" t="s">
        <v>35</v>
      </c>
      <c r="I1998" s="36">
        <v>5034</v>
      </c>
      <c r="J1998" s="36">
        <v>5034</v>
      </c>
      <c r="K1998" s="85">
        <v>0</v>
      </c>
      <c r="L1998" s="36">
        <v>419.5</v>
      </c>
      <c r="M1998" s="36">
        <v>0</v>
      </c>
      <c r="N1998" s="36">
        <v>94.24</v>
      </c>
      <c r="O1998" s="36">
        <v>325.26</v>
      </c>
      <c r="P1998" t="s">
        <v>165</v>
      </c>
      <c r="Q1998" t="s">
        <v>166</v>
      </c>
      <c r="R1998" t="s">
        <v>166</v>
      </c>
      <c r="S1998" s="1">
        <v>46107</v>
      </c>
      <c r="T1998" s="1">
        <v>46107</v>
      </c>
      <c r="U1998" s="1">
        <v>46107</v>
      </c>
      <c r="V1998" s="1">
        <v>46472</v>
      </c>
      <c r="W1998" t="s">
        <v>38</v>
      </c>
      <c r="X1998">
        <v>12</v>
      </c>
      <c r="Y1998" t="s">
        <v>49</v>
      </c>
      <c r="Z1998" t="s">
        <v>81</v>
      </c>
      <c r="AA1998" t="s">
        <v>112</v>
      </c>
      <c r="AB1998">
        <v>8</v>
      </c>
      <c r="AC1998" t="s">
        <v>166</v>
      </c>
      <c r="AD1998" t="s">
        <v>84</v>
      </c>
      <c r="AE1998" t="s">
        <v>43</v>
      </c>
      <c r="AF1998" t="s">
        <v>44</v>
      </c>
      <c r="AG1998" t="str">
        <f t="shared" si="34"/>
        <v>CC 12x</v>
      </c>
      <c r="AH1998" t="str">
        <f>IF(AND(SUMIF(E:E,E1998,I:I)&gt;=400000,Q1998="B2G"),"n","")</f>
        <v/>
      </c>
    </row>
    <row r="1999" spans="1:34">
      <c r="A1999">
        <v>2026</v>
      </c>
      <c r="B1999">
        <v>3</v>
      </c>
      <c r="C1999" s="83">
        <v>110304793481</v>
      </c>
      <c r="D1999" t="s">
        <v>1886</v>
      </c>
      <c r="E1999">
        <v>56258234119</v>
      </c>
      <c r="F1999">
        <v>530042</v>
      </c>
      <c r="G1999">
        <v>51532856911</v>
      </c>
      <c r="H1999" t="s">
        <v>35</v>
      </c>
      <c r="I1999" s="36">
        <v>2586.6</v>
      </c>
      <c r="J1999" s="36">
        <v>2586.6</v>
      </c>
      <c r="K1999" s="85">
        <v>0</v>
      </c>
      <c r="L1999" s="36">
        <v>215.55</v>
      </c>
      <c r="M1999" s="36">
        <v>0</v>
      </c>
      <c r="N1999" s="36">
        <v>32.71</v>
      </c>
      <c r="O1999" s="36">
        <v>182.84</v>
      </c>
      <c r="P1999" t="s">
        <v>165</v>
      </c>
      <c r="Q1999" t="s">
        <v>166</v>
      </c>
      <c r="R1999" t="s">
        <v>166</v>
      </c>
      <c r="S1999" s="1">
        <v>46107</v>
      </c>
      <c r="T1999" s="1">
        <v>46107</v>
      </c>
      <c r="U1999" s="1">
        <v>46112</v>
      </c>
      <c r="V1999" s="1">
        <v>46477</v>
      </c>
      <c r="W1999" t="s">
        <v>38</v>
      </c>
      <c r="X1999">
        <v>12</v>
      </c>
      <c r="Y1999" t="s">
        <v>49</v>
      </c>
      <c r="Z1999" t="s">
        <v>81</v>
      </c>
      <c r="AA1999" t="s">
        <v>112</v>
      </c>
      <c r="AB1999">
        <v>12</v>
      </c>
      <c r="AC1999" t="s">
        <v>166</v>
      </c>
      <c r="AD1999" t="s">
        <v>140</v>
      </c>
      <c r="AE1999" t="s">
        <v>46</v>
      </c>
      <c r="AF1999" t="s">
        <v>119</v>
      </c>
      <c r="AG1999" t="str">
        <f t="shared" si="34"/>
        <v>CC 12x</v>
      </c>
      <c r="AH1999" t="str">
        <f>IF(AND(SUMIF(E:E,E1999,I:I)&gt;=400000,Q1999="B2G"),"n","")</f>
        <v/>
      </c>
    </row>
    <row r="2000" spans="1:34">
      <c r="A2000">
        <v>2026</v>
      </c>
      <c r="B2000">
        <v>3</v>
      </c>
      <c r="C2000" s="83">
        <v>110339419687</v>
      </c>
      <c r="D2000" t="s">
        <v>1887</v>
      </c>
      <c r="E2000">
        <v>56248635138</v>
      </c>
      <c r="F2000">
        <v>628079</v>
      </c>
      <c r="G2000">
        <v>51574160739</v>
      </c>
      <c r="H2000" t="s">
        <v>35</v>
      </c>
      <c r="I2000" s="36">
        <v>4530.6000000000004</v>
      </c>
      <c r="J2000" s="36">
        <v>4530.6000000000004</v>
      </c>
      <c r="K2000" s="85">
        <v>0</v>
      </c>
      <c r="L2000" s="36">
        <v>377.55</v>
      </c>
      <c r="M2000" s="36">
        <v>0</v>
      </c>
      <c r="N2000" s="36">
        <v>67.95</v>
      </c>
      <c r="O2000" s="36">
        <v>309.60000000000002</v>
      </c>
      <c r="P2000" t="s">
        <v>165</v>
      </c>
      <c r="Q2000" t="s">
        <v>166</v>
      </c>
      <c r="R2000" t="s">
        <v>166</v>
      </c>
      <c r="S2000" s="1">
        <v>46107</v>
      </c>
      <c r="T2000" s="1">
        <v>46107</v>
      </c>
      <c r="U2000" s="1">
        <v>46112</v>
      </c>
      <c r="V2000" s="1">
        <v>46477</v>
      </c>
      <c r="W2000" t="s">
        <v>38</v>
      </c>
      <c r="X2000">
        <v>12</v>
      </c>
      <c r="Y2000" t="s">
        <v>49</v>
      </c>
      <c r="Z2000" t="s">
        <v>81</v>
      </c>
      <c r="AA2000" t="s">
        <v>122</v>
      </c>
      <c r="AB2000">
        <v>12</v>
      </c>
      <c r="AC2000" t="s">
        <v>166</v>
      </c>
      <c r="AD2000" t="s">
        <v>84</v>
      </c>
      <c r="AE2000" t="s">
        <v>43</v>
      </c>
      <c r="AF2000" t="s">
        <v>44</v>
      </c>
      <c r="AG2000" t="str">
        <f t="shared" si="34"/>
        <v>Recorrente</v>
      </c>
      <c r="AH2000" t="str">
        <f>IF(AND(SUMIF(E:E,E2000,I:I)&gt;=400000,Q2000="B2G"),"n","")</f>
        <v/>
      </c>
    </row>
    <row r="2001" spans="1:34">
      <c r="A2001">
        <v>2026</v>
      </c>
      <c r="B2001">
        <v>3</v>
      </c>
      <c r="C2001" s="83">
        <v>110583410868</v>
      </c>
      <c r="D2001" t="s">
        <v>1888</v>
      </c>
      <c r="E2001">
        <v>53883666717</v>
      </c>
      <c r="F2001">
        <v>308883</v>
      </c>
      <c r="G2001">
        <v>51464290984</v>
      </c>
      <c r="H2001" t="s">
        <v>35</v>
      </c>
      <c r="I2001" s="36">
        <v>9955.56</v>
      </c>
      <c r="J2001" s="36">
        <v>9955.56</v>
      </c>
      <c r="K2001" s="85">
        <v>0</v>
      </c>
      <c r="L2001" s="36">
        <v>829.63</v>
      </c>
      <c r="M2001" s="36">
        <v>0</v>
      </c>
      <c r="N2001" s="36">
        <v>0</v>
      </c>
      <c r="O2001" s="36">
        <v>829.62974999999994</v>
      </c>
      <c r="P2001" t="s">
        <v>133</v>
      </c>
      <c r="Q2001" t="s">
        <v>111</v>
      </c>
      <c r="R2001" t="s">
        <v>111</v>
      </c>
      <c r="S2001" s="1">
        <v>46065</v>
      </c>
      <c r="T2001" s="1">
        <v>46082</v>
      </c>
      <c r="U2001" s="1">
        <v>46083</v>
      </c>
      <c r="V2001" s="1">
        <v>46448</v>
      </c>
      <c r="W2001" t="s">
        <v>38</v>
      </c>
      <c r="X2001">
        <v>12</v>
      </c>
      <c r="Y2001" t="s">
        <v>49</v>
      </c>
      <c r="Z2001" t="s">
        <v>81</v>
      </c>
      <c r="AA2001" t="s">
        <v>112</v>
      </c>
      <c r="AB2001">
        <v>12</v>
      </c>
      <c r="AC2001" t="s">
        <v>113</v>
      </c>
      <c r="AD2001" t="s">
        <v>146</v>
      </c>
      <c r="AE2001" t="s">
        <v>135</v>
      </c>
      <c r="AF2001" t="s">
        <v>96</v>
      </c>
      <c r="AG2001" t="str">
        <f t="shared" si="34"/>
        <v>CC 12x</v>
      </c>
      <c r="AH2001" t="str">
        <f>IF(AND(SUMIF(E:E,E2001,I:I)&gt;=400000,Q2001="B2G"),"n","")</f>
        <v/>
      </c>
    </row>
    <row r="2002" spans="1:34">
      <c r="A2002">
        <v>2026</v>
      </c>
      <c r="B2002">
        <v>3</v>
      </c>
      <c r="C2002" s="83">
        <v>110621083480</v>
      </c>
      <c r="D2002" t="s">
        <v>1889</v>
      </c>
      <c r="E2002">
        <v>57988408436</v>
      </c>
      <c r="F2002">
        <v>627408</v>
      </c>
      <c r="G2002">
        <v>53241346902</v>
      </c>
      <c r="H2002" t="s">
        <v>35</v>
      </c>
      <c r="I2002" s="36">
        <v>3462.84</v>
      </c>
      <c r="J2002" s="36">
        <v>3462.84</v>
      </c>
      <c r="K2002" s="85">
        <v>0</v>
      </c>
      <c r="L2002" s="36">
        <v>288.57</v>
      </c>
      <c r="M2002" s="36">
        <v>0</v>
      </c>
      <c r="N2002" s="36">
        <v>25.925000000000001</v>
      </c>
      <c r="O2002" s="36">
        <v>262.64999999999998</v>
      </c>
      <c r="P2002" t="s">
        <v>133</v>
      </c>
      <c r="Q2002" t="s">
        <v>111</v>
      </c>
      <c r="R2002" t="s">
        <v>111</v>
      </c>
      <c r="S2002" s="1">
        <v>46100</v>
      </c>
      <c r="T2002" s="1">
        <v>46100</v>
      </c>
      <c r="U2002" s="1">
        <v>46095</v>
      </c>
      <c r="V2002" s="1">
        <v>46465</v>
      </c>
      <c r="W2002" t="s">
        <v>38</v>
      </c>
      <c r="X2002">
        <v>12</v>
      </c>
      <c r="Y2002" t="s">
        <v>49</v>
      </c>
      <c r="Z2002" t="s">
        <v>81</v>
      </c>
      <c r="AA2002" t="s">
        <v>122</v>
      </c>
      <c r="AB2002">
        <v>12</v>
      </c>
      <c r="AC2002" t="s">
        <v>113</v>
      </c>
      <c r="AD2002" t="s">
        <v>160</v>
      </c>
      <c r="AE2002" t="s">
        <v>43</v>
      </c>
      <c r="AF2002" t="s">
        <v>44</v>
      </c>
      <c r="AG2002" t="str">
        <f t="shared" si="34"/>
        <v>Recorrente</v>
      </c>
      <c r="AH2002" t="str">
        <f>IF(AND(SUMIF(E:E,E2002,I:I)&gt;=400000,Q2002="B2G"),"n","")</f>
        <v/>
      </c>
    </row>
    <row r="2003" spans="1:34">
      <c r="A2003">
        <v>2026</v>
      </c>
      <c r="B2003">
        <v>3</v>
      </c>
      <c r="C2003" s="83">
        <v>110805442817</v>
      </c>
      <c r="D2003" t="s">
        <v>1890</v>
      </c>
      <c r="E2003">
        <v>55691620953</v>
      </c>
      <c r="F2003">
        <v>508421</v>
      </c>
      <c r="G2003">
        <v>50990045850</v>
      </c>
      <c r="H2003" t="s">
        <v>35</v>
      </c>
      <c r="I2003" s="36">
        <v>3558.6</v>
      </c>
      <c r="J2003" s="36">
        <v>3558.6</v>
      </c>
      <c r="K2003" s="85">
        <v>0</v>
      </c>
      <c r="L2003" s="36">
        <v>296.55</v>
      </c>
      <c r="M2003" s="36">
        <v>0</v>
      </c>
      <c r="N2003" s="36">
        <v>70.405000000000001</v>
      </c>
      <c r="O2003" s="36">
        <v>226.14500000000001</v>
      </c>
      <c r="P2003" t="s">
        <v>165</v>
      </c>
      <c r="Q2003" t="s">
        <v>166</v>
      </c>
      <c r="R2003" t="s">
        <v>166</v>
      </c>
      <c r="S2003" s="1">
        <v>46105</v>
      </c>
      <c r="T2003" s="1">
        <v>46105</v>
      </c>
      <c r="U2003" s="1">
        <v>46105</v>
      </c>
      <c r="V2003" s="1">
        <v>46470</v>
      </c>
      <c r="W2003" t="s">
        <v>38</v>
      </c>
      <c r="X2003">
        <v>12</v>
      </c>
      <c r="Y2003" t="s">
        <v>49</v>
      </c>
      <c r="Z2003" t="s">
        <v>81</v>
      </c>
      <c r="AA2003" t="s">
        <v>112</v>
      </c>
      <c r="AB2003">
        <v>12</v>
      </c>
      <c r="AC2003" t="s">
        <v>166</v>
      </c>
      <c r="AD2003" t="s">
        <v>84</v>
      </c>
      <c r="AE2003" t="s">
        <v>43</v>
      </c>
      <c r="AF2003" t="s">
        <v>44</v>
      </c>
      <c r="AG2003" t="str">
        <f t="shared" si="34"/>
        <v>CC 12x</v>
      </c>
      <c r="AH2003" t="str">
        <f>IF(AND(SUMIF(E:E,E2003,I:I)&gt;=400000,Q2003="B2G"),"n","")</f>
        <v/>
      </c>
    </row>
    <row r="2004" spans="1:34">
      <c r="A2004">
        <v>2026</v>
      </c>
      <c r="B2004">
        <v>3</v>
      </c>
      <c r="C2004" s="83">
        <v>110805442817</v>
      </c>
      <c r="D2004" t="s">
        <v>1890</v>
      </c>
      <c r="E2004">
        <v>55691620953</v>
      </c>
      <c r="F2004">
        <v>508421</v>
      </c>
      <c r="G2004">
        <v>50993298861</v>
      </c>
      <c r="H2004" t="s">
        <v>35</v>
      </c>
      <c r="I2004" s="36">
        <v>3558.6</v>
      </c>
      <c r="J2004" s="36">
        <v>3558.6</v>
      </c>
      <c r="K2004" s="85">
        <v>0</v>
      </c>
      <c r="L2004" s="36">
        <v>296.55</v>
      </c>
      <c r="M2004" s="36">
        <v>0</v>
      </c>
      <c r="N2004" s="36">
        <v>70.405000000000001</v>
      </c>
      <c r="O2004" s="36">
        <v>226.14500000000001</v>
      </c>
      <c r="P2004" t="s">
        <v>165</v>
      </c>
      <c r="Q2004" t="s">
        <v>166</v>
      </c>
      <c r="R2004" t="s">
        <v>166</v>
      </c>
      <c r="S2004" s="1">
        <v>46105</v>
      </c>
      <c r="T2004" s="1">
        <v>46105</v>
      </c>
      <c r="U2004" s="1">
        <v>46105</v>
      </c>
      <c r="V2004" s="1">
        <v>46470</v>
      </c>
      <c r="W2004" t="s">
        <v>38</v>
      </c>
      <c r="X2004">
        <v>12</v>
      </c>
      <c r="Y2004" t="s">
        <v>49</v>
      </c>
      <c r="Z2004" t="s">
        <v>81</v>
      </c>
      <c r="AA2004" t="s">
        <v>112</v>
      </c>
      <c r="AB2004">
        <v>12</v>
      </c>
      <c r="AC2004" t="s">
        <v>166</v>
      </c>
      <c r="AD2004" t="s">
        <v>140</v>
      </c>
      <c r="AE2004" t="s">
        <v>46</v>
      </c>
      <c r="AF2004" t="s">
        <v>119</v>
      </c>
      <c r="AG2004" t="str">
        <f t="shared" si="34"/>
        <v>CC 12x</v>
      </c>
      <c r="AH2004" t="str">
        <f>IF(AND(SUMIF(E:E,E2004,I:I)&gt;=400000,Q2004="B2G"),"n","")</f>
        <v/>
      </c>
    </row>
    <row r="2005" spans="1:34">
      <c r="A2005">
        <v>2026</v>
      </c>
      <c r="B2005">
        <v>3</v>
      </c>
      <c r="C2005" s="83">
        <v>111023742869</v>
      </c>
      <c r="D2005" t="s">
        <v>1891</v>
      </c>
      <c r="E2005">
        <v>54693461290</v>
      </c>
      <c r="F2005">
        <v>507406</v>
      </c>
      <c r="G2005">
        <v>49968346743</v>
      </c>
      <c r="H2005" t="s">
        <v>35</v>
      </c>
      <c r="I2005" s="36">
        <v>4315.4399999999996</v>
      </c>
      <c r="J2005" s="36">
        <v>4315.4399999999996</v>
      </c>
      <c r="K2005" s="85">
        <v>0</v>
      </c>
      <c r="L2005" s="36">
        <v>359.62</v>
      </c>
      <c r="M2005" s="36">
        <v>0</v>
      </c>
      <c r="N2005" s="36">
        <v>74.234999999999999</v>
      </c>
      <c r="O2005" s="36">
        <v>285.39</v>
      </c>
      <c r="P2005" t="s">
        <v>165</v>
      </c>
      <c r="Q2005" t="s">
        <v>166</v>
      </c>
      <c r="R2005" t="s">
        <v>166</v>
      </c>
      <c r="S2005" s="1">
        <v>46094</v>
      </c>
      <c r="T2005" s="1">
        <v>46094</v>
      </c>
      <c r="U2005" s="1">
        <v>46094</v>
      </c>
      <c r="V2005" s="1">
        <v>46459</v>
      </c>
      <c r="W2005" t="s">
        <v>38</v>
      </c>
      <c r="X2005">
        <v>12</v>
      </c>
      <c r="Y2005" t="s">
        <v>49</v>
      </c>
      <c r="Z2005" t="s">
        <v>81</v>
      </c>
      <c r="AA2005" t="s">
        <v>122</v>
      </c>
      <c r="AB2005">
        <v>12</v>
      </c>
      <c r="AC2005" t="s">
        <v>166</v>
      </c>
      <c r="AD2005" t="s">
        <v>85</v>
      </c>
      <c r="AE2005" t="s">
        <v>46</v>
      </c>
      <c r="AF2005" t="s">
        <v>44</v>
      </c>
      <c r="AG2005" t="str">
        <f t="shared" si="34"/>
        <v>Recorrente</v>
      </c>
      <c r="AH2005" t="str">
        <f>IF(AND(SUMIF(E:E,E2005,I:I)&gt;=400000,Q2005="B2G"),"n","")</f>
        <v/>
      </c>
    </row>
    <row r="2006" spans="1:34">
      <c r="A2006">
        <v>2026</v>
      </c>
      <c r="B2006">
        <v>3</v>
      </c>
      <c r="C2006" s="83">
        <v>111054778627</v>
      </c>
      <c r="D2006" t="s">
        <v>1892</v>
      </c>
      <c r="E2006">
        <v>58265673852</v>
      </c>
      <c r="F2006">
        <v>309245</v>
      </c>
      <c r="G2006">
        <v>53747064186</v>
      </c>
      <c r="H2006" t="s">
        <v>35</v>
      </c>
      <c r="I2006" s="36">
        <v>4765.4399999999996</v>
      </c>
      <c r="J2006" s="36">
        <v>4765.4399999999996</v>
      </c>
      <c r="K2006" s="85">
        <v>0</v>
      </c>
      <c r="L2006" s="36">
        <v>397.12</v>
      </c>
      <c r="M2006" s="36">
        <v>0</v>
      </c>
      <c r="N2006" s="36">
        <v>73.775000000000006</v>
      </c>
      <c r="O2006" s="36">
        <v>323.35000000000002</v>
      </c>
      <c r="P2006" t="s">
        <v>110</v>
      </c>
      <c r="Q2006" t="s">
        <v>111</v>
      </c>
      <c r="R2006" t="s">
        <v>111</v>
      </c>
      <c r="S2006" s="1">
        <v>46111</v>
      </c>
      <c r="T2006" s="1">
        <v>46111</v>
      </c>
      <c r="U2006" s="1">
        <v>46112</v>
      </c>
      <c r="V2006" s="1">
        <v>46477</v>
      </c>
      <c r="W2006" t="s">
        <v>38</v>
      </c>
      <c r="X2006">
        <v>12</v>
      </c>
      <c r="Y2006" t="s">
        <v>49</v>
      </c>
      <c r="Z2006" t="s">
        <v>81</v>
      </c>
      <c r="AA2006" t="s">
        <v>112</v>
      </c>
      <c r="AB2006">
        <v>12</v>
      </c>
      <c r="AC2006" t="s">
        <v>113</v>
      </c>
      <c r="AD2006" t="s">
        <v>149</v>
      </c>
      <c r="AE2006" t="s">
        <v>43</v>
      </c>
      <c r="AF2006" t="s">
        <v>96</v>
      </c>
      <c r="AG2006" t="str">
        <f t="shared" si="34"/>
        <v>CC 12x</v>
      </c>
      <c r="AH2006" t="str">
        <f>IF(AND(SUMIF(E:E,E2006,I:I)&gt;=400000,Q2006="B2G"),"n","")</f>
        <v/>
      </c>
    </row>
    <row r="2007" spans="1:34">
      <c r="A2007">
        <v>2026</v>
      </c>
      <c r="B2007">
        <v>3</v>
      </c>
      <c r="C2007" s="83">
        <v>111275510066</v>
      </c>
      <c r="D2007" t="s">
        <v>1893</v>
      </c>
      <c r="E2007">
        <v>55692215729</v>
      </c>
      <c r="F2007">
        <v>627908</v>
      </c>
      <c r="G2007">
        <v>51008816694</v>
      </c>
      <c r="H2007" t="s">
        <v>35</v>
      </c>
      <c r="I2007" s="36">
        <v>5754</v>
      </c>
      <c r="J2007" s="36">
        <v>5754</v>
      </c>
      <c r="K2007" s="85">
        <v>0</v>
      </c>
      <c r="L2007" s="36">
        <v>479.5</v>
      </c>
      <c r="M2007" s="36">
        <v>0</v>
      </c>
      <c r="N2007" s="36">
        <v>26.5</v>
      </c>
      <c r="O2007" s="36">
        <v>453</v>
      </c>
      <c r="P2007" t="s">
        <v>165</v>
      </c>
      <c r="Q2007" t="s">
        <v>166</v>
      </c>
      <c r="R2007" t="s">
        <v>166</v>
      </c>
      <c r="S2007" s="1">
        <v>46107</v>
      </c>
      <c r="T2007" s="1">
        <v>46107</v>
      </c>
      <c r="U2007" s="1">
        <v>46107</v>
      </c>
      <c r="V2007" s="1">
        <v>46472</v>
      </c>
      <c r="W2007" t="s">
        <v>38</v>
      </c>
      <c r="X2007">
        <v>12</v>
      </c>
      <c r="Y2007" t="s">
        <v>49</v>
      </c>
      <c r="Z2007" t="s">
        <v>81</v>
      </c>
      <c r="AA2007" t="s">
        <v>112</v>
      </c>
      <c r="AB2007">
        <v>12</v>
      </c>
      <c r="AC2007" t="s">
        <v>166</v>
      </c>
      <c r="AD2007" t="s">
        <v>85</v>
      </c>
      <c r="AE2007" t="s">
        <v>46</v>
      </c>
      <c r="AF2007" t="s">
        <v>44</v>
      </c>
      <c r="AG2007" t="str">
        <f t="shared" si="34"/>
        <v>CC 12x</v>
      </c>
      <c r="AH2007" t="str">
        <f>IF(AND(SUMIF(E:E,E2007,I:I)&gt;=400000,Q2007="B2G"),"n","")</f>
        <v/>
      </c>
    </row>
    <row r="2008" spans="1:34">
      <c r="A2008">
        <v>2026</v>
      </c>
      <c r="B2008">
        <v>3</v>
      </c>
      <c r="C2008" s="83">
        <v>111541995582</v>
      </c>
      <c r="D2008" t="s">
        <v>1894</v>
      </c>
      <c r="E2008">
        <v>58268369023</v>
      </c>
      <c r="F2008">
        <v>530654</v>
      </c>
      <c r="G2008">
        <v>53492703854</v>
      </c>
      <c r="H2008" t="s">
        <v>35</v>
      </c>
      <c r="I2008" s="36">
        <v>4686.84</v>
      </c>
      <c r="J2008" s="36">
        <v>4686.84</v>
      </c>
      <c r="K2008" s="85">
        <v>0</v>
      </c>
      <c r="L2008" s="36">
        <v>390.57</v>
      </c>
      <c r="M2008" s="36">
        <v>0</v>
      </c>
      <c r="N2008" s="36">
        <v>0</v>
      </c>
      <c r="O2008" s="36">
        <v>390.57499999999999</v>
      </c>
      <c r="P2008" t="s">
        <v>121</v>
      </c>
      <c r="Q2008" t="s">
        <v>111</v>
      </c>
      <c r="R2008" t="s">
        <v>111</v>
      </c>
      <c r="S2008" s="1">
        <v>46105</v>
      </c>
      <c r="T2008" s="1">
        <v>46105</v>
      </c>
      <c r="U2008" s="1">
        <v>46104</v>
      </c>
      <c r="V2008" s="1">
        <v>46470</v>
      </c>
      <c r="W2008" t="s">
        <v>38</v>
      </c>
      <c r="X2008">
        <v>12</v>
      </c>
      <c r="Y2008" t="s">
        <v>49</v>
      </c>
      <c r="Z2008" t="s">
        <v>81</v>
      </c>
      <c r="AA2008" t="s">
        <v>122</v>
      </c>
      <c r="AB2008">
        <v>12</v>
      </c>
      <c r="AC2008" t="s">
        <v>113</v>
      </c>
      <c r="AD2008" t="s">
        <v>138</v>
      </c>
      <c r="AE2008" t="s">
        <v>135</v>
      </c>
      <c r="AF2008" t="s">
        <v>119</v>
      </c>
      <c r="AG2008" t="str">
        <f t="shared" si="34"/>
        <v>Recorrente</v>
      </c>
      <c r="AH2008" t="str">
        <f>IF(AND(SUMIF(E:E,E2008,I:I)&gt;=400000,Q2008="B2G"),"n","")</f>
        <v/>
      </c>
    </row>
    <row r="2009" spans="1:34">
      <c r="A2009">
        <v>2026</v>
      </c>
      <c r="B2009">
        <v>3</v>
      </c>
      <c r="C2009" s="83">
        <v>111897537103</v>
      </c>
      <c r="D2009" t="s">
        <v>1895</v>
      </c>
      <c r="E2009">
        <v>55750868605</v>
      </c>
      <c r="F2009">
        <v>627845</v>
      </c>
      <c r="G2009">
        <v>51009592106</v>
      </c>
      <c r="H2009" t="s">
        <v>35</v>
      </c>
      <c r="I2009" s="36">
        <v>9354</v>
      </c>
      <c r="J2009" s="36">
        <v>9354</v>
      </c>
      <c r="K2009" s="85">
        <v>0</v>
      </c>
      <c r="L2009" s="36">
        <v>779.5</v>
      </c>
      <c r="M2009" s="36">
        <v>0</v>
      </c>
      <c r="N2009" s="36">
        <v>151.35</v>
      </c>
      <c r="O2009" s="36">
        <v>628.15</v>
      </c>
      <c r="P2009" t="s">
        <v>165</v>
      </c>
      <c r="Q2009" t="s">
        <v>166</v>
      </c>
      <c r="R2009" t="s">
        <v>166</v>
      </c>
      <c r="S2009" s="1">
        <v>46107</v>
      </c>
      <c r="T2009" s="1">
        <v>46107</v>
      </c>
      <c r="U2009" s="1">
        <v>46107</v>
      </c>
      <c r="V2009" s="1">
        <v>46472</v>
      </c>
      <c r="W2009" t="s">
        <v>38</v>
      </c>
      <c r="X2009">
        <v>12</v>
      </c>
      <c r="Y2009" t="s">
        <v>49</v>
      </c>
      <c r="Z2009" t="s">
        <v>81</v>
      </c>
      <c r="AA2009" t="s">
        <v>122</v>
      </c>
      <c r="AB2009">
        <v>9</v>
      </c>
      <c r="AC2009" t="s">
        <v>166</v>
      </c>
      <c r="AD2009" t="s">
        <v>134</v>
      </c>
      <c r="AE2009" t="s">
        <v>135</v>
      </c>
      <c r="AF2009" t="s">
        <v>44</v>
      </c>
      <c r="AG2009" t="str">
        <f t="shared" si="34"/>
        <v>Recorrente</v>
      </c>
      <c r="AH2009" t="str">
        <f>IF(AND(SUMIF(E:E,E2009,I:I)&gt;=400000,Q2009="B2G"),"n","")</f>
        <v/>
      </c>
    </row>
    <row r="2010" spans="1:34">
      <c r="A2010">
        <v>2026</v>
      </c>
      <c r="B2010">
        <v>3</v>
      </c>
      <c r="C2010" s="83">
        <v>112054229110</v>
      </c>
      <c r="D2010" t="s">
        <v>1896</v>
      </c>
      <c r="E2010">
        <v>54290108592</v>
      </c>
      <c r="F2010">
        <v>627196</v>
      </c>
      <c r="G2010">
        <v>49651652386</v>
      </c>
      <c r="H2010" t="s">
        <v>35</v>
      </c>
      <c r="I2010" s="36">
        <v>5754</v>
      </c>
      <c r="J2010" s="36">
        <v>5754</v>
      </c>
      <c r="K2010" s="85">
        <v>0</v>
      </c>
      <c r="L2010" s="36">
        <v>479.5</v>
      </c>
      <c r="M2010" s="36">
        <v>0</v>
      </c>
      <c r="N2010" s="36">
        <v>93.5</v>
      </c>
      <c r="O2010" s="36">
        <v>386</v>
      </c>
      <c r="P2010" t="s">
        <v>165</v>
      </c>
      <c r="Q2010" t="s">
        <v>166</v>
      </c>
      <c r="R2010" t="s">
        <v>166</v>
      </c>
      <c r="S2010" s="1">
        <v>46088</v>
      </c>
      <c r="T2010" s="1">
        <v>46088</v>
      </c>
      <c r="U2010" s="1">
        <v>46088</v>
      </c>
      <c r="V2010" s="1">
        <v>46453</v>
      </c>
      <c r="W2010" t="s">
        <v>38</v>
      </c>
      <c r="X2010">
        <v>12</v>
      </c>
      <c r="Y2010" t="s">
        <v>49</v>
      </c>
      <c r="Z2010" t="s">
        <v>81</v>
      </c>
      <c r="AA2010" t="s">
        <v>122</v>
      </c>
      <c r="AB2010">
        <v>12</v>
      </c>
      <c r="AC2010" t="s">
        <v>166</v>
      </c>
      <c r="AD2010" t="s">
        <v>85</v>
      </c>
      <c r="AE2010" t="s">
        <v>46</v>
      </c>
      <c r="AF2010" t="s">
        <v>44</v>
      </c>
      <c r="AG2010" t="str">
        <f t="shared" si="34"/>
        <v>Recorrente</v>
      </c>
      <c r="AH2010" t="str">
        <f>IF(AND(SUMIF(E:E,E2010,I:I)&gt;=400000,Q2010="B2G"),"n","")</f>
        <v/>
      </c>
    </row>
    <row r="2011" spans="1:34">
      <c r="A2011">
        <v>2026</v>
      </c>
      <c r="B2011">
        <v>3</v>
      </c>
      <c r="C2011" s="83">
        <v>112928926134</v>
      </c>
      <c r="D2011" t="s">
        <v>1897</v>
      </c>
      <c r="E2011">
        <v>58196550566</v>
      </c>
      <c r="F2011">
        <v>627553</v>
      </c>
      <c r="G2011">
        <v>53409397162</v>
      </c>
      <c r="H2011" t="s">
        <v>35</v>
      </c>
      <c r="I2011" s="36">
        <v>11623.2</v>
      </c>
      <c r="J2011" s="36">
        <v>11623.2</v>
      </c>
      <c r="K2011" s="85">
        <v>0</v>
      </c>
      <c r="L2011" s="36">
        <v>968.6</v>
      </c>
      <c r="M2011" s="36">
        <v>0</v>
      </c>
      <c r="N2011" s="36">
        <v>69.046250000000001</v>
      </c>
      <c r="O2011" s="36">
        <v>899.55</v>
      </c>
      <c r="P2011" t="s">
        <v>137</v>
      </c>
      <c r="Q2011" t="s">
        <v>111</v>
      </c>
      <c r="R2011" t="s">
        <v>111</v>
      </c>
      <c r="S2011" s="1">
        <v>46101</v>
      </c>
      <c r="T2011" s="1">
        <v>46101</v>
      </c>
      <c r="U2011" s="1">
        <v>46100</v>
      </c>
      <c r="V2011" s="1">
        <v>46466</v>
      </c>
      <c r="W2011" t="s">
        <v>38</v>
      </c>
      <c r="X2011">
        <v>12</v>
      </c>
      <c r="Y2011" t="s">
        <v>49</v>
      </c>
      <c r="Z2011" t="s">
        <v>81</v>
      </c>
      <c r="AA2011" t="s">
        <v>112</v>
      </c>
      <c r="AB2011">
        <v>12</v>
      </c>
      <c r="AC2011" t="s">
        <v>113</v>
      </c>
      <c r="AD2011" t="s">
        <v>154</v>
      </c>
      <c r="AE2011" t="s">
        <v>46</v>
      </c>
      <c r="AF2011" t="s">
        <v>47</v>
      </c>
      <c r="AG2011" t="str">
        <f t="shared" si="34"/>
        <v>CC 12x</v>
      </c>
      <c r="AH2011" t="str">
        <f>IF(AND(SUMIF(E:E,E2011,I:I)&gt;=400000,Q2011="B2G"),"n","")</f>
        <v/>
      </c>
    </row>
    <row r="2012" spans="1:34">
      <c r="A2012">
        <v>2026</v>
      </c>
      <c r="B2012">
        <v>3</v>
      </c>
      <c r="C2012" s="83">
        <v>113215228818</v>
      </c>
      <c r="D2012" t="s">
        <v>1240</v>
      </c>
      <c r="E2012">
        <v>57889462379</v>
      </c>
      <c r="F2012">
        <v>636436</v>
      </c>
      <c r="G2012">
        <v>53122553763</v>
      </c>
      <c r="H2012" t="s">
        <v>35</v>
      </c>
      <c r="I2012" s="36">
        <v>5514</v>
      </c>
      <c r="J2012" s="36">
        <v>5514</v>
      </c>
      <c r="K2012" s="85">
        <v>0</v>
      </c>
      <c r="L2012" s="36">
        <v>459.5</v>
      </c>
      <c r="M2012" s="36">
        <v>459.5</v>
      </c>
      <c r="N2012" s="36">
        <v>0</v>
      </c>
      <c r="O2012" s="36">
        <v>0</v>
      </c>
      <c r="P2012" t="s">
        <v>497</v>
      </c>
      <c r="Q2012" t="s">
        <v>498</v>
      </c>
      <c r="R2012" t="s">
        <v>498</v>
      </c>
      <c r="S2012" s="1">
        <v>46091</v>
      </c>
      <c r="T2012" s="1">
        <v>46091</v>
      </c>
      <c r="U2012" s="1"/>
      <c r="V2012" s="1">
        <v>46456</v>
      </c>
      <c r="W2012" t="s">
        <v>38</v>
      </c>
      <c r="X2012">
        <v>12</v>
      </c>
      <c r="Y2012" t="s">
        <v>49</v>
      </c>
      <c r="AA2012" t="s">
        <v>112</v>
      </c>
      <c r="AB2012">
        <v>12</v>
      </c>
      <c r="AC2012" t="s">
        <v>499</v>
      </c>
      <c r="AD2012" t="s">
        <v>138</v>
      </c>
      <c r="AE2012" t="s">
        <v>135</v>
      </c>
      <c r="AF2012" t="s">
        <v>119</v>
      </c>
      <c r="AG2012" t="str">
        <f t="shared" si="34"/>
        <v>CC 12x</v>
      </c>
      <c r="AH2012" t="str">
        <f>IF(AND(SUMIF(E:E,E2012,I:I)&gt;=400000,Q2012="B2G"),"n","")</f>
        <v/>
      </c>
    </row>
    <row r="2013" spans="1:34">
      <c r="A2013">
        <v>2026</v>
      </c>
      <c r="B2013">
        <v>3</v>
      </c>
      <c r="C2013" s="83">
        <v>114293915002</v>
      </c>
      <c r="D2013" t="s">
        <v>1898</v>
      </c>
      <c r="E2013">
        <v>58555287380</v>
      </c>
      <c r="F2013">
        <v>636759</v>
      </c>
      <c r="G2013">
        <v>53742237245</v>
      </c>
      <c r="H2013" t="s">
        <v>35</v>
      </c>
      <c r="I2013" s="36">
        <v>6845.28</v>
      </c>
      <c r="J2013" s="36">
        <v>1033.752641</v>
      </c>
      <c r="K2013" s="85">
        <v>5811.5273589999997</v>
      </c>
      <c r="L2013" s="36">
        <v>86.146053449999997</v>
      </c>
      <c r="M2013" s="36">
        <v>0</v>
      </c>
      <c r="N2013" s="36">
        <v>60.47392361</v>
      </c>
      <c r="O2013" s="36">
        <v>25.67212984</v>
      </c>
      <c r="P2013" t="s">
        <v>367</v>
      </c>
      <c r="Q2013" t="s">
        <v>191</v>
      </c>
      <c r="R2013" t="s">
        <v>191</v>
      </c>
      <c r="S2013" s="1">
        <v>46111</v>
      </c>
      <c r="T2013" s="1">
        <v>46111</v>
      </c>
      <c r="V2013" s="1">
        <v>46842</v>
      </c>
      <c r="W2013" t="s">
        <v>56</v>
      </c>
      <c r="Y2013" t="s">
        <v>49</v>
      </c>
      <c r="AA2013" t="s">
        <v>122</v>
      </c>
      <c r="AB2013">
        <v>24</v>
      </c>
      <c r="AC2013" t="s">
        <v>192</v>
      </c>
      <c r="AD2013" t="s">
        <v>84</v>
      </c>
      <c r="AE2013" t="s">
        <v>43</v>
      </c>
      <c r="AF2013" t="s">
        <v>44</v>
      </c>
      <c r="AG2013" t="str">
        <f t="shared" si="34"/>
        <v>Recorrente</v>
      </c>
      <c r="AH2013" t="str">
        <f>IF(AND(SUMIF(E:E,E2013,I:I)&gt;=400000,Q2013="B2G"),"n","")</f>
        <v/>
      </c>
    </row>
    <row r="2014" spans="1:34">
      <c r="A2014">
        <v>2026</v>
      </c>
      <c r="B2014">
        <v>3</v>
      </c>
      <c r="C2014" s="83">
        <v>114293915002</v>
      </c>
      <c r="D2014" t="s">
        <v>1898</v>
      </c>
      <c r="E2014">
        <v>58555287380</v>
      </c>
      <c r="F2014">
        <v>636759</v>
      </c>
      <c r="G2014">
        <v>53742237246</v>
      </c>
      <c r="H2014" t="s">
        <v>35</v>
      </c>
      <c r="I2014" s="36">
        <v>7550.88</v>
      </c>
      <c r="J2014" s="36">
        <v>1140.3208460000001</v>
      </c>
      <c r="K2014" s="85">
        <v>6410.5591539999996</v>
      </c>
      <c r="L2014" s="36">
        <v>95.026737209999993</v>
      </c>
      <c r="M2014" s="36">
        <v>0</v>
      </c>
      <c r="N2014" s="36">
        <v>66.708101150000005</v>
      </c>
      <c r="O2014" s="36">
        <v>28.318636059999999</v>
      </c>
      <c r="P2014" t="s">
        <v>367</v>
      </c>
      <c r="Q2014" t="s">
        <v>191</v>
      </c>
      <c r="R2014" t="s">
        <v>191</v>
      </c>
      <c r="S2014" s="1">
        <v>46111</v>
      </c>
      <c r="T2014" s="1">
        <v>46111</v>
      </c>
      <c r="V2014" s="1">
        <v>46842</v>
      </c>
      <c r="W2014" t="s">
        <v>56</v>
      </c>
      <c r="Y2014" t="s">
        <v>49</v>
      </c>
      <c r="AA2014" t="s">
        <v>122</v>
      </c>
      <c r="AB2014">
        <v>24</v>
      </c>
      <c r="AC2014" t="s">
        <v>192</v>
      </c>
      <c r="AD2014" t="s">
        <v>84</v>
      </c>
      <c r="AE2014" t="s">
        <v>43</v>
      </c>
      <c r="AF2014" t="s">
        <v>44</v>
      </c>
      <c r="AG2014" t="str">
        <f t="shared" si="34"/>
        <v>Recorrente</v>
      </c>
      <c r="AH2014" t="str">
        <f>IF(AND(SUMIF(E:E,E2014,I:I)&gt;=400000,Q2014="B2G"),"n","")</f>
        <v/>
      </c>
    </row>
    <row r="2015" spans="1:34">
      <c r="A2015">
        <v>2026</v>
      </c>
      <c r="B2015">
        <v>3</v>
      </c>
      <c r="C2015" s="83">
        <v>114293915002</v>
      </c>
      <c r="D2015" t="s">
        <v>1898</v>
      </c>
      <c r="E2015">
        <v>58555287380</v>
      </c>
      <c r="F2015">
        <v>636759</v>
      </c>
      <c r="G2015">
        <v>53742237247</v>
      </c>
      <c r="H2015" t="s">
        <v>35</v>
      </c>
      <c r="I2015" s="36">
        <v>6948.24</v>
      </c>
      <c r="J2015" s="36">
        <v>1049.3068249999999</v>
      </c>
      <c r="K2015" s="85">
        <v>5898.9331750000001</v>
      </c>
      <c r="L2015" s="36">
        <v>87.442235429999997</v>
      </c>
      <c r="M2015" s="36">
        <v>0</v>
      </c>
      <c r="N2015" s="36">
        <v>61.383834239999999</v>
      </c>
      <c r="O2015" s="36">
        <v>26.058401190000001</v>
      </c>
      <c r="P2015" t="s">
        <v>367</v>
      </c>
      <c r="Q2015" t="s">
        <v>191</v>
      </c>
      <c r="R2015" t="s">
        <v>191</v>
      </c>
      <c r="S2015" s="1">
        <v>46111</v>
      </c>
      <c r="T2015" s="1">
        <v>46111</v>
      </c>
      <c r="V2015" s="1">
        <v>46842</v>
      </c>
      <c r="W2015" t="s">
        <v>56</v>
      </c>
      <c r="Y2015" t="s">
        <v>49</v>
      </c>
      <c r="AA2015" t="s">
        <v>122</v>
      </c>
      <c r="AB2015">
        <v>24</v>
      </c>
      <c r="AC2015" t="s">
        <v>192</v>
      </c>
      <c r="AD2015" t="s">
        <v>84</v>
      </c>
      <c r="AE2015" t="s">
        <v>43</v>
      </c>
      <c r="AF2015" t="s">
        <v>44</v>
      </c>
      <c r="AG2015" t="str">
        <f t="shared" si="34"/>
        <v>Recorrente</v>
      </c>
      <c r="AH2015" t="str">
        <f>IF(AND(SUMIF(E:E,E2015,I:I)&gt;=400000,Q2015="B2G"),"n","")</f>
        <v/>
      </c>
    </row>
    <row r="2016" spans="1:34">
      <c r="A2016">
        <v>2026</v>
      </c>
      <c r="B2016">
        <v>3</v>
      </c>
      <c r="C2016" s="83">
        <v>114293915002</v>
      </c>
      <c r="D2016" t="s">
        <v>1898</v>
      </c>
      <c r="E2016">
        <v>58555287380</v>
      </c>
      <c r="F2016">
        <v>636759</v>
      </c>
      <c r="G2016">
        <v>53742237248</v>
      </c>
      <c r="H2016" t="s">
        <v>35</v>
      </c>
      <c r="I2016" s="36">
        <v>8698.56</v>
      </c>
      <c r="J2016" s="36">
        <v>1313.636722</v>
      </c>
      <c r="K2016" s="85">
        <v>7384.9232780000002</v>
      </c>
      <c r="L2016" s="36">
        <v>109.4697268</v>
      </c>
      <c r="M2016" s="36">
        <v>0</v>
      </c>
      <c r="N2016" s="36">
        <v>76.84697826</v>
      </c>
      <c r="O2016" s="36">
        <v>32.622748549999997</v>
      </c>
      <c r="P2016" t="s">
        <v>367</v>
      </c>
      <c r="Q2016" t="s">
        <v>191</v>
      </c>
      <c r="R2016" t="s">
        <v>191</v>
      </c>
      <c r="S2016" s="1">
        <v>46111</v>
      </c>
      <c r="T2016" s="1">
        <v>46111</v>
      </c>
      <c r="V2016" s="1">
        <v>46842</v>
      </c>
      <c r="W2016" t="s">
        <v>56</v>
      </c>
      <c r="Y2016" t="s">
        <v>49</v>
      </c>
      <c r="AA2016" t="s">
        <v>122</v>
      </c>
      <c r="AB2016">
        <v>24</v>
      </c>
      <c r="AC2016" t="s">
        <v>192</v>
      </c>
      <c r="AD2016" t="s">
        <v>84</v>
      </c>
      <c r="AE2016" t="s">
        <v>43</v>
      </c>
      <c r="AF2016" t="s">
        <v>44</v>
      </c>
      <c r="AG2016" t="str">
        <f t="shared" si="34"/>
        <v>Recorrente</v>
      </c>
      <c r="AH2016" t="str">
        <f>IF(AND(SUMIF(E:E,E2016,I:I)&gt;=400000,Q2016="B2G"),"n","")</f>
        <v/>
      </c>
    </row>
    <row r="2017" spans="1:34">
      <c r="A2017">
        <v>2026</v>
      </c>
      <c r="B2017">
        <v>3</v>
      </c>
      <c r="C2017" s="83">
        <v>114293915002</v>
      </c>
      <c r="D2017" t="s">
        <v>1898</v>
      </c>
      <c r="E2017">
        <v>58555287380</v>
      </c>
      <c r="F2017">
        <v>636759</v>
      </c>
      <c r="G2017">
        <v>53742237249</v>
      </c>
      <c r="H2017" t="s">
        <v>35</v>
      </c>
      <c r="I2017" s="36">
        <v>6516.24</v>
      </c>
      <c r="J2017" s="36">
        <v>984.06439850000004</v>
      </c>
      <c r="K2017" s="85">
        <v>5532.1756009999999</v>
      </c>
      <c r="L2017" s="36">
        <v>82.005366550000005</v>
      </c>
      <c r="M2017" s="36">
        <v>0</v>
      </c>
      <c r="N2017" s="36">
        <v>57.567190529999998</v>
      </c>
      <c r="O2017" s="36">
        <v>24.43817602</v>
      </c>
      <c r="P2017" t="s">
        <v>367</v>
      </c>
      <c r="Q2017" t="s">
        <v>191</v>
      </c>
      <c r="R2017" t="s">
        <v>191</v>
      </c>
      <c r="S2017" s="1">
        <v>46111</v>
      </c>
      <c r="T2017" s="1">
        <v>46111</v>
      </c>
      <c r="V2017" s="1">
        <v>46842</v>
      </c>
      <c r="W2017" t="s">
        <v>56</v>
      </c>
      <c r="Y2017" t="s">
        <v>49</v>
      </c>
      <c r="AA2017" t="s">
        <v>122</v>
      </c>
      <c r="AB2017">
        <v>24</v>
      </c>
      <c r="AC2017" t="s">
        <v>192</v>
      </c>
      <c r="AD2017" t="s">
        <v>84</v>
      </c>
      <c r="AE2017" t="s">
        <v>43</v>
      </c>
      <c r="AF2017" t="s">
        <v>44</v>
      </c>
      <c r="AG2017" t="str">
        <f t="shared" si="34"/>
        <v>Recorrente</v>
      </c>
      <c r="AH2017" t="str">
        <f>IF(AND(SUMIF(E:E,E2017,I:I)&gt;=400000,Q2017="B2G"),"n","")</f>
        <v/>
      </c>
    </row>
    <row r="2018" spans="1:34">
      <c r="A2018">
        <v>2026</v>
      </c>
      <c r="B2018">
        <v>3</v>
      </c>
      <c r="C2018" s="83">
        <v>114293915002</v>
      </c>
      <c r="D2018" t="s">
        <v>1898</v>
      </c>
      <c r="E2018">
        <v>58555287380</v>
      </c>
      <c r="F2018">
        <v>636759</v>
      </c>
      <c r="G2018">
        <v>53742237250</v>
      </c>
      <c r="H2018" t="s">
        <v>35</v>
      </c>
      <c r="I2018" s="36">
        <v>8464.08</v>
      </c>
      <c r="J2018" s="36">
        <v>1278.225486</v>
      </c>
      <c r="K2018" s="85">
        <v>7185.8545139999997</v>
      </c>
      <c r="L2018" s="36">
        <v>106.51879049999999</v>
      </c>
      <c r="M2018" s="36">
        <v>0</v>
      </c>
      <c r="N2018" s="36">
        <v>74.775441740000005</v>
      </c>
      <c r="O2018" s="36">
        <v>31.743348780000002</v>
      </c>
      <c r="P2018" t="s">
        <v>367</v>
      </c>
      <c r="Q2018" t="s">
        <v>191</v>
      </c>
      <c r="R2018" t="s">
        <v>191</v>
      </c>
      <c r="S2018" s="1">
        <v>46111</v>
      </c>
      <c r="T2018" s="1">
        <v>46111</v>
      </c>
      <c r="V2018" s="1">
        <v>46842</v>
      </c>
      <c r="W2018" t="s">
        <v>56</v>
      </c>
      <c r="Y2018" t="s">
        <v>49</v>
      </c>
      <c r="AA2018" t="s">
        <v>122</v>
      </c>
      <c r="AB2018">
        <v>24</v>
      </c>
      <c r="AC2018" t="s">
        <v>192</v>
      </c>
      <c r="AD2018" t="s">
        <v>84</v>
      </c>
      <c r="AE2018" t="s">
        <v>43</v>
      </c>
      <c r="AF2018" t="s">
        <v>44</v>
      </c>
      <c r="AG2018" t="str">
        <f t="shared" si="34"/>
        <v>Recorrente</v>
      </c>
      <c r="AH2018" t="str">
        <f>IF(AND(SUMIF(E:E,E2018,I:I)&gt;=400000,Q2018="B2G"),"n","")</f>
        <v/>
      </c>
    </row>
    <row r="2019" spans="1:34">
      <c r="A2019">
        <v>2026</v>
      </c>
      <c r="B2019">
        <v>3</v>
      </c>
      <c r="C2019" s="83">
        <v>114293915002</v>
      </c>
      <c r="D2019" t="s">
        <v>1898</v>
      </c>
      <c r="E2019">
        <v>58555287380</v>
      </c>
      <c r="F2019">
        <v>636759</v>
      </c>
      <c r="G2019">
        <v>53742237251</v>
      </c>
      <c r="H2019" t="s">
        <v>35</v>
      </c>
      <c r="I2019" s="36">
        <v>9748.32</v>
      </c>
      <c r="J2019" s="36">
        <v>1472.1694199999999</v>
      </c>
      <c r="K2019" s="85">
        <v>8276.1505799999995</v>
      </c>
      <c r="L2019" s="36">
        <v>122.680785</v>
      </c>
      <c r="M2019" s="36">
        <v>0</v>
      </c>
      <c r="N2019" s="36">
        <v>86.121048189999996</v>
      </c>
      <c r="O2019" s="36">
        <v>36.559736809999997</v>
      </c>
      <c r="P2019" t="s">
        <v>367</v>
      </c>
      <c r="Q2019" t="s">
        <v>191</v>
      </c>
      <c r="R2019" t="s">
        <v>191</v>
      </c>
      <c r="S2019" s="1">
        <v>46111</v>
      </c>
      <c r="T2019" s="1">
        <v>46111</v>
      </c>
      <c r="V2019" s="1">
        <v>46842</v>
      </c>
      <c r="W2019" t="s">
        <v>56</v>
      </c>
      <c r="Y2019" t="s">
        <v>49</v>
      </c>
      <c r="AA2019" t="s">
        <v>122</v>
      </c>
      <c r="AB2019">
        <v>24</v>
      </c>
      <c r="AC2019" t="s">
        <v>192</v>
      </c>
      <c r="AD2019" t="s">
        <v>85</v>
      </c>
      <c r="AE2019" t="s">
        <v>46</v>
      </c>
      <c r="AF2019" t="s">
        <v>44</v>
      </c>
      <c r="AG2019" t="str">
        <f t="shared" si="34"/>
        <v>Recorrente</v>
      </c>
      <c r="AH2019" t="str">
        <f>IF(AND(SUMIF(E:E,E2019,I:I)&gt;=400000,Q2019="B2G"),"n","")</f>
        <v/>
      </c>
    </row>
    <row r="2020" spans="1:34">
      <c r="A2020">
        <v>2026</v>
      </c>
      <c r="B2020">
        <v>3</v>
      </c>
      <c r="C2020" s="83">
        <v>114293915002</v>
      </c>
      <c r="D2020" t="s">
        <v>1898</v>
      </c>
      <c r="E2020">
        <v>58555287380</v>
      </c>
      <c r="F2020">
        <v>636759</v>
      </c>
      <c r="G2020">
        <v>53742237252</v>
      </c>
      <c r="H2020" t="s">
        <v>35</v>
      </c>
      <c r="I2020" s="36">
        <v>15722.88</v>
      </c>
      <c r="J2020" s="36">
        <v>2374.4468870000001</v>
      </c>
      <c r="K2020" s="85">
        <v>13348.43311</v>
      </c>
      <c r="L2020" s="36">
        <v>197.87057390000001</v>
      </c>
      <c r="M2020" s="36">
        <v>0</v>
      </c>
      <c r="N2020" s="36">
        <v>138.90375119999999</v>
      </c>
      <c r="O2020" s="36">
        <v>58.966822759999999</v>
      </c>
      <c r="P2020" t="s">
        <v>367</v>
      </c>
      <c r="Q2020" t="s">
        <v>191</v>
      </c>
      <c r="R2020" t="s">
        <v>191</v>
      </c>
      <c r="S2020" s="1">
        <v>46111</v>
      </c>
      <c r="T2020" s="1">
        <v>46111</v>
      </c>
      <c r="V2020" s="1">
        <v>46842</v>
      </c>
      <c r="W2020" t="s">
        <v>56</v>
      </c>
      <c r="Y2020" t="s">
        <v>49</v>
      </c>
      <c r="AA2020" t="s">
        <v>122</v>
      </c>
      <c r="AB2020">
        <v>24</v>
      </c>
      <c r="AC2020" t="s">
        <v>192</v>
      </c>
      <c r="AD2020" t="s">
        <v>134</v>
      </c>
      <c r="AE2020" t="s">
        <v>135</v>
      </c>
      <c r="AF2020" t="s">
        <v>44</v>
      </c>
      <c r="AG2020" t="str">
        <f t="shared" si="34"/>
        <v>Recorrente</v>
      </c>
      <c r="AH2020" t="str">
        <f>IF(AND(SUMIF(E:E,E2020,I:I)&gt;=400000,Q2020="B2G"),"n","")</f>
        <v/>
      </c>
    </row>
    <row r="2021" spans="1:34">
      <c r="A2021">
        <v>2026</v>
      </c>
      <c r="B2021">
        <v>3</v>
      </c>
      <c r="C2021" s="83">
        <v>11595622943</v>
      </c>
      <c r="D2021" t="s">
        <v>1899</v>
      </c>
      <c r="E2021">
        <v>57370096677</v>
      </c>
      <c r="F2021">
        <v>636335</v>
      </c>
      <c r="G2021">
        <v>52626411626</v>
      </c>
      <c r="H2021" t="s">
        <v>35</v>
      </c>
      <c r="I2021" s="36">
        <v>2874</v>
      </c>
      <c r="J2021" s="36">
        <v>2874</v>
      </c>
      <c r="K2021" s="85">
        <v>0</v>
      </c>
      <c r="L2021" s="36">
        <v>239.5</v>
      </c>
      <c r="M2021" s="36">
        <v>239.5</v>
      </c>
      <c r="N2021" s="36">
        <v>0</v>
      </c>
      <c r="O2021" s="36">
        <v>0</v>
      </c>
      <c r="P2021" t="s">
        <v>497</v>
      </c>
      <c r="Q2021" t="s">
        <v>498</v>
      </c>
      <c r="R2021" t="s">
        <v>498</v>
      </c>
      <c r="S2021" s="1">
        <v>46083</v>
      </c>
      <c r="T2021" s="1">
        <v>46083</v>
      </c>
      <c r="V2021" s="1">
        <v>46448</v>
      </c>
      <c r="W2021" t="s">
        <v>38</v>
      </c>
      <c r="X2021">
        <v>12</v>
      </c>
      <c r="Y2021" t="s">
        <v>49</v>
      </c>
      <c r="AA2021" t="s">
        <v>112</v>
      </c>
      <c r="AB2021">
        <v>12</v>
      </c>
      <c r="AC2021" t="s">
        <v>499</v>
      </c>
      <c r="AD2021" t="s">
        <v>118</v>
      </c>
      <c r="AE2021" t="s">
        <v>43</v>
      </c>
      <c r="AF2021" t="s">
        <v>119</v>
      </c>
      <c r="AG2021" t="str">
        <f t="shared" si="34"/>
        <v>CC 12x</v>
      </c>
      <c r="AH2021" t="str">
        <f>IF(AND(SUMIF(E:E,E2021,I:I)&gt;=400000,Q2021="B2G"),"n","")</f>
        <v/>
      </c>
    </row>
    <row r="2022" spans="1:34">
      <c r="A2022">
        <v>2026</v>
      </c>
      <c r="B2022">
        <v>3</v>
      </c>
      <c r="C2022" s="83">
        <v>116005093561</v>
      </c>
      <c r="D2022" t="s">
        <v>1900</v>
      </c>
      <c r="E2022">
        <v>57859700833</v>
      </c>
      <c r="F2022">
        <v>636441</v>
      </c>
      <c r="G2022">
        <v>53094183684</v>
      </c>
      <c r="H2022" t="s">
        <v>35</v>
      </c>
      <c r="I2022" s="36">
        <v>11364</v>
      </c>
      <c r="J2022" s="36">
        <v>1480.2</v>
      </c>
      <c r="K2022" s="85">
        <v>9883.7999999999993</v>
      </c>
      <c r="L2022" s="36">
        <v>123.35</v>
      </c>
      <c r="M2022" s="36">
        <v>0</v>
      </c>
      <c r="N2022" s="36">
        <v>123.35</v>
      </c>
      <c r="O2022" s="36">
        <v>0</v>
      </c>
      <c r="P2022" t="s">
        <v>367</v>
      </c>
      <c r="Q2022" t="s">
        <v>191</v>
      </c>
      <c r="R2022" t="s">
        <v>191</v>
      </c>
      <c r="S2022" s="1">
        <v>46091</v>
      </c>
      <c r="T2022" s="1">
        <v>46091</v>
      </c>
      <c r="U2022" s="1"/>
      <c r="V2022" s="1">
        <v>46456</v>
      </c>
      <c r="W2022" t="s">
        <v>38</v>
      </c>
      <c r="Y2022" t="s">
        <v>49</v>
      </c>
      <c r="AA2022" t="s">
        <v>122</v>
      </c>
      <c r="AB2022">
        <v>12</v>
      </c>
      <c r="AC2022" t="s">
        <v>192</v>
      </c>
      <c r="AD2022" t="s">
        <v>146</v>
      </c>
      <c r="AE2022" t="s">
        <v>135</v>
      </c>
      <c r="AF2022" t="s">
        <v>96</v>
      </c>
      <c r="AG2022" t="str">
        <f t="shared" si="34"/>
        <v>Recorrente</v>
      </c>
      <c r="AH2022" t="str">
        <f>IF(AND(SUMIF(E:E,E2022,I:I)&gt;=400000,Q2022="B2G"),"n","")</f>
        <v/>
      </c>
    </row>
    <row r="2023" spans="1:34">
      <c r="A2023">
        <v>2026</v>
      </c>
      <c r="B2023">
        <v>3</v>
      </c>
      <c r="C2023" s="83">
        <v>116022189188</v>
      </c>
      <c r="D2023" t="s">
        <v>1901</v>
      </c>
      <c r="E2023">
        <v>56156749345</v>
      </c>
      <c r="F2023">
        <v>622969</v>
      </c>
      <c r="G2023">
        <v>52473597029</v>
      </c>
      <c r="H2023" t="s">
        <v>35</v>
      </c>
      <c r="I2023" s="36">
        <v>2390.7600000000002</v>
      </c>
      <c r="J2023" s="36">
        <v>1440.96</v>
      </c>
      <c r="K2023" s="85">
        <v>949.8</v>
      </c>
      <c r="L2023" s="36">
        <v>120.08</v>
      </c>
      <c r="M2023" s="36">
        <v>0</v>
      </c>
      <c r="N2023" s="36">
        <v>120.08</v>
      </c>
      <c r="O2023" s="36">
        <v>0</v>
      </c>
      <c r="P2023" t="s">
        <v>804</v>
      </c>
      <c r="Q2023" t="s">
        <v>191</v>
      </c>
      <c r="R2023" t="s">
        <v>191</v>
      </c>
      <c r="S2023" s="1">
        <v>46083</v>
      </c>
      <c r="T2023" s="1">
        <v>46083</v>
      </c>
      <c r="U2023" s="1">
        <v>46689</v>
      </c>
      <c r="V2023" s="1">
        <v>46689</v>
      </c>
      <c r="W2023" t="s">
        <v>102</v>
      </c>
      <c r="X2023">
        <v>19</v>
      </c>
      <c r="Y2023" t="s">
        <v>49</v>
      </c>
      <c r="Z2023" t="s">
        <v>324</v>
      </c>
      <c r="AA2023" t="s">
        <v>122</v>
      </c>
      <c r="AB2023">
        <v>19</v>
      </c>
      <c r="AC2023" t="s">
        <v>192</v>
      </c>
      <c r="AD2023" t="s">
        <v>125</v>
      </c>
      <c r="AE2023" t="s">
        <v>43</v>
      </c>
      <c r="AF2023" t="s">
        <v>47</v>
      </c>
      <c r="AG2023" t="str">
        <f t="shared" si="34"/>
        <v>Recorrente</v>
      </c>
      <c r="AH2023" t="str">
        <f>IF(AND(SUMIF(E:E,E2023,I:I)&gt;=400000,Q2023="B2G"),"n","")</f>
        <v/>
      </c>
    </row>
    <row r="2024" spans="1:34">
      <c r="A2024">
        <v>2026</v>
      </c>
      <c r="B2024">
        <v>3</v>
      </c>
      <c r="C2024" s="83">
        <v>116344021596</v>
      </c>
      <c r="D2024" t="s">
        <v>1902</v>
      </c>
      <c r="E2024">
        <v>54788411559</v>
      </c>
      <c r="F2024">
        <v>627407</v>
      </c>
      <c r="G2024">
        <v>50111050651</v>
      </c>
      <c r="H2024" t="s">
        <v>35</v>
      </c>
      <c r="I2024" s="36">
        <v>2874</v>
      </c>
      <c r="J2024" s="36">
        <v>2874</v>
      </c>
      <c r="K2024" s="85">
        <v>0</v>
      </c>
      <c r="L2024" s="36">
        <v>239.5</v>
      </c>
      <c r="M2024" s="36">
        <v>0</v>
      </c>
      <c r="N2024" s="36">
        <v>36.35</v>
      </c>
      <c r="O2024" s="36">
        <v>203.15</v>
      </c>
      <c r="P2024" t="s">
        <v>165</v>
      </c>
      <c r="Q2024" t="s">
        <v>166</v>
      </c>
      <c r="R2024" t="s">
        <v>166</v>
      </c>
      <c r="S2024" s="1">
        <v>46095</v>
      </c>
      <c r="T2024" s="1">
        <v>46095</v>
      </c>
      <c r="U2024" s="1">
        <v>46095</v>
      </c>
      <c r="V2024" s="1">
        <v>46460</v>
      </c>
      <c r="W2024" t="s">
        <v>38</v>
      </c>
      <c r="X2024">
        <v>12</v>
      </c>
      <c r="Y2024" t="s">
        <v>49</v>
      </c>
      <c r="Z2024" t="s">
        <v>81</v>
      </c>
      <c r="AA2024" t="s">
        <v>122</v>
      </c>
      <c r="AB2024">
        <v>12</v>
      </c>
      <c r="AC2024" t="s">
        <v>166</v>
      </c>
      <c r="AD2024" t="s">
        <v>118</v>
      </c>
      <c r="AE2024" t="s">
        <v>43</v>
      </c>
      <c r="AF2024" t="s">
        <v>119</v>
      </c>
      <c r="AG2024" t="str">
        <f t="shared" si="34"/>
        <v>Recorrente</v>
      </c>
      <c r="AH2024" t="str">
        <f>IF(AND(SUMIF(E:E,E2024,I:I)&gt;=400000,Q2024="B2G"),"n","")</f>
        <v/>
      </c>
    </row>
    <row r="2025" spans="1:34">
      <c r="A2025">
        <v>2026</v>
      </c>
      <c r="B2025">
        <v>3</v>
      </c>
      <c r="C2025" s="83">
        <v>116933030671</v>
      </c>
      <c r="D2025" t="s">
        <v>1903</v>
      </c>
      <c r="E2025">
        <v>55491951966</v>
      </c>
      <c r="F2025">
        <v>627638</v>
      </c>
      <c r="G2025">
        <v>50775894354</v>
      </c>
      <c r="H2025" t="s">
        <v>35</v>
      </c>
      <c r="I2025" s="36">
        <v>2964.6</v>
      </c>
      <c r="J2025" s="36">
        <v>2964.6</v>
      </c>
      <c r="K2025" s="85">
        <v>0</v>
      </c>
      <c r="L2025" s="36">
        <v>247.05</v>
      </c>
      <c r="M2025" s="36">
        <v>0</v>
      </c>
      <c r="N2025" s="36">
        <v>29.24</v>
      </c>
      <c r="O2025" s="36">
        <v>217.81</v>
      </c>
      <c r="P2025" t="s">
        <v>165</v>
      </c>
      <c r="Q2025" t="s">
        <v>166</v>
      </c>
      <c r="R2025" t="s">
        <v>166</v>
      </c>
      <c r="S2025" s="1">
        <v>46102</v>
      </c>
      <c r="T2025" s="1">
        <v>46102</v>
      </c>
      <c r="U2025" s="1">
        <v>46102</v>
      </c>
      <c r="V2025" s="1">
        <v>46467</v>
      </c>
      <c r="W2025" t="s">
        <v>38</v>
      </c>
      <c r="X2025">
        <v>12</v>
      </c>
      <c r="Y2025" t="s">
        <v>49</v>
      </c>
      <c r="Z2025" t="s">
        <v>81</v>
      </c>
      <c r="AA2025" t="s">
        <v>122</v>
      </c>
      <c r="AB2025">
        <v>12</v>
      </c>
      <c r="AC2025" t="s">
        <v>166</v>
      </c>
      <c r="AD2025" t="s">
        <v>256</v>
      </c>
      <c r="AE2025" t="s">
        <v>257</v>
      </c>
      <c r="AF2025" t="s">
        <v>59</v>
      </c>
      <c r="AG2025" t="str">
        <f t="shared" si="34"/>
        <v>Recorrente</v>
      </c>
      <c r="AH2025" t="str">
        <f>IF(AND(SUMIF(E:E,E2025,I:I)&gt;=400000,Q2025="B2G"),"n","")</f>
        <v/>
      </c>
    </row>
    <row r="2026" spans="1:34">
      <c r="A2026">
        <v>2026</v>
      </c>
      <c r="B2026">
        <v>3</v>
      </c>
      <c r="C2026" s="83">
        <v>116933030671</v>
      </c>
      <c r="D2026" t="s">
        <v>1903</v>
      </c>
      <c r="E2026">
        <v>55491951966</v>
      </c>
      <c r="F2026">
        <v>627638</v>
      </c>
      <c r="G2026">
        <v>50813251885</v>
      </c>
      <c r="H2026" t="s">
        <v>35</v>
      </c>
      <c r="I2026" s="36">
        <v>2964.6</v>
      </c>
      <c r="J2026" s="36">
        <v>2964.6</v>
      </c>
      <c r="K2026" s="85">
        <v>0</v>
      </c>
      <c r="L2026" s="36">
        <v>247.05</v>
      </c>
      <c r="M2026" s="36">
        <v>0</v>
      </c>
      <c r="N2026" s="36">
        <v>29.24</v>
      </c>
      <c r="O2026" s="36">
        <v>217.81</v>
      </c>
      <c r="P2026" t="s">
        <v>165</v>
      </c>
      <c r="Q2026" t="s">
        <v>166</v>
      </c>
      <c r="R2026" t="s">
        <v>166</v>
      </c>
      <c r="S2026" s="1">
        <v>46102</v>
      </c>
      <c r="T2026" s="1">
        <v>46102</v>
      </c>
      <c r="U2026" s="1">
        <v>46102</v>
      </c>
      <c r="V2026" s="1">
        <v>46467</v>
      </c>
      <c r="W2026" t="s">
        <v>38</v>
      </c>
      <c r="X2026">
        <v>12</v>
      </c>
      <c r="Y2026" t="s">
        <v>49</v>
      </c>
      <c r="Z2026" t="s">
        <v>81</v>
      </c>
      <c r="AA2026" t="s">
        <v>122</v>
      </c>
      <c r="AB2026">
        <v>12</v>
      </c>
      <c r="AC2026" t="s">
        <v>166</v>
      </c>
      <c r="AD2026" t="s">
        <v>138</v>
      </c>
      <c r="AE2026" t="s">
        <v>135</v>
      </c>
      <c r="AF2026" t="s">
        <v>119</v>
      </c>
      <c r="AG2026" t="str">
        <f t="shared" si="34"/>
        <v>Recorrente</v>
      </c>
      <c r="AH2026" t="str">
        <f>IF(AND(SUMIF(E:E,E2026,I:I)&gt;=400000,Q2026="B2G"),"n","")</f>
        <v/>
      </c>
    </row>
    <row r="2027" spans="1:34">
      <c r="A2027">
        <v>2026</v>
      </c>
      <c r="B2027">
        <v>3</v>
      </c>
      <c r="C2027" s="83">
        <v>117596869941</v>
      </c>
      <c r="D2027" t="s">
        <v>1904</v>
      </c>
      <c r="E2027">
        <v>58383605670</v>
      </c>
      <c r="F2027">
        <v>612322</v>
      </c>
      <c r="G2027">
        <v>53666619045</v>
      </c>
      <c r="H2027" t="s">
        <v>35</v>
      </c>
      <c r="I2027" s="36">
        <v>4447.8</v>
      </c>
      <c r="J2027" s="36">
        <v>4447.8</v>
      </c>
      <c r="K2027" s="85">
        <v>0</v>
      </c>
      <c r="L2027" s="36">
        <v>370.65</v>
      </c>
      <c r="M2027" s="36">
        <v>0</v>
      </c>
      <c r="N2027" s="36">
        <v>121.15</v>
      </c>
      <c r="O2027" s="36">
        <v>249.5</v>
      </c>
      <c r="P2027" t="s">
        <v>121</v>
      </c>
      <c r="Q2027" t="s">
        <v>111</v>
      </c>
      <c r="R2027" t="s">
        <v>111</v>
      </c>
      <c r="S2027" s="1">
        <v>46111</v>
      </c>
      <c r="T2027" s="1">
        <v>46111</v>
      </c>
      <c r="U2027" s="1">
        <v>46108</v>
      </c>
      <c r="V2027" s="1">
        <v>46476</v>
      </c>
      <c r="W2027" t="s">
        <v>38</v>
      </c>
      <c r="X2027">
        <v>12</v>
      </c>
      <c r="Y2027" t="s">
        <v>49</v>
      </c>
      <c r="Z2027" t="s">
        <v>81</v>
      </c>
      <c r="AA2027" t="s">
        <v>112</v>
      </c>
      <c r="AB2027">
        <v>12</v>
      </c>
      <c r="AC2027" t="s">
        <v>113</v>
      </c>
      <c r="AD2027" t="s">
        <v>174</v>
      </c>
      <c r="AE2027" t="s">
        <v>43</v>
      </c>
      <c r="AF2027" t="s">
        <v>47</v>
      </c>
      <c r="AG2027" t="str">
        <f t="shared" si="34"/>
        <v>CC 12x</v>
      </c>
      <c r="AH2027" t="str">
        <f>IF(AND(SUMIF(E:E,E2027,I:I)&gt;=400000,Q2027="B2G"),"n","")</f>
        <v/>
      </c>
    </row>
    <row r="2028" spans="1:34">
      <c r="A2028">
        <v>2026</v>
      </c>
      <c r="B2028">
        <v>3</v>
      </c>
      <c r="C2028" s="83">
        <v>117955953561</v>
      </c>
      <c r="D2028" t="s">
        <v>1905</v>
      </c>
      <c r="E2028">
        <v>58134878475</v>
      </c>
      <c r="F2028">
        <v>526033</v>
      </c>
      <c r="G2028">
        <v>53407443600</v>
      </c>
      <c r="H2028" t="s">
        <v>35</v>
      </c>
      <c r="I2028" s="36">
        <v>2715.3</v>
      </c>
      <c r="J2028" s="36">
        <v>2715.3</v>
      </c>
      <c r="K2028" s="85">
        <v>0</v>
      </c>
      <c r="L2028" s="36">
        <v>226.27500000000001</v>
      </c>
      <c r="M2028" s="36">
        <v>226.27500000000001</v>
      </c>
      <c r="N2028" s="36">
        <v>0</v>
      </c>
      <c r="O2028" s="36">
        <v>0</v>
      </c>
      <c r="P2028" t="s">
        <v>121</v>
      </c>
      <c r="Q2028" t="s">
        <v>111</v>
      </c>
      <c r="R2028" t="s">
        <v>111</v>
      </c>
      <c r="S2028" s="1">
        <v>46101</v>
      </c>
      <c r="T2028" s="1">
        <v>46101</v>
      </c>
      <c r="U2028" s="1">
        <v>46052</v>
      </c>
      <c r="V2028" s="1">
        <v>46466</v>
      </c>
      <c r="W2028" t="s">
        <v>38</v>
      </c>
      <c r="X2028">
        <v>14</v>
      </c>
      <c r="Y2028" t="s">
        <v>49</v>
      </c>
      <c r="Z2028" t="s">
        <v>81</v>
      </c>
      <c r="AA2028" t="s">
        <v>122</v>
      </c>
      <c r="AB2028">
        <v>12</v>
      </c>
      <c r="AC2028" t="s">
        <v>113</v>
      </c>
      <c r="AD2028" t="s">
        <v>84</v>
      </c>
      <c r="AE2028" t="s">
        <v>43</v>
      </c>
      <c r="AF2028" t="s">
        <v>44</v>
      </c>
      <c r="AG2028" t="str">
        <f t="shared" si="34"/>
        <v>Recorrente</v>
      </c>
      <c r="AH2028" t="str">
        <f>IF(AND(SUMIF(E:E,E2028,I:I)&gt;=400000,Q2028="B2G"),"n","")</f>
        <v/>
      </c>
    </row>
    <row r="2029" spans="1:34">
      <c r="A2029">
        <v>2026</v>
      </c>
      <c r="B2029">
        <v>3</v>
      </c>
      <c r="C2029" s="83">
        <v>117955953561</v>
      </c>
      <c r="D2029" t="s">
        <v>1905</v>
      </c>
      <c r="E2029">
        <v>58134878475</v>
      </c>
      <c r="F2029">
        <v>526033</v>
      </c>
      <c r="G2029">
        <v>53407443601</v>
      </c>
      <c r="H2029" t="s">
        <v>35</v>
      </c>
      <c r="I2029" s="36">
        <v>2715.3</v>
      </c>
      <c r="J2029" s="36">
        <v>2715.3</v>
      </c>
      <c r="K2029" s="85">
        <v>0</v>
      </c>
      <c r="L2029" s="36">
        <v>226.27500000000001</v>
      </c>
      <c r="M2029" s="36">
        <v>226.27500000000001</v>
      </c>
      <c r="N2029" s="36">
        <v>0</v>
      </c>
      <c r="O2029" s="36">
        <v>0</v>
      </c>
      <c r="P2029" t="s">
        <v>121</v>
      </c>
      <c r="Q2029" t="s">
        <v>111</v>
      </c>
      <c r="R2029" t="s">
        <v>111</v>
      </c>
      <c r="S2029" s="1">
        <v>46101</v>
      </c>
      <c r="T2029" s="1">
        <v>46101</v>
      </c>
      <c r="U2029" s="1">
        <v>46052</v>
      </c>
      <c r="V2029" s="1">
        <v>46466</v>
      </c>
      <c r="W2029" t="s">
        <v>38</v>
      </c>
      <c r="X2029">
        <v>14</v>
      </c>
      <c r="Y2029" t="s">
        <v>49</v>
      </c>
      <c r="Z2029" t="s">
        <v>81</v>
      </c>
      <c r="AA2029" t="s">
        <v>122</v>
      </c>
      <c r="AB2029">
        <v>12</v>
      </c>
      <c r="AC2029" t="s">
        <v>113</v>
      </c>
      <c r="AD2029" t="s">
        <v>243</v>
      </c>
      <c r="AE2029" t="s">
        <v>95</v>
      </c>
      <c r="AF2029" t="s">
        <v>244</v>
      </c>
      <c r="AG2029" t="str">
        <f t="shared" si="34"/>
        <v>Recorrente</v>
      </c>
      <c r="AH2029" t="str">
        <f>IF(AND(SUMIF(E:E,E2029,I:I)&gt;=400000,Q2029="B2G"),"n","")</f>
        <v/>
      </c>
    </row>
    <row r="2030" spans="1:34">
      <c r="A2030">
        <v>2026</v>
      </c>
      <c r="B2030">
        <v>3</v>
      </c>
      <c r="C2030" s="83">
        <v>119228174451</v>
      </c>
      <c r="D2030" t="s">
        <v>1906</v>
      </c>
      <c r="E2030">
        <v>56013396083</v>
      </c>
      <c r="F2030">
        <v>324819</v>
      </c>
      <c r="G2030">
        <v>51329972743</v>
      </c>
      <c r="H2030" t="s">
        <v>35</v>
      </c>
      <c r="I2030" s="36">
        <v>5754</v>
      </c>
      <c r="J2030" s="36">
        <v>5754</v>
      </c>
      <c r="K2030" s="85">
        <v>0</v>
      </c>
      <c r="L2030" s="36">
        <v>479.5</v>
      </c>
      <c r="M2030" s="36">
        <v>0</v>
      </c>
      <c r="N2030" s="36">
        <v>26.5</v>
      </c>
      <c r="O2030" s="36">
        <v>453</v>
      </c>
      <c r="P2030" t="s">
        <v>165</v>
      </c>
      <c r="Q2030" t="s">
        <v>166</v>
      </c>
      <c r="R2030" t="s">
        <v>166</v>
      </c>
      <c r="S2030" s="1">
        <v>46107</v>
      </c>
      <c r="T2030" s="1">
        <v>46107</v>
      </c>
      <c r="U2030" s="1">
        <v>46109</v>
      </c>
      <c r="V2030" s="1">
        <v>46474</v>
      </c>
      <c r="W2030" t="s">
        <v>38</v>
      </c>
      <c r="X2030">
        <v>12</v>
      </c>
      <c r="Y2030" t="s">
        <v>49</v>
      </c>
      <c r="Z2030" t="s">
        <v>81</v>
      </c>
      <c r="AA2030" t="s">
        <v>122</v>
      </c>
      <c r="AB2030">
        <v>12</v>
      </c>
      <c r="AC2030" t="s">
        <v>166</v>
      </c>
      <c r="AD2030" t="s">
        <v>85</v>
      </c>
      <c r="AE2030" t="s">
        <v>46</v>
      </c>
      <c r="AF2030" t="s">
        <v>44</v>
      </c>
      <c r="AG2030" t="str">
        <f t="shared" si="34"/>
        <v>Recorrente</v>
      </c>
      <c r="AH2030" t="str">
        <f>IF(AND(SUMIF(E:E,E2030,I:I)&gt;=400000,Q2030="B2G"),"n","")</f>
        <v/>
      </c>
    </row>
    <row r="2031" spans="1:34">
      <c r="A2031">
        <v>2026</v>
      </c>
      <c r="B2031">
        <v>3</v>
      </c>
      <c r="C2031" s="83">
        <v>119634896055</v>
      </c>
      <c r="D2031" t="s">
        <v>1907</v>
      </c>
      <c r="E2031">
        <v>57447727529</v>
      </c>
      <c r="F2031">
        <v>528251</v>
      </c>
      <c r="G2031">
        <v>52704225841</v>
      </c>
      <c r="H2031" t="s">
        <v>35</v>
      </c>
      <c r="I2031" s="36">
        <v>8886.24</v>
      </c>
      <c r="J2031" s="36">
        <v>8886.24</v>
      </c>
      <c r="K2031" s="85">
        <v>0</v>
      </c>
      <c r="L2031" s="36">
        <v>740.52</v>
      </c>
      <c r="M2031" s="36">
        <v>740.52</v>
      </c>
      <c r="N2031" s="36">
        <v>0</v>
      </c>
      <c r="O2031" s="36">
        <v>0</v>
      </c>
      <c r="P2031" t="s">
        <v>127</v>
      </c>
      <c r="Q2031" t="s">
        <v>111</v>
      </c>
      <c r="R2031" t="s">
        <v>111</v>
      </c>
      <c r="S2031" s="1">
        <v>46084</v>
      </c>
      <c r="T2031" s="1">
        <v>46084</v>
      </c>
      <c r="U2031" s="1">
        <v>46077</v>
      </c>
      <c r="V2031" s="1">
        <v>46449</v>
      </c>
      <c r="W2031" t="s">
        <v>38</v>
      </c>
      <c r="X2031">
        <v>13</v>
      </c>
      <c r="Y2031" t="s">
        <v>49</v>
      </c>
      <c r="Z2031" t="s">
        <v>81</v>
      </c>
      <c r="AA2031" t="s">
        <v>122</v>
      </c>
      <c r="AB2031">
        <v>12</v>
      </c>
      <c r="AC2031" t="s">
        <v>113</v>
      </c>
      <c r="AD2031" t="s">
        <v>134</v>
      </c>
      <c r="AE2031" t="s">
        <v>135</v>
      </c>
      <c r="AF2031" t="s">
        <v>44</v>
      </c>
      <c r="AG2031" t="str">
        <f t="shared" si="34"/>
        <v>Recorrente</v>
      </c>
      <c r="AH2031" t="str">
        <f>IF(AND(SUMIF(E:E,E2031,I:I)&gt;=400000,Q2031="B2G"),"n","")</f>
        <v/>
      </c>
    </row>
    <row r="2032" spans="1:34">
      <c r="A2032">
        <v>2026</v>
      </c>
      <c r="B2032">
        <v>3</v>
      </c>
      <c r="C2032" s="83">
        <v>120235251218</v>
      </c>
      <c r="D2032" t="s">
        <v>1908</v>
      </c>
      <c r="E2032">
        <v>55701027964</v>
      </c>
      <c r="F2032">
        <v>627686</v>
      </c>
      <c r="G2032">
        <v>51036832150</v>
      </c>
      <c r="H2032" t="s">
        <v>35</v>
      </c>
      <c r="I2032" s="36">
        <v>2148</v>
      </c>
      <c r="J2032" s="36">
        <v>2148</v>
      </c>
      <c r="K2032" s="85">
        <v>0</v>
      </c>
      <c r="L2032" s="36">
        <v>179</v>
      </c>
      <c r="M2032" s="36">
        <v>0</v>
      </c>
      <c r="N2032" s="36">
        <v>62.1</v>
      </c>
      <c r="O2032" s="36">
        <v>116.9</v>
      </c>
      <c r="P2032" t="s">
        <v>165</v>
      </c>
      <c r="Q2032" t="s">
        <v>166</v>
      </c>
      <c r="R2032" t="s">
        <v>166</v>
      </c>
      <c r="S2032" s="1">
        <v>46105</v>
      </c>
      <c r="T2032" s="1">
        <v>46105</v>
      </c>
      <c r="U2032" s="1">
        <v>46105</v>
      </c>
      <c r="V2032" s="1">
        <v>46470</v>
      </c>
      <c r="W2032" t="s">
        <v>38</v>
      </c>
      <c r="X2032">
        <v>12</v>
      </c>
      <c r="Y2032" t="s">
        <v>49</v>
      </c>
      <c r="Z2032" t="s">
        <v>81</v>
      </c>
      <c r="AA2032" t="s">
        <v>112</v>
      </c>
      <c r="AB2032">
        <v>12</v>
      </c>
      <c r="AC2032" t="s">
        <v>166</v>
      </c>
      <c r="AD2032" t="s">
        <v>256</v>
      </c>
      <c r="AE2032" t="s">
        <v>257</v>
      </c>
      <c r="AF2032" t="s">
        <v>59</v>
      </c>
      <c r="AG2032" t="str">
        <f t="shared" si="34"/>
        <v>CC 12x</v>
      </c>
      <c r="AH2032" t="str">
        <f>IF(AND(SUMIF(E:E,E2032,I:I)&gt;=400000,Q2032="B2G"),"n","")</f>
        <v/>
      </c>
    </row>
    <row r="2033" spans="1:34">
      <c r="A2033">
        <v>2026</v>
      </c>
      <c r="B2033">
        <v>3</v>
      </c>
      <c r="C2033" s="83">
        <v>120467645479</v>
      </c>
      <c r="D2033" t="s">
        <v>1909</v>
      </c>
      <c r="E2033">
        <v>58515811982</v>
      </c>
      <c r="F2033">
        <v>636742</v>
      </c>
      <c r="G2033">
        <v>53666579551</v>
      </c>
      <c r="H2033" t="s">
        <v>35</v>
      </c>
      <c r="I2033" s="36">
        <v>2644.08</v>
      </c>
      <c r="J2033" s="36">
        <v>2644.08</v>
      </c>
      <c r="K2033" s="85">
        <v>0</v>
      </c>
      <c r="L2033" s="36">
        <v>220.34</v>
      </c>
      <c r="M2033" s="36">
        <v>220.34</v>
      </c>
      <c r="N2033" s="36">
        <v>0</v>
      </c>
      <c r="O2033" s="36">
        <v>0</v>
      </c>
      <c r="P2033" t="s">
        <v>506</v>
      </c>
      <c r="Q2033" t="s">
        <v>300</v>
      </c>
      <c r="R2033" t="s">
        <v>300</v>
      </c>
      <c r="S2033" s="1">
        <v>46108</v>
      </c>
      <c r="T2033" s="1">
        <v>46108</v>
      </c>
      <c r="U2033" s="1"/>
      <c r="V2033" s="1">
        <v>46473</v>
      </c>
      <c r="W2033" t="s">
        <v>38</v>
      </c>
      <c r="X2033">
        <v>12</v>
      </c>
      <c r="Y2033" t="s">
        <v>49</v>
      </c>
      <c r="AA2033" t="s">
        <v>112</v>
      </c>
      <c r="AB2033">
        <v>12</v>
      </c>
      <c r="AC2033" t="s">
        <v>301</v>
      </c>
      <c r="AD2033" t="s">
        <v>118</v>
      </c>
      <c r="AE2033" t="s">
        <v>43</v>
      </c>
      <c r="AF2033" t="s">
        <v>119</v>
      </c>
      <c r="AG2033" t="str">
        <f t="shared" si="34"/>
        <v>CC 12x</v>
      </c>
      <c r="AH2033" t="str">
        <f>IF(AND(SUMIF(E:E,E2033,I:I)&gt;=400000,Q2033="B2G"),"n","")</f>
        <v/>
      </c>
    </row>
    <row r="2034" spans="1:34">
      <c r="A2034">
        <v>2026</v>
      </c>
      <c r="B2034">
        <v>3</v>
      </c>
      <c r="C2034" s="83">
        <v>120505420179</v>
      </c>
      <c r="D2034" t="s">
        <v>1910</v>
      </c>
      <c r="E2034">
        <v>55697312515</v>
      </c>
      <c r="F2034">
        <v>508712</v>
      </c>
      <c r="G2034">
        <v>51013374816</v>
      </c>
      <c r="H2034" t="s">
        <v>35</v>
      </c>
      <c r="I2034" s="36">
        <v>9354</v>
      </c>
      <c r="J2034" s="36">
        <v>9354</v>
      </c>
      <c r="K2034" s="85">
        <v>0</v>
      </c>
      <c r="L2034" s="36">
        <v>779.5</v>
      </c>
      <c r="M2034" s="36">
        <v>0</v>
      </c>
      <c r="N2034" s="36">
        <v>143.22</v>
      </c>
      <c r="O2034" s="36">
        <v>636.28</v>
      </c>
      <c r="P2034" t="s">
        <v>165</v>
      </c>
      <c r="Q2034" t="s">
        <v>166</v>
      </c>
      <c r="R2034" t="s">
        <v>166</v>
      </c>
      <c r="S2034" s="1">
        <v>46105</v>
      </c>
      <c r="T2034" s="1">
        <v>46105</v>
      </c>
      <c r="U2034" s="1">
        <v>46105</v>
      </c>
      <c r="V2034" s="1">
        <v>46470</v>
      </c>
      <c r="W2034" t="s">
        <v>38</v>
      </c>
      <c r="X2034">
        <v>12</v>
      </c>
      <c r="Y2034" t="s">
        <v>49</v>
      </c>
      <c r="Z2034" t="s">
        <v>81</v>
      </c>
      <c r="AA2034" t="s">
        <v>112</v>
      </c>
      <c r="AB2034">
        <v>10</v>
      </c>
      <c r="AC2034" t="s">
        <v>166</v>
      </c>
      <c r="AD2034" t="s">
        <v>134</v>
      </c>
      <c r="AE2034" t="s">
        <v>135</v>
      </c>
      <c r="AF2034" t="s">
        <v>44</v>
      </c>
      <c r="AG2034" t="str">
        <f t="shared" si="34"/>
        <v>CC 12x</v>
      </c>
      <c r="AH2034" t="str">
        <f>IF(AND(SUMIF(E:E,E2034,I:I)&gt;=400000,Q2034="B2G"),"n","")</f>
        <v/>
      </c>
    </row>
    <row r="2035" spans="1:34">
      <c r="A2035">
        <v>2026</v>
      </c>
      <c r="B2035">
        <v>3</v>
      </c>
      <c r="C2035" s="83">
        <v>121061264308</v>
      </c>
      <c r="D2035" t="s">
        <v>1911</v>
      </c>
      <c r="E2035">
        <v>58171768499</v>
      </c>
      <c r="F2035">
        <v>636589</v>
      </c>
      <c r="G2035">
        <v>53369641133</v>
      </c>
      <c r="H2035" t="s">
        <v>104</v>
      </c>
      <c r="I2035" s="36">
        <v>718.8</v>
      </c>
      <c r="J2035" s="36">
        <v>718.8</v>
      </c>
      <c r="K2035" s="85">
        <v>0</v>
      </c>
      <c r="L2035" s="36">
        <v>59.9</v>
      </c>
      <c r="M2035" s="36">
        <v>59.9</v>
      </c>
      <c r="N2035" s="36">
        <v>0</v>
      </c>
      <c r="O2035" s="36">
        <v>0</v>
      </c>
      <c r="P2035" t="s">
        <v>497</v>
      </c>
      <c r="Q2035" t="s">
        <v>498</v>
      </c>
      <c r="R2035" t="s">
        <v>498</v>
      </c>
      <c r="S2035" s="1">
        <v>46100</v>
      </c>
      <c r="T2035" s="1">
        <v>46100</v>
      </c>
      <c r="U2035" s="1"/>
      <c r="V2035" s="1">
        <v>46465</v>
      </c>
      <c r="W2035" t="s">
        <v>38</v>
      </c>
      <c r="X2035">
        <v>12</v>
      </c>
      <c r="Y2035" t="s">
        <v>49</v>
      </c>
      <c r="AA2035" t="s">
        <v>112</v>
      </c>
      <c r="AB2035">
        <v>12</v>
      </c>
      <c r="AC2035" t="s">
        <v>499</v>
      </c>
      <c r="AD2035" t="s">
        <v>105</v>
      </c>
      <c r="AE2035" t="s">
        <v>106</v>
      </c>
      <c r="AF2035" t="s">
        <v>59</v>
      </c>
      <c r="AG2035" t="str">
        <f t="shared" si="34"/>
        <v>CC 12x</v>
      </c>
      <c r="AH2035" t="str">
        <f>IF(AND(SUMIF(E:E,E2035,I:I)&gt;=400000,Q2035="B2G"),"n","")</f>
        <v/>
      </c>
    </row>
    <row r="2036" spans="1:34">
      <c r="A2036">
        <v>2026</v>
      </c>
      <c r="B2036">
        <v>3</v>
      </c>
      <c r="C2036" s="83">
        <v>121259379777</v>
      </c>
      <c r="D2036" t="s">
        <v>1912</v>
      </c>
      <c r="E2036">
        <v>57894333772</v>
      </c>
      <c r="F2036">
        <v>622625</v>
      </c>
      <c r="G2036">
        <v>53208827959</v>
      </c>
      <c r="H2036" t="s">
        <v>35</v>
      </c>
      <c r="I2036" s="36">
        <v>6196.68</v>
      </c>
      <c r="J2036" s="36">
        <v>3843</v>
      </c>
      <c r="K2036" s="85">
        <v>2353.6799999999998</v>
      </c>
      <c r="L2036" s="36">
        <v>320.25</v>
      </c>
      <c r="M2036" s="36">
        <v>0</v>
      </c>
      <c r="N2036" s="36">
        <v>320.25</v>
      </c>
      <c r="O2036" s="36">
        <v>0</v>
      </c>
      <c r="P2036" t="s">
        <v>323</v>
      </c>
      <c r="Q2036" t="s">
        <v>191</v>
      </c>
      <c r="R2036" t="s">
        <v>191</v>
      </c>
      <c r="S2036" s="1">
        <v>46094</v>
      </c>
      <c r="T2036" s="1">
        <v>46094</v>
      </c>
      <c r="U2036" s="1">
        <v>46683</v>
      </c>
      <c r="V2036" s="1">
        <v>46683</v>
      </c>
      <c r="W2036" t="s">
        <v>102</v>
      </c>
      <c r="X2036">
        <v>19</v>
      </c>
      <c r="Y2036" t="s">
        <v>49</v>
      </c>
      <c r="Z2036" t="s">
        <v>324</v>
      </c>
      <c r="AA2036" t="s">
        <v>122</v>
      </c>
      <c r="AB2036">
        <v>19</v>
      </c>
      <c r="AC2036" t="s">
        <v>192</v>
      </c>
      <c r="AD2036" t="s">
        <v>131</v>
      </c>
      <c r="AE2036" t="s">
        <v>46</v>
      </c>
      <c r="AF2036" t="s">
        <v>96</v>
      </c>
      <c r="AG2036" t="str">
        <f t="shared" si="34"/>
        <v>Recorrente</v>
      </c>
      <c r="AH2036" t="str">
        <f>IF(AND(SUMIF(E:E,E2036,I:I)&gt;=400000,Q2036="B2G"),"n","")</f>
        <v/>
      </c>
    </row>
    <row r="2037" spans="1:34">
      <c r="A2037">
        <v>2026</v>
      </c>
      <c r="B2037">
        <v>3</v>
      </c>
      <c r="C2037" s="83">
        <v>121455262513</v>
      </c>
      <c r="D2037" t="s">
        <v>1913</v>
      </c>
      <c r="E2037">
        <v>56279050067</v>
      </c>
      <c r="F2037">
        <v>507831</v>
      </c>
      <c r="G2037">
        <v>51580816415</v>
      </c>
      <c r="H2037" t="s">
        <v>35</v>
      </c>
      <c r="I2037" s="36">
        <v>2874</v>
      </c>
      <c r="J2037" s="36">
        <v>2874</v>
      </c>
      <c r="K2037" s="85">
        <v>0</v>
      </c>
      <c r="L2037" s="36">
        <v>239.5</v>
      </c>
      <c r="M2037" s="36">
        <v>0</v>
      </c>
      <c r="N2037" s="36">
        <v>0.5</v>
      </c>
      <c r="O2037" s="36">
        <v>239</v>
      </c>
      <c r="P2037" t="s">
        <v>165</v>
      </c>
      <c r="Q2037" t="s">
        <v>166</v>
      </c>
      <c r="R2037" t="s">
        <v>166</v>
      </c>
      <c r="S2037" s="1">
        <v>46107</v>
      </c>
      <c r="T2037" s="1">
        <v>46107</v>
      </c>
      <c r="U2037" s="1">
        <v>46112</v>
      </c>
      <c r="V2037" s="1">
        <v>46477</v>
      </c>
      <c r="W2037" t="s">
        <v>38</v>
      </c>
      <c r="X2037">
        <v>12</v>
      </c>
      <c r="Y2037" t="s">
        <v>49</v>
      </c>
      <c r="Z2037" t="s">
        <v>81</v>
      </c>
      <c r="AA2037" t="s">
        <v>122</v>
      </c>
      <c r="AB2037">
        <v>12</v>
      </c>
      <c r="AC2037" t="s">
        <v>166</v>
      </c>
      <c r="AD2037" t="s">
        <v>118</v>
      </c>
      <c r="AE2037" t="s">
        <v>43</v>
      </c>
      <c r="AF2037" t="s">
        <v>119</v>
      </c>
      <c r="AG2037" t="str">
        <f t="shared" si="34"/>
        <v>Recorrente</v>
      </c>
      <c r="AH2037" t="str">
        <f>IF(AND(SUMIF(E:E,E2037,I:I)&gt;=400000,Q2037="B2G"),"n","")</f>
        <v/>
      </c>
    </row>
    <row r="2038" spans="1:34">
      <c r="A2038">
        <v>2026</v>
      </c>
      <c r="B2038">
        <v>3</v>
      </c>
      <c r="C2038" s="83">
        <v>121674012738</v>
      </c>
      <c r="D2038" t="s">
        <v>1914</v>
      </c>
      <c r="E2038">
        <v>58361918375</v>
      </c>
      <c r="F2038">
        <v>612495</v>
      </c>
      <c r="G2038">
        <v>53710907729</v>
      </c>
      <c r="H2038" t="s">
        <v>35</v>
      </c>
      <c r="I2038" s="36">
        <v>2328</v>
      </c>
      <c r="J2038" s="36">
        <v>2328</v>
      </c>
      <c r="K2038" s="85">
        <v>0</v>
      </c>
      <c r="L2038" s="36">
        <v>194</v>
      </c>
      <c r="M2038" s="36">
        <v>0</v>
      </c>
      <c r="N2038" s="36">
        <v>1.0121849999999999</v>
      </c>
      <c r="O2038" s="36">
        <v>192.99</v>
      </c>
      <c r="P2038" t="s">
        <v>116</v>
      </c>
      <c r="Q2038" t="s">
        <v>111</v>
      </c>
      <c r="R2038" t="s">
        <v>111</v>
      </c>
      <c r="S2038" s="1">
        <v>46111</v>
      </c>
      <c r="T2038" s="1">
        <v>46111</v>
      </c>
      <c r="U2038" s="1">
        <v>46109</v>
      </c>
      <c r="V2038" s="1">
        <v>46476</v>
      </c>
      <c r="W2038" t="s">
        <v>38</v>
      </c>
      <c r="X2038">
        <v>12</v>
      </c>
      <c r="Y2038" t="s">
        <v>49</v>
      </c>
      <c r="Z2038" t="s">
        <v>81</v>
      </c>
      <c r="AA2038" t="s">
        <v>112</v>
      </c>
      <c r="AB2038">
        <v>12</v>
      </c>
      <c r="AC2038" t="s">
        <v>113</v>
      </c>
      <c r="AD2038" t="s">
        <v>140</v>
      </c>
      <c r="AE2038" t="s">
        <v>46</v>
      </c>
      <c r="AF2038" t="s">
        <v>119</v>
      </c>
      <c r="AG2038" t="str">
        <f t="shared" si="34"/>
        <v>CC 12x</v>
      </c>
      <c r="AH2038" t="str">
        <f>IF(AND(SUMIF(E:E,E2038,I:I)&gt;=400000,Q2038="B2G"),"n","")</f>
        <v/>
      </c>
    </row>
    <row r="2039" spans="1:34">
      <c r="A2039">
        <v>2026</v>
      </c>
      <c r="B2039">
        <v>3</v>
      </c>
      <c r="C2039" s="83">
        <v>121906678456</v>
      </c>
      <c r="D2039" t="s">
        <v>1915</v>
      </c>
      <c r="E2039">
        <v>54086596459</v>
      </c>
      <c r="F2039">
        <v>529051</v>
      </c>
      <c r="G2039">
        <v>49427415655</v>
      </c>
      <c r="H2039" t="s">
        <v>35</v>
      </c>
      <c r="I2039" s="36">
        <v>2874</v>
      </c>
      <c r="J2039" s="36">
        <v>2874</v>
      </c>
      <c r="K2039" s="85">
        <v>0</v>
      </c>
      <c r="L2039" s="36">
        <v>239.5</v>
      </c>
      <c r="M2039" s="36">
        <v>0</v>
      </c>
      <c r="N2039" s="36">
        <v>0.5</v>
      </c>
      <c r="O2039" s="36">
        <v>239</v>
      </c>
      <c r="P2039" t="s">
        <v>165</v>
      </c>
      <c r="Q2039" t="s">
        <v>166</v>
      </c>
      <c r="R2039" t="s">
        <v>166</v>
      </c>
      <c r="S2039" s="1">
        <v>46084</v>
      </c>
      <c r="T2039" s="1">
        <v>46084</v>
      </c>
      <c r="U2039" s="1">
        <v>46084</v>
      </c>
      <c r="V2039" s="1">
        <v>46449</v>
      </c>
      <c r="W2039" t="s">
        <v>38</v>
      </c>
      <c r="X2039">
        <v>12</v>
      </c>
      <c r="Y2039" t="s">
        <v>49</v>
      </c>
      <c r="Z2039" t="s">
        <v>81</v>
      </c>
      <c r="AA2039" t="s">
        <v>122</v>
      </c>
      <c r="AB2039">
        <v>12</v>
      </c>
      <c r="AC2039" t="s">
        <v>166</v>
      </c>
      <c r="AD2039" t="s">
        <v>140</v>
      </c>
      <c r="AE2039" t="s">
        <v>46</v>
      </c>
      <c r="AF2039" t="s">
        <v>119</v>
      </c>
      <c r="AG2039" t="str">
        <f t="shared" si="34"/>
        <v>Recorrente</v>
      </c>
      <c r="AH2039" t="str">
        <f>IF(AND(SUMIF(E:E,E2039,I:I)&gt;=400000,Q2039="B2G"),"n","")</f>
        <v/>
      </c>
    </row>
    <row r="2040" spans="1:34">
      <c r="A2040">
        <v>2026</v>
      </c>
      <c r="B2040">
        <v>3</v>
      </c>
      <c r="C2040" s="83">
        <v>121906678456</v>
      </c>
      <c r="D2040" t="s">
        <v>1915</v>
      </c>
      <c r="E2040">
        <v>58507587942</v>
      </c>
      <c r="F2040">
        <v>529051</v>
      </c>
      <c r="G2040">
        <v>53747938674</v>
      </c>
      <c r="H2040" t="s">
        <v>35</v>
      </c>
      <c r="I2040" s="36">
        <v>2667</v>
      </c>
      <c r="J2040" s="36">
        <v>2882.16</v>
      </c>
      <c r="K2040" s="85">
        <v>0</v>
      </c>
      <c r="L2040" s="36">
        <v>240.18</v>
      </c>
      <c r="M2040" s="36">
        <v>0</v>
      </c>
      <c r="N2040" s="36">
        <v>240.18</v>
      </c>
      <c r="O2040" s="36">
        <v>0</v>
      </c>
      <c r="P2040" t="s">
        <v>367</v>
      </c>
      <c r="Q2040" t="s">
        <v>191</v>
      </c>
      <c r="R2040" t="s">
        <v>191</v>
      </c>
      <c r="S2040" s="1">
        <v>46111</v>
      </c>
      <c r="T2040" s="1">
        <v>46111</v>
      </c>
      <c r="U2040" s="1">
        <v>46449</v>
      </c>
      <c r="V2040" s="1">
        <v>46449</v>
      </c>
      <c r="W2040" t="s">
        <v>38</v>
      </c>
      <c r="X2040">
        <v>12</v>
      </c>
      <c r="Y2040" t="s">
        <v>49</v>
      </c>
      <c r="Z2040" t="s">
        <v>324</v>
      </c>
      <c r="AA2040" t="s">
        <v>122</v>
      </c>
      <c r="AB2040">
        <v>11</v>
      </c>
      <c r="AC2040" t="s">
        <v>192</v>
      </c>
      <c r="AD2040" t="s">
        <v>85</v>
      </c>
      <c r="AE2040" t="s">
        <v>46</v>
      </c>
      <c r="AF2040" t="s">
        <v>44</v>
      </c>
      <c r="AG2040" t="str">
        <f t="shared" si="34"/>
        <v>Recorrente</v>
      </c>
      <c r="AH2040" t="str">
        <f>IF(AND(SUMIF(E:E,E2040,I:I)&gt;=400000,Q2040="B2G"),"n","")</f>
        <v/>
      </c>
    </row>
    <row r="2041" spans="1:34">
      <c r="A2041">
        <v>2026</v>
      </c>
      <c r="B2041">
        <v>3</v>
      </c>
      <c r="C2041" s="83">
        <v>122790489525</v>
      </c>
      <c r="D2041" t="s">
        <v>1916</v>
      </c>
      <c r="E2041">
        <v>58132359438</v>
      </c>
      <c r="F2041">
        <v>636578</v>
      </c>
      <c r="G2041">
        <v>53343182109</v>
      </c>
      <c r="H2041" t="s">
        <v>35</v>
      </c>
      <c r="I2041" s="36">
        <v>5514</v>
      </c>
      <c r="J2041" s="36">
        <v>5514</v>
      </c>
      <c r="K2041" s="85">
        <v>0</v>
      </c>
      <c r="L2041" s="36">
        <v>459.5</v>
      </c>
      <c r="M2041" s="36">
        <v>459.5</v>
      </c>
      <c r="N2041" s="36">
        <v>0</v>
      </c>
      <c r="O2041" s="36">
        <v>0</v>
      </c>
      <c r="P2041" t="s">
        <v>511</v>
      </c>
      <c r="Q2041" t="s">
        <v>300</v>
      </c>
      <c r="R2041" t="s">
        <v>300</v>
      </c>
      <c r="S2041" s="1">
        <v>46099</v>
      </c>
      <c r="T2041" s="1">
        <v>46099</v>
      </c>
      <c r="U2041" s="1"/>
      <c r="V2041" s="1">
        <v>46464</v>
      </c>
      <c r="W2041" t="s">
        <v>38</v>
      </c>
      <c r="X2041">
        <v>12</v>
      </c>
      <c r="Y2041" t="s">
        <v>49</v>
      </c>
      <c r="AA2041" t="s">
        <v>122</v>
      </c>
      <c r="AB2041">
        <v>12</v>
      </c>
      <c r="AC2041" t="s">
        <v>301</v>
      </c>
      <c r="AD2041" t="s">
        <v>138</v>
      </c>
      <c r="AE2041" t="s">
        <v>135</v>
      </c>
      <c r="AF2041" t="s">
        <v>119</v>
      </c>
      <c r="AG2041" t="str">
        <f t="shared" si="34"/>
        <v>Recorrente</v>
      </c>
      <c r="AH2041" t="str">
        <f>IF(AND(SUMIF(E:E,E2041,I:I)&gt;=400000,Q2041="B2G"),"n","")</f>
        <v/>
      </c>
    </row>
    <row r="2042" spans="1:34">
      <c r="A2042">
        <v>2026</v>
      </c>
      <c r="B2042">
        <v>3</v>
      </c>
      <c r="C2042" s="83">
        <v>122995270172</v>
      </c>
      <c r="D2042" t="s">
        <v>1917</v>
      </c>
      <c r="E2042">
        <v>55399114805</v>
      </c>
      <c r="F2042">
        <v>627600</v>
      </c>
      <c r="G2042">
        <v>50720868733</v>
      </c>
      <c r="H2042" t="s">
        <v>104</v>
      </c>
      <c r="I2042" s="36">
        <v>4694.76</v>
      </c>
      <c r="J2042" s="36">
        <v>4694.76</v>
      </c>
      <c r="K2042" s="85">
        <v>0</v>
      </c>
      <c r="L2042" s="36">
        <v>391.23</v>
      </c>
      <c r="M2042" s="36">
        <v>0</v>
      </c>
      <c r="N2042" s="36">
        <v>66.400000000000006</v>
      </c>
      <c r="O2042" s="36">
        <v>324.83</v>
      </c>
      <c r="P2042" t="s">
        <v>165</v>
      </c>
      <c r="Q2042" t="s">
        <v>166</v>
      </c>
      <c r="R2042" t="s">
        <v>166</v>
      </c>
      <c r="S2042" s="1">
        <v>46101</v>
      </c>
      <c r="T2042" s="1">
        <v>46101</v>
      </c>
      <c r="U2042" s="1">
        <v>46101</v>
      </c>
      <c r="V2042" s="1">
        <v>46466</v>
      </c>
      <c r="W2042" t="s">
        <v>38</v>
      </c>
      <c r="X2042">
        <v>12</v>
      </c>
      <c r="Y2042" t="s">
        <v>49</v>
      </c>
      <c r="Z2042" t="s">
        <v>81</v>
      </c>
      <c r="AA2042" t="s">
        <v>122</v>
      </c>
      <c r="AB2042">
        <v>3</v>
      </c>
      <c r="AC2042" t="s">
        <v>166</v>
      </c>
      <c r="AD2042" t="s">
        <v>277</v>
      </c>
      <c r="AE2042" t="s">
        <v>106</v>
      </c>
      <c r="AF2042" t="s">
        <v>59</v>
      </c>
      <c r="AG2042" t="str">
        <f t="shared" si="34"/>
        <v>Recorrente</v>
      </c>
      <c r="AH2042" t="str">
        <f>IF(AND(SUMIF(E:E,E2042,I:I)&gt;=400000,Q2042="B2G"),"n","")</f>
        <v/>
      </c>
    </row>
    <row r="2043" spans="1:34">
      <c r="A2043">
        <v>2026</v>
      </c>
      <c r="B2043">
        <v>3</v>
      </c>
      <c r="C2043" s="83">
        <v>122995270172</v>
      </c>
      <c r="D2043" t="s">
        <v>1917</v>
      </c>
      <c r="E2043">
        <v>55399114805</v>
      </c>
      <c r="F2043">
        <v>627600</v>
      </c>
      <c r="G2043">
        <v>50729302036</v>
      </c>
      <c r="H2043" t="s">
        <v>35</v>
      </c>
      <c r="I2043" s="36">
        <v>4694.76</v>
      </c>
      <c r="J2043" s="36">
        <v>4694.76</v>
      </c>
      <c r="K2043" s="85">
        <v>0</v>
      </c>
      <c r="L2043" s="36">
        <v>391.23</v>
      </c>
      <c r="M2043" s="36">
        <v>0</v>
      </c>
      <c r="N2043" s="36">
        <v>66.400000000000006</v>
      </c>
      <c r="O2043" s="36">
        <v>324.83</v>
      </c>
      <c r="P2043" t="s">
        <v>165</v>
      </c>
      <c r="Q2043" t="s">
        <v>166</v>
      </c>
      <c r="R2043" t="s">
        <v>166</v>
      </c>
      <c r="S2043" s="1">
        <v>46101</v>
      </c>
      <c r="T2043" s="1">
        <v>46101</v>
      </c>
      <c r="U2043" s="1">
        <v>46101</v>
      </c>
      <c r="V2043" s="1">
        <v>46466</v>
      </c>
      <c r="W2043" t="s">
        <v>38</v>
      </c>
      <c r="X2043">
        <v>12</v>
      </c>
      <c r="Y2043" t="s">
        <v>49</v>
      </c>
      <c r="Z2043" t="s">
        <v>81</v>
      </c>
      <c r="AA2043" t="s">
        <v>122</v>
      </c>
      <c r="AB2043">
        <v>3</v>
      </c>
      <c r="AC2043" t="s">
        <v>166</v>
      </c>
      <c r="AD2043" t="s">
        <v>134</v>
      </c>
      <c r="AE2043" t="s">
        <v>135</v>
      </c>
      <c r="AF2043" t="s">
        <v>44</v>
      </c>
      <c r="AG2043" t="str">
        <f t="shared" si="34"/>
        <v>Recorrente</v>
      </c>
      <c r="AH2043" t="str">
        <f>IF(AND(SUMIF(E:E,E2043,I:I)&gt;=400000,Q2043="B2G"),"n","")</f>
        <v/>
      </c>
    </row>
    <row r="2044" spans="1:34">
      <c r="A2044">
        <v>2026</v>
      </c>
      <c r="B2044">
        <v>3</v>
      </c>
      <c r="C2044" s="83">
        <v>123038122248</v>
      </c>
      <c r="D2044" t="s">
        <v>1918</v>
      </c>
      <c r="E2044">
        <v>58315381589</v>
      </c>
      <c r="F2044">
        <v>624338</v>
      </c>
      <c r="G2044">
        <v>53530927989</v>
      </c>
      <c r="H2044" t="s">
        <v>35</v>
      </c>
      <c r="I2044" s="36">
        <v>2522.88</v>
      </c>
      <c r="J2044" s="36">
        <v>1503.24</v>
      </c>
      <c r="K2044" s="85">
        <v>1019.64</v>
      </c>
      <c r="L2044" s="36">
        <v>125.27</v>
      </c>
      <c r="M2044" s="36">
        <v>0</v>
      </c>
      <c r="N2044" s="36">
        <v>125.27</v>
      </c>
      <c r="O2044" s="36">
        <v>0</v>
      </c>
      <c r="P2044" t="s">
        <v>323</v>
      </c>
      <c r="Q2044" t="s">
        <v>191</v>
      </c>
      <c r="R2044" t="s">
        <v>191</v>
      </c>
      <c r="S2044" s="1">
        <v>46107</v>
      </c>
      <c r="T2044" s="1">
        <v>46107</v>
      </c>
      <c r="U2044" s="1">
        <v>46720</v>
      </c>
      <c r="V2044" s="1">
        <v>46720</v>
      </c>
      <c r="W2044" t="s">
        <v>102</v>
      </c>
      <c r="X2044">
        <v>20</v>
      </c>
      <c r="Y2044" t="s">
        <v>49</v>
      </c>
      <c r="Z2044" t="s">
        <v>324</v>
      </c>
      <c r="AA2044" t="s">
        <v>122</v>
      </c>
      <c r="AB2044">
        <v>20</v>
      </c>
      <c r="AC2044" t="s">
        <v>192</v>
      </c>
      <c r="AD2044" t="s">
        <v>256</v>
      </c>
      <c r="AE2044" t="s">
        <v>257</v>
      </c>
      <c r="AF2044" t="s">
        <v>59</v>
      </c>
      <c r="AG2044" t="str">
        <f t="shared" ref="AG2044:AG2107" si="35">IF(IFERROR(SEARCH("Recorrente",AA2044),0)&gt;0,"Recorrente",IF(AB2044=1,"À Vista",IF(AB2044&lt;=3,"CC 3x",IF(AB2044&lt;=12,"CC 12x",IF(AB2044&gt;12,"Recorrente","")))))</f>
        <v>Recorrente</v>
      </c>
      <c r="AH2044" t="str">
        <f>IF(AND(SUMIF(E:E,E2044,I:I)&gt;=400000,Q2044="B2G"),"n","")</f>
        <v/>
      </c>
    </row>
    <row r="2045" spans="1:34">
      <c r="A2045">
        <v>2026</v>
      </c>
      <c r="B2045">
        <v>3</v>
      </c>
      <c r="C2045" s="83">
        <v>123666781714</v>
      </c>
      <c r="D2045" t="s">
        <v>894</v>
      </c>
      <c r="E2045">
        <v>55209478198</v>
      </c>
      <c r="F2045">
        <v>635841</v>
      </c>
      <c r="G2045">
        <v>52859477281</v>
      </c>
      <c r="H2045" t="s">
        <v>35</v>
      </c>
      <c r="I2045" s="36">
        <v>633</v>
      </c>
      <c r="J2045" s="36">
        <v>7596</v>
      </c>
      <c r="K2045" s="85">
        <v>0</v>
      </c>
      <c r="L2045" s="36">
        <v>633</v>
      </c>
      <c r="M2045" s="36">
        <v>633</v>
      </c>
      <c r="N2045" s="36">
        <v>0</v>
      </c>
      <c r="O2045" s="36">
        <v>0</v>
      </c>
      <c r="P2045" t="s">
        <v>121</v>
      </c>
      <c r="Q2045" t="s">
        <v>111</v>
      </c>
      <c r="R2045" t="s">
        <v>111</v>
      </c>
      <c r="S2045" s="1">
        <v>46086</v>
      </c>
      <c r="T2045" s="1">
        <v>46086</v>
      </c>
      <c r="U2045" s="1">
        <v>46083</v>
      </c>
      <c r="V2045" s="1">
        <v>46117</v>
      </c>
      <c r="W2045" t="s">
        <v>679</v>
      </c>
      <c r="X2045">
        <v>1</v>
      </c>
      <c r="Y2045" t="s">
        <v>49</v>
      </c>
      <c r="Z2045" t="s">
        <v>81</v>
      </c>
      <c r="AA2045" t="s">
        <v>112</v>
      </c>
      <c r="AB2045">
        <v>1</v>
      </c>
      <c r="AC2045" t="s">
        <v>113</v>
      </c>
      <c r="AD2045" t="s">
        <v>84</v>
      </c>
      <c r="AE2045" t="s">
        <v>43</v>
      </c>
      <c r="AF2045" t="s">
        <v>44</v>
      </c>
      <c r="AG2045" t="str">
        <f t="shared" si="35"/>
        <v>À Vista</v>
      </c>
      <c r="AH2045" t="str">
        <f>IF(AND(SUMIF(E:E,E2045,I:I)&gt;=400000,Q2045="B2G"),"n","")</f>
        <v/>
      </c>
    </row>
    <row r="2046" spans="1:34">
      <c r="A2046">
        <v>2026</v>
      </c>
      <c r="B2046">
        <v>3</v>
      </c>
      <c r="C2046" s="83">
        <v>123704210705</v>
      </c>
      <c r="D2046" t="s">
        <v>1919</v>
      </c>
      <c r="E2046">
        <v>57865269554</v>
      </c>
      <c r="F2046">
        <v>525778</v>
      </c>
      <c r="G2046">
        <v>53090193563</v>
      </c>
      <c r="H2046" t="s">
        <v>35</v>
      </c>
      <c r="I2046" s="36">
        <v>4200.3599999999997</v>
      </c>
      <c r="J2046" s="36">
        <v>4200.3599999999997</v>
      </c>
      <c r="K2046" s="85">
        <v>0</v>
      </c>
      <c r="L2046" s="36">
        <v>350.03</v>
      </c>
      <c r="M2046" s="36">
        <v>350.03</v>
      </c>
      <c r="N2046" s="36">
        <v>0</v>
      </c>
      <c r="O2046" s="36">
        <v>0</v>
      </c>
      <c r="P2046" t="s">
        <v>110</v>
      </c>
      <c r="Q2046" t="s">
        <v>111</v>
      </c>
      <c r="R2046" t="s">
        <v>111</v>
      </c>
      <c r="S2046" s="1">
        <v>46091</v>
      </c>
      <c r="T2046" s="1">
        <v>46091</v>
      </c>
      <c r="U2046" s="1">
        <v>46049</v>
      </c>
      <c r="V2046" s="1">
        <v>46456</v>
      </c>
      <c r="W2046" t="s">
        <v>38</v>
      </c>
      <c r="X2046">
        <v>14</v>
      </c>
      <c r="Y2046" t="s">
        <v>49</v>
      </c>
      <c r="Z2046" t="s">
        <v>81</v>
      </c>
      <c r="AA2046" t="s">
        <v>112</v>
      </c>
      <c r="AB2046">
        <v>12</v>
      </c>
      <c r="AC2046" t="s">
        <v>113</v>
      </c>
      <c r="AD2046" t="s">
        <v>85</v>
      </c>
      <c r="AE2046" t="s">
        <v>46</v>
      </c>
      <c r="AF2046" t="s">
        <v>44</v>
      </c>
      <c r="AG2046" t="str">
        <f t="shared" si="35"/>
        <v>CC 12x</v>
      </c>
      <c r="AH2046" t="str">
        <f>IF(AND(SUMIF(E:E,E2046,I:I)&gt;=400000,Q2046="B2G"),"n","")</f>
        <v/>
      </c>
    </row>
    <row r="2047" spans="1:34">
      <c r="A2047">
        <v>2026</v>
      </c>
      <c r="B2047">
        <v>3</v>
      </c>
      <c r="C2047" s="83">
        <v>124293978919</v>
      </c>
      <c r="D2047" t="s">
        <v>1920</v>
      </c>
      <c r="E2047">
        <v>58555304282</v>
      </c>
      <c r="F2047">
        <v>636760</v>
      </c>
      <c r="G2047">
        <v>53710853389</v>
      </c>
      <c r="H2047" t="s">
        <v>35</v>
      </c>
      <c r="I2047" s="36">
        <v>4416.3599999999997</v>
      </c>
      <c r="J2047" s="36">
        <v>4416.3281999999999</v>
      </c>
      <c r="K2047" s="85">
        <v>3.1800000000000002E-2</v>
      </c>
      <c r="L2047" s="36">
        <v>368.02735000000001</v>
      </c>
      <c r="M2047" s="36">
        <v>368.02735000000001</v>
      </c>
      <c r="N2047" s="36">
        <v>0</v>
      </c>
      <c r="O2047" s="36">
        <v>0</v>
      </c>
      <c r="P2047" t="s">
        <v>506</v>
      </c>
      <c r="Q2047" t="s">
        <v>300</v>
      </c>
      <c r="R2047" t="s">
        <v>300</v>
      </c>
      <c r="S2047" s="1">
        <v>46111</v>
      </c>
      <c r="T2047" s="1">
        <v>46111</v>
      </c>
      <c r="U2047" s="1"/>
      <c r="V2047" s="1">
        <v>46476</v>
      </c>
      <c r="W2047" t="s">
        <v>38</v>
      </c>
      <c r="X2047">
        <v>12</v>
      </c>
      <c r="Y2047" t="s">
        <v>49</v>
      </c>
      <c r="AA2047" t="s">
        <v>112</v>
      </c>
      <c r="AB2047">
        <v>12</v>
      </c>
      <c r="AC2047" t="s">
        <v>301</v>
      </c>
      <c r="AD2047" t="s">
        <v>84</v>
      </c>
      <c r="AE2047" t="s">
        <v>43</v>
      </c>
      <c r="AF2047" t="s">
        <v>44</v>
      </c>
      <c r="AG2047" t="str">
        <f t="shared" si="35"/>
        <v>CC 12x</v>
      </c>
      <c r="AH2047" t="str">
        <f>IF(AND(SUMIF(E:E,E2047,I:I)&gt;=400000,Q2047="B2G"),"n","")</f>
        <v/>
      </c>
    </row>
    <row r="2048" spans="1:34">
      <c r="A2048">
        <v>2026</v>
      </c>
      <c r="B2048">
        <v>3</v>
      </c>
      <c r="C2048" s="83">
        <v>124908029822</v>
      </c>
      <c r="D2048" t="s">
        <v>1921</v>
      </c>
      <c r="E2048">
        <v>56998159779</v>
      </c>
      <c r="F2048">
        <v>516295</v>
      </c>
      <c r="G2048">
        <v>52402027106</v>
      </c>
      <c r="H2048" t="s">
        <v>35</v>
      </c>
      <c r="I2048" s="36">
        <v>4530.6000000000004</v>
      </c>
      <c r="J2048" s="36">
        <v>4530.6000000000004</v>
      </c>
      <c r="K2048" s="85">
        <v>0</v>
      </c>
      <c r="L2048" s="36">
        <v>377.55</v>
      </c>
      <c r="M2048" s="36">
        <v>0</v>
      </c>
      <c r="N2048" s="36">
        <v>0</v>
      </c>
      <c r="O2048" s="36">
        <v>377.55</v>
      </c>
      <c r="P2048" t="s">
        <v>121</v>
      </c>
      <c r="Q2048" t="s">
        <v>111</v>
      </c>
      <c r="R2048" t="s">
        <v>111</v>
      </c>
      <c r="S2048" s="1">
        <v>46093</v>
      </c>
      <c r="T2048" s="1">
        <v>46093</v>
      </c>
      <c r="U2048" s="1">
        <v>46095</v>
      </c>
      <c r="V2048" s="1">
        <v>46460</v>
      </c>
      <c r="W2048" t="s">
        <v>38</v>
      </c>
      <c r="X2048">
        <v>12</v>
      </c>
      <c r="Y2048" t="s">
        <v>49</v>
      </c>
      <c r="Z2048" t="s">
        <v>76</v>
      </c>
      <c r="AA2048" t="s">
        <v>112</v>
      </c>
      <c r="AB2048">
        <v>12</v>
      </c>
      <c r="AC2048" t="s">
        <v>113</v>
      </c>
      <c r="AD2048" t="s">
        <v>84</v>
      </c>
      <c r="AE2048" t="s">
        <v>43</v>
      </c>
      <c r="AF2048" t="s">
        <v>44</v>
      </c>
      <c r="AG2048" t="str">
        <f t="shared" si="35"/>
        <v>CC 12x</v>
      </c>
      <c r="AH2048" t="str">
        <f>IF(AND(SUMIF(E:E,E2048,I:I)&gt;=400000,Q2048="B2G"),"n","")</f>
        <v/>
      </c>
    </row>
    <row r="2049" spans="1:34">
      <c r="A2049">
        <v>2026</v>
      </c>
      <c r="B2049">
        <v>3</v>
      </c>
      <c r="C2049" s="83">
        <v>125083170732</v>
      </c>
      <c r="D2049" t="s">
        <v>1922</v>
      </c>
      <c r="E2049">
        <v>54129461614</v>
      </c>
      <c r="F2049">
        <v>610590</v>
      </c>
      <c r="G2049">
        <v>49464552738</v>
      </c>
      <c r="H2049" t="s">
        <v>35</v>
      </c>
      <c r="I2049" s="36">
        <v>4074</v>
      </c>
      <c r="J2049" s="36">
        <v>4074</v>
      </c>
      <c r="K2049" s="85">
        <v>0</v>
      </c>
      <c r="L2049" s="36">
        <v>339.5</v>
      </c>
      <c r="M2049" s="36">
        <v>0</v>
      </c>
      <c r="N2049" s="36">
        <v>30.5</v>
      </c>
      <c r="O2049" s="36">
        <v>309</v>
      </c>
      <c r="P2049" t="s">
        <v>165</v>
      </c>
      <c r="Q2049" t="s">
        <v>166</v>
      </c>
      <c r="R2049" t="s">
        <v>166</v>
      </c>
      <c r="S2049" s="1">
        <v>46085</v>
      </c>
      <c r="T2049" s="1">
        <v>46085</v>
      </c>
      <c r="U2049" s="1">
        <v>46085</v>
      </c>
      <c r="V2049" s="1">
        <v>46450</v>
      </c>
      <c r="W2049" t="s">
        <v>38</v>
      </c>
      <c r="X2049">
        <v>12</v>
      </c>
      <c r="Y2049" t="s">
        <v>49</v>
      </c>
      <c r="Z2049" t="s">
        <v>81</v>
      </c>
      <c r="AA2049" t="s">
        <v>122</v>
      </c>
      <c r="AB2049">
        <v>12</v>
      </c>
      <c r="AC2049" t="s">
        <v>166</v>
      </c>
      <c r="AD2049" t="s">
        <v>160</v>
      </c>
      <c r="AE2049" t="s">
        <v>43</v>
      </c>
      <c r="AF2049" t="s">
        <v>44</v>
      </c>
      <c r="AG2049" t="str">
        <f t="shared" si="35"/>
        <v>Recorrente</v>
      </c>
      <c r="AH2049" t="str">
        <f>IF(AND(SUMIF(E:E,E2049,I:I)&gt;=400000,Q2049="B2G"),"n","")</f>
        <v/>
      </c>
    </row>
    <row r="2050" spans="1:34">
      <c r="A2050">
        <v>2026</v>
      </c>
      <c r="B2050">
        <v>3</v>
      </c>
      <c r="C2050" s="83">
        <v>125092088379</v>
      </c>
      <c r="D2050" t="s">
        <v>1923</v>
      </c>
      <c r="E2050">
        <v>56946500011</v>
      </c>
      <c r="F2050">
        <v>528276</v>
      </c>
      <c r="G2050">
        <v>53490534179</v>
      </c>
      <c r="H2050" t="s">
        <v>35</v>
      </c>
      <c r="I2050" s="36">
        <v>4919.6400000000003</v>
      </c>
      <c r="J2050" s="36">
        <v>4919.6400000000003</v>
      </c>
      <c r="K2050" s="85">
        <v>0</v>
      </c>
      <c r="L2050" s="36">
        <v>409.97</v>
      </c>
      <c r="M2050" s="36">
        <v>0</v>
      </c>
      <c r="N2050" s="36">
        <v>22.66</v>
      </c>
      <c r="O2050" s="36">
        <v>387.31</v>
      </c>
      <c r="P2050" t="s">
        <v>162</v>
      </c>
      <c r="Q2050" t="s">
        <v>111</v>
      </c>
      <c r="R2050" t="s">
        <v>111</v>
      </c>
      <c r="S2050" s="1">
        <v>46105</v>
      </c>
      <c r="T2050" s="1">
        <v>46105</v>
      </c>
      <c r="U2050" s="1">
        <v>46080</v>
      </c>
      <c r="V2050" s="1">
        <v>46470</v>
      </c>
      <c r="W2050" t="s">
        <v>38</v>
      </c>
      <c r="X2050">
        <v>13</v>
      </c>
      <c r="Y2050" t="s">
        <v>49</v>
      </c>
      <c r="Z2050" t="s">
        <v>81</v>
      </c>
      <c r="AA2050" t="s">
        <v>122</v>
      </c>
      <c r="AB2050">
        <v>12</v>
      </c>
      <c r="AC2050" t="s">
        <v>113</v>
      </c>
      <c r="AD2050" t="s">
        <v>85</v>
      </c>
      <c r="AE2050" t="s">
        <v>46</v>
      </c>
      <c r="AF2050" t="s">
        <v>44</v>
      </c>
      <c r="AG2050" t="str">
        <f t="shared" si="35"/>
        <v>Recorrente</v>
      </c>
      <c r="AH2050" t="str">
        <f>IF(AND(SUMIF(E:E,E2050,I:I)&gt;=400000,Q2050="B2G"),"n","")</f>
        <v/>
      </c>
    </row>
    <row r="2051" spans="1:34">
      <c r="A2051">
        <v>2026</v>
      </c>
      <c r="B2051">
        <v>3</v>
      </c>
      <c r="C2051" s="83">
        <v>125100382082</v>
      </c>
      <c r="D2051" t="s">
        <v>1924</v>
      </c>
      <c r="E2051">
        <v>55676044334</v>
      </c>
      <c r="F2051">
        <v>636465</v>
      </c>
      <c r="G2051">
        <v>53094531932</v>
      </c>
      <c r="H2051" t="s">
        <v>35</v>
      </c>
      <c r="I2051" s="36">
        <v>5178.6000000000004</v>
      </c>
      <c r="J2051" s="36">
        <v>5178.6000000000004</v>
      </c>
      <c r="K2051" s="85">
        <v>0</v>
      </c>
      <c r="L2051" s="36">
        <v>431.55</v>
      </c>
      <c r="M2051" s="36">
        <v>431.55</v>
      </c>
      <c r="N2051" s="36">
        <v>0</v>
      </c>
      <c r="O2051" s="36">
        <v>0</v>
      </c>
      <c r="P2051" t="s">
        <v>1073</v>
      </c>
      <c r="Q2051" t="s">
        <v>314</v>
      </c>
      <c r="R2051" t="s">
        <v>314</v>
      </c>
      <c r="S2051" s="1">
        <v>46092</v>
      </c>
      <c r="T2051" s="1">
        <v>46092</v>
      </c>
      <c r="U2051" s="1"/>
      <c r="V2051" s="1">
        <v>46457</v>
      </c>
      <c r="W2051" t="s">
        <v>38</v>
      </c>
      <c r="X2051">
        <v>12</v>
      </c>
      <c r="Y2051" t="s">
        <v>49</v>
      </c>
      <c r="AA2051" t="s">
        <v>122</v>
      </c>
      <c r="AB2051">
        <v>12</v>
      </c>
      <c r="AC2051" t="s">
        <v>315</v>
      </c>
      <c r="AD2051" t="s">
        <v>85</v>
      </c>
      <c r="AE2051" t="s">
        <v>46</v>
      </c>
      <c r="AF2051" t="s">
        <v>44</v>
      </c>
      <c r="AG2051" t="str">
        <f t="shared" si="35"/>
        <v>Recorrente</v>
      </c>
      <c r="AH2051" t="str">
        <f>IF(AND(SUMIF(E:E,E2051,I:I)&gt;=400000,Q2051="B2G"),"n","")</f>
        <v/>
      </c>
    </row>
    <row r="2052" spans="1:34">
      <c r="A2052">
        <v>2026</v>
      </c>
      <c r="B2052">
        <v>3</v>
      </c>
      <c r="C2052" s="83">
        <v>125101908490</v>
      </c>
      <c r="D2052" t="s">
        <v>1925</v>
      </c>
      <c r="E2052">
        <v>54116877961</v>
      </c>
      <c r="F2052">
        <v>307959</v>
      </c>
      <c r="G2052">
        <v>49414143517</v>
      </c>
      <c r="H2052" t="s">
        <v>35</v>
      </c>
      <c r="I2052" s="36">
        <v>9354</v>
      </c>
      <c r="J2052" s="36">
        <v>9354</v>
      </c>
      <c r="K2052" s="85">
        <v>0</v>
      </c>
      <c r="L2052" s="36">
        <v>779.5</v>
      </c>
      <c r="M2052" s="36">
        <v>0</v>
      </c>
      <c r="N2052" s="36">
        <v>151.35</v>
      </c>
      <c r="O2052" s="36">
        <v>628.15</v>
      </c>
      <c r="P2052" t="s">
        <v>165</v>
      </c>
      <c r="Q2052" t="s">
        <v>166</v>
      </c>
      <c r="R2052" t="s">
        <v>166</v>
      </c>
      <c r="S2052" s="1">
        <v>46084</v>
      </c>
      <c r="T2052" s="1">
        <v>46084</v>
      </c>
      <c r="U2052" s="1">
        <v>46084</v>
      </c>
      <c r="V2052" s="1">
        <v>46449</v>
      </c>
      <c r="W2052" t="s">
        <v>38</v>
      </c>
      <c r="X2052">
        <v>12</v>
      </c>
      <c r="Y2052" t="s">
        <v>49</v>
      </c>
      <c r="Z2052" t="s">
        <v>81</v>
      </c>
      <c r="AA2052" t="s">
        <v>122</v>
      </c>
      <c r="AB2052">
        <v>12</v>
      </c>
      <c r="AC2052" t="s">
        <v>166</v>
      </c>
      <c r="AD2052" t="s">
        <v>134</v>
      </c>
      <c r="AE2052" t="s">
        <v>135</v>
      </c>
      <c r="AF2052" t="s">
        <v>44</v>
      </c>
      <c r="AG2052" t="str">
        <f t="shared" si="35"/>
        <v>Recorrente</v>
      </c>
      <c r="AH2052" t="str">
        <f>IF(AND(SUMIF(E:E,E2052,I:I)&gt;=400000,Q2052="B2G"),"n","")</f>
        <v/>
      </c>
    </row>
    <row r="2053" spans="1:34">
      <c r="A2053">
        <v>2026</v>
      </c>
      <c r="B2053">
        <v>3</v>
      </c>
      <c r="C2053" s="83">
        <v>125104031911</v>
      </c>
      <c r="D2053" t="s">
        <v>1926</v>
      </c>
      <c r="E2053">
        <v>54972242019</v>
      </c>
      <c r="F2053">
        <v>278644</v>
      </c>
      <c r="G2053">
        <v>50306339985</v>
      </c>
      <c r="H2053" t="s">
        <v>35</v>
      </c>
      <c r="I2053" s="36">
        <v>8418.6</v>
      </c>
      <c r="J2053" s="36">
        <v>8418.6</v>
      </c>
      <c r="K2053" s="85">
        <v>0</v>
      </c>
      <c r="L2053" s="36">
        <v>701.55</v>
      </c>
      <c r="M2053" s="36">
        <v>0</v>
      </c>
      <c r="N2053" s="36">
        <v>104.81</v>
      </c>
      <c r="O2053" s="36">
        <v>596.74</v>
      </c>
      <c r="P2053" t="s">
        <v>165</v>
      </c>
      <c r="Q2053" t="s">
        <v>166</v>
      </c>
      <c r="R2053" t="s">
        <v>166</v>
      </c>
      <c r="S2053" s="1">
        <v>46096</v>
      </c>
      <c r="T2053" s="1">
        <v>46096</v>
      </c>
      <c r="U2053" s="1">
        <v>46096</v>
      </c>
      <c r="V2053" s="1">
        <v>46461</v>
      </c>
      <c r="W2053" t="s">
        <v>38</v>
      </c>
      <c r="X2053">
        <v>12</v>
      </c>
      <c r="Y2053" t="s">
        <v>49</v>
      </c>
      <c r="Z2053" t="s">
        <v>81</v>
      </c>
      <c r="AA2053" t="s">
        <v>122</v>
      </c>
      <c r="AB2053">
        <v>12</v>
      </c>
      <c r="AC2053" t="s">
        <v>166</v>
      </c>
      <c r="AD2053" t="s">
        <v>134</v>
      </c>
      <c r="AE2053" t="s">
        <v>135</v>
      </c>
      <c r="AF2053" t="s">
        <v>44</v>
      </c>
      <c r="AG2053" t="str">
        <f t="shared" si="35"/>
        <v>Recorrente</v>
      </c>
      <c r="AH2053" t="str">
        <f>IF(AND(SUMIF(E:E,E2053,I:I)&gt;=400000,Q2053="B2G"),"n","")</f>
        <v/>
      </c>
    </row>
    <row r="2054" spans="1:34">
      <c r="A2054">
        <v>2026</v>
      </c>
      <c r="B2054">
        <v>3</v>
      </c>
      <c r="C2054" s="83">
        <v>125108115893</v>
      </c>
      <c r="D2054" t="s">
        <v>1927</v>
      </c>
      <c r="E2054">
        <v>58592461209</v>
      </c>
      <c r="F2054">
        <v>629897</v>
      </c>
      <c r="G2054">
        <v>53812356003</v>
      </c>
      <c r="H2054" t="s">
        <v>35</v>
      </c>
      <c r="I2054" s="36">
        <v>6209.28</v>
      </c>
      <c r="J2054" s="36">
        <v>2069.7600000000002</v>
      </c>
      <c r="K2054" s="85">
        <v>4139.5200000000004</v>
      </c>
      <c r="L2054" s="36">
        <v>172.48</v>
      </c>
      <c r="M2054" s="36">
        <v>0</v>
      </c>
      <c r="N2054" s="36">
        <v>172.48</v>
      </c>
      <c r="O2054" s="36">
        <v>0</v>
      </c>
      <c r="P2054" t="s">
        <v>367</v>
      </c>
      <c r="Q2054" t="s">
        <v>191</v>
      </c>
      <c r="R2054" t="s">
        <v>191</v>
      </c>
      <c r="S2054" s="1">
        <v>46112</v>
      </c>
      <c r="T2054" s="1">
        <v>46112</v>
      </c>
      <c r="U2054" s="1">
        <v>46901</v>
      </c>
      <c r="V2054" s="1">
        <v>46901</v>
      </c>
      <c r="W2054" t="s">
        <v>102</v>
      </c>
      <c r="X2054">
        <v>26</v>
      </c>
      <c r="Y2054" t="s">
        <v>49</v>
      </c>
      <c r="Z2054" t="s">
        <v>324</v>
      </c>
      <c r="AA2054" t="s">
        <v>122</v>
      </c>
      <c r="AB2054">
        <v>25</v>
      </c>
      <c r="AC2054" t="s">
        <v>192</v>
      </c>
      <c r="AD2054" t="s">
        <v>140</v>
      </c>
      <c r="AE2054" t="s">
        <v>46</v>
      </c>
      <c r="AF2054" t="s">
        <v>119</v>
      </c>
      <c r="AG2054" t="str">
        <f t="shared" si="35"/>
        <v>Recorrente</v>
      </c>
      <c r="AH2054" t="str">
        <f>IF(AND(SUMIF(E:E,E2054,I:I)&gt;=400000,Q2054="B2G"),"n","")</f>
        <v/>
      </c>
    </row>
    <row r="2055" spans="1:34">
      <c r="A2055">
        <v>2026</v>
      </c>
      <c r="B2055">
        <v>3</v>
      </c>
      <c r="C2055" s="83">
        <v>125162819096</v>
      </c>
      <c r="D2055" t="s">
        <v>1928</v>
      </c>
      <c r="E2055">
        <v>57990302793</v>
      </c>
      <c r="F2055">
        <v>635381</v>
      </c>
      <c r="G2055">
        <v>53342756500</v>
      </c>
      <c r="H2055" t="s">
        <v>35</v>
      </c>
      <c r="I2055" s="36">
        <v>2531.16</v>
      </c>
      <c r="J2055" s="36">
        <v>3349.92</v>
      </c>
      <c r="K2055" s="85">
        <v>0</v>
      </c>
      <c r="L2055" s="36">
        <v>279.16000000000003</v>
      </c>
      <c r="M2055" s="36">
        <v>0</v>
      </c>
      <c r="N2055" s="36">
        <v>279.16000000000003</v>
      </c>
      <c r="O2055" s="36">
        <v>0</v>
      </c>
      <c r="P2055" t="s">
        <v>323</v>
      </c>
      <c r="Q2055" t="s">
        <v>191</v>
      </c>
      <c r="R2055" t="s">
        <v>191</v>
      </c>
      <c r="S2055" s="1">
        <v>46099</v>
      </c>
      <c r="T2055" s="1">
        <v>46099</v>
      </c>
      <c r="U2055" s="1">
        <v>46375</v>
      </c>
      <c r="V2055" s="1">
        <v>46375</v>
      </c>
      <c r="W2055" t="s">
        <v>38</v>
      </c>
      <c r="X2055">
        <v>9</v>
      </c>
      <c r="Y2055" t="s">
        <v>49</v>
      </c>
      <c r="Z2055" t="s">
        <v>324</v>
      </c>
      <c r="AA2055" t="s">
        <v>112</v>
      </c>
      <c r="AB2055">
        <v>6</v>
      </c>
      <c r="AC2055" t="s">
        <v>192</v>
      </c>
      <c r="AD2055" t="s">
        <v>125</v>
      </c>
      <c r="AE2055" t="s">
        <v>43</v>
      </c>
      <c r="AF2055" t="s">
        <v>47</v>
      </c>
      <c r="AG2055" t="str">
        <f t="shared" si="35"/>
        <v>CC 12x</v>
      </c>
      <c r="AH2055" t="str">
        <f>IF(AND(SUMIF(E:E,E2055,I:I)&gt;=400000,Q2055="B2G"),"n","")</f>
        <v/>
      </c>
    </row>
    <row r="2056" spans="1:34">
      <c r="A2056">
        <v>2026</v>
      </c>
      <c r="B2056">
        <v>3</v>
      </c>
      <c r="C2056" s="83">
        <v>125434510107</v>
      </c>
      <c r="D2056" t="s">
        <v>1929</v>
      </c>
      <c r="E2056">
        <v>56849865399</v>
      </c>
      <c r="F2056">
        <v>304401</v>
      </c>
      <c r="G2056">
        <v>53241847926</v>
      </c>
      <c r="H2056" t="s">
        <v>35</v>
      </c>
      <c r="I2056" s="36">
        <v>14241.24</v>
      </c>
      <c r="J2056" s="36">
        <v>14241.24</v>
      </c>
      <c r="K2056" s="85">
        <v>0</v>
      </c>
      <c r="L2056" s="36">
        <v>1186.77</v>
      </c>
      <c r="M2056" s="36">
        <v>0</v>
      </c>
      <c r="N2056" s="36">
        <v>24.818200000000001</v>
      </c>
      <c r="O2056" s="36">
        <v>1161.95</v>
      </c>
      <c r="P2056" t="s">
        <v>137</v>
      </c>
      <c r="Q2056" t="s">
        <v>111</v>
      </c>
      <c r="R2056" t="s">
        <v>111</v>
      </c>
      <c r="S2056" s="1">
        <v>46097</v>
      </c>
      <c r="T2056" s="1">
        <v>46097</v>
      </c>
      <c r="U2056" s="1">
        <v>46075</v>
      </c>
      <c r="V2056" s="1">
        <v>46462</v>
      </c>
      <c r="W2056" t="s">
        <v>38</v>
      </c>
      <c r="X2056">
        <v>13</v>
      </c>
      <c r="Y2056" t="s">
        <v>49</v>
      </c>
      <c r="Z2056" t="s">
        <v>81</v>
      </c>
      <c r="AA2056" t="s">
        <v>112</v>
      </c>
      <c r="AB2056">
        <v>12</v>
      </c>
      <c r="AC2056" t="s">
        <v>113</v>
      </c>
      <c r="AD2056" t="s">
        <v>336</v>
      </c>
      <c r="AE2056" t="s">
        <v>135</v>
      </c>
      <c r="AF2056" t="s">
        <v>47</v>
      </c>
      <c r="AG2056" t="str">
        <f t="shared" si="35"/>
        <v>CC 12x</v>
      </c>
      <c r="AH2056" t="str">
        <f>IF(AND(SUMIF(E:E,E2056,I:I)&gt;=400000,Q2056="B2G"),"n","")</f>
        <v/>
      </c>
    </row>
    <row r="2057" spans="1:34">
      <c r="A2057">
        <v>2026</v>
      </c>
      <c r="B2057">
        <v>3</v>
      </c>
      <c r="C2057" s="83">
        <v>125459675944</v>
      </c>
      <c r="D2057" t="s">
        <v>1930</v>
      </c>
      <c r="E2057">
        <v>57907077753</v>
      </c>
      <c r="F2057">
        <v>529561</v>
      </c>
      <c r="G2057">
        <v>53170057046</v>
      </c>
      <c r="H2057" t="s">
        <v>35</v>
      </c>
      <c r="I2057" s="36">
        <v>4890.84</v>
      </c>
      <c r="J2057" s="36">
        <v>4890.84</v>
      </c>
      <c r="K2057" s="85">
        <v>0</v>
      </c>
      <c r="L2057" s="36">
        <v>407.57</v>
      </c>
      <c r="M2057" s="36">
        <v>0</v>
      </c>
      <c r="N2057" s="36">
        <v>61.034999999999997</v>
      </c>
      <c r="O2057" s="36">
        <v>346.54</v>
      </c>
      <c r="P2057" t="s">
        <v>121</v>
      </c>
      <c r="Q2057" t="s">
        <v>111</v>
      </c>
      <c r="R2057" t="s">
        <v>111</v>
      </c>
      <c r="S2057" s="1">
        <v>46093</v>
      </c>
      <c r="T2057" s="1">
        <v>46093</v>
      </c>
      <c r="U2057" s="1">
        <v>46091</v>
      </c>
      <c r="V2057" s="1">
        <v>46458</v>
      </c>
      <c r="W2057" t="s">
        <v>38</v>
      </c>
      <c r="X2057">
        <v>12</v>
      </c>
      <c r="Y2057" t="s">
        <v>49</v>
      </c>
      <c r="Z2057" t="s">
        <v>81</v>
      </c>
      <c r="AA2057" t="s">
        <v>112</v>
      </c>
      <c r="AB2057">
        <v>12</v>
      </c>
      <c r="AC2057" t="s">
        <v>113</v>
      </c>
      <c r="AD2057" t="s">
        <v>85</v>
      </c>
      <c r="AE2057" t="s">
        <v>46</v>
      </c>
      <c r="AF2057" t="s">
        <v>44</v>
      </c>
      <c r="AG2057" t="str">
        <f t="shared" si="35"/>
        <v>CC 12x</v>
      </c>
      <c r="AH2057" t="str">
        <f>IF(AND(SUMIF(E:E,E2057,I:I)&gt;=400000,Q2057="B2G"),"n","")</f>
        <v/>
      </c>
    </row>
    <row r="2058" spans="1:34">
      <c r="A2058">
        <v>2026</v>
      </c>
      <c r="B2058">
        <v>3</v>
      </c>
      <c r="C2058" s="83">
        <v>125475087696</v>
      </c>
      <c r="D2058" t="s">
        <v>1931</v>
      </c>
      <c r="E2058">
        <v>57844388268</v>
      </c>
      <c r="F2058">
        <v>528965</v>
      </c>
      <c r="G2058">
        <v>53060545936</v>
      </c>
      <c r="H2058" t="s">
        <v>35</v>
      </c>
      <c r="I2058" s="36">
        <v>4315.4399999999996</v>
      </c>
      <c r="J2058" s="36">
        <v>4315.4399999999996</v>
      </c>
      <c r="K2058" s="85">
        <v>0</v>
      </c>
      <c r="L2058" s="36">
        <v>359.62</v>
      </c>
      <c r="M2058" s="36">
        <v>0</v>
      </c>
      <c r="N2058" s="36">
        <v>74.234999999999999</v>
      </c>
      <c r="O2058" s="36">
        <v>285.39</v>
      </c>
      <c r="P2058" t="s">
        <v>121</v>
      </c>
      <c r="Q2058" t="s">
        <v>111</v>
      </c>
      <c r="R2058" t="s">
        <v>111</v>
      </c>
      <c r="S2058" s="1">
        <v>46091</v>
      </c>
      <c r="T2058" s="1">
        <v>46091</v>
      </c>
      <c r="U2058" s="1">
        <v>46090</v>
      </c>
      <c r="V2058" s="1">
        <v>46456</v>
      </c>
      <c r="W2058" t="s">
        <v>38</v>
      </c>
      <c r="X2058">
        <v>12</v>
      </c>
      <c r="Y2058" t="s">
        <v>49</v>
      </c>
      <c r="Z2058" t="s">
        <v>81</v>
      </c>
      <c r="AA2058" t="s">
        <v>122</v>
      </c>
      <c r="AB2058">
        <v>12</v>
      </c>
      <c r="AC2058" t="s">
        <v>113</v>
      </c>
      <c r="AD2058" t="s">
        <v>85</v>
      </c>
      <c r="AE2058" t="s">
        <v>46</v>
      </c>
      <c r="AF2058" t="s">
        <v>44</v>
      </c>
      <c r="AG2058" t="str">
        <f t="shared" si="35"/>
        <v>Recorrente</v>
      </c>
      <c r="AH2058" t="str">
        <f>IF(AND(SUMIF(E:E,E2058,I:I)&gt;=400000,Q2058="B2G"),"n","")</f>
        <v/>
      </c>
    </row>
    <row r="2059" spans="1:34">
      <c r="A2059">
        <v>2026</v>
      </c>
      <c r="B2059">
        <v>3</v>
      </c>
      <c r="C2059" s="83">
        <v>125483958925</v>
      </c>
      <c r="D2059" t="s">
        <v>1932</v>
      </c>
      <c r="E2059">
        <v>57391375695</v>
      </c>
      <c r="F2059">
        <v>318323</v>
      </c>
      <c r="G2059">
        <v>52798677356</v>
      </c>
      <c r="H2059" t="s">
        <v>35</v>
      </c>
      <c r="I2059" s="36">
        <v>6835.68</v>
      </c>
      <c r="J2059" s="36">
        <v>6835.68</v>
      </c>
      <c r="K2059" s="85">
        <v>0</v>
      </c>
      <c r="L2059" s="36">
        <v>569.64</v>
      </c>
      <c r="M2059" s="36">
        <v>0</v>
      </c>
      <c r="N2059" s="36">
        <v>90.643749999999997</v>
      </c>
      <c r="O2059" s="36">
        <v>479</v>
      </c>
      <c r="P2059" t="s">
        <v>137</v>
      </c>
      <c r="Q2059" t="s">
        <v>111</v>
      </c>
      <c r="R2059" t="s">
        <v>111</v>
      </c>
      <c r="S2059" s="1">
        <v>46085</v>
      </c>
      <c r="T2059" s="1">
        <v>46085</v>
      </c>
      <c r="U2059" s="1">
        <v>46083</v>
      </c>
      <c r="V2059" s="1">
        <v>46450</v>
      </c>
      <c r="W2059" t="s">
        <v>38</v>
      </c>
      <c r="X2059">
        <v>12</v>
      </c>
      <c r="Y2059" t="s">
        <v>49</v>
      </c>
      <c r="Z2059" t="s">
        <v>81</v>
      </c>
      <c r="AA2059" t="s">
        <v>122</v>
      </c>
      <c r="AB2059">
        <v>12</v>
      </c>
      <c r="AC2059" t="s">
        <v>113</v>
      </c>
      <c r="AD2059" t="s">
        <v>131</v>
      </c>
      <c r="AE2059" t="s">
        <v>46</v>
      </c>
      <c r="AF2059" t="s">
        <v>96</v>
      </c>
      <c r="AG2059" t="str">
        <f t="shared" si="35"/>
        <v>Recorrente</v>
      </c>
      <c r="AH2059" t="str">
        <f>IF(AND(SUMIF(E:E,E2059,I:I)&gt;=400000,Q2059="B2G"),"n","")</f>
        <v/>
      </c>
    </row>
    <row r="2060" spans="1:34">
      <c r="A2060">
        <v>2026</v>
      </c>
      <c r="B2060">
        <v>3</v>
      </c>
      <c r="C2060" s="83">
        <v>125485489501</v>
      </c>
      <c r="D2060" t="s">
        <v>1933</v>
      </c>
      <c r="E2060">
        <v>57314301046</v>
      </c>
      <c r="F2060">
        <v>504134</v>
      </c>
      <c r="G2060">
        <v>52912626242</v>
      </c>
      <c r="H2060" t="s">
        <v>35</v>
      </c>
      <c r="I2060" s="36">
        <v>4565.5200000000004</v>
      </c>
      <c r="J2060" s="36">
        <v>4565.5200000000004</v>
      </c>
      <c r="K2060" s="85">
        <v>0</v>
      </c>
      <c r="L2060" s="36">
        <v>380.46</v>
      </c>
      <c r="M2060" s="36">
        <v>0</v>
      </c>
      <c r="N2060" s="36">
        <v>95.07</v>
      </c>
      <c r="O2060" s="36">
        <v>285.39</v>
      </c>
      <c r="P2060" t="s">
        <v>162</v>
      </c>
      <c r="Q2060" t="s">
        <v>111</v>
      </c>
      <c r="R2060" t="s">
        <v>111</v>
      </c>
      <c r="S2060" s="1">
        <v>46087</v>
      </c>
      <c r="T2060" s="1">
        <v>46087</v>
      </c>
      <c r="U2060" s="1">
        <v>46088</v>
      </c>
      <c r="V2060" s="1">
        <v>46453</v>
      </c>
      <c r="W2060" t="s">
        <v>38</v>
      </c>
      <c r="X2060">
        <v>12</v>
      </c>
      <c r="Y2060" t="s">
        <v>49</v>
      </c>
      <c r="Z2060" t="s">
        <v>76</v>
      </c>
      <c r="AA2060" t="s">
        <v>112</v>
      </c>
      <c r="AB2060">
        <v>12</v>
      </c>
      <c r="AC2060" t="s">
        <v>113</v>
      </c>
      <c r="AD2060" t="s">
        <v>138</v>
      </c>
      <c r="AE2060" t="s">
        <v>135</v>
      </c>
      <c r="AF2060" t="s">
        <v>119</v>
      </c>
      <c r="AG2060" t="str">
        <f t="shared" si="35"/>
        <v>CC 12x</v>
      </c>
      <c r="AH2060" t="str">
        <f>IF(AND(SUMIF(E:E,E2060,I:I)&gt;=400000,Q2060="B2G"),"n","")</f>
        <v/>
      </c>
    </row>
    <row r="2061" spans="1:34">
      <c r="A2061">
        <v>2026</v>
      </c>
      <c r="B2061">
        <v>3</v>
      </c>
      <c r="C2061" s="83">
        <v>125486206787</v>
      </c>
      <c r="D2061" t="s">
        <v>1934</v>
      </c>
      <c r="E2061">
        <v>57865615643</v>
      </c>
      <c r="F2061">
        <v>278555</v>
      </c>
      <c r="G2061">
        <v>53170215009</v>
      </c>
      <c r="H2061" t="s">
        <v>35</v>
      </c>
      <c r="I2061" s="36">
        <v>2874</v>
      </c>
      <c r="J2061" s="36">
        <v>2874</v>
      </c>
      <c r="K2061" s="85">
        <v>0</v>
      </c>
      <c r="L2061" s="36">
        <v>239.5</v>
      </c>
      <c r="M2061" s="36">
        <v>239.5</v>
      </c>
      <c r="N2061" s="36">
        <v>0</v>
      </c>
      <c r="O2061" s="36">
        <v>0</v>
      </c>
      <c r="P2061" t="s">
        <v>162</v>
      </c>
      <c r="Q2061" t="s">
        <v>111</v>
      </c>
      <c r="R2061" t="s">
        <v>111</v>
      </c>
      <c r="S2061" s="1">
        <v>46094</v>
      </c>
      <c r="T2061" s="1">
        <v>46094</v>
      </c>
      <c r="U2061" s="1">
        <v>46090</v>
      </c>
      <c r="V2061" s="1">
        <v>46459</v>
      </c>
      <c r="W2061" t="s">
        <v>38</v>
      </c>
      <c r="X2061">
        <v>12</v>
      </c>
      <c r="Y2061" t="s">
        <v>49</v>
      </c>
      <c r="Z2061" t="s">
        <v>81</v>
      </c>
      <c r="AA2061" t="s">
        <v>122</v>
      </c>
      <c r="AB2061">
        <v>12</v>
      </c>
      <c r="AC2061" t="s">
        <v>113</v>
      </c>
      <c r="AD2061" t="s">
        <v>140</v>
      </c>
      <c r="AE2061" t="s">
        <v>46</v>
      </c>
      <c r="AF2061" t="s">
        <v>119</v>
      </c>
      <c r="AG2061" t="str">
        <f t="shared" si="35"/>
        <v>Recorrente</v>
      </c>
      <c r="AH2061" t="str">
        <f>IF(AND(SUMIF(E:E,E2061,I:I)&gt;=400000,Q2061="B2G"),"n","")</f>
        <v/>
      </c>
    </row>
    <row r="2062" spans="1:34">
      <c r="A2062">
        <v>2026</v>
      </c>
      <c r="B2062">
        <v>3</v>
      </c>
      <c r="C2062" s="83">
        <v>125734049168</v>
      </c>
      <c r="D2062" t="s">
        <v>1935</v>
      </c>
      <c r="E2062">
        <v>55683982352</v>
      </c>
      <c r="F2062">
        <v>627718</v>
      </c>
      <c r="G2062">
        <v>50995432514</v>
      </c>
      <c r="H2062" t="s">
        <v>35</v>
      </c>
      <c r="I2062" s="36">
        <v>5514</v>
      </c>
      <c r="J2062" s="36">
        <v>5514</v>
      </c>
      <c r="K2062" s="85">
        <v>0</v>
      </c>
      <c r="L2062" s="36">
        <v>459.5</v>
      </c>
      <c r="M2062" s="36">
        <v>0</v>
      </c>
      <c r="N2062" s="36">
        <v>86.7</v>
      </c>
      <c r="O2062" s="36">
        <v>372.8</v>
      </c>
      <c r="P2062" t="s">
        <v>165</v>
      </c>
      <c r="Q2062" t="s">
        <v>166</v>
      </c>
      <c r="R2062" t="s">
        <v>166</v>
      </c>
      <c r="S2062" s="1">
        <v>46105</v>
      </c>
      <c r="T2062" s="1">
        <v>46105</v>
      </c>
      <c r="U2062" s="1">
        <v>46105</v>
      </c>
      <c r="V2062" s="1">
        <v>46470</v>
      </c>
      <c r="W2062" t="s">
        <v>38</v>
      </c>
      <c r="X2062">
        <v>12</v>
      </c>
      <c r="Y2062" t="s">
        <v>49</v>
      </c>
      <c r="Z2062" t="s">
        <v>81</v>
      </c>
      <c r="AA2062" t="s">
        <v>122</v>
      </c>
      <c r="AB2062">
        <v>12</v>
      </c>
      <c r="AC2062" t="s">
        <v>166</v>
      </c>
      <c r="AD2062" t="s">
        <v>138</v>
      </c>
      <c r="AE2062" t="s">
        <v>135</v>
      </c>
      <c r="AF2062" t="s">
        <v>119</v>
      </c>
      <c r="AG2062" t="str">
        <f t="shared" si="35"/>
        <v>Recorrente</v>
      </c>
      <c r="AH2062" t="str">
        <f>IF(AND(SUMIF(E:E,E2062,I:I)&gt;=400000,Q2062="B2G"),"n","")</f>
        <v/>
      </c>
    </row>
    <row r="2063" spans="1:34">
      <c r="A2063">
        <v>2026</v>
      </c>
      <c r="B2063">
        <v>3</v>
      </c>
      <c r="C2063" s="83">
        <v>125744535132</v>
      </c>
      <c r="D2063" t="s">
        <v>1936</v>
      </c>
      <c r="E2063">
        <v>54979469082</v>
      </c>
      <c r="F2063">
        <v>309633</v>
      </c>
      <c r="G2063">
        <v>50281658243</v>
      </c>
      <c r="H2063" t="s">
        <v>35</v>
      </c>
      <c r="I2063" s="36">
        <v>2874</v>
      </c>
      <c r="J2063" s="36">
        <v>2874</v>
      </c>
      <c r="K2063" s="85">
        <v>0</v>
      </c>
      <c r="L2063" s="36">
        <v>239.5</v>
      </c>
      <c r="M2063" s="36">
        <v>0</v>
      </c>
      <c r="N2063" s="36">
        <v>52.42</v>
      </c>
      <c r="O2063" s="36">
        <v>187.08</v>
      </c>
      <c r="P2063" t="s">
        <v>165</v>
      </c>
      <c r="Q2063" t="s">
        <v>166</v>
      </c>
      <c r="R2063" t="s">
        <v>166</v>
      </c>
      <c r="S2063" s="1">
        <v>46096</v>
      </c>
      <c r="T2063" s="1">
        <v>46096</v>
      </c>
      <c r="U2063" s="1">
        <v>46096</v>
      </c>
      <c r="V2063" s="1">
        <v>46461</v>
      </c>
      <c r="W2063" t="s">
        <v>38</v>
      </c>
      <c r="X2063">
        <v>12</v>
      </c>
      <c r="Y2063" t="s">
        <v>49</v>
      </c>
      <c r="Z2063" t="s">
        <v>81</v>
      </c>
      <c r="AA2063" t="s">
        <v>122</v>
      </c>
      <c r="AB2063">
        <v>8</v>
      </c>
      <c r="AC2063" t="s">
        <v>166</v>
      </c>
      <c r="AD2063" t="s">
        <v>140</v>
      </c>
      <c r="AE2063" t="s">
        <v>46</v>
      </c>
      <c r="AF2063" t="s">
        <v>119</v>
      </c>
      <c r="AG2063" t="str">
        <f t="shared" si="35"/>
        <v>Recorrente</v>
      </c>
      <c r="AH2063" t="str">
        <f>IF(AND(SUMIF(E:E,E2063,I:I)&gt;=400000,Q2063="B2G"),"n","")</f>
        <v/>
      </c>
    </row>
    <row r="2064" spans="1:34">
      <c r="A2064">
        <v>2026</v>
      </c>
      <c r="B2064">
        <v>3</v>
      </c>
      <c r="C2064" s="83">
        <v>125744535132</v>
      </c>
      <c r="D2064" t="s">
        <v>1936</v>
      </c>
      <c r="E2064">
        <v>54979469082</v>
      </c>
      <c r="F2064">
        <v>309633</v>
      </c>
      <c r="G2064">
        <v>50301050283</v>
      </c>
      <c r="H2064" t="s">
        <v>35</v>
      </c>
      <c r="I2064" s="36">
        <v>2874</v>
      </c>
      <c r="J2064" s="36">
        <v>2874</v>
      </c>
      <c r="K2064" s="85">
        <v>0</v>
      </c>
      <c r="L2064" s="36">
        <v>239.5</v>
      </c>
      <c r="M2064" s="36">
        <v>0</v>
      </c>
      <c r="N2064" s="36">
        <v>52.42</v>
      </c>
      <c r="O2064" s="36">
        <v>187.08</v>
      </c>
      <c r="P2064" t="s">
        <v>165</v>
      </c>
      <c r="Q2064" t="s">
        <v>166</v>
      </c>
      <c r="R2064" t="s">
        <v>166</v>
      </c>
      <c r="S2064" s="1">
        <v>46096</v>
      </c>
      <c r="T2064" s="1">
        <v>46096</v>
      </c>
      <c r="U2064" s="1">
        <v>46096</v>
      </c>
      <c r="V2064" s="1">
        <v>46461</v>
      </c>
      <c r="W2064" t="s">
        <v>38</v>
      </c>
      <c r="X2064">
        <v>12</v>
      </c>
      <c r="Y2064" t="s">
        <v>49</v>
      </c>
      <c r="Z2064" t="s">
        <v>81</v>
      </c>
      <c r="AA2064" t="s">
        <v>122</v>
      </c>
      <c r="AB2064">
        <v>8</v>
      </c>
      <c r="AC2064" t="s">
        <v>166</v>
      </c>
      <c r="AD2064" t="s">
        <v>118</v>
      </c>
      <c r="AE2064" t="s">
        <v>43</v>
      </c>
      <c r="AF2064" t="s">
        <v>119</v>
      </c>
      <c r="AG2064" t="str">
        <f t="shared" si="35"/>
        <v>Recorrente</v>
      </c>
      <c r="AH2064" t="str">
        <f>IF(AND(SUMIF(E:E,E2064,I:I)&gt;=400000,Q2064="B2G"),"n","")</f>
        <v/>
      </c>
    </row>
    <row r="2065" spans="1:34">
      <c r="A2065">
        <v>2026</v>
      </c>
      <c r="B2065">
        <v>3</v>
      </c>
      <c r="C2065" s="83">
        <v>125755584916</v>
      </c>
      <c r="D2065" t="s">
        <v>1937</v>
      </c>
      <c r="E2065">
        <v>57904480026</v>
      </c>
      <c r="F2065">
        <v>636490</v>
      </c>
      <c r="G2065">
        <v>53206247524</v>
      </c>
      <c r="H2065" t="s">
        <v>35</v>
      </c>
      <c r="I2065" s="36">
        <v>7483.2</v>
      </c>
      <c r="J2065" s="36">
        <v>3535.8</v>
      </c>
      <c r="K2065" s="85">
        <v>3947.4</v>
      </c>
      <c r="L2065" s="36">
        <v>294.64999999999998</v>
      </c>
      <c r="M2065" s="36">
        <v>0</v>
      </c>
      <c r="N2065" s="36">
        <v>294.64999999999998</v>
      </c>
      <c r="O2065" s="36">
        <v>0</v>
      </c>
      <c r="P2065" t="s">
        <v>804</v>
      </c>
      <c r="Q2065" t="s">
        <v>191</v>
      </c>
      <c r="R2065" t="s">
        <v>191</v>
      </c>
      <c r="S2065" s="1">
        <v>46093</v>
      </c>
      <c r="T2065" s="1">
        <v>46093</v>
      </c>
      <c r="U2065" s="1"/>
      <c r="V2065" s="1">
        <v>46458</v>
      </c>
      <c r="W2065" t="s">
        <v>38</v>
      </c>
      <c r="Y2065" t="s">
        <v>49</v>
      </c>
      <c r="AA2065" t="s">
        <v>122</v>
      </c>
      <c r="AB2065">
        <v>12</v>
      </c>
      <c r="AC2065" t="s">
        <v>192</v>
      </c>
      <c r="AD2065" t="s">
        <v>134</v>
      </c>
      <c r="AE2065" t="s">
        <v>135</v>
      </c>
      <c r="AF2065" t="s">
        <v>44</v>
      </c>
      <c r="AG2065" t="str">
        <f t="shared" si="35"/>
        <v>Recorrente</v>
      </c>
      <c r="AH2065" t="str">
        <f>IF(AND(SUMIF(E:E,E2065,I:I)&gt;=400000,Q2065="B2G"),"n","")</f>
        <v/>
      </c>
    </row>
    <row r="2066" spans="1:34">
      <c r="A2066">
        <v>2026</v>
      </c>
      <c r="B2066">
        <v>3</v>
      </c>
      <c r="C2066" s="83">
        <v>126035576683</v>
      </c>
      <c r="D2066" t="s">
        <v>1938</v>
      </c>
      <c r="E2066">
        <v>56925413963</v>
      </c>
      <c r="F2066">
        <v>270322</v>
      </c>
      <c r="G2066">
        <v>52251196048</v>
      </c>
      <c r="H2066" t="s">
        <v>35</v>
      </c>
      <c r="I2066" s="36">
        <v>3983.88</v>
      </c>
      <c r="J2066" s="36">
        <v>3983.88</v>
      </c>
      <c r="K2066" s="85">
        <v>0</v>
      </c>
      <c r="L2066" s="36">
        <v>331.99</v>
      </c>
      <c r="M2066" s="36">
        <v>0</v>
      </c>
      <c r="N2066" s="36">
        <v>46.28</v>
      </c>
      <c r="O2066" s="36">
        <v>285.70999999999998</v>
      </c>
      <c r="P2066" t="s">
        <v>162</v>
      </c>
      <c r="Q2066" t="s">
        <v>111</v>
      </c>
      <c r="R2066" t="s">
        <v>111</v>
      </c>
      <c r="S2066" s="1">
        <v>46078</v>
      </c>
      <c r="T2066" s="1">
        <v>46082</v>
      </c>
      <c r="U2066" s="1">
        <v>46085</v>
      </c>
      <c r="V2066" s="1">
        <v>46450</v>
      </c>
      <c r="W2066" t="s">
        <v>38</v>
      </c>
      <c r="X2066">
        <v>12</v>
      </c>
      <c r="Y2066" t="s">
        <v>49</v>
      </c>
      <c r="Z2066" t="s">
        <v>81</v>
      </c>
      <c r="AA2066" t="s">
        <v>112</v>
      </c>
      <c r="AB2066">
        <v>3</v>
      </c>
      <c r="AC2066" t="s">
        <v>113</v>
      </c>
      <c r="AD2066" t="s">
        <v>138</v>
      </c>
      <c r="AE2066" t="s">
        <v>135</v>
      </c>
      <c r="AF2066" t="s">
        <v>119</v>
      </c>
      <c r="AG2066" t="str">
        <f t="shared" si="35"/>
        <v>CC 3x</v>
      </c>
      <c r="AH2066" t="str">
        <f>IF(AND(SUMIF(E:E,E2066,I:I)&gt;=400000,Q2066="B2G"),"n","")</f>
        <v/>
      </c>
    </row>
    <row r="2067" spans="1:34">
      <c r="A2067">
        <v>2026</v>
      </c>
      <c r="B2067">
        <v>3</v>
      </c>
      <c r="C2067" s="83">
        <v>126090308710</v>
      </c>
      <c r="D2067" t="s">
        <v>1939</v>
      </c>
      <c r="E2067">
        <v>57572976645</v>
      </c>
      <c r="F2067">
        <v>611298</v>
      </c>
      <c r="G2067">
        <v>52873269942</v>
      </c>
      <c r="H2067" t="s">
        <v>35</v>
      </c>
      <c r="I2067" s="36">
        <v>4882.92</v>
      </c>
      <c r="J2067" s="36">
        <v>4882.92</v>
      </c>
      <c r="K2067" s="85">
        <v>0</v>
      </c>
      <c r="L2067" s="36">
        <v>406.91</v>
      </c>
      <c r="M2067" s="36">
        <v>0</v>
      </c>
      <c r="N2067" s="36">
        <v>19.914999999999999</v>
      </c>
      <c r="O2067" s="36">
        <v>387</v>
      </c>
      <c r="P2067" t="s">
        <v>162</v>
      </c>
      <c r="Q2067" t="s">
        <v>111</v>
      </c>
      <c r="R2067" t="s">
        <v>111</v>
      </c>
      <c r="S2067" s="1">
        <v>46091</v>
      </c>
      <c r="T2067" s="1">
        <v>46091</v>
      </c>
      <c r="U2067" s="1">
        <v>46096</v>
      </c>
      <c r="V2067" s="1">
        <v>46461</v>
      </c>
      <c r="W2067" t="s">
        <v>38</v>
      </c>
      <c r="X2067">
        <v>12</v>
      </c>
      <c r="Y2067" t="s">
        <v>49</v>
      </c>
      <c r="Z2067" t="s">
        <v>81</v>
      </c>
      <c r="AA2067" t="s">
        <v>122</v>
      </c>
      <c r="AB2067">
        <v>12</v>
      </c>
      <c r="AC2067" t="s">
        <v>113</v>
      </c>
      <c r="AD2067" t="s">
        <v>84</v>
      </c>
      <c r="AE2067" t="s">
        <v>43</v>
      </c>
      <c r="AF2067" t="s">
        <v>44</v>
      </c>
      <c r="AG2067" t="str">
        <f t="shared" si="35"/>
        <v>Recorrente</v>
      </c>
      <c r="AH2067" t="str">
        <f>IF(AND(SUMIF(E:E,E2067,I:I)&gt;=400000,Q2067="B2G"),"n","")</f>
        <v/>
      </c>
    </row>
    <row r="2068" spans="1:34">
      <c r="A2068">
        <v>2026</v>
      </c>
      <c r="B2068">
        <v>3</v>
      </c>
      <c r="C2068" s="83">
        <v>126595860992</v>
      </c>
      <c r="D2068" t="s">
        <v>1940</v>
      </c>
      <c r="E2068">
        <v>58378857902</v>
      </c>
      <c r="F2068">
        <v>636714</v>
      </c>
      <c r="G2068">
        <v>53576344237</v>
      </c>
      <c r="H2068" t="s">
        <v>35</v>
      </c>
      <c r="I2068" s="36">
        <v>2874</v>
      </c>
      <c r="J2068" s="36">
        <v>2874</v>
      </c>
      <c r="K2068" s="85">
        <v>0</v>
      </c>
      <c r="L2068" s="36">
        <v>239.5</v>
      </c>
      <c r="M2068" s="36">
        <v>239.5</v>
      </c>
      <c r="N2068" s="36">
        <v>0</v>
      </c>
      <c r="O2068" s="36">
        <v>0</v>
      </c>
      <c r="P2068" t="s">
        <v>829</v>
      </c>
      <c r="Q2068" t="s">
        <v>300</v>
      </c>
      <c r="R2068" t="s">
        <v>300</v>
      </c>
      <c r="S2068" s="1">
        <v>46107</v>
      </c>
      <c r="T2068" s="1">
        <v>46107</v>
      </c>
      <c r="U2068" s="1"/>
      <c r="V2068" s="1">
        <v>46472</v>
      </c>
      <c r="W2068" t="s">
        <v>38</v>
      </c>
      <c r="X2068">
        <v>12</v>
      </c>
      <c r="Y2068" t="s">
        <v>49</v>
      </c>
      <c r="AA2068" t="s">
        <v>122</v>
      </c>
      <c r="AB2068">
        <v>12</v>
      </c>
      <c r="AC2068" t="s">
        <v>301</v>
      </c>
      <c r="AD2068" t="s">
        <v>118</v>
      </c>
      <c r="AE2068" t="s">
        <v>43</v>
      </c>
      <c r="AF2068" t="s">
        <v>119</v>
      </c>
      <c r="AG2068" t="str">
        <f t="shared" si="35"/>
        <v>Recorrente</v>
      </c>
      <c r="AH2068" t="str">
        <f>IF(AND(SUMIF(E:E,E2068,I:I)&gt;=400000,Q2068="B2G"),"n","")</f>
        <v/>
      </c>
    </row>
    <row r="2069" spans="1:34">
      <c r="A2069">
        <v>2026</v>
      </c>
      <c r="B2069">
        <v>3</v>
      </c>
      <c r="C2069" s="83">
        <v>126656498805</v>
      </c>
      <c r="D2069" t="s">
        <v>1941</v>
      </c>
      <c r="E2069">
        <v>58208122663</v>
      </c>
      <c r="F2069">
        <v>527884</v>
      </c>
      <c r="G2069">
        <v>53409749081</v>
      </c>
      <c r="H2069" t="s">
        <v>35</v>
      </c>
      <c r="I2069" s="36">
        <v>3637.08</v>
      </c>
      <c r="J2069" s="36">
        <v>3637.08</v>
      </c>
      <c r="K2069" s="85">
        <v>0</v>
      </c>
      <c r="L2069" s="36">
        <v>303.08999999999997</v>
      </c>
      <c r="M2069" s="36">
        <v>303.08999999999997</v>
      </c>
      <c r="N2069" s="36">
        <v>0</v>
      </c>
      <c r="O2069" s="36">
        <v>0</v>
      </c>
      <c r="P2069" t="s">
        <v>116</v>
      </c>
      <c r="Q2069" t="s">
        <v>111</v>
      </c>
      <c r="R2069" t="s">
        <v>111</v>
      </c>
      <c r="S2069" s="1">
        <v>46101</v>
      </c>
      <c r="T2069" s="1">
        <v>46101</v>
      </c>
      <c r="U2069" s="1">
        <v>46075</v>
      </c>
      <c r="V2069" s="1">
        <v>46466</v>
      </c>
      <c r="W2069" t="s">
        <v>38</v>
      </c>
      <c r="X2069">
        <v>13</v>
      </c>
      <c r="Y2069" t="s">
        <v>49</v>
      </c>
      <c r="Z2069" t="s">
        <v>81</v>
      </c>
      <c r="AA2069" t="s">
        <v>117</v>
      </c>
      <c r="AB2069">
        <v>1</v>
      </c>
      <c r="AC2069" t="s">
        <v>113</v>
      </c>
      <c r="AD2069" t="s">
        <v>84</v>
      </c>
      <c r="AE2069" t="s">
        <v>43</v>
      </c>
      <c r="AF2069" t="s">
        <v>44</v>
      </c>
      <c r="AG2069" t="str">
        <f t="shared" si="35"/>
        <v>À Vista</v>
      </c>
      <c r="AH2069" t="str">
        <f>IF(AND(SUMIF(E:E,E2069,I:I)&gt;=400000,Q2069="B2G"),"n","")</f>
        <v/>
      </c>
    </row>
    <row r="2070" spans="1:34">
      <c r="A2070">
        <v>2026</v>
      </c>
      <c r="B2070">
        <v>3</v>
      </c>
      <c r="C2070" s="83">
        <v>126808661625</v>
      </c>
      <c r="D2070" t="s">
        <v>1942</v>
      </c>
      <c r="E2070">
        <v>55770761311</v>
      </c>
      <c r="F2070">
        <v>628271</v>
      </c>
      <c r="G2070">
        <v>53206660360</v>
      </c>
      <c r="H2070" t="s">
        <v>35</v>
      </c>
      <c r="I2070" s="36">
        <v>4099.68</v>
      </c>
      <c r="J2070" s="36">
        <v>4099.68</v>
      </c>
      <c r="K2070" s="85">
        <v>0</v>
      </c>
      <c r="L2070" s="36">
        <v>341.64</v>
      </c>
      <c r="M2070" s="36">
        <v>341.64</v>
      </c>
      <c r="N2070" s="36">
        <v>0</v>
      </c>
      <c r="O2070" s="36">
        <v>0</v>
      </c>
      <c r="P2070" t="s">
        <v>110</v>
      </c>
      <c r="Q2070" t="s">
        <v>111</v>
      </c>
      <c r="R2070" t="s">
        <v>111</v>
      </c>
      <c r="S2070" s="1">
        <v>46094</v>
      </c>
      <c r="T2070" s="1">
        <v>46094</v>
      </c>
      <c r="U2070" s="1">
        <v>46092</v>
      </c>
      <c r="V2070" s="1">
        <v>46459</v>
      </c>
      <c r="W2070" t="s">
        <v>38</v>
      </c>
      <c r="X2070">
        <v>12</v>
      </c>
      <c r="Y2070" t="s">
        <v>49</v>
      </c>
      <c r="Z2070" t="s">
        <v>81</v>
      </c>
      <c r="AA2070" t="s">
        <v>112</v>
      </c>
      <c r="AB2070">
        <v>12</v>
      </c>
      <c r="AC2070" t="s">
        <v>113</v>
      </c>
      <c r="AD2070" t="s">
        <v>85</v>
      </c>
      <c r="AE2070" t="s">
        <v>46</v>
      </c>
      <c r="AF2070" t="s">
        <v>44</v>
      </c>
      <c r="AG2070" t="str">
        <f t="shared" si="35"/>
        <v>CC 12x</v>
      </c>
      <c r="AH2070" t="str">
        <f>IF(AND(SUMIF(E:E,E2070,I:I)&gt;=400000,Q2070="B2G"),"n","")</f>
        <v/>
      </c>
    </row>
    <row r="2071" spans="1:34">
      <c r="A2071">
        <v>2026</v>
      </c>
      <c r="B2071">
        <v>3</v>
      </c>
      <c r="C2071" s="83">
        <v>127452702855</v>
      </c>
      <c r="D2071" t="s">
        <v>1943</v>
      </c>
      <c r="E2071">
        <v>58155444043</v>
      </c>
      <c r="F2071">
        <v>636587</v>
      </c>
      <c r="G2071">
        <v>53342938041</v>
      </c>
      <c r="H2071" t="s">
        <v>35</v>
      </c>
      <c r="I2071" s="36">
        <v>5178.6000000000004</v>
      </c>
      <c r="J2071" s="36">
        <v>5178.6000000000004</v>
      </c>
      <c r="K2071" s="85">
        <v>0</v>
      </c>
      <c r="L2071" s="36">
        <v>431.55</v>
      </c>
      <c r="M2071" s="36">
        <v>431.55</v>
      </c>
      <c r="N2071" s="36">
        <v>0</v>
      </c>
      <c r="O2071" s="36">
        <v>0</v>
      </c>
      <c r="P2071" t="s">
        <v>313</v>
      </c>
      <c r="Q2071" t="s">
        <v>314</v>
      </c>
      <c r="R2071" t="s">
        <v>314</v>
      </c>
      <c r="S2071" s="1">
        <v>46099</v>
      </c>
      <c r="T2071" s="1">
        <v>46099</v>
      </c>
      <c r="U2071" s="1"/>
      <c r="V2071" s="1">
        <v>46464</v>
      </c>
      <c r="W2071" t="s">
        <v>38</v>
      </c>
      <c r="X2071">
        <v>12</v>
      </c>
      <c r="Y2071" t="s">
        <v>49</v>
      </c>
      <c r="AA2071" t="s">
        <v>112</v>
      </c>
      <c r="AB2071">
        <v>12</v>
      </c>
      <c r="AC2071" t="s">
        <v>315</v>
      </c>
      <c r="AD2071" t="s">
        <v>85</v>
      </c>
      <c r="AE2071" t="s">
        <v>46</v>
      </c>
      <c r="AF2071" t="s">
        <v>44</v>
      </c>
      <c r="AG2071" t="str">
        <f t="shared" si="35"/>
        <v>CC 12x</v>
      </c>
      <c r="AH2071" t="str">
        <f>IF(AND(SUMIF(E:E,E2071,I:I)&gt;=400000,Q2071="B2G"),"n","")</f>
        <v/>
      </c>
    </row>
    <row r="2072" spans="1:34">
      <c r="A2072">
        <v>2026</v>
      </c>
      <c r="B2072">
        <v>3</v>
      </c>
      <c r="C2072" s="83">
        <v>128474977562</v>
      </c>
      <c r="D2072" t="s">
        <v>359</v>
      </c>
      <c r="E2072">
        <v>57963315258</v>
      </c>
      <c r="F2072">
        <v>605328</v>
      </c>
      <c r="G2072">
        <v>53206472466</v>
      </c>
      <c r="H2072" t="s">
        <v>35</v>
      </c>
      <c r="I2072" s="36">
        <v>957.72</v>
      </c>
      <c r="J2072" s="36">
        <v>1198.08</v>
      </c>
      <c r="K2072" s="85">
        <v>0</v>
      </c>
      <c r="L2072" s="36">
        <v>99.84</v>
      </c>
      <c r="M2072" s="36">
        <v>0</v>
      </c>
      <c r="N2072" s="36">
        <v>99.84</v>
      </c>
      <c r="O2072" s="36">
        <v>0</v>
      </c>
      <c r="P2072" t="s">
        <v>520</v>
      </c>
      <c r="Q2072" t="s">
        <v>191</v>
      </c>
      <c r="R2072" t="s">
        <v>191</v>
      </c>
      <c r="S2072" s="1">
        <v>46094</v>
      </c>
      <c r="T2072" s="1">
        <v>46094</v>
      </c>
      <c r="U2072" s="1">
        <v>46386</v>
      </c>
      <c r="V2072" s="1">
        <v>46386</v>
      </c>
      <c r="W2072" t="s">
        <v>38</v>
      </c>
      <c r="X2072">
        <v>9</v>
      </c>
      <c r="Y2072" t="s">
        <v>49</v>
      </c>
      <c r="Z2072" t="s">
        <v>324</v>
      </c>
      <c r="AA2072" t="s">
        <v>112</v>
      </c>
      <c r="AB2072">
        <v>9</v>
      </c>
      <c r="AC2072" t="s">
        <v>192</v>
      </c>
      <c r="AD2072" t="s">
        <v>149</v>
      </c>
      <c r="AE2072" t="s">
        <v>43</v>
      </c>
      <c r="AF2072" t="s">
        <v>96</v>
      </c>
      <c r="AG2072" t="str">
        <f t="shared" si="35"/>
        <v>CC 12x</v>
      </c>
      <c r="AH2072" t="str">
        <f>IF(AND(SUMIF(E:E,E2072,I:I)&gt;=400000,Q2072="B2G"),"n","")</f>
        <v/>
      </c>
    </row>
    <row r="2073" spans="1:34">
      <c r="A2073">
        <v>2026</v>
      </c>
      <c r="B2073">
        <v>3</v>
      </c>
      <c r="C2073" s="83">
        <v>128493443428</v>
      </c>
      <c r="D2073" t="s">
        <v>1944</v>
      </c>
      <c r="E2073">
        <v>56950636959</v>
      </c>
      <c r="F2073">
        <v>277976</v>
      </c>
      <c r="G2073">
        <v>53383439726</v>
      </c>
      <c r="H2073" t="s">
        <v>35</v>
      </c>
      <c r="I2073" s="36">
        <v>2280</v>
      </c>
      <c r="J2073" s="36">
        <v>2280</v>
      </c>
      <c r="K2073" s="85">
        <v>0</v>
      </c>
      <c r="L2073" s="36">
        <v>190</v>
      </c>
      <c r="M2073" s="36">
        <v>0</v>
      </c>
      <c r="N2073" s="36">
        <v>0</v>
      </c>
      <c r="O2073" s="36">
        <v>189.99535</v>
      </c>
      <c r="P2073" t="s">
        <v>190</v>
      </c>
      <c r="Q2073" t="s">
        <v>111</v>
      </c>
      <c r="R2073" t="s">
        <v>111</v>
      </c>
      <c r="S2073" s="1">
        <v>46100</v>
      </c>
      <c r="T2073" s="1">
        <v>46100</v>
      </c>
      <c r="U2073" s="1">
        <v>46076</v>
      </c>
      <c r="V2073" s="1">
        <v>46465</v>
      </c>
      <c r="W2073" t="s">
        <v>38</v>
      </c>
      <c r="X2073">
        <v>13</v>
      </c>
      <c r="Y2073" t="s">
        <v>49</v>
      </c>
      <c r="Z2073" t="s">
        <v>81</v>
      </c>
      <c r="AA2073" t="s">
        <v>112</v>
      </c>
      <c r="AB2073">
        <v>12</v>
      </c>
      <c r="AC2073" t="s">
        <v>113</v>
      </c>
      <c r="AD2073" t="s">
        <v>118</v>
      </c>
      <c r="AE2073" t="s">
        <v>43</v>
      </c>
      <c r="AF2073" t="s">
        <v>119</v>
      </c>
      <c r="AG2073" t="str">
        <f t="shared" si="35"/>
        <v>CC 12x</v>
      </c>
      <c r="AH2073" t="str">
        <f>IF(AND(SUMIF(E:E,E2073,I:I)&gt;=400000,Q2073="B2G"),"n","")</f>
        <v/>
      </c>
    </row>
    <row r="2074" spans="1:34">
      <c r="A2074">
        <v>2026</v>
      </c>
      <c r="B2074">
        <v>3</v>
      </c>
      <c r="C2074" s="83">
        <v>128541063252</v>
      </c>
      <c r="D2074" t="s">
        <v>1945</v>
      </c>
      <c r="E2074">
        <v>56994373136</v>
      </c>
      <c r="F2074">
        <v>628853</v>
      </c>
      <c r="G2074">
        <v>53664299008</v>
      </c>
      <c r="H2074" t="s">
        <v>35</v>
      </c>
      <c r="I2074" s="36">
        <v>5178.6000000000004</v>
      </c>
      <c r="J2074" s="36">
        <v>5178.6000000000004</v>
      </c>
      <c r="K2074" s="85">
        <v>0</v>
      </c>
      <c r="L2074" s="36">
        <v>431.55</v>
      </c>
      <c r="M2074" s="36">
        <v>0</v>
      </c>
      <c r="N2074" s="36">
        <v>216.45</v>
      </c>
      <c r="O2074" s="36">
        <v>215.1</v>
      </c>
      <c r="P2074" t="s">
        <v>804</v>
      </c>
      <c r="Q2074" t="s">
        <v>191</v>
      </c>
      <c r="R2074" t="s">
        <v>191</v>
      </c>
      <c r="S2074" s="1">
        <v>46108</v>
      </c>
      <c r="T2074" s="1">
        <v>46108</v>
      </c>
      <c r="U2074" s="1">
        <v>46134</v>
      </c>
      <c r="V2074" s="1">
        <v>46499</v>
      </c>
      <c r="W2074" t="s">
        <v>38</v>
      </c>
      <c r="X2074">
        <v>12</v>
      </c>
      <c r="Y2074" t="s">
        <v>49</v>
      </c>
      <c r="Z2074" t="s">
        <v>76</v>
      </c>
      <c r="AA2074" t="s">
        <v>122</v>
      </c>
      <c r="AB2074">
        <v>12</v>
      </c>
      <c r="AC2074" t="s">
        <v>192</v>
      </c>
      <c r="AD2074" t="s">
        <v>85</v>
      </c>
      <c r="AE2074" t="s">
        <v>46</v>
      </c>
      <c r="AF2074" t="s">
        <v>44</v>
      </c>
      <c r="AG2074" t="str">
        <f t="shared" si="35"/>
        <v>Recorrente</v>
      </c>
      <c r="AH2074" t="str">
        <f>IF(AND(SUMIF(E:E,E2074,I:I)&gt;=400000,Q2074="B2G"),"n","")</f>
        <v/>
      </c>
    </row>
    <row r="2075" spans="1:34">
      <c r="A2075">
        <v>2026</v>
      </c>
      <c r="B2075">
        <v>3</v>
      </c>
      <c r="C2075" s="83">
        <v>128773627161</v>
      </c>
      <c r="D2075" t="s">
        <v>1946</v>
      </c>
      <c r="E2075">
        <v>57029905182</v>
      </c>
      <c r="F2075">
        <v>612450</v>
      </c>
      <c r="G2075">
        <v>52873396803</v>
      </c>
      <c r="H2075" t="s">
        <v>35</v>
      </c>
      <c r="I2075" s="36">
        <v>2457.2399999999998</v>
      </c>
      <c r="J2075" s="36">
        <v>2457.2399999999998</v>
      </c>
      <c r="K2075" s="85">
        <v>0</v>
      </c>
      <c r="L2075" s="36">
        <v>204.77</v>
      </c>
      <c r="M2075" s="36">
        <v>0</v>
      </c>
      <c r="N2075" s="36">
        <v>11.772500000000001</v>
      </c>
      <c r="O2075" s="36">
        <v>193</v>
      </c>
      <c r="P2075" t="s">
        <v>133</v>
      </c>
      <c r="Q2075" t="s">
        <v>111</v>
      </c>
      <c r="R2075" t="s">
        <v>111</v>
      </c>
      <c r="S2075" s="1">
        <v>46087</v>
      </c>
      <c r="T2075" s="1">
        <v>46087</v>
      </c>
      <c r="U2075" s="1">
        <v>46109</v>
      </c>
      <c r="V2075" s="1">
        <v>46474</v>
      </c>
      <c r="W2075" t="s">
        <v>38</v>
      </c>
      <c r="X2075">
        <v>12</v>
      </c>
      <c r="Y2075" t="s">
        <v>49</v>
      </c>
      <c r="Z2075" t="s">
        <v>81</v>
      </c>
      <c r="AA2075" t="s">
        <v>122</v>
      </c>
      <c r="AB2075">
        <v>12</v>
      </c>
      <c r="AC2075" t="s">
        <v>113</v>
      </c>
      <c r="AD2075" t="s">
        <v>118</v>
      </c>
      <c r="AE2075" t="s">
        <v>43</v>
      </c>
      <c r="AF2075" t="s">
        <v>119</v>
      </c>
      <c r="AG2075" t="str">
        <f t="shared" si="35"/>
        <v>Recorrente</v>
      </c>
      <c r="AH2075" t="str">
        <f>IF(AND(SUMIF(E:E,E2075,I:I)&gt;=400000,Q2075="B2G"),"n","")</f>
        <v/>
      </c>
    </row>
    <row r="2076" spans="1:34">
      <c r="A2076">
        <v>2026</v>
      </c>
      <c r="B2076">
        <v>3</v>
      </c>
      <c r="C2076" s="83">
        <v>129846360333</v>
      </c>
      <c r="D2076" t="s">
        <v>1947</v>
      </c>
      <c r="E2076">
        <v>55795825729</v>
      </c>
      <c r="F2076">
        <v>611996</v>
      </c>
      <c r="G2076">
        <v>53094498319</v>
      </c>
      <c r="H2076" t="s">
        <v>35</v>
      </c>
      <c r="I2076" s="36">
        <v>2586.6</v>
      </c>
      <c r="J2076" s="36">
        <v>2586.6</v>
      </c>
      <c r="K2076" s="85">
        <v>0</v>
      </c>
      <c r="L2076" s="36">
        <v>215.55</v>
      </c>
      <c r="M2076" s="36">
        <v>0</v>
      </c>
      <c r="N2076" s="36">
        <v>22.55</v>
      </c>
      <c r="O2076" s="36">
        <v>193</v>
      </c>
      <c r="P2076" t="s">
        <v>133</v>
      </c>
      <c r="Q2076" t="s">
        <v>111</v>
      </c>
      <c r="R2076" t="s">
        <v>111</v>
      </c>
      <c r="S2076" s="1">
        <v>46105</v>
      </c>
      <c r="T2076" s="1">
        <v>46105</v>
      </c>
      <c r="U2076" s="1">
        <v>46107</v>
      </c>
      <c r="V2076" s="1">
        <v>46472</v>
      </c>
      <c r="W2076" t="s">
        <v>38</v>
      </c>
      <c r="X2076">
        <v>12</v>
      </c>
      <c r="Y2076" t="s">
        <v>49</v>
      </c>
      <c r="Z2076" t="s">
        <v>81</v>
      </c>
      <c r="AA2076" t="s">
        <v>122</v>
      </c>
      <c r="AB2076">
        <v>12</v>
      </c>
      <c r="AC2076" t="s">
        <v>113</v>
      </c>
      <c r="AD2076" t="s">
        <v>118</v>
      </c>
      <c r="AE2076" t="s">
        <v>43</v>
      </c>
      <c r="AF2076" t="s">
        <v>119</v>
      </c>
      <c r="AG2076" t="str">
        <f t="shared" si="35"/>
        <v>Recorrente</v>
      </c>
      <c r="AH2076" t="str">
        <f>IF(AND(SUMIF(E:E,E2076,I:I)&gt;=400000,Q2076="B2G"),"n","")</f>
        <v/>
      </c>
    </row>
    <row r="2077" spans="1:34">
      <c r="A2077">
        <v>2026</v>
      </c>
      <c r="B2077">
        <v>3</v>
      </c>
      <c r="C2077" s="83">
        <v>130098099607</v>
      </c>
      <c r="D2077" t="s">
        <v>1948</v>
      </c>
      <c r="E2077">
        <v>55956703596</v>
      </c>
      <c r="F2077">
        <v>627221</v>
      </c>
      <c r="G2077">
        <v>51234329735</v>
      </c>
      <c r="H2077" t="s">
        <v>35</v>
      </c>
      <c r="I2077" s="36">
        <v>3865.44</v>
      </c>
      <c r="J2077" s="36">
        <v>3865.44</v>
      </c>
      <c r="K2077" s="85">
        <v>0</v>
      </c>
      <c r="L2077" s="36">
        <v>322.12</v>
      </c>
      <c r="M2077" s="36">
        <v>0</v>
      </c>
      <c r="N2077" s="36">
        <v>56.274999999999999</v>
      </c>
      <c r="O2077" s="36">
        <v>265.85000000000002</v>
      </c>
      <c r="P2077" t="s">
        <v>165</v>
      </c>
      <c r="Q2077" t="s">
        <v>166</v>
      </c>
      <c r="R2077" t="s">
        <v>166</v>
      </c>
      <c r="S2077" s="1">
        <v>46091</v>
      </c>
      <c r="T2077" s="1">
        <v>46091</v>
      </c>
      <c r="U2077" s="1">
        <v>46091</v>
      </c>
      <c r="V2077" s="1">
        <v>46456</v>
      </c>
      <c r="W2077" t="s">
        <v>38</v>
      </c>
      <c r="X2077">
        <v>12</v>
      </c>
      <c r="Y2077" t="s">
        <v>49</v>
      </c>
      <c r="Z2077" t="s">
        <v>81</v>
      </c>
      <c r="AA2077" t="s">
        <v>112</v>
      </c>
      <c r="AB2077">
        <v>12</v>
      </c>
      <c r="AC2077" t="s">
        <v>166</v>
      </c>
      <c r="AD2077" t="s">
        <v>229</v>
      </c>
      <c r="AE2077" t="s">
        <v>43</v>
      </c>
      <c r="AF2077" t="s">
        <v>96</v>
      </c>
      <c r="AG2077" t="str">
        <f t="shared" si="35"/>
        <v>CC 12x</v>
      </c>
      <c r="AH2077" t="str">
        <f>IF(AND(SUMIF(E:E,E2077,I:I)&gt;=400000,Q2077="B2G"),"n","")</f>
        <v/>
      </c>
    </row>
    <row r="2078" spans="1:34">
      <c r="A2078">
        <v>2026</v>
      </c>
      <c r="B2078">
        <v>3</v>
      </c>
      <c r="C2078" s="83">
        <v>131766087861</v>
      </c>
      <c r="D2078" t="s">
        <v>1949</v>
      </c>
      <c r="E2078">
        <v>56221022819</v>
      </c>
      <c r="F2078">
        <v>309624</v>
      </c>
      <c r="G2078">
        <v>52292691049</v>
      </c>
      <c r="H2078" t="s">
        <v>35</v>
      </c>
      <c r="I2078" s="36">
        <v>3222.24</v>
      </c>
      <c r="J2078" s="36">
        <v>3222.24</v>
      </c>
      <c r="K2078" s="85">
        <v>0</v>
      </c>
      <c r="L2078" s="36">
        <v>268.52</v>
      </c>
      <c r="M2078" s="36">
        <v>0</v>
      </c>
      <c r="N2078" s="36">
        <v>107.9088</v>
      </c>
      <c r="O2078" s="36">
        <v>160.6112</v>
      </c>
      <c r="P2078" t="s">
        <v>116</v>
      </c>
      <c r="Q2078" t="s">
        <v>111</v>
      </c>
      <c r="R2078" t="s">
        <v>111</v>
      </c>
      <c r="S2078" s="1">
        <v>46092</v>
      </c>
      <c r="T2078" s="1">
        <v>46092</v>
      </c>
      <c r="U2078" s="1">
        <v>46098</v>
      </c>
      <c r="V2078" s="1">
        <v>46463</v>
      </c>
      <c r="W2078" t="s">
        <v>38</v>
      </c>
      <c r="X2078">
        <v>12</v>
      </c>
      <c r="Y2078" t="s">
        <v>49</v>
      </c>
      <c r="Z2078" t="s">
        <v>81</v>
      </c>
      <c r="AA2078" t="s">
        <v>117</v>
      </c>
      <c r="AB2078">
        <v>1</v>
      </c>
      <c r="AC2078" t="s">
        <v>113</v>
      </c>
      <c r="AD2078" t="s">
        <v>85</v>
      </c>
      <c r="AE2078" t="s">
        <v>46</v>
      </c>
      <c r="AF2078" t="s">
        <v>44</v>
      </c>
      <c r="AG2078" t="str">
        <f t="shared" si="35"/>
        <v>À Vista</v>
      </c>
      <c r="AH2078" t="str">
        <f>IF(AND(SUMIF(E:E,E2078,I:I)&gt;=400000,Q2078="B2G"),"n","")</f>
        <v/>
      </c>
    </row>
    <row r="2079" spans="1:34">
      <c r="A2079">
        <v>2026</v>
      </c>
      <c r="B2079">
        <v>3</v>
      </c>
      <c r="C2079" s="83">
        <v>131766115500</v>
      </c>
      <c r="D2079" t="s">
        <v>1950</v>
      </c>
      <c r="E2079">
        <v>55346539097</v>
      </c>
      <c r="F2079">
        <v>627529</v>
      </c>
      <c r="G2079">
        <v>50637436080</v>
      </c>
      <c r="H2079" t="s">
        <v>35</v>
      </c>
      <c r="I2079" s="36">
        <v>2874</v>
      </c>
      <c r="J2079" s="36">
        <v>2874</v>
      </c>
      <c r="K2079" s="85">
        <v>0</v>
      </c>
      <c r="L2079" s="36">
        <v>239.5</v>
      </c>
      <c r="M2079" s="36">
        <v>0</v>
      </c>
      <c r="N2079" s="36">
        <v>0.5</v>
      </c>
      <c r="O2079" s="36">
        <v>239</v>
      </c>
      <c r="P2079" t="s">
        <v>165</v>
      </c>
      <c r="Q2079" t="s">
        <v>166</v>
      </c>
      <c r="R2079" t="s">
        <v>166</v>
      </c>
      <c r="S2079" s="1">
        <v>46100</v>
      </c>
      <c r="T2079" s="1">
        <v>46100</v>
      </c>
      <c r="U2079" s="1">
        <v>46100</v>
      </c>
      <c r="V2079" s="1">
        <v>46465</v>
      </c>
      <c r="W2079" t="s">
        <v>38</v>
      </c>
      <c r="X2079">
        <v>12</v>
      </c>
      <c r="Y2079" t="s">
        <v>49</v>
      </c>
      <c r="Z2079" t="s">
        <v>81</v>
      </c>
      <c r="AA2079" t="s">
        <v>122</v>
      </c>
      <c r="AB2079">
        <v>12</v>
      </c>
      <c r="AC2079" t="s">
        <v>166</v>
      </c>
      <c r="AD2079" t="s">
        <v>140</v>
      </c>
      <c r="AE2079" t="s">
        <v>46</v>
      </c>
      <c r="AF2079" t="s">
        <v>119</v>
      </c>
      <c r="AG2079" t="str">
        <f t="shared" si="35"/>
        <v>Recorrente</v>
      </c>
      <c r="AH2079" t="str">
        <f>IF(AND(SUMIF(E:E,E2079,I:I)&gt;=400000,Q2079="B2G"),"n","")</f>
        <v/>
      </c>
    </row>
    <row r="2080" spans="1:34">
      <c r="A2080">
        <v>2026</v>
      </c>
      <c r="B2080">
        <v>3</v>
      </c>
      <c r="C2080" s="83">
        <v>132127055669</v>
      </c>
      <c r="D2080" t="s">
        <v>1951</v>
      </c>
      <c r="E2080">
        <v>56183730516</v>
      </c>
      <c r="F2080">
        <v>508015</v>
      </c>
      <c r="G2080">
        <v>51480997136</v>
      </c>
      <c r="H2080" t="s">
        <v>35</v>
      </c>
      <c r="I2080" s="36">
        <v>5178.6000000000004</v>
      </c>
      <c r="J2080" s="36">
        <v>5178.6000000000004</v>
      </c>
      <c r="K2080" s="85">
        <v>0</v>
      </c>
      <c r="L2080" s="36">
        <v>431.55</v>
      </c>
      <c r="M2080" s="36">
        <v>0</v>
      </c>
      <c r="N2080" s="36">
        <v>85.01</v>
      </c>
      <c r="O2080" s="36">
        <v>346.54</v>
      </c>
      <c r="P2080" t="s">
        <v>165</v>
      </c>
      <c r="Q2080" t="s">
        <v>166</v>
      </c>
      <c r="R2080" t="s">
        <v>166</v>
      </c>
      <c r="S2080" s="1">
        <v>46107</v>
      </c>
      <c r="T2080" s="1">
        <v>46107</v>
      </c>
      <c r="U2080" s="1">
        <v>46111</v>
      </c>
      <c r="V2080" s="1">
        <v>46476</v>
      </c>
      <c r="W2080" t="s">
        <v>38</v>
      </c>
      <c r="X2080">
        <v>12</v>
      </c>
      <c r="Y2080" t="s">
        <v>49</v>
      </c>
      <c r="Z2080" t="s">
        <v>81</v>
      </c>
      <c r="AA2080" t="s">
        <v>122</v>
      </c>
      <c r="AB2080">
        <v>12</v>
      </c>
      <c r="AC2080" t="s">
        <v>166</v>
      </c>
      <c r="AD2080" t="s">
        <v>85</v>
      </c>
      <c r="AE2080" t="s">
        <v>46</v>
      </c>
      <c r="AF2080" t="s">
        <v>44</v>
      </c>
      <c r="AG2080" t="str">
        <f t="shared" si="35"/>
        <v>Recorrente</v>
      </c>
      <c r="AH2080" t="str">
        <f>IF(AND(SUMIF(E:E,E2080,I:I)&gt;=400000,Q2080="B2G"),"n","")</f>
        <v/>
      </c>
    </row>
    <row r="2081" spans="1:34">
      <c r="A2081">
        <v>2026</v>
      </c>
      <c r="B2081">
        <v>3</v>
      </c>
      <c r="C2081" s="83">
        <v>132577556395</v>
      </c>
      <c r="D2081" t="s">
        <v>1952</v>
      </c>
      <c r="E2081">
        <v>58524437053</v>
      </c>
      <c r="F2081">
        <v>636733</v>
      </c>
      <c r="G2081">
        <v>53710921253</v>
      </c>
      <c r="H2081" t="s">
        <v>35</v>
      </c>
      <c r="I2081" s="36">
        <v>4962.6000000000004</v>
      </c>
      <c r="J2081" s="36">
        <v>2333.52</v>
      </c>
      <c r="K2081" s="85">
        <v>2629.08</v>
      </c>
      <c r="L2081" s="36">
        <v>194.46</v>
      </c>
      <c r="M2081" s="36">
        <v>0</v>
      </c>
      <c r="N2081" s="36">
        <v>194.46</v>
      </c>
      <c r="O2081" s="36">
        <v>0</v>
      </c>
      <c r="P2081" t="s">
        <v>323</v>
      </c>
      <c r="Q2081" t="s">
        <v>191</v>
      </c>
      <c r="R2081" t="s">
        <v>191</v>
      </c>
      <c r="S2081" s="1">
        <v>46108</v>
      </c>
      <c r="T2081" s="1">
        <v>46108</v>
      </c>
      <c r="V2081" s="1">
        <v>46473</v>
      </c>
      <c r="W2081" t="s">
        <v>38</v>
      </c>
      <c r="Y2081" t="s">
        <v>49</v>
      </c>
      <c r="AA2081" t="s">
        <v>122</v>
      </c>
      <c r="AB2081">
        <v>12</v>
      </c>
      <c r="AC2081" t="s">
        <v>192</v>
      </c>
      <c r="AD2081" t="s">
        <v>138</v>
      </c>
      <c r="AE2081" t="s">
        <v>135</v>
      </c>
      <c r="AF2081" t="s">
        <v>119</v>
      </c>
      <c r="AG2081" t="str">
        <f t="shared" si="35"/>
        <v>Recorrente</v>
      </c>
      <c r="AH2081" t="str">
        <f>IF(AND(SUMIF(E:E,E2081,I:I)&gt;=400000,Q2081="B2G"),"n","")</f>
        <v/>
      </c>
    </row>
    <row r="2082" spans="1:34">
      <c r="A2082">
        <v>2026</v>
      </c>
      <c r="B2082">
        <v>3</v>
      </c>
      <c r="C2082" s="83">
        <v>132667059278</v>
      </c>
      <c r="D2082" t="s">
        <v>1953</v>
      </c>
      <c r="E2082">
        <v>57821689964</v>
      </c>
      <c r="F2082">
        <v>631496</v>
      </c>
      <c r="G2082">
        <v>53072845747</v>
      </c>
      <c r="H2082" t="s">
        <v>35</v>
      </c>
      <c r="I2082" s="36">
        <v>426.12</v>
      </c>
      <c r="J2082" s="36">
        <v>1080.8399999999999</v>
      </c>
      <c r="K2082" s="85">
        <v>0</v>
      </c>
      <c r="L2082" s="36">
        <v>90.07</v>
      </c>
      <c r="M2082" s="36">
        <v>0</v>
      </c>
      <c r="N2082" s="36">
        <v>90.07</v>
      </c>
      <c r="O2082" s="36">
        <v>0</v>
      </c>
      <c r="P2082" t="s">
        <v>804</v>
      </c>
      <c r="Q2082" t="s">
        <v>191</v>
      </c>
      <c r="R2082" t="s">
        <v>191</v>
      </c>
      <c r="S2082" s="1">
        <v>46090</v>
      </c>
      <c r="T2082" s="1">
        <v>46090</v>
      </c>
      <c r="U2082" s="1">
        <v>46234</v>
      </c>
      <c r="V2082" s="1">
        <v>46234</v>
      </c>
      <c r="W2082" t="s">
        <v>38</v>
      </c>
      <c r="X2082">
        <v>4</v>
      </c>
      <c r="Y2082" t="s">
        <v>49</v>
      </c>
      <c r="Z2082" t="s">
        <v>324</v>
      </c>
      <c r="AA2082" t="s">
        <v>122</v>
      </c>
      <c r="AB2082">
        <v>4</v>
      </c>
      <c r="AC2082" t="s">
        <v>192</v>
      </c>
      <c r="AD2082" t="s">
        <v>163</v>
      </c>
      <c r="AE2082" t="s">
        <v>43</v>
      </c>
      <c r="AF2082" t="s">
        <v>96</v>
      </c>
      <c r="AG2082" t="str">
        <f t="shared" si="35"/>
        <v>Recorrente</v>
      </c>
      <c r="AH2082" t="str">
        <f>IF(AND(SUMIF(E:E,E2082,I:I)&gt;=400000,Q2082="B2G"),"n","")</f>
        <v/>
      </c>
    </row>
    <row r="2083" spans="1:34">
      <c r="A2083">
        <v>2026</v>
      </c>
      <c r="B2083">
        <v>3</v>
      </c>
      <c r="C2083" s="83">
        <v>132713966225</v>
      </c>
      <c r="D2083" t="s">
        <v>1954</v>
      </c>
      <c r="E2083">
        <v>58132131216</v>
      </c>
      <c r="F2083">
        <v>636588</v>
      </c>
      <c r="G2083">
        <v>53383464785</v>
      </c>
      <c r="H2083" t="s">
        <v>35</v>
      </c>
      <c r="I2083" s="36">
        <v>4411.2</v>
      </c>
      <c r="J2083" s="36">
        <v>4411.2</v>
      </c>
      <c r="K2083" s="85">
        <v>0</v>
      </c>
      <c r="L2083" s="36">
        <v>367.6</v>
      </c>
      <c r="M2083" s="36">
        <v>367.6</v>
      </c>
      <c r="N2083" s="36">
        <v>0</v>
      </c>
      <c r="O2083" s="36">
        <v>0</v>
      </c>
      <c r="P2083" t="s">
        <v>506</v>
      </c>
      <c r="Q2083" t="s">
        <v>300</v>
      </c>
      <c r="R2083" t="s">
        <v>80</v>
      </c>
      <c r="S2083" s="1">
        <v>46099</v>
      </c>
      <c r="T2083" s="1">
        <v>46099</v>
      </c>
      <c r="U2083" s="1"/>
      <c r="V2083" s="1">
        <v>46464</v>
      </c>
      <c r="W2083" t="s">
        <v>38</v>
      </c>
      <c r="X2083">
        <v>12</v>
      </c>
      <c r="Y2083" t="s">
        <v>49</v>
      </c>
      <c r="AA2083" t="s">
        <v>122</v>
      </c>
      <c r="AB2083">
        <v>12</v>
      </c>
      <c r="AC2083" t="s">
        <v>495</v>
      </c>
      <c r="AD2083" t="s">
        <v>138</v>
      </c>
      <c r="AE2083" t="s">
        <v>135</v>
      </c>
      <c r="AF2083" t="s">
        <v>119</v>
      </c>
      <c r="AG2083" t="str">
        <f t="shared" si="35"/>
        <v>Recorrente</v>
      </c>
      <c r="AH2083" t="str">
        <f>IF(AND(SUMIF(E:E,E2083,I:I)&gt;=400000,Q2083="B2G"),"n","")</f>
        <v/>
      </c>
    </row>
    <row r="2084" spans="1:34">
      <c r="A2084">
        <v>2026</v>
      </c>
      <c r="B2084">
        <v>3</v>
      </c>
      <c r="C2084" s="83">
        <v>133661687386</v>
      </c>
      <c r="D2084" t="s">
        <v>1955</v>
      </c>
      <c r="E2084">
        <v>58005536161</v>
      </c>
      <c r="F2084">
        <v>627374</v>
      </c>
      <c r="G2084">
        <v>53666703507</v>
      </c>
      <c r="H2084" t="s">
        <v>35</v>
      </c>
      <c r="I2084" s="36">
        <v>2076.48</v>
      </c>
      <c r="J2084" s="36">
        <v>2076.48</v>
      </c>
      <c r="K2084" s="85">
        <v>0</v>
      </c>
      <c r="L2084" s="36">
        <v>173.04</v>
      </c>
      <c r="M2084" s="36">
        <v>0</v>
      </c>
      <c r="N2084" s="36">
        <v>0</v>
      </c>
      <c r="O2084" s="36">
        <v>173.041145</v>
      </c>
      <c r="P2084" t="s">
        <v>116</v>
      </c>
      <c r="Q2084" t="s">
        <v>111</v>
      </c>
      <c r="R2084" t="s">
        <v>111</v>
      </c>
      <c r="S2084" s="1">
        <v>46108</v>
      </c>
      <c r="T2084" s="1">
        <v>46108</v>
      </c>
      <c r="U2084" s="1">
        <v>46094</v>
      </c>
      <c r="V2084" s="1">
        <v>46473</v>
      </c>
      <c r="W2084" t="s">
        <v>38</v>
      </c>
      <c r="X2084">
        <v>12</v>
      </c>
      <c r="Y2084" t="s">
        <v>49</v>
      </c>
      <c r="Z2084" t="s">
        <v>81</v>
      </c>
      <c r="AA2084" t="s">
        <v>112</v>
      </c>
      <c r="AB2084">
        <v>3</v>
      </c>
      <c r="AC2084" t="s">
        <v>113</v>
      </c>
      <c r="AD2084" t="s">
        <v>140</v>
      </c>
      <c r="AE2084" t="s">
        <v>46</v>
      </c>
      <c r="AF2084" t="s">
        <v>119</v>
      </c>
      <c r="AG2084" t="str">
        <f t="shared" si="35"/>
        <v>CC 3x</v>
      </c>
      <c r="AH2084" t="str">
        <f>IF(AND(SUMIF(E:E,E2084,I:I)&gt;=400000,Q2084="B2G"),"n","")</f>
        <v/>
      </c>
    </row>
    <row r="2085" spans="1:34">
      <c r="A2085">
        <v>2026</v>
      </c>
      <c r="B2085">
        <v>3</v>
      </c>
      <c r="C2085" s="83">
        <v>133907501630</v>
      </c>
      <c r="D2085" t="s">
        <v>1956</v>
      </c>
      <c r="E2085">
        <v>55723536545</v>
      </c>
      <c r="F2085">
        <v>529521</v>
      </c>
      <c r="G2085">
        <v>52704469892</v>
      </c>
      <c r="H2085" t="s">
        <v>35</v>
      </c>
      <c r="I2085" s="36">
        <v>4646.3999999999996</v>
      </c>
      <c r="J2085" s="36">
        <v>4646.3999999999996</v>
      </c>
      <c r="K2085" s="85">
        <v>0</v>
      </c>
      <c r="L2085" s="36">
        <v>387.2</v>
      </c>
      <c r="M2085" s="36">
        <v>387.2</v>
      </c>
      <c r="N2085" s="36">
        <v>0</v>
      </c>
      <c r="O2085" s="36">
        <v>0</v>
      </c>
      <c r="P2085" t="s">
        <v>110</v>
      </c>
      <c r="Q2085" t="s">
        <v>111</v>
      </c>
      <c r="R2085" t="s">
        <v>111</v>
      </c>
      <c r="S2085" s="1">
        <v>46084</v>
      </c>
      <c r="T2085" s="1">
        <v>46084</v>
      </c>
      <c r="U2085" s="1">
        <v>46091</v>
      </c>
      <c r="V2085" s="1">
        <v>46456</v>
      </c>
      <c r="W2085" t="s">
        <v>38</v>
      </c>
      <c r="X2085">
        <v>12</v>
      </c>
      <c r="Y2085" t="s">
        <v>49</v>
      </c>
      <c r="Z2085" t="s">
        <v>81</v>
      </c>
      <c r="AA2085" t="s">
        <v>112</v>
      </c>
      <c r="AB2085">
        <v>12</v>
      </c>
      <c r="AC2085" t="s">
        <v>113</v>
      </c>
      <c r="AD2085" t="s">
        <v>85</v>
      </c>
      <c r="AE2085" t="s">
        <v>46</v>
      </c>
      <c r="AF2085" t="s">
        <v>44</v>
      </c>
      <c r="AG2085" t="str">
        <f t="shared" si="35"/>
        <v>CC 12x</v>
      </c>
      <c r="AH2085" t="str">
        <f>IF(AND(SUMIF(E:E,E2085,I:I)&gt;=400000,Q2085="B2G"),"n","")</f>
        <v/>
      </c>
    </row>
    <row r="2086" spans="1:34">
      <c r="A2086">
        <v>2026</v>
      </c>
      <c r="B2086">
        <v>3</v>
      </c>
      <c r="C2086" s="83">
        <v>134808094755</v>
      </c>
      <c r="D2086" t="s">
        <v>1957</v>
      </c>
      <c r="E2086">
        <v>55825013370</v>
      </c>
      <c r="F2086">
        <v>508662</v>
      </c>
      <c r="G2086">
        <v>51123903873</v>
      </c>
      <c r="H2086" t="s">
        <v>35</v>
      </c>
      <c r="I2086" s="36">
        <v>1917</v>
      </c>
      <c r="J2086" s="36">
        <v>1917</v>
      </c>
      <c r="K2086" s="85">
        <v>0</v>
      </c>
      <c r="L2086" s="36">
        <v>159.75</v>
      </c>
      <c r="M2086" s="36">
        <v>0</v>
      </c>
      <c r="N2086" s="36">
        <v>99.575000000000003</v>
      </c>
      <c r="O2086" s="36">
        <v>299.92500000000001</v>
      </c>
      <c r="P2086" t="s">
        <v>165</v>
      </c>
      <c r="Q2086" t="s">
        <v>166</v>
      </c>
      <c r="R2086" t="s">
        <v>166</v>
      </c>
      <c r="S2086" s="1">
        <v>46107</v>
      </c>
      <c r="T2086" s="1">
        <v>46107</v>
      </c>
      <c r="U2086" s="1">
        <v>46108</v>
      </c>
      <c r="V2086" s="1">
        <v>46472</v>
      </c>
      <c r="W2086" t="s">
        <v>38</v>
      </c>
      <c r="X2086">
        <v>12</v>
      </c>
      <c r="Y2086" t="s">
        <v>49</v>
      </c>
      <c r="Z2086" t="s">
        <v>81</v>
      </c>
      <c r="AA2086" t="s">
        <v>122</v>
      </c>
      <c r="AB2086">
        <v>12</v>
      </c>
      <c r="AC2086" t="s">
        <v>166</v>
      </c>
      <c r="AD2086" t="s">
        <v>142</v>
      </c>
      <c r="AE2086" t="s">
        <v>95</v>
      </c>
      <c r="AF2086" t="s">
        <v>44</v>
      </c>
      <c r="AG2086" t="str">
        <f t="shared" si="35"/>
        <v>Recorrente</v>
      </c>
      <c r="AH2086" t="str">
        <f>IF(AND(SUMIF(E:E,E2086,I:I)&gt;=400000,Q2086="B2G"),"n","")</f>
        <v/>
      </c>
    </row>
    <row r="2087" spans="1:34">
      <c r="A2087">
        <v>2026</v>
      </c>
      <c r="B2087">
        <v>3</v>
      </c>
      <c r="C2087" s="83">
        <v>134808094755</v>
      </c>
      <c r="D2087" t="s">
        <v>1957</v>
      </c>
      <c r="E2087">
        <v>55825013370</v>
      </c>
      <c r="F2087">
        <v>508662</v>
      </c>
      <c r="G2087">
        <v>51182110537</v>
      </c>
      <c r="H2087" t="s">
        <v>35</v>
      </c>
      <c r="I2087" s="36">
        <v>1917</v>
      </c>
      <c r="J2087" s="36">
        <v>1917</v>
      </c>
      <c r="K2087" s="85">
        <v>0</v>
      </c>
      <c r="L2087" s="36">
        <v>159.75</v>
      </c>
      <c r="M2087" s="36">
        <v>0</v>
      </c>
      <c r="N2087" s="36">
        <v>99.575000000000003</v>
      </c>
      <c r="O2087" s="36">
        <v>299.92500000000001</v>
      </c>
      <c r="P2087" t="s">
        <v>165</v>
      </c>
      <c r="Q2087" t="s">
        <v>166</v>
      </c>
      <c r="R2087" t="s">
        <v>166</v>
      </c>
      <c r="S2087" s="1">
        <v>46107</v>
      </c>
      <c r="T2087" s="1">
        <v>46107</v>
      </c>
      <c r="U2087" s="1">
        <v>46108</v>
      </c>
      <c r="V2087" s="1">
        <v>46472</v>
      </c>
      <c r="W2087" t="s">
        <v>38</v>
      </c>
      <c r="X2087">
        <v>12</v>
      </c>
      <c r="Y2087" t="s">
        <v>49</v>
      </c>
      <c r="Z2087" t="s">
        <v>81</v>
      </c>
      <c r="AA2087" t="s">
        <v>122</v>
      </c>
      <c r="AB2087">
        <v>12</v>
      </c>
      <c r="AC2087" t="s">
        <v>166</v>
      </c>
      <c r="AD2087" t="s">
        <v>85</v>
      </c>
      <c r="AE2087" t="s">
        <v>46</v>
      </c>
      <c r="AF2087" t="s">
        <v>44</v>
      </c>
      <c r="AG2087" t="str">
        <f t="shared" si="35"/>
        <v>Recorrente</v>
      </c>
      <c r="AH2087" t="str">
        <f>IF(AND(SUMIF(E:E,E2087,I:I)&gt;=400000,Q2087="B2G"),"n","")</f>
        <v/>
      </c>
    </row>
    <row r="2088" spans="1:34">
      <c r="A2088">
        <v>2026</v>
      </c>
      <c r="B2088">
        <v>3</v>
      </c>
      <c r="C2088" s="83">
        <v>135533439041</v>
      </c>
      <c r="D2088" t="s">
        <v>1958</v>
      </c>
      <c r="E2088">
        <v>57904203596</v>
      </c>
      <c r="F2088">
        <v>619930</v>
      </c>
      <c r="G2088">
        <v>53172526519</v>
      </c>
      <c r="H2088" t="s">
        <v>35</v>
      </c>
      <c r="I2088" s="36">
        <v>910.08</v>
      </c>
      <c r="J2088" s="36">
        <v>2158.56</v>
      </c>
      <c r="K2088" s="85">
        <v>0</v>
      </c>
      <c r="L2088" s="36">
        <v>179.88</v>
      </c>
      <c r="M2088" s="36">
        <v>0</v>
      </c>
      <c r="N2088" s="36">
        <v>179.88</v>
      </c>
      <c r="O2088" s="36">
        <v>0</v>
      </c>
      <c r="P2088" t="s">
        <v>804</v>
      </c>
      <c r="Q2088" t="s">
        <v>191</v>
      </c>
      <c r="R2088" t="s">
        <v>191</v>
      </c>
      <c r="S2088" s="1">
        <v>46092</v>
      </c>
      <c r="T2088" s="1">
        <v>46092</v>
      </c>
      <c r="U2088" s="1">
        <v>46246</v>
      </c>
      <c r="V2088" s="1">
        <v>46246</v>
      </c>
      <c r="W2088" t="s">
        <v>38</v>
      </c>
      <c r="X2088">
        <v>5</v>
      </c>
      <c r="Y2088" t="s">
        <v>49</v>
      </c>
      <c r="Z2088" t="s">
        <v>324</v>
      </c>
      <c r="AA2088" t="s">
        <v>112</v>
      </c>
      <c r="AB2088">
        <v>5</v>
      </c>
      <c r="AC2088" t="s">
        <v>192</v>
      </c>
      <c r="AD2088" t="s">
        <v>84</v>
      </c>
      <c r="AE2088" t="s">
        <v>43</v>
      </c>
      <c r="AF2088" t="s">
        <v>44</v>
      </c>
      <c r="AG2088" t="str">
        <f t="shared" si="35"/>
        <v>CC 12x</v>
      </c>
      <c r="AH2088" t="str">
        <f>IF(AND(SUMIF(E:E,E2088,I:I)&gt;=400000,Q2088="B2G"),"n","")</f>
        <v/>
      </c>
    </row>
    <row r="2089" spans="1:34">
      <c r="A2089">
        <v>2026</v>
      </c>
      <c r="B2089">
        <v>3</v>
      </c>
      <c r="C2089" s="83">
        <v>135859494542</v>
      </c>
      <c r="D2089" t="s">
        <v>1959</v>
      </c>
      <c r="E2089">
        <v>56152078099</v>
      </c>
      <c r="F2089">
        <v>627997</v>
      </c>
      <c r="G2089">
        <v>51309852023</v>
      </c>
      <c r="H2089" t="s">
        <v>35</v>
      </c>
      <c r="I2089" s="36">
        <v>9054</v>
      </c>
      <c r="J2089" s="36">
        <v>9054</v>
      </c>
      <c r="K2089" s="85">
        <v>0</v>
      </c>
      <c r="L2089" s="36">
        <v>754.5</v>
      </c>
      <c r="M2089" s="36">
        <v>0</v>
      </c>
      <c r="N2089" s="36">
        <v>156.80000000000001</v>
      </c>
      <c r="O2089" s="36">
        <v>597.70000000000005</v>
      </c>
      <c r="P2089" t="s">
        <v>165</v>
      </c>
      <c r="Q2089" t="s">
        <v>166</v>
      </c>
      <c r="R2089" t="s">
        <v>166</v>
      </c>
      <c r="S2089" s="1">
        <v>46107</v>
      </c>
      <c r="T2089" s="1">
        <v>46107</v>
      </c>
      <c r="U2089" s="1">
        <v>46109</v>
      </c>
      <c r="V2089" s="1">
        <v>46474</v>
      </c>
      <c r="W2089" t="s">
        <v>38</v>
      </c>
      <c r="X2089">
        <v>12</v>
      </c>
      <c r="Y2089" t="s">
        <v>49</v>
      </c>
      <c r="Z2089" t="s">
        <v>81</v>
      </c>
      <c r="AA2089" t="s">
        <v>112</v>
      </c>
      <c r="AB2089">
        <v>10</v>
      </c>
      <c r="AC2089" t="s">
        <v>166</v>
      </c>
      <c r="AD2089" t="s">
        <v>1167</v>
      </c>
      <c r="AE2089" t="s">
        <v>95</v>
      </c>
      <c r="AF2089" t="s">
        <v>96</v>
      </c>
      <c r="AG2089" t="str">
        <f t="shared" si="35"/>
        <v>CC 12x</v>
      </c>
      <c r="AH2089" t="str">
        <f>IF(AND(SUMIF(E:E,E2089,I:I)&gt;=400000,Q2089="B2G"),"n","")</f>
        <v/>
      </c>
    </row>
    <row r="2090" spans="1:34">
      <c r="A2090">
        <v>2026</v>
      </c>
      <c r="B2090">
        <v>3</v>
      </c>
      <c r="C2090" s="83">
        <v>135859494542</v>
      </c>
      <c r="D2090" t="s">
        <v>1959</v>
      </c>
      <c r="E2090">
        <v>56152078099</v>
      </c>
      <c r="F2090">
        <v>627997</v>
      </c>
      <c r="G2090">
        <v>51468874258</v>
      </c>
      <c r="H2090" t="s">
        <v>35</v>
      </c>
      <c r="I2090" s="36">
        <v>9054</v>
      </c>
      <c r="J2090" s="36">
        <v>9054</v>
      </c>
      <c r="K2090" s="85">
        <v>0</v>
      </c>
      <c r="L2090" s="36">
        <v>754.5</v>
      </c>
      <c r="M2090" s="36">
        <v>0</v>
      </c>
      <c r="N2090" s="36">
        <v>156.80000000000001</v>
      </c>
      <c r="O2090" s="36">
        <v>597.70000000000005</v>
      </c>
      <c r="P2090" t="s">
        <v>165</v>
      </c>
      <c r="Q2090" t="s">
        <v>166</v>
      </c>
      <c r="R2090" t="s">
        <v>166</v>
      </c>
      <c r="S2090" s="1">
        <v>46107</v>
      </c>
      <c r="T2090" s="1">
        <v>46107</v>
      </c>
      <c r="U2090" s="1">
        <v>46109</v>
      </c>
      <c r="V2090" s="1">
        <v>46474</v>
      </c>
      <c r="W2090" t="s">
        <v>38</v>
      </c>
      <c r="X2090">
        <v>12</v>
      </c>
      <c r="Y2090" t="s">
        <v>49</v>
      </c>
      <c r="Z2090" t="s">
        <v>81</v>
      </c>
      <c r="AA2090" t="s">
        <v>112</v>
      </c>
      <c r="AB2090">
        <v>10</v>
      </c>
      <c r="AC2090" t="s">
        <v>166</v>
      </c>
      <c r="AD2090" t="s">
        <v>1695</v>
      </c>
      <c r="AE2090" t="s">
        <v>1696</v>
      </c>
      <c r="AF2090" t="s">
        <v>59</v>
      </c>
      <c r="AG2090" t="str">
        <f t="shared" si="35"/>
        <v>CC 12x</v>
      </c>
      <c r="AH2090" t="str">
        <f>IF(AND(SUMIF(E:E,E2090,I:I)&gt;=400000,Q2090="B2G"),"n","")</f>
        <v/>
      </c>
    </row>
    <row r="2091" spans="1:34">
      <c r="A2091">
        <v>2026</v>
      </c>
      <c r="B2091">
        <v>3</v>
      </c>
      <c r="C2091" s="83">
        <v>136486064178</v>
      </c>
      <c r="D2091" t="s">
        <v>1960</v>
      </c>
      <c r="E2091">
        <v>56274713731</v>
      </c>
      <c r="F2091">
        <v>628097</v>
      </c>
      <c r="G2091">
        <v>51545552422</v>
      </c>
      <c r="H2091" t="s">
        <v>35</v>
      </c>
      <c r="I2091" s="36">
        <v>4962.6000000000004</v>
      </c>
      <c r="J2091" s="36">
        <v>4962.6000000000004</v>
      </c>
      <c r="K2091" s="85">
        <v>0</v>
      </c>
      <c r="L2091" s="36">
        <v>413.55</v>
      </c>
      <c r="M2091" s="36">
        <v>0</v>
      </c>
      <c r="N2091" s="36">
        <v>67.13</v>
      </c>
      <c r="O2091" s="36">
        <v>346.42</v>
      </c>
      <c r="P2091" t="s">
        <v>165</v>
      </c>
      <c r="Q2091" t="s">
        <v>166</v>
      </c>
      <c r="R2091" t="s">
        <v>166</v>
      </c>
      <c r="S2091" s="1">
        <v>46107</v>
      </c>
      <c r="T2091" s="1">
        <v>46107</v>
      </c>
      <c r="U2091" s="1">
        <v>46112</v>
      </c>
      <c r="V2091" s="1">
        <v>46477</v>
      </c>
      <c r="W2091" t="s">
        <v>38</v>
      </c>
      <c r="X2091">
        <v>12</v>
      </c>
      <c r="Y2091" t="s">
        <v>49</v>
      </c>
      <c r="Z2091" t="s">
        <v>81</v>
      </c>
      <c r="AA2091" t="s">
        <v>122</v>
      </c>
      <c r="AB2091">
        <v>12</v>
      </c>
      <c r="AC2091" t="s">
        <v>166</v>
      </c>
      <c r="AD2091" t="s">
        <v>138</v>
      </c>
      <c r="AE2091" t="s">
        <v>135</v>
      </c>
      <c r="AF2091" t="s">
        <v>119</v>
      </c>
      <c r="AG2091" t="str">
        <f t="shared" si="35"/>
        <v>Recorrente</v>
      </c>
      <c r="AH2091" t="str">
        <f>IF(AND(SUMIF(E:E,E2091,I:I)&gt;=400000,Q2091="B2G"),"n","")</f>
        <v/>
      </c>
    </row>
    <row r="2092" spans="1:34">
      <c r="A2092">
        <v>2026</v>
      </c>
      <c r="B2092">
        <v>3</v>
      </c>
      <c r="C2092" s="83">
        <v>136782547075</v>
      </c>
      <c r="D2092" t="s">
        <v>1961</v>
      </c>
      <c r="E2092">
        <v>58315638120</v>
      </c>
      <c r="F2092">
        <v>636688</v>
      </c>
      <c r="G2092">
        <v>53524082290</v>
      </c>
      <c r="H2092" t="s">
        <v>35</v>
      </c>
      <c r="I2092" s="36">
        <v>2874</v>
      </c>
      <c r="J2092" s="36">
        <v>2874</v>
      </c>
      <c r="K2092" s="85">
        <v>0</v>
      </c>
      <c r="L2092" s="36">
        <v>239.5</v>
      </c>
      <c r="M2092" s="36">
        <v>239.5</v>
      </c>
      <c r="N2092" s="36">
        <v>0</v>
      </c>
      <c r="O2092" s="36">
        <v>0</v>
      </c>
      <c r="P2092" t="s">
        <v>497</v>
      </c>
      <c r="Q2092" t="s">
        <v>498</v>
      </c>
      <c r="R2092" t="s">
        <v>498</v>
      </c>
      <c r="S2092" s="1">
        <v>46106</v>
      </c>
      <c r="T2092" s="1">
        <v>46106</v>
      </c>
      <c r="U2092" s="1"/>
      <c r="V2092" s="1">
        <v>46471</v>
      </c>
      <c r="W2092" t="s">
        <v>38</v>
      </c>
      <c r="X2092">
        <v>12</v>
      </c>
      <c r="Y2092" t="s">
        <v>49</v>
      </c>
      <c r="AA2092" t="s">
        <v>112</v>
      </c>
      <c r="AB2092">
        <v>12</v>
      </c>
      <c r="AC2092" t="s">
        <v>499</v>
      </c>
      <c r="AD2092" t="s">
        <v>118</v>
      </c>
      <c r="AE2092" t="s">
        <v>43</v>
      </c>
      <c r="AF2092" t="s">
        <v>119</v>
      </c>
      <c r="AG2092" t="str">
        <f t="shared" si="35"/>
        <v>CC 12x</v>
      </c>
      <c r="AH2092" t="str">
        <f>IF(AND(SUMIF(E:E,E2092,I:I)&gt;=400000,Q2092="B2G"),"n","")</f>
        <v/>
      </c>
    </row>
    <row r="2093" spans="1:34">
      <c r="A2093">
        <v>2026</v>
      </c>
      <c r="B2093">
        <v>3</v>
      </c>
      <c r="C2093" s="83">
        <v>138293335910</v>
      </c>
      <c r="D2093" t="s">
        <v>1962</v>
      </c>
      <c r="E2093">
        <v>54225423113</v>
      </c>
      <c r="F2093">
        <v>627139</v>
      </c>
      <c r="G2093">
        <v>49579782274</v>
      </c>
      <c r="H2093" t="s">
        <v>35</v>
      </c>
      <c r="I2093" s="36">
        <v>4854.6000000000004</v>
      </c>
      <c r="J2093" s="36">
        <v>4854.6000000000004</v>
      </c>
      <c r="K2093" s="85">
        <v>0</v>
      </c>
      <c r="L2093" s="36">
        <v>404.55</v>
      </c>
      <c r="M2093" s="36">
        <v>0</v>
      </c>
      <c r="N2093" s="36">
        <v>45.78</v>
      </c>
      <c r="O2093" s="36">
        <v>358.77</v>
      </c>
      <c r="P2093" t="s">
        <v>165</v>
      </c>
      <c r="Q2093" t="s">
        <v>166</v>
      </c>
      <c r="R2093" t="s">
        <v>166</v>
      </c>
      <c r="S2093" s="1">
        <v>46087</v>
      </c>
      <c r="T2093" s="1">
        <v>46087</v>
      </c>
      <c r="U2093" s="1">
        <v>46087</v>
      </c>
      <c r="V2093" s="1">
        <v>46452</v>
      </c>
      <c r="W2093" t="s">
        <v>38</v>
      </c>
      <c r="X2093">
        <v>12</v>
      </c>
      <c r="Y2093" t="s">
        <v>49</v>
      </c>
      <c r="Z2093" t="s">
        <v>81</v>
      </c>
      <c r="AA2093" t="s">
        <v>122</v>
      </c>
      <c r="AB2093">
        <v>7</v>
      </c>
      <c r="AC2093" t="s">
        <v>166</v>
      </c>
      <c r="AD2093" t="s">
        <v>84</v>
      </c>
      <c r="AE2093" t="s">
        <v>43</v>
      </c>
      <c r="AF2093" t="s">
        <v>44</v>
      </c>
      <c r="AG2093" t="str">
        <f t="shared" si="35"/>
        <v>Recorrente</v>
      </c>
      <c r="AH2093" t="str">
        <f>IF(AND(SUMIF(E:E,E2093,I:I)&gt;=400000,Q2093="B2G"),"n","")</f>
        <v/>
      </c>
    </row>
    <row r="2094" spans="1:34">
      <c r="A2094">
        <v>2026</v>
      </c>
      <c r="B2094">
        <v>3</v>
      </c>
      <c r="C2094" s="83">
        <v>138293335910</v>
      </c>
      <c r="D2094" t="s">
        <v>1962</v>
      </c>
      <c r="E2094">
        <v>54225423113</v>
      </c>
      <c r="F2094">
        <v>627139</v>
      </c>
      <c r="G2094">
        <v>49596249166</v>
      </c>
      <c r="H2094" t="s">
        <v>35</v>
      </c>
      <c r="I2094" s="36">
        <v>4854.6000000000004</v>
      </c>
      <c r="J2094" s="36">
        <v>4854.6000000000004</v>
      </c>
      <c r="K2094" s="85">
        <v>0</v>
      </c>
      <c r="L2094" s="36">
        <v>404.55</v>
      </c>
      <c r="M2094" s="36">
        <v>0</v>
      </c>
      <c r="N2094" s="36">
        <v>45.78</v>
      </c>
      <c r="O2094" s="36">
        <v>358.77</v>
      </c>
      <c r="P2094" t="s">
        <v>165</v>
      </c>
      <c r="Q2094" t="s">
        <v>166</v>
      </c>
      <c r="R2094" t="s">
        <v>166</v>
      </c>
      <c r="S2094" s="1">
        <v>46087</v>
      </c>
      <c r="T2094" s="1">
        <v>46087</v>
      </c>
      <c r="U2094" s="1">
        <v>46087</v>
      </c>
      <c r="V2094" s="1">
        <v>46452</v>
      </c>
      <c r="W2094" t="s">
        <v>38</v>
      </c>
      <c r="X2094">
        <v>12</v>
      </c>
      <c r="Y2094" t="s">
        <v>49</v>
      </c>
      <c r="Z2094" t="s">
        <v>81</v>
      </c>
      <c r="AA2094" t="s">
        <v>122</v>
      </c>
      <c r="AB2094">
        <v>7</v>
      </c>
      <c r="AC2094" t="s">
        <v>166</v>
      </c>
      <c r="AD2094" t="s">
        <v>85</v>
      </c>
      <c r="AE2094" t="s">
        <v>46</v>
      </c>
      <c r="AF2094" t="s">
        <v>44</v>
      </c>
      <c r="AG2094" t="str">
        <f t="shared" si="35"/>
        <v>Recorrente</v>
      </c>
      <c r="AH2094" t="str">
        <f>IF(AND(SUMIF(E:E,E2094,I:I)&gt;=400000,Q2094="B2G"),"n","")</f>
        <v/>
      </c>
    </row>
    <row r="2095" spans="1:34">
      <c r="A2095">
        <v>2026</v>
      </c>
      <c r="B2095">
        <v>3</v>
      </c>
      <c r="C2095" s="83">
        <v>138326316937</v>
      </c>
      <c r="D2095" t="s">
        <v>1963</v>
      </c>
      <c r="E2095">
        <v>54696247108</v>
      </c>
      <c r="F2095">
        <v>627338</v>
      </c>
      <c r="G2095">
        <v>50016354736</v>
      </c>
      <c r="H2095" t="s">
        <v>35</v>
      </c>
      <c r="I2095" s="36">
        <v>2874</v>
      </c>
      <c r="J2095" s="36">
        <v>2874</v>
      </c>
      <c r="K2095" s="85">
        <v>0</v>
      </c>
      <c r="L2095" s="36">
        <v>239.5</v>
      </c>
      <c r="M2095" s="36">
        <v>0</v>
      </c>
      <c r="N2095" s="36">
        <v>24.4</v>
      </c>
      <c r="O2095" s="36">
        <v>215.1</v>
      </c>
      <c r="P2095" t="s">
        <v>165</v>
      </c>
      <c r="Q2095" t="s">
        <v>166</v>
      </c>
      <c r="R2095" t="s">
        <v>166</v>
      </c>
      <c r="S2095" s="1">
        <v>46094</v>
      </c>
      <c r="T2095" s="1">
        <v>46094</v>
      </c>
      <c r="U2095" s="1">
        <v>46094</v>
      </c>
      <c r="V2095" s="1">
        <v>46459</v>
      </c>
      <c r="W2095" t="s">
        <v>38</v>
      </c>
      <c r="X2095">
        <v>12</v>
      </c>
      <c r="Y2095" t="s">
        <v>49</v>
      </c>
      <c r="Z2095" t="s">
        <v>81</v>
      </c>
      <c r="AA2095" t="s">
        <v>122</v>
      </c>
      <c r="AB2095">
        <v>12</v>
      </c>
      <c r="AC2095" t="s">
        <v>166</v>
      </c>
      <c r="AD2095" t="s">
        <v>118</v>
      </c>
      <c r="AE2095" t="s">
        <v>43</v>
      </c>
      <c r="AF2095" t="s">
        <v>119</v>
      </c>
      <c r="AG2095" t="str">
        <f t="shared" si="35"/>
        <v>Recorrente</v>
      </c>
      <c r="AH2095" t="str">
        <f>IF(AND(SUMIF(E:E,E2095,I:I)&gt;=400000,Q2095="B2G"),"n","")</f>
        <v/>
      </c>
    </row>
    <row r="2096" spans="1:34">
      <c r="A2096">
        <v>2026</v>
      </c>
      <c r="B2096">
        <v>3</v>
      </c>
      <c r="C2096" s="83">
        <v>138840153344</v>
      </c>
      <c r="D2096" t="s">
        <v>1964</v>
      </c>
      <c r="E2096">
        <v>58226758825</v>
      </c>
      <c r="F2096">
        <v>636696</v>
      </c>
      <c r="G2096">
        <v>53530530182</v>
      </c>
      <c r="H2096" t="s">
        <v>35</v>
      </c>
      <c r="I2096" s="36">
        <v>2011.8</v>
      </c>
      <c r="J2096" s="36">
        <v>2011.8</v>
      </c>
      <c r="K2096" s="85">
        <v>2.2737400000000001E-13</v>
      </c>
      <c r="L2096" s="36">
        <v>167.65</v>
      </c>
      <c r="M2096" s="36">
        <v>0</v>
      </c>
      <c r="N2096" s="36">
        <v>167.65</v>
      </c>
      <c r="O2096" s="36">
        <v>0</v>
      </c>
      <c r="P2096" t="s">
        <v>323</v>
      </c>
      <c r="Q2096" t="s">
        <v>191</v>
      </c>
      <c r="R2096" t="s">
        <v>191</v>
      </c>
      <c r="S2096" s="1">
        <v>46106</v>
      </c>
      <c r="T2096" s="1">
        <v>46106</v>
      </c>
      <c r="U2096" s="1">
        <v>46804</v>
      </c>
      <c r="V2096" s="1">
        <v>46471</v>
      </c>
      <c r="W2096" t="s">
        <v>38</v>
      </c>
      <c r="X2096">
        <v>12</v>
      </c>
      <c r="Y2096" t="s">
        <v>49</v>
      </c>
      <c r="AA2096" t="s">
        <v>122</v>
      </c>
      <c r="AB2096">
        <v>12</v>
      </c>
      <c r="AC2096" t="s">
        <v>192</v>
      </c>
      <c r="AD2096" t="s">
        <v>118</v>
      </c>
      <c r="AE2096" t="s">
        <v>43</v>
      </c>
      <c r="AF2096" t="s">
        <v>119</v>
      </c>
      <c r="AG2096" t="str">
        <f t="shared" si="35"/>
        <v>Recorrente</v>
      </c>
      <c r="AH2096" t="str">
        <f>IF(AND(SUMIF(E:E,E2096,I:I)&gt;=400000,Q2096="B2G"),"n","")</f>
        <v/>
      </c>
    </row>
    <row r="2097" spans="1:34">
      <c r="A2097">
        <v>2026</v>
      </c>
      <c r="B2097">
        <v>3</v>
      </c>
      <c r="C2097" s="83">
        <v>139301069967</v>
      </c>
      <c r="D2097" t="s">
        <v>1965</v>
      </c>
      <c r="E2097">
        <v>58364568407</v>
      </c>
      <c r="F2097">
        <v>631140</v>
      </c>
      <c r="G2097">
        <v>53747119443</v>
      </c>
      <c r="H2097" t="s">
        <v>35</v>
      </c>
      <c r="I2097" s="36">
        <v>762.6</v>
      </c>
      <c r="J2097" s="36">
        <v>2443.44</v>
      </c>
      <c r="K2097" s="85">
        <v>0</v>
      </c>
      <c r="L2097" s="36">
        <v>203.62</v>
      </c>
      <c r="M2097" s="36">
        <v>0</v>
      </c>
      <c r="N2097" s="36">
        <v>203.62</v>
      </c>
      <c r="O2097" s="36">
        <v>0</v>
      </c>
      <c r="P2097" t="s">
        <v>469</v>
      </c>
      <c r="Q2097" t="s">
        <v>191</v>
      </c>
      <c r="R2097" t="s">
        <v>191</v>
      </c>
      <c r="S2097" s="1">
        <v>46111</v>
      </c>
      <c r="T2097" s="1">
        <v>46111</v>
      </c>
      <c r="U2097" s="1">
        <v>46225</v>
      </c>
      <c r="V2097" s="1">
        <v>46225</v>
      </c>
      <c r="W2097" t="s">
        <v>38</v>
      </c>
      <c r="X2097">
        <v>4</v>
      </c>
      <c r="Y2097" t="s">
        <v>49</v>
      </c>
      <c r="Z2097" t="s">
        <v>324</v>
      </c>
      <c r="AA2097" t="s">
        <v>112</v>
      </c>
      <c r="AB2097">
        <v>4</v>
      </c>
      <c r="AC2097" t="s">
        <v>192</v>
      </c>
      <c r="AD2097" t="s">
        <v>140</v>
      </c>
      <c r="AE2097" t="s">
        <v>46</v>
      </c>
      <c r="AF2097" t="s">
        <v>119</v>
      </c>
      <c r="AG2097" t="str">
        <f t="shared" si="35"/>
        <v>CC 12x</v>
      </c>
      <c r="AH2097" t="str">
        <f>IF(AND(SUMIF(E:E,E2097,I:I)&gt;=400000,Q2097="B2G"),"n","")</f>
        <v/>
      </c>
    </row>
    <row r="2098" spans="1:34">
      <c r="A2098">
        <v>2026</v>
      </c>
      <c r="B2098">
        <v>3</v>
      </c>
      <c r="C2098" s="83">
        <v>140218750820</v>
      </c>
      <c r="D2098" t="s">
        <v>1017</v>
      </c>
      <c r="E2098">
        <v>58367275015</v>
      </c>
      <c r="F2098">
        <v>531733</v>
      </c>
      <c r="G2098">
        <v>53747945265</v>
      </c>
      <c r="H2098" t="s">
        <v>35</v>
      </c>
      <c r="I2098" s="36">
        <v>1954.32</v>
      </c>
      <c r="J2098" s="36">
        <v>1954.32</v>
      </c>
      <c r="K2098" s="85">
        <v>2.2737400000000001E-13</v>
      </c>
      <c r="L2098" s="36">
        <v>162.86000000000001</v>
      </c>
      <c r="M2098" s="36">
        <v>0</v>
      </c>
      <c r="N2098" s="36">
        <v>0</v>
      </c>
      <c r="O2098" s="36">
        <v>162.86000000000001</v>
      </c>
      <c r="P2098" t="s">
        <v>116</v>
      </c>
      <c r="Q2098" t="s">
        <v>111</v>
      </c>
      <c r="R2098" t="s">
        <v>111</v>
      </c>
      <c r="S2098" s="1">
        <v>46112</v>
      </c>
      <c r="T2098" s="1">
        <v>46112</v>
      </c>
      <c r="U2098" s="1">
        <v>46112</v>
      </c>
      <c r="V2098" s="1">
        <v>46477</v>
      </c>
      <c r="W2098" t="s">
        <v>38</v>
      </c>
      <c r="X2098">
        <v>12</v>
      </c>
      <c r="Y2098" t="s">
        <v>49</v>
      </c>
      <c r="Z2098" t="s">
        <v>81</v>
      </c>
      <c r="AA2098" t="s">
        <v>112</v>
      </c>
      <c r="AB2098">
        <v>1</v>
      </c>
      <c r="AC2098" t="s">
        <v>113</v>
      </c>
      <c r="AD2098" t="s">
        <v>118</v>
      </c>
      <c r="AE2098" t="s">
        <v>43</v>
      </c>
      <c r="AF2098" t="s">
        <v>119</v>
      </c>
      <c r="AG2098" t="str">
        <f t="shared" si="35"/>
        <v>À Vista</v>
      </c>
      <c r="AH2098" t="str">
        <f>IF(AND(SUMIF(E:E,E2098,I:I)&gt;=400000,Q2098="B2G"),"n","")</f>
        <v/>
      </c>
    </row>
    <row r="2099" spans="1:34">
      <c r="A2099">
        <v>2026</v>
      </c>
      <c r="B2099">
        <v>3</v>
      </c>
      <c r="C2099" s="83">
        <v>140243091545</v>
      </c>
      <c r="D2099" t="s">
        <v>1966</v>
      </c>
      <c r="E2099">
        <v>54984444202</v>
      </c>
      <c r="F2099">
        <v>610630</v>
      </c>
      <c r="G2099">
        <v>53206245738</v>
      </c>
      <c r="H2099" t="s">
        <v>35</v>
      </c>
      <c r="I2099" s="36">
        <v>4890.84</v>
      </c>
      <c r="J2099" s="36">
        <v>4890.84</v>
      </c>
      <c r="K2099" s="85">
        <v>0</v>
      </c>
      <c r="L2099" s="36">
        <v>407.57</v>
      </c>
      <c r="M2099" s="36">
        <v>0</v>
      </c>
      <c r="N2099" s="36">
        <v>6.2450000000000001</v>
      </c>
      <c r="O2099" s="36">
        <v>401.33</v>
      </c>
      <c r="P2099" t="s">
        <v>804</v>
      </c>
      <c r="Q2099" t="s">
        <v>191</v>
      </c>
      <c r="R2099" t="s">
        <v>191</v>
      </c>
      <c r="S2099" s="1">
        <v>46093</v>
      </c>
      <c r="T2099" s="1">
        <v>46093</v>
      </c>
      <c r="U2099" s="1">
        <v>46096</v>
      </c>
      <c r="V2099" s="1">
        <v>46461</v>
      </c>
      <c r="W2099" t="s">
        <v>38</v>
      </c>
      <c r="X2099">
        <v>12</v>
      </c>
      <c r="Y2099" t="s">
        <v>49</v>
      </c>
      <c r="Z2099" t="s">
        <v>81</v>
      </c>
      <c r="AA2099" t="s">
        <v>112</v>
      </c>
      <c r="AB2099">
        <v>12</v>
      </c>
      <c r="AC2099" t="s">
        <v>192</v>
      </c>
      <c r="AD2099" t="s">
        <v>85</v>
      </c>
      <c r="AE2099" t="s">
        <v>46</v>
      </c>
      <c r="AF2099" t="s">
        <v>44</v>
      </c>
      <c r="AG2099" t="str">
        <f t="shared" si="35"/>
        <v>CC 12x</v>
      </c>
      <c r="AH2099" t="str">
        <f>IF(AND(SUMIF(E:E,E2099,I:I)&gt;=400000,Q2099="B2G"),"n","")</f>
        <v/>
      </c>
    </row>
    <row r="2100" spans="1:34">
      <c r="A2100">
        <v>2026</v>
      </c>
      <c r="B2100">
        <v>3</v>
      </c>
      <c r="C2100" s="83">
        <v>140772036239</v>
      </c>
      <c r="D2100" t="s">
        <v>1967</v>
      </c>
      <c r="E2100">
        <v>58204476212</v>
      </c>
      <c r="F2100">
        <v>539999</v>
      </c>
      <c r="G2100">
        <v>53407494694</v>
      </c>
      <c r="H2100" t="s">
        <v>35</v>
      </c>
      <c r="I2100" s="36">
        <v>9068.76</v>
      </c>
      <c r="J2100" s="36">
        <v>3842.88</v>
      </c>
      <c r="K2100" s="85">
        <v>5225.88</v>
      </c>
      <c r="L2100" s="36">
        <v>320.24</v>
      </c>
      <c r="M2100" s="36">
        <v>0</v>
      </c>
      <c r="N2100" s="36">
        <v>320.24</v>
      </c>
      <c r="O2100" s="36">
        <v>0</v>
      </c>
      <c r="P2100" t="s">
        <v>367</v>
      </c>
      <c r="Q2100" t="s">
        <v>191</v>
      </c>
      <c r="R2100" t="s">
        <v>191</v>
      </c>
      <c r="S2100" s="1">
        <v>46101</v>
      </c>
      <c r="T2100" s="1">
        <v>46101</v>
      </c>
      <c r="U2100" s="1">
        <v>46963</v>
      </c>
      <c r="V2100" s="1">
        <v>46963</v>
      </c>
      <c r="W2100" t="s">
        <v>102</v>
      </c>
      <c r="X2100">
        <v>28</v>
      </c>
      <c r="Y2100" t="s">
        <v>49</v>
      </c>
      <c r="Z2100" t="s">
        <v>324</v>
      </c>
      <c r="AA2100" t="s">
        <v>122</v>
      </c>
      <c r="AB2100">
        <v>28</v>
      </c>
      <c r="AC2100" t="s">
        <v>192</v>
      </c>
      <c r="AD2100" t="s">
        <v>131</v>
      </c>
      <c r="AE2100" t="s">
        <v>46</v>
      </c>
      <c r="AF2100" t="s">
        <v>96</v>
      </c>
      <c r="AG2100" t="str">
        <f t="shared" si="35"/>
        <v>Recorrente</v>
      </c>
      <c r="AH2100" t="str">
        <f>IF(AND(SUMIF(E:E,E2100,I:I)&gt;=400000,Q2100="B2G"),"n","")</f>
        <v/>
      </c>
    </row>
    <row r="2101" spans="1:34">
      <c r="A2101">
        <v>2026</v>
      </c>
      <c r="B2101">
        <v>3</v>
      </c>
      <c r="C2101" s="83">
        <v>140783010316</v>
      </c>
      <c r="D2101" t="s">
        <v>1968</v>
      </c>
      <c r="E2101">
        <v>57417816761</v>
      </c>
      <c r="F2101">
        <v>325306</v>
      </c>
      <c r="G2101">
        <v>52811318417</v>
      </c>
      <c r="H2101" t="s">
        <v>35</v>
      </c>
      <c r="I2101" s="36">
        <v>6313.92</v>
      </c>
      <c r="J2101" s="36">
        <v>6313.92</v>
      </c>
      <c r="K2101" s="85">
        <v>0</v>
      </c>
      <c r="L2101" s="36">
        <v>526.16</v>
      </c>
      <c r="M2101" s="36">
        <v>0</v>
      </c>
      <c r="N2101" s="36">
        <v>60.592500000000001</v>
      </c>
      <c r="O2101" s="36">
        <v>465.57</v>
      </c>
      <c r="P2101" t="s">
        <v>116</v>
      </c>
      <c r="Q2101" t="s">
        <v>111</v>
      </c>
      <c r="R2101" t="s">
        <v>111</v>
      </c>
      <c r="S2101" s="1">
        <v>46086</v>
      </c>
      <c r="T2101" s="1">
        <v>46086</v>
      </c>
      <c r="U2101" s="1">
        <v>46083</v>
      </c>
      <c r="V2101" s="1">
        <v>46451</v>
      </c>
      <c r="W2101" t="s">
        <v>38</v>
      </c>
      <c r="X2101">
        <v>12</v>
      </c>
      <c r="Y2101" t="s">
        <v>49</v>
      </c>
      <c r="Z2101" t="s">
        <v>81</v>
      </c>
      <c r="AA2101" t="s">
        <v>112</v>
      </c>
      <c r="AB2101">
        <v>12</v>
      </c>
      <c r="AC2101" t="s">
        <v>113</v>
      </c>
      <c r="AD2101" t="s">
        <v>134</v>
      </c>
      <c r="AE2101" t="s">
        <v>135</v>
      </c>
      <c r="AF2101" t="s">
        <v>44</v>
      </c>
      <c r="AG2101" t="str">
        <f t="shared" si="35"/>
        <v>CC 12x</v>
      </c>
      <c r="AH2101" t="str">
        <f>IF(AND(SUMIF(E:E,E2101,I:I)&gt;=400000,Q2101="B2G"),"n","")</f>
        <v/>
      </c>
    </row>
    <row r="2102" spans="1:34">
      <c r="A2102">
        <v>2026</v>
      </c>
      <c r="B2102">
        <v>3</v>
      </c>
      <c r="C2102" s="83">
        <v>140797493901</v>
      </c>
      <c r="D2102" t="s">
        <v>1969</v>
      </c>
      <c r="E2102">
        <v>58439944221</v>
      </c>
      <c r="F2102">
        <v>531064</v>
      </c>
      <c r="G2102">
        <v>53640493582</v>
      </c>
      <c r="H2102" t="s">
        <v>35</v>
      </c>
      <c r="I2102" s="36">
        <v>7015.44</v>
      </c>
      <c r="J2102" s="36">
        <v>7015.44</v>
      </c>
      <c r="K2102" s="85">
        <v>0</v>
      </c>
      <c r="L2102" s="36">
        <v>584.62</v>
      </c>
      <c r="M2102" s="36">
        <v>0</v>
      </c>
      <c r="N2102" s="36">
        <v>119.05500000000001</v>
      </c>
      <c r="O2102" s="36">
        <v>465.57</v>
      </c>
      <c r="P2102" t="s">
        <v>110</v>
      </c>
      <c r="Q2102" t="s">
        <v>111</v>
      </c>
      <c r="R2102" t="s">
        <v>111</v>
      </c>
      <c r="S2102" s="1">
        <v>46108</v>
      </c>
      <c r="T2102" s="1">
        <v>46108</v>
      </c>
      <c r="U2102" s="1">
        <v>46109</v>
      </c>
      <c r="V2102" s="1">
        <v>46474</v>
      </c>
      <c r="W2102" t="s">
        <v>38</v>
      </c>
      <c r="X2102">
        <v>12</v>
      </c>
      <c r="Y2102" t="s">
        <v>49</v>
      </c>
      <c r="Z2102" t="s">
        <v>81</v>
      </c>
      <c r="AA2102" t="s">
        <v>112</v>
      </c>
      <c r="AB2102">
        <v>12</v>
      </c>
      <c r="AC2102" t="s">
        <v>113</v>
      </c>
      <c r="AD2102" t="s">
        <v>134</v>
      </c>
      <c r="AE2102" t="s">
        <v>135</v>
      </c>
      <c r="AF2102" t="s">
        <v>44</v>
      </c>
      <c r="AG2102" t="str">
        <f t="shared" si="35"/>
        <v>CC 12x</v>
      </c>
      <c r="AH2102" t="str">
        <f>IF(AND(SUMIF(E:E,E2102,I:I)&gt;=400000,Q2102="B2G"),"n","")</f>
        <v/>
      </c>
    </row>
    <row r="2103" spans="1:34">
      <c r="A2103">
        <v>2026</v>
      </c>
      <c r="B2103">
        <v>3</v>
      </c>
      <c r="C2103" s="83">
        <v>142120547513</v>
      </c>
      <c r="D2103" t="s">
        <v>1970</v>
      </c>
      <c r="E2103">
        <v>57974679605</v>
      </c>
      <c r="F2103">
        <v>636496</v>
      </c>
      <c r="G2103">
        <v>53189142865</v>
      </c>
      <c r="H2103" t="s">
        <v>104</v>
      </c>
      <c r="I2103" s="36">
        <v>718.8</v>
      </c>
      <c r="J2103" s="36">
        <v>718.8</v>
      </c>
      <c r="K2103" s="85">
        <v>0</v>
      </c>
      <c r="L2103" s="36">
        <v>59.9</v>
      </c>
      <c r="M2103" s="36">
        <v>59.9</v>
      </c>
      <c r="N2103" s="36">
        <v>0</v>
      </c>
      <c r="O2103" s="36">
        <v>0</v>
      </c>
      <c r="P2103" t="s">
        <v>497</v>
      </c>
      <c r="Q2103" t="s">
        <v>498</v>
      </c>
      <c r="R2103" t="s">
        <v>498</v>
      </c>
      <c r="S2103" s="1">
        <v>46094</v>
      </c>
      <c r="T2103" s="1">
        <v>46094</v>
      </c>
      <c r="U2103" s="1"/>
      <c r="V2103" s="1">
        <v>46459</v>
      </c>
      <c r="W2103" t="s">
        <v>38</v>
      </c>
      <c r="X2103">
        <v>12</v>
      </c>
      <c r="Y2103" t="s">
        <v>49</v>
      </c>
      <c r="AA2103" t="s">
        <v>112</v>
      </c>
      <c r="AB2103">
        <v>12</v>
      </c>
      <c r="AC2103" t="s">
        <v>499</v>
      </c>
      <c r="AD2103" t="s">
        <v>105</v>
      </c>
      <c r="AE2103" t="s">
        <v>106</v>
      </c>
      <c r="AF2103" t="s">
        <v>59</v>
      </c>
      <c r="AG2103" t="str">
        <f t="shared" si="35"/>
        <v>CC 12x</v>
      </c>
      <c r="AH2103" t="str">
        <f>IF(AND(SUMIF(E:E,E2103,I:I)&gt;=400000,Q2103="B2G"),"n","")</f>
        <v/>
      </c>
    </row>
    <row r="2104" spans="1:34">
      <c r="A2104">
        <v>2026</v>
      </c>
      <c r="B2104">
        <v>3</v>
      </c>
      <c r="C2104" s="83">
        <v>143915269914</v>
      </c>
      <c r="D2104" t="s">
        <v>1971</v>
      </c>
      <c r="E2104">
        <v>58433273968</v>
      </c>
      <c r="F2104">
        <v>636736</v>
      </c>
      <c r="G2104">
        <v>53664214898</v>
      </c>
      <c r="H2104" t="s">
        <v>35</v>
      </c>
      <c r="I2104" s="36">
        <v>4782.24</v>
      </c>
      <c r="J2104" s="36">
        <v>4782.3</v>
      </c>
      <c r="K2104" s="85">
        <v>0</v>
      </c>
      <c r="L2104" s="36">
        <v>398.52499999999998</v>
      </c>
      <c r="M2104" s="36">
        <v>398.52499999999998</v>
      </c>
      <c r="N2104" s="36">
        <v>0</v>
      </c>
      <c r="O2104" s="36">
        <v>0</v>
      </c>
      <c r="P2104" t="s">
        <v>506</v>
      </c>
      <c r="Q2104" t="s">
        <v>300</v>
      </c>
      <c r="R2104" t="s">
        <v>300</v>
      </c>
      <c r="S2104" s="1">
        <v>46108</v>
      </c>
      <c r="T2104" s="1">
        <v>46108</v>
      </c>
      <c r="U2104" s="1"/>
      <c r="V2104" s="1">
        <v>46473</v>
      </c>
      <c r="W2104" t="s">
        <v>38</v>
      </c>
      <c r="X2104">
        <v>12</v>
      </c>
      <c r="Y2104" t="s">
        <v>49</v>
      </c>
      <c r="AA2104" t="s">
        <v>122</v>
      </c>
      <c r="AB2104">
        <v>12</v>
      </c>
      <c r="AC2104" t="s">
        <v>301</v>
      </c>
      <c r="AD2104" t="s">
        <v>84</v>
      </c>
      <c r="AE2104" t="s">
        <v>43</v>
      </c>
      <c r="AF2104" t="s">
        <v>44</v>
      </c>
      <c r="AG2104" t="str">
        <f t="shared" si="35"/>
        <v>Recorrente</v>
      </c>
      <c r="AH2104" t="str">
        <f>IF(AND(SUMIF(E:E,E2104,I:I)&gt;=400000,Q2104="B2G"),"n","")</f>
        <v/>
      </c>
    </row>
    <row r="2105" spans="1:34">
      <c r="A2105">
        <v>2026</v>
      </c>
      <c r="B2105">
        <v>3</v>
      </c>
      <c r="C2105" s="83">
        <v>143918625539</v>
      </c>
      <c r="D2105" t="s">
        <v>1972</v>
      </c>
      <c r="E2105">
        <v>58349912104</v>
      </c>
      <c r="F2105">
        <v>629936</v>
      </c>
      <c r="G2105">
        <v>53493217706</v>
      </c>
      <c r="H2105" t="s">
        <v>35</v>
      </c>
      <c r="I2105" s="36">
        <v>238.32</v>
      </c>
      <c r="J2105" s="36">
        <v>1318.92</v>
      </c>
      <c r="K2105" s="85">
        <v>0</v>
      </c>
      <c r="L2105" s="36">
        <v>109.91</v>
      </c>
      <c r="M2105" s="36">
        <v>0</v>
      </c>
      <c r="N2105" s="36">
        <v>109.91</v>
      </c>
      <c r="O2105" s="36">
        <v>0</v>
      </c>
      <c r="P2105" t="s">
        <v>804</v>
      </c>
      <c r="Q2105" t="s">
        <v>191</v>
      </c>
      <c r="R2105" t="s">
        <v>191</v>
      </c>
      <c r="S2105" s="1">
        <v>46106</v>
      </c>
      <c r="T2105" s="1">
        <v>46106</v>
      </c>
      <c r="U2105" s="1">
        <v>46172</v>
      </c>
      <c r="V2105" s="1">
        <v>46172</v>
      </c>
      <c r="W2105" t="s">
        <v>38</v>
      </c>
      <c r="X2105">
        <v>2</v>
      </c>
      <c r="Y2105" t="s">
        <v>49</v>
      </c>
      <c r="Z2105" t="s">
        <v>324</v>
      </c>
      <c r="AA2105" t="s">
        <v>112</v>
      </c>
      <c r="AB2105">
        <v>2</v>
      </c>
      <c r="AC2105" t="s">
        <v>192</v>
      </c>
      <c r="AD2105" t="s">
        <v>149</v>
      </c>
      <c r="AE2105" t="s">
        <v>43</v>
      </c>
      <c r="AF2105" t="s">
        <v>96</v>
      </c>
      <c r="AG2105" t="str">
        <f t="shared" si="35"/>
        <v>CC 3x</v>
      </c>
      <c r="AH2105" t="str">
        <f>IF(AND(SUMIF(E:E,E2105,I:I)&gt;=400000,Q2105="B2G"),"n","")</f>
        <v/>
      </c>
    </row>
    <row r="2106" spans="1:34">
      <c r="A2106">
        <v>2026</v>
      </c>
      <c r="B2106">
        <v>3</v>
      </c>
      <c r="C2106" s="83">
        <v>143989128114</v>
      </c>
      <c r="D2106" t="s">
        <v>1973</v>
      </c>
      <c r="E2106">
        <v>55335173148</v>
      </c>
      <c r="F2106">
        <v>507648</v>
      </c>
      <c r="G2106">
        <v>50567665521</v>
      </c>
      <c r="H2106" t="s">
        <v>35</v>
      </c>
      <c r="I2106" s="36">
        <v>4962.6000000000004</v>
      </c>
      <c r="J2106" s="36">
        <v>4962.6000000000004</v>
      </c>
      <c r="K2106" s="85">
        <v>0</v>
      </c>
      <c r="L2106" s="36">
        <v>413.55</v>
      </c>
      <c r="M2106" s="36">
        <v>0</v>
      </c>
      <c r="N2106" s="36">
        <v>48.9</v>
      </c>
      <c r="O2106" s="36">
        <v>364.65</v>
      </c>
      <c r="P2106" t="s">
        <v>165</v>
      </c>
      <c r="Q2106" t="s">
        <v>166</v>
      </c>
      <c r="R2106" t="s">
        <v>166</v>
      </c>
      <c r="S2106" s="1">
        <v>46100</v>
      </c>
      <c r="T2106" s="1">
        <v>46100</v>
      </c>
      <c r="U2106" s="1">
        <v>46100</v>
      </c>
      <c r="V2106" s="1">
        <v>46465</v>
      </c>
      <c r="W2106" t="s">
        <v>38</v>
      </c>
      <c r="X2106">
        <v>12</v>
      </c>
      <c r="Y2106" t="s">
        <v>49</v>
      </c>
      <c r="Z2106" t="s">
        <v>81</v>
      </c>
      <c r="AA2106" t="s">
        <v>122</v>
      </c>
      <c r="AB2106">
        <v>12</v>
      </c>
      <c r="AC2106" t="s">
        <v>166</v>
      </c>
      <c r="AD2106" t="s">
        <v>138</v>
      </c>
      <c r="AE2106" t="s">
        <v>135</v>
      </c>
      <c r="AF2106" t="s">
        <v>119</v>
      </c>
      <c r="AG2106" t="str">
        <f t="shared" si="35"/>
        <v>Recorrente</v>
      </c>
      <c r="AH2106" t="str">
        <f>IF(AND(SUMIF(E:E,E2106,I:I)&gt;=400000,Q2106="B2G"),"n","")</f>
        <v/>
      </c>
    </row>
    <row r="2107" spans="1:34">
      <c r="A2107">
        <v>2026</v>
      </c>
      <c r="B2107">
        <v>3</v>
      </c>
      <c r="C2107" s="83">
        <v>144517827346</v>
      </c>
      <c r="D2107" t="s">
        <v>1974</v>
      </c>
      <c r="E2107">
        <v>54082840111</v>
      </c>
      <c r="F2107">
        <v>271252</v>
      </c>
      <c r="G2107">
        <v>49464655530</v>
      </c>
      <c r="H2107" t="s">
        <v>35</v>
      </c>
      <c r="I2107" s="36">
        <v>7015.44</v>
      </c>
      <c r="J2107" s="36">
        <v>7015.44</v>
      </c>
      <c r="K2107" s="85">
        <v>0</v>
      </c>
      <c r="L2107" s="36">
        <v>584.62</v>
      </c>
      <c r="M2107" s="36">
        <v>0</v>
      </c>
      <c r="N2107" s="36">
        <v>119.125</v>
      </c>
      <c r="O2107" s="36">
        <v>465.5</v>
      </c>
      <c r="P2107" t="s">
        <v>165</v>
      </c>
      <c r="Q2107" t="s">
        <v>166</v>
      </c>
      <c r="R2107" t="s">
        <v>166</v>
      </c>
      <c r="S2107" s="1">
        <v>46085</v>
      </c>
      <c r="T2107" s="1">
        <v>46085</v>
      </c>
      <c r="U2107" s="1">
        <v>46085</v>
      </c>
      <c r="V2107" s="1">
        <v>46450</v>
      </c>
      <c r="W2107" t="s">
        <v>38</v>
      </c>
      <c r="X2107">
        <v>12</v>
      </c>
      <c r="Y2107" t="s">
        <v>49</v>
      </c>
      <c r="Z2107" t="s">
        <v>81</v>
      </c>
      <c r="AA2107" t="s">
        <v>122</v>
      </c>
      <c r="AB2107">
        <v>12</v>
      </c>
      <c r="AC2107" t="s">
        <v>166</v>
      </c>
      <c r="AD2107" t="s">
        <v>134</v>
      </c>
      <c r="AE2107" t="s">
        <v>135</v>
      </c>
      <c r="AF2107" t="s">
        <v>44</v>
      </c>
      <c r="AG2107" t="str">
        <f t="shared" si="35"/>
        <v>Recorrente</v>
      </c>
      <c r="AH2107" t="str">
        <f>IF(AND(SUMIF(E:E,E2107,I:I)&gt;=400000,Q2107="B2G"),"n","")</f>
        <v/>
      </c>
    </row>
    <row r="2108" spans="1:34">
      <c r="A2108">
        <v>2026</v>
      </c>
      <c r="B2108">
        <v>3</v>
      </c>
      <c r="C2108" s="83">
        <v>144852030389</v>
      </c>
      <c r="D2108" t="s">
        <v>1975</v>
      </c>
      <c r="E2108">
        <v>58373859128</v>
      </c>
      <c r="F2108">
        <v>531662</v>
      </c>
      <c r="G2108">
        <v>53666507890</v>
      </c>
      <c r="H2108" t="s">
        <v>35</v>
      </c>
      <c r="I2108" s="36">
        <v>10169.64</v>
      </c>
      <c r="J2108" s="36">
        <v>10169.64</v>
      </c>
      <c r="K2108" s="85">
        <v>0</v>
      </c>
      <c r="L2108" s="36">
        <v>847.47</v>
      </c>
      <c r="M2108" s="36">
        <v>0</v>
      </c>
      <c r="N2108" s="36">
        <v>129.69</v>
      </c>
      <c r="O2108" s="36">
        <v>717.78</v>
      </c>
      <c r="P2108" t="s">
        <v>162</v>
      </c>
      <c r="Q2108" t="s">
        <v>111</v>
      </c>
      <c r="R2108" t="s">
        <v>111</v>
      </c>
      <c r="S2108" s="1">
        <v>46112</v>
      </c>
      <c r="T2108" s="1">
        <v>46112</v>
      </c>
      <c r="U2108" s="1">
        <v>46112</v>
      </c>
      <c r="V2108" s="1">
        <v>46477</v>
      </c>
      <c r="W2108" t="s">
        <v>38</v>
      </c>
      <c r="X2108">
        <v>12</v>
      </c>
      <c r="Y2108" t="s">
        <v>49</v>
      </c>
      <c r="Z2108" t="s">
        <v>81</v>
      </c>
      <c r="AA2108" t="s">
        <v>122</v>
      </c>
      <c r="AB2108">
        <v>12</v>
      </c>
      <c r="AC2108" t="s">
        <v>113</v>
      </c>
      <c r="AD2108" t="s">
        <v>146</v>
      </c>
      <c r="AE2108" t="s">
        <v>135</v>
      </c>
      <c r="AF2108" t="s">
        <v>96</v>
      </c>
      <c r="AG2108" t="str">
        <f t="shared" ref="AG2108:AG2171" si="36">IF(IFERROR(SEARCH("Recorrente",AA2108),0)&gt;0,"Recorrente",IF(AB2108=1,"À Vista",IF(AB2108&lt;=3,"CC 3x",IF(AB2108&lt;=12,"CC 12x",IF(AB2108&gt;12,"Recorrente","")))))</f>
        <v>Recorrente</v>
      </c>
      <c r="AH2108" t="str">
        <f>IF(AND(SUMIF(E:E,E2108,I:I)&gt;=400000,Q2108="B2G"),"n","")</f>
        <v/>
      </c>
    </row>
    <row r="2109" spans="1:34">
      <c r="A2109">
        <v>2026</v>
      </c>
      <c r="B2109">
        <v>3</v>
      </c>
      <c r="C2109" s="83">
        <v>145037370144</v>
      </c>
      <c r="D2109" t="s">
        <v>1037</v>
      </c>
      <c r="E2109">
        <v>56023116359</v>
      </c>
      <c r="F2109">
        <v>533225</v>
      </c>
      <c r="G2109">
        <v>51390510435</v>
      </c>
      <c r="H2109" t="s">
        <v>35</v>
      </c>
      <c r="I2109" s="36">
        <v>5754</v>
      </c>
      <c r="J2109" s="36">
        <v>5754</v>
      </c>
      <c r="K2109" s="85">
        <v>0</v>
      </c>
      <c r="L2109" s="36">
        <v>479.5</v>
      </c>
      <c r="M2109" s="36">
        <v>0</v>
      </c>
      <c r="N2109" s="36">
        <v>94.45</v>
      </c>
      <c r="O2109" s="36">
        <v>385.05</v>
      </c>
      <c r="P2109" t="s">
        <v>165</v>
      </c>
      <c r="Q2109" t="s">
        <v>166</v>
      </c>
      <c r="R2109" t="s">
        <v>166</v>
      </c>
      <c r="S2109" s="1">
        <v>46107</v>
      </c>
      <c r="T2109" s="1">
        <v>46107</v>
      </c>
      <c r="U2109" s="1">
        <v>46109</v>
      </c>
      <c r="V2109" s="1">
        <v>46474</v>
      </c>
      <c r="W2109" t="s">
        <v>38</v>
      </c>
      <c r="X2109">
        <v>12</v>
      </c>
      <c r="Y2109" t="s">
        <v>49</v>
      </c>
      <c r="Z2109" t="s">
        <v>81</v>
      </c>
      <c r="AA2109" t="s">
        <v>112</v>
      </c>
      <c r="AB2109">
        <v>12</v>
      </c>
      <c r="AC2109" t="s">
        <v>166</v>
      </c>
      <c r="AD2109" t="s">
        <v>85</v>
      </c>
      <c r="AE2109" t="s">
        <v>46</v>
      </c>
      <c r="AF2109" t="s">
        <v>44</v>
      </c>
      <c r="AG2109" t="str">
        <f t="shared" si="36"/>
        <v>CC 12x</v>
      </c>
      <c r="AH2109" t="str">
        <f>IF(AND(SUMIF(E:E,E2109,I:I)&gt;=400000,Q2109="B2G"),"n","")</f>
        <v/>
      </c>
    </row>
    <row r="2110" spans="1:34">
      <c r="A2110">
        <v>2026</v>
      </c>
      <c r="B2110">
        <v>3</v>
      </c>
      <c r="C2110" s="83">
        <v>145120383011</v>
      </c>
      <c r="D2110" t="s">
        <v>1976</v>
      </c>
      <c r="E2110">
        <v>55901229135</v>
      </c>
      <c r="F2110">
        <v>612141</v>
      </c>
      <c r="G2110">
        <v>51144338786</v>
      </c>
      <c r="H2110" t="s">
        <v>35</v>
      </c>
      <c r="I2110" s="36">
        <v>2874</v>
      </c>
      <c r="J2110" s="36">
        <v>2874</v>
      </c>
      <c r="K2110" s="85">
        <v>0</v>
      </c>
      <c r="L2110" s="36">
        <v>239.5</v>
      </c>
      <c r="M2110" s="36">
        <v>0</v>
      </c>
      <c r="N2110" s="36">
        <v>36.35</v>
      </c>
      <c r="O2110" s="36">
        <v>203.15</v>
      </c>
      <c r="P2110" t="s">
        <v>165</v>
      </c>
      <c r="Q2110" t="s">
        <v>166</v>
      </c>
      <c r="R2110" t="s">
        <v>166</v>
      </c>
      <c r="S2110" s="1">
        <v>46107</v>
      </c>
      <c r="T2110" s="1">
        <v>46107</v>
      </c>
      <c r="U2110" s="1">
        <v>46108</v>
      </c>
      <c r="V2110" s="1">
        <v>46473</v>
      </c>
      <c r="W2110" t="s">
        <v>38</v>
      </c>
      <c r="X2110">
        <v>12</v>
      </c>
      <c r="Y2110" t="s">
        <v>49</v>
      </c>
      <c r="Z2110" t="s">
        <v>81</v>
      </c>
      <c r="AA2110" t="s">
        <v>122</v>
      </c>
      <c r="AB2110">
        <v>12</v>
      </c>
      <c r="AC2110" t="s">
        <v>166</v>
      </c>
      <c r="AD2110" t="s">
        <v>140</v>
      </c>
      <c r="AE2110" t="s">
        <v>46</v>
      </c>
      <c r="AF2110" t="s">
        <v>119</v>
      </c>
      <c r="AG2110" t="str">
        <f t="shared" si="36"/>
        <v>Recorrente</v>
      </c>
      <c r="AH2110" t="str">
        <f>IF(AND(SUMIF(E:E,E2110,I:I)&gt;=400000,Q2110="B2G"),"n","")</f>
        <v/>
      </c>
    </row>
    <row r="2111" spans="1:34">
      <c r="A2111">
        <v>2026</v>
      </c>
      <c r="B2111">
        <v>3</v>
      </c>
      <c r="C2111" s="83">
        <v>145797739870</v>
      </c>
      <c r="D2111" t="s">
        <v>1977</v>
      </c>
      <c r="E2111">
        <v>58323914550</v>
      </c>
      <c r="F2111">
        <v>628553</v>
      </c>
      <c r="G2111">
        <v>53530652720</v>
      </c>
      <c r="H2111" t="s">
        <v>35</v>
      </c>
      <c r="I2111" s="36">
        <v>25805.88</v>
      </c>
      <c r="J2111" s="36">
        <v>12602.04</v>
      </c>
      <c r="K2111" s="85">
        <v>13203.84</v>
      </c>
      <c r="L2111" s="36">
        <v>1050.17</v>
      </c>
      <c r="M2111" s="36">
        <v>0</v>
      </c>
      <c r="N2111" s="36">
        <v>1050.17</v>
      </c>
      <c r="O2111" s="36">
        <v>0</v>
      </c>
      <c r="P2111" t="s">
        <v>367</v>
      </c>
      <c r="Q2111" t="s">
        <v>191</v>
      </c>
      <c r="R2111" t="s">
        <v>191</v>
      </c>
      <c r="S2111" s="1">
        <v>46106</v>
      </c>
      <c r="T2111" s="1">
        <v>46106</v>
      </c>
      <c r="U2111" s="1">
        <v>46854</v>
      </c>
      <c r="V2111" s="1">
        <v>46854</v>
      </c>
      <c r="W2111" t="s">
        <v>102</v>
      </c>
      <c r="X2111">
        <v>25</v>
      </c>
      <c r="Y2111" t="s">
        <v>49</v>
      </c>
      <c r="Z2111" t="s">
        <v>324</v>
      </c>
      <c r="AA2111" t="s">
        <v>122</v>
      </c>
      <c r="AB2111">
        <v>24</v>
      </c>
      <c r="AC2111" t="s">
        <v>192</v>
      </c>
      <c r="AD2111" t="s">
        <v>146</v>
      </c>
      <c r="AE2111" t="s">
        <v>135</v>
      </c>
      <c r="AF2111" t="s">
        <v>96</v>
      </c>
      <c r="AG2111" t="str">
        <f t="shared" si="36"/>
        <v>Recorrente</v>
      </c>
      <c r="AH2111" t="str">
        <f>IF(AND(SUMIF(E:E,E2111,I:I)&gt;=400000,Q2111="B2G"),"n","")</f>
        <v/>
      </c>
    </row>
    <row r="2112" spans="1:34">
      <c r="A2112">
        <v>2026</v>
      </c>
      <c r="B2112">
        <v>3</v>
      </c>
      <c r="C2112" s="83">
        <v>145833323361</v>
      </c>
      <c r="D2112" t="s">
        <v>1039</v>
      </c>
      <c r="E2112">
        <v>58156810655</v>
      </c>
      <c r="F2112">
        <v>627550</v>
      </c>
      <c r="G2112">
        <v>53492839990</v>
      </c>
      <c r="H2112" t="s">
        <v>35</v>
      </c>
      <c r="I2112" s="36">
        <v>4068</v>
      </c>
      <c r="J2112" s="36">
        <v>4068</v>
      </c>
      <c r="K2112" s="85">
        <v>0</v>
      </c>
      <c r="L2112" s="36">
        <v>339</v>
      </c>
      <c r="M2112" s="36">
        <v>0</v>
      </c>
      <c r="N2112" s="36">
        <v>29.4</v>
      </c>
      <c r="O2112" s="36">
        <v>309.60000000000002</v>
      </c>
      <c r="P2112" t="s">
        <v>127</v>
      </c>
      <c r="Q2112" t="s">
        <v>111</v>
      </c>
      <c r="R2112" t="s">
        <v>111</v>
      </c>
      <c r="S2112" s="1">
        <v>46106</v>
      </c>
      <c r="T2112" s="1">
        <v>46106</v>
      </c>
      <c r="U2112" s="1">
        <v>46100</v>
      </c>
      <c r="V2112" s="1">
        <v>46471</v>
      </c>
      <c r="W2112" t="s">
        <v>38</v>
      </c>
      <c r="X2112">
        <v>12</v>
      </c>
      <c r="Y2112" t="s">
        <v>49</v>
      </c>
      <c r="Z2112" t="s">
        <v>81</v>
      </c>
      <c r="AA2112" t="s">
        <v>122</v>
      </c>
      <c r="AB2112">
        <v>12</v>
      </c>
      <c r="AC2112" t="s">
        <v>113</v>
      </c>
      <c r="AD2112" t="s">
        <v>84</v>
      </c>
      <c r="AE2112" t="s">
        <v>43</v>
      </c>
      <c r="AF2112" t="s">
        <v>44</v>
      </c>
      <c r="AG2112" t="str">
        <f t="shared" si="36"/>
        <v>Recorrente</v>
      </c>
      <c r="AH2112" t="str">
        <f>IF(AND(SUMIF(E:E,E2112,I:I)&gt;=400000,Q2112="B2G"),"n","")</f>
        <v/>
      </c>
    </row>
    <row r="2113" spans="1:34">
      <c r="A2113">
        <v>2026</v>
      </c>
      <c r="B2113">
        <v>3</v>
      </c>
      <c r="C2113" s="83">
        <v>145843803244</v>
      </c>
      <c r="D2113" t="s">
        <v>1978</v>
      </c>
      <c r="E2113">
        <v>55701008295</v>
      </c>
      <c r="F2113">
        <v>612211</v>
      </c>
      <c r="G2113">
        <v>51021447270</v>
      </c>
      <c r="H2113" t="s">
        <v>35</v>
      </c>
      <c r="I2113" s="36">
        <v>2874</v>
      </c>
      <c r="J2113" s="36">
        <v>2874</v>
      </c>
      <c r="K2113" s="85">
        <v>0</v>
      </c>
      <c r="L2113" s="36">
        <v>239.5</v>
      </c>
      <c r="M2113" s="36">
        <v>0</v>
      </c>
      <c r="N2113" s="36">
        <v>36.35</v>
      </c>
      <c r="O2113" s="36">
        <v>203.15</v>
      </c>
      <c r="P2113" t="s">
        <v>165</v>
      </c>
      <c r="Q2113" t="s">
        <v>166</v>
      </c>
      <c r="R2113" t="s">
        <v>166</v>
      </c>
      <c r="S2113" s="1">
        <v>46107</v>
      </c>
      <c r="T2113" s="1">
        <v>46107</v>
      </c>
      <c r="U2113" s="1">
        <v>46107</v>
      </c>
      <c r="V2113" s="1">
        <v>46472</v>
      </c>
      <c r="W2113" t="s">
        <v>38</v>
      </c>
      <c r="X2113">
        <v>12</v>
      </c>
      <c r="Y2113" t="s">
        <v>49</v>
      </c>
      <c r="Z2113" t="s">
        <v>81</v>
      </c>
      <c r="AA2113" t="s">
        <v>122</v>
      </c>
      <c r="AB2113">
        <v>12</v>
      </c>
      <c r="AC2113" t="s">
        <v>166</v>
      </c>
      <c r="AD2113" t="s">
        <v>140</v>
      </c>
      <c r="AE2113" t="s">
        <v>46</v>
      </c>
      <c r="AF2113" t="s">
        <v>119</v>
      </c>
      <c r="AG2113" t="str">
        <f t="shared" si="36"/>
        <v>Recorrente</v>
      </c>
      <c r="AH2113" t="str">
        <f>IF(AND(SUMIF(E:E,E2113,I:I)&gt;=400000,Q2113="B2G"),"n","")</f>
        <v/>
      </c>
    </row>
    <row r="2114" spans="1:34">
      <c r="A2114">
        <v>2026</v>
      </c>
      <c r="B2114">
        <v>3</v>
      </c>
      <c r="C2114" s="83">
        <v>145846421612</v>
      </c>
      <c r="D2114" t="s">
        <v>1979</v>
      </c>
      <c r="E2114">
        <v>56622552337</v>
      </c>
      <c r="F2114">
        <v>512008</v>
      </c>
      <c r="G2114">
        <v>53072792476</v>
      </c>
      <c r="H2114" t="s">
        <v>35</v>
      </c>
      <c r="I2114" s="36">
        <v>4962.6000000000004</v>
      </c>
      <c r="J2114" s="36">
        <v>4962.6000000000004</v>
      </c>
      <c r="K2114" s="85">
        <v>0</v>
      </c>
      <c r="L2114" s="36">
        <v>413.55</v>
      </c>
      <c r="M2114" s="36">
        <v>413.55</v>
      </c>
      <c r="N2114" s="36">
        <v>0</v>
      </c>
      <c r="O2114" s="36">
        <v>0</v>
      </c>
      <c r="P2114" t="s">
        <v>121</v>
      </c>
      <c r="Q2114" t="s">
        <v>111</v>
      </c>
      <c r="R2114" t="s">
        <v>111</v>
      </c>
      <c r="S2114" s="1">
        <v>46091</v>
      </c>
      <c r="T2114" s="1">
        <v>46091</v>
      </c>
      <c r="U2114" s="1">
        <v>46102</v>
      </c>
      <c r="V2114" s="1">
        <v>46467</v>
      </c>
      <c r="W2114" t="s">
        <v>38</v>
      </c>
      <c r="X2114">
        <v>12</v>
      </c>
      <c r="Y2114" t="s">
        <v>49</v>
      </c>
      <c r="Z2114" t="s">
        <v>76</v>
      </c>
      <c r="AA2114" t="s">
        <v>117</v>
      </c>
      <c r="AB2114">
        <v>1</v>
      </c>
      <c r="AC2114" t="s">
        <v>113</v>
      </c>
      <c r="AD2114" t="s">
        <v>138</v>
      </c>
      <c r="AE2114" t="s">
        <v>135</v>
      </c>
      <c r="AF2114" t="s">
        <v>119</v>
      </c>
      <c r="AG2114" t="str">
        <f t="shared" si="36"/>
        <v>À Vista</v>
      </c>
      <c r="AH2114" t="str">
        <f>IF(AND(SUMIF(E:E,E2114,I:I)&gt;=400000,Q2114="B2G"),"n","")</f>
        <v/>
      </c>
    </row>
    <row r="2115" spans="1:34">
      <c r="A2115">
        <v>2026</v>
      </c>
      <c r="B2115">
        <v>3</v>
      </c>
      <c r="C2115" s="83">
        <v>145860553348</v>
      </c>
      <c r="D2115" t="s">
        <v>1980</v>
      </c>
      <c r="E2115">
        <v>56787813006</v>
      </c>
      <c r="F2115">
        <v>628846</v>
      </c>
      <c r="G2115">
        <v>52698252618</v>
      </c>
      <c r="H2115" t="s">
        <v>35</v>
      </c>
      <c r="I2115" s="36">
        <v>7110</v>
      </c>
      <c r="J2115" s="36">
        <v>7110</v>
      </c>
      <c r="K2115" s="85">
        <v>0</v>
      </c>
      <c r="L2115" s="36">
        <v>592.5</v>
      </c>
      <c r="M2115" s="36">
        <v>0</v>
      </c>
      <c r="N2115" s="36">
        <v>30.827950000000001</v>
      </c>
      <c r="O2115" s="36">
        <v>561.66999999999996</v>
      </c>
      <c r="P2115" t="s">
        <v>121</v>
      </c>
      <c r="Q2115" t="s">
        <v>111</v>
      </c>
      <c r="R2115" t="s">
        <v>111</v>
      </c>
      <c r="S2115" s="1">
        <v>46085</v>
      </c>
      <c r="T2115" s="1">
        <v>46085</v>
      </c>
      <c r="U2115" s="1">
        <v>46108</v>
      </c>
      <c r="V2115" s="1">
        <v>46473</v>
      </c>
      <c r="W2115" t="s">
        <v>38</v>
      </c>
      <c r="X2115">
        <v>12</v>
      </c>
      <c r="Y2115" t="s">
        <v>49</v>
      </c>
      <c r="Z2115" t="s">
        <v>81</v>
      </c>
      <c r="AA2115" t="s">
        <v>117</v>
      </c>
      <c r="AB2115">
        <v>1</v>
      </c>
      <c r="AC2115" t="s">
        <v>113</v>
      </c>
      <c r="AD2115" t="s">
        <v>134</v>
      </c>
      <c r="AE2115" t="s">
        <v>135</v>
      </c>
      <c r="AF2115" t="s">
        <v>44</v>
      </c>
      <c r="AG2115" t="str">
        <f t="shared" si="36"/>
        <v>À Vista</v>
      </c>
      <c r="AH2115" t="str">
        <f>IF(AND(SUMIF(E:E,E2115,I:I)&gt;=400000,Q2115="B2G"),"n","")</f>
        <v/>
      </c>
    </row>
    <row r="2116" spans="1:34">
      <c r="A2116">
        <v>2026</v>
      </c>
      <c r="B2116">
        <v>3</v>
      </c>
      <c r="C2116" s="83">
        <v>146134903456</v>
      </c>
      <c r="D2116" t="s">
        <v>1981</v>
      </c>
      <c r="E2116">
        <v>57979677059</v>
      </c>
      <c r="F2116">
        <v>605248</v>
      </c>
      <c r="G2116">
        <v>53241706554</v>
      </c>
      <c r="H2116" t="s">
        <v>35</v>
      </c>
      <c r="I2116" s="36">
        <v>1631.16</v>
      </c>
      <c r="J2116" s="36">
        <v>2158.8000000000002</v>
      </c>
      <c r="K2116" s="85">
        <v>0</v>
      </c>
      <c r="L2116" s="36">
        <v>179.9</v>
      </c>
      <c r="M2116" s="36">
        <v>0</v>
      </c>
      <c r="N2116" s="36">
        <v>179.9</v>
      </c>
      <c r="O2116" s="36">
        <v>0</v>
      </c>
      <c r="P2116" t="s">
        <v>804</v>
      </c>
      <c r="Q2116" t="s">
        <v>191</v>
      </c>
      <c r="R2116" t="s">
        <v>191</v>
      </c>
      <c r="S2116" s="1">
        <v>46098</v>
      </c>
      <c r="T2116" s="1">
        <v>46098</v>
      </c>
      <c r="U2116" s="1">
        <v>46374</v>
      </c>
      <c r="V2116" s="1">
        <v>46374</v>
      </c>
      <c r="W2116" t="s">
        <v>38</v>
      </c>
      <c r="X2116">
        <v>9</v>
      </c>
      <c r="Y2116" t="s">
        <v>49</v>
      </c>
      <c r="Z2116" t="s">
        <v>324</v>
      </c>
      <c r="AA2116" t="s">
        <v>112</v>
      </c>
      <c r="AB2116">
        <v>9</v>
      </c>
      <c r="AC2116" t="s">
        <v>192</v>
      </c>
      <c r="AD2116" t="s">
        <v>84</v>
      </c>
      <c r="AE2116" t="s">
        <v>43</v>
      </c>
      <c r="AF2116" t="s">
        <v>44</v>
      </c>
      <c r="AG2116" t="str">
        <f t="shared" si="36"/>
        <v>CC 12x</v>
      </c>
      <c r="AH2116" t="str">
        <f>IF(AND(SUMIF(E:E,E2116,I:I)&gt;=400000,Q2116="B2G"),"n","")</f>
        <v/>
      </c>
    </row>
    <row r="2117" spans="1:34">
      <c r="A2117">
        <v>2026</v>
      </c>
      <c r="B2117">
        <v>3</v>
      </c>
      <c r="C2117" s="83">
        <v>146833873569</v>
      </c>
      <c r="D2117" t="s">
        <v>1982</v>
      </c>
      <c r="E2117">
        <v>57163421872</v>
      </c>
      <c r="F2117">
        <v>636385</v>
      </c>
      <c r="G2117">
        <v>52859464586</v>
      </c>
      <c r="H2117" t="s">
        <v>35</v>
      </c>
      <c r="I2117" s="36">
        <v>2340</v>
      </c>
      <c r="J2117" s="36">
        <v>2340</v>
      </c>
      <c r="K2117" s="85">
        <v>0</v>
      </c>
      <c r="L2117" s="36">
        <v>195</v>
      </c>
      <c r="M2117" s="36">
        <v>195</v>
      </c>
      <c r="N2117" s="36">
        <v>0</v>
      </c>
      <c r="O2117" s="36">
        <v>0</v>
      </c>
      <c r="P2117" t="s">
        <v>313</v>
      </c>
      <c r="Q2117" t="s">
        <v>314</v>
      </c>
      <c r="R2117" t="s">
        <v>314</v>
      </c>
      <c r="S2117" s="1">
        <v>46087</v>
      </c>
      <c r="T2117" s="1">
        <v>46087</v>
      </c>
      <c r="V2117" s="1">
        <v>46452</v>
      </c>
      <c r="W2117" t="s">
        <v>38</v>
      </c>
      <c r="X2117">
        <v>12</v>
      </c>
      <c r="Y2117" t="s">
        <v>49</v>
      </c>
      <c r="AA2117" t="s">
        <v>122</v>
      </c>
      <c r="AB2117">
        <v>12</v>
      </c>
      <c r="AC2117" t="s">
        <v>315</v>
      </c>
      <c r="AD2117" t="s">
        <v>140</v>
      </c>
      <c r="AE2117" t="s">
        <v>46</v>
      </c>
      <c r="AF2117" t="s">
        <v>119</v>
      </c>
      <c r="AG2117" t="str">
        <f t="shared" si="36"/>
        <v>Recorrente</v>
      </c>
      <c r="AH2117" t="str">
        <f>IF(AND(SUMIF(E:E,E2117,I:I)&gt;=400000,Q2117="B2G"),"n","")</f>
        <v/>
      </c>
    </row>
    <row r="2118" spans="1:34">
      <c r="A2118">
        <v>2026</v>
      </c>
      <c r="B2118">
        <v>3</v>
      </c>
      <c r="C2118" s="83">
        <v>146909744194</v>
      </c>
      <c r="D2118" t="s">
        <v>1983</v>
      </c>
      <c r="E2118">
        <v>58442264705</v>
      </c>
      <c r="F2118">
        <v>636719</v>
      </c>
      <c r="G2118">
        <v>53601898824</v>
      </c>
      <c r="H2118" t="s">
        <v>35</v>
      </c>
      <c r="I2118" s="36">
        <v>31741.200000000001</v>
      </c>
      <c r="J2118" s="36">
        <v>11712.465340000001</v>
      </c>
      <c r="K2118" s="85">
        <v>20028.734659999998</v>
      </c>
      <c r="L2118" s="36">
        <v>976.0387786</v>
      </c>
      <c r="M2118" s="36">
        <v>0</v>
      </c>
      <c r="N2118" s="36">
        <v>804.69294300000001</v>
      </c>
      <c r="O2118" s="36">
        <v>171.34583570000001</v>
      </c>
      <c r="P2118" t="s">
        <v>367</v>
      </c>
      <c r="Q2118" t="s">
        <v>191</v>
      </c>
      <c r="R2118" t="s">
        <v>191</v>
      </c>
      <c r="S2118" s="1">
        <v>46107</v>
      </c>
      <c r="T2118" s="1">
        <v>46107</v>
      </c>
      <c r="V2118" s="1">
        <v>46838</v>
      </c>
      <c r="W2118" t="s">
        <v>56</v>
      </c>
      <c r="Y2118" t="s">
        <v>49</v>
      </c>
      <c r="AA2118" t="s">
        <v>122</v>
      </c>
      <c r="AB2118">
        <v>24</v>
      </c>
      <c r="AC2118" t="s">
        <v>192</v>
      </c>
      <c r="AD2118" t="s">
        <v>336</v>
      </c>
      <c r="AE2118" t="s">
        <v>135</v>
      </c>
      <c r="AF2118" t="s">
        <v>47</v>
      </c>
      <c r="AG2118" t="str">
        <f t="shared" si="36"/>
        <v>Recorrente</v>
      </c>
      <c r="AH2118" t="str">
        <f>IF(AND(SUMIF(E:E,E2118,I:I)&gt;=400000,Q2118="B2G"),"n","")</f>
        <v/>
      </c>
    </row>
    <row r="2119" spans="1:34">
      <c r="A2119">
        <v>2026</v>
      </c>
      <c r="B2119">
        <v>3</v>
      </c>
      <c r="C2119" s="83">
        <v>146909744194</v>
      </c>
      <c r="D2119" t="s">
        <v>1983</v>
      </c>
      <c r="E2119">
        <v>58442264705</v>
      </c>
      <c r="F2119">
        <v>636719</v>
      </c>
      <c r="G2119">
        <v>53601898825</v>
      </c>
      <c r="H2119" t="s">
        <v>35</v>
      </c>
      <c r="I2119" s="36">
        <v>6901.2</v>
      </c>
      <c r="J2119" s="36">
        <v>2546.5346559999998</v>
      </c>
      <c r="K2119" s="85">
        <v>4354.665344</v>
      </c>
      <c r="L2119" s="36">
        <v>212.2112214</v>
      </c>
      <c r="M2119" s="36">
        <v>0</v>
      </c>
      <c r="N2119" s="36">
        <v>174.95705699999999</v>
      </c>
      <c r="O2119" s="36">
        <v>37.254164340000003</v>
      </c>
      <c r="P2119" t="s">
        <v>367</v>
      </c>
      <c r="Q2119" t="s">
        <v>191</v>
      </c>
      <c r="R2119" t="s">
        <v>191</v>
      </c>
      <c r="S2119" s="1">
        <v>46107</v>
      </c>
      <c r="T2119" s="1">
        <v>46107</v>
      </c>
      <c r="V2119" s="1">
        <v>46838</v>
      </c>
      <c r="W2119" t="s">
        <v>56</v>
      </c>
      <c r="Y2119" t="s">
        <v>49</v>
      </c>
      <c r="AA2119" t="s">
        <v>122</v>
      </c>
      <c r="AB2119">
        <v>24</v>
      </c>
      <c r="AC2119" t="s">
        <v>192</v>
      </c>
      <c r="AD2119" t="s">
        <v>142</v>
      </c>
      <c r="AE2119" t="s">
        <v>95</v>
      </c>
      <c r="AF2119" t="s">
        <v>44</v>
      </c>
      <c r="AG2119" t="str">
        <f t="shared" si="36"/>
        <v>Recorrente</v>
      </c>
      <c r="AH2119" t="str">
        <f>IF(AND(SUMIF(E:E,E2119,I:I)&gt;=400000,Q2119="B2G"),"n","")</f>
        <v/>
      </c>
    </row>
    <row r="2120" spans="1:34">
      <c r="A2120">
        <v>2026</v>
      </c>
      <c r="B2120">
        <v>3</v>
      </c>
      <c r="C2120" s="83">
        <v>148184682936</v>
      </c>
      <c r="D2120" t="s">
        <v>1984</v>
      </c>
      <c r="E2120">
        <v>58441865521</v>
      </c>
      <c r="F2120">
        <v>636734</v>
      </c>
      <c r="G2120">
        <v>53710797889</v>
      </c>
      <c r="H2120" t="s">
        <v>35</v>
      </c>
      <c r="I2120" s="36">
        <v>7682.04</v>
      </c>
      <c r="J2120" s="36">
        <v>4397.516165</v>
      </c>
      <c r="K2120" s="85">
        <v>3284.523835</v>
      </c>
      <c r="L2120" s="36">
        <v>366.45968040000002</v>
      </c>
      <c r="M2120" s="36">
        <v>0</v>
      </c>
      <c r="N2120" s="36">
        <v>366.45968040000002</v>
      </c>
      <c r="O2120" s="36">
        <v>0</v>
      </c>
      <c r="P2120" t="s">
        <v>367</v>
      </c>
      <c r="Q2120" t="s">
        <v>191</v>
      </c>
      <c r="R2120" t="s">
        <v>191</v>
      </c>
      <c r="S2120" s="1">
        <v>46108</v>
      </c>
      <c r="T2120" s="1">
        <v>46108</v>
      </c>
      <c r="U2120" s="1"/>
      <c r="V2120" s="1">
        <v>46473</v>
      </c>
      <c r="W2120" t="s">
        <v>38</v>
      </c>
      <c r="Y2120" t="s">
        <v>49</v>
      </c>
      <c r="AA2120" t="s">
        <v>122</v>
      </c>
      <c r="AB2120">
        <v>12</v>
      </c>
      <c r="AC2120" t="s">
        <v>192</v>
      </c>
      <c r="AD2120" t="s">
        <v>131</v>
      </c>
      <c r="AE2120" t="s">
        <v>46</v>
      </c>
      <c r="AF2120" t="s">
        <v>96</v>
      </c>
      <c r="AG2120" t="str">
        <f t="shared" si="36"/>
        <v>Recorrente</v>
      </c>
      <c r="AH2120" t="str">
        <f>IF(AND(SUMIF(E:E,E2120,I:I)&gt;=400000,Q2120="B2G"),"n","")</f>
        <v/>
      </c>
    </row>
    <row r="2121" spans="1:34">
      <c r="A2121">
        <v>2026</v>
      </c>
      <c r="B2121">
        <v>3</v>
      </c>
      <c r="C2121" s="83">
        <v>148184682936</v>
      </c>
      <c r="D2121" t="s">
        <v>1984</v>
      </c>
      <c r="E2121">
        <v>58441865521</v>
      </c>
      <c r="F2121">
        <v>636734</v>
      </c>
      <c r="G2121">
        <v>53710797890</v>
      </c>
      <c r="H2121" t="s">
        <v>35</v>
      </c>
      <c r="I2121" s="36">
        <v>8461.7999999999993</v>
      </c>
      <c r="J2121" s="36">
        <v>4843.9076349999996</v>
      </c>
      <c r="K2121" s="85">
        <v>3617.8923650000002</v>
      </c>
      <c r="L2121" s="36">
        <v>403.65896959999998</v>
      </c>
      <c r="M2121" s="36">
        <v>0</v>
      </c>
      <c r="N2121" s="36">
        <v>403.65896959999998</v>
      </c>
      <c r="O2121" s="36">
        <v>0</v>
      </c>
      <c r="P2121" t="s">
        <v>367</v>
      </c>
      <c r="Q2121" t="s">
        <v>191</v>
      </c>
      <c r="R2121" t="s">
        <v>191</v>
      </c>
      <c r="S2121" s="1">
        <v>46108</v>
      </c>
      <c r="T2121" s="1">
        <v>46108</v>
      </c>
      <c r="U2121" s="1"/>
      <c r="V2121" s="1">
        <v>46473</v>
      </c>
      <c r="W2121" t="s">
        <v>38</v>
      </c>
      <c r="Y2121" t="s">
        <v>49</v>
      </c>
      <c r="AA2121" t="s">
        <v>122</v>
      </c>
      <c r="AB2121">
        <v>12</v>
      </c>
      <c r="AC2121" t="s">
        <v>192</v>
      </c>
      <c r="AD2121" t="s">
        <v>131</v>
      </c>
      <c r="AE2121" t="s">
        <v>46</v>
      </c>
      <c r="AF2121" t="s">
        <v>96</v>
      </c>
      <c r="AG2121" t="str">
        <f t="shared" si="36"/>
        <v>Recorrente</v>
      </c>
      <c r="AH2121" t="str">
        <f>IF(AND(SUMIF(E:E,E2121,I:I)&gt;=400000,Q2121="B2G"),"n","")</f>
        <v/>
      </c>
    </row>
    <row r="2122" spans="1:34">
      <c r="A2122">
        <v>2026</v>
      </c>
      <c r="B2122">
        <v>3</v>
      </c>
      <c r="C2122" s="83">
        <v>148467938846</v>
      </c>
      <c r="D2122" t="s">
        <v>1985</v>
      </c>
      <c r="E2122">
        <v>55942047292</v>
      </c>
      <c r="F2122">
        <v>627197</v>
      </c>
      <c r="G2122">
        <v>51238012006</v>
      </c>
      <c r="H2122" t="s">
        <v>35</v>
      </c>
      <c r="I2122" s="36">
        <v>2874</v>
      </c>
      <c r="J2122" s="36">
        <v>2874</v>
      </c>
      <c r="K2122" s="85">
        <v>0</v>
      </c>
      <c r="L2122" s="36">
        <v>239.5</v>
      </c>
      <c r="M2122" s="36">
        <v>0</v>
      </c>
      <c r="N2122" s="36">
        <v>36.35</v>
      </c>
      <c r="O2122" s="36">
        <v>203.15</v>
      </c>
      <c r="P2122" t="s">
        <v>165</v>
      </c>
      <c r="Q2122" t="s">
        <v>166</v>
      </c>
      <c r="R2122" t="s">
        <v>166</v>
      </c>
      <c r="S2122" s="1">
        <v>46088</v>
      </c>
      <c r="T2122" s="1">
        <v>46088</v>
      </c>
      <c r="U2122" s="1">
        <v>46088</v>
      </c>
      <c r="V2122" s="1">
        <v>46453</v>
      </c>
      <c r="W2122" t="s">
        <v>38</v>
      </c>
      <c r="X2122">
        <v>12</v>
      </c>
      <c r="Y2122" t="s">
        <v>49</v>
      </c>
      <c r="Z2122" t="s">
        <v>81</v>
      </c>
      <c r="AA2122" t="s">
        <v>112</v>
      </c>
      <c r="AB2122">
        <v>12</v>
      </c>
      <c r="AC2122" t="s">
        <v>166</v>
      </c>
      <c r="AD2122" t="s">
        <v>140</v>
      </c>
      <c r="AE2122" t="s">
        <v>46</v>
      </c>
      <c r="AF2122" t="s">
        <v>119</v>
      </c>
      <c r="AG2122" t="str">
        <f t="shared" si="36"/>
        <v>CC 12x</v>
      </c>
      <c r="AH2122" t="str">
        <f>IF(AND(SUMIF(E:E,E2122,I:I)&gt;=400000,Q2122="B2G"),"n","")</f>
        <v/>
      </c>
    </row>
    <row r="2123" spans="1:34">
      <c r="A2123">
        <v>2026</v>
      </c>
      <c r="B2123">
        <v>3</v>
      </c>
      <c r="C2123" s="83">
        <v>148473517998</v>
      </c>
      <c r="D2123" t="s">
        <v>1986</v>
      </c>
      <c r="E2123">
        <v>55661391478</v>
      </c>
      <c r="F2123">
        <v>628000</v>
      </c>
      <c r="G2123">
        <v>53383449772</v>
      </c>
      <c r="H2123" t="s">
        <v>35</v>
      </c>
      <c r="I2123" s="36">
        <v>8673.84</v>
      </c>
      <c r="J2123" s="36">
        <v>4281.4799999999996</v>
      </c>
      <c r="K2123" s="85">
        <v>4392.3599999999997</v>
      </c>
      <c r="L2123" s="36">
        <v>356.79</v>
      </c>
      <c r="M2123" s="36">
        <v>0</v>
      </c>
      <c r="N2123" s="36">
        <v>356.79</v>
      </c>
      <c r="O2123" s="36">
        <v>0</v>
      </c>
      <c r="P2123" t="s">
        <v>323</v>
      </c>
      <c r="Q2123" t="s">
        <v>191</v>
      </c>
      <c r="R2123" t="s">
        <v>191</v>
      </c>
      <c r="S2123" s="1">
        <v>46100</v>
      </c>
      <c r="T2123" s="1">
        <v>46100</v>
      </c>
      <c r="U2123" s="1">
        <v>46840</v>
      </c>
      <c r="V2123" s="1">
        <v>46840</v>
      </c>
      <c r="W2123" t="s">
        <v>102</v>
      </c>
      <c r="X2123">
        <v>24</v>
      </c>
      <c r="Y2123" t="s">
        <v>49</v>
      </c>
      <c r="Z2123" t="s">
        <v>324</v>
      </c>
      <c r="AA2123" t="s">
        <v>122</v>
      </c>
      <c r="AB2123">
        <v>24</v>
      </c>
      <c r="AC2123" t="s">
        <v>192</v>
      </c>
      <c r="AD2123" t="s">
        <v>84</v>
      </c>
      <c r="AE2123" t="s">
        <v>43</v>
      </c>
      <c r="AF2123" t="s">
        <v>44</v>
      </c>
      <c r="AG2123" t="str">
        <f t="shared" si="36"/>
        <v>Recorrente</v>
      </c>
      <c r="AH2123" t="str">
        <f>IF(AND(SUMIF(E:E,E2123,I:I)&gt;=400000,Q2123="B2G"),"n","")</f>
        <v/>
      </c>
    </row>
    <row r="2124" spans="1:34">
      <c r="A2124">
        <v>2026</v>
      </c>
      <c r="B2124">
        <v>3</v>
      </c>
      <c r="C2124" s="83">
        <v>148848858252</v>
      </c>
      <c r="D2124" t="s">
        <v>1987</v>
      </c>
      <c r="E2124">
        <v>58162569621</v>
      </c>
      <c r="F2124">
        <v>323020</v>
      </c>
      <c r="G2124">
        <v>53383494443</v>
      </c>
      <c r="H2124" t="s">
        <v>35</v>
      </c>
      <c r="I2124" s="36">
        <v>577.55999999999995</v>
      </c>
      <c r="J2124" s="36">
        <v>1318.44</v>
      </c>
      <c r="K2124" s="85">
        <v>0</v>
      </c>
      <c r="L2124" s="36">
        <v>109.87</v>
      </c>
      <c r="M2124" s="36">
        <v>0</v>
      </c>
      <c r="N2124" s="36">
        <v>109.87</v>
      </c>
      <c r="O2124" s="36">
        <v>0</v>
      </c>
      <c r="P2124" t="s">
        <v>367</v>
      </c>
      <c r="Q2124" t="s">
        <v>191</v>
      </c>
      <c r="R2124" t="s">
        <v>191</v>
      </c>
      <c r="S2124" s="1">
        <v>46100</v>
      </c>
      <c r="T2124" s="1">
        <v>46100</v>
      </c>
      <c r="U2124" s="1">
        <v>46702</v>
      </c>
      <c r="V2124" s="1">
        <v>46259</v>
      </c>
      <c r="W2124" t="s">
        <v>38</v>
      </c>
      <c r="X2124">
        <v>5</v>
      </c>
      <c r="Y2124" t="s">
        <v>49</v>
      </c>
      <c r="Z2124" t="s">
        <v>324</v>
      </c>
      <c r="AA2124" t="s">
        <v>112</v>
      </c>
      <c r="AB2124">
        <v>5</v>
      </c>
      <c r="AC2124" t="s">
        <v>192</v>
      </c>
      <c r="AD2124" t="s">
        <v>149</v>
      </c>
      <c r="AE2124" t="s">
        <v>43</v>
      </c>
      <c r="AF2124" t="s">
        <v>96</v>
      </c>
      <c r="AG2124" t="str">
        <f t="shared" si="36"/>
        <v>CC 12x</v>
      </c>
      <c r="AH2124" t="str">
        <f>IF(AND(SUMIF(E:E,E2124,I:I)&gt;=400000,Q2124="B2G"),"n","")</f>
        <v/>
      </c>
    </row>
    <row r="2125" spans="1:34">
      <c r="A2125">
        <v>2026</v>
      </c>
      <c r="B2125">
        <v>3</v>
      </c>
      <c r="C2125" s="83">
        <v>149563018394</v>
      </c>
      <c r="D2125" t="s">
        <v>1988</v>
      </c>
      <c r="E2125">
        <v>54975133297</v>
      </c>
      <c r="F2125">
        <v>309741</v>
      </c>
      <c r="G2125">
        <v>50287627427</v>
      </c>
      <c r="H2125" t="s">
        <v>35</v>
      </c>
      <c r="I2125" s="36">
        <v>5845.44</v>
      </c>
      <c r="J2125" s="36">
        <v>5845.44</v>
      </c>
      <c r="K2125" s="85">
        <v>0</v>
      </c>
      <c r="L2125" s="36">
        <v>487.12</v>
      </c>
      <c r="M2125" s="36">
        <v>0</v>
      </c>
      <c r="N2125" s="36">
        <v>106.605</v>
      </c>
      <c r="O2125" s="36">
        <v>380.52</v>
      </c>
      <c r="P2125" t="s">
        <v>165</v>
      </c>
      <c r="Q2125" t="s">
        <v>166</v>
      </c>
      <c r="R2125" t="s">
        <v>166</v>
      </c>
      <c r="S2125" s="1">
        <v>46096</v>
      </c>
      <c r="T2125" s="1">
        <v>46096</v>
      </c>
      <c r="U2125" s="1">
        <v>46096</v>
      </c>
      <c r="V2125" s="1">
        <v>46461</v>
      </c>
      <c r="W2125" t="s">
        <v>38</v>
      </c>
      <c r="X2125">
        <v>12</v>
      </c>
      <c r="Y2125" t="s">
        <v>49</v>
      </c>
      <c r="Z2125" t="s">
        <v>81</v>
      </c>
      <c r="AA2125" t="s">
        <v>122</v>
      </c>
      <c r="AB2125">
        <v>12</v>
      </c>
      <c r="AC2125" t="s">
        <v>166</v>
      </c>
      <c r="AD2125" t="s">
        <v>125</v>
      </c>
      <c r="AE2125" t="s">
        <v>43</v>
      </c>
      <c r="AF2125" t="s">
        <v>47</v>
      </c>
      <c r="AG2125" t="str">
        <f t="shared" si="36"/>
        <v>Recorrente</v>
      </c>
      <c r="AH2125" t="str">
        <f>IF(AND(SUMIF(E:E,E2125,I:I)&gt;=400000,Q2125="B2G"),"n","")</f>
        <v/>
      </c>
    </row>
    <row r="2126" spans="1:34">
      <c r="A2126">
        <v>2026</v>
      </c>
      <c r="B2126">
        <v>3</v>
      </c>
      <c r="C2126" s="83">
        <v>150284010889</v>
      </c>
      <c r="D2126" t="s">
        <v>1989</v>
      </c>
      <c r="E2126">
        <v>56259318382</v>
      </c>
      <c r="F2126">
        <v>505640</v>
      </c>
      <c r="G2126">
        <v>52798797195</v>
      </c>
      <c r="H2126" t="s">
        <v>35</v>
      </c>
      <c r="I2126" s="36">
        <v>4231.4399999999996</v>
      </c>
      <c r="J2126" s="36">
        <v>4231.4399999999996</v>
      </c>
      <c r="K2126" s="85">
        <v>0</v>
      </c>
      <c r="L2126" s="36">
        <v>352.62</v>
      </c>
      <c r="M2126" s="36">
        <v>0</v>
      </c>
      <c r="N2126" s="36">
        <v>67.23</v>
      </c>
      <c r="O2126" s="36">
        <v>285.39</v>
      </c>
      <c r="P2126" t="s">
        <v>127</v>
      </c>
      <c r="Q2126" t="s">
        <v>111</v>
      </c>
      <c r="R2126" t="s">
        <v>111</v>
      </c>
      <c r="S2126" s="1">
        <v>46087</v>
      </c>
      <c r="T2126" s="1">
        <v>46087</v>
      </c>
      <c r="U2126" s="1">
        <v>46066</v>
      </c>
      <c r="V2126" s="1">
        <v>46452</v>
      </c>
      <c r="W2126" t="s">
        <v>38</v>
      </c>
      <c r="X2126">
        <v>13</v>
      </c>
      <c r="Y2126" t="s">
        <v>49</v>
      </c>
      <c r="Z2126" t="s">
        <v>81</v>
      </c>
      <c r="AA2126" t="s">
        <v>122</v>
      </c>
      <c r="AB2126">
        <v>12</v>
      </c>
      <c r="AC2126" t="s">
        <v>113</v>
      </c>
      <c r="AD2126" t="s">
        <v>85</v>
      </c>
      <c r="AE2126" t="s">
        <v>46</v>
      </c>
      <c r="AF2126" t="s">
        <v>44</v>
      </c>
      <c r="AG2126" t="str">
        <f t="shared" si="36"/>
        <v>Recorrente</v>
      </c>
      <c r="AH2126" t="str">
        <f>IF(AND(SUMIF(E:E,E2126,I:I)&gt;=400000,Q2126="B2G"),"n","")</f>
        <v/>
      </c>
    </row>
    <row r="2127" spans="1:34">
      <c r="A2127">
        <v>2026</v>
      </c>
      <c r="B2127">
        <v>3</v>
      </c>
      <c r="C2127" s="83">
        <v>150796811669</v>
      </c>
      <c r="D2127" t="s">
        <v>1990</v>
      </c>
      <c r="E2127">
        <v>58065441037</v>
      </c>
      <c r="F2127">
        <v>636571</v>
      </c>
      <c r="G2127">
        <v>53339422054</v>
      </c>
      <c r="H2127" t="s">
        <v>35</v>
      </c>
      <c r="I2127" s="36">
        <v>4530.6000000000004</v>
      </c>
      <c r="J2127" s="36">
        <v>4530.6000000000004</v>
      </c>
      <c r="K2127" s="85">
        <v>0</v>
      </c>
      <c r="L2127" s="36">
        <v>377.55</v>
      </c>
      <c r="M2127" s="36">
        <v>377.55</v>
      </c>
      <c r="N2127" s="36">
        <v>0</v>
      </c>
      <c r="O2127" s="36">
        <v>0</v>
      </c>
      <c r="P2127" t="s">
        <v>313</v>
      </c>
      <c r="Q2127" t="s">
        <v>314</v>
      </c>
      <c r="R2127" t="s">
        <v>314</v>
      </c>
      <c r="S2127" s="1">
        <v>46099</v>
      </c>
      <c r="T2127" s="1">
        <v>46099</v>
      </c>
      <c r="U2127" s="1"/>
      <c r="V2127" s="1">
        <v>46464</v>
      </c>
      <c r="W2127" t="s">
        <v>38</v>
      </c>
      <c r="X2127">
        <v>12</v>
      </c>
      <c r="Y2127" t="s">
        <v>49</v>
      </c>
      <c r="AA2127" t="s">
        <v>122</v>
      </c>
      <c r="AB2127">
        <v>12</v>
      </c>
      <c r="AC2127" t="s">
        <v>315</v>
      </c>
      <c r="AD2127" t="s">
        <v>84</v>
      </c>
      <c r="AE2127" t="s">
        <v>43</v>
      </c>
      <c r="AF2127" t="s">
        <v>44</v>
      </c>
      <c r="AG2127" t="str">
        <f t="shared" si="36"/>
        <v>Recorrente</v>
      </c>
      <c r="AH2127" t="str">
        <f>IF(AND(SUMIF(E:E,E2127,I:I)&gt;=400000,Q2127="B2G"),"n","")</f>
        <v/>
      </c>
    </row>
    <row r="2128" spans="1:34">
      <c r="A2128">
        <v>2026</v>
      </c>
      <c r="B2128">
        <v>3</v>
      </c>
      <c r="C2128" s="83">
        <v>150912923825</v>
      </c>
      <c r="D2128" t="s">
        <v>1991</v>
      </c>
      <c r="E2128">
        <v>55453615151</v>
      </c>
      <c r="F2128">
        <v>632213</v>
      </c>
      <c r="G2128">
        <v>53383403363</v>
      </c>
      <c r="H2128" t="s">
        <v>35</v>
      </c>
      <c r="I2128" s="36">
        <v>588.48</v>
      </c>
      <c r="J2128" s="36">
        <v>1318.68</v>
      </c>
      <c r="K2128" s="85">
        <v>0</v>
      </c>
      <c r="L2128" s="36">
        <v>109.89</v>
      </c>
      <c r="M2128" s="36">
        <v>0</v>
      </c>
      <c r="N2128" s="36">
        <v>109.89</v>
      </c>
      <c r="O2128" s="36">
        <v>0</v>
      </c>
      <c r="P2128" t="s">
        <v>323</v>
      </c>
      <c r="Q2128" t="s">
        <v>191</v>
      </c>
      <c r="R2128" t="s">
        <v>191</v>
      </c>
      <c r="S2128" s="1">
        <v>46099</v>
      </c>
      <c r="T2128" s="1">
        <v>46099</v>
      </c>
      <c r="U2128" s="1">
        <v>46262</v>
      </c>
      <c r="V2128" s="1">
        <v>46262</v>
      </c>
      <c r="W2128" t="s">
        <v>38</v>
      </c>
      <c r="X2128">
        <v>5</v>
      </c>
      <c r="Y2128" t="s">
        <v>49</v>
      </c>
      <c r="Z2128" t="s">
        <v>324</v>
      </c>
      <c r="AA2128" t="s">
        <v>112</v>
      </c>
      <c r="AB2128">
        <v>5</v>
      </c>
      <c r="AC2128" t="s">
        <v>192</v>
      </c>
      <c r="AD2128" t="s">
        <v>149</v>
      </c>
      <c r="AE2128" t="s">
        <v>43</v>
      </c>
      <c r="AF2128" t="s">
        <v>96</v>
      </c>
      <c r="AG2128" t="str">
        <f t="shared" si="36"/>
        <v>CC 12x</v>
      </c>
      <c r="AH2128" t="str">
        <f>IF(AND(SUMIF(E:E,E2128,I:I)&gt;=400000,Q2128="B2G"),"n","")</f>
        <v/>
      </c>
    </row>
    <row r="2129" spans="1:34">
      <c r="A2129">
        <v>2026</v>
      </c>
      <c r="B2129">
        <v>3</v>
      </c>
      <c r="C2129" s="83">
        <v>151232320625</v>
      </c>
      <c r="D2129" t="s">
        <v>1992</v>
      </c>
      <c r="E2129">
        <v>58562212537</v>
      </c>
      <c r="F2129">
        <v>627007</v>
      </c>
      <c r="G2129">
        <v>53747069859</v>
      </c>
      <c r="H2129" t="s">
        <v>35</v>
      </c>
      <c r="I2129" s="36">
        <v>2586.6</v>
      </c>
      <c r="J2129" s="36">
        <v>2586.6</v>
      </c>
      <c r="K2129" s="85">
        <v>0</v>
      </c>
      <c r="L2129" s="36">
        <v>215.55</v>
      </c>
      <c r="M2129" s="36">
        <v>215.55</v>
      </c>
      <c r="N2129" s="36">
        <v>0</v>
      </c>
      <c r="O2129" s="36">
        <v>0</v>
      </c>
      <c r="P2129" t="s">
        <v>162</v>
      </c>
      <c r="Q2129" t="s">
        <v>111</v>
      </c>
      <c r="R2129" t="s">
        <v>111</v>
      </c>
      <c r="S2129" s="1">
        <v>46111</v>
      </c>
      <c r="T2129" s="1">
        <v>46111</v>
      </c>
      <c r="U2129" s="1">
        <v>46080</v>
      </c>
      <c r="V2129" s="1">
        <v>46477</v>
      </c>
      <c r="W2129" t="s">
        <v>38</v>
      </c>
      <c r="X2129">
        <v>13</v>
      </c>
      <c r="Y2129" t="s">
        <v>49</v>
      </c>
      <c r="Z2129" t="s">
        <v>81</v>
      </c>
      <c r="AA2129" t="s">
        <v>112</v>
      </c>
      <c r="AB2129">
        <v>1</v>
      </c>
      <c r="AC2129" t="s">
        <v>113</v>
      </c>
      <c r="AD2129" t="s">
        <v>140</v>
      </c>
      <c r="AE2129" t="s">
        <v>46</v>
      </c>
      <c r="AF2129" t="s">
        <v>119</v>
      </c>
      <c r="AG2129" t="str">
        <f t="shared" si="36"/>
        <v>À Vista</v>
      </c>
      <c r="AH2129" t="str">
        <f>IF(AND(SUMIF(E:E,E2129,I:I)&gt;=400000,Q2129="B2G"),"n","")</f>
        <v/>
      </c>
    </row>
    <row r="2130" spans="1:34">
      <c r="A2130">
        <v>2026</v>
      </c>
      <c r="B2130">
        <v>3</v>
      </c>
      <c r="C2130" s="83">
        <v>151258578274</v>
      </c>
      <c r="D2130" t="s">
        <v>1993</v>
      </c>
      <c r="E2130">
        <v>57657581720</v>
      </c>
      <c r="F2130">
        <v>636430</v>
      </c>
      <c r="G2130">
        <v>52873425520</v>
      </c>
      <c r="H2130" t="s">
        <v>35</v>
      </c>
      <c r="I2130" s="36">
        <v>2299.1999999999998</v>
      </c>
      <c r="J2130" s="36">
        <v>2299.1999999999998</v>
      </c>
      <c r="K2130" s="85">
        <v>0</v>
      </c>
      <c r="L2130" s="36">
        <v>191.6</v>
      </c>
      <c r="M2130" s="36">
        <v>191.6</v>
      </c>
      <c r="N2130" s="36">
        <v>0</v>
      </c>
      <c r="O2130" s="36">
        <v>0</v>
      </c>
      <c r="P2130" t="s">
        <v>511</v>
      </c>
      <c r="Q2130" t="s">
        <v>300</v>
      </c>
      <c r="R2130" t="s">
        <v>300</v>
      </c>
      <c r="S2130" s="1">
        <v>46091</v>
      </c>
      <c r="T2130" s="1">
        <v>46091</v>
      </c>
      <c r="U2130" s="1"/>
      <c r="V2130" s="1">
        <v>46456</v>
      </c>
      <c r="W2130" t="s">
        <v>38</v>
      </c>
      <c r="X2130">
        <v>12</v>
      </c>
      <c r="Y2130" t="s">
        <v>49</v>
      </c>
      <c r="AA2130" t="s">
        <v>112</v>
      </c>
      <c r="AB2130">
        <v>12</v>
      </c>
      <c r="AC2130" t="s">
        <v>301</v>
      </c>
      <c r="AD2130" t="s">
        <v>140</v>
      </c>
      <c r="AE2130" t="s">
        <v>46</v>
      </c>
      <c r="AF2130" t="s">
        <v>119</v>
      </c>
      <c r="AG2130" t="str">
        <f t="shared" si="36"/>
        <v>CC 12x</v>
      </c>
      <c r="AH2130" t="str">
        <f>IF(AND(SUMIF(E:E,E2130,I:I)&gt;=400000,Q2130="B2G"),"n","")</f>
        <v/>
      </c>
    </row>
    <row r="2131" spans="1:34">
      <c r="A2131">
        <v>2026</v>
      </c>
      <c r="B2131">
        <v>3</v>
      </c>
      <c r="C2131" s="83">
        <v>151464336749</v>
      </c>
      <c r="D2131" t="s">
        <v>1994</v>
      </c>
      <c r="E2131">
        <v>57561367469</v>
      </c>
      <c r="F2131">
        <v>636503</v>
      </c>
      <c r="G2131">
        <v>52873366316</v>
      </c>
      <c r="H2131" t="s">
        <v>35</v>
      </c>
      <c r="I2131" s="36">
        <v>4943.28</v>
      </c>
      <c r="J2131" s="36">
        <v>2471.64</v>
      </c>
      <c r="K2131" s="85">
        <v>2471.64</v>
      </c>
      <c r="L2131" s="36">
        <v>205.97</v>
      </c>
      <c r="M2131" s="36">
        <v>205.97</v>
      </c>
      <c r="N2131" s="36">
        <v>0</v>
      </c>
      <c r="O2131" s="36">
        <v>0</v>
      </c>
      <c r="P2131" t="s">
        <v>511</v>
      </c>
      <c r="Q2131" t="s">
        <v>300</v>
      </c>
      <c r="R2131" t="s">
        <v>300</v>
      </c>
      <c r="S2131" s="1">
        <v>46094</v>
      </c>
      <c r="T2131" s="1">
        <v>46094</v>
      </c>
      <c r="U2131" s="1"/>
      <c r="V2131" s="1">
        <v>46825</v>
      </c>
      <c r="W2131" t="s">
        <v>56</v>
      </c>
      <c r="X2131">
        <v>24</v>
      </c>
      <c r="Y2131" t="s">
        <v>49</v>
      </c>
      <c r="AA2131" t="s">
        <v>117</v>
      </c>
      <c r="AB2131">
        <v>1</v>
      </c>
      <c r="AC2131" t="s">
        <v>301</v>
      </c>
      <c r="AD2131" t="s">
        <v>140</v>
      </c>
      <c r="AE2131" t="s">
        <v>46</v>
      </c>
      <c r="AF2131" t="s">
        <v>119</v>
      </c>
      <c r="AG2131" t="str">
        <f t="shared" si="36"/>
        <v>À Vista</v>
      </c>
      <c r="AH2131" t="str">
        <f>IF(AND(SUMIF(E:E,E2131,I:I)&gt;=400000,Q2131="B2G"),"n","")</f>
        <v/>
      </c>
    </row>
    <row r="2132" spans="1:34">
      <c r="A2132">
        <v>2026</v>
      </c>
      <c r="B2132">
        <v>3</v>
      </c>
      <c r="C2132" s="83">
        <v>151669266577</v>
      </c>
      <c r="D2132" t="s">
        <v>1995</v>
      </c>
      <c r="E2132">
        <v>55831136005</v>
      </c>
      <c r="F2132">
        <v>612314</v>
      </c>
      <c r="G2132">
        <v>51165275823</v>
      </c>
      <c r="H2132" t="s">
        <v>35</v>
      </c>
      <c r="I2132" s="36">
        <v>2874</v>
      </c>
      <c r="J2132" s="36">
        <v>2874</v>
      </c>
      <c r="K2132" s="85">
        <v>0</v>
      </c>
      <c r="L2132" s="36">
        <v>239.5</v>
      </c>
      <c r="M2132" s="36">
        <v>0</v>
      </c>
      <c r="N2132" s="36">
        <v>36.35</v>
      </c>
      <c r="O2132" s="36">
        <v>203.15</v>
      </c>
      <c r="P2132" t="s">
        <v>165</v>
      </c>
      <c r="Q2132" t="s">
        <v>166</v>
      </c>
      <c r="R2132" t="s">
        <v>166</v>
      </c>
      <c r="S2132" s="1">
        <v>46107</v>
      </c>
      <c r="T2132" s="1">
        <v>46107</v>
      </c>
      <c r="U2132" s="1">
        <v>46108</v>
      </c>
      <c r="V2132" s="1">
        <v>46473</v>
      </c>
      <c r="W2132" t="s">
        <v>38</v>
      </c>
      <c r="X2132">
        <v>12</v>
      </c>
      <c r="Y2132" t="s">
        <v>49</v>
      </c>
      <c r="Z2132" t="s">
        <v>81</v>
      </c>
      <c r="AA2132" t="s">
        <v>112</v>
      </c>
      <c r="AB2132">
        <v>12</v>
      </c>
      <c r="AC2132" t="s">
        <v>166</v>
      </c>
      <c r="AD2132" t="s">
        <v>140</v>
      </c>
      <c r="AE2132" t="s">
        <v>46</v>
      </c>
      <c r="AF2132" t="s">
        <v>119</v>
      </c>
      <c r="AG2132" t="str">
        <f t="shared" si="36"/>
        <v>CC 12x</v>
      </c>
      <c r="AH2132" t="str">
        <f>IF(AND(SUMIF(E:E,E2132,I:I)&gt;=400000,Q2132="B2G"),"n","")</f>
        <v/>
      </c>
    </row>
    <row r="2133" spans="1:34">
      <c r="A2133">
        <v>2026</v>
      </c>
      <c r="B2133">
        <v>3</v>
      </c>
      <c r="C2133" s="83">
        <v>152457437265</v>
      </c>
      <c r="D2133" t="s">
        <v>1996</v>
      </c>
      <c r="E2133">
        <v>57101168904</v>
      </c>
      <c r="F2133">
        <v>611831</v>
      </c>
      <c r="G2133">
        <v>53409274126</v>
      </c>
      <c r="H2133" t="s">
        <v>35</v>
      </c>
      <c r="I2133" s="36">
        <v>6715.8</v>
      </c>
      <c r="J2133" s="36">
        <v>6715.8</v>
      </c>
      <c r="K2133" s="85">
        <v>9.0949500000000005E-13</v>
      </c>
      <c r="L2133" s="36">
        <v>559.65</v>
      </c>
      <c r="M2133" s="36">
        <v>0</v>
      </c>
      <c r="N2133" s="36">
        <v>144.65</v>
      </c>
      <c r="O2133" s="36">
        <v>415</v>
      </c>
      <c r="P2133" t="s">
        <v>133</v>
      </c>
      <c r="Q2133" t="s">
        <v>111</v>
      </c>
      <c r="R2133" t="s">
        <v>111</v>
      </c>
      <c r="S2133" s="1">
        <v>46105</v>
      </c>
      <c r="T2133" s="1">
        <v>46105</v>
      </c>
      <c r="U2133" s="1">
        <v>46101</v>
      </c>
      <c r="V2133" s="1">
        <v>46470</v>
      </c>
      <c r="W2133" t="s">
        <v>38</v>
      </c>
      <c r="X2133">
        <v>12</v>
      </c>
      <c r="Y2133" t="s">
        <v>49</v>
      </c>
      <c r="Z2133" t="s">
        <v>81</v>
      </c>
      <c r="AA2133" t="s">
        <v>122</v>
      </c>
      <c r="AB2133">
        <v>12</v>
      </c>
      <c r="AC2133" t="s">
        <v>113</v>
      </c>
      <c r="AD2133" t="s">
        <v>131</v>
      </c>
      <c r="AE2133" t="s">
        <v>46</v>
      </c>
      <c r="AF2133" t="s">
        <v>96</v>
      </c>
      <c r="AG2133" t="str">
        <f t="shared" si="36"/>
        <v>Recorrente</v>
      </c>
      <c r="AH2133" t="str">
        <f>IF(AND(SUMIF(E:E,E2133,I:I)&gt;=400000,Q2133="B2G"),"n","")</f>
        <v/>
      </c>
    </row>
    <row r="2134" spans="1:34">
      <c r="A2134">
        <v>2026</v>
      </c>
      <c r="B2134">
        <v>3</v>
      </c>
      <c r="C2134" s="83">
        <v>152600012451</v>
      </c>
      <c r="D2134" t="s">
        <v>1997</v>
      </c>
      <c r="E2134">
        <v>55883440652</v>
      </c>
      <c r="F2134">
        <v>530247</v>
      </c>
      <c r="G2134">
        <v>52952227891</v>
      </c>
      <c r="H2134" t="s">
        <v>35</v>
      </c>
      <c r="I2134" s="36">
        <v>2874</v>
      </c>
      <c r="J2134" s="36">
        <v>2874</v>
      </c>
      <c r="K2134" s="85">
        <v>0</v>
      </c>
      <c r="L2134" s="36">
        <v>239.5</v>
      </c>
      <c r="M2134" s="36">
        <v>0</v>
      </c>
      <c r="N2134" s="36">
        <v>0</v>
      </c>
      <c r="O2134" s="36">
        <v>239.5</v>
      </c>
      <c r="P2134" t="s">
        <v>137</v>
      </c>
      <c r="Q2134" t="s">
        <v>111</v>
      </c>
      <c r="R2134" t="s">
        <v>111</v>
      </c>
      <c r="S2134" s="1">
        <v>46106</v>
      </c>
      <c r="T2134" s="1">
        <v>46106</v>
      </c>
      <c r="U2134" s="1">
        <v>46108</v>
      </c>
      <c r="V2134" s="1">
        <v>46473</v>
      </c>
      <c r="W2134" t="s">
        <v>38</v>
      </c>
      <c r="X2134">
        <v>12</v>
      </c>
      <c r="Y2134" t="s">
        <v>49</v>
      </c>
      <c r="Z2134" t="s">
        <v>76</v>
      </c>
      <c r="AA2134" t="s">
        <v>112</v>
      </c>
      <c r="AB2134">
        <v>12</v>
      </c>
      <c r="AC2134" t="s">
        <v>113</v>
      </c>
      <c r="AD2134" t="s">
        <v>140</v>
      </c>
      <c r="AE2134" t="s">
        <v>46</v>
      </c>
      <c r="AF2134" t="s">
        <v>119</v>
      </c>
      <c r="AG2134" t="str">
        <f t="shared" si="36"/>
        <v>CC 12x</v>
      </c>
      <c r="AH2134" t="str">
        <f>IF(AND(SUMIF(E:E,E2134,I:I)&gt;=400000,Q2134="B2G"),"n","")</f>
        <v/>
      </c>
    </row>
    <row r="2135" spans="1:34">
      <c r="A2135">
        <v>2026</v>
      </c>
      <c r="B2135">
        <v>3</v>
      </c>
      <c r="C2135" s="83">
        <v>152700527413</v>
      </c>
      <c r="D2135" t="s">
        <v>1998</v>
      </c>
      <c r="E2135">
        <v>57746753705</v>
      </c>
      <c r="F2135">
        <v>505691</v>
      </c>
      <c r="G2135">
        <v>53808702333</v>
      </c>
      <c r="H2135" t="s">
        <v>35</v>
      </c>
      <c r="I2135" s="36">
        <v>6313.92</v>
      </c>
      <c r="J2135" s="36">
        <v>6313.92</v>
      </c>
      <c r="K2135" s="85">
        <v>0</v>
      </c>
      <c r="L2135" s="36">
        <v>526.16</v>
      </c>
      <c r="M2135" s="36">
        <v>526.16</v>
      </c>
      <c r="N2135" s="36">
        <v>0</v>
      </c>
      <c r="O2135" s="36">
        <v>0</v>
      </c>
      <c r="P2135" t="s">
        <v>121</v>
      </c>
      <c r="Q2135" t="s">
        <v>111</v>
      </c>
      <c r="R2135" t="s">
        <v>111</v>
      </c>
      <c r="S2135" s="1">
        <v>46112</v>
      </c>
      <c r="T2135" s="1">
        <v>46112</v>
      </c>
      <c r="U2135" s="1">
        <v>46066</v>
      </c>
      <c r="V2135" s="1">
        <v>46477</v>
      </c>
      <c r="W2135" t="s">
        <v>38</v>
      </c>
      <c r="X2135">
        <v>13</v>
      </c>
      <c r="Y2135" t="s">
        <v>49</v>
      </c>
      <c r="Z2135" t="s">
        <v>81</v>
      </c>
      <c r="AA2135" t="s">
        <v>112</v>
      </c>
      <c r="AB2135">
        <v>12</v>
      </c>
      <c r="AC2135" t="s">
        <v>113</v>
      </c>
      <c r="AD2135" t="s">
        <v>134</v>
      </c>
      <c r="AE2135" t="s">
        <v>135</v>
      </c>
      <c r="AF2135" t="s">
        <v>44</v>
      </c>
      <c r="AG2135" t="str">
        <f t="shared" si="36"/>
        <v>CC 12x</v>
      </c>
      <c r="AH2135" t="str">
        <f>IF(AND(SUMIF(E:E,E2135,I:I)&gt;=400000,Q2135="B2G"),"n","")</f>
        <v/>
      </c>
    </row>
    <row r="2136" spans="1:34">
      <c r="A2136">
        <v>2026</v>
      </c>
      <c r="B2136">
        <v>3</v>
      </c>
      <c r="C2136" s="83">
        <v>152777417733</v>
      </c>
      <c r="D2136" t="s">
        <v>1999</v>
      </c>
      <c r="E2136">
        <v>57829614210</v>
      </c>
      <c r="F2136">
        <v>636425</v>
      </c>
      <c r="G2136">
        <v>53072588444</v>
      </c>
      <c r="H2136" t="s">
        <v>35</v>
      </c>
      <c r="I2136" s="36">
        <v>4458</v>
      </c>
      <c r="J2136" s="36">
        <v>4458</v>
      </c>
      <c r="K2136" s="85">
        <v>0</v>
      </c>
      <c r="L2136" s="36">
        <v>371.5</v>
      </c>
      <c r="M2136" s="36">
        <v>371.5</v>
      </c>
      <c r="N2136" s="36">
        <v>0</v>
      </c>
      <c r="O2136" s="36">
        <v>0</v>
      </c>
      <c r="P2136" t="s">
        <v>313</v>
      </c>
      <c r="Q2136" t="s">
        <v>314</v>
      </c>
      <c r="R2136" t="s">
        <v>314</v>
      </c>
      <c r="S2136" s="1">
        <v>46090</v>
      </c>
      <c r="T2136" s="1">
        <v>46090</v>
      </c>
      <c r="V2136" s="1">
        <v>46455</v>
      </c>
      <c r="W2136" t="s">
        <v>38</v>
      </c>
      <c r="X2136">
        <v>12</v>
      </c>
      <c r="Y2136" t="s">
        <v>49</v>
      </c>
      <c r="AA2136" t="s">
        <v>112</v>
      </c>
      <c r="AB2136">
        <v>1</v>
      </c>
      <c r="AC2136" t="s">
        <v>315</v>
      </c>
      <c r="AD2136" t="s">
        <v>85</v>
      </c>
      <c r="AE2136" t="s">
        <v>46</v>
      </c>
      <c r="AF2136" t="s">
        <v>44</v>
      </c>
      <c r="AG2136" t="str">
        <f t="shared" si="36"/>
        <v>À Vista</v>
      </c>
      <c r="AH2136" t="str">
        <f>IF(AND(SUMIF(E:E,E2136,I:I)&gt;=400000,Q2136="B2G"),"n","")</f>
        <v/>
      </c>
    </row>
    <row r="2137" spans="1:34">
      <c r="A2137">
        <v>2026</v>
      </c>
      <c r="B2137">
        <v>3</v>
      </c>
      <c r="C2137" s="83">
        <v>153380537915</v>
      </c>
      <c r="D2137" t="s">
        <v>2000</v>
      </c>
      <c r="E2137">
        <v>58522538294</v>
      </c>
      <c r="F2137">
        <v>633465</v>
      </c>
      <c r="G2137">
        <v>53747564138</v>
      </c>
      <c r="H2137" t="s">
        <v>35</v>
      </c>
      <c r="I2137" s="36">
        <v>563.28</v>
      </c>
      <c r="J2137" s="36">
        <v>1023.6</v>
      </c>
      <c r="K2137" s="85">
        <v>0</v>
      </c>
      <c r="L2137" s="36">
        <v>85.3</v>
      </c>
      <c r="M2137" s="36">
        <v>0</v>
      </c>
      <c r="N2137" s="36">
        <v>85.3</v>
      </c>
      <c r="O2137" s="36">
        <v>0</v>
      </c>
      <c r="P2137" t="s">
        <v>469</v>
      </c>
      <c r="Q2137" t="s">
        <v>191</v>
      </c>
      <c r="R2137" t="s">
        <v>191</v>
      </c>
      <c r="S2137" s="1">
        <v>46111</v>
      </c>
      <c r="T2137" s="1">
        <v>46111</v>
      </c>
      <c r="U2137" s="1">
        <v>46312</v>
      </c>
      <c r="V2137" s="1">
        <v>46312</v>
      </c>
      <c r="W2137" t="s">
        <v>38</v>
      </c>
      <c r="X2137">
        <v>7</v>
      </c>
      <c r="Y2137" t="s">
        <v>49</v>
      </c>
      <c r="Z2137" t="s">
        <v>324</v>
      </c>
      <c r="AA2137" t="s">
        <v>112</v>
      </c>
      <c r="AB2137">
        <v>7</v>
      </c>
      <c r="AC2137" t="s">
        <v>192</v>
      </c>
      <c r="AD2137" t="s">
        <v>163</v>
      </c>
      <c r="AE2137" t="s">
        <v>43</v>
      </c>
      <c r="AF2137" t="s">
        <v>96</v>
      </c>
      <c r="AG2137" t="str">
        <f t="shared" si="36"/>
        <v>CC 12x</v>
      </c>
      <c r="AH2137" t="str">
        <f>IF(AND(SUMIF(E:E,E2137,I:I)&gt;=400000,Q2137="B2G"),"n","")</f>
        <v/>
      </c>
    </row>
    <row r="2138" spans="1:34">
      <c r="A2138">
        <v>2026</v>
      </c>
      <c r="B2138">
        <v>3</v>
      </c>
      <c r="C2138" s="83">
        <v>153740347784</v>
      </c>
      <c r="D2138" t="s">
        <v>2001</v>
      </c>
      <c r="E2138">
        <v>56028654988</v>
      </c>
      <c r="F2138">
        <v>636410</v>
      </c>
      <c r="G2138">
        <v>53034943604</v>
      </c>
      <c r="H2138" t="s">
        <v>35</v>
      </c>
      <c r="I2138" s="36">
        <v>5293.44</v>
      </c>
      <c r="J2138" s="36">
        <v>5293.44</v>
      </c>
      <c r="K2138" s="85">
        <v>0</v>
      </c>
      <c r="L2138" s="36">
        <v>441.12</v>
      </c>
      <c r="M2138" s="36">
        <v>441.12</v>
      </c>
      <c r="N2138" s="36">
        <v>0</v>
      </c>
      <c r="O2138" s="36">
        <v>0</v>
      </c>
      <c r="P2138" t="s">
        <v>511</v>
      </c>
      <c r="Q2138" t="s">
        <v>300</v>
      </c>
      <c r="R2138" t="s">
        <v>300</v>
      </c>
      <c r="S2138" s="1">
        <v>46090</v>
      </c>
      <c r="T2138" s="1">
        <v>46090</v>
      </c>
      <c r="V2138" s="1">
        <v>46455</v>
      </c>
      <c r="W2138" t="s">
        <v>38</v>
      </c>
      <c r="X2138">
        <v>12</v>
      </c>
      <c r="Y2138" t="s">
        <v>49</v>
      </c>
      <c r="AA2138" t="s">
        <v>112</v>
      </c>
      <c r="AB2138">
        <v>12</v>
      </c>
      <c r="AC2138" t="s">
        <v>301</v>
      </c>
      <c r="AD2138" t="s">
        <v>138</v>
      </c>
      <c r="AE2138" t="s">
        <v>135</v>
      </c>
      <c r="AF2138" t="s">
        <v>119</v>
      </c>
      <c r="AG2138" t="str">
        <f t="shared" si="36"/>
        <v>CC 12x</v>
      </c>
      <c r="AH2138" t="str">
        <f>IF(AND(SUMIF(E:E,E2138,I:I)&gt;=400000,Q2138="B2G"),"n","")</f>
        <v/>
      </c>
    </row>
    <row r="2139" spans="1:34">
      <c r="A2139">
        <v>2026</v>
      </c>
      <c r="B2139">
        <v>3</v>
      </c>
      <c r="C2139" s="83">
        <v>153797337665</v>
      </c>
      <c r="D2139" t="s">
        <v>2002</v>
      </c>
      <c r="E2139">
        <v>58540380468</v>
      </c>
      <c r="F2139">
        <v>636754</v>
      </c>
      <c r="G2139">
        <v>53708541872</v>
      </c>
      <c r="H2139" t="s">
        <v>104</v>
      </c>
      <c r="I2139" s="36">
        <v>718.8</v>
      </c>
      <c r="J2139" s="36">
        <v>718.8</v>
      </c>
      <c r="K2139" s="85">
        <v>0</v>
      </c>
      <c r="L2139" s="36">
        <v>59.9</v>
      </c>
      <c r="M2139" s="36">
        <v>59.9</v>
      </c>
      <c r="N2139" s="36">
        <v>0</v>
      </c>
      <c r="O2139" s="36">
        <v>0</v>
      </c>
      <c r="P2139" t="s">
        <v>497</v>
      </c>
      <c r="Q2139" t="s">
        <v>498</v>
      </c>
      <c r="R2139" t="s">
        <v>498</v>
      </c>
      <c r="S2139" s="1">
        <v>46110</v>
      </c>
      <c r="T2139" s="1">
        <v>46110</v>
      </c>
      <c r="V2139" s="1">
        <v>46475</v>
      </c>
      <c r="W2139" t="s">
        <v>38</v>
      </c>
      <c r="X2139">
        <v>12</v>
      </c>
      <c r="Y2139" t="s">
        <v>49</v>
      </c>
      <c r="AA2139" t="s">
        <v>112</v>
      </c>
      <c r="AB2139">
        <v>12</v>
      </c>
      <c r="AC2139" t="s">
        <v>499</v>
      </c>
      <c r="AD2139" t="s">
        <v>105</v>
      </c>
      <c r="AE2139" t="s">
        <v>106</v>
      </c>
      <c r="AF2139" t="s">
        <v>59</v>
      </c>
      <c r="AG2139" t="str">
        <f t="shared" si="36"/>
        <v>CC 12x</v>
      </c>
      <c r="AH2139" t="str">
        <f>IF(AND(SUMIF(E:E,E2139,I:I)&gt;=400000,Q2139="B2G"),"n","")</f>
        <v/>
      </c>
    </row>
    <row r="2140" spans="1:34">
      <c r="A2140">
        <v>2026</v>
      </c>
      <c r="B2140">
        <v>3</v>
      </c>
      <c r="C2140" s="83">
        <v>153797640992</v>
      </c>
      <c r="D2140" t="s">
        <v>2003</v>
      </c>
      <c r="E2140">
        <v>57733101111</v>
      </c>
      <c r="F2140">
        <v>636412</v>
      </c>
      <c r="G2140">
        <v>52952594739</v>
      </c>
      <c r="H2140" t="s">
        <v>35</v>
      </c>
      <c r="I2140" s="36">
        <v>2759.04</v>
      </c>
      <c r="J2140" s="36">
        <v>2759.04</v>
      </c>
      <c r="K2140" s="85">
        <v>0</v>
      </c>
      <c r="L2140" s="36">
        <v>229.92</v>
      </c>
      <c r="M2140" s="36">
        <v>229.92</v>
      </c>
      <c r="N2140" s="36">
        <v>0</v>
      </c>
      <c r="O2140" s="36">
        <v>0</v>
      </c>
      <c r="P2140" t="s">
        <v>2004</v>
      </c>
      <c r="Q2140" t="s">
        <v>300</v>
      </c>
      <c r="R2140" t="s">
        <v>300</v>
      </c>
      <c r="S2140" s="1">
        <v>46090</v>
      </c>
      <c r="T2140" s="1">
        <v>46090</v>
      </c>
      <c r="V2140" s="1">
        <v>46455</v>
      </c>
      <c r="W2140" t="s">
        <v>38</v>
      </c>
      <c r="X2140">
        <v>12</v>
      </c>
      <c r="Y2140" t="s">
        <v>49</v>
      </c>
      <c r="AA2140" t="s">
        <v>112</v>
      </c>
      <c r="AB2140">
        <v>12</v>
      </c>
      <c r="AC2140" t="s">
        <v>301</v>
      </c>
      <c r="AD2140" t="s">
        <v>140</v>
      </c>
      <c r="AE2140" t="s">
        <v>46</v>
      </c>
      <c r="AF2140" t="s">
        <v>119</v>
      </c>
      <c r="AG2140" t="str">
        <f t="shared" si="36"/>
        <v>CC 12x</v>
      </c>
      <c r="AH2140" t="str">
        <f>IF(AND(SUMIF(E:E,E2140,I:I)&gt;=400000,Q2140="B2G"),"n","")</f>
        <v/>
      </c>
    </row>
    <row r="2141" spans="1:34">
      <c r="A2141">
        <v>2026</v>
      </c>
      <c r="B2141">
        <v>3</v>
      </c>
      <c r="C2141" s="83">
        <v>154532741454</v>
      </c>
      <c r="D2141" t="s">
        <v>2005</v>
      </c>
      <c r="E2141">
        <v>58146398108</v>
      </c>
      <c r="F2141">
        <v>636648</v>
      </c>
      <c r="G2141">
        <v>53451835928</v>
      </c>
      <c r="H2141" t="s">
        <v>35</v>
      </c>
      <c r="I2141" s="36">
        <v>4440</v>
      </c>
      <c r="J2141" s="36">
        <v>4440</v>
      </c>
      <c r="K2141" s="85">
        <v>0</v>
      </c>
      <c r="L2141" s="36">
        <v>370</v>
      </c>
      <c r="M2141" s="36">
        <v>370</v>
      </c>
      <c r="N2141" s="36">
        <v>0</v>
      </c>
      <c r="O2141" s="36">
        <v>0</v>
      </c>
      <c r="P2141" t="s">
        <v>313</v>
      </c>
      <c r="Q2141" t="s">
        <v>314</v>
      </c>
      <c r="R2141" t="s">
        <v>314</v>
      </c>
      <c r="S2141" s="1">
        <v>46104</v>
      </c>
      <c r="T2141" s="1">
        <v>46104</v>
      </c>
      <c r="U2141" s="1"/>
      <c r="V2141" s="1">
        <v>46469</v>
      </c>
      <c r="W2141" t="s">
        <v>38</v>
      </c>
      <c r="X2141">
        <v>12</v>
      </c>
      <c r="Y2141" t="s">
        <v>49</v>
      </c>
      <c r="AA2141" t="s">
        <v>122</v>
      </c>
      <c r="AB2141">
        <v>12</v>
      </c>
      <c r="AC2141" t="s">
        <v>315</v>
      </c>
      <c r="AD2141" t="s">
        <v>138</v>
      </c>
      <c r="AE2141" t="s">
        <v>135</v>
      </c>
      <c r="AF2141" t="s">
        <v>119</v>
      </c>
      <c r="AG2141" t="str">
        <f t="shared" si="36"/>
        <v>Recorrente</v>
      </c>
      <c r="AH2141" t="str">
        <f>IF(AND(SUMIF(E:E,E2141,I:I)&gt;=400000,Q2141="B2G"),"n","")</f>
        <v/>
      </c>
    </row>
    <row r="2142" spans="1:34">
      <c r="A2142">
        <v>2026</v>
      </c>
      <c r="B2142">
        <v>3</v>
      </c>
      <c r="C2142" s="83">
        <v>155510243739</v>
      </c>
      <c r="D2142" t="s">
        <v>2006</v>
      </c>
      <c r="E2142">
        <v>58252445248</v>
      </c>
      <c r="F2142">
        <v>636834</v>
      </c>
      <c r="G2142">
        <v>53666571033</v>
      </c>
      <c r="H2142" t="s">
        <v>35</v>
      </c>
      <c r="I2142" s="36">
        <v>2798.88</v>
      </c>
      <c r="J2142" s="36">
        <v>2798.8380000000002</v>
      </c>
      <c r="K2142" s="85">
        <v>4.2000000000000003E-2</v>
      </c>
      <c r="L2142" s="36">
        <v>233.23650000000001</v>
      </c>
      <c r="M2142" s="36">
        <v>233.23650000000001</v>
      </c>
      <c r="N2142" s="36">
        <v>0</v>
      </c>
      <c r="O2142" s="36">
        <v>0</v>
      </c>
      <c r="P2142" t="s">
        <v>506</v>
      </c>
      <c r="Q2142" t="s">
        <v>300</v>
      </c>
      <c r="R2142" t="s">
        <v>300</v>
      </c>
      <c r="S2142" s="1">
        <v>46112</v>
      </c>
      <c r="T2142" s="1">
        <v>46112</v>
      </c>
      <c r="V2142" s="1">
        <v>46477</v>
      </c>
      <c r="W2142" t="s">
        <v>38</v>
      </c>
      <c r="X2142">
        <v>12</v>
      </c>
      <c r="Y2142" t="s">
        <v>49</v>
      </c>
      <c r="AA2142" t="s">
        <v>122</v>
      </c>
      <c r="AB2142">
        <v>12</v>
      </c>
      <c r="AC2142" t="s">
        <v>301</v>
      </c>
      <c r="AD2142" t="s">
        <v>160</v>
      </c>
      <c r="AE2142" t="s">
        <v>43</v>
      </c>
      <c r="AF2142" t="s">
        <v>44</v>
      </c>
      <c r="AG2142" t="str">
        <f t="shared" si="36"/>
        <v>Recorrente</v>
      </c>
      <c r="AH2142" t="str">
        <f>IF(AND(SUMIF(E:E,E2142,I:I)&gt;=400000,Q2142="B2G"),"n","")</f>
        <v/>
      </c>
    </row>
    <row r="2143" spans="1:34">
      <c r="A2143">
        <v>2026</v>
      </c>
      <c r="B2143">
        <v>3</v>
      </c>
      <c r="C2143" s="83">
        <v>156151913325</v>
      </c>
      <c r="D2143" t="s">
        <v>2007</v>
      </c>
      <c r="E2143">
        <v>56255446709</v>
      </c>
      <c r="F2143">
        <v>279480</v>
      </c>
      <c r="G2143">
        <v>51571683769</v>
      </c>
      <c r="H2143" t="s">
        <v>35</v>
      </c>
      <c r="I2143" s="36">
        <v>9354</v>
      </c>
      <c r="J2143" s="36">
        <v>9354</v>
      </c>
      <c r="K2143" s="85">
        <v>0</v>
      </c>
      <c r="L2143" s="36">
        <v>779.5</v>
      </c>
      <c r="M2143" s="36">
        <v>0</v>
      </c>
      <c r="N2143" s="36">
        <v>313.93</v>
      </c>
      <c r="O2143" s="36">
        <v>465.57</v>
      </c>
      <c r="P2143" t="s">
        <v>165</v>
      </c>
      <c r="Q2143" t="s">
        <v>166</v>
      </c>
      <c r="R2143" t="s">
        <v>166</v>
      </c>
      <c r="S2143" s="1">
        <v>46107</v>
      </c>
      <c r="T2143" s="1">
        <v>46107</v>
      </c>
      <c r="U2143" s="1">
        <v>46112</v>
      </c>
      <c r="V2143" s="1">
        <v>46477</v>
      </c>
      <c r="W2143" t="s">
        <v>38</v>
      </c>
      <c r="X2143">
        <v>12</v>
      </c>
      <c r="Y2143" t="s">
        <v>49</v>
      </c>
      <c r="Z2143" t="s">
        <v>81</v>
      </c>
      <c r="AA2143" t="s">
        <v>122</v>
      </c>
      <c r="AB2143">
        <v>12</v>
      </c>
      <c r="AC2143" t="s">
        <v>166</v>
      </c>
      <c r="AD2143" t="s">
        <v>134</v>
      </c>
      <c r="AE2143" t="s">
        <v>135</v>
      </c>
      <c r="AF2143" t="s">
        <v>44</v>
      </c>
      <c r="AG2143" t="str">
        <f t="shared" si="36"/>
        <v>Recorrente</v>
      </c>
      <c r="AH2143" t="str">
        <f>IF(AND(SUMIF(E:E,E2143,I:I)&gt;=400000,Q2143="B2G"),"n","")</f>
        <v/>
      </c>
    </row>
    <row r="2144" spans="1:34">
      <c r="A2144">
        <v>2026</v>
      </c>
      <c r="B2144">
        <v>3</v>
      </c>
      <c r="C2144" s="83">
        <v>156457591613</v>
      </c>
      <c r="D2144" t="s">
        <v>2008</v>
      </c>
      <c r="E2144">
        <v>57839659794</v>
      </c>
      <c r="F2144">
        <v>636434</v>
      </c>
      <c r="G2144">
        <v>53073055242</v>
      </c>
      <c r="H2144" t="s">
        <v>35</v>
      </c>
      <c r="I2144" s="36">
        <v>2442.84</v>
      </c>
      <c r="J2144" s="36">
        <v>2442.9</v>
      </c>
      <c r="K2144" s="85">
        <v>0</v>
      </c>
      <c r="L2144" s="36">
        <v>203.57499999999999</v>
      </c>
      <c r="M2144" s="36">
        <v>203.57499999999999</v>
      </c>
      <c r="N2144" s="36">
        <v>0</v>
      </c>
      <c r="O2144" s="36">
        <v>0</v>
      </c>
      <c r="P2144" t="s">
        <v>313</v>
      </c>
      <c r="Q2144" t="s">
        <v>314</v>
      </c>
      <c r="R2144" t="s">
        <v>314</v>
      </c>
      <c r="S2144" s="1">
        <v>46091</v>
      </c>
      <c r="T2144" s="1">
        <v>46091</v>
      </c>
      <c r="V2144" s="1">
        <v>46456</v>
      </c>
      <c r="W2144" t="s">
        <v>38</v>
      </c>
      <c r="X2144">
        <v>12</v>
      </c>
      <c r="Y2144" t="s">
        <v>49</v>
      </c>
      <c r="AA2144" t="s">
        <v>122</v>
      </c>
      <c r="AB2144">
        <v>12</v>
      </c>
      <c r="AC2144" t="s">
        <v>315</v>
      </c>
      <c r="AD2144" t="s">
        <v>118</v>
      </c>
      <c r="AE2144" t="s">
        <v>43</v>
      </c>
      <c r="AF2144" t="s">
        <v>119</v>
      </c>
      <c r="AG2144" t="str">
        <f t="shared" si="36"/>
        <v>Recorrente</v>
      </c>
      <c r="AH2144" t="str">
        <f>IF(AND(SUMIF(E:E,E2144,I:I)&gt;=400000,Q2144="B2G"),"n","")</f>
        <v/>
      </c>
    </row>
    <row r="2145" spans="1:34">
      <c r="A2145">
        <v>2026</v>
      </c>
      <c r="B2145">
        <v>3</v>
      </c>
      <c r="C2145" s="83">
        <v>157136539436</v>
      </c>
      <c r="D2145" t="s">
        <v>2009</v>
      </c>
      <c r="E2145">
        <v>57127863374</v>
      </c>
      <c r="F2145">
        <v>320439</v>
      </c>
      <c r="G2145">
        <v>53492938130</v>
      </c>
      <c r="H2145" t="s">
        <v>35</v>
      </c>
      <c r="I2145" s="36">
        <v>828.72</v>
      </c>
      <c r="J2145" s="36">
        <v>2587.1999999999998</v>
      </c>
      <c r="K2145" s="85">
        <v>0</v>
      </c>
      <c r="L2145" s="36">
        <v>215.6</v>
      </c>
      <c r="M2145" s="36">
        <v>0</v>
      </c>
      <c r="N2145" s="36">
        <v>215.6</v>
      </c>
      <c r="O2145" s="36">
        <v>0</v>
      </c>
      <c r="P2145" t="s">
        <v>469</v>
      </c>
      <c r="Q2145" t="s">
        <v>191</v>
      </c>
      <c r="R2145" t="s">
        <v>191</v>
      </c>
      <c r="S2145" s="1">
        <v>46107</v>
      </c>
      <c r="T2145" s="1">
        <v>46107</v>
      </c>
      <c r="U2145" s="1">
        <v>46223</v>
      </c>
      <c r="V2145" s="1">
        <v>46223</v>
      </c>
      <c r="W2145" t="s">
        <v>38</v>
      </c>
      <c r="X2145">
        <v>4</v>
      </c>
      <c r="Y2145" t="s">
        <v>49</v>
      </c>
      <c r="Z2145" t="s">
        <v>324</v>
      </c>
      <c r="AA2145" t="s">
        <v>122</v>
      </c>
      <c r="AB2145">
        <v>3</v>
      </c>
      <c r="AC2145" t="s">
        <v>192</v>
      </c>
      <c r="AD2145" t="s">
        <v>118</v>
      </c>
      <c r="AE2145" t="s">
        <v>43</v>
      </c>
      <c r="AF2145" t="s">
        <v>119</v>
      </c>
      <c r="AG2145" t="str">
        <f t="shared" si="36"/>
        <v>Recorrente</v>
      </c>
      <c r="AH2145" t="str">
        <f>IF(AND(SUMIF(E:E,E2145,I:I)&gt;=400000,Q2145="B2G"),"n","")</f>
        <v/>
      </c>
    </row>
    <row r="2146" spans="1:34">
      <c r="A2146">
        <v>2026</v>
      </c>
      <c r="B2146">
        <v>3</v>
      </c>
      <c r="C2146" s="83">
        <v>158296938556</v>
      </c>
      <c r="D2146" t="s">
        <v>2010</v>
      </c>
      <c r="E2146">
        <v>57556368055</v>
      </c>
      <c r="F2146">
        <v>636359</v>
      </c>
      <c r="G2146">
        <v>52817586284</v>
      </c>
      <c r="H2146" t="s">
        <v>104</v>
      </c>
      <c r="I2146" s="36">
        <v>718.8</v>
      </c>
      <c r="J2146" s="36">
        <v>718.8</v>
      </c>
      <c r="K2146" s="85">
        <v>0</v>
      </c>
      <c r="L2146" s="36">
        <v>59.9</v>
      </c>
      <c r="M2146" s="36">
        <v>59.9</v>
      </c>
      <c r="N2146" s="36">
        <v>0</v>
      </c>
      <c r="O2146" s="36">
        <v>0</v>
      </c>
      <c r="P2146" t="s">
        <v>497</v>
      </c>
      <c r="Q2146" t="s">
        <v>498</v>
      </c>
      <c r="R2146" t="s">
        <v>498</v>
      </c>
      <c r="S2146" s="1">
        <v>46085</v>
      </c>
      <c r="T2146" s="1">
        <v>46085</v>
      </c>
      <c r="U2146" s="1"/>
      <c r="V2146" s="1">
        <v>46450</v>
      </c>
      <c r="W2146" t="s">
        <v>38</v>
      </c>
      <c r="X2146">
        <v>12</v>
      </c>
      <c r="Y2146" t="s">
        <v>49</v>
      </c>
      <c r="AA2146" t="s">
        <v>112</v>
      </c>
      <c r="AB2146">
        <v>12</v>
      </c>
      <c r="AC2146" t="s">
        <v>499</v>
      </c>
      <c r="AD2146" t="s">
        <v>105</v>
      </c>
      <c r="AE2146" t="s">
        <v>106</v>
      </c>
      <c r="AF2146" t="s">
        <v>59</v>
      </c>
      <c r="AG2146" t="str">
        <f t="shared" si="36"/>
        <v>CC 12x</v>
      </c>
      <c r="AH2146" t="str">
        <f>IF(AND(SUMIF(E:E,E2146,I:I)&gt;=400000,Q2146="B2G"),"n","")</f>
        <v/>
      </c>
    </row>
    <row r="2147" spans="1:34">
      <c r="A2147">
        <v>2026</v>
      </c>
      <c r="B2147">
        <v>3</v>
      </c>
      <c r="C2147" s="83">
        <v>1584973</v>
      </c>
      <c r="D2147" t="s">
        <v>2011</v>
      </c>
      <c r="E2147">
        <v>57802239236</v>
      </c>
      <c r="F2147">
        <v>636417</v>
      </c>
      <c r="G2147">
        <v>53072785755</v>
      </c>
      <c r="H2147" t="s">
        <v>35</v>
      </c>
      <c r="I2147" s="36">
        <v>10912.32</v>
      </c>
      <c r="J2147" s="36">
        <v>5456.1797999999999</v>
      </c>
      <c r="K2147" s="85">
        <v>5456.1401999999998</v>
      </c>
      <c r="L2147" s="36">
        <v>454.68164999999999</v>
      </c>
      <c r="M2147" s="36">
        <v>0</v>
      </c>
      <c r="N2147" s="36">
        <v>140.32165000000001</v>
      </c>
      <c r="O2147" s="36">
        <v>314.36</v>
      </c>
      <c r="P2147" t="s">
        <v>367</v>
      </c>
      <c r="Q2147" t="s">
        <v>191</v>
      </c>
      <c r="R2147" t="s">
        <v>191</v>
      </c>
      <c r="S2147" s="1">
        <v>46090</v>
      </c>
      <c r="T2147" s="1">
        <v>46090</v>
      </c>
      <c r="U2147" s="1"/>
      <c r="V2147" s="1">
        <v>46821</v>
      </c>
      <c r="W2147" t="s">
        <v>56</v>
      </c>
      <c r="Y2147" t="s">
        <v>49</v>
      </c>
      <c r="AA2147" t="s">
        <v>122</v>
      </c>
      <c r="AB2147">
        <v>24</v>
      </c>
      <c r="AC2147" t="s">
        <v>192</v>
      </c>
      <c r="AD2147" t="s">
        <v>158</v>
      </c>
      <c r="AE2147" t="s">
        <v>43</v>
      </c>
      <c r="AF2147" t="s">
        <v>47</v>
      </c>
      <c r="AG2147" t="str">
        <f t="shared" si="36"/>
        <v>Recorrente</v>
      </c>
      <c r="AH2147" t="str">
        <f>IF(AND(SUMIF(E:E,E2147,I:I)&gt;=400000,Q2147="B2G"),"n","")</f>
        <v/>
      </c>
    </row>
    <row r="2148" spans="1:34">
      <c r="A2148">
        <v>2026</v>
      </c>
      <c r="B2148">
        <v>3</v>
      </c>
      <c r="C2148" s="83">
        <v>158648385113</v>
      </c>
      <c r="D2148" t="s">
        <v>2012</v>
      </c>
      <c r="E2148">
        <v>54437918551</v>
      </c>
      <c r="F2148">
        <v>529420</v>
      </c>
      <c r="G2148">
        <v>49770312376</v>
      </c>
      <c r="H2148" t="s">
        <v>35</v>
      </c>
      <c r="I2148" s="36">
        <v>12954.6</v>
      </c>
      <c r="J2148" s="36">
        <v>12954.6</v>
      </c>
      <c r="K2148" s="85">
        <v>1.8189900000000001E-12</v>
      </c>
      <c r="L2148" s="36">
        <v>1079.55</v>
      </c>
      <c r="M2148" s="36">
        <v>0</v>
      </c>
      <c r="N2148" s="36">
        <v>132.65</v>
      </c>
      <c r="O2148" s="36">
        <v>946.9</v>
      </c>
      <c r="P2148" t="s">
        <v>165</v>
      </c>
      <c r="Q2148" t="s">
        <v>166</v>
      </c>
      <c r="R2148" t="s">
        <v>166</v>
      </c>
      <c r="S2148" s="1">
        <v>46091</v>
      </c>
      <c r="T2148" s="1">
        <v>46091</v>
      </c>
      <c r="U2148" s="1">
        <v>46091</v>
      </c>
      <c r="V2148" s="1">
        <v>46456</v>
      </c>
      <c r="W2148" t="s">
        <v>38</v>
      </c>
      <c r="X2148">
        <v>12</v>
      </c>
      <c r="Y2148" t="s">
        <v>49</v>
      </c>
      <c r="Z2148" t="s">
        <v>81</v>
      </c>
      <c r="AA2148" t="s">
        <v>122</v>
      </c>
      <c r="AB2148">
        <v>12</v>
      </c>
      <c r="AC2148" t="s">
        <v>166</v>
      </c>
      <c r="AD2148" t="s">
        <v>154</v>
      </c>
      <c r="AE2148" t="s">
        <v>46</v>
      </c>
      <c r="AF2148" t="s">
        <v>47</v>
      </c>
      <c r="AG2148" t="str">
        <f t="shared" si="36"/>
        <v>Recorrente</v>
      </c>
      <c r="AH2148" t="str">
        <f>IF(AND(SUMIF(E:E,E2148,I:I)&gt;=400000,Q2148="B2G"),"n","")</f>
        <v/>
      </c>
    </row>
    <row r="2149" spans="1:34">
      <c r="A2149">
        <v>2026</v>
      </c>
      <c r="B2149">
        <v>3</v>
      </c>
      <c r="C2149" s="83">
        <v>158740461951</v>
      </c>
      <c r="D2149" t="s">
        <v>2013</v>
      </c>
      <c r="E2149">
        <v>55510372656</v>
      </c>
      <c r="F2149">
        <v>627673</v>
      </c>
      <c r="G2149">
        <v>53407447334</v>
      </c>
      <c r="H2149" t="s">
        <v>35</v>
      </c>
      <c r="I2149" s="36">
        <v>2586.6</v>
      </c>
      <c r="J2149" s="36">
        <v>2586.6</v>
      </c>
      <c r="K2149" s="85">
        <v>0</v>
      </c>
      <c r="L2149" s="36">
        <v>215.55</v>
      </c>
      <c r="M2149" s="36">
        <v>0</v>
      </c>
      <c r="N2149" s="36">
        <v>0</v>
      </c>
      <c r="O2149" s="36">
        <v>215.55</v>
      </c>
      <c r="P2149" t="s">
        <v>162</v>
      </c>
      <c r="Q2149" t="s">
        <v>111</v>
      </c>
      <c r="R2149" t="s">
        <v>111</v>
      </c>
      <c r="S2149" s="1">
        <v>46102</v>
      </c>
      <c r="T2149" s="1">
        <v>46102</v>
      </c>
      <c r="U2149" s="1">
        <v>46102</v>
      </c>
      <c r="V2149" s="1">
        <v>46467</v>
      </c>
      <c r="W2149" t="s">
        <v>38</v>
      </c>
      <c r="X2149">
        <v>12</v>
      </c>
      <c r="Y2149" t="s">
        <v>49</v>
      </c>
      <c r="Z2149" t="s">
        <v>76</v>
      </c>
      <c r="AA2149" t="s">
        <v>122</v>
      </c>
      <c r="AB2149">
        <v>12</v>
      </c>
      <c r="AC2149" t="s">
        <v>113</v>
      </c>
      <c r="AD2149" t="s">
        <v>140</v>
      </c>
      <c r="AE2149" t="s">
        <v>46</v>
      </c>
      <c r="AF2149" t="s">
        <v>119</v>
      </c>
      <c r="AG2149" t="str">
        <f t="shared" si="36"/>
        <v>Recorrente</v>
      </c>
      <c r="AH2149" t="str">
        <f>IF(AND(SUMIF(E:E,E2149,I:I)&gt;=400000,Q2149="B2G"),"n","")</f>
        <v/>
      </c>
    </row>
    <row r="2150" spans="1:34">
      <c r="A2150">
        <v>2026</v>
      </c>
      <c r="B2150">
        <v>3</v>
      </c>
      <c r="C2150" s="83">
        <v>159446155699</v>
      </c>
      <c r="D2150" t="s">
        <v>2014</v>
      </c>
      <c r="E2150">
        <v>57829538565</v>
      </c>
      <c r="F2150">
        <v>529590</v>
      </c>
      <c r="G2150">
        <v>53073082714</v>
      </c>
      <c r="H2150" t="s">
        <v>35</v>
      </c>
      <c r="I2150" s="36">
        <v>4401.84</v>
      </c>
      <c r="J2150" s="36">
        <v>4401.84</v>
      </c>
      <c r="K2150" s="85">
        <v>0</v>
      </c>
      <c r="L2150" s="36">
        <v>366.82</v>
      </c>
      <c r="M2150" s="36">
        <v>0</v>
      </c>
      <c r="N2150" s="36">
        <v>19.817499999999999</v>
      </c>
      <c r="O2150" s="36">
        <v>347</v>
      </c>
      <c r="P2150" t="s">
        <v>133</v>
      </c>
      <c r="Q2150" t="s">
        <v>111</v>
      </c>
      <c r="R2150" t="s">
        <v>111</v>
      </c>
      <c r="S2150" s="1">
        <v>46092</v>
      </c>
      <c r="T2150" s="1">
        <v>46092</v>
      </c>
      <c r="U2150" s="1">
        <v>46091</v>
      </c>
      <c r="V2150" s="1">
        <v>46457</v>
      </c>
      <c r="W2150" t="s">
        <v>38</v>
      </c>
      <c r="X2150">
        <v>12</v>
      </c>
      <c r="Y2150" t="s">
        <v>49</v>
      </c>
      <c r="Z2150" t="s">
        <v>81</v>
      </c>
      <c r="AA2150" t="s">
        <v>112</v>
      </c>
      <c r="AB2150">
        <v>12</v>
      </c>
      <c r="AC2150" t="s">
        <v>113</v>
      </c>
      <c r="AD2150" t="s">
        <v>85</v>
      </c>
      <c r="AE2150" t="s">
        <v>46</v>
      </c>
      <c r="AF2150" t="s">
        <v>44</v>
      </c>
      <c r="AG2150" t="str">
        <f t="shared" si="36"/>
        <v>CC 12x</v>
      </c>
      <c r="AH2150" t="str">
        <f>IF(AND(SUMIF(E:E,E2150,I:I)&gt;=400000,Q2150="B2G"),"n","")</f>
        <v/>
      </c>
    </row>
    <row r="2151" spans="1:34">
      <c r="A2151">
        <v>2026</v>
      </c>
      <c r="B2151">
        <v>3</v>
      </c>
      <c r="C2151" s="83">
        <v>159552796447</v>
      </c>
      <c r="D2151" t="s">
        <v>2015</v>
      </c>
      <c r="E2151">
        <v>58218229776</v>
      </c>
      <c r="F2151">
        <v>634547</v>
      </c>
      <c r="G2151">
        <v>53530449434</v>
      </c>
      <c r="H2151" t="s">
        <v>35</v>
      </c>
      <c r="I2151" s="36">
        <v>4422.6000000000004</v>
      </c>
      <c r="J2151" s="36">
        <v>7085.4</v>
      </c>
      <c r="K2151" s="85">
        <v>0</v>
      </c>
      <c r="L2151" s="36">
        <v>590.45000000000005</v>
      </c>
      <c r="M2151" s="36">
        <v>0</v>
      </c>
      <c r="N2151" s="36">
        <v>590.45000000000005</v>
      </c>
      <c r="O2151" s="36">
        <v>0</v>
      </c>
      <c r="P2151" t="s">
        <v>804</v>
      </c>
      <c r="Q2151" t="s">
        <v>191</v>
      </c>
      <c r="R2151" t="s">
        <v>191</v>
      </c>
      <c r="S2151" s="1">
        <v>46105</v>
      </c>
      <c r="T2151" s="1">
        <v>46105</v>
      </c>
      <c r="U2151" s="1">
        <v>46333</v>
      </c>
      <c r="V2151" s="1">
        <v>46333</v>
      </c>
      <c r="W2151" t="s">
        <v>38</v>
      </c>
      <c r="X2151">
        <v>8</v>
      </c>
      <c r="Y2151" t="s">
        <v>49</v>
      </c>
      <c r="Z2151" t="s">
        <v>324</v>
      </c>
      <c r="AA2151" t="s">
        <v>122</v>
      </c>
      <c r="AB2151">
        <v>7</v>
      </c>
      <c r="AC2151" t="s">
        <v>192</v>
      </c>
      <c r="AD2151" t="s">
        <v>146</v>
      </c>
      <c r="AE2151" t="s">
        <v>135</v>
      </c>
      <c r="AF2151" t="s">
        <v>96</v>
      </c>
      <c r="AG2151" t="str">
        <f t="shared" si="36"/>
        <v>Recorrente</v>
      </c>
      <c r="AH2151" t="str">
        <f>IF(AND(SUMIF(E:E,E2151,I:I)&gt;=400000,Q2151="B2G"),"n","")</f>
        <v/>
      </c>
    </row>
    <row r="2152" spans="1:34">
      <c r="A2152">
        <v>2026</v>
      </c>
      <c r="B2152">
        <v>3</v>
      </c>
      <c r="C2152" s="83">
        <v>159739930776</v>
      </c>
      <c r="D2152" t="s">
        <v>220</v>
      </c>
      <c r="E2152">
        <v>57814759015</v>
      </c>
      <c r="F2152">
        <v>634694</v>
      </c>
      <c r="G2152">
        <v>53072501940</v>
      </c>
      <c r="H2152" t="s">
        <v>35</v>
      </c>
      <c r="I2152" s="36">
        <v>3639.36</v>
      </c>
      <c r="J2152" s="36">
        <v>2161.56</v>
      </c>
      <c r="K2152" s="85">
        <v>1477.8</v>
      </c>
      <c r="L2152" s="36">
        <v>180.13</v>
      </c>
      <c r="M2152" s="36">
        <v>0</v>
      </c>
      <c r="N2152" s="36">
        <v>180.13</v>
      </c>
      <c r="O2152" s="36">
        <v>0</v>
      </c>
      <c r="P2152" t="s">
        <v>367</v>
      </c>
      <c r="Q2152" t="s">
        <v>191</v>
      </c>
      <c r="R2152" t="s">
        <v>191</v>
      </c>
      <c r="S2152" s="1">
        <v>46090</v>
      </c>
      <c r="T2152" s="1">
        <v>46090</v>
      </c>
      <c r="U2152" s="1">
        <v>46705</v>
      </c>
      <c r="V2152" s="1">
        <v>46705</v>
      </c>
      <c r="W2152" t="s">
        <v>56</v>
      </c>
      <c r="X2152">
        <v>20</v>
      </c>
      <c r="Y2152" t="s">
        <v>49</v>
      </c>
      <c r="Z2152" t="s">
        <v>324</v>
      </c>
      <c r="AA2152" t="s">
        <v>122</v>
      </c>
      <c r="AB2152">
        <v>20</v>
      </c>
      <c r="AC2152" t="s">
        <v>192</v>
      </c>
      <c r="AD2152" t="s">
        <v>84</v>
      </c>
      <c r="AE2152" t="s">
        <v>43</v>
      </c>
      <c r="AF2152" t="s">
        <v>44</v>
      </c>
      <c r="AG2152" t="str">
        <f t="shared" si="36"/>
        <v>Recorrente</v>
      </c>
      <c r="AH2152" t="str">
        <f>IF(AND(SUMIF(E:E,E2152,I:I)&gt;=400000,Q2152="B2G"),"n","")</f>
        <v/>
      </c>
    </row>
    <row r="2153" spans="1:34">
      <c r="A2153">
        <v>2026</v>
      </c>
      <c r="B2153">
        <v>3</v>
      </c>
      <c r="C2153" s="83">
        <v>160665642167</v>
      </c>
      <c r="D2153" t="s">
        <v>2016</v>
      </c>
      <c r="E2153">
        <v>55512197945</v>
      </c>
      <c r="F2153">
        <v>627131</v>
      </c>
      <c r="G2153">
        <v>53241407009</v>
      </c>
      <c r="H2153" t="s">
        <v>35</v>
      </c>
      <c r="I2153" s="36">
        <v>6313.92</v>
      </c>
      <c r="J2153" s="36">
        <v>6313.92</v>
      </c>
      <c r="K2153" s="85">
        <v>0</v>
      </c>
      <c r="L2153" s="36">
        <v>526.16</v>
      </c>
      <c r="M2153" s="36">
        <v>526.16</v>
      </c>
      <c r="N2153" s="36">
        <v>0</v>
      </c>
      <c r="O2153" s="36">
        <v>0</v>
      </c>
      <c r="P2153" t="s">
        <v>110</v>
      </c>
      <c r="Q2153" t="s">
        <v>111</v>
      </c>
      <c r="R2153" t="s">
        <v>111</v>
      </c>
      <c r="S2153" s="1">
        <v>46097</v>
      </c>
      <c r="T2153" s="1">
        <v>46097</v>
      </c>
      <c r="U2153" s="1">
        <v>46087</v>
      </c>
      <c r="V2153" s="1">
        <v>46462</v>
      </c>
      <c r="W2153" t="s">
        <v>38</v>
      </c>
      <c r="X2153">
        <v>12</v>
      </c>
      <c r="Y2153" t="s">
        <v>49</v>
      </c>
      <c r="Z2153" t="s">
        <v>81</v>
      </c>
      <c r="AA2153" t="s">
        <v>122</v>
      </c>
      <c r="AB2153">
        <v>12</v>
      </c>
      <c r="AC2153" t="s">
        <v>113</v>
      </c>
      <c r="AD2153" t="s">
        <v>134</v>
      </c>
      <c r="AE2153" t="s">
        <v>135</v>
      </c>
      <c r="AF2153" t="s">
        <v>44</v>
      </c>
      <c r="AG2153" t="str">
        <f t="shared" si="36"/>
        <v>Recorrente</v>
      </c>
      <c r="AH2153" t="str">
        <f>IF(AND(SUMIF(E:E,E2153,I:I)&gt;=400000,Q2153="B2G"),"n","")</f>
        <v/>
      </c>
    </row>
    <row r="2154" spans="1:34">
      <c r="A2154">
        <v>2026</v>
      </c>
      <c r="B2154">
        <v>3</v>
      </c>
      <c r="C2154" s="83">
        <v>16095780461</v>
      </c>
      <c r="D2154" t="s">
        <v>2017</v>
      </c>
      <c r="E2154">
        <v>57820560724</v>
      </c>
      <c r="F2154">
        <v>636751</v>
      </c>
      <c r="G2154">
        <v>53601957487</v>
      </c>
      <c r="H2154" t="s">
        <v>35</v>
      </c>
      <c r="I2154" s="36">
        <v>1724.4</v>
      </c>
      <c r="J2154" s="36">
        <v>1724.4</v>
      </c>
      <c r="K2154" s="85">
        <v>2.2737400000000001E-13</v>
      </c>
      <c r="L2154" s="36">
        <v>143.69999999999999</v>
      </c>
      <c r="M2154" s="36">
        <v>143.69999999999999</v>
      </c>
      <c r="N2154" s="36">
        <v>0</v>
      </c>
      <c r="O2154" s="36">
        <v>0</v>
      </c>
      <c r="P2154" t="s">
        <v>2004</v>
      </c>
      <c r="Q2154" t="s">
        <v>300</v>
      </c>
      <c r="R2154" t="s">
        <v>300</v>
      </c>
      <c r="S2154" s="1">
        <v>46109</v>
      </c>
      <c r="T2154" s="1">
        <v>46109</v>
      </c>
      <c r="U2154" s="1"/>
      <c r="V2154" s="1">
        <v>46474</v>
      </c>
      <c r="W2154" t="s">
        <v>38</v>
      </c>
      <c r="X2154">
        <v>12</v>
      </c>
      <c r="Y2154" t="s">
        <v>49</v>
      </c>
      <c r="AA2154" t="s">
        <v>122</v>
      </c>
      <c r="AB2154">
        <v>12</v>
      </c>
      <c r="AC2154" t="s">
        <v>301</v>
      </c>
      <c r="AD2154" t="s">
        <v>140</v>
      </c>
      <c r="AE2154" t="s">
        <v>46</v>
      </c>
      <c r="AF2154" t="s">
        <v>119</v>
      </c>
      <c r="AG2154" t="str">
        <f t="shared" si="36"/>
        <v>Recorrente</v>
      </c>
      <c r="AH2154" t="str">
        <f>IF(AND(SUMIF(E:E,E2154,I:I)&gt;=400000,Q2154="B2G"),"n","")</f>
        <v/>
      </c>
    </row>
    <row r="2155" spans="1:34">
      <c r="A2155">
        <v>2026</v>
      </c>
      <c r="B2155">
        <v>3</v>
      </c>
      <c r="C2155" s="83">
        <v>1610443</v>
      </c>
      <c r="D2155" t="s">
        <v>2018</v>
      </c>
      <c r="E2155">
        <v>57149933989</v>
      </c>
      <c r="F2155">
        <v>636344</v>
      </c>
      <c r="G2155">
        <v>52473565999</v>
      </c>
      <c r="H2155" t="s">
        <v>35</v>
      </c>
      <c r="I2155" s="36">
        <v>2628</v>
      </c>
      <c r="J2155" s="36">
        <v>2628</v>
      </c>
      <c r="K2155" s="85">
        <v>0</v>
      </c>
      <c r="L2155" s="36">
        <v>219</v>
      </c>
      <c r="M2155" s="36">
        <v>219</v>
      </c>
      <c r="N2155" s="36">
        <v>0</v>
      </c>
      <c r="O2155" s="36">
        <v>0</v>
      </c>
      <c r="P2155" t="s">
        <v>511</v>
      </c>
      <c r="Q2155" t="s">
        <v>300</v>
      </c>
      <c r="R2155" t="s">
        <v>300</v>
      </c>
      <c r="S2155" s="1">
        <v>46084</v>
      </c>
      <c r="T2155" s="1">
        <v>46084</v>
      </c>
      <c r="U2155" s="1"/>
      <c r="V2155" s="1">
        <v>46449</v>
      </c>
      <c r="W2155" t="s">
        <v>38</v>
      </c>
      <c r="X2155">
        <v>12</v>
      </c>
      <c r="Y2155" t="s">
        <v>49</v>
      </c>
      <c r="AA2155" t="s">
        <v>112</v>
      </c>
      <c r="AB2155">
        <v>12</v>
      </c>
      <c r="AC2155" t="s">
        <v>301</v>
      </c>
      <c r="AD2155" t="s">
        <v>140</v>
      </c>
      <c r="AE2155" t="s">
        <v>46</v>
      </c>
      <c r="AF2155" t="s">
        <v>119</v>
      </c>
      <c r="AG2155" t="str">
        <f t="shared" si="36"/>
        <v>CC 12x</v>
      </c>
      <c r="AH2155" t="str">
        <f>IF(AND(SUMIF(E:E,E2155,I:I)&gt;=400000,Q2155="B2G"),"n","")</f>
        <v/>
      </c>
    </row>
    <row r="2156" spans="1:34">
      <c r="A2156">
        <v>2026</v>
      </c>
      <c r="B2156">
        <v>3</v>
      </c>
      <c r="C2156" s="83">
        <v>161645964711</v>
      </c>
      <c r="D2156" t="s">
        <v>2019</v>
      </c>
      <c r="E2156">
        <v>55664386578</v>
      </c>
      <c r="F2156">
        <v>611938</v>
      </c>
      <c r="G2156">
        <v>53090610802</v>
      </c>
      <c r="H2156" t="s">
        <v>35</v>
      </c>
      <c r="I2156" s="36">
        <v>5005.92</v>
      </c>
      <c r="J2156" s="36">
        <v>5005.92</v>
      </c>
      <c r="K2156" s="85">
        <v>0</v>
      </c>
      <c r="L2156" s="36">
        <v>417.16</v>
      </c>
      <c r="M2156" s="36">
        <v>0</v>
      </c>
      <c r="N2156" s="36">
        <v>32.115000000000002</v>
      </c>
      <c r="O2156" s="36">
        <v>385.05</v>
      </c>
      <c r="P2156" t="s">
        <v>121</v>
      </c>
      <c r="Q2156" t="s">
        <v>111</v>
      </c>
      <c r="R2156" t="s">
        <v>111</v>
      </c>
      <c r="S2156" s="1">
        <v>46092</v>
      </c>
      <c r="T2156" s="1">
        <v>46092</v>
      </c>
      <c r="U2156" s="1">
        <v>46102</v>
      </c>
      <c r="V2156" s="1">
        <v>46467</v>
      </c>
      <c r="W2156" t="s">
        <v>38</v>
      </c>
      <c r="X2156">
        <v>12</v>
      </c>
      <c r="Y2156" t="s">
        <v>49</v>
      </c>
      <c r="Z2156" t="s">
        <v>81</v>
      </c>
      <c r="AA2156" t="s">
        <v>122</v>
      </c>
      <c r="AB2156">
        <v>12</v>
      </c>
      <c r="AC2156" t="s">
        <v>113</v>
      </c>
      <c r="AD2156" t="s">
        <v>85</v>
      </c>
      <c r="AE2156" t="s">
        <v>46</v>
      </c>
      <c r="AF2156" t="s">
        <v>44</v>
      </c>
      <c r="AG2156" t="str">
        <f t="shared" si="36"/>
        <v>Recorrente</v>
      </c>
      <c r="AH2156" t="str">
        <f>IF(AND(SUMIF(E:E,E2156,I:I)&gt;=400000,Q2156="B2G"),"n","")</f>
        <v/>
      </c>
    </row>
    <row r="2157" spans="1:34">
      <c r="A2157">
        <v>2026</v>
      </c>
      <c r="B2157">
        <v>3</v>
      </c>
      <c r="C2157" s="83">
        <v>1618700</v>
      </c>
      <c r="D2157" t="s">
        <v>841</v>
      </c>
      <c r="E2157">
        <v>57489225135</v>
      </c>
      <c r="F2157">
        <v>635856</v>
      </c>
      <c r="G2157">
        <v>52704227193</v>
      </c>
      <c r="H2157" t="s">
        <v>35</v>
      </c>
      <c r="I2157" s="36">
        <v>2415.84</v>
      </c>
      <c r="J2157" s="36">
        <v>2642.04</v>
      </c>
      <c r="K2157" s="85">
        <v>0</v>
      </c>
      <c r="L2157" s="36">
        <v>220.17</v>
      </c>
      <c r="M2157" s="36">
        <v>0</v>
      </c>
      <c r="N2157" s="36">
        <v>220.17</v>
      </c>
      <c r="O2157" s="36">
        <v>0</v>
      </c>
      <c r="P2157" t="s">
        <v>804</v>
      </c>
      <c r="Q2157" t="s">
        <v>191</v>
      </c>
      <c r="R2157" t="s">
        <v>191</v>
      </c>
      <c r="S2157" s="1">
        <v>46084</v>
      </c>
      <c r="T2157" s="1">
        <v>46084</v>
      </c>
      <c r="U2157" s="1">
        <v>46418</v>
      </c>
      <c r="V2157" s="1">
        <v>46418</v>
      </c>
      <c r="W2157" t="s">
        <v>38</v>
      </c>
      <c r="X2157">
        <v>10</v>
      </c>
      <c r="Y2157" t="s">
        <v>49</v>
      </c>
      <c r="Z2157" t="s">
        <v>324</v>
      </c>
      <c r="AA2157" t="s">
        <v>122</v>
      </c>
      <c r="AB2157">
        <v>10</v>
      </c>
      <c r="AC2157" t="s">
        <v>192</v>
      </c>
      <c r="AD2157" t="s">
        <v>138</v>
      </c>
      <c r="AE2157" t="s">
        <v>135</v>
      </c>
      <c r="AF2157" t="s">
        <v>119</v>
      </c>
      <c r="AG2157" t="str">
        <f t="shared" si="36"/>
        <v>Recorrente</v>
      </c>
      <c r="AH2157" t="str">
        <f>IF(AND(SUMIF(E:E,E2157,I:I)&gt;=400000,Q2157="B2G"),"n","")</f>
        <v/>
      </c>
    </row>
    <row r="2158" spans="1:34">
      <c r="A2158">
        <v>2026</v>
      </c>
      <c r="B2158">
        <v>3</v>
      </c>
      <c r="C2158" s="83">
        <v>162720161607</v>
      </c>
      <c r="D2158" t="s">
        <v>2020</v>
      </c>
      <c r="E2158">
        <v>57100219655</v>
      </c>
      <c r="F2158">
        <v>527971</v>
      </c>
      <c r="G2158">
        <v>52599265202</v>
      </c>
      <c r="H2158" t="s">
        <v>35</v>
      </c>
      <c r="I2158" s="36">
        <v>5466.24</v>
      </c>
      <c r="J2158" s="36">
        <v>5466.3</v>
      </c>
      <c r="K2158" s="85">
        <v>0</v>
      </c>
      <c r="L2158" s="36">
        <v>455.52499999999998</v>
      </c>
      <c r="M2158" s="36">
        <v>455.52499999999998</v>
      </c>
      <c r="N2158" s="36">
        <v>0</v>
      </c>
      <c r="O2158" s="36">
        <v>0</v>
      </c>
      <c r="P2158" t="s">
        <v>127</v>
      </c>
      <c r="Q2158" t="s">
        <v>111</v>
      </c>
      <c r="R2158" t="s">
        <v>111</v>
      </c>
      <c r="S2158" s="1">
        <v>46085</v>
      </c>
      <c r="T2158" s="1">
        <v>46085</v>
      </c>
      <c r="V2158" s="1">
        <v>46446</v>
      </c>
      <c r="W2158" t="s">
        <v>38</v>
      </c>
      <c r="X2158">
        <v>11</v>
      </c>
      <c r="Y2158" t="s">
        <v>49</v>
      </c>
      <c r="Z2158" t="s">
        <v>81</v>
      </c>
      <c r="AA2158" t="s">
        <v>122</v>
      </c>
      <c r="AB2158">
        <v>12</v>
      </c>
      <c r="AC2158" t="s">
        <v>113</v>
      </c>
      <c r="AD2158" t="s">
        <v>85</v>
      </c>
      <c r="AE2158" t="s">
        <v>46</v>
      </c>
      <c r="AF2158" t="s">
        <v>44</v>
      </c>
      <c r="AG2158" t="str">
        <f t="shared" si="36"/>
        <v>Recorrente</v>
      </c>
      <c r="AH2158" t="str">
        <f>IF(AND(SUMIF(E:E,E2158,I:I)&gt;=400000,Q2158="B2G"),"n","")</f>
        <v/>
      </c>
    </row>
    <row r="2159" spans="1:34">
      <c r="A2159">
        <v>2026</v>
      </c>
      <c r="B2159">
        <v>3</v>
      </c>
      <c r="C2159" s="83">
        <v>1629063</v>
      </c>
      <c r="D2159" t="s">
        <v>2021</v>
      </c>
      <c r="E2159">
        <v>56043144573</v>
      </c>
      <c r="F2159">
        <v>628026</v>
      </c>
      <c r="G2159">
        <v>51342906771</v>
      </c>
      <c r="H2159" t="s">
        <v>35</v>
      </c>
      <c r="I2159" s="36">
        <v>2874</v>
      </c>
      <c r="J2159" s="36">
        <v>2874</v>
      </c>
      <c r="K2159" s="85">
        <v>0</v>
      </c>
      <c r="L2159" s="36">
        <v>239.5</v>
      </c>
      <c r="M2159" s="36">
        <v>0</v>
      </c>
      <c r="N2159" s="36">
        <v>36.35</v>
      </c>
      <c r="O2159" s="36">
        <v>203.15</v>
      </c>
      <c r="P2159" t="s">
        <v>165</v>
      </c>
      <c r="Q2159" t="s">
        <v>166</v>
      </c>
      <c r="R2159" t="s">
        <v>166</v>
      </c>
      <c r="S2159" s="1">
        <v>46107</v>
      </c>
      <c r="T2159" s="1">
        <v>46107</v>
      </c>
      <c r="U2159" s="1">
        <v>46109</v>
      </c>
      <c r="V2159" s="1">
        <v>46474</v>
      </c>
      <c r="W2159" t="s">
        <v>38</v>
      </c>
      <c r="X2159">
        <v>12</v>
      </c>
      <c r="Y2159" t="s">
        <v>49</v>
      </c>
      <c r="Z2159" t="s">
        <v>81</v>
      </c>
      <c r="AA2159" t="s">
        <v>122</v>
      </c>
      <c r="AB2159">
        <v>12</v>
      </c>
      <c r="AC2159" t="s">
        <v>166</v>
      </c>
      <c r="AD2159" t="s">
        <v>118</v>
      </c>
      <c r="AE2159" t="s">
        <v>43</v>
      </c>
      <c r="AF2159" t="s">
        <v>119</v>
      </c>
      <c r="AG2159" t="str">
        <f t="shared" si="36"/>
        <v>Recorrente</v>
      </c>
      <c r="AH2159" t="str">
        <f>IF(AND(SUMIF(E:E,E2159,I:I)&gt;=400000,Q2159="B2G"),"n","")</f>
        <v/>
      </c>
    </row>
    <row r="2160" spans="1:34">
      <c r="A2160">
        <v>2026</v>
      </c>
      <c r="B2160">
        <v>3</v>
      </c>
      <c r="C2160" s="83">
        <v>1629705</v>
      </c>
      <c r="D2160" t="s">
        <v>2022</v>
      </c>
      <c r="E2160">
        <v>58570049601</v>
      </c>
      <c r="F2160">
        <v>636781</v>
      </c>
      <c r="G2160">
        <v>53747876239</v>
      </c>
      <c r="H2160" t="s">
        <v>35</v>
      </c>
      <c r="I2160" s="36">
        <v>4140</v>
      </c>
      <c r="J2160" s="36">
        <v>4140</v>
      </c>
      <c r="K2160" s="85">
        <v>0</v>
      </c>
      <c r="L2160" s="36">
        <v>345</v>
      </c>
      <c r="M2160" s="36">
        <v>345</v>
      </c>
      <c r="N2160" s="36">
        <v>0</v>
      </c>
      <c r="O2160" s="36">
        <v>0</v>
      </c>
      <c r="P2160" t="s">
        <v>511</v>
      </c>
      <c r="Q2160" t="s">
        <v>300</v>
      </c>
      <c r="R2160" t="s">
        <v>300</v>
      </c>
      <c r="S2160" s="1">
        <v>46111</v>
      </c>
      <c r="T2160" s="1">
        <v>46111</v>
      </c>
      <c r="V2160" s="1">
        <v>46476</v>
      </c>
      <c r="W2160" t="s">
        <v>38</v>
      </c>
      <c r="X2160">
        <v>12</v>
      </c>
      <c r="Y2160" t="s">
        <v>49</v>
      </c>
      <c r="AA2160" t="s">
        <v>112</v>
      </c>
      <c r="AB2160">
        <v>12</v>
      </c>
      <c r="AC2160" t="s">
        <v>301</v>
      </c>
      <c r="AD2160" t="s">
        <v>138</v>
      </c>
      <c r="AE2160" t="s">
        <v>135</v>
      </c>
      <c r="AF2160" t="s">
        <v>119</v>
      </c>
      <c r="AG2160" t="str">
        <f t="shared" si="36"/>
        <v>CC 12x</v>
      </c>
      <c r="AH2160" t="str">
        <f>IF(AND(SUMIF(E:E,E2160,I:I)&gt;=400000,Q2160="B2G"),"n","")</f>
        <v/>
      </c>
    </row>
    <row r="2161" spans="1:34">
      <c r="A2161">
        <v>2026</v>
      </c>
      <c r="B2161">
        <v>3</v>
      </c>
      <c r="C2161" s="83">
        <v>163585442411</v>
      </c>
      <c r="D2161" t="s">
        <v>2023</v>
      </c>
      <c r="E2161">
        <v>55492262039</v>
      </c>
      <c r="F2161">
        <v>309784</v>
      </c>
      <c r="G2161">
        <v>50802752044</v>
      </c>
      <c r="H2161" t="s">
        <v>35</v>
      </c>
      <c r="I2161" s="36">
        <v>5718.6</v>
      </c>
      <c r="J2161" s="36">
        <v>5718.6</v>
      </c>
      <c r="K2161" s="85">
        <v>0</v>
      </c>
      <c r="L2161" s="36">
        <v>476.55</v>
      </c>
      <c r="M2161" s="36">
        <v>0</v>
      </c>
      <c r="N2161" s="36">
        <v>94.81</v>
      </c>
      <c r="O2161" s="36">
        <v>381.74</v>
      </c>
      <c r="P2161" t="s">
        <v>165</v>
      </c>
      <c r="Q2161" t="s">
        <v>166</v>
      </c>
      <c r="R2161" t="s">
        <v>166</v>
      </c>
      <c r="S2161" s="1">
        <v>46102</v>
      </c>
      <c r="T2161" s="1">
        <v>46102</v>
      </c>
      <c r="U2161" s="1">
        <v>46102</v>
      </c>
      <c r="V2161" s="1">
        <v>46467</v>
      </c>
      <c r="W2161" t="s">
        <v>38</v>
      </c>
      <c r="X2161">
        <v>12</v>
      </c>
      <c r="Y2161" t="s">
        <v>49</v>
      </c>
      <c r="Z2161" t="s">
        <v>81</v>
      </c>
      <c r="AA2161" t="s">
        <v>122</v>
      </c>
      <c r="AB2161">
        <v>12</v>
      </c>
      <c r="AC2161" t="s">
        <v>166</v>
      </c>
      <c r="AD2161" t="s">
        <v>174</v>
      </c>
      <c r="AE2161" t="s">
        <v>43</v>
      </c>
      <c r="AF2161" t="s">
        <v>47</v>
      </c>
      <c r="AG2161" t="str">
        <f t="shared" si="36"/>
        <v>Recorrente</v>
      </c>
      <c r="AH2161" t="str">
        <f>IF(AND(SUMIF(E:E,E2161,I:I)&gt;=400000,Q2161="B2G"),"n","")</f>
        <v/>
      </c>
    </row>
    <row r="2162" spans="1:34">
      <c r="A2162">
        <v>2026</v>
      </c>
      <c r="B2162">
        <v>3</v>
      </c>
      <c r="C2162" s="83">
        <v>164039940905</v>
      </c>
      <c r="D2162" t="s">
        <v>2024</v>
      </c>
      <c r="E2162">
        <v>57899760226</v>
      </c>
      <c r="F2162">
        <v>636468</v>
      </c>
      <c r="G2162">
        <v>53170221714</v>
      </c>
      <c r="H2162" t="s">
        <v>35</v>
      </c>
      <c r="I2162" s="36">
        <v>4200</v>
      </c>
      <c r="J2162" s="36">
        <v>4200</v>
      </c>
      <c r="K2162" s="85">
        <v>0</v>
      </c>
      <c r="L2162" s="36">
        <v>350</v>
      </c>
      <c r="M2162" s="36">
        <v>350</v>
      </c>
      <c r="N2162" s="36">
        <v>0</v>
      </c>
      <c r="O2162" s="36">
        <v>0</v>
      </c>
      <c r="P2162" t="s">
        <v>313</v>
      </c>
      <c r="Q2162" t="s">
        <v>314</v>
      </c>
      <c r="R2162" t="s">
        <v>314</v>
      </c>
      <c r="S2162" s="1">
        <v>46092</v>
      </c>
      <c r="T2162" s="1">
        <v>46092</v>
      </c>
      <c r="U2162" s="1"/>
      <c r="V2162" s="1">
        <v>46457</v>
      </c>
      <c r="W2162" t="s">
        <v>38</v>
      </c>
      <c r="X2162">
        <v>12</v>
      </c>
      <c r="Y2162" t="s">
        <v>49</v>
      </c>
      <c r="AA2162" t="s">
        <v>117</v>
      </c>
      <c r="AB2162">
        <v>1</v>
      </c>
      <c r="AC2162" t="s">
        <v>315</v>
      </c>
      <c r="AD2162" t="s">
        <v>85</v>
      </c>
      <c r="AE2162" t="s">
        <v>46</v>
      </c>
      <c r="AF2162" t="s">
        <v>44</v>
      </c>
      <c r="AG2162" t="str">
        <f t="shared" si="36"/>
        <v>À Vista</v>
      </c>
      <c r="AH2162" t="str">
        <f>IF(AND(SUMIF(E:E,E2162,I:I)&gt;=400000,Q2162="B2G"),"n","")</f>
        <v/>
      </c>
    </row>
    <row r="2163" spans="1:34">
      <c r="A2163">
        <v>2026</v>
      </c>
      <c r="B2163">
        <v>3</v>
      </c>
      <c r="C2163" s="83">
        <v>164094760494</v>
      </c>
      <c r="D2163" t="s">
        <v>2025</v>
      </c>
      <c r="E2163">
        <v>54219798056</v>
      </c>
      <c r="F2163">
        <v>627127</v>
      </c>
      <c r="G2163">
        <v>49571419424</v>
      </c>
      <c r="H2163" t="s">
        <v>35</v>
      </c>
      <c r="I2163" s="36">
        <v>2874</v>
      </c>
      <c r="J2163" s="36">
        <v>2874</v>
      </c>
      <c r="K2163" s="85">
        <v>0</v>
      </c>
      <c r="L2163" s="36">
        <v>239.5</v>
      </c>
      <c r="M2163" s="36">
        <v>0</v>
      </c>
      <c r="N2163" s="36">
        <v>0.5</v>
      </c>
      <c r="O2163" s="36">
        <v>239</v>
      </c>
      <c r="P2163" t="s">
        <v>165</v>
      </c>
      <c r="Q2163" t="s">
        <v>166</v>
      </c>
      <c r="R2163" t="s">
        <v>166</v>
      </c>
      <c r="S2163" s="1">
        <v>46087</v>
      </c>
      <c r="T2163" s="1">
        <v>46087</v>
      </c>
      <c r="U2163" s="1">
        <v>46087</v>
      </c>
      <c r="V2163" s="1">
        <v>46452</v>
      </c>
      <c r="W2163" t="s">
        <v>38</v>
      </c>
      <c r="X2163">
        <v>12</v>
      </c>
      <c r="Y2163" t="s">
        <v>49</v>
      </c>
      <c r="Z2163" t="s">
        <v>81</v>
      </c>
      <c r="AA2163" t="s">
        <v>122</v>
      </c>
      <c r="AB2163">
        <v>12</v>
      </c>
      <c r="AC2163" t="s">
        <v>166</v>
      </c>
      <c r="AD2163" t="s">
        <v>118</v>
      </c>
      <c r="AE2163" t="s">
        <v>43</v>
      </c>
      <c r="AF2163" t="s">
        <v>119</v>
      </c>
      <c r="AG2163" t="str">
        <f t="shared" si="36"/>
        <v>Recorrente</v>
      </c>
      <c r="AH2163" t="str">
        <f>IF(AND(SUMIF(E:E,E2163,I:I)&gt;=400000,Q2163="B2G"),"n","")</f>
        <v/>
      </c>
    </row>
    <row r="2164" spans="1:34">
      <c r="A2164">
        <v>2026</v>
      </c>
      <c r="B2164">
        <v>3</v>
      </c>
      <c r="C2164" s="83">
        <v>164125590181</v>
      </c>
      <c r="D2164" t="s">
        <v>2026</v>
      </c>
      <c r="E2164">
        <v>57493299333</v>
      </c>
      <c r="F2164">
        <v>530288</v>
      </c>
      <c r="G2164">
        <v>52704618282</v>
      </c>
      <c r="H2164" t="s">
        <v>35</v>
      </c>
      <c r="I2164" s="36">
        <v>7560</v>
      </c>
      <c r="J2164" s="36">
        <v>7560</v>
      </c>
      <c r="K2164" s="85">
        <v>0</v>
      </c>
      <c r="L2164" s="36">
        <v>630</v>
      </c>
      <c r="M2164" s="36">
        <v>0</v>
      </c>
      <c r="N2164" s="36">
        <v>0</v>
      </c>
      <c r="O2164" s="36">
        <v>630</v>
      </c>
      <c r="P2164" t="s">
        <v>127</v>
      </c>
      <c r="Q2164" t="s">
        <v>111</v>
      </c>
      <c r="R2164" t="s">
        <v>111</v>
      </c>
      <c r="S2164" s="1">
        <v>46085</v>
      </c>
      <c r="T2164" s="1">
        <v>46085</v>
      </c>
      <c r="U2164" s="1">
        <v>46101</v>
      </c>
      <c r="V2164" s="1">
        <v>46466</v>
      </c>
      <c r="W2164" t="s">
        <v>38</v>
      </c>
      <c r="X2164">
        <v>12</v>
      </c>
      <c r="Y2164" t="s">
        <v>49</v>
      </c>
      <c r="Z2164" t="s">
        <v>81</v>
      </c>
      <c r="AA2164" t="s">
        <v>112</v>
      </c>
      <c r="AB2164">
        <v>12</v>
      </c>
      <c r="AC2164" t="s">
        <v>113</v>
      </c>
      <c r="AD2164" t="s">
        <v>134</v>
      </c>
      <c r="AE2164" t="s">
        <v>135</v>
      </c>
      <c r="AF2164" t="s">
        <v>44</v>
      </c>
      <c r="AG2164" t="str">
        <f t="shared" si="36"/>
        <v>CC 12x</v>
      </c>
      <c r="AH2164" t="str">
        <f>IF(AND(SUMIF(E:E,E2164,I:I)&gt;=400000,Q2164="B2G"),"n","")</f>
        <v/>
      </c>
    </row>
    <row r="2165" spans="1:34">
      <c r="A2165">
        <v>2026</v>
      </c>
      <c r="B2165">
        <v>3</v>
      </c>
      <c r="C2165" s="83">
        <v>164644408918</v>
      </c>
      <c r="D2165" t="s">
        <v>2027</v>
      </c>
      <c r="E2165">
        <v>53995980980</v>
      </c>
      <c r="F2165">
        <v>506891</v>
      </c>
      <c r="G2165">
        <v>49289910356</v>
      </c>
      <c r="H2165" t="s">
        <v>35</v>
      </c>
      <c r="I2165" s="36">
        <v>4976.3999999999996</v>
      </c>
      <c r="J2165" s="36">
        <v>4976.3999999999996</v>
      </c>
      <c r="K2165" s="85">
        <v>0</v>
      </c>
      <c r="L2165" s="36">
        <v>414.7</v>
      </c>
      <c r="M2165" s="36">
        <v>0</v>
      </c>
      <c r="N2165" s="36">
        <v>153.39250000000001</v>
      </c>
      <c r="O2165" s="36">
        <v>261.3075</v>
      </c>
      <c r="P2165" t="s">
        <v>165</v>
      </c>
      <c r="Q2165" t="s">
        <v>166</v>
      </c>
      <c r="R2165" t="s">
        <v>166</v>
      </c>
      <c r="S2165" s="1">
        <v>46083</v>
      </c>
      <c r="T2165" s="1">
        <v>46083</v>
      </c>
      <c r="U2165" s="1">
        <v>46083</v>
      </c>
      <c r="V2165" s="1">
        <v>46448</v>
      </c>
      <c r="W2165" t="s">
        <v>38</v>
      </c>
      <c r="X2165">
        <v>12</v>
      </c>
      <c r="Y2165" t="s">
        <v>49</v>
      </c>
      <c r="Z2165" t="s">
        <v>81</v>
      </c>
      <c r="AA2165" t="s">
        <v>122</v>
      </c>
      <c r="AB2165">
        <v>2</v>
      </c>
      <c r="AC2165" t="s">
        <v>166</v>
      </c>
      <c r="AD2165" t="s">
        <v>94</v>
      </c>
      <c r="AE2165" t="s">
        <v>95</v>
      </c>
      <c r="AF2165" t="s">
        <v>96</v>
      </c>
      <c r="AG2165" t="str">
        <f t="shared" si="36"/>
        <v>Recorrente</v>
      </c>
      <c r="AH2165" t="str">
        <f>IF(AND(SUMIF(E:E,E2165,I:I)&gt;=400000,Q2165="B2G"),"n","")</f>
        <v/>
      </c>
    </row>
    <row r="2166" spans="1:34">
      <c r="A2166">
        <v>2026</v>
      </c>
      <c r="B2166">
        <v>3</v>
      </c>
      <c r="C2166" s="83">
        <v>164644408918</v>
      </c>
      <c r="D2166" t="s">
        <v>2027</v>
      </c>
      <c r="E2166">
        <v>53995980980</v>
      </c>
      <c r="F2166">
        <v>506891</v>
      </c>
      <c r="G2166">
        <v>49306142007</v>
      </c>
      <c r="H2166" t="s">
        <v>35</v>
      </c>
      <c r="I2166" s="36">
        <v>4976.3999999999996</v>
      </c>
      <c r="J2166" s="36">
        <v>4976.3999999999996</v>
      </c>
      <c r="K2166" s="85">
        <v>0</v>
      </c>
      <c r="L2166" s="36">
        <v>414.7</v>
      </c>
      <c r="M2166" s="36">
        <v>0</v>
      </c>
      <c r="N2166" s="36">
        <v>153.39250000000001</v>
      </c>
      <c r="O2166" s="36">
        <v>261.3075</v>
      </c>
      <c r="P2166" t="s">
        <v>165</v>
      </c>
      <c r="Q2166" t="s">
        <v>166</v>
      </c>
      <c r="R2166" t="s">
        <v>166</v>
      </c>
      <c r="S2166" s="1">
        <v>46083</v>
      </c>
      <c r="T2166" s="1">
        <v>46083</v>
      </c>
      <c r="U2166" s="1">
        <v>46083</v>
      </c>
      <c r="V2166" s="1">
        <v>46448</v>
      </c>
      <c r="W2166" t="s">
        <v>38</v>
      </c>
      <c r="X2166">
        <v>12</v>
      </c>
      <c r="Y2166" t="s">
        <v>49</v>
      </c>
      <c r="Z2166" t="s">
        <v>81</v>
      </c>
      <c r="AA2166" t="s">
        <v>122</v>
      </c>
      <c r="AB2166">
        <v>2</v>
      </c>
      <c r="AC2166" t="s">
        <v>166</v>
      </c>
      <c r="AD2166" t="s">
        <v>368</v>
      </c>
      <c r="AE2166" t="s">
        <v>95</v>
      </c>
      <c r="AF2166" t="s">
        <v>59</v>
      </c>
      <c r="AG2166" t="str">
        <f t="shared" si="36"/>
        <v>Recorrente</v>
      </c>
      <c r="AH2166" t="str">
        <f>IF(AND(SUMIF(E:E,E2166,I:I)&gt;=400000,Q2166="B2G"),"n","")</f>
        <v/>
      </c>
    </row>
    <row r="2167" spans="1:34">
      <c r="A2167">
        <v>2026</v>
      </c>
      <c r="B2167">
        <v>3</v>
      </c>
      <c r="C2167" s="83">
        <v>164644408918</v>
      </c>
      <c r="D2167" t="s">
        <v>2027</v>
      </c>
      <c r="E2167">
        <v>53995980980</v>
      </c>
      <c r="F2167">
        <v>506891</v>
      </c>
      <c r="G2167">
        <v>49306157723</v>
      </c>
      <c r="H2167" t="s">
        <v>35</v>
      </c>
      <c r="I2167" s="36">
        <v>4976.3999999999996</v>
      </c>
      <c r="J2167" s="36">
        <v>4976.3999999999996</v>
      </c>
      <c r="K2167" s="85">
        <v>0</v>
      </c>
      <c r="L2167" s="36">
        <v>414.7</v>
      </c>
      <c r="M2167" s="36">
        <v>0</v>
      </c>
      <c r="N2167" s="36">
        <v>153.39250000000001</v>
      </c>
      <c r="O2167" s="36">
        <v>261.3075</v>
      </c>
      <c r="P2167" t="s">
        <v>165</v>
      </c>
      <c r="Q2167" t="s">
        <v>166</v>
      </c>
      <c r="R2167" t="s">
        <v>166</v>
      </c>
      <c r="S2167" s="1">
        <v>46083</v>
      </c>
      <c r="T2167" s="1">
        <v>46083</v>
      </c>
      <c r="U2167" s="1">
        <v>46083</v>
      </c>
      <c r="V2167" s="1">
        <v>46448</v>
      </c>
      <c r="W2167" t="s">
        <v>38</v>
      </c>
      <c r="X2167">
        <v>12</v>
      </c>
      <c r="Y2167" t="s">
        <v>49</v>
      </c>
      <c r="Z2167" t="s">
        <v>81</v>
      </c>
      <c r="AA2167" t="s">
        <v>122</v>
      </c>
      <c r="AB2167">
        <v>2</v>
      </c>
      <c r="AC2167" t="s">
        <v>166</v>
      </c>
      <c r="AD2167" t="s">
        <v>134</v>
      </c>
      <c r="AE2167" t="s">
        <v>135</v>
      </c>
      <c r="AF2167" t="s">
        <v>44</v>
      </c>
      <c r="AG2167" t="str">
        <f t="shared" si="36"/>
        <v>Recorrente</v>
      </c>
      <c r="AH2167" t="str">
        <f>IF(AND(SUMIF(E:E,E2167,I:I)&gt;=400000,Q2167="B2G"),"n","")</f>
        <v/>
      </c>
    </row>
    <row r="2168" spans="1:34">
      <c r="A2168">
        <v>2026</v>
      </c>
      <c r="B2168">
        <v>3</v>
      </c>
      <c r="C2168" s="83">
        <v>164644408918</v>
      </c>
      <c r="D2168" t="s">
        <v>2027</v>
      </c>
      <c r="E2168">
        <v>53995980980</v>
      </c>
      <c r="F2168">
        <v>506891</v>
      </c>
      <c r="G2168">
        <v>49316617319</v>
      </c>
      <c r="H2168" t="s">
        <v>104</v>
      </c>
      <c r="I2168" s="36">
        <v>4976.3999999999996</v>
      </c>
      <c r="J2168" s="36">
        <v>4976.3999999999996</v>
      </c>
      <c r="K2168" s="85">
        <v>0</v>
      </c>
      <c r="L2168" s="36">
        <v>414.7</v>
      </c>
      <c r="M2168" s="36">
        <v>0</v>
      </c>
      <c r="N2168" s="36">
        <v>153.39250000000001</v>
      </c>
      <c r="O2168" s="36">
        <v>261.3075</v>
      </c>
      <c r="P2168" t="s">
        <v>165</v>
      </c>
      <c r="Q2168" t="s">
        <v>166</v>
      </c>
      <c r="R2168" t="s">
        <v>166</v>
      </c>
      <c r="S2168" s="1">
        <v>46083</v>
      </c>
      <c r="T2168" s="1">
        <v>46083</v>
      </c>
      <c r="U2168" s="1">
        <v>46083</v>
      </c>
      <c r="V2168" s="1">
        <v>46448</v>
      </c>
      <c r="W2168" t="s">
        <v>38</v>
      </c>
      <c r="X2168">
        <v>12</v>
      </c>
      <c r="Y2168" t="s">
        <v>49</v>
      </c>
      <c r="Z2168" t="s">
        <v>81</v>
      </c>
      <c r="AA2168" t="s">
        <v>122</v>
      </c>
      <c r="AB2168">
        <v>2</v>
      </c>
      <c r="AC2168" t="s">
        <v>166</v>
      </c>
      <c r="AD2168" t="s">
        <v>277</v>
      </c>
      <c r="AE2168" t="s">
        <v>106</v>
      </c>
      <c r="AF2168" t="s">
        <v>59</v>
      </c>
      <c r="AG2168" t="str">
        <f t="shared" si="36"/>
        <v>Recorrente</v>
      </c>
      <c r="AH2168" t="str">
        <f>IF(AND(SUMIF(E:E,E2168,I:I)&gt;=400000,Q2168="B2G"),"n","")</f>
        <v/>
      </c>
    </row>
    <row r="2169" spans="1:34">
      <c r="A2169">
        <v>2026</v>
      </c>
      <c r="B2169">
        <v>3</v>
      </c>
      <c r="C2169" s="83">
        <v>164921772720</v>
      </c>
      <c r="D2169" t="s">
        <v>2028</v>
      </c>
      <c r="E2169">
        <v>57721874602</v>
      </c>
      <c r="F2169">
        <v>636433</v>
      </c>
      <c r="G2169">
        <v>53072621691</v>
      </c>
      <c r="H2169" t="s">
        <v>35</v>
      </c>
      <c r="I2169" s="36">
        <v>2759.04</v>
      </c>
      <c r="J2169" s="36">
        <v>2759.04</v>
      </c>
      <c r="K2169" s="85">
        <v>0</v>
      </c>
      <c r="L2169" s="36">
        <v>229.92</v>
      </c>
      <c r="M2169" s="36">
        <v>229.92</v>
      </c>
      <c r="N2169" s="36">
        <v>0</v>
      </c>
      <c r="O2169" s="36">
        <v>0</v>
      </c>
      <c r="P2169" t="s">
        <v>829</v>
      </c>
      <c r="Q2169" t="s">
        <v>300</v>
      </c>
      <c r="R2169" t="s">
        <v>300</v>
      </c>
      <c r="S2169" s="1">
        <v>46091</v>
      </c>
      <c r="T2169" s="1">
        <v>46091</v>
      </c>
      <c r="U2169" s="1"/>
      <c r="V2169" s="1">
        <v>46456</v>
      </c>
      <c r="W2169" t="s">
        <v>38</v>
      </c>
      <c r="X2169">
        <v>12</v>
      </c>
      <c r="Y2169" t="s">
        <v>49</v>
      </c>
      <c r="AA2169" t="s">
        <v>112</v>
      </c>
      <c r="AB2169">
        <v>12</v>
      </c>
      <c r="AC2169" t="s">
        <v>301</v>
      </c>
      <c r="AD2169" t="s">
        <v>118</v>
      </c>
      <c r="AE2169" t="s">
        <v>43</v>
      </c>
      <c r="AF2169" t="s">
        <v>119</v>
      </c>
      <c r="AG2169" t="str">
        <f t="shared" si="36"/>
        <v>CC 12x</v>
      </c>
      <c r="AH2169" t="str">
        <f>IF(AND(SUMIF(E:E,E2169,I:I)&gt;=400000,Q2169="B2G"),"n","")</f>
        <v/>
      </c>
    </row>
    <row r="2170" spans="1:34">
      <c r="A2170">
        <v>2026</v>
      </c>
      <c r="B2170">
        <v>3</v>
      </c>
      <c r="C2170" s="83">
        <v>164927728817</v>
      </c>
      <c r="D2170" t="s">
        <v>1076</v>
      </c>
      <c r="E2170">
        <v>54790112681</v>
      </c>
      <c r="F2170">
        <v>506290</v>
      </c>
      <c r="G2170">
        <v>52703912567</v>
      </c>
      <c r="H2170" t="s">
        <v>35</v>
      </c>
      <c r="I2170" s="36">
        <v>3852</v>
      </c>
      <c r="J2170" s="36">
        <v>3852</v>
      </c>
      <c r="K2170" s="85">
        <v>0</v>
      </c>
      <c r="L2170" s="36">
        <v>321</v>
      </c>
      <c r="M2170" s="36">
        <v>0</v>
      </c>
      <c r="N2170" s="36">
        <v>45</v>
      </c>
      <c r="O2170" s="36">
        <v>276</v>
      </c>
      <c r="P2170" t="s">
        <v>127</v>
      </c>
      <c r="Q2170" t="s">
        <v>111</v>
      </c>
      <c r="R2170" t="s">
        <v>111</v>
      </c>
      <c r="S2170" s="1">
        <v>46084</v>
      </c>
      <c r="T2170" s="1">
        <v>46084</v>
      </c>
      <c r="U2170" s="1">
        <v>46080</v>
      </c>
      <c r="V2170" s="1">
        <v>46449</v>
      </c>
      <c r="W2170" t="s">
        <v>38</v>
      </c>
      <c r="X2170">
        <v>13</v>
      </c>
      <c r="Y2170" t="s">
        <v>49</v>
      </c>
      <c r="Z2170" t="s">
        <v>81</v>
      </c>
      <c r="AA2170" t="s">
        <v>112</v>
      </c>
      <c r="AB2170">
        <v>12</v>
      </c>
      <c r="AC2170" t="s">
        <v>113</v>
      </c>
      <c r="AD2170" t="s">
        <v>84</v>
      </c>
      <c r="AE2170" t="s">
        <v>43</v>
      </c>
      <c r="AF2170" t="s">
        <v>44</v>
      </c>
      <c r="AG2170" t="str">
        <f t="shared" si="36"/>
        <v>CC 12x</v>
      </c>
      <c r="AH2170" t="str">
        <f>IF(AND(SUMIF(E:E,E2170,I:I)&gt;=400000,Q2170="B2G"),"n","")</f>
        <v/>
      </c>
    </row>
    <row r="2171" spans="1:34">
      <c r="A2171">
        <v>2026</v>
      </c>
      <c r="B2171">
        <v>3</v>
      </c>
      <c r="C2171" s="83">
        <v>165590401798</v>
      </c>
      <c r="D2171" t="s">
        <v>2029</v>
      </c>
      <c r="E2171">
        <v>54358627475</v>
      </c>
      <c r="F2171">
        <v>308935</v>
      </c>
      <c r="G2171">
        <v>49725876766</v>
      </c>
      <c r="H2171" t="s">
        <v>35</v>
      </c>
      <c r="I2171" s="36">
        <v>2874</v>
      </c>
      <c r="J2171" s="36">
        <v>2874</v>
      </c>
      <c r="K2171" s="85">
        <v>0</v>
      </c>
      <c r="L2171" s="36">
        <v>239.5</v>
      </c>
      <c r="M2171" s="36">
        <v>0</v>
      </c>
      <c r="N2171" s="36">
        <v>0.5</v>
      </c>
      <c r="O2171" s="36">
        <v>239</v>
      </c>
      <c r="P2171" t="s">
        <v>165</v>
      </c>
      <c r="Q2171" t="s">
        <v>166</v>
      </c>
      <c r="R2171" t="s">
        <v>166</v>
      </c>
      <c r="S2171" s="1">
        <v>46090</v>
      </c>
      <c r="T2171" s="1">
        <v>46090</v>
      </c>
      <c r="U2171" s="1">
        <v>46090</v>
      </c>
      <c r="V2171" s="1">
        <v>46455</v>
      </c>
      <c r="W2171" t="s">
        <v>38</v>
      </c>
      <c r="X2171">
        <v>12</v>
      </c>
      <c r="Y2171" t="s">
        <v>49</v>
      </c>
      <c r="Z2171" t="s">
        <v>81</v>
      </c>
      <c r="AA2171" t="s">
        <v>122</v>
      </c>
      <c r="AB2171">
        <v>12</v>
      </c>
      <c r="AC2171" t="s">
        <v>166</v>
      </c>
      <c r="AD2171" t="s">
        <v>118</v>
      </c>
      <c r="AE2171" t="s">
        <v>43</v>
      </c>
      <c r="AF2171" t="s">
        <v>119</v>
      </c>
      <c r="AG2171" t="str">
        <f t="shared" si="36"/>
        <v>Recorrente</v>
      </c>
      <c r="AH2171" t="str">
        <f>IF(AND(SUMIF(E:E,E2171,I:I)&gt;=400000,Q2171="B2G"),"n","")</f>
        <v/>
      </c>
    </row>
    <row r="2172" spans="1:34">
      <c r="A2172">
        <v>2026</v>
      </c>
      <c r="B2172">
        <v>3</v>
      </c>
      <c r="C2172" s="83">
        <v>165990546567</v>
      </c>
      <c r="D2172" t="s">
        <v>2030</v>
      </c>
      <c r="E2172">
        <v>57901086372</v>
      </c>
      <c r="F2172">
        <v>307789</v>
      </c>
      <c r="G2172">
        <v>53237551634</v>
      </c>
      <c r="H2172" t="s">
        <v>35</v>
      </c>
      <c r="I2172" s="36">
        <v>4660.8</v>
      </c>
      <c r="J2172" s="36">
        <v>4660.8</v>
      </c>
      <c r="K2172" s="85">
        <v>0</v>
      </c>
      <c r="L2172" s="36">
        <v>388.4</v>
      </c>
      <c r="M2172" s="36">
        <v>0</v>
      </c>
      <c r="N2172" s="36">
        <v>1.0845899999999999</v>
      </c>
      <c r="O2172" s="36">
        <v>387.32</v>
      </c>
      <c r="P2172" t="s">
        <v>116</v>
      </c>
      <c r="Q2172" t="s">
        <v>111</v>
      </c>
      <c r="R2172" t="s">
        <v>111</v>
      </c>
      <c r="S2172" s="1">
        <v>46097</v>
      </c>
      <c r="T2172" s="1">
        <v>46097</v>
      </c>
      <c r="U2172" s="1">
        <v>46091</v>
      </c>
      <c r="V2172" s="1">
        <v>46462</v>
      </c>
      <c r="W2172" t="s">
        <v>38</v>
      </c>
      <c r="X2172">
        <v>12</v>
      </c>
      <c r="Y2172" t="s">
        <v>49</v>
      </c>
      <c r="Z2172" t="s">
        <v>81</v>
      </c>
      <c r="AA2172" t="s">
        <v>112</v>
      </c>
      <c r="AB2172">
        <v>12</v>
      </c>
      <c r="AC2172" t="s">
        <v>113</v>
      </c>
      <c r="AD2172" t="s">
        <v>85</v>
      </c>
      <c r="AE2172" t="s">
        <v>46</v>
      </c>
      <c r="AF2172" t="s">
        <v>44</v>
      </c>
      <c r="AG2172" t="str">
        <f t="shared" ref="AG2172:AG2235" si="37">IF(IFERROR(SEARCH("Recorrente",AA2172),0)&gt;0,"Recorrente",IF(AB2172=1,"À Vista",IF(AB2172&lt;=3,"CC 3x",IF(AB2172&lt;=12,"CC 12x",IF(AB2172&gt;12,"Recorrente","")))))</f>
        <v>CC 12x</v>
      </c>
      <c r="AH2172" t="str">
        <f>IF(AND(SUMIF(E:E,E2172,I:I)&gt;=400000,Q2172="B2G"),"n","")</f>
        <v/>
      </c>
    </row>
    <row r="2173" spans="1:34">
      <c r="A2173">
        <v>2026</v>
      </c>
      <c r="B2173">
        <v>3</v>
      </c>
      <c r="C2173" s="83">
        <v>166132184118</v>
      </c>
      <c r="D2173" t="s">
        <v>2031</v>
      </c>
      <c r="E2173">
        <v>55220565920</v>
      </c>
      <c r="F2173">
        <v>507888</v>
      </c>
      <c r="G2173">
        <v>50520976478</v>
      </c>
      <c r="H2173" t="s">
        <v>35</v>
      </c>
      <c r="I2173" s="36">
        <v>11334.6</v>
      </c>
      <c r="J2173" s="36">
        <v>11334.6</v>
      </c>
      <c r="K2173" s="85">
        <v>0</v>
      </c>
      <c r="L2173" s="36">
        <v>944.55</v>
      </c>
      <c r="M2173" s="36">
        <v>0</v>
      </c>
      <c r="N2173" s="36">
        <v>193.75</v>
      </c>
      <c r="O2173" s="36">
        <v>750.8</v>
      </c>
      <c r="P2173" t="s">
        <v>165</v>
      </c>
      <c r="Q2173" t="s">
        <v>166</v>
      </c>
      <c r="R2173" t="s">
        <v>166</v>
      </c>
      <c r="S2173" s="1">
        <v>46098</v>
      </c>
      <c r="T2173" s="1">
        <v>46098</v>
      </c>
      <c r="U2173" s="1">
        <v>46098</v>
      </c>
      <c r="V2173" s="1">
        <v>46463</v>
      </c>
      <c r="W2173" t="s">
        <v>38</v>
      </c>
      <c r="X2173">
        <v>12</v>
      </c>
      <c r="Y2173" t="s">
        <v>49</v>
      </c>
      <c r="Z2173" t="s">
        <v>81</v>
      </c>
      <c r="AA2173" t="s">
        <v>122</v>
      </c>
      <c r="AB2173">
        <v>8</v>
      </c>
      <c r="AC2173" t="s">
        <v>166</v>
      </c>
      <c r="AD2173" t="s">
        <v>146</v>
      </c>
      <c r="AE2173" t="s">
        <v>135</v>
      </c>
      <c r="AF2173" t="s">
        <v>96</v>
      </c>
      <c r="AG2173" t="str">
        <f t="shared" si="37"/>
        <v>Recorrente</v>
      </c>
      <c r="AH2173" t="str">
        <f>IF(AND(SUMIF(E:E,E2173,I:I)&gt;=400000,Q2173="B2G"),"n","")</f>
        <v/>
      </c>
    </row>
    <row r="2174" spans="1:34">
      <c r="A2174">
        <v>2026</v>
      </c>
      <c r="B2174">
        <v>3</v>
      </c>
      <c r="C2174" s="83">
        <v>166278793562</v>
      </c>
      <c r="D2174" t="s">
        <v>2032</v>
      </c>
      <c r="E2174">
        <v>56019280205</v>
      </c>
      <c r="F2174">
        <v>611654</v>
      </c>
      <c r="G2174">
        <v>51321147175</v>
      </c>
      <c r="H2174" t="s">
        <v>35</v>
      </c>
      <c r="I2174" s="36">
        <v>5154</v>
      </c>
      <c r="J2174" s="36">
        <v>5154</v>
      </c>
      <c r="K2174" s="85">
        <v>0</v>
      </c>
      <c r="L2174" s="36">
        <v>429.5</v>
      </c>
      <c r="M2174" s="36">
        <v>0</v>
      </c>
      <c r="N2174" s="36">
        <v>76.77</v>
      </c>
      <c r="O2174" s="36">
        <v>352.73</v>
      </c>
      <c r="P2174" t="s">
        <v>165</v>
      </c>
      <c r="Q2174" t="s">
        <v>166</v>
      </c>
      <c r="R2174" t="s">
        <v>166</v>
      </c>
      <c r="S2174" s="1">
        <v>46107</v>
      </c>
      <c r="T2174" s="1">
        <v>46107</v>
      </c>
      <c r="U2174" s="1">
        <v>46109</v>
      </c>
      <c r="V2174" s="1">
        <v>46474</v>
      </c>
      <c r="W2174" t="s">
        <v>38</v>
      </c>
      <c r="X2174">
        <v>12</v>
      </c>
      <c r="Y2174" t="s">
        <v>49</v>
      </c>
      <c r="Z2174" t="s">
        <v>81</v>
      </c>
      <c r="AA2174" t="s">
        <v>122</v>
      </c>
      <c r="AB2174">
        <v>5</v>
      </c>
      <c r="AC2174" t="s">
        <v>166</v>
      </c>
      <c r="AD2174" t="s">
        <v>163</v>
      </c>
      <c r="AE2174" t="s">
        <v>43</v>
      </c>
      <c r="AF2174" t="s">
        <v>96</v>
      </c>
      <c r="AG2174" t="str">
        <f t="shared" si="37"/>
        <v>Recorrente</v>
      </c>
      <c r="AH2174" t="str">
        <f>IF(AND(SUMIF(E:E,E2174,I:I)&gt;=400000,Q2174="B2G"),"n","")</f>
        <v/>
      </c>
    </row>
    <row r="2175" spans="1:34">
      <c r="A2175">
        <v>2026</v>
      </c>
      <c r="B2175">
        <v>3</v>
      </c>
      <c r="C2175" s="83">
        <v>16661859099</v>
      </c>
      <c r="D2175" t="s">
        <v>2033</v>
      </c>
      <c r="E2175">
        <v>57829019507</v>
      </c>
      <c r="F2175">
        <v>636427</v>
      </c>
      <c r="G2175">
        <v>53073025106</v>
      </c>
      <c r="H2175" t="s">
        <v>35</v>
      </c>
      <c r="I2175" s="36">
        <v>3585.12</v>
      </c>
      <c r="J2175" s="36">
        <v>3585.12</v>
      </c>
      <c r="K2175" s="85">
        <v>0</v>
      </c>
      <c r="L2175" s="36">
        <v>298.76</v>
      </c>
      <c r="M2175" s="36">
        <v>298.76</v>
      </c>
      <c r="N2175" s="36">
        <v>0</v>
      </c>
      <c r="O2175" s="36">
        <v>0</v>
      </c>
      <c r="P2175" t="s">
        <v>299</v>
      </c>
      <c r="Q2175" t="s">
        <v>300</v>
      </c>
      <c r="R2175" t="s">
        <v>300</v>
      </c>
      <c r="S2175" s="1">
        <v>46090</v>
      </c>
      <c r="T2175" s="1">
        <v>46090</v>
      </c>
      <c r="U2175" s="1"/>
      <c r="V2175" s="1">
        <v>46455</v>
      </c>
      <c r="W2175" t="s">
        <v>38</v>
      </c>
      <c r="X2175">
        <v>12</v>
      </c>
      <c r="Y2175" t="s">
        <v>49</v>
      </c>
      <c r="AA2175" t="s">
        <v>112</v>
      </c>
      <c r="AB2175">
        <v>12</v>
      </c>
      <c r="AC2175" t="s">
        <v>301</v>
      </c>
      <c r="AD2175" t="s">
        <v>160</v>
      </c>
      <c r="AE2175" t="s">
        <v>43</v>
      </c>
      <c r="AF2175" t="s">
        <v>44</v>
      </c>
      <c r="AG2175" t="str">
        <f t="shared" si="37"/>
        <v>CC 12x</v>
      </c>
      <c r="AH2175" t="str">
        <f>IF(AND(SUMIF(E:E,E2175,I:I)&gt;=400000,Q2175="B2G"),"n","")</f>
        <v/>
      </c>
    </row>
    <row r="2176" spans="1:34">
      <c r="A2176">
        <v>2026</v>
      </c>
      <c r="B2176">
        <v>3</v>
      </c>
      <c r="C2176" s="83">
        <v>167064003177</v>
      </c>
      <c r="D2176" t="s">
        <v>2034</v>
      </c>
      <c r="E2176">
        <v>55728790813</v>
      </c>
      <c r="F2176">
        <v>530802</v>
      </c>
      <c r="G2176">
        <v>50993299260</v>
      </c>
      <c r="H2176" t="s">
        <v>35</v>
      </c>
      <c r="I2176" s="36">
        <v>7015.44</v>
      </c>
      <c r="J2176" s="36">
        <v>7015.44</v>
      </c>
      <c r="K2176" s="85">
        <v>0</v>
      </c>
      <c r="L2176" s="36">
        <v>584.62</v>
      </c>
      <c r="M2176" s="36">
        <v>0</v>
      </c>
      <c r="N2176" s="36">
        <v>118.795</v>
      </c>
      <c r="O2176" s="36">
        <v>465.83</v>
      </c>
      <c r="P2176" t="s">
        <v>165</v>
      </c>
      <c r="Q2176" t="s">
        <v>166</v>
      </c>
      <c r="R2176" t="s">
        <v>166</v>
      </c>
      <c r="S2176" s="1">
        <v>46105</v>
      </c>
      <c r="T2176" s="1">
        <v>46105</v>
      </c>
      <c r="U2176" s="1">
        <v>46105</v>
      </c>
      <c r="V2176" s="1">
        <v>46470</v>
      </c>
      <c r="W2176" t="s">
        <v>38</v>
      </c>
      <c r="X2176">
        <v>12</v>
      </c>
      <c r="Y2176" t="s">
        <v>49</v>
      </c>
      <c r="Z2176" t="s">
        <v>81</v>
      </c>
      <c r="AA2176" t="s">
        <v>122</v>
      </c>
      <c r="AB2176">
        <v>12</v>
      </c>
      <c r="AC2176" t="s">
        <v>166</v>
      </c>
      <c r="AD2176" t="s">
        <v>134</v>
      </c>
      <c r="AE2176" t="s">
        <v>135</v>
      </c>
      <c r="AF2176" t="s">
        <v>44</v>
      </c>
      <c r="AG2176" t="str">
        <f t="shared" si="37"/>
        <v>Recorrente</v>
      </c>
      <c r="AH2176" t="str">
        <f>IF(AND(SUMIF(E:E,E2176,I:I)&gt;=400000,Q2176="B2G"),"n","")</f>
        <v/>
      </c>
    </row>
    <row r="2177" spans="1:34">
      <c r="A2177">
        <v>2026</v>
      </c>
      <c r="B2177">
        <v>3</v>
      </c>
      <c r="C2177" s="83">
        <v>1675898</v>
      </c>
      <c r="D2177" t="s">
        <v>2035</v>
      </c>
      <c r="E2177">
        <v>58262487846</v>
      </c>
      <c r="F2177">
        <v>633348</v>
      </c>
      <c r="G2177">
        <v>53492938314</v>
      </c>
      <c r="H2177" t="s">
        <v>35</v>
      </c>
      <c r="I2177" s="36">
        <v>1294.68</v>
      </c>
      <c r="J2177" s="36">
        <v>2341.08</v>
      </c>
      <c r="K2177" s="85">
        <v>0</v>
      </c>
      <c r="L2177" s="36">
        <v>195.09</v>
      </c>
      <c r="M2177" s="36">
        <v>0</v>
      </c>
      <c r="N2177" s="36">
        <v>195.09</v>
      </c>
      <c r="O2177" s="36">
        <v>0</v>
      </c>
      <c r="P2177" t="s">
        <v>804</v>
      </c>
      <c r="Q2177" t="s">
        <v>191</v>
      </c>
      <c r="R2177" t="s">
        <v>191</v>
      </c>
      <c r="S2177" s="1">
        <v>46106</v>
      </c>
      <c r="T2177" s="1">
        <v>46106</v>
      </c>
      <c r="U2177" s="1">
        <v>46308</v>
      </c>
      <c r="V2177" s="1">
        <v>46308</v>
      </c>
      <c r="W2177" t="s">
        <v>38</v>
      </c>
      <c r="X2177">
        <v>7</v>
      </c>
      <c r="Y2177" t="s">
        <v>49</v>
      </c>
      <c r="Z2177" t="s">
        <v>324</v>
      </c>
      <c r="AA2177" t="s">
        <v>112</v>
      </c>
      <c r="AB2177">
        <v>7</v>
      </c>
      <c r="AC2177" t="s">
        <v>192</v>
      </c>
      <c r="AD2177" t="s">
        <v>134</v>
      </c>
      <c r="AE2177" t="s">
        <v>135</v>
      </c>
      <c r="AF2177" t="s">
        <v>44</v>
      </c>
      <c r="AG2177" t="str">
        <f t="shared" si="37"/>
        <v>CC 12x</v>
      </c>
      <c r="AH2177" t="str">
        <f>IF(AND(SUMIF(E:E,E2177,I:I)&gt;=400000,Q2177="B2G"),"n","")</f>
        <v/>
      </c>
    </row>
    <row r="2178" spans="1:34">
      <c r="A2178">
        <v>2026</v>
      </c>
      <c r="B2178">
        <v>3</v>
      </c>
      <c r="C2178" s="83">
        <v>169627319354</v>
      </c>
      <c r="D2178" t="s">
        <v>2036</v>
      </c>
      <c r="E2178">
        <v>57352253972</v>
      </c>
      <c r="F2178">
        <v>628055</v>
      </c>
      <c r="G2178">
        <v>52859356794</v>
      </c>
      <c r="H2178" t="s">
        <v>35</v>
      </c>
      <c r="I2178" s="36">
        <v>4611.72</v>
      </c>
      <c r="J2178" s="36">
        <v>4611.72</v>
      </c>
      <c r="K2178" s="85">
        <v>0</v>
      </c>
      <c r="L2178" s="36">
        <v>384.31</v>
      </c>
      <c r="M2178" s="36">
        <v>0</v>
      </c>
      <c r="N2178" s="36">
        <v>14.6225</v>
      </c>
      <c r="O2178" s="36">
        <v>369.6875</v>
      </c>
      <c r="P2178" t="s">
        <v>162</v>
      </c>
      <c r="Q2178" t="s">
        <v>111</v>
      </c>
      <c r="R2178" t="s">
        <v>111</v>
      </c>
      <c r="S2178" s="1">
        <v>46109</v>
      </c>
      <c r="T2178" s="1">
        <v>46109</v>
      </c>
      <c r="U2178" s="1">
        <v>46112</v>
      </c>
      <c r="V2178" s="1">
        <v>46477</v>
      </c>
      <c r="W2178" t="s">
        <v>38</v>
      </c>
      <c r="X2178">
        <v>12</v>
      </c>
      <c r="Y2178" t="s">
        <v>49</v>
      </c>
      <c r="Z2178" t="s">
        <v>81</v>
      </c>
      <c r="AA2178" t="s">
        <v>122</v>
      </c>
      <c r="AB2178">
        <v>12</v>
      </c>
      <c r="AC2178" t="s">
        <v>113</v>
      </c>
      <c r="AD2178" t="s">
        <v>85</v>
      </c>
      <c r="AE2178" t="s">
        <v>46</v>
      </c>
      <c r="AF2178" t="s">
        <v>44</v>
      </c>
      <c r="AG2178" t="str">
        <f t="shared" si="37"/>
        <v>Recorrente</v>
      </c>
      <c r="AH2178" t="str">
        <f>IF(AND(SUMIF(E:E,E2178,I:I)&gt;=400000,Q2178="B2G"),"n","")</f>
        <v/>
      </c>
    </row>
    <row r="2179" spans="1:34">
      <c r="A2179">
        <v>2026</v>
      </c>
      <c r="B2179">
        <v>3</v>
      </c>
      <c r="C2179" s="83">
        <v>169627319354</v>
      </c>
      <c r="D2179" t="s">
        <v>2036</v>
      </c>
      <c r="E2179">
        <v>57352253972</v>
      </c>
      <c r="F2179">
        <v>628055</v>
      </c>
      <c r="G2179">
        <v>52859356795</v>
      </c>
      <c r="H2179" t="s">
        <v>35</v>
      </c>
      <c r="I2179" s="36">
        <v>4611.72</v>
      </c>
      <c r="J2179" s="36">
        <v>4611.72</v>
      </c>
      <c r="K2179" s="85">
        <v>0</v>
      </c>
      <c r="L2179" s="36">
        <v>384.31</v>
      </c>
      <c r="M2179" s="36">
        <v>0</v>
      </c>
      <c r="N2179" s="36">
        <v>14.6225</v>
      </c>
      <c r="O2179" s="36">
        <v>369.6875</v>
      </c>
      <c r="P2179" t="s">
        <v>162</v>
      </c>
      <c r="Q2179" t="s">
        <v>111</v>
      </c>
      <c r="R2179" t="s">
        <v>111</v>
      </c>
      <c r="S2179" s="1">
        <v>46109</v>
      </c>
      <c r="T2179" s="1">
        <v>46109</v>
      </c>
      <c r="U2179" s="1">
        <v>46112</v>
      </c>
      <c r="V2179" s="1">
        <v>46477</v>
      </c>
      <c r="W2179" t="s">
        <v>38</v>
      </c>
      <c r="X2179">
        <v>12</v>
      </c>
      <c r="Y2179" t="s">
        <v>49</v>
      </c>
      <c r="Z2179" t="s">
        <v>81</v>
      </c>
      <c r="AA2179" t="s">
        <v>122</v>
      </c>
      <c r="AB2179">
        <v>12</v>
      </c>
      <c r="AC2179" t="s">
        <v>113</v>
      </c>
      <c r="AD2179" t="s">
        <v>84</v>
      </c>
      <c r="AE2179" t="s">
        <v>43</v>
      </c>
      <c r="AF2179" t="s">
        <v>44</v>
      </c>
      <c r="AG2179" t="str">
        <f t="shared" si="37"/>
        <v>Recorrente</v>
      </c>
      <c r="AH2179" t="str">
        <f>IF(AND(SUMIF(E:E,E2179,I:I)&gt;=400000,Q2179="B2G"),"n","")</f>
        <v/>
      </c>
    </row>
    <row r="2180" spans="1:34">
      <c r="A2180">
        <v>2026</v>
      </c>
      <c r="B2180">
        <v>3</v>
      </c>
      <c r="C2180" s="83">
        <v>169627319354</v>
      </c>
      <c r="D2180" t="s">
        <v>2036</v>
      </c>
      <c r="E2180">
        <v>57352253972</v>
      </c>
      <c r="F2180">
        <v>628055</v>
      </c>
      <c r="G2180">
        <v>52859356796</v>
      </c>
      <c r="H2180" t="s">
        <v>35</v>
      </c>
      <c r="I2180" s="36">
        <v>4611.72</v>
      </c>
      <c r="J2180" s="36">
        <v>4611.72</v>
      </c>
      <c r="K2180" s="85">
        <v>0</v>
      </c>
      <c r="L2180" s="36">
        <v>384.31</v>
      </c>
      <c r="M2180" s="36">
        <v>0</v>
      </c>
      <c r="N2180" s="36">
        <v>14.6225</v>
      </c>
      <c r="O2180" s="36">
        <v>369.6875</v>
      </c>
      <c r="P2180" t="s">
        <v>162</v>
      </c>
      <c r="Q2180" t="s">
        <v>111</v>
      </c>
      <c r="R2180" t="s">
        <v>111</v>
      </c>
      <c r="S2180" s="1">
        <v>46109</v>
      </c>
      <c r="T2180" s="1">
        <v>46109</v>
      </c>
      <c r="U2180" s="1">
        <v>46112</v>
      </c>
      <c r="V2180" s="1">
        <v>46477</v>
      </c>
      <c r="W2180" t="s">
        <v>38</v>
      </c>
      <c r="X2180">
        <v>12</v>
      </c>
      <c r="Y2180" t="s">
        <v>49</v>
      </c>
      <c r="Z2180" t="s">
        <v>81</v>
      </c>
      <c r="AA2180" t="s">
        <v>122</v>
      </c>
      <c r="AB2180">
        <v>12</v>
      </c>
      <c r="AC2180" t="s">
        <v>113</v>
      </c>
      <c r="AD2180" t="s">
        <v>84</v>
      </c>
      <c r="AE2180" t="s">
        <v>43</v>
      </c>
      <c r="AF2180" t="s">
        <v>44</v>
      </c>
      <c r="AG2180" t="str">
        <f t="shared" si="37"/>
        <v>Recorrente</v>
      </c>
      <c r="AH2180" t="str">
        <f>IF(AND(SUMIF(E:E,E2180,I:I)&gt;=400000,Q2180="B2G"),"n","")</f>
        <v/>
      </c>
    </row>
    <row r="2181" spans="1:34">
      <c r="A2181">
        <v>2026</v>
      </c>
      <c r="B2181">
        <v>3</v>
      </c>
      <c r="C2181" s="83">
        <v>169627319354</v>
      </c>
      <c r="D2181" t="s">
        <v>2036</v>
      </c>
      <c r="E2181">
        <v>57352253972</v>
      </c>
      <c r="F2181">
        <v>628055</v>
      </c>
      <c r="G2181">
        <v>52859356797</v>
      </c>
      <c r="H2181" t="s">
        <v>35</v>
      </c>
      <c r="I2181" s="36">
        <v>4611.72</v>
      </c>
      <c r="J2181" s="36">
        <v>4611.72</v>
      </c>
      <c r="K2181" s="85">
        <v>0</v>
      </c>
      <c r="L2181" s="36">
        <v>384.31</v>
      </c>
      <c r="M2181" s="36">
        <v>0</v>
      </c>
      <c r="N2181" s="36">
        <v>14.6225</v>
      </c>
      <c r="O2181" s="36">
        <v>369.6875</v>
      </c>
      <c r="P2181" t="s">
        <v>162</v>
      </c>
      <c r="Q2181" t="s">
        <v>111</v>
      </c>
      <c r="R2181" t="s">
        <v>111</v>
      </c>
      <c r="S2181" s="1">
        <v>46109</v>
      </c>
      <c r="T2181" s="1">
        <v>46109</v>
      </c>
      <c r="U2181" s="1">
        <v>46112</v>
      </c>
      <c r="V2181" s="1">
        <v>46477</v>
      </c>
      <c r="W2181" t="s">
        <v>38</v>
      </c>
      <c r="X2181">
        <v>12</v>
      </c>
      <c r="Y2181" t="s">
        <v>49</v>
      </c>
      <c r="Z2181" t="s">
        <v>81</v>
      </c>
      <c r="AA2181" t="s">
        <v>122</v>
      </c>
      <c r="AB2181">
        <v>12</v>
      </c>
      <c r="AC2181" t="s">
        <v>113</v>
      </c>
      <c r="AD2181" t="s">
        <v>85</v>
      </c>
      <c r="AE2181" t="s">
        <v>46</v>
      </c>
      <c r="AF2181" t="s">
        <v>44</v>
      </c>
      <c r="AG2181" t="str">
        <f t="shared" si="37"/>
        <v>Recorrente</v>
      </c>
      <c r="AH2181" t="str">
        <f>IF(AND(SUMIF(E:E,E2181,I:I)&gt;=400000,Q2181="B2G"),"n","")</f>
        <v/>
      </c>
    </row>
    <row r="2182" spans="1:34">
      <c r="A2182">
        <v>2026</v>
      </c>
      <c r="B2182">
        <v>3</v>
      </c>
      <c r="C2182" s="83">
        <v>169638340459</v>
      </c>
      <c r="D2182" t="s">
        <v>2037</v>
      </c>
      <c r="E2182">
        <v>58363463192</v>
      </c>
      <c r="F2182">
        <v>310164</v>
      </c>
      <c r="G2182">
        <v>53747936578</v>
      </c>
      <c r="H2182" t="s">
        <v>35</v>
      </c>
      <c r="I2182" s="36">
        <v>7344</v>
      </c>
      <c r="J2182" s="36">
        <v>7344</v>
      </c>
      <c r="K2182" s="85">
        <v>0</v>
      </c>
      <c r="L2182" s="36">
        <v>612</v>
      </c>
      <c r="M2182" s="36">
        <v>0</v>
      </c>
      <c r="N2182" s="36">
        <v>0</v>
      </c>
      <c r="O2182" s="36">
        <v>612</v>
      </c>
      <c r="P2182" t="s">
        <v>121</v>
      </c>
      <c r="Q2182" t="s">
        <v>111</v>
      </c>
      <c r="R2182" t="s">
        <v>111</v>
      </c>
      <c r="S2182" s="1">
        <v>46111</v>
      </c>
      <c r="T2182" s="1">
        <v>46111</v>
      </c>
      <c r="U2182" s="1">
        <v>46110</v>
      </c>
      <c r="V2182" s="1">
        <v>46476</v>
      </c>
      <c r="W2182" t="s">
        <v>38</v>
      </c>
      <c r="X2182">
        <v>12</v>
      </c>
      <c r="Y2182" t="s">
        <v>49</v>
      </c>
      <c r="Z2182" t="s">
        <v>81</v>
      </c>
      <c r="AA2182" t="s">
        <v>112</v>
      </c>
      <c r="AB2182">
        <v>12</v>
      </c>
      <c r="AC2182" t="s">
        <v>113</v>
      </c>
      <c r="AD2182" t="s">
        <v>131</v>
      </c>
      <c r="AE2182" t="s">
        <v>46</v>
      </c>
      <c r="AF2182" t="s">
        <v>96</v>
      </c>
      <c r="AG2182" t="str">
        <f t="shared" si="37"/>
        <v>CC 12x</v>
      </c>
      <c r="AH2182" t="str">
        <f>IF(AND(SUMIF(E:E,E2182,I:I)&gt;=400000,Q2182="B2G"),"n","")</f>
        <v/>
      </c>
    </row>
    <row r="2183" spans="1:34">
      <c r="A2183">
        <v>2026</v>
      </c>
      <c r="B2183">
        <v>3</v>
      </c>
      <c r="C2183" s="83">
        <v>169861022284</v>
      </c>
      <c r="D2183" t="s">
        <v>2038</v>
      </c>
      <c r="E2183">
        <v>57821268899</v>
      </c>
      <c r="F2183">
        <v>314085</v>
      </c>
      <c r="G2183">
        <v>53059996517</v>
      </c>
      <c r="H2183" t="s">
        <v>35</v>
      </c>
      <c r="I2183" s="36">
        <v>191.28</v>
      </c>
      <c r="J2183" s="36">
        <v>1318.32</v>
      </c>
      <c r="K2183" s="85">
        <v>0</v>
      </c>
      <c r="L2183" s="36">
        <v>109.86</v>
      </c>
      <c r="M2183" s="36">
        <v>0</v>
      </c>
      <c r="N2183" s="36">
        <v>109.86</v>
      </c>
      <c r="O2183" s="36">
        <v>0</v>
      </c>
      <c r="P2183" t="s">
        <v>520</v>
      </c>
      <c r="Q2183" t="s">
        <v>191</v>
      </c>
      <c r="R2183" t="s">
        <v>191</v>
      </c>
      <c r="S2183" s="1">
        <v>46090</v>
      </c>
      <c r="T2183" s="1">
        <v>46090</v>
      </c>
      <c r="U2183" s="1">
        <v>46143</v>
      </c>
      <c r="V2183" s="1">
        <v>46143</v>
      </c>
      <c r="W2183" t="s">
        <v>38</v>
      </c>
      <c r="X2183">
        <v>2</v>
      </c>
      <c r="Y2183" t="s">
        <v>49</v>
      </c>
      <c r="Z2183" t="s">
        <v>324</v>
      </c>
      <c r="AA2183" t="s">
        <v>112</v>
      </c>
      <c r="AB2183">
        <v>1</v>
      </c>
      <c r="AC2183" t="s">
        <v>192</v>
      </c>
      <c r="AD2183" t="s">
        <v>149</v>
      </c>
      <c r="AE2183" t="s">
        <v>43</v>
      </c>
      <c r="AF2183" t="s">
        <v>96</v>
      </c>
      <c r="AG2183" t="str">
        <f t="shared" si="37"/>
        <v>À Vista</v>
      </c>
      <c r="AH2183" t="str">
        <f>IF(AND(SUMIF(E:E,E2183,I:I)&gt;=400000,Q2183="B2G"),"n","")</f>
        <v/>
      </c>
    </row>
    <row r="2184" spans="1:34">
      <c r="A2184">
        <v>2026</v>
      </c>
      <c r="B2184">
        <v>3</v>
      </c>
      <c r="C2184" s="83">
        <v>171518095372</v>
      </c>
      <c r="D2184" t="s">
        <v>2039</v>
      </c>
      <c r="E2184">
        <v>57786916502</v>
      </c>
      <c r="F2184">
        <v>507376</v>
      </c>
      <c r="G2184">
        <v>53034946457</v>
      </c>
      <c r="H2184" t="s">
        <v>35</v>
      </c>
      <c r="I2184" s="36">
        <v>7404.24</v>
      </c>
      <c r="J2184" s="36">
        <v>7404.24</v>
      </c>
      <c r="K2184" s="85">
        <v>0</v>
      </c>
      <c r="L2184" s="36">
        <v>617.02</v>
      </c>
      <c r="M2184" s="36">
        <v>0</v>
      </c>
      <c r="N2184" s="36">
        <v>13.025</v>
      </c>
      <c r="O2184" s="36">
        <v>604</v>
      </c>
      <c r="P2184" t="s">
        <v>110</v>
      </c>
      <c r="Q2184" t="s">
        <v>111</v>
      </c>
      <c r="R2184" t="s">
        <v>111</v>
      </c>
      <c r="S2184" s="1">
        <v>46090</v>
      </c>
      <c r="T2184" s="1">
        <v>46090</v>
      </c>
      <c r="U2184" s="1">
        <v>46089</v>
      </c>
      <c r="V2184" s="1">
        <v>46455</v>
      </c>
      <c r="W2184" t="s">
        <v>38</v>
      </c>
      <c r="X2184">
        <v>12</v>
      </c>
      <c r="Y2184" t="s">
        <v>49</v>
      </c>
      <c r="Z2184" t="s">
        <v>81</v>
      </c>
      <c r="AA2184" t="s">
        <v>122</v>
      </c>
      <c r="AB2184">
        <v>12</v>
      </c>
      <c r="AC2184" t="s">
        <v>113</v>
      </c>
      <c r="AD2184" t="s">
        <v>125</v>
      </c>
      <c r="AE2184" t="s">
        <v>43</v>
      </c>
      <c r="AF2184" t="s">
        <v>47</v>
      </c>
      <c r="AG2184" t="str">
        <f t="shared" si="37"/>
        <v>Recorrente</v>
      </c>
      <c r="AH2184" t="str">
        <f>IF(AND(SUMIF(E:E,E2184,I:I)&gt;=400000,Q2184="B2G"),"n","")</f>
        <v/>
      </c>
    </row>
    <row r="2185" spans="1:34">
      <c r="A2185">
        <v>2026</v>
      </c>
      <c r="B2185">
        <v>3</v>
      </c>
      <c r="C2185" s="83">
        <v>171521342126</v>
      </c>
      <c r="D2185" t="s">
        <v>2040</v>
      </c>
      <c r="E2185">
        <v>54487324208</v>
      </c>
      <c r="F2185">
        <v>529514</v>
      </c>
      <c r="G2185">
        <v>52859469179</v>
      </c>
      <c r="H2185" t="s">
        <v>35</v>
      </c>
      <c r="I2185" s="36">
        <v>2586.6</v>
      </c>
      <c r="J2185" s="36">
        <v>2586.6</v>
      </c>
      <c r="K2185" s="85">
        <v>0</v>
      </c>
      <c r="L2185" s="36">
        <v>215.55</v>
      </c>
      <c r="M2185" s="36">
        <v>0</v>
      </c>
      <c r="N2185" s="36">
        <v>0</v>
      </c>
      <c r="O2185" s="36">
        <v>215.55</v>
      </c>
      <c r="P2185" t="s">
        <v>127</v>
      </c>
      <c r="Q2185" t="s">
        <v>111</v>
      </c>
      <c r="R2185" t="s">
        <v>111</v>
      </c>
      <c r="S2185" s="1">
        <v>46087</v>
      </c>
      <c r="T2185" s="1">
        <v>46087</v>
      </c>
      <c r="U2185" s="1">
        <v>46091</v>
      </c>
      <c r="V2185" s="1">
        <v>46456</v>
      </c>
      <c r="W2185" t="s">
        <v>38</v>
      </c>
      <c r="X2185">
        <v>12</v>
      </c>
      <c r="Y2185" t="s">
        <v>49</v>
      </c>
      <c r="Z2185" t="s">
        <v>81</v>
      </c>
      <c r="AA2185" t="s">
        <v>112</v>
      </c>
      <c r="AB2185">
        <v>10</v>
      </c>
      <c r="AC2185" t="s">
        <v>113</v>
      </c>
      <c r="AD2185" t="s">
        <v>118</v>
      </c>
      <c r="AE2185" t="s">
        <v>43</v>
      </c>
      <c r="AF2185" t="s">
        <v>119</v>
      </c>
      <c r="AG2185" t="str">
        <f t="shared" si="37"/>
        <v>CC 12x</v>
      </c>
      <c r="AH2185" t="str">
        <f>IF(AND(SUMIF(E:E,E2185,I:I)&gt;=400000,Q2185="B2G"),"n","")</f>
        <v/>
      </c>
    </row>
    <row r="2186" spans="1:34">
      <c r="A2186">
        <v>2026</v>
      </c>
      <c r="B2186">
        <v>3</v>
      </c>
      <c r="C2186" s="83">
        <v>171952795477</v>
      </c>
      <c r="D2186" t="s">
        <v>2041</v>
      </c>
      <c r="E2186">
        <v>57893187213</v>
      </c>
      <c r="F2186">
        <v>627242</v>
      </c>
      <c r="G2186">
        <v>53140788889</v>
      </c>
      <c r="H2186" t="s">
        <v>35</v>
      </c>
      <c r="I2186" s="36">
        <v>8500.92</v>
      </c>
      <c r="J2186" s="36">
        <v>8500.92</v>
      </c>
      <c r="K2186" s="85">
        <v>0</v>
      </c>
      <c r="L2186" s="36">
        <v>708.41</v>
      </c>
      <c r="M2186" s="36">
        <v>0</v>
      </c>
      <c r="N2186" s="36">
        <v>33.2425</v>
      </c>
      <c r="O2186" s="36">
        <v>675.17</v>
      </c>
      <c r="P2186" t="s">
        <v>133</v>
      </c>
      <c r="Q2186" t="s">
        <v>111</v>
      </c>
      <c r="R2186" t="s">
        <v>111</v>
      </c>
      <c r="S2186" s="1">
        <v>46092</v>
      </c>
      <c r="T2186" s="1">
        <v>46092</v>
      </c>
      <c r="U2186" s="1">
        <v>46091</v>
      </c>
      <c r="V2186" s="1">
        <v>46457</v>
      </c>
      <c r="W2186" t="s">
        <v>38</v>
      </c>
      <c r="X2186">
        <v>12</v>
      </c>
      <c r="Y2186" t="s">
        <v>49</v>
      </c>
      <c r="Z2186" t="s">
        <v>81</v>
      </c>
      <c r="AA2186" t="s">
        <v>112</v>
      </c>
      <c r="AB2186">
        <v>12</v>
      </c>
      <c r="AC2186" t="s">
        <v>113</v>
      </c>
      <c r="AD2186" t="s">
        <v>146</v>
      </c>
      <c r="AE2186" t="s">
        <v>135</v>
      </c>
      <c r="AF2186" t="s">
        <v>96</v>
      </c>
      <c r="AG2186" t="str">
        <f t="shared" si="37"/>
        <v>CC 12x</v>
      </c>
      <c r="AH2186" t="str">
        <f>IF(AND(SUMIF(E:E,E2186,I:I)&gt;=400000,Q2186="B2G"),"n","")</f>
        <v/>
      </c>
    </row>
    <row r="2187" spans="1:34">
      <c r="A2187">
        <v>2026</v>
      </c>
      <c r="B2187">
        <v>3</v>
      </c>
      <c r="C2187" s="83">
        <v>172631540917</v>
      </c>
      <c r="D2187" t="s">
        <v>2042</v>
      </c>
      <c r="E2187">
        <v>57816122198</v>
      </c>
      <c r="F2187">
        <v>531353</v>
      </c>
      <c r="G2187">
        <v>53666744170</v>
      </c>
      <c r="H2187" t="s">
        <v>35</v>
      </c>
      <c r="I2187" s="36">
        <v>7155.84</v>
      </c>
      <c r="J2187" s="36">
        <v>7155.84</v>
      </c>
      <c r="K2187" s="85">
        <v>0</v>
      </c>
      <c r="L2187" s="36">
        <v>596.32000000000005</v>
      </c>
      <c r="M2187" s="36">
        <v>0</v>
      </c>
      <c r="N2187" s="36">
        <v>62.387500000000003</v>
      </c>
      <c r="O2187" s="36">
        <v>533.92999999999995</v>
      </c>
      <c r="P2187" t="s">
        <v>137</v>
      </c>
      <c r="Q2187" t="s">
        <v>111</v>
      </c>
      <c r="R2187" t="s">
        <v>111</v>
      </c>
      <c r="S2187" s="1">
        <v>46111</v>
      </c>
      <c r="T2187" s="1">
        <v>46111</v>
      </c>
      <c r="U2187" s="1">
        <v>46111</v>
      </c>
      <c r="V2187" s="1">
        <v>46476</v>
      </c>
      <c r="W2187" t="s">
        <v>38</v>
      </c>
      <c r="X2187">
        <v>12</v>
      </c>
      <c r="Y2187" t="s">
        <v>49</v>
      </c>
      <c r="Z2187" t="s">
        <v>81</v>
      </c>
      <c r="AA2187" t="s">
        <v>122</v>
      </c>
      <c r="AB2187">
        <v>12</v>
      </c>
      <c r="AC2187" t="s">
        <v>113</v>
      </c>
      <c r="AD2187" t="s">
        <v>134</v>
      </c>
      <c r="AE2187" t="s">
        <v>135</v>
      </c>
      <c r="AF2187" t="s">
        <v>44</v>
      </c>
      <c r="AG2187" t="str">
        <f t="shared" si="37"/>
        <v>Recorrente</v>
      </c>
      <c r="AH2187" t="str">
        <f>IF(AND(SUMIF(E:E,E2187,I:I)&gt;=400000,Q2187="B2G"),"n","")</f>
        <v/>
      </c>
    </row>
    <row r="2188" spans="1:34">
      <c r="A2188">
        <v>2026</v>
      </c>
      <c r="B2188">
        <v>3</v>
      </c>
      <c r="C2188" s="83">
        <v>174759096911</v>
      </c>
      <c r="D2188" t="s">
        <v>2043</v>
      </c>
      <c r="E2188">
        <v>55936342397</v>
      </c>
      <c r="F2188">
        <v>627630</v>
      </c>
      <c r="G2188">
        <v>51246519948</v>
      </c>
      <c r="H2188" t="s">
        <v>35</v>
      </c>
      <c r="I2188" s="36">
        <v>4962.6000000000004</v>
      </c>
      <c r="J2188" s="36">
        <v>4962.6000000000004</v>
      </c>
      <c r="K2188" s="85">
        <v>0</v>
      </c>
      <c r="L2188" s="36">
        <v>413.55</v>
      </c>
      <c r="M2188" s="36">
        <v>0</v>
      </c>
      <c r="N2188" s="36">
        <v>48.9</v>
      </c>
      <c r="O2188" s="36">
        <v>364.65</v>
      </c>
      <c r="P2188" t="s">
        <v>165</v>
      </c>
      <c r="Q2188" t="s">
        <v>166</v>
      </c>
      <c r="R2188" t="s">
        <v>166</v>
      </c>
      <c r="S2188" s="1">
        <v>46102</v>
      </c>
      <c r="T2188" s="1">
        <v>46102</v>
      </c>
      <c r="U2188" s="1">
        <v>46102</v>
      </c>
      <c r="V2188" s="1">
        <v>46467</v>
      </c>
      <c r="W2188" t="s">
        <v>38</v>
      </c>
      <c r="X2188">
        <v>12</v>
      </c>
      <c r="Y2188" t="s">
        <v>49</v>
      </c>
      <c r="Z2188" t="s">
        <v>81</v>
      </c>
      <c r="AA2188" t="s">
        <v>112</v>
      </c>
      <c r="AB2188">
        <v>12</v>
      </c>
      <c r="AC2188" t="s">
        <v>166</v>
      </c>
      <c r="AD2188" t="s">
        <v>138</v>
      </c>
      <c r="AE2188" t="s">
        <v>135</v>
      </c>
      <c r="AF2188" t="s">
        <v>119</v>
      </c>
      <c r="AG2188" t="str">
        <f t="shared" si="37"/>
        <v>CC 12x</v>
      </c>
      <c r="AH2188" t="str">
        <f>IF(AND(SUMIF(E:E,E2188,I:I)&gt;=400000,Q2188="B2G"),"n","")</f>
        <v/>
      </c>
    </row>
    <row r="2189" spans="1:34">
      <c r="A2189">
        <v>2026</v>
      </c>
      <c r="B2189">
        <v>3</v>
      </c>
      <c r="C2189" s="83">
        <v>177332419908</v>
      </c>
      <c r="D2189" t="s">
        <v>2044</v>
      </c>
      <c r="E2189">
        <v>55047149329</v>
      </c>
      <c r="F2189">
        <v>278675</v>
      </c>
      <c r="G2189">
        <v>51070236734</v>
      </c>
      <c r="H2189" t="s">
        <v>35</v>
      </c>
      <c r="I2189" s="36">
        <v>4315.2</v>
      </c>
      <c r="J2189" s="36">
        <v>4315.2</v>
      </c>
      <c r="K2189" s="85">
        <v>0</v>
      </c>
      <c r="L2189" s="36">
        <v>359.6</v>
      </c>
      <c r="M2189" s="36">
        <v>0</v>
      </c>
      <c r="N2189" s="36">
        <v>46.87</v>
      </c>
      <c r="O2189" s="36">
        <v>312.73</v>
      </c>
      <c r="P2189" t="s">
        <v>121</v>
      </c>
      <c r="Q2189" t="s">
        <v>111</v>
      </c>
      <c r="R2189" t="s">
        <v>111</v>
      </c>
      <c r="S2189" s="1">
        <v>46090</v>
      </c>
      <c r="T2189" s="1">
        <v>46090</v>
      </c>
      <c r="U2189" s="1">
        <v>46090</v>
      </c>
      <c r="V2189" s="1">
        <v>46455</v>
      </c>
      <c r="W2189" t="s">
        <v>38</v>
      </c>
      <c r="X2189">
        <v>12</v>
      </c>
      <c r="Y2189" t="s">
        <v>49</v>
      </c>
      <c r="Z2189" t="s">
        <v>81</v>
      </c>
      <c r="AA2189" t="s">
        <v>122</v>
      </c>
      <c r="AB2189">
        <v>12</v>
      </c>
      <c r="AC2189" t="s">
        <v>113</v>
      </c>
      <c r="AD2189" t="s">
        <v>84</v>
      </c>
      <c r="AE2189" t="s">
        <v>43</v>
      </c>
      <c r="AF2189" t="s">
        <v>44</v>
      </c>
      <c r="AG2189" t="str">
        <f t="shared" si="37"/>
        <v>Recorrente</v>
      </c>
      <c r="AH2189" t="str">
        <f>IF(AND(SUMIF(E:E,E2189,I:I)&gt;=400000,Q2189="B2G"),"n","")</f>
        <v/>
      </c>
    </row>
    <row r="2190" spans="1:34">
      <c r="A2190">
        <v>2026</v>
      </c>
      <c r="B2190">
        <v>3</v>
      </c>
      <c r="C2190" s="83">
        <v>177332419908</v>
      </c>
      <c r="D2190" t="s">
        <v>2044</v>
      </c>
      <c r="E2190">
        <v>55047149329</v>
      </c>
      <c r="F2190">
        <v>278675</v>
      </c>
      <c r="G2190">
        <v>51070236735</v>
      </c>
      <c r="H2190" t="s">
        <v>35</v>
      </c>
      <c r="I2190" s="36">
        <v>4315.2</v>
      </c>
      <c r="J2190" s="36">
        <v>4315.2</v>
      </c>
      <c r="K2190" s="85">
        <v>0</v>
      </c>
      <c r="L2190" s="36">
        <v>359.6</v>
      </c>
      <c r="M2190" s="36">
        <v>0</v>
      </c>
      <c r="N2190" s="36">
        <v>46.87</v>
      </c>
      <c r="O2190" s="36">
        <v>312.73</v>
      </c>
      <c r="P2190" t="s">
        <v>121</v>
      </c>
      <c r="Q2190" t="s">
        <v>111</v>
      </c>
      <c r="R2190" t="s">
        <v>111</v>
      </c>
      <c r="S2190" s="1">
        <v>46090</v>
      </c>
      <c r="T2190" s="1">
        <v>46090</v>
      </c>
      <c r="U2190" s="1">
        <v>46090</v>
      </c>
      <c r="V2190" s="1">
        <v>46455</v>
      </c>
      <c r="W2190" t="s">
        <v>38</v>
      </c>
      <c r="X2190">
        <v>12</v>
      </c>
      <c r="Y2190" t="s">
        <v>49</v>
      </c>
      <c r="Z2190" t="s">
        <v>81</v>
      </c>
      <c r="AA2190" t="s">
        <v>122</v>
      </c>
      <c r="AB2190">
        <v>12</v>
      </c>
      <c r="AC2190" t="s">
        <v>113</v>
      </c>
      <c r="AD2190" t="s">
        <v>85</v>
      </c>
      <c r="AE2190" t="s">
        <v>46</v>
      </c>
      <c r="AF2190" t="s">
        <v>44</v>
      </c>
      <c r="AG2190" t="str">
        <f t="shared" si="37"/>
        <v>Recorrente</v>
      </c>
      <c r="AH2190" t="str">
        <f>IF(AND(SUMIF(E:E,E2190,I:I)&gt;=400000,Q2190="B2G"),"n","")</f>
        <v/>
      </c>
    </row>
    <row r="2191" spans="1:34">
      <c r="A2191">
        <v>2026</v>
      </c>
      <c r="B2191">
        <v>3</v>
      </c>
      <c r="C2191" s="83">
        <v>177473116771</v>
      </c>
      <c r="D2191" t="s">
        <v>2045</v>
      </c>
      <c r="E2191">
        <v>58452320414</v>
      </c>
      <c r="F2191">
        <v>634846</v>
      </c>
      <c r="G2191">
        <v>53602001488</v>
      </c>
      <c r="H2191" t="s">
        <v>35</v>
      </c>
      <c r="I2191" s="36">
        <v>2545.92</v>
      </c>
      <c r="J2191" s="36">
        <v>3842.76</v>
      </c>
      <c r="K2191" s="85">
        <v>0</v>
      </c>
      <c r="L2191" s="36">
        <v>320.23</v>
      </c>
      <c r="M2191" s="36">
        <v>0</v>
      </c>
      <c r="N2191" s="36">
        <v>320.23</v>
      </c>
      <c r="O2191" s="36">
        <v>0</v>
      </c>
      <c r="P2191" t="s">
        <v>1073</v>
      </c>
      <c r="Q2191" t="s">
        <v>314</v>
      </c>
      <c r="R2191" t="s">
        <v>314</v>
      </c>
      <c r="S2191" s="1">
        <v>46108</v>
      </c>
      <c r="T2191" s="1">
        <v>46108</v>
      </c>
      <c r="U2191" s="1">
        <v>46350</v>
      </c>
      <c r="V2191" s="1">
        <v>46350</v>
      </c>
      <c r="W2191" t="s">
        <v>38</v>
      </c>
      <c r="X2191">
        <v>8</v>
      </c>
      <c r="Y2191" t="s">
        <v>49</v>
      </c>
      <c r="Z2191" t="s">
        <v>324</v>
      </c>
      <c r="AA2191" t="s">
        <v>122</v>
      </c>
      <c r="AB2191">
        <v>7</v>
      </c>
      <c r="AC2191" t="s">
        <v>315</v>
      </c>
      <c r="AD2191" t="s">
        <v>134</v>
      </c>
      <c r="AE2191" t="s">
        <v>135</v>
      </c>
      <c r="AF2191" t="s">
        <v>44</v>
      </c>
      <c r="AG2191" t="str">
        <f t="shared" si="37"/>
        <v>Recorrente</v>
      </c>
      <c r="AH2191" t="str">
        <f>IF(AND(SUMIF(E:E,E2191,I:I)&gt;=400000,Q2191="B2G"),"n","")</f>
        <v/>
      </c>
    </row>
    <row r="2192" spans="1:34">
      <c r="A2192">
        <v>2026</v>
      </c>
      <c r="B2192">
        <v>3</v>
      </c>
      <c r="C2192" s="83">
        <v>179436288907</v>
      </c>
      <c r="D2192" t="s">
        <v>2046</v>
      </c>
      <c r="E2192">
        <v>57941816153</v>
      </c>
      <c r="F2192">
        <v>635475</v>
      </c>
      <c r="G2192">
        <v>53206470241</v>
      </c>
      <c r="H2192" t="s">
        <v>35</v>
      </c>
      <c r="I2192" s="36">
        <v>5200.4399999999996</v>
      </c>
      <c r="J2192" s="36">
        <v>6374.52</v>
      </c>
      <c r="K2192" s="85">
        <v>0</v>
      </c>
      <c r="L2192" s="36">
        <v>531.21</v>
      </c>
      <c r="M2192" s="36">
        <v>0</v>
      </c>
      <c r="N2192" s="36">
        <v>531.21</v>
      </c>
      <c r="O2192" s="36">
        <v>0</v>
      </c>
      <c r="P2192" t="s">
        <v>323</v>
      </c>
      <c r="Q2192" t="s">
        <v>191</v>
      </c>
      <c r="R2192" t="s">
        <v>191</v>
      </c>
      <c r="S2192" s="1">
        <v>46094</v>
      </c>
      <c r="T2192" s="1">
        <v>46094</v>
      </c>
      <c r="U2192" s="1">
        <v>46392</v>
      </c>
      <c r="V2192" s="1">
        <v>46392</v>
      </c>
      <c r="W2192" t="s">
        <v>38</v>
      </c>
      <c r="X2192">
        <v>10</v>
      </c>
      <c r="Y2192" t="s">
        <v>49</v>
      </c>
      <c r="Z2192" t="s">
        <v>324</v>
      </c>
      <c r="AA2192" t="s">
        <v>117</v>
      </c>
      <c r="AB2192">
        <v>1</v>
      </c>
      <c r="AC2192" t="s">
        <v>192</v>
      </c>
      <c r="AD2192" t="s">
        <v>146</v>
      </c>
      <c r="AE2192" t="s">
        <v>135</v>
      </c>
      <c r="AF2192" t="s">
        <v>96</v>
      </c>
      <c r="AG2192" t="str">
        <f t="shared" si="37"/>
        <v>À Vista</v>
      </c>
      <c r="AH2192" t="str">
        <f>IF(AND(SUMIF(E:E,E2192,I:I)&gt;=400000,Q2192="B2G"),"n","")</f>
        <v/>
      </c>
    </row>
    <row r="2193" spans="1:34">
      <c r="A2193">
        <v>2026</v>
      </c>
      <c r="B2193">
        <v>3</v>
      </c>
      <c r="C2193" s="83">
        <v>179583011945</v>
      </c>
      <c r="D2193" t="s">
        <v>2047</v>
      </c>
      <c r="E2193">
        <v>58528500844</v>
      </c>
      <c r="F2193">
        <v>634939</v>
      </c>
      <c r="G2193">
        <v>53747509047</v>
      </c>
      <c r="H2193" t="s">
        <v>35</v>
      </c>
      <c r="I2193" s="36">
        <v>1749.72</v>
      </c>
      <c r="J2193" s="36">
        <v>2641.08</v>
      </c>
      <c r="K2193" s="85">
        <v>0</v>
      </c>
      <c r="L2193" s="36">
        <v>220.09</v>
      </c>
      <c r="M2193" s="36">
        <v>0</v>
      </c>
      <c r="N2193" s="36">
        <v>220.09</v>
      </c>
      <c r="O2193" s="36">
        <v>0</v>
      </c>
      <c r="P2193" t="s">
        <v>323</v>
      </c>
      <c r="Q2193" t="s">
        <v>191</v>
      </c>
      <c r="R2193" t="s">
        <v>191</v>
      </c>
      <c r="S2193" s="1">
        <v>46111</v>
      </c>
      <c r="T2193" s="1">
        <v>46111</v>
      </c>
      <c r="U2193" s="1">
        <v>46353</v>
      </c>
      <c r="V2193" s="1">
        <v>46353</v>
      </c>
      <c r="W2193" t="s">
        <v>38</v>
      </c>
      <c r="X2193">
        <v>8</v>
      </c>
      <c r="Y2193" t="s">
        <v>49</v>
      </c>
      <c r="Z2193" t="s">
        <v>324</v>
      </c>
      <c r="AA2193" t="s">
        <v>112</v>
      </c>
      <c r="AB2193">
        <v>8</v>
      </c>
      <c r="AC2193" t="s">
        <v>192</v>
      </c>
      <c r="AD2193" t="s">
        <v>138</v>
      </c>
      <c r="AE2193" t="s">
        <v>135</v>
      </c>
      <c r="AF2193" t="s">
        <v>119</v>
      </c>
      <c r="AG2193" t="str">
        <f t="shared" si="37"/>
        <v>CC 12x</v>
      </c>
      <c r="AH2193" t="str">
        <f>IF(AND(SUMIF(E:E,E2193,I:I)&gt;=400000,Q2193="B2G"),"n","")</f>
        <v/>
      </c>
    </row>
    <row r="2194" spans="1:34">
      <c r="A2194">
        <v>2026</v>
      </c>
      <c r="B2194">
        <v>3</v>
      </c>
      <c r="C2194" s="83">
        <v>179799237139</v>
      </c>
      <c r="D2194" t="s">
        <v>2048</v>
      </c>
      <c r="E2194">
        <v>58011577398</v>
      </c>
      <c r="F2194">
        <v>529893</v>
      </c>
      <c r="G2194">
        <v>53241347358</v>
      </c>
      <c r="H2194" t="s">
        <v>35</v>
      </c>
      <c r="I2194" s="36">
        <v>4527.24</v>
      </c>
      <c r="J2194" s="36">
        <v>4527.24</v>
      </c>
      <c r="K2194" s="85">
        <v>0</v>
      </c>
      <c r="L2194" s="36">
        <v>377.27</v>
      </c>
      <c r="M2194" s="36">
        <v>0</v>
      </c>
      <c r="N2194" s="36">
        <v>53.924045</v>
      </c>
      <c r="O2194" s="36">
        <v>323.35000000000002</v>
      </c>
      <c r="P2194" t="s">
        <v>116</v>
      </c>
      <c r="Q2194" t="s">
        <v>111</v>
      </c>
      <c r="R2194" t="s">
        <v>111</v>
      </c>
      <c r="S2194" s="1">
        <v>46097</v>
      </c>
      <c r="T2194" s="1">
        <v>46097</v>
      </c>
      <c r="U2194" s="1">
        <v>46096</v>
      </c>
      <c r="V2194" s="1">
        <v>46462</v>
      </c>
      <c r="W2194" t="s">
        <v>38</v>
      </c>
      <c r="X2194">
        <v>12</v>
      </c>
      <c r="Y2194" t="s">
        <v>49</v>
      </c>
      <c r="Z2194" t="s">
        <v>81</v>
      </c>
      <c r="AA2194" t="s">
        <v>122</v>
      </c>
      <c r="AB2194">
        <v>12</v>
      </c>
      <c r="AC2194" t="s">
        <v>113</v>
      </c>
      <c r="AD2194" t="s">
        <v>174</v>
      </c>
      <c r="AE2194" t="s">
        <v>43</v>
      </c>
      <c r="AF2194" t="s">
        <v>47</v>
      </c>
      <c r="AG2194" t="str">
        <f t="shared" si="37"/>
        <v>Recorrente</v>
      </c>
      <c r="AH2194" t="str">
        <f>IF(AND(SUMIF(E:E,E2194,I:I)&gt;=400000,Q2194="B2G"),"n","")</f>
        <v/>
      </c>
    </row>
    <row r="2195" spans="1:34">
      <c r="A2195">
        <v>2026</v>
      </c>
      <c r="B2195">
        <v>3</v>
      </c>
      <c r="C2195" s="83">
        <v>179806241189</v>
      </c>
      <c r="D2195" t="s">
        <v>2049</v>
      </c>
      <c r="E2195">
        <v>57939030045</v>
      </c>
      <c r="F2195">
        <v>636462</v>
      </c>
      <c r="G2195">
        <v>53170208628</v>
      </c>
      <c r="H2195" t="s">
        <v>35</v>
      </c>
      <c r="I2195" s="36">
        <v>4971.3599999999997</v>
      </c>
      <c r="J2195" s="36">
        <v>4971.3599999999997</v>
      </c>
      <c r="K2195" s="85">
        <v>0</v>
      </c>
      <c r="L2195" s="36">
        <v>414.28</v>
      </c>
      <c r="M2195" s="36">
        <v>414.28</v>
      </c>
      <c r="N2195" s="36">
        <v>0</v>
      </c>
      <c r="O2195" s="36">
        <v>0</v>
      </c>
      <c r="P2195" t="s">
        <v>1073</v>
      </c>
      <c r="Q2195" t="s">
        <v>314</v>
      </c>
      <c r="R2195" t="s">
        <v>314</v>
      </c>
      <c r="S2195" s="1">
        <v>46092</v>
      </c>
      <c r="T2195" s="1">
        <v>46092</v>
      </c>
      <c r="V2195" s="1">
        <v>46457</v>
      </c>
      <c r="W2195" t="s">
        <v>38</v>
      </c>
      <c r="X2195">
        <v>12</v>
      </c>
      <c r="Y2195" t="s">
        <v>49</v>
      </c>
      <c r="AA2195" t="s">
        <v>112</v>
      </c>
      <c r="AB2195">
        <v>12</v>
      </c>
      <c r="AC2195" t="s">
        <v>315</v>
      </c>
      <c r="AD2195" t="s">
        <v>85</v>
      </c>
      <c r="AE2195" t="s">
        <v>46</v>
      </c>
      <c r="AF2195" t="s">
        <v>44</v>
      </c>
      <c r="AG2195" t="str">
        <f t="shared" si="37"/>
        <v>CC 12x</v>
      </c>
      <c r="AH2195" t="str">
        <f>IF(AND(SUMIF(E:E,E2195,I:I)&gt;=400000,Q2195="B2G"),"n","")</f>
        <v/>
      </c>
    </row>
    <row r="2196" spans="1:34">
      <c r="A2196">
        <v>2026</v>
      </c>
      <c r="B2196">
        <v>3</v>
      </c>
      <c r="C2196" s="83">
        <v>180354188080</v>
      </c>
      <c r="D2196" t="s">
        <v>2050</v>
      </c>
      <c r="E2196">
        <v>57955184692</v>
      </c>
      <c r="F2196">
        <v>636543</v>
      </c>
      <c r="G2196">
        <v>53239515925</v>
      </c>
      <c r="H2196" t="s">
        <v>35</v>
      </c>
      <c r="I2196" s="36">
        <v>1724.4</v>
      </c>
      <c r="J2196" s="36">
        <v>1724.4</v>
      </c>
      <c r="K2196" s="85">
        <v>2.2737400000000001E-13</v>
      </c>
      <c r="L2196" s="36">
        <v>143.69999999999999</v>
      </c>
      <c r="M2196" s="36">
        <v>143.69999999999999</v>
      </c>
      <c r="N2196" s="36">
        <v>0</v>
      </c>
      <c r="O2196" s="36">
        <v>0</v>
      </c>
      <c r="P2196" t="s">
        <v>511</v>
      </c>
      <c r="Q2196" t="s">
        <v>300</v>
      </c>
      <c r="R2196" t="s">
        <v>80</v>
      </c>
      <c r="S2196" s="1">
        <v>46097</v>
      </c>
      <c r="T2196" s="1">
        <v>46097</v>
      </c>
      <c r="V2196" s="1">
        <v>46462</v>
      </c>
      <c r="W2196" t="s">
        <v>38</v>
      </c>
      <c r="X2196">
        <v>12</v>
      </c>
      <c r="Y2196" t="s">
        <v>49</v>
      </c>
      <c r="AA2196" t="s">
        <v>112</v>
      </c>
      <c r="AB2196">
        <v>12</v>
      </c>
      <c r="AC2196" t="s">
        <v>495</v>
      </c>
      <c r="AD2196" t="s">
        <v>118</v>
      </c>
      <c r="AE2196" t="s">
        <v>43</v>
      </c>
      <c r="AF2196" t="s">
        <v>119</v>
      </c>
      <c r="AG2196" t="str">
        <f t="shared" si="37"/>
        <v>CC 12x</v>
      </c>
      <c r="AH2196" t="str">
        <f>IF(AND(SUMIF(E:E,E2196,I:I)&gt;=400000,Q2196="B2G"),"n","")</f>
        <v/>
      </c>
    </row>
    <row r="2197" spans="1:34">
      <c r="A2197">
        <v>2026</v>
      </c>
      <c r="B2197">
        <v>3</v>
      </c>
      <c r="C2197" s="83">
        <v>181548294456</v>
      </c>
      <c r="D2197" t="s">
        <v>2051</v>
      </c>
      <c r="E2197">
        <v>57819005557</v>
      </c>
      <c r="F2197">
        <v>636418</v>
      </c>
      <c r="G2197">
        <v>53072769309</v>
      </c>
      <c r="H2197" t="s">
        <v>35</v>
      </c>
      <c r="I2197" s="36">
        <v>4765.4399999999996</v>
      </c>
      <c r="J2197" s="36">
        <v>4765.5</v>
      </c>
      <c r="K2197" s="85">
        <v>0</v>
      </c>
      <c r="L2197" s="36">
        <v>397.125</v>
      </c>
      <c r="M2197" s="36">
        <v>0</v>
      </c>
      <c r="N2197" s="36">
        <v>100.22499999999999</v>
      </c>
      <c r="O2197" s="36">
        <v>296.89999999999998</v>
      </c>
      <c r="P2197" t="s">
        <v>367</v>
      </c>
      <c r="Q2197" t="s">
        <v>191</v>
      </c>
      <c r="R2197" t="s">
        <v>191</v>
      </c>
      <c r="S2197" s="1">
        <v>46090</v>
      </c>
      <c r="T2197" s="1">
        <v>46090</v>
      </c>
      <c r="U2197" s="1"/>
      <c r="V2197" s="1">
        <v>46455</v>
      </c>
      <c r="W2197" t="s">
        <v>38</v>
      </c>
      <c r="Y2197" t="s">
        <v>49</v>
      </c>
      <c r="AA2197" t="s">
        <v>112</v>
      </c>
      <c r="AB2197">
        <v>12</v>
      </c>
      <c r="AC2197" t="s">
        <v>192</v>
      </c>
      <c r="AD2197" t="s">
        <v>174</v>
      </c>
      <c r="AE2197" t="s">
        <v>43</v>
      </c>
      <c r="AF2197" t="s">
        <v>47</v>
      </c>
      <c r="AG2197" t="str">
        <f t="shared" si="37"/>
        <v>CC 12x</v>
      </c>
      <c r="AH2197" t="str">
        <f>IF(AND(SUMIF(E:E,E2197,I:I)&gt;=400000,Q2197="B2G"),"n","")</f>
        <v/>
      </c>
    </row>
    <row r="2198" spans="1:34">
      <c r="A2198">
        <v>2026</v>
      </c>
      <c r="B2198">
        <v>3</v>
      </c>
      <c r="C2198" s="83">
        <v>181548294456</v>
      </c>
      <c r="D2198" t="s">
        <v>2051</v>
      </c>
      <c r="E2198">
        <v>57819005557</v>
      </c>
      <c r="F2198">
        <v>636418</v>
      </c>
      <c r="G2198">
        <v>53072769310</v>
      </c>
      <c r="H2198" t="s">
        <v>35</v>
      </c>
      <c r="I2198" s="36">
        <v>4765.4399999999996</v>
      </c>
      <c r="J2198" s="36">
        <v>4765.5</v>
      </c>
      <c r="K2198" s="85">
        <v>0</v>
      </c>
      <c r="L2198" s="36">
        <v>397.125</v>
      </c>
      <c r="M2198" s="36">
        <v>0</v>
      </c>
      <c r="N2198" s="36">
        <v>100.22499999999999</v>
      </c>
      <c r="O2198" s="36">
        <v>296.89999999999998</v>
      </c>
      <c r="P2198" t="s">
        <v>367</v>
      </c>
      <c r="Q2198" t="s">
        <v>191</v>
      </c>
      <c r="R2198" t="s">
        <v>191</v>
      </c>
      <c r="S2198" s="1">
        <v>46090</v>
      </c>
      <c r="T2198" s="1">
        <v>46090</v>
      </c>
      <c r="U2198" s="1"/>
      <c r="V2198" s="1">
        <v>46455</v>
      </c>
      <c r="W2198" t="s">
        <v>38</v>
      </c>
      <c r="Y2198" t="s">
        <v>49</v>
      </c>
      <c r="AA2198" t="s">
        <v>112</v>
      </c>
      <c r="AB2198">
        <v>12</v>
      </c>
      <c r="AC2198" t="s">
        <v>192</v>
      </c>
      <c r="AD2198" t="s">
        <v>158</v>
      </c>
      <c r="AE2198" t="s">
        <v>43</v>
      </c>
      <c r="AF2198" t="s">
        <v>47</v>
      </c>
      <c r="AG2198" t="str">
        <f t="shared" si="37"/>
        <v>CC 12x</v>
      </c>
      <c r="AH2198" t="str">
        <f>IF(AND(SUMIF(E:E,E2198,I:I)&gt;=400000,Q2198="B2G"),"n","")</f>
        <v/>
      </c>
    </row>
    <row r="2199" spans="1:34">
      <c r="A2199">
        <v>2026</v>
      </c>
      <c r="B2199">
        <v>3</v>
      </c>
      <c r="C2199" s="83">
        <v>182003986080</v>
      </c>
      <c r="D2199" t="s">
        <v>2052</v>
      </c>
      <c r="E2199">
        <v>58332972180</v>
      </c>
      <c r="F2199">
        <v>611539</v>
      </c>
      <c r="G2199">
        <v>53666643886</v>
      </c>
      <c r="H2199" t="s">
        <v>35</v>
      </c>
      <c r="I2199" s="36">
        <v>3523.8</v>
      </c>
      <c r="J2199" s="36">
        <v>3523.8</v>
      </c>
      <c r="K2199" s="85">
        <v>0</v>
      </c>
      <c r="L2199" s="36">
        <v>293.64999999999998</v>
      </c>
      <c r="M2199" s="36">
        <v>0</v>
      </c>
      <c r="N2199" s="36">
        <v>63.39</v>
      </c>
      <c r="O2199" s="36">
        <v>230.26</v>
      </c>
      <c r="P2199" t="s">
        <v>121</v>
      </c>
      <c r="Q2199" t="s">
        <v>111</v>
      </c>
      <c r="R2199" t="s">
        <v>111</v>
      </c>
      <c r="S2199" s="1">
        <v>46108</v>
      </c>
      <c r="T2199" s="1">
        <v>46108</v>
      </c>
      <c r="U2199" s="1">
        <v>46107</v>
      </c>
      <c r="V2199" s="1">
        <v>46473</v>
      </c>
      <c r="W2199" t="s">
        <v>38</v>
      </c>
      <c r="X2199">
        <v>12</v>
      </c>
      <c r="Y2199" t="s">
        <v>49</v>
      </c>
      <c r="Z2199" t="s">
        <v>81</v>
      </c>
      <c r="AA2199" t="s">
        <v>112</v>
      </c>
      <c r="AB2199">
        <v>1</v>
      </c>
      <c r="AC2199" t="s">
        <v>113</v>
      </c>
      <c r="AD2199" t="s">
        <v>84</v>
      </c>
      <c r="AE2199" t="s">
        <v>43</v>
      </c>
      <c r="AF2199" t="s">
        <v>44</v>
      </c>
      <c r="AG2199" t="str">
        <f t="shared" si="37"/>
        <v>À Vista</v>
      </c>
      <c r="AH2199" t="str">
        <f>IF(AND(SUMIF(E:E,E2199,I:I)&gt;=400000,Q2199="B2G"),"n","")</f>
        <v/>
      </c>
    </row>
    <row r="2200" spans="1:34">
      <c r="A2200">
        <v>2026</v>
      </c>
      <c r="B2200">
        <v>3</v>
      </c>
      <c r="C2200" s="83">
        <v>182110532906</v>
      </c>
      <c r="D2200" t="s">
        <v>2053</v>
      </c>
      <c r="E2200">
        <v>56194057075</v>
      </c>
      <c r="F2200">
        <v>508459</v>
      </c>
      <c r="G2200">
        <v>53206463540</v>
      </c>
      <c r="H2200" t="s">
        <v>35</v>
      </c>
      <c r="I2200" s="36">
        <v>7686.36</v>
      </c>
      <c r="J2200" s="36">
        <v>3843.18</v>
      </c>
      <c r="K2200" s="85">
        <v>3843.18</v>
      </c>
      <c r="L2200" s="36">
        <v>320.26499999999999</v>
      </c>
      <c r="M2200" s="36">
        <v>0</v>
      </c>
      <c r="N2200" s="36">
        <v>110.614</v>
      </c>
      <c r="O2200" s="36">
        <v>209.655</v>
      </c>
      <c r="P2200" t="s">
        <v>162</v>
      </c>
      <c r="Q2200" t="s">
        <v>111</v>
      </c>
      <c r="R2200" t="s">
        <v>111</v>
      </c>
      <c r="S2200" s="1">
        <v>46094</v>
      </c>
      <c r="T2200" s="1">
        <v>46094</v>
      </c>
      <c r="U2200" s="1">
        <v>46111</v>
      </c>
      <c r="V2200" s="1">
        <v>46842</v>
      </c>
      <c r="W2200" t="s">
        <v>56</v>
      </c>
      <c r="X2200">
        <v>24</v>
      </c>
      <c r="Y2200" t="s">
        <v>49</v>
      </c>
      <c r="Z2200" t="s">
        <v>81</v>
      </c>
      <c r="AA2200" t="s">
        <v>112</v>
      </c>
      <c r="AB2200">
        <v>12</v>
      </c>
      <c r="AC2200" t="s">
        <v>113</v>
      </c>
      <c r="AD2200" t="s">
        <v>84</v>
      </c>
      <c r="AE2200" t="s">
        <v>43</v>
      </c>
      <c r="AF2200" t="s">
        <v>44</v>
      </c>
      <c r="AG2200" t="str">
        <f t="shared" si="37"/>
        <v>CC 12x</v>
      </c>
      <c r="AH2200" t="str">
        <f>IF(AND(SUMIF(E:E,E2200,I:I)&gt;=400000,Q2200="B2G"),"n","")</f>
        <v/>
      </c>
    </row>
    <row r="2201" spans="1:34">
      <c r="A2201">
        <v>2026</v>
      </c>
      <c r="B2201">
        <v>3</v>
      </c>
      <c r="C2201" s="83">
        <v>182110532906</v>
      </c>
      <c r="D2201" t="s">
        <v>2053</v>
      </c>
      <c r="E2201">
        <v>56194057075</v>
      </c>
      <c r="F2201">
        <v>508459</v>
      </c>
      <c r="G2201">
        <v>53206463541</v>
      </c>
      <c r="H2201" t="s">
        <v>35</v>
      </c>
      <c r="I2201" s="36">
        <v>7686.36</v>
      </c>
      <c r="J2201" s="36">
        <v>3843.18</v>
      </c>
      <c r="K2201" s="85">
        <v>3843.18</v>
      </c>
      <c r="L2201" s="36">
        <v>320.26499999999999</v>
      </c>
      <c r="M2201" s="36">
        <v>0</v>
      </c>
      <c r="N2201" s="36">
        <v>110.614</v>
      </c>
      <c r="O2201" s="36">
        <v>209.655</v>
      </c>
      <c r="P2201" t="s">
        <v>162</v>
      </c>
      <c r="Q2201" t="s">
        <v>111</v>
      </c>
      <c r="R2201" t="s">
        <v>111</v>
      </c>
      <c r="S2201" s="1">
        <v>46094</v>
      </c>
      <c r="T2201" s="1">
        <v>46094</v>
      </c>
      <c r="U2201" s="1">
        <v>46111</v>
      </c>
      <c r="V2201" s="1">
        <v>46842</v>
      </c>
      <c r="W2201" t="s">
        <v>56</v>
      </c>
      <c r="X2201">
        <v>24</v>
      </c>
      <c r="Y2201" t="s">
        <v>49</v>
      </c>
      <c r="Z2201" t="s">
        <v>81</v>
      </c>
      <c r="AA2201" t="s">
        <v>112</v>
      </c>
      <c r="AB2201">
        <v>12</v>
      </c>
      <c r="AC2201" t="s">
        <v>113</v>
      </c>
      <c r="AD2201" t="s">
        <v>85</v>
      </c>
      <c r="AE2201" t="s">
        <v>46</v>
      </c>
      <c r="AF2201" t="s">
        <v>44</v>
      </c>
      <c r="AG2201" t="str">
        <f t="shared" si="37"/>
        <v>CC 12x</v>
      </c>
      <c r="AH2201" t="str">
        <f>IF(AND(SUMIF(E:E,E2201,I:I)&gt;=400000,Q2201="B2G"),"n","")</f>
        <v/>
      </c>
    </row>
    <row r="2202" spans="1:34">
      <c r="A2202">
        <v>2026</v>
      </c>
      <c r="B2202">
        <v>3</v>
      </c>
      <c r="C2202" s="83">
        <v>182180081499</v>
      </c>
      <c r="D2202" t="s">
        <v>2054</v>
      </c>
      <c r="E2202">
        <v>55228944897</v>
      </c>
      <c r="F2202">
        <v>627301</v>
      </c>
      <c r="G2202">
        <v>50697652622</v>
      </c>
      <c r="H2202" t="s">
        <v>35</v>
      </c>
      <c r="I2202" s="36">
        <v>5034</v>
      </c>
      <c r="J2202" s="36">
        <v>5034</v>
      </c>
      <c r="K2202" s="85">
        <v>0</v>
      </c>
      <c r="L2202" s="36">
        <v>419.5</v>
      </c>
      <c r="M2202" s="36">
        <v>0</v>
      </c>
      <c r="N2202" s="36">
        <v>76.790000000000006</v>
      </c>
      <c r="O2202" s="36">
        <v>342.71</v>
      </c>
      <c r="P2202" t="s">
        <v>127</v>
      </c>
      <c r="Q2202" t="s">
        <v>111</v>
      </c>
      <c r="R2202" t="s">
        <v>111</v>
      </c>
      <c r="S2202" s="1">
        <v>46092</v>
      </c>
      <c r="T2202" s="1">
        <v>46092</v>
      </c>
      <c r="U2202" s="1">
        <v>46093</v>
      </c>
      <c r="V2202" s="1">
        <v>46458</v>
      </c>
      <c r="W2202" t="s">
        <v>38</v>
      </c>
      <c r="X2202">
        <v>12</v>
      </c>
      <c r="Y2202" t="s">
        <v>49</v>
      </c>
      <c r="Z2202" t="s">
        <v>81</v>
      </c>
      <c r="AA2202" t="s">
        <v>122</v>
      </c>
      <c r="AB2202">
        <v>12</v>
      </c>
      <c r="AC2202" t="s">
        <v>113</v>
      </c>
      <c r="AD2202" t="s">
        <v>84</v>
      </c>
      <c r="AE2202" t="s">
        <v>43</v>
      </c>
      <c r="AF2202" t="s">
        <v>44</v>
      </c>
      <c r="AG2202" t="str">
        <f t="shared" si="37"/>
        <v>Recorrente</v>
      </c>
      <c r="AH2202" t="str">
        <f>IF(AND(SUMIF(E:E,E2202,I:I)&gt;=400000,Q2202="B2G"),"n","")</f>
        <v/>
      </c>
    </row>
    <row r="2203" spans="1:34">
      <c r="A2203">
        <v>2026</v>
      </c>
      <c r="B2203">
        <v>3</v>
      </c>
      <c r="C2203" s="83">
        <v>183102260134</v>
      </c>
      <c r="D2203" t="s">
        <v>2055</v>
      </c>
      <c r="E2203">
        <v>55746514076</v>
      </c>
      <c r="F2203">
        <v>291824</v>
      </c>
      <c r="G2203">
        <v>51982190712</v>
      </c>
      <c r="H2203" t="s">
        <v>35</v>
      </c>
      <c r="I2203" s="36">
        <v>6361.08</v>
      </c>
      <c r="J2203" s="36">
        <v>6361.08</v>
      </c>
      <c r="K2203" s="85">
        <v>0</v>
      </c>
      <c r="L2203" s="36">
        <v>530.09</v>
      </c>
      <c r="M2203" s="36">
        <v>0</v>
      </c>
      <c r="N2203" s="36">
        <v>57.87</v>
      </c>
      <c r="O2203" s="36">
        <v>472.22</v>
      </c>
      <c r="P2203" t="s">
        <v>127</v>
      </c>
      <c r="Q2203" t="s">
        <v>111</v>
      </c>
      <c r="R2203" t="s">
        <v>111</v>
      </c>
      <c r="S2203" s="1">
        <v>46073</v>
      </c>
      <c r="T2203" s="1">
        <v>46082</v>
      </c>
      <c r="U2203" s="1">
        <v>46084</v>
      </c>
      <c r="V2203" s="1">
        <v>46449</v>
      </c>
      <c r="W2203" t="s">
        <v>38</v>
      </c>
      <c r="X2203">
        <v>12</v>
      </c>
      <c r="Y2203" t="s">
        <v>49</v>
      </c>
      <c r="Z2203" t="s">
        <v>81</v>
      </c>
      <c r="AA2203" t="s">
        <v>117</v>
      </c>
      <c r="AB2203">
        <v>1</v>
      </c>
      <c r="AC2203" t="s">
        <v>113</v>
      </c>
      <c r="AD2203" t="s">
        <v>134</v>
      </c>
      <c r="AE2203" t="s">
        <v>135</v>
      </c>
      <c r="AF2203" t="s">
        <v>44</v>
      </c>
      <c r="AG2203" t="str">
        <f t="shared" si="37"/>
        <v>À Vista</v>
      </c>
      <c r="AH2203" t="str">
        <f>IF(AND(SUMIF(E:E,E2203,I:I)&gt;=400000,Q2203="B2G"),"n","")</f>
        <v/>
      </c>
    </row>
    <row r="2204" spans="1:34">
      <c r="A2204">
        <v>2026</v>
      </c>
      <c r="B2204">
        <v>3</v>
      </c>
      <c r="C2204" s="83">
        <v>183361289304</v>
      </c>
      <c r="D2204" t="s">
        <v>2056</v>
      </c>
      <c r="E2204">
        <v>57445931340</v>
      </c>
      <c r="F2204">
        <v>636618</v>
      </c>
      <c r="G2204">
        <v>52704226155</v>
      </c>
      <c r="H2204" t="s">
        <v>35</v>
      </c>
      <c r="I2204" s="36">
        <v>2757</v>
      </c>
      <c r="J2204" s="36">
        <v>2757</v>
      </c>
      <c r="K2204" s="85">
        <v>0</v>
      </c>
      <c r="L2204" s="36">
        <v>229.75</v>
      </c>
      <c r="M2204" s="36">
        <v>229.75</v>
      </c>
      <c r="N2204" s="36">
        <v>0</v>
      </c>
      <c r="O2204" s="36">
        <v>0</v>
      </c>
      <c r="P2204" t="s">
        <v>511</v>
      </c>
      <c r="Q2204" t="s">
        <v>300</v>
      </c>
      <c r="R2204" t="s">
        <v>300</v>
      </c>
      <c r="S2204" s="1">
        <v>46101</v>
      </c>
      <c r="T2204" s="1">
        <v>46101</v>
      </c>
      <c r="U2204" s="1"/>
      <c r="V2204" s="1">
        <v>46466</v>
      </c>
      <c r="W2204" t="s">
        <v>38</v>
      </c>
      <c r="X2204">
        <v>12</v>
      </c>
      <c r="Y2204" t="s">
        <v>49</v>
      </c>
      <c r="AA2204" t="s">
        <v>117</v>
      </c>
      <c r="AB2204">
        <v>1</v>
      </c>
      <c r="AC2204" t="s">
        <v>301</v>
      </c>
      <c r="AD2204" t="s">
        <v>138</v>
      </c>
      <c r="AE2204" t="s">
        <v>135</v>
      </c>
      <c r="AF2204" t="s">
        <v>119</v>
      </c>
      <c r="AG2204" t="str">
        <f t="shared" si="37"/>
        <v>À Vista</v>
      </c>
      <c r="AH2204" t="str">
        <f>IF(AND(SUMIF(E:E,E2204,I:I)&gt;=400000,Q2204="B2G"),"n","")</f>
        <v/>
      </c>
    </row>
    <row r="2205" spans="1:34">
      <c r="A2205">
        <v>2026</v>
      </c>
      <c r="B2205">
        <v>3</v>
      </c>
      <c r="C2205" s="83">
        <v>184069362847</v>
      </c>
      <c r="D2205" t="s">
        <v>172</v>
      </c>
      <c r="E2205">
        <v>57873925781</v>
      </c>
      <c r="F2205">
        <v>504021</v>
      </c>
      <c r="G2205">
        <v>53090434114</v>
      </c>
      <c r="H2205" t="s">
        <v>35</v>
      </c>
      <c r="I2205" s="36">
        <v>907.44</v>
      </c>
      <c r="J2205" s="36">
        <v>1200.96</v>
      </c>
      <c r="K2205" s="85">
        <v>0</v>
      </c>
      <c r="L2205" s="36">
        <v>100.08</v>
      </c>
      <c r="M2205" s="36">
        <v>0</v>
      </c>
      <c r="N2205" s="36">
        <v>100.08</v>
      </c>
      <c r="O2205" s="36">
        <v>0</v>
      </c>
      <c r="P2205" t="s">
        <v>804</v>
      </c>
      <c r="Q2205" t="s">
        <v>191</v>
      </c>
      <c r="R2205" t="s">
        <v>191</v>
      </c>
      <c r="S2205" s="1">
        <v>46091</v>
      </c>
      <c r="T2205" s="1">
        <v>46091</v>
      </c>
      <c r="U2205" s="1">
        <v>46367</v>
      </c>
      <c r="V2205" s="1">
        <v>46367</v>
      </c>
      <c r="W2205" t="s">
        <v>38</v>
      </c>
      <c r="X2205">
        <v>9</v>
      </c>
      <c r="Y2205" t="s">
        <v>49</v>
      </c>
      <c r="Z2205" t="s">
        <v>324</v>
      </c>
      <c r="AA2205" t="s">
        <v>122</v>
      </c>
      <c r="AB2205">
        <v>9</v>
      </c>
      <c r="AC2205" t="s">
        <v>192</v>
      </c>
      <c r="AD2205" t="s">
        <v>149</v>
      </c>
      <c r="AE2205" t="s">
        <v>43</v>
      </c>
      <c r="AF2205" t="s">
        <v>96</v>
      </c>
      <c r="AG2205" t="str">
        <f t="shared" si="37"/>
        <v>Recorrente</v>
      </c>
      <c r="AH2205" t="str">
        <f>IF(AND(SUMIF(E:E,E2205,I:I)&gt;=400000,Q2205="B2G"),"n","")</f>
        <v/>
      </c>
    </row>
    <row r="2206" spans="1:34">
      <c r="A2206">
        <v>2026</v>
      </c>
      <c r="B2206">
        <v>3</v>
      </c>
      <c r="C2206" s="83">
        <v>185170335246</v>
      </c>
      <c r="D2206" t="s">
        <v>2057</v>
      </c>
      <c r="E2206">
        <v>58528843338</v>
      </c>
      <c r="F2206">
        <v>604985</v>
      </c>
      <c r="G2206">
        <v>53747750521</v>
      </c>
      <c r="H2206" t="s">
        <v>35</v>
      </c>
      <c r="I2206" s="36">
        <v>2745.84</v>
      </c>
      <c r="J2206" s="36">
        <v>3842.88</v>
      </c>
      <c r="K2206" s="85">
        <v>0</v>
      </c>
      <c r="L2206" s="36">
        <v>320.24</v>
      </c>
      <c r="M2206" s="36">
        <v>0</v>
      </c>
      <c r="N2206" s="36">
        <v>320.24</v>
      </c>
      <c r="O2206" s="36">
        <v>0</v>
      </c>
      <c r="P2206" t="s">
        <v>804</v>
      </c>
      <c r="Q2206" t="s">
        <v>191</v>
      </c>
      <c r="R2206" t="s">
        <v>191</v>
      </c>
      <c r="S2206" s="1">
        <v>46111</v>
      </c>
      <c r="T2206" s="1">
        <v>46111</v>
      </c>
      <c r="U2206" s="1">
        <v>46372</v>
      </c>
      <c r="V2206" s="1">
        <v>46372</v>
      </c>
      <c r="W2206" t="s">
        <v>38</v>
      </c>
      <c r="X2206">
        <v>9</v>
      </c>
      <c r="Y2206" t="s">
        <v>49</v>
      </c>
      <c r="Z2206" t="s">
        <v>324</v>
      </c>
      <c r="AA2206" t="s">
        <v>122</v>
      </c>
      <c r="AB2206">
        <v>8</v>
      </c>
      <c r="AC2206" t="s">
        <v>192</v>
      </c>
      <c r="AD2206" t="s">
        <v>134</v>
      </c>
      <c r="AE2206" t="s">
        <v>135</v>
      </c>
      <c r="AF2206" t="s">
        <v>44</v>
      </c>
      <c r="AG2206" t="str">
        <f t="shared" si="37"/>
        <v>Recorrente</v>
      </c>
      <c r="AH2206" t="str">
        <f>IF(AND(SUMIF(E:E,E2206,I:I)&gt;=400000,Q2206="B2G"),"n","")</f>
        <v/>
      </c>
    </row>
    <row r="2207" spans="1:34">
      <c r="A2207">
        <v>2026</v>
      </c>
      <c r="B2207">
        <v>3</v>
      </c>
      <c r="C2207" s="83">
        <v>185422826025</v>
      </c>
      <c r="D2207" t="s">
        <v>2058</v>
      </c>
      <c r="E2207">
        <v>54326995350</v>
      </c>
      <c r="F2207">
        <v>507137</v>
      </c>
      <c r="G2207">
        <v>49632920957</v>
      </c>
      <c r="H2207" t="s">
        <v>35</v>
      </c>
      <c r="I2207" s="36">
        <v>4045.44</v>
      </c>
      <c r="J2207" s="36">
        <v>4045.44</v>
      </c>
      <c r="K2207" s="85">
        <v>0</v>
      </c>
      <c r="L2207" s="36">
        <v>337.12</v>
      </c>
      <c r="M2207" s="36">
        <v>0</v>
      </c>
      <c r="N2207" s="36">
        <v>72.525000000000006</v>
      </c>
      <c r="O2207" s="36">
        <v>264.60000000000002</v>
      </c>
      <c r="P2207" t="s">
        <v>165</v>
      </c>
      <c r="Q2207" t="s">
        <v>166</v>
      </c>
      <c r="R2207" t="s">
        <v>166</v>
      </c>
      <c r="S2207" s="1">
        <v>46089</v>
      </c>
      <c r="T2207" s="1">
        <v>46089</v>
      </c>
      <c r="U2207" s="1">
        <v>46089</v>
      </c>
      <c r="V2207" s="1">
        <v>46454</v>
      </c>
      <c r="W2207" t="s">
        <v>38</v>
      </c>
      <c r="X2207">
        <v>12</v>
      </c>
      <c r="Y2207" t="s">
        <v>49</v>
      </c>
      <c r="Z2207" t="s">
        <v>81</v>
      </c>
      <c r="AA2207" t="s">
        <v>122</v>
      </c>
      <c r="AB2207">
        <v>12</v>
      </c>
      <c r="AC2207" t="s">
        <v>166</v>
      </c>
      <c r="AD2207" t="s">
        <v>84</v>
      </c>
      <c r="AE2207" t="s">
        <v>43</v>
      </c>
      <c r="AF2207" t="s">
        <v>44</v>
      </c>
      <c r="AG2207" t="str">
        <f t="shared" si="37"/>
        <v>Recorrente</v>
      </c>
      <c r="AH2207" t="str">
        <f>IF(AND(SUMIF(E:E,E2207,I:I)&gt;=400000,Q2207="B2G"),"n","")</f>
        <v/>
      </c>
    </row>
    <row r="2208" spans="1:34">
      <c r="A2208">
        <v>2026</v>
      </c>
      <c r="B2208">
        <v>3</v>
      </c>
      <c r="C2208" s="83">
        <v>185422826025</v>
      </c>
      <c r="D2208" t="s">
        <v>2058</v>
      </c>
      <c r="E2208">
        <v>54326995350</v>
      </c>
      <c r="F2208">
        <v>507137</v>
      </c>
      <c r="G2208">
        <v>49687648930</v>
      </c>
      <c r="H2208" t="s">
        <v>35</v>
      </c>
      <c r="I2208" s="36">
        <v>4045.44</v>
      </c>
      <c r="J2208" s="36">
        <v>4045.44</v>
      </c>
      <c r="K2208" s="85">
        <v>0</v>
      </c>
      <c r="L2208" s="36">
        <v>337.12</v>
      </c>
      <c r="M2208" s="36">
        <v>0</v>
      </c>
      <c r="N2208" s="36">
        <v>72.525000000000006</v>
      </c>
      <c r="O2208" s="36">
        <v>264.60000000000002</v>
      </c>
      <c r="P2208" t="s">
        <v>165</v>
      </c>
      <c r="Q2208" t="s">
        <v>166</v>
      </c>
      <c r="R2208" t="s">
        <v>166</v>
      </c>
      <c r="S2208" s="1">
        <v>46089</v>
      </c>
      <c r="T2208" s="1">
        <v>46089</v>
      </c>
      <c r="U2208" s="1">
        <v>46089</v>
      </c>
      <c r="V2208" s="1">
        <v>46454</v>
      </c>
      <c r="W2208" t="s">
        <v>38</v>
      </c>
      <c r="X2208">
        <v>12</v>
      </c>
      <c r="Y2208" t="s">
        <v>49</v>
      </c>
      <c r="Z2208" t="s">
        <v>81</v>
      </c>
      <c r="AA2208" t="s">
        <v>122</v>
      </c>
      <c r="AB2208">
        <v>12</v>
      </c>
      <c r="AC2208" t="s">
        <v>166</v>
      </c>
      <c r="AD2208" t="s">
        <v>85</v>
      </c>
      <c r="AE2208" t="s">
        <v>46</v>
      </c>
      <c r="AF2208" t="s">
        <v>44</v>
      </c>
      <c r="AG2208" t="str">
        <f t="shared" si="37"/>
        <v>Recorrente</v>
      </c>
      <c r="AH2208" t="str">
        <f>IF(AND(SUMIF(E:E,E2208,I:I)&gt;=400000,Q2208="B2G"),"n","")</f>
        <v/>
      </c>
    </row>
    <row r="2209" spans="1:34">
      <c r="A2209">
        <v>2026</v>
      </c>
      <c r="B2209">
        <v>3</v>
      </c>
      <c r="C2209" s="83">
        <v>186388407152</v>
      </c>
      <c r="D2209" t="s">
        <v>2059</v>
      </c>
      <c r="E2209">
        <v>58270113585</v>
      </c>
      <c r="F2209">
        <v>508447</v>
      </c>
      <c r="G2209">
        <v>53492952609</v>
      </c>
      <c r="H2209" t="s">
        <v>35</v>
      </c>
      <c r="I2209" s="36">
        <v>6734.88</v>
      </c>
      <c r="J2209" s="36">
        <v>6734.88</v>
      </c>
      <c r="K2209" s="85">
        <v>0</v>
      </c>
      <c r="L2209" s="36">
        <v>561.24</v>
      </c>
      <c r="M2209" s="36">
        <v>0</v>
      </c>
      <c r="N2209" s="36">
        <v>23.74</v>
      </c>
      <c r="O2209" s="36">
        <v>537.5</v>
      </c>
      <c r="P2209" t="s">
        <v>116</v>
      </c>
      <c r="Q2209" t="s">
        <v>111</v>
      </c>
      <c r="R2209" t="s">
        <v>111</v>
      </c>
      <c r="S2209" s="1">
        <v>46106</v>
      </c>
      <c r="T2209" s="1">
        <v>46106</v>
      </c>
      <c r="U2209" s="1">
        <v>46107</v>
      </c>
      <c r="V2209" s="1">
        <v>46472</v>
      </c>
      <c r="W2209" t="s">
        <v>38</v>
      </c>
      <c r="X2209">
        <v>12</v>
      </c>
      <c r="Y2209" t="s">
        <v>49</v>
      </c>
      <c r="Z2209" t="s">
        <v>81</v>
      </c>
      <c r="AA2209" t="s">
        <v>112</v>
      </c>
      <c r="AB2209">
        <v>12</v>
      </c>
      <c r="AC2209" t="s">
        <v>113</v>
      </c>
      <c r="AD2209" t="s">
        <v>134</v>
      </c>
      <c r="AE2209" t="s">
        <v>135</v>
      </c>
      <c r="AF2209" t="s">
        <v>44</v>
      </c>
      <c r="AG2209" t="str">
        <f t="shared" si="37"/>
        <v>CC 12x</v>
      </c>
      <c r="AH2209" t="str">
        <f>IF(AND(SUMIF(E:E,E2209,I:I)&gt;=400000,Q2209="B2G"),"n","")</f>
        <v/>
      </c>
    </row>
    <row r="2210" spans="1:34">
      <c r="A2210">
        <v>2026</v>
      </c>
      <c r="B2210">
        <v>3</v>
      </c>
      <c r="C2210" s="83">
        <v>186388877732</v>
      </c>
      <c r="D2210" t="s">
        <v>2060</v>
      </c>
      <c r="E2210">
        <v>57904816961</v>
      </c>
      <c r="F2210">
        <v>636473</v>
      </c>
      <c r="G2210">
        <v>53094551308</v>
      </c>
      <c r="H2210" t="s">
        <v>35</v>
      </c>
      <c r="I2210" s="36">
        <v>2759.04</v>
      </c>
      <c r="J2210" s="36">
        <v>2759.04</v>
      </c>
      <c r="K2210" s="85">
        <v>0</v>
      </c>
      <c r="L2210" s="36">
        <v>229.92</v>
      </c>
      <c r="M2210" s="36">
        <v>229.92</v>
      </c>
      <c r="N2210" s="36">
        <v>0</v>
      </c>
      <c r="O2210" s="36">
        <v>0</v>
      </c>
      <c r="P2210" t="s">
        <v>2004</v>
      </c>
      <c r="Q2210" t="s">
        <v>300</v>
      </c>
      <c r="R2210" t="s">
        <v>300</v>
      </c>
      <c r="S2210" s="1">
        <v>46092</v>
      </c>
      <c r="T2210" s="1">
        <v>46092</v>
      </c>
      <c r="U2210" s="1"/>
      <c r="V2210" s="1">
        <v>46457</v>
      </c>
      <c r="W2210" t="s">
        <v>38</v>
      </c>
      <c r="X2210">
        <v>12</v>
      </c>
      <c r="Y2210" t="s">
        <v>49</v>
      </c>
      <c r="AA2210" t="s">
        <v>112</v>
      </c>
      <c r="AB2210">
        <v>12</v>
      </c>
      <c r="AC2210" t="s">
        <v>301</v>
      </c>
      <c r="AD2210" t="s">
        <v>118</v>
      </c>
      <c r="AE2210" t="s">
        <v>43</v>
      </c>
      <c r="AF2210" t="s">
        <v>119</v>
      </c>
      <c r="AG2210" t="str">
        <f t="shared" si="37"/>
        <v>CC 12x</v>
      </c>
      <c r="AH2210" t="str">
        <f>IF(AND(SUMIF(E:E,E2210,I:I)&gt;=400000,Q2210="B2G"),"n","")</f>
        <v/>
      </c>
    </row>
    <row r="2211" spans="1:34">
      <c r="A2211">
        <v>2026</v>
      </c>
      <c r="B2211">
        <v>3</v>
      </c>
      <c r="C2211" s="83">
        <v>186388877732</v>
      </c>
      <c r="D2211" t="s">
        <v>2060</v>
      </c>
      <c r="E2211">
        <v>58224453415</v>
      </c>
      <c r="F2211">
        <v>636473</v>
      </c>
      <c r="G2211">
        <v>53409336199</v>
      </c>
      <c r="H2211" t="s">
        <v>35</v>
      </c>
      <c r="I2211" s="36">
        <v>2801.76</v>
      </c>
      <c r="J2211" s="36">
        <v>2874.72</v>
      </c>
      <c r="K2211" s="85">
        <v>0</v>
      </c>
      <c r="L2211" s="36">
        <v>239.56</v>
      </c>
      <c r="M2211" s="36">
        <v>0</v>
      </c>
      <c r="N2211" s="36">
        <v>239.56</v>
      </c>
      <c r="O2211" s="36">
        <v>0</v>
      </c>
      <c r="P2211" t="s">
        <v>2004</v>
      </c>
      <c r="Q2211" t="s">
        <v>300</v>
      </c>
      <c r="R2211" t="s">
        <v>300</v>
      </c>
      <c r="S2211" s="1">
        <v>46101</v>
      </c>
      <c r="T2211" s="1">
        <v>46101</v>
      </c>
      <c r="U2211" s="1">
        <v>46457</v>
      </c>
      <c r="V2211" s="1">
        <v>46457</v>
      </c>
      <c r="W2211" t="s">
        <v>38</v>
      </c>
      <c r="X2211">
        <v>12</v>
      </c>
      <c r="Y2211" t="s">
        <v>49</v>
      </c>
      <c r="Z2211" t="s">
        <v>324</v>
      </c>
      <c r="AA2211" t="s">
        <v>112</v>
      </c>
      <c r="AB2211">
        <v>12</v>
      </c>
      <c r="AC2211" t="s">
        <v>301</v>
      </c>
      <c r="AD2211" t="s">
        <v>140</v>
      </c>
      <c r="AE2211" t="s">
        <v>46</v>
      </c>
      <c r="AF2211" t="s">
        <v>119</v>
      </c>
      <c r="AG2211" t="str">
        <f t="shared" si="37"/>
        <v>CC 12x</v>
      </c>
      <c r="AH2211" t="str">
        <f>IF(AND(SUMIF(E:E,E2211,I:I)&gt;=400000,Q2211="B2G"),"n","")</f>
        <v/>
      </c>
    </row>
    <row r="2212" spans="1:34">
      <c r="A2212">
        <v>2026</v>
      </c>
      <c r="B2212">
        <v>3</v>
      </c>
      <c r="C2212" s="83">
        <v>187143173674</v>
      </c>
      <c r="D2212" t="s">
        <v>2061</v>
      </c>
      <c r="E2212">
        <v>54015502660</v>
      </c>
      <c r="F2212">
        <v>528864</v>
      </c>
      <c r="G2212">
        <v>49274653843</v>
      </c>
      <c r="H2212" t="s">
        <v>35</v>
      </c>
      <c r="I2212" s="36">
        <v>4530.6000000000004</v>
      </c>
      <c r="J2212" s="36">
        <v>4530.6000000000004</v>
      </c>
      <c r="K2212" s="85">
        <v>0</v>
      </c>
      <c r="L2212" s="36">
        <v>377.55</v>
      </c>
      <c r="M2212" s="36">
        <v>0</v>
      </c>
      <c r="N2212" s="36">
        <v>80.55</v>
      </c>
      <c r="O2212" s="36">
        <v>297</v>
      </c>
      <c r="P2212" t="s">
        <v>165</v>
      </c>
      <c r="Q2212" t="s">
        <v>166</v>
      </c>
      <c r="R2212" t="s">
        <v>166</v>
      </c>
      <c r="S2212" s="1">
        <v>46083</v>
      </c>
      <c r="T2212" s="1">
        <v>46083</v>
      </c>
      <c r="U2212" s="1">
        <v>46083</v>
      </c>
      <c r="V2212" s="1">
        <v>46448</v>
      </c>
      <c r="W2212" t="s">
        <v>38</v>
      </c>
      <c r="X2212">
        <v>12</v>
      </c>
      <c r="Y2212" t="s">
        <v>49</v>
      </c>
      <c r="Z2212" t="s">
        <v>81</v>
      </c>
      <c r="AA2212" t="s">
        <v>112</v>
      </c>
      <c r="AB2212">
        <v>12</v>
      </c>
      <c r="AC2212" t="s">
        <v>166</v>
      </c>
      <c r="AD2212" t="s">
        <v>84</v>
      </c>
      <c r="AE2212" t="s">
        <v>43</v>
      </c>
      <c r="AF2212" t="s">
        <v>44</v>
      </c>
      <c r="AG2212" t="str">
        <f t="shared" si="37"/>
        <v>CC 12x</v>
      </c>
      <c r="AH2212" t="str">
        <f>IF(AND(SUMIF(E:E,E2212,I:I)&gt;=400000,Q2212="B2G"),"n","")</f>
        <v/>
      </c>
    </row>
    <row r="2213" spans="1:34">
      <c r="A2213">
        <v>2026</v>
      </c>
      <c r="B2213">
        <v>3</v>
      </c>
      <c r="C2213" s="83">
        <v>187651177754</v>
      </c>
      <c r="D2213" t="s">
        <v>278</v>
      </c>
      <c r="E2213">
        <v>57714858614</v>
      </c>
      <c r="F2213">
        <v>636399</v>
      </c>
      <c r="G2213">
        <v>52952233529</v>
      </c>
      <c r="H2213" t="s">
        <v>35</v>
      </c>
      <c r="I2213" s="36">
        <v>5754</v>
      </c>
      <c r="J2213" s="36">
        <v>5754</v>
      </c>
      <c r="K2213" s="85">
        <v>0</v>
      </c>
      <c r="L2213" s="36">
        <v>479.5</v>
      </c>
      <c r="M2213" s="36">
        <v>0</v>
      </c>
      <c r="N2213" s="36">
        <v>479.5</v>
      </c>
      <c r="O2213" s="36">
        <v>0</v>
      </c>
      <c r="P2213" t="s">
        <v>367</v>
      </c>
      <c r="Q2213" t="s">
        <v>191</v>
      </c>
      <c r="R2213" t="s">
        <v>191</v>
      </c>
      <c r="S2213" s="1">
        <v>46087</v>
      </c>
      <c r="T2213" s="1">
        <v>46087</v>
      </c>
      <c r="U2213" s="1"/>
      <c r="V2213" s="1">
        <v>46452</v>
      </c>
      <c r="W2213" t="s">
        <v>38</v>
      </c>
      <c r="X2213">
        <v>12</v>
      </c>
      <c r="Y2213" t="s">
        <v>49</v>
      </c>
      <c r="AA2213" t="s">
        <v>122</v>
      </c>
      <c r="AB2213">
        <v>12</v>
      </c>
      <c r="AC2213" t="s">
        <v>192</v>
      </c>
      <c r="AD2213" t="s">
        <v>85</v>
      </c>
      <c r="AE2213" t="s">
        <v>46</v>
      </c>
      <c r="AF2213" t="s">
        <v>44</v>
      </c>
      <c r="AG2213" t="str">
        <f t="shared" si="37"/>
        <v>Recorrente</v>
      </c>
      <c r="AH2213" t="str">
        <f>IF(AND(SUMIF(E:E,E2213,I:I)&gt;=400000,Q2213="B2G"),"n","")</f>
        <v/>
      </c>
    </row>
    <row r="2214" spans="1:34">
      <c r="A2214">
        <v>2026</v>
      </c>
      <c r="B2214">
        <v>3</v>
      </c>
      <c r="C2214" s="83">
        <v>191481247647</v>
      </c>
      <c r="D2214" t="s">
        <v>2062</v>
      </c>
      <c r="E2214">
        <v>58367994884</v>
      </c>
      <c r="F2214">
        <v>627839</v>
      </c>
      <c r="G2214">
        <v>53808766511</v>
      </c>
      <c r="H2214" t="s">
        <v>35</v>
      </c>
      <c r="I2214" s="36">
        <v>2586.6</v>
      </c>
      <c r="J2214" s="36">
        <v>2586.6</v>
      </c>
      <c r="K2214" s="85">
        <v>0</v>
      </c>
      <c r="L2214" s="36">
        <v>215.55</v>
      </c>
      <c r="M2214" s="36">
        <v>0</v>
      </c>
      <c r="N2214" s="36">
        <v>0</v>
      </c>
      <c r="O2214" s="36">
        <v>215.55</v>
      </c>
      <c r="P2214" t="s">
        <v>121</v>
      </c>
      <c r="Q2214" t="s">
        <v>111</v>
      </c>
      <c r="R2214" t="s">
        <v>111</v>
      </c>
      <c r="S2214" s="1">
        <v>46112</v>
      </c>
      <c r="T2214" s="1">
        <v>46112</v>
      </c>
      <c r="U2214" s="1">
        <v>46106</v>
      </c>
      <c r="V2214" s="1">
        <v>46477</v>
      </c>
      <c r="W2214" t="s">
        <v>38</v>
      </c>
      <c r="X2214">
        <v>12</v>
      </c>
      <c r="Y2214" t="s">
        <v>49</v>
      </c>
      <c r="Z2214" t="s">
        <v>76</v>
      </c>
      <c r="AA2214" t="s">
        <v>122</v>
      </c>
      <c r="AB2214">
        <v>12</v>
      </c>
      <c r="AC2214" t="s">
        <v>113</v>
      </c>
      <c r="AD2214" t="s">
        <v>140</v>
      </c>
      <c r="AE2214" t="s">
        <v>46</v>
      </c>
      <c r="AF2214" t="s">
        <v>119</v>
      </c>
      <c r="AG2214" t="str">
        <f t="shared" si="37"/>
        <v>Recorrente</v>
      </c>
      <c r="AH2214" t="str">
        <f>IF(AND(SUMIF(E:E,E2214,I:I)&gt;=400000,Q2214="B2G"),"n","")</f>
        <v/>
      </c>
    </row>
    <row r="2215" spans="1:34">
      <c r="A2215">
        <v>2026</v>
      </c>
      <c r="B2215">
        <v>3</v>
      </c>
      <c r="C2215" s="83">
        <v>192640007482</v>
      </c>
      <c r="D2215" t="s">
        <v>2063</v>
      </c>
      <c r="E2215">
        <v>58215680440</v>
      </c>
      <c r="F2215">
        <v>627653</v>
      </c>
      <c r="G2215">
        <v>53452783621</v>
      </c>
      <c r="H2215" t="s">
        <v>35</v>
      </c>
      <c r="I2215" s="36">
        <v>3825.84</v>
      </c>
      <c r="J2215" s="36">
        <v>3825.84</v>
      </c>
      <c r="K2215" s="85">
        <v>0</v>
      </c>
      <c r="L2215" s="36">
        <v>318.82</v>
      </c>
      <c r="M2215" s="36">
        <v>0</v>
      </c>
      <c r="N2215" s="36">
        <v>9.2200000000000006</v>
      </c>
      <c r="O2215" s="36">
        <v>309.60000000000002</v>
      </c>
      <c r="P2215" t="s">
        <v>116</v>
      </c>
      <c r="Q2215" t="s">
        <v>111</v>
      </c>
      <c r="R2215" t="s">
        <v>111</v>
      </c>
      <c r="S2215" s="1">
        <v>46104</v>
      </c>
      <c r="T2215" s="1">
        <v>46104</v>
      </c>
      <c r="U2215" s="1">
        <v>46102</v>
      </c>
      <c r="V2215" s="1">
        <v>46469</v>
      </c>
      <c r="W2215" t="s">
        <v>38</v>
      </c>
      <c r="X2215">
        <v>12</v>
      </c>
      <c r="Y2215" t="s">
        <v>49</v>
      </c>
      <c r="Z2215" t="s">
        <v>81</v>
      </c>
      <c r="AA2215" t="s">
        <v>122</v>
      </c>
      <c r="AB2215">
        <v>12</v>
      </c>
      <c r="AC2215" t="s">
        <v>113</v>
      </c>
      <c r="AD2215" t="s">
        <v>84</v>
      </c>
      <c r="AE2215" t="s">
        <v>43</v>
      </c>
      <c r="AF2215" t="s">
        <v>44</v>
      </c>
      <c r="AG2215" t="str">
        <f t="shared" si="37"/>
        <v>Recorrente</v>
      </c>
      <c r="AH2215" t="str">
        <f>IF(AND(SUMIF(E:E,E2215,I:I)&gt;=400000,Q2215="B2G"),"n","")</f>
        <v/>
      </c>
    </row>
    <row r="2216" spans="1:34">
      <c r="A2216">
        <v>2026</v>
      </c>
      <c r="B2216">
        <v>3</v>
      </c>
      <c r="C2216" s="83">
        <v>193132225961</v>
      </c>
      <c r="D2216" t="s">
        <v>2064</v>
      </c>
      <c r="E2216">
        <v>58179229272</v>
      </c>
      <c r="F2216">
        <v>631007</v>
      </c>
      <c r="G2216">
        <v>53342983562</v>
      </c>
      <c r="H2216" t="s">
        <v>35</v>
      </c>
      <c r="I2216" s="36">
        <v>429.6</v>
      </c>
      <c r="J2216" s="36">
        <v>1318.68</v>
      </c>
      <c r="K2216" s="85">
        <v>0</v>
      </c>
      <c r="L2216" s="36">
        <v>109.89</v>
      </c>
      <c r="M2216" s="36">
        <v>0</v>
      </c>
      <c r="N2216" s="36">
        <v>109.89</v>
      </c>
      <c r="O2216" s="36">
        <v>0</v>
      </c>
      <c r="P2216" t="s">
        <v>323</v>
      </c>
      <c r="Q2216" t="s">
        <v>191</v>
      </c>
      <c r="R2216" t="s">
        <v>191</v>
      </c>
      <c r="S2216" s="1">
        <v>46100</v>
      </c>
      <c r="T2216" s="1">
        <v>46100</v>
      </c>
      <c r="U2216" s="1">
        <v>46219</v>
      </c>
      <c r="V2216" s="1">
        <v>46219</v>
      </c>
      <c r="W2216" t="s">
        <v>38</v>
      </c>
      <c r="X2216">
        <v>4</v>
      </c>
      <c r="Y2216" t="s">
        <v>49</v>
      </c>
      <c r="Z2216" t="s">
        <v>324</v>
      </c>
      <c r="AA2216" t="s">
        <v>112</v>
      </c>
      <c r="AB2216">
        <v>3</v>
      </c>
      <c r="AC2216" t="s">
        <v>192</v>
      </c>
      <c r="AD2216" t="s">
        <v>149</v>
      </c>
      <c r="AE2216" t="s">
        <v>43</v>
      </c>
      <c r="AF2216" t="s">
        <v>96</v>
      </c>
      <c r="AG2216" t="str">
        <f t="shared" si="37"/>
        <v>CC 3x</v>
      </c>
      <c r="AH2216" t="str">
        <f>IF(AND(SUMIF(E:E,E2216,I:I)&gt;=400000,Q2216="B2G"),"n","")</f>
        <v/>
      </c>
    </row>
    <row r="2217" spans="1:34">
      <c r="A2217">
        <v>2026</v>
      </c>
      <c r="B2217">
        <v>3</v>
      </c>
      <c r="C2217" s="83">
        <v>193250376006</v>
      </c>
      <c r="D2217" t="s">
        <v>2065</v>
      </c>
      <c r="E2217">
        <v>58308594793</v>
      </c>
      <c r="F2217">
        <v>636654</v>
      </c>
      <c r="G2217">
        <v>53494723614</v>
      </c>
      <c r="H2217" t="s">
        <v>35</v>
      </c>
      <c r="I2217" s="36">
        <v>2874</v>
      </c>
      <c r="J2217" s="36">
        <v>2874</v>
      </c>
      <c r="K2217" s="85">
        <v>0</v>
      </c>
      <c r="L2217" s="36">
        <v>239.5</v>
      </c>
      <c r="M2217" s="36">
        <v>239.5</v>
      </c>
      <c r="N2217" s="36">
        <v>0</v>
      </c>
      <c r="O2217" s="36">
        <v>0</v>
      </c>
      <c r="P2217" t="s">
        <v>497</v>
      </c>
      <c r="Q2217" t="s">
        <v>498</v>
      </c>
      <c r="R2217" t="s">
        <v>498</v>
      </c>
      <c r="S2217" s="1">
        <v>46105</v>
      </c>
      <c r="T2217" s="1">
        <v>46105</v>
      </c>
      <c r="U2217" s="1"/>
      <c r="V2217" s="1">
        <v>46470</v>
      </c>
      <c r="W2217" t="s">
        <v>38</v>
      </c>
      <c r="X2217">
        <v>12</v>
      </c>
      <c r="Y2217" t="s">
        <v>49</v>
      </c>
      <c r="AA2217" t="s">
        <v>112</v>
      </c>
      <c r="AB2217">
        <v>12</v>
      </c>
      <c r="AC2217" t="s">
        <v>499</v>
      </c>
      <c r="AD2217" t="s">
        <v>118</v>
      </c>
      <c r="AE2217" t="s">
        <v>43</v>
      </c>
      <c r="AF2217" t="s">
        <v>119</v>
      </c>
      <c r="AG2217" t="str">
        <f t="shared" si="37"/>
        <v>CC 12x</v>
      </c>
      <c r="AH2217" t="str">
        <f>IF(AND(SUMIF(E:E,E2217,I:I)&gt;=400000,Q2217="B2G"),"n","")</f>
        <v/>
      </c>
    </row>
    <row r="2218" spans="1:34">
      <c r="A2218">
        <v>2026</v>
      </c>
      <c r="B2218">
        <v>3</v>
      </c>
      <c r="C2218" s="83">
        <v>193701342865</v>
      </c>
      <c r="D2218" t="s">
        <v>2066</v>
      </c>
      <c r="E2218">
        <v>56013860484</v>
      </c>
      <c r="F2218">
        <v>324177</v>
      </c>
      <c r="G2218">
        <v>51323779222</v>
      </c>
      <c r="H2218" t="s">
        <v>35</v>
      </c>
      <c r="I2218" s="36">
        <v>8634.6</v>
      </c>
      <c r="J2218" s="36">
        <v>8634.6</v>
      </c>
      <c r="K2218" s="85">
        <v>0</v>
      </c>
      <c r="L2218" s="36">
        <v>719.55</v>
      </c>
      <c r="M2218" s="36">
        <v>0</v>
      </c>
      <c r="N2218" s="36">
        <v>138.94999999999999</v>
      </c>
      <c r="O2218" s="36">
        <v>580.6</v>
      </c>
      <c r="P2218" t="s">
        <v>165</v>
      </c>
      <c r="Q2218" t="s">
        <v>166</v>
      </c>
      <c r="R2218" t="s">
        <v>166</v>
      </c>
      <c r="S2218" s="1">
        <v>46107</v>
      </c>
      <c r="T2218" s="1">
        <v>46107</v>
      </c>
      <c r="U2218" s="1">
        <v>46109</v>
      </c>
      <c r="V2218" s="1">
        <v>46474</v>
      </c>
      <c r="W2218" t="s">
        <v>38</v>
      </c>
      <c r="X2218">
        <v>12</v>
      </c>
      <c r="Y2218" t="s">
        <v>49</v>
      </c>
      <c r="Z2218" t="s">
        <v>81</v>
      </c>
      <c r="AA2218" t="s">
        <v>122</v>
      </c>
      <c r="AB2218">
        <v>12</v>
      </c>
      <c r="AC2218" t="s">
        <v>166</v>
      </c>
      <c r="AD2218" t="s">
        <v>131</v>
      </c>
      <c r="AE2218" t="s">
        <v>46</v>
      </c>
      <c r="AF2218" t="s">
        <v>96</v>
      </c>
      <c r="AG2218" t="str">
        <f t="shared" si="37"/>
        <v>Recorrente</v>
      </c>
      <c r="AH2218" t="str">
        <f>IF(AND(SUMIF(E:E,E2218,I:I)&gt;=400000,Q2218="B2G"),"n","")</f>
        <v/>
      </c>
    </row>
    <row r="2219" spans="1:34">
      <c r="A2219">
        <v>2026</v>
      </c>
      <c r="B2219">
        <v>3</v>
      </c>
      <c r="C2219" s="83">
        <v>19433766316</v>
      </c>
      <c r="D2219" t="s">
        <v>2067</v>
      </c>
      <c r="E2219">
        <v>45032874365</v>
      </c>
      <c r="F2219">
        <v>530693</v>
      </c>
      <c r="G2219">
        <v>53747874138</v>
      </c>
      <c r="H2219" t="s">
        <v>35</v>
      </c>
      <c r="I2219" s="36">
        <v>30924</v>
      </c>
      <c r="J2219" s="36">
        <v>30924</v>
      </c>
      <c r="K2219" s="85">
        <v>0</v>
      </c>
      <c r="L2219" s="36">
        <v>2577</v>
      </c>
      <c r="M2219" s="36">
        <v>0</v>
      </c>
      <c r="N2219" s="36">
        <v>510.83</v>
      </c>
      <c r="O2219" s="36">
        <v>2066.17</v>
      </c>
      <c r="P2219" t="s">
        <v>2068</v>
      </c>
      <c r="Q2219" t="s">
        <v>37</v>
      </c>
      <c r="R2219" t="s">
        <v>37</v>
      </c>
      <c r="S2219" s="1">
        <v>46111</v>
      </c>
      <c r="T2219" s="1">
        <v>46111</v>
      </c>
      <c r="U2219" s="1">
        <v>46111</v>
      </c>
      <c r="V2219" s="1">
        <v>46476</v>
      </c>
      <c r="W2219" t="s">
        <v>38</v>
      </c>
      <c r="X2219">
        <v>12</v>
      </c>
      <c r="Y2219" t="s">
        <v>49</v>
      </c>
      <c r="Z2219" t="s">
        <v>76</v>
      </c>
      <c r="AA2219" t="s">
        <v>40</v>
      </c>
      <c r="AB2219">
        <v>1</v>
      </c>
      <c r="AC2219" t="s">
        <v>41</v>
      </c>
      <c r="AD2219" t="s">
        <v>70</v>
      </c>
      <c r="AE2219" t="s">
        <v>43</v>
      </c>
      <c r="AF2219" t="s">
        <v>47</v>
      </c>
      <c r="AG2219" t="str">
        <f t="shared" si="37"/>
        <v>À Vista</v>
      </c>
      <c r="AH2219" t="str">
        <f>IF(AND(SUMIF(E:E,E2219,I:I)&gt;=400000,Q2219="B2G"),"n","")</f>
        <v/>
      </c>
    </row>
    <row r="2220" spans="1:34">
      <c r="A2220">
        <v>2026</v>
      </c>
      <c r="B2220">
        <v>3</v>
      </c>
      <c r="C2220" s="83">
        <v>19433766316</v>
      </c>
      <c r="D2220" t="s">
        <v>2067</v>
      </c>
      <c r="E2220">
        <v>45032874365</v>
      </c>
      <c r="F2220">
        <v>530693</v>
      </c>
      <c r="G2220">
        <v>53747874139</v>
      </c>
      <c r="H2220" t="s">
        <v>35</v>
      </c>
      <c r="I2220" s="36">
        <v>30924</v>
      </c>
      <c r="J2220" s="36">
        <v>30924</v>
      </c>
      <c r="K2220" s="85">
        <v>0</v>
      </c>
      <c r="L2220" s="36">
        <v>2577</v>
      </c>
      <c r="M2220" s="36">
        <v>0</v>
      </c>
      <c r="N2220" s="36">
        <v>510.83</v>
      </c>
      <c r="O2220" s="36">
        <v>2066.17</v>
      </c>
      <c r="P2220" t="s">
        <v>2068</v>
      </c>
      <c r="Q2220" t="s">
        <v>37</v>
      </c>
      <c r="R2220" t="s">
        <v>37</v>
      </c>
      <c r="S2220" s="1">
        <v>46111</v>
      </c>
      <c r="T2220" s="1">
        <v>46111</v>
      </c>
      <c r="U2220" s="1">
        <v>46111</v>
      </c>
      <c r="V2220" s="1">
        <v>46476</v>
      </c>
      <c r="W2220" t="s">
        <v>38</v>
      </c>
      <c r="X2220">
        <v>12</v>
      </c>
      <c r="Y2220" t="s">
        <v>49</v>
      </c>
      <c r="Z2220" t="s">
        <v>76</v>
      </c>
      <c r="AA2220" t="s">
        <v>40</v>
      </c>
      <c r="AB2220">
        <v>1</v>
      </c>
      <c r="AC2220" t="s">
        <v>41</v>
      </c>
      <c r="AD2220" t="s">
        <v>100</v>
      </c>
      <c r="AE2220" t="s">
        <v>46</v>
      </c>
      <c r="AF2220" t="s">
        <v>47</v>
      </c>
      <c r="AG2220" t="str">
        <f t="shared" si="37"/>
        <v>À Vista</v>
      </c>
      <c r="AH2220" t="str">
        <f>IF(AND(SUMIF(E:E,E2220,I:I)&gt;=400000,Q2220="B2G"),"n","")</f>
        <v/>
      </c>
    </row>
    <row r="2221" spans="1:34">
      <c r="A2221">
        <v>2026</v>
      </c>
      <c r="B2221">
        <v>3</v>
      </c>
      <c r="C2221" s="83">
        <v>19433895282</v>
      </c>
      <c r="D2221" t="s">
        <v>2069</v>
      </c>
      <c r="E2221">
        <v>58377145740</v>
      </c>
      <c r="F2221">
        <v>636740</v>
      </c>
      <c r="G2221">
        <v>53710802720</v>
      </c>
      <c r="H2221" t="s">
        <v>35</v>
      </c>
      <c r="I2221" s="36">
        <v>4890.84</v>
      </c>
      <c r="J2221" s="36">
        <v>4890.8999999999996</v>
      </c>
      <c r="K2221" s="85">
        <v>0</v>
      </c>
      <c r="L2221" s="36">
        <v>407.57499999999999</v>
      </c>
      <c r="M2221" s="36">
        <v>407.57499999999999</v>
      </c>
      <c r="N2221" s="36">
        <v>0</v>
      </c>
      <c r="O2221" s="36">
        <v>0</v>
      </c>
      <c r="P2221" t="s">
        <v>1073</v>
      </c>
      <c r="Q2221" t="s">
        <v>314</v>
      </c>
      <c r="R2221" t="s">
        <v>314</v>
      </c>
      <c r="S2221" s="1">
        <v>46108</v>
      </c>
      <c r="T2221" s="1">
        <v>46108</v>
      </c>
      <c r="V2221" s="1">
        <v>46473</v>
      </c>
      <c r="W2221" t="s">
        <v>38</v>
      </c>
      <c r="X2221">
        <v>12</v>
      </c>
      <c r="Y2221" t="s">
        <v>49</v>
      </c>
      <c r="AA2221" t="s">
        <v>122</v>
      </c>
      <c r="AB2221">
        <v>12</v>
      </c>
      <c r="AC2221" t="s">
        <v>315</v>
      </c>
      <c r="AD2221" t="s">
        <v>85</v>
      </c>
      <c r="AE2221" t="s">
        <v>46</v>
      </c>
      <c r="AF2221" t="s">
        <v>44</v>
      </c>
      <c r="AG2221" t="str">
        <f t="shared" si="37"/>
        <v>Recorrente</v>
      </c>
      <c r="AH2221" t="str">
        <f>IF(AND(SUMIF(E:E,E2221,I:I)&gt;=400000,Q2221="B2G"),"n","")</f>
        <v/>
      </c>
    </row>
    <row r="2222" spans="1:34">
      <c r="A2222">
        <v>2026</v>
      </c>
      <c r="B2222">
        <v>3</v>
      </c>
      <c r="C2222" s="83">
        <v>19433895328</v>
      </c>
      <c r="D2222" t="s">
        <v>2070</v>
      </c>
      <c r="E2222">
        <v>56038932407</v>
      </c>
      <c r="F2222">
        <v>530713</v>
      </c>
      <c r="G2222">
        <v>53530327929</v>
      </c>
      <c r="H2222" t="s">
        <v>35</v>
      </c>
      <c r="I2222" s="36">
        <v>10500</v>
      </c>
      <c r="J2222" s="36">
        <v>10500</v>
      </c>
      <c r="K2222" s="85">
        <v>0</v>
      </c>
      <c r="L2222" s="36">
        <v>875</v>
      </c>
      <c r="M2222" s="36">
        <v>0</v>
      </c>
      <c r="N2222" s="36">
        <v>75</v>
      </c>
      <c r="O2222" s="36">
        <v>800</v>
      </c>
      <c r="P2222" t="s">
        <v>121</v>
      </c>
      <c r="Q2222" t="s">
        <v>111</v>
      </c>
      <c r="R2222" t="s">
        <v>111</v>
      </c>
      <c r="S2222" s="1">
        <v>46106</v>
      </c>
      <c r="T2222" s="1">
        <v>46106</v>
      </c>
      <c r="U2222" s="1">
        <v>46110</v>
      </c>
      <c r="V2222" s="1">
        <v>46475</v>
      </c>
      <c r="W2222" t="s">
        <v>38</v>
      </c>
      <c r="X2222">
        <v>12</v>
      </c>
      <c r="Y2222" t="s">
        <v>49</v>
      </c>
      <c r="Z2222" t="s">
        <v>81</v>
      </c>
      <c r="AA2222" t="s">
        <v>112</v>
      </c>
      <c r="AB2222">
        <v>12</v>
      </c>
      <c r="AC2222" t="s">
        <v>113</v>
      </c>
      <c r="AD2222" t="s">
        <v>154</v>
      </c>
      <c r="AE2222" t="s">
        <v>46</v>
      </c>
      <c r="AF2222" t="s">
        <v>47</v>
      </c>
      <c r="AG2222" t="str">
        <f t="shared" si="37"/>
        <v>CC 12x</v>
      </c>
      <c r="AH2222" t="str">
        <f>IF(AND(SUMIF(E:E,E2222,I:I)&gt;=400000,Q2222="B2G"),"n","")</f>
        <v/>
      </c>
    </row>
    <row r="2223" spans="1:34">
      <c r="A2223">
        <v>2026</v>
      </c>
      <c r="B2223">
        <v>3</v>
      </c>
      <c r="C2223" s="83">
        <v>19433895484</v>
      </c>
      <c r="D2223" t="s">
        <v>2071</v>
      </c>
      <c r="E2223">
        <v>57833756811</v>
      </c>
      <c r="F2223">
        <v>636795</v>
      </c>
      <c r="G2223">
        <v>53747329126</v>
      </c>
      <c r="H2223" t="s">
        <v>35</v>
      </c>
      <c r="I2223" s="36">
        <v>4884</v>
      </c>
      <c r="J2223" s="36">
        <v>4884</v>
      </c>
      <c r="K2223" s="85">
        <v>0</v>
      </c>
      <c r="L2223" s="36">
        <v>407</v>
      </c>
      <c r="M2223" s="36">
        <v>407</v>
      </c>
      <c r="N2223" s="36">
        <v>0</v>
      </c>
      <c r="O2223" s="36">
        <v>0</v>
      </c>
      <c r="P2223" t="s">
        <v>313</v>
      </c>
      <c r="Q2223" t="s">
        <v>314</v>
      </c>
      <c r="R2223" t="s">
        <v>314</v>
      </c>
      <c r="S2223" s="1">
        <v>46112</v>
      </c>
      <c r="T2223" s="1">
        <v>46112</v>
      </c>
      <c r="V2223" s="1">
        <v>46477</v>
      </c>
      <c r="W2223" t="s">
        <v>38</v>
      </c>
      <c r="X2223">
        <v>12</v>
      </c>
      <c r="Y2223" t="s">
        <v>49</v>
      </c>
      <c r="AA2223" t="s">
        <v>92</v>
      </c>
      <c r="AB2223">
        <v>12</v>
      </c>
      <c r="AC2223" t="s">
        <v>315</v>
      </c>
      <c r="AD2223" t="s">
        <v>85</v>
      </c>
      <c r="AE2223" t="s">
        <v>46</v>
      </c>
      <c r="AF2223" t="s">
        <v>44</v>
      </c>
      <c r="AG2223" t="str">
        <f t="shared" si="37"/>
        <v>Recorrente</v>
      </c>
      <c r="AH2223" t="str">
        <f>IF(AND(SUMIF(E:E,E2223,I:I)&gt;=400000,Q2223="B2G"),"n","")</f>
        <v/>
      </c>
    </row>
    <row r="2224" spans="1:34">
      <c r="A2224">
        <v>2026</v>
      </c>
      <c r="B2224">
        <v>3</v>
      </c>
      <c r="C2224" s="83">
        <v>19433900096</v>
      </c>
      <c r="D2224" t="s">
        <v>2072</v>
      </c>
      <c r="E2224">
        <v>21484303986</v>
      </c>
      <c r="F2224">
        <v>636831</v>
      </c>
      <c r="G2224">
        <v>53808721479</v>
      </c>
      <c r="H2224" t="s">
        <v>35</v>
      </c>
      <c r="I2224" s="36">
        <v>43488</v>
      </c>
      <c r="J2224" s="36">
        <v>14496</v>
      </c>
      <c r="K2224" s="85">
        <v>28992</v>
      </c>
      <c r="L2224" s="36">
        <v>1208</v>
      </c>
      <c r="M2224" s="36">
        <v>1208</v>
      </c>
      <c r="N2224" s="36">
        <v>0</v>
      </c>
      <c r="O2224" s="36">
        <v>0</v>
      </c>
      <c r="P2224" t="s">
        <v>2068</v>
      </c>
      <c r="Q2224" t="s">
        <v>37</v>
      </c>
      <c r="R2224" t="s">
        <v>37</v>
      </c>
      <c r="S2224" s="1">
        <v>46112</v>
      </c>
      <c r="T2224" s="1">
        <v>46112</v>
      </c>
      <c r="U2224" s="1"/>
      <c r="V2224" s="1">
        <v>47208</v>
      </c>
      <c r="W2224" t="s">
        <v>102</v>
      </c>
      <c r="X2224">
        <v>36</v>
      </c>
      <c r="Y2224" t="s">
        <v>49</v>
      </c>
      <c r="AA2224" t="s">
        <v>40</v>
      </c>
      <c r="AB2224">
        <v>1</v>
      </c>
      <c r="AC2224" t="s">
        <v>41</v>
      </c>
      <c r="AD2224" t="s">
        <v>70</v>
      </c>
      <c r="AE2224" t="s">
        <v>43</v>
      </c>
      <c r="AF2224" t="s">
        <v>47</v>
      </c>
      <c r="AG2224" t="str">
        <f t="shared" si="37"/>
        <v>À Vista</v>
      </c>
      <c r="AH2224" t="str">
        <f>IF(AND(SUMIF(E:E,E2224,I:I)&gt;=400000,Q2224="B2G"),"n","")</f>
        <v/>
      </c>
    </row>
    <row r="2225" spans="1:34">
      <c r="A2225">
        <v>2026</v>
      </c>
      <c r="B2225">
        <v>3</v>
      </c>
      <c r="C2225" s="83">
        <v>19433900096</v>
      </c>
      <c r="D2225" t="s">
        <v>2072</v>
      </c>
      <c r="E2225">
        <v>21484303986</v>
      </c>
      <c r="F2225">
        <v>636831</v>
      </c>
      <c r="G2225">
        <v>53808721480</v>
      </c>
      <c r="H2225" t="s">
        <v>35</v>
      </c>
      <c r="I2225" s="36">
        <v>40104</v>
      </c>
      <c r="J2225" s="36">
        <v>13368</v>
      </c>
      <c r="K2225" s="85">
        <v>26736</v>
      </c>
      <c r="L2225" s="36">
        <v>1114</v>
      </c>
      <c r="M2225" s="36">
        <v>1114</v>
      </c>
      <c r="N2225" s="36">
        <v>0</v>
      </c>
      <c r="O2225" s="36">
        <v>0</v>
      </c>
      <c r="P2225" t="s">
        <v>2068</v>
      </c>
      <c r="Q2225" t="s">
        <v>37</v>
      </c>
      <c r="R2225" t="s">
        <v>37</v>
      </c>
      <c r="S2225" s="1">
        <v>46112</v>
      </c>
      <c r="T2225" s="1">
        <v>46112</v>
      </c>
      <c r="U2225" s="1"/>
      <c r="V2225" s="1">
        <v>47208</v>
      </c>
      <c r="W2225" t="s">
        <v>102</v>
      </c>
      <c r="X2225">
        <v>36</v>
      </c>
      <c r="Y2225" t="s">
        <v>49</v>
      </c>
      <c r="AA2225" t="s">
        <v>40</v>
      </c>
      <c r="AB2225">
        <v>1</v>
      </c>
      <c r="AC2225" t="s">
        <v>41</v>
      </c>
      <c r="AD2225" t="s">
        <v>100</v>
      </c>
      <c r="AE2225" t="s">
        <v>46</v>
      </c>
      <c r="AF2225" t="s">
        <v>47</v>
      </c>
      <c r="AG2225" t="str">
        <f t="shared" si="37"/>
        <v>À Vista</v>
      </c>
      <c r="AH2225" t="str">
        <f>IF(AND(SUMIF(E:E,E2225,I:I)&gt;=400000,Q2225="B2G"),"n","")</f>
        <v/>
      </c>
    </row>
    <row r="2226" spans="1:34">
      <c r="A2226">
        <v>2026</v>
      </c>
      <c r="B2226">
        <v>3</v>
      </c>
      <c r="C2226" s="83">
        <v>19433951908</v>
      </c>
      <c r="D2226" t="s">
        <v>1137</v>
      </c>
      <c r="E2226">
        <v>57637446815</v>
      </c>
      <c r="F2226">
        <v>627101</v>
      </c>
      <c r="G2226">
        <v>52952528241</v>
      </c>
      <c r="H2226" t="s">
        <v>35</v>
      </c>
      <c r="I2226" s="36">
        <v>3968.52</v>
      </c>
      <c r="J2226" s="36">
        <v>3968.52</v>
      </c>
      <c r="K2226" s="85">
        <v>4.5474699999999999E-13</v>
      </c>
      <c r="L2226" s="36">
        <v>330.71</v>
      </c>
      <c r="M2226" s="36">
        <v>0</v>
      </c>
      <c r="N2226" s="36">
        <v>3.5150000000000001</v>
      </c>
      <c r="O2226" s="36">
        <v>327.2</v>
      </c>
      <c r="P2226" t="s">
        <v>133</v>
      </c>
      <c r="Q2226" t="s">
        <v>111</v>
      </c>
      <c r="R2226" t="s">
        <v>111</v>
      </c>
      <c r="S2226" s="1">
        <v>46087</v>
      </c>
      <c r="T2226" s="1">
        <v>46087</v>
      </c>
      <c r="U2226" s="1">
        <v>46086</v>
      </c>
      <c r="V2226" s="1">
        <v>46452</v>
      </c>
      <c r="W2226" t="s">
        <v>38</v>
      </c>
      <c r="X2226">
        <v>12</v>
      </c>
      <c r="Y2226" t="s">
        <v>49</v>
      </c>
      <c r="Z2226" t="s">
        <v>81</v>
      </c>
      <c r="AA2226" t="s">
        <v>112</v>
      </c>
      <c r="AB2226">
        <v>12</v>
      </c>
      <c r="AC2226" t="s">
        <v>113</v>
      </c>
      <c r="AD2226" t="s">
        <v>229</v>
      </c>
      <c r="AE2226" t="s">
        <v>43</v>
      </c>
      <c r="AF2226" t="s">
        <v>96</v>
      </c>
      <c r="AG2226" t="str">
        <f t="shared" si="37"/>
        <v>CC 12x</v>
      </c>
      <c r="AH2226" t="str">
        <f>IF(AND(SUMIF(E:E,E2226,I:I)&gt;=400000,Q2226="B2G"),"n","")</f>
        <v/>
      </c>
    </row>
    <row r="2227" spans="1:34">
      <c r="A2227">
        <v>2026</v>
      </c>
      <c r="B2227">
        <v>3</v>
      </c>
      <c r="C2227" s="83">
        <v>19433952061</v>
      </c>
      <c r="D2227" t="s">
        <v>2073</v>
      </c>
      <c r="E2227">
        <v>42276235023</v>
      </c>
      <c r="F2227">
        <v>636799</v>
      </c>
      <c r="G2227">
        <v>53808632903</v>
      </c>
      <c r="H2227" t="s">
        <v>35</v>
      </c>
      <c r="I2227" s="36">
        <v>14496</v>
      </c>
      <c r="J2227" s="36">
        <v>7248</v>
      </c>
      <c r="K2227" s="85">
        <v>7248</v>
      </c>
      <c r="L2227" s="36">
        <v>604</v>
      </c>
      <c r="M2227" s="36">
        <v>604</v>
      </c>
      <c r="N2227" s="36">
        <v>0</v>
      </c>
      <c r="O2227" s="36">
        <v>0</v>
      </c>
      <c r="P2227" t="s">
        <v>36</v>
      </c>
      <c r="Q2227" t="s">
        <v>37</v>
      </c>
      <c r="R2227" t="s">
        <v>37</v>
      </c>
      <c r="S2227" s="1">
        <v>46112</v>
      </c>
      <c r="T2227" s="1">
        <v>46112</v>
      </c>
      <c r="U2227" s="1">
        <v>46066</v>
      </c>
      <c r="V2227" s="1">
        <v>46843</v>
      </c>
      <c r="W2227" t="s">
        <v>56</v>
      </c>
      <c r="X2227">
        <v>24</v>
      </c>
      <c r="Y2227" t="s">
        <v>49</v>
      </c>
      <c r="AA2227" t="s">
        <v>40</v>
      </c>
      <c r="AB2227">
        <v>1</v>
      </c>
      <c r="AC2227" t="s">
        <v>41</v>
      </c>
      <c r="AD2227" t="s">
        <v>70</v>
      </c>
      <c r="AE2227" t="s">
        <v>43</v>
      </c>
      <c r="AF2227" t="s">
        <v>47</v>
      </c>
      <c r="AG2227" t="str">
        <f t="shared" si="37"/>
        <v>À Vista</v>
      </c>
      <c r="AH2227" t="str">
        <f>IF(AND(SUMIF(E:E,E2227,I:I)&gt;=400000,Q2227="B2G"),"n","")</f>
        <v/>
      </c>
    </row>
    <row r="2228" spans="1:34">
      <c r="A2228">
        <v>2026</v>
      </c>
      <c r="B2228">
        <v>3</v>
      </c>
      <c r="C2228" s="83">
        <v>19435355949</v>
      </c>
      <c r="D2228" t="s">
        <v>2074</v>
      </c>
      <c r="E2228">
        <v>55565568687</v>
      </c>
      <c r="F2228">
        <v>508169</v>
      </c>
      <c r="G2228">
        <v>52599607915</v>
      </c>
      <c r="H2228" t="s">
        <v>35</v>
      </c>
      <c r="I2228" s="36">
        <v>6040.8</v>
      </c>
      <c r="J2228" s="36">
        <v>3020.4</v>
      </c>
      <c r="K2228" s="85">
        <v>3020.4</v>
      </c>
      <c r="L2228" s="36">
        <v>251.7</v>
      </c>
      <c r="M2228" s="36">
        <v>0</v>
      </c>
      <c r="N2228" s="36">
        <v>118.76</v>
      </c>
      <c r="O2228" s="36">
        <v>132.94</v>
      </c>
      <c r="P2228" t="s">
        <v>162</v>
      </c>
      <c r="Q2228" t="s">
        <v>111</v>
      </c>
      <c r="R2228" t="s">
        <v>111</v>
      </c>
      <c r="S2228" s="1">
        <v>46083</v>
      </c>
      <c r="T2228" s="1">
        <v>46083</v>
      </c>
      <c r="U2228" s="1">
        <v>46103</v>
      </c>
      <c r="V2228" s="1">
        <v>46834</v>
      </c>
      <c r="W2228" t="s">
        <v>56</v>
      </c>
      <c r="X2228">
        <v>24</v>
      </c>
      <c r="Y2228" t="s">
        <v>49</v>
      </c>
      <c r="Z2228" t="s">
        <v>81</v>
      </c>
      <c r="AA2228" t="s">
        <v>112</v>
      </c>
      <c r="AB2228">
        <v>1</v>
      </c>
      <c r="AC2228" t="s">
        <v>113</v>
      </c>
      <c r="AD2228" t="s">
        <v>84</v>
      </c>
      <c r="AE2228" t="s">
        <v>43</v>
      </c>
      <c r="AF2228" t="s">
        <v>44</v>
      </c>
      <c r="AG2228" t="str">
        <f t="shared" si="37"/>
        <v>À Vista</v>
      </c>
      <c r="AH2228" t="str">
        <f>IF(AND(SUMIF(E:E,E2228,I:I)&gt;=400000,Q2228="B2G"),"n","")</f>
        <v/>
      </c>
    </row>
    <row r="2229" spans="1:34">
      <c r="A2229">
        <v>2026</v>
      </c>
      <c r="B2229">
        <v>3</v>
      </c>
      <c r="C2229" s="83">
        <v>19435374337</v>
      </c>
      <c r="D2229" t="s">
        <v>2075</v>
      </c>
      <c r="E2229">
        <v>54130494532</v>
      </c>
      <c r="F2229">
        <v>610584</v>
      </c>
      <c r="G2229">
        <v>49464512797</v>
      </c>
      <c r="H2229" t="s">
        <v>35</v>
      </c>
      <c r="I2229" s="36">
        <v>5754</v>
      </c>
      <c r="J2229" s="36">
        <v>5754</v>
      </c>
      <c r="K2229" s="85">
        <v>0</v>
      </c>
      <c r="L2229" s="36">
        <v>479.5</v>
      </c>
      <c r="M2229" s="36">
        <v>0</v>
      </c>
      <c r="N2229" s="36">
        <v>49.15</v>
      </c>
      <c r="O2229" s="36">
        <v>430.35</v>
      </c>
      <c r="P2229" t="s">
        <v>165</v>
      </c>
      <c r="Q2229" t="s">
        <v>166</v>
      </c>
      <c r="R2229" t="s">
        <v>166</v>
      </c>
      <c r="S2229" s="1">
        <v>46085</v>
      </c>
      <c r="T2229" s="1">
        <v>46085</v>
      </c>
      <c r="U2229" s="1">
        <v>46085</v>
      </c>
      <c r="V2229" s="1">
        <v>46450</v>
      </c>
      <c r="W2229" t="s">
        <v>38</v>
      </c>
      <c r="X2229">
        <v>12</v>
      </c>
      <c r="Y2229" t="s">
        <v>49</v>
      </c>
      <c r="Z2229" t="s">
        <v>81</v>
      </c>
      <c r="AA2229" t="s">
        <v>122</v>
      </c>
      <c r="AB2229">
        <v>12</v>
      </c>
      <c r="AC2229" t="s">
        <v>166</v>
      </c>
      <c r="AD2229" t="s">
        <v>85</v>
      </c>
      <c r="AE2229" t="s">
        <v>46</v>
      </c>
      <c r="AF2229" t="s">
        <v>44</v>
      </c>
      <c r="AG2229" t="str">
        <f t="shared" si="37"/>
        <v>Recorrente</v>
      </c>
      <c r="AH2229" t="str">
        <f>IF(AND(SUMIF(E:E,E2229,I:I)&gt;=400000,Q2229="B2G"),"n","")</f>
        <v/>
      </c>
    </row>
    <row r="2230" spans="1:34">
      <c r="A2230">
        <v>2026</v>
      </c>
      <c r="B2230">
        <v>3</v>
      </c>
      <c r="C2230" s="83">
        <v>19435393824</v>
      </c>
      <c r="D2230" t="s">
        <v>2076</v>
      </c>
      <c r="E2230">
        <v>58053540978</v>
      </c>
      <c r="F2230">
        <v>507665</v>
      </c>
      <c r="G2230">
        <v>53409918577</v>
      </c>
      <c r="H2230" t="s">
        <v>35</v>
      </c>
      <c r="I2230" s="36">
        <v>7602.6</v>
      </c>
      <c r="J2230" s="36">
        <v>7602.6</v>
      </c>
      <c r="K2230" s="85">
        <v>0</v>
      </c>
      <c r="L2230" s="36">
        <v>633.54999999999995</v>
      </c>
      <c r="M2230" s="36">
        <v>0</v>
      </c>
      <c r="N2230" s="36">
        <v>384.03421500000002</v>
      </c>
      <c r="O2230" s="36">
        <v>249.52</v>
      </c>
      <c r="P2230" t="s">
        <v>116</v>
      </c>
      <c r="Q2230" t="s">
        <v>111</v>
      </c>
      <c r="R2230" t="s">
        <v>111</v>
      </c>
      <c r="S2230" s="1">
        <v>46104</v>
      </c>
      <c r="T2230" s="1">
        <v>46104</v>
      </c>
      <c r="U2230" s="1">
        <v>46097</v>
      </c>
      <c r="V2230" s="1">
        <v>46469</v>
      </c>
      <c r="W2230" t="s">
        <v>38</v>
      </c>
      <c r="X2230">
        <v>12</v>
      </c>
      <c r="Y2230" t="s">
        <v>49</v>
      </c>
      <c r="Z2230" t="s">
        <v>76</v>
      </c>
      <c r="AA2230" t="s">
        <v>122</v>
      </c>
      <c r="AB2230">
        <v>12</v>
      </c>
      <c r="AC2230" t="s">
        <v>113</v>
      </c>
      <c r="AD2230" t="s">
        <v>134</v>
      </c>
      <c r="AE2230" t="s">
        <v>135</v>
      </c>
      <c r="AF2230" t="s">
        <v>44</v>
      </c>
      <c r="AG2230" t="str">
        <f t="shared" si="37"/>
        <v>Recorrente</v>
      </c>
      <c r="AH2230" t="str">
        <f>IF(AND(SUMIF(E:E,E2230,I:I)&gt;=400000,Q2230="B2G"),"n","")</f>
        <v/>
      </c>
    </row>
    <row r="2231" spans="1:34">
      <c r="A2231">
        <v>2026</v>
      </c>
      <c r="B2231">
        <v>3</v>
      </c>
      <c r="C2231" s="83">
        <v>19435393909</v>
      </c>
      <c r="D2231" t="s">
        <v>2077</v>
      </c>
      <c r="E2231">
        <v>57572173586</v>
      </c>
      <c r="F2231">
        <v>636368</v>
      </c>
      <c r="G2231">
        <v>52859359632</v>
      </c>
      <c r="H2231" t="s">
        <v>35</v>
      </c>
      <c r="I2231" s="36">
        <v>3825.84</v>
      </c>
      <c r="J2231" s="36">
        <v>3825.84</v>
      </c>
      <c r="K2231" s="85">
        <v>0</v>
      </c>
      <c r="L2231" s="36">
        <v>318.82</v>
      </c>
      <c r="M2231" s="36">
        <v>0</v>
      </c>
      <c r="N2231" s="36">
        <v>318.82</v>
      </c>
      <c r="O2231" s="36">
        <v>0</v>
      </c>
      <c r="P2231" t="s">
        <v>323</v>
      </c>
      <c r="Q2231" t="s">
        <v>191</v>
      </c>
      <c r="R2231" t="s">
        <v>191</v>
      </c>
      <c r="S2231" s="1">
        <v>46086</v>
      </c>
      <c r="T2231" s="1">
        <v>46086</v>
      </c>
      <c r="V2231" s="1">
        <v>46451</v>
      </c>
      <c r="W2231" t="s">
        <v>38</v>
      </c>
      <c r="X2231">
        <v>12</v>
      </c>
      <c r="Y2231" t="s">
        <v>49</v>
      </c>
      <c r="AA2231" t="s">
        <v>112</v>
      </c>
      <c r="AB2231">
        <v>1</v>
      </c>
      <c r="AC2231" t="s">
        <v>192</v>
      </c>
      <c r="AD2231" t="s">
        <v>84</v>
      </c>
      <c r="AE2231" t="s">
        <v>43</v>
      </c>
      <c r="AF2231" t="s">
        <v>44</v>
      </c>
      <c r="AG2231" t="str">
        <f t="shared" si="37"/>
        <v>À Vista</v>
      </c>
      <c r="AH2231" t="str">
        <f>IF(AND(SUMIF(E:E,E2231,I:I)&gt;=400000,Q2231="B2G"),"n","")</f>
        <v/>
      </c>
    </row>
    <row r="2232" spans="1:34">
      <c r="A2232">
        <v>2026</v>
      </c>
      <c r="B2232">
        <v>3</v>
      </c>
      <c r="C2232" s="83">
        <v>19435398211</v>
      </c>
      <c r="D2232" t="s">
        <v>2078</v>
      </c>
      <c r="E2232">
        <v>46640091825</v>
      </c>
      <c r="F2232">
        <v>636639</v>
      </c>
      <c r="G2232">
        <v>53451824964</v>
      </c>
      <c r="H2232" t="s">
        <v>35</v>
      </c>
      <c r="I2232" s="36">
        <v>10872</v>
      </c>
      <c r="J2232" s="36">
        <v>0</v>
      </c>
      <c r="K2232" s="85">
        <v>0</v>
      </c>
      <c r="L2232" s="36">
        <v>0</v>
      </c>
      <c r="M2232" s="36">
        <v>0</v>
      </c>
      <c r="N2232" s="36">
        <v>0</v>
      </c>
      <c r="O2232" s="36">
        <v>0</v>
      </c>
      <c r="P2232" t="s">
        <v>75</v>
      </c>
      <c r="Q2232" t="s">
        <v>37</v>
      </c>
      <c r="R2232" t="s">
        <v>37</v>
      </c>
      <c r="S2232" s="1">
        <v>46104</v>
      </c>
      <c r="T2232" s="1">
        <v>46104</v>
      </c>
      <c r="W2232" t="s">
        <v>39</v>
      </c>
      <c r="Y2232" t="s">
        <v>39</v>
      </c>
      <c r="AA2232" t="s">
        <v>40</v>
      </c>
      <c r="AB2232">
        <v>1</v>
      </c>
      <c r="AC2232" t="s">
        <v>41</v>
      </c>
      <c r="AD2232" t="s">
        <v>2079</v>
      </c>
      <c r="AE2232" t="s">
        <v>46</v>
      </c>
      <c r="AF2232" t="s">
        <v>44</v>
      </c>
      <c r="AG2232" t="str">
        <f t="shared" si="37"/>
        <v>À Vista</v>
      </c>
      <c r="AH2232" t="str">
        <f>IF(AND(SUMIF(E:E,E2232,I:I)&gt;=400000,Q2232="B2G"),"n","")</f>
        <v/>
      </c>
    </row>
    <row r="2233" spans="1:34">
      <c r="A2233">
        <v>2026</v>
      </c>
      <c r="B2233">
        <v>3</v>
      </c>
      <c r="C2233" s="83">
        <v>19435398211</v>
      </c>
      <c r="D2233" t="s">
        <v>2078</v>
      </c>
      <c r="E2233">
        <v>46640091825</v>
      </c>
      <c r="F2233">
        <v>636639</v>
      </c>
      <c r="G2233">
        <v>53451824965</v>
      </c>
      <c r="H2233" t="s">
        <v>35</v>
      </c>
      <c r="I2233" s="36">
        <v>3716</v>
      </c>
      <c r="J2233" s="36">
        <v>3716</v>
      </c>
      <c r="K2233" s="85">
        <v>0</v>
      </c>
      <c r="L2233" s="36">
        <v>309.66666666666669</v>
      </c>
      <c r="M2233" s="36">
        <v>309.66666666666669</v>
      </c>
      <c r="N2233" s="36">
        <v>0</v>
      </c>
      <c r="O2233" s="36">
        <v>0</v>
      </c>
      <c r="P2233" t="s">
        <v>75</v>
      </c>
      <c r="Q2233" t="s">
        <v>37</v>
      </c>
      <c r="R2233" t="s">
        <v>37</v>
      </c>
      <c r="S2233" s="1">
        <v>46104</v>
      </c>
      <c r="T2233" s="1">
        <v>46104</v>
      </c>
      <c r="W2233" t="s">
        <v>38</v>
      </c>
      <c r="X2233">
        <v>12</v>
      </c>
      <c r="Y2233" t="s">
        <v>49</v>
      </c>
      <c r="AA2233" t="s">
        <v>40</v>
      </c>
      <c r="AB2233">
        <v>1</v>
      </c>
      <c r="AC2233" t="s">
        <v>41</v>
      </c>
      <c r="AD2233" t="s">
        <v>42</v>
      </c>
      <c r="AE2233" t="s">
        <v>43</v>
      </c>
      <c r="AF2233" t="s">
        <v>44</v>
      </c>
      <c r="AG2233" t="str">
        <f t="shared" si="37"/>
        <v>À Vista</v>
      </c>
      <c r="AH2233" t="str">
        <f>IF(AND(SUMIF(E:E,E2233,I:I)&gt;=400000,Q2233="B2G"),"n","")</f>
        <v/>
      </c>
    </row>
    <row r="2234" spans="1:34">
      <c r="A2234">
        <v>2026</v>
      </c>
      <c r="B2234">
        <v>3</v>
      </c>
      <c r="C2234" s="83">
        <v>19435398211</v>
      </c>
      <c r="D2234" t="s">
        <v>2078</v>
      </c>
      <c r="E2234">
        <v>46640091825</v>
      </c>
      <c r="F2234">
        <v>636639</v>
      </c>
      <c r="G2234">
        <v>53451824966</v>
      </c>
      <c r="H2234" t="s">
        <v>35</v>
      </c>
      <c r="I2234" s="36">
        <v>9288</v>
      </c>
      <c r="J2234" s="36">
        <v>0</v>
      </c>
      <c r="K2234" s="85">
        <v>0</v>
      </c>
      <c r="L2234" s="36">
        <v>0</v>
      </c>
      <c r="M2234" s="36">
        <v>0</v>
      </c>
      <c r="N2234" s="36">
        <v>0</v>
      </c>
      <c r="O2234" s="36">
        <v>0</v>
      </c>
      <c r="P2234" t="s">
        <v>75</v>
      </c>
      <c r="Q2234" t="s">
        <v>37</v>
      </c>
      <c r="R2234" t="s">
        <v>37</v>
      </c>
      <c r="S2234" s="1">
        <v>46104</v>
      </c>
      <c r="T2234" s="1">
        <v>46104</v>
      </c>
      <c r="U2234" s="1"/>
      <c r="V2234" s="1"/>
      <c r="W2234" t="s">
        <v>39</v>
      </c>
      <c r="Y2234" t="s">
        <v>39</v>
      </c>
      <c r="AA2234" t="s">
        <v>40</v>
      </c>
      <c r="AB2234">
        <v>1</v>
      </c>
      <c r="AC2234" t="s">
        <v>41</v>
      </c>
      <c r="AD2234" t="s">
        <v>2080</v>
      </c>
      <c r="AE2234" t="s">
        <v>43</v>
      </c>
      <c r="AF2234" t="s">
        <v>44</v>
      </c>
      <c r="AG2234" t="str">
        <f t="shared" si="37"/>
        <v>À Vista</v>
      </c>
      <c r="AH2234" t="str">
        <f>IF(AND(SUMIF(E:E,E2234,I:I)&gt;=400000,Q2234="B2G"),"n","")</f>
        <v/>
      </c>
    </row>
    <row r="2235" spans="1:34">
      <c r="A2235">
        <v>2026</v>
      </c>
      <c r="B2235">
        <v>3</v>
      </c>
      <c r="C2235" s="83">
        <v>19435398211</v>
      </c>
      <c r="D2235" t="s">
        <v>2078</v>
      </c>
      <c r="E2235">
        <v>46640091825</v>
      </c>
      <c r="F2235">
        <v>636639</v>
      </c>
      <c r="G2235">
        <v>53451824967</v>
      </c>
      <c r="H2235" t="s">
        <v>35</v>
      </c>
      <c r="I2235" s="36">
        <v>4349</v>
      </c>
      <c r="J2235" s="36">
        <v>4349</v>
      </c>
      <c r="K2235" s="85">
        <v>0</v>
      </c>
      <c r="L2235" s="36">
        <v>362.41666666666669</v>
      </c>
      <c r="M2235" s="36">
        <v>362.41666666666669</v>
      </c>
      <c r="N2235" s="36">
        <v>0</v>
      </c>
      <c r="O2235" s="36">
        <v>0</v>
      </c>
      <c r="P2235" t="s">
        <v>75</v>
      </c>
      <c r="Q2235" t="s">
        <v>37</v>
      </c>
      <c r="R2235" t="s">
        <v>37</v>
      </c>
      <c r="S2235" s="1">
        <v>46104</v>
      </c>
      <c r="T2235" s="1">
        <v>46104</v>
      </c>
      <c r="V2235" s="1"/>
      <c r="W2235" t="s">
        <v>38</v>
      </c>
      <c r="X2235">
        <v>12</v>
      </c>
      <c r="Y2235" t="s">
        <v>49</v>
      </c>
      <c r="AA2235" t="s">
        <v>40</v>
      </c>
      <c r="AB2235">
        <v>1</v>
      </c>
      <c r="AC2235" t="s">
        <v>41</v>
      </c>
      <c r="AD2235" t="s">
        <v>2081</v>
      </c>
      <c r="AE2235" t="s">
        <v>46</v>
      </c>
      <c r="AF2235" t="s">
        <v>44</v>
      </c>
      <c r="AG2235" t="str">
        <f t="shared" si="37"/>
        <v>À Vista</v>
      </c>
      <c r="AH2235" t="str">
        <f>IF(AND(SUMIF(E:E,E2235,I:I)&gt;=400000,Q2235="B2G"),"n","")</f>
        <v/>
      </c>
    </row>
    <row r="2236" spans="1:34">
      <c r="A2236">
        <v>2026</v>
      </c>
      <c r="B2236">
        <v>3</v>
      </c>
      <c r="C2236" s="83">
        <v>19435398251</v>
      </c>
      <c r="D2236" t="s">
        <v>2082</v>
      </c>
      <c r="E2236">
        <v>57858505648</v>
      </c>
      <c r="F2236">
        <v>507756</v>
      </c>
      <c r="G2236">
        <v>53094122050</v>
      </c>
      <c r="H2236" t="s">
        <v>35</v>
      </c>
      <c r="I2236" s="36">
        <v>4099.68</v>
      </c>
      <c r="J2236" s="36">
        <v>4099.68</v>
      </c>
      <c r="K2236" s="85">
        <v>0</v>
      </c>
      <c r="L2236" s="36">
        <v>341.64</v>
      </c>
      <c r="M2236" s="36">
        <v>0</v>
      </c>
      <c r="N2236" s="36">
        <v>56.22</v>
      </c>
      <c r="O2236" s="36">
        <v>285.42</v>
      </c>
      <c r="P2236" t="s">
        <v>162</v>
      </c>
      <c r="Q2236" t="s">
        <v>111</v>
      </c>
      <c r="R2236" t="s">
        <v>111</v>
      </c>
      <c r="S2236" s="1">
        <v>46104</v>
      </c>
      <c r="T2236" s="1">
        <v>46104</v>
      </c>
      <c r="U2236" s="1">
        <v>46100</v>
      </c>
      <c r="V2236" s="1">
        <v>46469</v>
      </c>
      <c r="W2236" t="s">
        <v>38</v>
      </c>
      <c r="X2236">
        <v>12</v>
      </c>
      <c r="Y2236" t="s">
        <v>49</v>
      </c>
      <c r="Z2236" t="s">
        <v>81</v>
      </c>
      <c r="AA2236" t="s">
        <v>82</v>
      </c>
      <c r="AB2236">
        <v>1</v>
      </c>
      <c r="AC2236" t="s">
        <v>113</v>
      </c>
      <c r="AD2236" t="s">
        <v>85</v>
      </c>
      <c r="AE2236" t="s">
        <v>46</v>
      </c>
      <c r="AF2236" t="s">
        <v>44</v>
      </c>
      <c r="AG2236" t="str">
        <f t="shared" ref="AG2236:AG2299" si="38">IF(IFERROR(SEARCH("Recorrente",AA2236),0)&gt;0,"Recorrente",IF(AB2236=1,"À Vista",IF(AB2236&lt;=3,"CC 3x",IF(AB2236&lt;=12,"CC 12x",IF(AB2236&gt;12,"Recorrente","")))))</f>
        <v>À Vista</v>
      </c>
      <c r="AH2236" t="str">
        <f>IF(AND(SUMIF(E:E,E2236,I:I)&gt;=400000,Q2236="B2G"),"n","")</f>
        <v/>
      </c>
    </row>
    <row r="2237" spans="1:34">
      <c r="A2237">
        <v>2026</v>
      </c>
      <c r="B2237">
        <v>3</v>
      </c>
      <c r="C2237" s="83">
        <v>19435398255</v>
      </c>
      <c r="D2237" t="s">
        <v>2083</v>
      </c>
      <c r="E2237">
        <v>53255400344</v>
      </c>
      <c r="F2237">
        <v>636784</v>
      </c>
      <c r="G2237">
        <v>53747819298</v>
      </c>
      <c r="H2237" t="s">
        <v>35</v>
      </c>
      <c r="I2237" s="36">
        <v>4932</v>
      </c>
      <c r="J2237" s="36">
        <v>4932</v>
      </c>
      <c r="K2237" s="85">
        <v>0</v>
      </c>
      <c r="L2237" s="36">
        <v>411</v>
      </c>
      <c r="M2237" s="36">
        <v>411</v>
      </c>
      <c r="N2237" s="36">
        <v>0</v>
      </c>
      <c r="O2237" s="36">
        <v>0</v>
      </c>
      <c r="P2237" t="s">
        <v>98</v>
      </c>
      <c r="Q2237" t="s">
        <v>37</v>
      </c>
      <c r="R2237" t="s">
        <v>37</v>
      </c>
      <c r="S2237" s="1">
        <v>46111</v>
      </c>
      <c r="T2237" s="1">
        <v>46111</v>
      </c>
      <c r="U2237" s="1"/>
      <c r="V2237" s="1">
        <v>46476</v>
      </c>
      <c r="W2237" t="s">
        <v>38</v>
      </c>
      <c r="X2237">
        <v>12</v>
      </c>
      <c r="Y2237" t="s">
        <v>49</v>
      </c>
      <c r="AA2237" t="s">
        <v>40</v>
      </c>
      <c r="AB2237">
        <v>1</v>
      </c>
      <c r="AC2237" t="s">
        <v>41</v>
      </c>
      <c r="AD2237" t="s">
        <v>53</v>
      </c>
      <c r="AE2237" t="s">
        <v>43</v>
      </c>
      <c r="AF2237" t="s">
        <v>44</v>
      </c>
      <c r="AG2237" t="str">
        <f t="shared" si="38"/>
        <v>À Vista</v>
      </c>
      <c r="AH2237" t="str">
        <f>IF(AND(SUMIF(E:E,E2237,I:I)&gt;=400000,Q2237="B2G"),"n","")</f>
        <v/>
      </c>
    </row>
    <row r="2238" spans="1:34">
      <c r="A2238">
        <v>2026</v>
      </c>
      <c r="B2238">
        <v>3</v>
      </c>
      <c r="C2238" s="83">
        <v>19435398255</v>
      </c>
      <c r="D2238" t="s">
        <v>2083</v>
      </c>
      <c r="E2238">
        <v>53255400344</v>
      </c>
      <c r="F2238">
        <v>636784</v>
      </c>
      <c r="G2238">
        <v>53747819299</v>
      </c>
      <c r="H2238" t="s">
        <v>35</v>
      </c>
      <c r="I2238" s="36">
        <v>5772</v>
      </c>
      <c r="J2238" s="36">
        <v>5772</v>
      </c>
      <c r="K2238" s="85">
        <v>0</v>
      </c>
      <c r="L2238" s="36">
        <v>481</v>
      </c>
      <c r="M2238" s="36">
        <v>481</v>
      </c>
      <c r="N2238" s="36">
        <v>0</v>
      </c>
      <c r="O2238" s="36">
        <v>0</v>
      </c>
      <c r="P2238" t="s">
        <v>98</v>
      </c>
      <c r="Q2238" t="s">
        <v>37</v>
      </c>
      <c r="R2238" t="s">
        <v>37</v>
      </c>
      <c r="S2238" s="1">
        <v>46111</v>
      </c>
      <c r="T2238" s="1">
        <v>46111</v>
      </c>
      <c r="U2238" s="1"/>
      <c r="V2238" s="1">
        <v>46476</v>
      </c>
      <c r="W2238" t="s">
        <v>38</v>
      </c>
      <c r="X2238">
        <v>12</v>
      </c>
      <c r="Y2238" t="s">
        <v>49</v>
      </c>
      <c r="AA2238" t="s">
        <v>40</v>
      </c>
      <c r="AB2238">
        <v>1</v>
      </c>
      <c r="AC2238" t="s">
        <v>41</v>
      </c>
      <c r="AD2238" t="s">
        <v>54</v>
      </c>
      <c r="AE2238" t="s">
        <v>46</v>
      </c>
      <c r="AF2238" t="s">
        <v>44</v>
      </c>
      <c r="AG2238" t="str">
        <f t="shared" si="38"/>
        <v>À Vista</v>
      </c>
      <c r="AH2238" t="str">
        <f>IF(AND(SUMIF(E:E,E2238,I:I)&gt;=400000,Q2238="B2G"),"n","")</f>
        <v/>
      </c>
    </row>
    <row r="2239" spans="1:34">
      <c r="A2239">
        <v>2026</v>
      </c>
      <c r="B2239">
        <v>3</v>
      </c>
      <c r="C2239" s="83">
        <v>19435398462</v>
      </c>
      <c r="D2239" t="s">
        <v>124</v>
      </c>
      <c r="E2239">
        <v>56678173866</v>
      </c>
      <c r="F2239">
        <v>530741</v>
      </c>
      <c r="G2239">
        <v>52698249357</v>
      </c>
      <c r="H2239" t="s">
        <v>35</v>
      </c>
      <c r="I2239" s="36">
        <v>9715.92</v>
      </c>
      <c r="J2239" s="36">
        <v>9715.92</v>
      </c>
      <c r="K2239" s="85">
        <v>0</v>
      </c>
      <c r="L2239" s="36">
        <v>809.66</v>
      </c>
      <c r="M2239" s="36">
        <v>0</v>
      </c>
      <c r="N2239" s="36">
        <v>74.422499999999999</v>
      </c>
      <c r="O2239" s="36">
        <v>735.24</v>
      </c>
      <c r="P2239" t="s">
        <v>116</v>
      </c>
      <c r="Q2239" t="s">
        <v>111</v>
      </c>
      <c r="R2239" t="s">
        <v>111</v>
      </c>
      <c r="S2239" s="1">
        <v>46085</v>
      </c>
      <c r="T2239" s="1">
        <v>46085</v>
      </c>
      <c r="U2239" s="1">
        <v>46104</v>
      </c>
      <c r="V2239" s="1">
        <v>46469</v>
      </c>
      <c r="W2239" t="s">
        <v>38</v>
      </c>
      <c r="X2239">
        <v>12</v>
      </c>
      <c r="Y2239" t="s">
        <v>49</v>
      </c>
      <c r="Z2239" t="s">
        <v>81</v>
      </c>
      <c r="AA2239" t="s">
        <v>92</v>
      </c>
      <c r="AB2239">
        <v>12</v>
      </c>
      <c r="AC2239" t="s">
        <v>113</v>
      </c>
      <c r="AD2239" t="s">
        <v>154</v>
      </c>
      <c r="AE2239" t="s">
        <v>46</v>
      </c>
      <c r="AF2239" t="s">
        <v>47</v>
      </c>
      <c r="AG2239" t="str">
        <f t="shared" si="38"/>
        <v>Recorrente</v>
      </c>
      <c r="AH2239" t="str">
        <f>IF(AND(SUMIF(E:E,E2239,I:I)&gt;=400000,Q2239="B2G"),"n","")</f>
        <v/>
      </c>
    </row>
    <row r="2240" spans="1:34">
      <c r="A2240">
        <v>2026</v>
      </c>
      <c r="B2240">
        <v>3</v>
      </c>
      <c r="C2240" s="83">
        <v>19435398462</v>
      </c>
      <c r="D2240" t="s">
        <v>124</v>
      </c>
      <c r="E2240">
        <v>56707134124</v>
      </c>
      <c r="F2240">
        <v>529905</v>
      </c>
      <c r="G2240">
        <v>52704609811</v>
      </c>
      <c r="H2240" t="s">
        <v>35</v>
      </c>
      <c r="I2240" s="36">
        <v>5923.44</v>
      </c>
      <c r="J2240" s="36">
        <v>5923.44</v>
      </c>
      <c r="K2240" s="85">
        <v>0</v>
      </c>
      <c r="L2240" s="36">
        <v>493.62</v>
      </c>
      <c r="M2240" s="36">
        <v>0</v>
      </c>
      <c r="N2240" s="36">
        <v>40.619999999999997</v>
      </c>
      <c r="O2240" s="36">
        <v>453</v>
      </c>
      <c r="P2240" t="s">
        <v>162</v>
      </c>
      <c r="Q2240" t="s">
        <v>111</v>
      </c>
      <c r="R2240" t="s">
        <v>111</v>
      </c>
      <c r="S2240" s="1">
        <v>46085</v>
      </c>
      <c r="T2240" s="1">
        <v>46085</v>
      </c>
      <c r="U2240" s="1">
        <v>46096</v>
      </c>
      <c r="V2240" s="1">
        <v>46461</v>
      </c>
      <c r="W2240" t="s">
        <v>38</v>
      </c>
      <c r="X2240">
        <v>12</v>
      </c>
      <c r="Y2240" t="s">
        <v>49</v>
      </c>
      <c r="Z2240" t="s">
        <v>81</v>
      </c>
      <c r="AA2240" t="s">
        <v>92</v>
      </c>
      <c r="AB2240">
        <v>12</v>
      </c>
      <c r="AC2240" t="s">
        <v>113</v>
      </c>
      <c r="AD2240" t="s">
        <v>125</v>
      </c>
      <c r="AE2240" t="s">
        <v>43</v>
      </c>
      <c r="AF2240" t="s">
        <v>47</v>
      </c>
      <c r="AG2240" t="str">
        <f t="shared" si="38"/>
        <v>Recorrente</v>
      </c>
      <c r="AH2240" t="str">
        <f>IF(AND(SUMIF(E:E,E2240,I:I)&gt;=400000,Q2240="B2G"),"n","")</f>
        <v/>
      </c>
    </row>
    <row r="2241" spans="1:34">
      <c r="A2241">
        <v>2026</v>
      </c>
      <c r="B2241">
        <v>3</v>
      </c>
      <c r="C2241" s="83">
        <v>19435398462</v>
      </c>
      <c r="D2241" t="s">
        <v>124</v>
      </c>
      <c r="E2241">
        <v>56761175476</v>
      </c>
      <c r="F2241">
        <v>527890</v>
      </c>
      <c r="G2241">
        <v>52704670841</v>
      </c>
      <c r="H2241" t="s">
        <v>35</v>
      </c>
      <c r="I2241" s="36">
        <v>5148.24</v>
      </c>
      <c r="J2241" s="36">
        <v>5148.24</v>
      </c>
      <c r="K2241" s="85">
        <v>0</v>
      </c>
      <c r="L2241" s="36">
        <v>429.02</v>
      </c>
      <c r="M2241" s="36">
        <v>0</v>
      </c>
      <c r="N2241" s="36">
        <v>24.72</v>
      </c>
      <c r="O2241" s="36">
        <v>404.3</v>
      </c>
      <c r="P2241" t="s">
        <v>116</v>
      </c>
      <c r="Q2241" t="s">
        <v>111</v>
      </c>
      <c r="R2241" t="s">
        <v>111</v>
      </c>
      <c r="S2241" s="1">
        <v>46085</v>
      </c>
      <c r="T2241" s="1">
        <v>46085</v>
      </c>
      <c r="U2241" s="1">
        <v>46088</v>
      </c>
      <c r="V2241" s="1">
        <v>46453</v>
      </c>
      <c r="W2241" t="s">
        <v>38</v>
      </c>
      <c r="X2241">
        <v>12</v>
      </c>
      <c r="Y2241" t="s">
        <v>49</v>
      </c>
      <c r="Z2241" t="s">
        <v>81</v>
      </c>
      <c r="AA2241" t="s">
        <v>92</v>
      </c>
      <c r="AB2241">
        <v>12</v>
      </c>
      <c r="AC2241" t="s">
        <v>113</v>
      </c>
      <c r="AD2241" t="s">
        <v>85</v>
      </c>
      <c r="AE2241" t="s">
        <v>46</v>
      </c>
      <c r="AF2241" t="s">
        <v>44</v>
      </c>
      <c r="AG2241" t="str">
        <f t="shared" si="38"/>
        <v>Recorrente</v>
      </c>
      <c r="AH2241" t="str">
        <f>IF(AND(SUMIF(E:E,E2241,I:I)&gt;=400000,Q2241="B2G"),"n","")</f>
        <v/>
      </c>
    </row>
    <row r="2242" spans="1:34">
      <c r="A2242">
        <v>2026</v>
      </c>
      <c r="B2242">
        <v>3</v>
      </c>
      <c r="C2242" s="83">
        <v>19435398462</v>
      </c>
      <c r="D2242" t="s">
        <v>124</v>
      </c>
      <c r="E2242">
        <v>56761175476</v>
      </c>
      <c r="F2242">
        <v>527890</v>
      </c>
      <c r="G2242">
        <v>52704670842</v>
      </c>
      <c r="H2242" t="s">
        <v>35</v>
      </c>
      <c r="I2242" s="36">
        <v>5148.24</v>
      </c>
      <c r="J2242" s="36">
        <v>5148.24</v>
      </c>
      <c r="K2242" s="85">
        <v>0</v>
      </c>
      <c r="L2242" s="36">
        <v>429.02</v>
      </c>
      <c r="M2242" s="36">
        <v>0</v>
      </c>
      <c r="N2242" s="36">
        <v>24.72</v>
      </c>
      <c r="O2242" s="36">
        <v>404.3</v>
      </c>
      <c r="P2242" t="s">
        <v>116</v>
      </c>
      <c r="Q2242" t="s">
        <v>111</v>
      </c>
      <c r="R2242" t="s">
        <v>111</v>
      </c>
      <c r="S2242" s="1">
        <v>46085</v>
      </c>
      <c r="T2242" s="1">
        <v>46085</v>
      </c>
      <c r="U2242" s="1">
        <v>46088</v>
      </c>
      <c r="V2242" s="1">
        <v>46453</v>
      </c>
      <c r="W2242" t="s">
        <v>38</v>
      </c>
      <c r="X2242">
        <v>12</v>
      </c>
      <c r="Y2242" t="s">
        <v>49</v>
      </c>
      <c r="Z2242" t="s">
        <v>81</v>
      </c>
      <c r="AA2242" t="s">
        <v>92</v>
      </c>
      <c r="AB2242">
        <v>12</v>
      </c>
      <c r="AC2242" t="s">
        <v>113</v>
      </c>
      <c r="AD2242" t="s">
        <v>125</v>
      </c>
      <c r="AE2242" t="s">
        <v>43</v>
      </c>
      <c r="AF2242" t="s">
        <v>47</v>
      </c>
      <c r="AG2242" t="str">
        <f t="shared" si="38"/>
        <v>Recorrente</v>
      </c>
      <c r="AH2242" t="str">
        <f>IF(AND(SUMIF(E:E,E2242,I:I)&gt;=400000,Q2242="B2G"),"n","")</f>
        <v/>
      </c>
    </row>
    <row r="2243" spans="1:34">
      <c r="A2243">
        <v>2026</v>
      </c>
      <c r="B2243">
        <v>3</v>
      </c>
      <c r="C2243" s="83">
        <v>19435413301</v>
      </c>
      <c r="D2243" t="s">
        <v>2084</v>
      </c>
      <c r="E2243">
        <v>53284644148</v>
      </c>
      <c r="F2243">
        <v>636672</v>
      </c>
      <c r="G2243">
        <v>53492895250</v>
      </c>
      <c r="H2243" t="s">
        <v>35</v>
      </c>
      <c r="I2243" s="36">
        <v>32616</v>
      </c>
      <c r="J2243" s="36">
        <v>10872</v>
      </c>
      <c r="K2243" s="85">
        <v>21744</v>
      </c>
      <c r="L2243" s="36">
        <v>906</v>
      </c>
      <c r="M2243" s="36">
        <v>906</v>
      </c>
      <c r="N2243" s="36">
        <v>0</v>
      </c>
      <c r="O2243" s="36">
        <v>0</v>
      </c>
      <c r="P2243" t="s">
        <v>2068</v>
      </c>
      <c r="Q2243" t="s">
        <v>37</v>
      </c>
      <c r="R2243" t="s">
        <v>37</v>
      </c>
      <c r="S2243" s="1">
        <v>46105</v>
      </c>
      <c r="T2243" s="1">
        <v>46105</v>
      </c>
      <c r="U2243" s="1"/>
      <c r="V2243" s="1">
        <v>47201</v>
      </c>
      <c r="W2243" t="s">
        <v>102</v>
      </c>
      <c r="X2243">
        <v>36</v>
      </c>
      <c r="Y2243" t="s">
        <v>49</v>
      </c>
      <c r="AA2243" t="s">
        <v>40</v>
      </c>
      <c r="AB2243">
        <v>1</v>
      </c>
      <c r="AC2243" t="s">
        <v>41</v>
      </c>
      <c r="AD2243" t="s">
        <v>54</v>
      </c>
      <c r="AE2243" t="s">
        <v>46</v>
      </c>
      <c r="AF2243" t="s">
        <v>44</v>
      </c>
      <c r="AG2243" t="str">
        <f t="shared" si="38"/>
        <v>À Vista</v>
      </c>
      <c r="AH2243" t="str">
        <f>IF(AND(SUMIF(E:E,E2243,I:I)&gt;=400000,Q2243="B2G"),"n","")</f>
        <v/>
      </c>
    </row>
    <row r="2244" spans="1:34">
      <c r="A2244">
        <v>2026</v>
      </c>
      <c r="B2244">
        <v>3</v>
      </c>
      <c r="C2244" s="83">
        <v>19435413301</v>
      </c>
      <c r="D2244" t="s">
        <v>2084</v>
      </c>
      <c r="E2244">
        <v>53284644148</v>
      </c>
      <c r="F2244">
        <v>636672</v>
      </c>
      <c r="G2244">
        <v>53492895251</v>
      </c>
      <c r="H2244" t="s">
        <v>35</v>
      </c>
      <c r="I2244" s="36">
        <v>27864</v>
      </c>
      <c r="J2244" s="36">
        <v>9288</v>
      </c>
      <c r="K2244" s="85">
        <v>18576</v>
      </c>
      <c r="L2244" s="36">
        <v>774</v>
      </c>
      <c r="M2244" s="36">
        <v>774</v>
      </c>
      <c r="N2244" s="36">
        <v>0</v>
      </c>
      <c r="O2244" s="36">
        <v>0</v>
      </c>
      <c r="P2244" t="s">
        <v>2068</v>
      </c>
      <c r="Q2244" t="s">
        <v>37</v>
      </c>
      <c r="R2244" t="s">
        <v>37</v>
      </c>
      <c r="S2244" s="1">
        <v>46105</v>
      </c>
      <c r="T2244" s="1">
        <v>46105</v>
      </c>
      <c r="V2244" s="1">
        <v>47201</v>
      </c>
      <c r="W2244" t="s">
        <v>102</v>
      </c>
      <c r="X2244">
        <v>36</v>
      </c>
      <c r="Y2244" t="s">
        <v>49</v>
      </c>
      <c r="AA2244" t="s">
        <v>40</v>
      </c>
      <c r="AB2244">
        <v>1</v>
      </c>
      <c r="AC2244" t="s">
        <v>41</v>
      </c>
      <c r="AD2244" t="s">
        <v>53</v>
      </c>
      <c r="AE2244" t="s">
        <v>43</v>
      </c>
      <c r="AF2244" t="s">
        <v>44</v>
      </c>
      <c r="AG2244" t="str">
        <f t="shared" si="38"/>
        <v>À Vista</v>
      </c>
      <c r="AH2244" t="str">
        <f>IF(AND(SUMIF(E:E,E2244,I:I)&gt;=400000,Q2244="B2G"),"n","")</f>
        <v/>
      </c>
    </row>
    <row r="2245" spans="1:34">
      <c r="A2245">
        <v>2026</v>
      </c>
      <c r="B2245">
        <v>3</v>
      </c>
      <c r="C2245" s="83">
        <v>19435418146</v>
      </c>
      <c r="D2245" t="s">
        <v>2085</v>
      </c>
      <c r="E2245">
        <v>57563694083</v>
      </c>
      <c r="F2245">
        <v>610603</v>
      </c>
      <c r="G2245">
        <v>52873268130</v>
      </c>
      <c r="H2245" t="s">
        <v>35</v>
      </c>
      <c r="I2245" s="36">
        <v>4127.88</v>
      </c>
      <c r="J2245" s="36">
        <v>4127.88</v>
      </c>
      <c r="K2245" s="85">
        <v>0</v>
      </c>
      <c r="L2245" s="36">
        <v>343.99</v>
      </c>
      <c r="M2245" s="36">
        <v>0</v>
      </c>
      <c r="N2245" s="36">
        <v>26.65</v>
      </c>
      <c r="O2245" s="36">
        <v>317.33999999999997</v>
      </c>
      <c r="P2245" t="s">
        <v>121</v>
      </c>
      <c r="Q2245" t="s">
        <v>111</v>
      </c>
      <c r="R2245" t="s">
        <v>111</v>
      </c>
      <c r="S2245" s="1">
        <v>46086</v>
      </c>
      <c r="T2245" s="1">
        <v>46086</v>
      </c>
      <c r="U2245" s="1">
        <v>46085</v>
      </c>
      <c r="V2245" s="1">
        <v>46451</v>
      </c>
      <c r="W2245" t="s">
        <v>38</v>
      </c>
      <c r="X2245">
        <v>12</v>
      </c>
      <c r="Y2245" t="s">
        <v>49</v>
      </c>
      <c r="Z2245" t="s">
        <v>81</v>
      </c>
      <c r="AA2245" t="s">
        <v>122</v>
      </c>
      <c r="AB2245">
        <v>12</v>
      </c>
      <c r="AC2245" t="s">
        <v>113</v>
      </c>
      <c r="AD2245" t="s">
        <v>84</v>
      </c>
      <c r="AE2245" t="s">
        <v>43</v>
      </c>
      <c r="AF2245" t="s">
        <v>44</v>
      </c>
      <c r="AG2245" t="str">
        <f t="shared" si="38"/>
        <v>Recorrente</v>
      </c>
      <c r="AH2245" t="str">
        <f>IF(AND(SUMIF(E:E,E2245,I:I)&gt;=400000,Q2245="B2G"),"n","")</f>
        <v/>
      </c>
    </row>
    <row r="2246" spans="1:34">
      <c r="A2246">
        <v>2026</v>
      </c>
      <c r="B2246">
        <v>3</v>
      </c>
      <c r="C2246" s="83">
        <v>19435433985</v>
      </c>
      <c r="D2246" t="s">
        <v>2086</v>
      </c>
      <c r="E2246">
        <v>58063913759</v>
      </c>
      <c r="F2246">
        <v>636791</v>
      </c>
      <c r="G2246">
        <v>53747264256</v>
      </c>
      <c r="H2246" t="s">
        <v>35</v>
      </c>
      <c r="I2246" s="36">
        <v>9288</v>
      </c>
      <c r="J2246" s="36">
        <v>9288</v>
      </c>
      <c r="K2246" s="85">
        <v>0</v>
      </c>
      <c r="L2246" s="36">
        <v>774</v>
      </c>
      <c r="M2246" s="36">
        <v>774</v>
      </c>
      <c r="N2246" s="36">
        <v>0</v>
      </c>
      <c r="O2246" s="36">
        <v>0</v>
      </c>
      <c r="P2246" t="s">
        <v>1165</v>
      </c>
      <c r="Q2246" t="s">
        <v>37</v>
      </c>
      <c r="R2246" t="s">
        <v>37</v>
      </c>
      <c r="S2246" s="1">
        <v>46112</v>
      </c>
      <c r="T2246" s="1">
        <v>46112</v>
      </c>
      <c r="V2246" s="1">
        <v>46477</v>
      </c>
      <c r="W2246" t="s">
        <v>38</v>
      </c>
      <c r="X2246">
        <v>12</v>
      </c>
      <c r="Y2246" t="s">
        <v>49</v>
      </c>
      <c r="AA2246" t="s">
        <v>40</v>
      </c>
      <c r="AB2246">
        <v>1</v>
      </c>
      <c r="AC2246" t="s">
        <v>41</v>
      </c>
      <c r="AD2246" t="s">
        <v>53</v>
      </c>
      <c r="AE2246" t="s">
        <v>43</v>
      </c>
      <c r="AF2246" t="s">
        <v>44</v>
      </c>
      <c r="AG2246" t="str">
        <f t="shared" si="38"/>
        <v>À Vista</v>
      </c>
      <c r="AH2246" t="str">
        <f>IF(AND(SUMIF(E:E,E2246,I:I)&gt;=400000,Q2246="B2G"),"n","")</f>
        <v/>
      </c>
    </row>
    <row r="2247" spans="1:34">
      <c r="A2247">
        <v>2026</v>
      </c>
      <c r="B2247">
        <v>3</v>
      </c>
      <c r="C2247" s="83">
        <v>19435433985</v>
      </c>
      <c r="D2247" t="s">
        <v>2086</v>
      </c>
      <c r="E2247">
        <v>58063913759</v>
      </c>
      <c r="F2247">
        <v>636791</v>
      </c>
      <c r="G2247">
        <v>53747264257</v>
      </c>
      <c r="H2247" t="s">
        <v>35</v>
      </c>
      <c r="I2247" s="36">
        <v>5436</v>
      </c>
      <c r="J2247" s="36">
        <v>5436</v>
      </c>
      <c r="K2247" s="85">
        <v>0</v>
      </c>
      <c r="L2247" s="36">
        <v>453</v>
      </c>
      <c r="M2247" s="36">
        <v>453</v>
      </c>
      <c r="N2247" s="36">
        <v>0</v>
      </c>
      <c r="O2247" s="36">
        <v>0</v>
      </c>
      <c r="P2247" t="s">
        <v>1165</v>
      </c>
      <c r="Q2247" t="s">
        <v>37</v>
      </c>
      <c r="R2247" t="s">
        <v>37</v>
      </c>
      <c r="S2247" s="1">
        <v>46112</v>
      </c>
      <c r="T2247" s="1">
        <v>46112</v>
      </c>
      <c r="V2247" s="1">
        <v>46477</v>
      </c>
      <c r="W2247" t="s">
        <v>38</v>
      </c>
      <c r="X2247">
        <v>12</v>
      </c>
      <c r="Y2247" t="s">
        <v>49</v>
      </c>
      <c r="AA2247" t="s">
        <v>40</v>
      </c>
      <c r="AB2247">
        <v>1</v>
      </c>
      <c r="AC2247" t="s">
        <v>41</v>
      </c>
      <c r="AD2247" t="s">
        <v>54</v>
      </c>
      <c r="AE2247" t="s">
        <v>46</v>
      </c>
      <c r="AF2247" t="s">
        <v>44</v>
      </c>
      <c r="AG2247" t="str">
        <f t="shared" si="38"/>
        <v>À Vista</v>
      </c>
      <c r="AH2247" t="str">
        <f>IF(AND(SUMIF(E:E,E2247,I:I)&gt;=400000,Q2247="B2G"),"n","")</f>
        <v/>
      </c>
    </row>
    <row r="2248" spans="1:34">
      <c r="A2248">
        <v>2026</v>
      </c>
      <c r="B2248">
        <v>3</v>
      </c>
      <c r="C2248" s="83">
        <v>19435433985</v>
      </c>
      <c r="D2248" t="s">
        <v>2086</v>
      </c>
      <c r="E2248">
        <v>58063913759</v>
      </c>
      <c r="F2248">
        <v>636791</v>
      </c>
      <c r="G2248">
        <v>53747264258</v>
      </c>
      <c r="H2248" t="s">
        <v>35</v>
      </c>
      <c r="I2248" s="36">
        <v>9399.84</v>
      </c>
      <c r="J2248" s="36">
        <v>9399.84</v>
      </c>
      <c r="K2248" s="85">
        <v>0</v>
      </c>
      <c r="L2248" s="36">
        <v>783.32</v>
      </c>
      <c r="M2248" s="36">
        <v>783.32</v>
      </c>
      <c r="N2248" s="36">
        <v>0</v>
      </c>
      <c r="O2248" s="36">
        <v>0</v>
      </c>
      <c r="P2248" t="s">
        <v>1165</v>
      </c>
      <c r="Q2248" t="s">
        <v>37</v>
      </c>
      <c r="R2248" t="s">
        <v>37</v>
      </c>
      <c r="S2248" s="1">
        <v>46112</v>
      </c>
      <c r="T2248" s="1">
        <v>46112</v>
      </c>
      <c r="V2248" s="1">
        <v>46477</v>
      </c>
      <c r="W2248" t="s">
        <v>38</v>
      </c>
      <c r="X2248">
        <v>12</v>
      </c>
      <c r="Y2248" t="s">
        <v>49</v>
      </c>
      <c r="AA2248" t="s">
        <v>40</v>
      </c>
      <c r="AB2248">
        <v>1</v>
      </c>
      <c r="AC2248" t="s">
        <v>41</v>
      </c>
      <c r="AD2248" t="s">
        <v>564</v>
      </c>
      <c r="AE2248" t="s">
        <v>257</v>
      </c>
      <c r="AF2248" t="s">
        <v>59</v>
      </c>
      <c r="AG2248" t="str">
        <f t="shared" si="38"/>
        <v>À Vista</v>
      </c>
      <c r="AH2248" t="str">
        <f>IF(AND(SUMIF(E:E,E2248,I:I)&gt;=400000,Q2248="B2G"),"n","")</f>
        <v/>
      </c>
    </row>
    <row r="2249" spans="1:34">
      <c r="A2249">
        <v>2026</v>
      </c>
      <c r="B2249">
        <v>3</v>
      </c>
      <c r="C2249" s="83">
        <v>19435433985</v>
      </c>
      <c r="D2249" t="s">
        <v>2086</v>
      </c>
      <c r="E2249">
        <v>58063913759</v>
      </c>
      <c r="F2249">
        <v>636791</v>
      </c>
      <c r="G2249">
        <v>53747264259</v>
      </c>
      <c r="H2249" t="s">
        <v>35</v>
      </c>
      <c r="I2249" s="36">
        <v>15990.24</v>
      </c>
      <c r="J2249" s="36">
        <v>15990.24</v>
      </c>
      <c r="K2249" s="85">
        <v>0</v>
      </c>
      <c r="L2249" s="36">
        <v>1332.52</v>
      </c>
      <c r="M2249" s="36">
        <v>1332.52</v>
      </c>
      <c r="N2249" s="36">
        <v>0</v>
      </c>
      <c r="O2249" s="36">
        <v>0</v>
      </c>
      <c r="P2249" t="s">
        <v>1165</v>
      </c>
      <c r="Q2249" t="s">
        <v>37</v>
      </c>
      <c r="R2249" t="s">
        <v>37</v>
      </c>
      <c r="S2249" s="1">
        <v>46112</v>
      </c>
      <c r="T2249" s="1">
        <v>46112</v>
      </c>
      <c r="U2249" s="1"/>
      <c r="V2249" s="1">
        <v>46477</v>
      </c>
      <c r="W2249" t="s">
        <v>38</v>
      </c>
      <c r="X2249">
        <v>12</v>
      </c>
      <c r="Y2249" t="s">
        <v>49</v>
      </c>
      <c r="AA2249" t="s">
        <v>40</v>
      </c>
      <c r="AB2249">
        <v>1</v>
      </c>
      <c r="AC2249" t="s">
        <v>41</v>
      </c>
      <c r="AD2249" t="s">
        <v>73</v>
      </c>
      <c r="AE2249" t="s">
        <v>51</v>
      </c>
      <c r="AF2249" t="s">
        <v>47</v>
      </c>
      <c r="AG2249" t="str">
        <f t="shared" si="38"/>
        <v>À Vista</v>
      </c>
      <c r="AH2249" t="str">
        <f>IF(AND(SUMIF(E:E,E2249,I:I)&gt;=400000,Q2249="B2G"),"n","")</f>
        <v/>
      </c>
    </row>
    <row r="2250" spans="1:34">
      <c r="A2250">
        <v>2026</v>
      </c>
      <c r="B2250">
        <v>3</v>
      </c>
      <c r="C2250" s="83">
        <v>19435433985</v>
      </c>
      <c r="D2250" t="s">
        <v>2086</v>
      </c>
      <c r="E2250">
        <v>58063916294</v>
      </c>
      <c r="F2250">
        <v>636792</v>
      </c>
      <c r="G2250">
        <v>53747388560</v>
      </c>
      <c r="H2250" t="s">
        <v>673</v>
      </c>
      <c r="I2250" s="36">
        <v>10000</v>
      </c>
      <c r="J2250" s="36">
        <v>0</v>
      </c>
      <c r="K2250" s="85">
        <v>0</v>
      </c>
      <c r="L2250" s="36">
        <v>0</v>
      </c>
      <c r="M2250" s="36">
        <v>0</v>
      </c>
      <c r="N2250" s="36">
        <v>0</v>
      </c>
      <c r="O2250" s="36">
        <v>0</v>
      </c>
      <c r="P2250" t="s">
        <v>1165</v>
      </c>
      <c r="Q2250" t="s">
        <v>37</v>
      </c>
      <c r="R2250" t="s">
        <v>37</v>
      </c>
      <c r="S2250" s="1">
        <v>46112</v>
      </c>
      <c r="T2250" s="1">
        <v>46112</v>
      </c>
      <c r="U2250" s="1"/>
      <c r="V2250" s="1">
        <v>46494</v>
      </c>
      <c r="W2250" t="s">
        <v>38</v>
      </c>
      <c r="X2250">
        <v>13</v>
      </c>
      <c r="Y2250" t="s">
        <v>1229</v>
      </c>
      <c r="AA2250" t="s">
        <v>40</v>
      </c>
      <c r="AB2250">
        <v>1</v>
      </c>
      <c r="AC2250" t="s">
        <v>41</v>
      </c>
      <c r="AD2250" t="s">
        <v>2087</v>
      </c>
      <c r="AE2250" t="s">
        <v>106</v>
      </c>
      <c r="AF2250" t="s">
        <v>59</v>
      </c>
      <c r="AG2250" t="str">
        <f t="shared" si="38"/>
        <v>À Vista</v>
      </c>
      <c r="AH2250" t="str">
        <f>IF(AND(SUMIF(E:E,E2250,I:I)&gt;=400000,Q2250="B2G"),"n","")</f>
        <v/>
      </c>
    </row>
    <row r="2251" spans="1:34">
      <c r="A2251">
        <v>2026</v>
      </c>
      <c r="B2251">
        <v>3</v>
      </c>
      <c r="C2251" s="83">
        <v>19435434024</v>
      </c>
      <c r="D2251" t="s">
        <v>2088</v>
      </c>
      <c r="E2251">
        <v>57117441869</v>
      </c>
      <c r="F2251">
        <v>531055</v>
      </c>
      <c r="G2251">
        <v>53492898955</v>
      </c>
      <c r="H2251" t="s">
        <v>35</v>
      </c>
      <c r="I2251" s="36">
        <v>2874</v>
      </c>
      <c r="J2251" s="36">
        <v>2874</v>
      </c>
      <c r="K2251" s="85">
        <v>0</v>
      </c>
      <c r="L2251" s="36">
        <v>239.5</v>
      </c>
      <c r="M2251" s="36">
        <v>0</v>
      </c>
      <c r="N2251" s="36">
        <v>0</v>
      </c>
      <c r="O2251" s="36">
        <v>239.5</v>
      </c>
      <c r="P2251" t="s">
        <v>127</v>
      </c>
      <c r="Q2251" t="s">
        <v>111</v>
      </c>
      <c r="R2251" t="s">
        <v>111</v>
      </c>
      <c r="S2251" s="1">
        <v>46107</v>
      </c>
      <c r="T2251" s="1">
        <v>46107</v>
      </c>
      <c r="U2251" s="1">
        <v>46111</v>
      </c>
      <c r="V2251" s="1">
        <v>46476</v>
      </c>
      <c r="W2251" t="s">
        <v>38</v>
      </c>
      <c r="X2251">
        <v>12</v>
      </c>
      <c r="Y2251" t="s">
        <v>49</v>
      </c>
      <c r="Z2251" t="s">
        <v>76</v>
      </c>
      <c r="AA2251" t="s">
        <v>112</v>
      </c>
      <c r="AB2251">
        <v>12</v>
      </c>
      <c r="AC2251" t="s">
        <v>113</v>
      </c>
      <c r="AD2251" t="s">
        <v>140</v>
      </c>
      <c r="AE2251" t="s">
        <v>46</v>
      </c>
      <c r="AF2251" t="s">
        <v>119</v>
      </c>
      <c r="AG2251" t="str">
        <f t="shared" si="38"/>
        <v>CC 12x</v>
      </c>
      <c r="AH2251" t="str">
        <f>IF(AND(SUMIF(E:E,E2251,I:I)&gt;=400000,Q2251="B2G"),"n","")</f>
        <v/>
      </c>
    </row>
    <row r="2252" spans="1:34">
      <c r="A2252">
        <v>2026</v>
      </c>
      <c r="B2252">
        <v>3</v>
      </c>
      <c r="C2252" s="83">
        <v>19435434058</v>
      </c>
      <c r="D2252" t="s">
        <v>2089</v>
      </c>
      <c r="E2252">
        <v>54424851983</v>
      </c>
      <c r="F2252">
        <v>529103</v>
      </c>
      <c r="G2252">
        <v>49782009728</v>
      </c>
      <c r="H2252" t="s">
        <v>35</v>
      </c>
      <c r="I2252" s="36">
        <v>10795.44</v>
      </c>
      <c r="J2252" s="36">
        <v>10795.44</v>
      </c>
      <c r="K2252" s="85">
        <v>0</v>
      </c>
      <c r="L2252" s="36">
        <v>899.62</v>
      </c>
      <c r="M2252" s="36">
        <v>0</v>
      </c>
      <c r="N2252" s="36">
        <v>197.80500000000001</v>
      </c>
      <c r="O2252" s="36">
        <v>701.82</v>
      </c>
      <c r="P2252" t="s">
        <v>165</v>
      </c>
      <c r="Q2252" t="s">
        <v>166</v>
      </c>
      <c r="R2252" t="s">
        <v>166</v>
      </c>
      <c r="S2252" s="1">
        <v>46091</v>
      </c>
      <c r="T2252" s="1">
        <v>46091</v>
      </c>
      <c r="U2252" s="1">
        <v>46091</v>
      </c>
      <c r="V2252" s="1">
        <v>46456</v>
      </c>
      <c r="W2252" t="s">
        <v>38</v>
      </c>
      <c r="X2252">
        <v>12</v>
      </c>
      <c r="Y2252" t="s">
        <v>49</v>
      </c>
      <c r="Z2252" t="s">
        <v>81</v>
      </c>
      <c r="AA2252" t="s">
        <v>122</v>
      </c>
      <c r="AB2252">
        <v>12</v>
      </c>
      <c r="AC2252" t="s">
        <v>166</v>
      </c>
      <c r="AD2252" t="s">
        <v>154</v>
      </c>
      <c r="AE2252" t="s">
        <v>46</v>
      </c>
      <c r="AF2252" t="s">
        <v>47</v>
      </c>
      <c r="AG2252" t="str">
        <f t="shared" si="38"/>
        <v>Recorrente</v>
      </c>
      <c r="AH2252" t="str">
        <f>IF(AND(SUMIF(E:E,E2252,I:I)&gt;=400000,Q2252="B2G"),"n","")</f>
        <v/>
      </c>
    </row>
    <row r="2253" spans="1:34">
      <c r="A2253">
        <v>2026</v>
      </c>
      <c r="B2253">
        <v>3</v>
      </c>
      <c r="C2253" s="83">
        <v>19435438880</v>
      </c>
      <c r="D2253" t="s">
        <v>2090</v>
      </c>
      <c r="E2253">
        <v>48497830933</v>
      </c>
      <c r="F2253">
        <v>636638</v>
      </c>
      <c r="G2253">
        <v>53451791885</v>
      </c>
      <c r="H2253" t="s">
        <v>35</v>
      </c>
      <c r="I2253" s="36">
        <v>13242.48</v>
      </c>
      <c r="J2253" s="36">
        <v>13242.48</v>
      </c>
      <c r="K2253" s="85">
        <v>0</v>
      </c>
      <c r="L2253" s="36">
        <v>1103.54</v>
      </c>
      <c r="M2253" s="36">
        <v>1103.54</v>
      </c>
      <c r="N2253" s="36">
        <v>0</v>
      </c>
      <c r="O2253" s="36">
        <v>0</v>
      </c>
      <c r="P2253" t="s">
        <v>348</v>
      </c>
      <c r="Q2253" t="s">
        <v>349</v>
      </c>
      <c r="R2253" t="s">
        <v>349</v>
      </c>
      <c r="S2253" s="1">
        <v>46104</v>
      </c>
      <c r="T2253" s="1">
        <v>46104</v>
      </c>
      <c r="U2253" s="1"/>
      <c r="V2253" s="1">
        <v>46469</v>
      </c>
      <c r="W2253" t="s">
        <v>38</v>
      </c>
      <c r="X2253">
        <v>12</v>
      </c>
      <c r="Y2253" t="s">
        <v>49</v>
      </c>
      <c r="AA2253" t="s">
        <v>112</v>
      </c>
      <c r="AB2253">
        <v>6</v>
      </c>
      <c r="AC2253" t="s">
        <v>350</v>
      </c>
      <c r="AD2253" t="s">
        <v>154</v>
      </c>
      <c r="AE2253" t="s">
        <v>46</v>
      </c>
      <c r="AF2253" t="s">
        <v>47</v>
      </c>
      <c r="AG2253" t="str">
        <f t="shared" si="38"/>
        <v>CC 12x</v>
      </c>
      <c r="AH2253" t="str">
        <f>IF(AND(SUMIF(E:E,E2253,I:I)&gt;=400000,Q2253="B2G"),"n","")</f>
        <v/>
      </c>
    </row>
    <row r="2254" spans="1:34">
      <c r="A2254">
        <v>2026</v>
      </c>
      <c r="B2254">
        <v>3</v>
      </c>
      <c r="C2254" s="83">
        <v>19435447478</v>
      </c>
      <c r="D2254" t="s">
        <v>2091</v>
      </c>
      <c r="E2254">
        <v>55355680851</v>
      </c>
      <c r="F2254">
        <v>611041</v>
      </c>
      <c r="G2254">
        <v>53172399255</v>
      </c>
      <c r="H2254" t="s">
        <v>35</v>
      </c>
      <c r="I2254" s="36">
        <v>4860.84</v>
      </c>
      <c r="J2254" s="36">
        <v>4860.84</v>
      </c>
      <c r="K2254" s="85">
        <v>0</v>
      </c>
      <c r="L2254" s="36">
        <v>405.07</v>
      </c>
      <c r="M2254" s="36">
        <v>0</v>
      </c>
      <c r="N2254" s="36">
        <v>30.82</v>
      </c>
      <c r="O2254" s="36">
        <v>374.25</v>
      </c>
      <c r="P2254" t="s">
        <v>162</v>
      </c>
      <c r="Q2254" t="s">
        <v>111</v>
      </c>
      <c r="R2254" t="s">
        <v>111</v>
      </c>
      <c r="S2254" s="1">
        <v>46094</v>
      </c>
      <c r="T2254" s="1">
        <v>46094</v>
      </c>
      <c r="U2254" s="1">
        <v>46100</v>
      </c>
      <c r="V2254" s="1">
        <v>46465</v>
      </c>
      <c r="W2254" t="s">
        <v>38</v>
      </c>
      <c r="X2254">
        <v>12</v>
      </c>
      <c r="Y2254" t="s">
        <v>49</v>
      </c>
      <c r="Z2254" t="s">
        <v>81</v>
      </c>
      <c r="AA2254" t="s">
        <v>117</v>
      </c>
      <c r="AB2254">
        <v>1</v>
      </c>
      <c r="AC2254" t="s">
        <v>113</v>
      </c>
      <c r="AD2254" t="s">
        <v>174</v>
      </c>
      <c r="AE2254" t="s">
        <v>43</v>
      </c>
      <c r="AF2254" t="s">
        <v>47</v>
      </c>
      <c r="AG2254" t="str">
        <f t="shared" si="38"/>
        <v>À Vista</v>
      </c>
      <c r="AH2254" t="str">
        <f>IF(AND(SUMIF(E:E,E2254,I:I)&gt;=400000,Q2254="B2G"),"n","")</f>
        <v/>
      </c>
    </row>
    <row r="2255" spans="1:34">
      <c r="A2255">
        <v>2026</v>
      </c>
      <c r="B2255">
        <v>3</v>
      </c>
      <c r="C2255" s="83">
        <v>19435447478</v>
      </c>
      <c r="D2255" t="s">
        <v>2091</v>
      </c>
      <c r="E2255">
        <v>55355680851</v>
      </c>
      <c r="F2255">
        <v>611041</v>
      </c>
      <c r="G2255">
        <v>53172399256</v>
      </c>
      <c r="H2255" t="s">
        <v>35</v>
      </c>
      <c r="I2255" s="36">
        <v>4860.84</v>
      </c>
      <c r="J2255" s="36">
        <v>4860.84</v>
      </c>
      <c r="K2255" s="85">
        <v>0</v>
      </c>
      <c r="L2255" s="36">
        <v>405.07</v>
      </c>
      <c r="M2255" s="36">
        <v>0</v>
      </c>
      <c r="N2255" s="36">
        <v>30.82</v>
      </c>
      <c r="O2255" s="36">
        <v>374.25</v>
      </c>
      <c r="P2255" t="s">
        <v>162</v>
      </c>
      <c r="Q2255" t="s">
        <v>111</v>
      </c>
      <c r="R2255" t="s">
        <v>111</v>
      </c>
      <c r="S2255" s="1">
        <v>46094</v>
      </c>
      <c r="T2255" s="1">
        <v>46094</v>
      </c>
      <c r="U2255" s="1">
        <v>46100</v>
      </c>
      <c r="V2255" s="1">
        <v>46465</v>
      </c>
      <c r="W2255" t="s">
        <v>38</v>
      </c>
      <c r="X2255">
        <v>12</v>
      </c>
      <c r="Y2255" t="s">
        <v>49</v>
      </c>
      <c r="Z2255" t="s">
        <v>81</v>
      </c>
      <c r="AA2255" t="s">
        <v>117</v>
      </c>
      <c r="AB2255">
        <v>1</v>
      </c>
      <c r="AC2255" t="s">
        <v>113</v>
      </c>
      <c r="AD2255" t="s">
        <v>174</v>
      </c>
      <c r="AE2255" t="s">
        <v>43</v>
      </c>
      <c r="AF2255" t="s">
        <v>47</v>
      </c>
      <c r="AG2255" t="str">
        <f t="shared" si="38"/>
        <v>À Vista</v>
      </c>
      <c r="AH2255" t="str">
        <f>IF(AND(SUMIF(E:E,E2255,I:I)&gt;=400000,Q2255="B2G"),"n","")</f>
        <v/>
      </c>
    </row>
    <row r="2256" spans="1:34">
      <c r="A2256">
        <v>2026</v>
      </c>
      <c r="B2256">
        <v>3</v>
      </c>
      <c r="C2256" s="83">
        <v>19435447642</v>
      </c>
      <c r="D2256" t="s">
        <v>2092</v>
      </c>
      <c r="E2256">
        <v>55542172013</v>
      </c>
      <c r="F2256">
        <v>508573</v>
      </c>
      <c r="G2256">
        <v>50882052230</v>
      </c>
      <c r="H2256" t="s">
        <v>35</v>
      </c>
      <c r="I2256" s="36">
        <v>8634.6</v>
      </c>
      <c r="J2256" s="36">
        <v>8634.6</v>
      </c>
      <c r="K2256" s="85">
        <v>0</v>
      </c>
      <c r="L2256" s="36">
        <v>719.55</v>
      </c>
      <c r="M2256" s="36">
        <v>0</v>
      </c>
      <c r="N2256" s="36">
        <v>108.4</v>
      </c>
      <c r="O2256" s="36">
        <v>611.15</v>
      </c>
      <c r="P2256" t="s">
        <v>165</v>
      </c>
      <c r="Q2256" t="s">
        <v>166</v>
      </c>
      <c r="R2256" t="s">
        <v>166</v>
      </c>
      <c r="S2256" s="1">
        <v>46103</v>
      </c>
      <c r="T2256" s="1">
        <v>46103</v>
      </c>
      <c r="U2256" s="1">
        <v>46103</v>
      </c>
      <c r="V2256" s="1">
        <v>46468</v>
      </c>
      <c r="W2256" t="s">
        <v>38</v>
      </c>
      <c r="X2256">
        <v>12</v>
      </c>
      <c r="Y2256" t="s">
        <v>49</v>
      </c>
      <c r="Z2256" t="s">
        <v>81</v>
      </c>
      <c r="AA2256" t="s">
        <v>112</v>
      </c>
      <c r="AB2256">
        <v>12</v>
      </c>
      <c r="AC2256" t="s">
        <v>166</v>
      </c>
      <c r="AD2256" t="s">
        <v>131</v>
      </c>
      <c r="AE2256" t="s">
        <v>46</v>
      </c>
      <c r="AF2256" t="s">
        <v>96</v>
      </c>
      <c r="AG2256" t="str">
        <f t="shared" si="38"/>
        <v>CC 12x</v>
      </c>
      <c r="AH2256" t="str">
        <f>IF(AND(SUMIF(E:E,E2256,I:I)&gt;=400000,Q2256="B2G"),"n","")</f>
        <v/>
      </c>
    </row>
    <row r="2257" spans="1:34">
      <c r="A2257">
        <v>2026</v>
      </c>
      <c r="B2257">
        <v>3</v>
      </c>
      <c r="C2257" s="83">
        <v>19435447643</v>
      </c>
      <c r="D2257" t="s">
        <v>2093</v>
      </c>
      <c r="E2257">
        <v>56656488194</v>
      </c>
      <c r="F2257">
        <v>626719</v>
      </c>
      <c r="G2257">
        <v>53383465732</v>
      </c>
      <c r="H2257" t="s">
        <v>35</v>
      </c>
      <c r="I2257" s="36">
        <v>3902.4</v>
      </c>
      <c r="J2257" s="36">
        <v>3902.4</v>
      </c>
      <c r="K2257" s="85">
        <v>4.5474699999999999E-13</v>
      </c>
      <c r="L2257" s="36">
        <v>325.2</v>
      </c>
      <c r="M2257" s="36">
        <v>0</v>
      </c>
      <c r="N2257" s="36">
        <v>25.196400000000001</v>
      </c>
      <c r="O2257" s="36">
        <v>300</v>
      </c>
      <c r="P2257" t="s">
        <v>190</v>
      </c>
      <c r="Q2257" t="s">
        <v>111</v>
      </c>
      <c r="R2257" t="s">
        <v>111</v>
      </c>
      <c r="S2257" s="1">
        <v>46100</v>
      </c>
      <c r="T2257" s="1">
        <v>46100</v>
      </c>
      <c r="U2257" s="1">
        <v>46072</v>
      </c>
      <c r="V2257" s="1">
        <v>46465</v>
      </c>
      <c r="W2257" t="s">
        <v>38</v>
      </c>
      <c r="X2257">
        <v>13</v>
      </c>
      <c r="Y2257" t="s">
        <v>49</v>
      </c>
      <c r="Z2257" t="s">
        <v>81</v>
      </c>
      <c r="AA2257" t="s">
        <v>112</v>
      </c>
      <c r="AB2257">
        <v>12</v>
      </c>
      <c r="AC2257" t="s">
        <v>113</v>
      </c>
      <c r="AD2257" t="s">
        <v>84</v>
      </c>
      <c r="AE2257" t="s">
        <v>43</v>
      </c>
      <c r="AF2257" t="s">
        <v>44</v>
      </c>
      <c r="AG2257" t="str">
        <f t="shared" si="38"/>
        <v>CC 12x</v>
      </c>
      <c r="AH2257" t="str">
        <f>IF(AND(SUMIF(E:E,E2257,I:I)&gt;=400000,Q2257="B2G"),"n","")</f>
        <v/>
      </c>
    </row>
    <row r="2258" spans="1:34">
      <c r="A2258">
        <v>2026</v>
      </c>
      <c r="B2258">
        <v>3</v>
      </c>
      <c r="C2258" s="83">
        <v>19435452702</v>
      </c>
      <c r="D2258" t="s">
        <v>2094</v>
      </c>
      <c r="E2258">
        <v>55414427472</v>
      </c>
      <c r="F2258">
        <v>611688</v>
      </c>
      <c r="G2258">
        <v>50728171523</v>
      </c>
      <c r="H2258" t="s">
        <v>35</v>
      </c>
      <c r="I2258" s="36">
        <v>5718.6</v>
      </c>
      <c r="J2258" s="36">
        <v>5718.6</v>
      </c>
      <c r="K2258" s="85">
        <v>0</v>
      </c>
      <c r="L2258" s="36">
        <v>476.55</v>
      </c>
      <c r="M2258" s="36">
        <v>0</v>
      </c>
      <c r="N2258" s="36">
        <v>79.05</v>
      </c>
      <c r="O2258" s="36">
        <v>397.5</v>
      </c>
      <c r="P2258" t="s">
        <v>165</v>
      </c>
      <c r="Q2258" t="s">
        <v>166</v>
      </c>
      <c r="R2258" t="s">
        <v>166</v>
      </c>
      <c r="S2258" s="1">
        <v>46101</v>
      </c>
      <c r="T2258" s="1">
        <v>46101</v>
      </c>
      <c r="U2258" s="1">
        <v>46101</v>
      </c>
      <c r="V2258" s="1">
        <v>46466</v>
      </c>
      <c r="W2258" t="s">
        <v>38</v>
      </c>
      <c r="X2258">
        <v>12</v>
      </c>
      <c r="Y2258" t="s">
        <v>49</v>
      </c>
      <c r="Z2258" t="s">
        <v>81</v>
      </c>
      <c r="AA2258" t="s">
        <v>112</v>
      </c>
      <c r="AB2258">
        <v>12</v>
      </c>
      <c r="AC2258" t="s">
        <v>166</v>
      </c>
      <c r="AD2258" t="s">
        <v>149</v>
      </c>
      <c r="AE2258" t="s">
        <v>43</v>
      </c>
      <c r="AF2258" t="s">
        <v>96</v>
      </c>
      <c r="AG2258" t="str">
        <f t="shared" si="38"/>
        <v>CC 12x</v>
      </c>
      <c r="AH2258" t="str">
        <f>IF(AND(SUMIF(E:E,E2258,I:I)&gt;=400000,Q2258="B2G"),"n","")</f>
        <v/>
      </c>
    </row>
    <row r="2259" spans="1:34">
      <c r="A2259">
        <v>2026</v>
      </c>
      <c r="B2259">
        <v>3</v>
      </c>
      <c r="C2259" s="83">
        <v>19435460783</v>
      </c>
      <c r="D2259" t="s">
        <v>2095</v>
      </c>
      <c r="E2259">
        <v>55650933943</v>
      </c>
      <c r="F2259">
        <v>508434</v>
      </c>
      <c r="G2259">
        <v>50954938133</v>
      </c>
      <c r="H2259" t="s">
        <v>35</v>
      </c>
      <c r="I2259" s="36">
        <v>12954.6</v>
      </c>
      <c r="J2259" s="36">
        <v>12954.6</v>
      </c>
      <c r="K2259" s="85">
        <v>1.8189900000000001E-12</v>
      </c>
      <c r="L2259" s="36">
        <v>1079.55</v>
      </c>
      <c r="M2259" s="36">
        <v>0</v>
      </c>
      <c r="N2259" s="36">
        <v>227.34</v>
      </c>
      <c r="O2259" s="36">
        <v>852.21</v>
      </c>
      <c r="P2259" t="s">
        <v>165</v>
      </c>
      <c r="Q2259" t="s">
        <v>166</v>
      </c>
      <c r="R2259" t="s">
        <v>166</v>
      </c>
      <c r="S2259" s="1">
        <v>46104</v>
      </c>
      <c r="T2259" s="1">
        <v>46104</v>
      </c>
      <c r="U2259" s="1">
        <v>46104</v>
      </c>
      <c r="V2259" s="1">
        <v>46469</v>
      </c>
      <c r="W2259" t="s">
        <v>38</v>
      </c>
      <c r="X2259">
        <v>12</v>
      </c>
      <c r="Y2259" t="s">
        <v>49</v>
      </c>
      <c r="Z2259" t="s">
        <v>81</v>
      </c>
      <c r="AA2259" t="s">
        <v>122</v>
      </c>
      <c r="AB2259">
        <v>12</v>
      </c>
      <c r="AC2259" t="s">
        <v>166</v>
      </c>
      <c r="AD2259" t="s">
        <v>154</v>
      </c>
      <c r="AE2259" t="s">
        <v>46</v>
      </c>
      <c r="AF2259" t="s">
        <v>47</v>
      </c>
      <c r="AG2259" t="str">
        <f t="shared" si="38"/>
        <v>Recorrente</v>
      </c>
      <c r="AH2259" t="str">
        <f>IF(AND(SUMIF(E:E,E2259,I:I)&gt;=400000,Q2259="B2G"),"n","")</f>
        <v/>
      </c>
    </row>
    <row r="2260" spans="1:34">
      <c r="A2260">
        <v>2026</v>
      </c>
      <c r="B2260">
        <v>3</v>
      </c>
      <c r="C2260" s="83">
        <v>19435468606</v>
      </c>
      <c r="D2260" t="s">
        <v>217</v>
      </c>
      <c r="E2260">
        <v>56829009254</v>
      </c>
      <c r="F2260">
        <v>524409</v>
      </c>
      <c r="G2260">
        <v>52198798519</v>
      </c>
      <c r="H2260" t="s">
        <v>35</v>
      </c>
      <c r="I2260" s="36">
        <v>5400.84</v>
      </c>
      <c r="J2260" s="36">
        <v>5400.9</v>
      </c>
      <c r="K2260" s="85">
        <v>0</v>
      </c>
      <c r="L2260" s="36">
        <v>450.07499999999999</v>
      </c>
      <c r="M2260" s="36">
        <v>450.07499999999999</v>
      </c>
      <c r="N2260" s="36">
        <v>0</v>
      </c>
      <c r="O2260" s="36">
        <v>0</v>
      </c>
      <c r="P2260" t="s">
        <v>1160</v>
      </c>
      <c r="Q2260" t="s">
        <v>111</v>
      </c>
      <c r="R2260" t="s">
        <v>111</v>
      </c>
      <c r="S2260" s="1">
        <v>46090</v>
      </c>
      <c r="T2260" s="1">
        <v>46090</v>
      </c>
      <c r="U2260" s="1"/>
      <c r="V2260" s="1">
        <v>46393</v>
      </c>
      <c r="X2260">
        <v>10</v>
      </c>
      <c r="Y2260" t="s">
        <v>49</v>
      </c>
      <c r="AC2260" t="s">
        <v>113</v>
      </c>
      <c r="AD2260" t="s">
        <v>158</v>
      </c>
      <c r="AE2260" t="s">
        <v>43</v>
      </c>
      <c r="AF2260" t="s">
        <v>47</v>
      </c>
      <c r="AG2260" t="str">
        <f t="shared" si="38"/>
        <v>CC 3x</v>
      </c>
      <c r="AH2260" t="str">
        <f>IF(AND(SUMIF(E:E,E2260,I:I)&gt;=400000,Q2260="B2G"),"n","")</f>
        <v/>
      </c>
    </row>
    <row r="2261" spans="1:34">
      <c r="A2261">
        <v>2026</v>
      </c>
      <c r="B2261">
        <v>3</v>
      </c>
      <c r="C2261" s="83">
        <v>19435468606</v>
      </c>
      <c r="D2261" t="s">
        <v>217</v>
      </c>
      <c r="E2261">
        <v>56829009254</v>
      </c>
      <c r="F2261">
        <v>524409</v>
      </c>
      <c r="G2261">
        <v>52198798520</v>
      </c>
      <c r="H2261" t="s">
        <v>35</v>
      </c>
      <c r="I2261" s="36">
        <v>5400.84</v>
      </c>
      <c r="J2261" s="36">
        <v>5400.9</v>
      </c>
      <c r="K2261" s="85">
        <v>0</v>
      </c>
      <c r="L2261" s="36">
        <v>450.07499999999999</v>
      </c>
      <c r="M2261" s="36">
        <v>450.07499999999999</v>
      </c>
      <c r="N2261" s="36">
        <v>0</v>
      </c>
      <c r="O2261" s="36">
        <v>0</v>
      </c>
      <c r="P2261" t="s">
        <v>1160</v>
      </c>
      <c r="Q2261" t="s">
        <v>111</v>
      </c>
      <c r="R2261" t="s">
        <v>111</v>
      </c>
      <c r="S2261" s="1">
        <v>46090</v>
      </c>
      <c r="T2261" s="1">
        <v>46090</v>
      </c>
      <c r="U2261" s="1"/>
      <c r="V2261" s="1">
        <v>46393</v>
      </c>
      <c r="X2261">
        <v>10</v>
      </c>
      <c r="Y2261" t="s">
        <v>49</v>
      </c>
      <c r="AC2261" t="s">
        <v>113</v>
      </c>
      <c r="AD2261" t="s">
        <v>174</v>
      </c>
      <c r="AE2261" t="s">
        <v>43</v>
      </c>
      <c r="AF2261" t="s">
        <v>47</v>
      </c>
      <c r="AG2261" t="str">
        <f t="shared" si="38"/>
        <v>CC 3x</v>
      </c>
      <c r="AH2261" t="str">
        <f>IF(AND(SUMIF(E:E,E2261,I:I)&gt;=400000,Q2261="B2G"),"n","")</f>
        <v/>
      </c>
    </row>
    <row r="2262" spans="1:34">
      <c r="A2262">
        <v>2026</v>
      </c>
      <c r="B2262">
        <v>3</v>
      </c>
      <c r="C2262" s="83">
        <v>19435468678</v>
      </c>
      <c r="D2262" t="s">
        <v>2096</v>
      </c>
      <c r="E2262">
        <v>57984772381</v>
      </c>
      <c r="F2262">
        <v>627382</v>
      </c>
      <c r="G2262">
        <v>53409207075</v>
      </c>
      <c r="H2262" t="s">
        <v>35</v>
      </c>
      <c r="I2262" s="36">
        <v>7195.44</v>
      </c>
      <c r="J2262" s="36">
        <v>7195.44</v>
      </c>
      <c r="K2262" s="85">
        <v>0</v>
      </c>
      <c r="L2262" s="36">
        <v>599.62</v>
      </c>
      <c r="M2262" s="36">
        <v>0</v>
      </c>
      <c r="N2262" s="36">
        <v>80.144999999999996</v>
      </c>
      <c r="O2262" s="36">
        <v>519.48</v>
      </c>
      <c r="P2262" t="s">
        <v>110</v>
      </c>
      <c r="Q2262" t="s">
        <v>111</v>
      </c>
      <c r="R2262" t="s">
        <v>111</v>
      </c>
      <c r="S2262" s="1">
        <v>46101</v>
      </c>
      <c r="T2262" s="1">
        <v>46101</v>
      </c>
      <c r="U2262" s="1">
        <v>46095</v>
      </c>
      <c r="V2262" s="1">
        <v>46466</v>
      </c>
      <c r="W2262" t="s">
        <v>38</v>
      </c>
      <c r="X2262">
        <v>12</v>
      </c>
      <c r="Y2262" t="s">
        <v>49</v>
      </c>
      <c r="Z2262" t="s">
        <v>81</v>
      </c>
      <c r="AA2262" t="s">
        <v>117</v>
      </c>
      <c r="AB2262">
        <v>1</v>
      </c>
      <c r="AC2262" t="s">
        <v>113</v>
      </c>
      <c r="AD2262" t="s">
        <v>131</v>
      </c>
      <c r="AE2262" t="s">
        <v>46</v>
      </c>
      <c r="AF2262" t="s">
        <v>96</v>
      </c>
      <c r="AG2262" t="str">
        <f t="shared" si="38"/>
        <v>À Vista</v>
      </c>
      <c r="AH2262" t="str">
        <f>IF(AND(SUMIF(E:E,E2262,I:I)&gt;=400000,Q2262="B2G"),"n","")</f>
        <v/>
      </c>
    </row>
    <row r="2263" spans="1:34">
      <c r="A2263">
        <v>2026</v>
      </c>
      <c r="B2263">
        <v>3</v>
      </c>
      <c r="C2263" s="83">
        <v>19435468678</v>
      </c>
      <c r="D2263" t="s">
        <v>2096</v>
      </c>
      <c r="E2263">
        <v>57984772381</v>
      </c>
      <c r="F2263">
        <v>627382</v>
      </c>
      <c r="G2263">
        <v>53409207076</v>
      </c>
      <c r="H2263" t="s">
        <v>35</v>
      </c>
      <c r="I2263" s="36">
        <v>7195.44</v>
      </c>
      <c r="J2263" s="36">
        <v>7195.44</v>
      </c>
      <c r="K2263" s="85">
        <v>0</v>
      </c>
      <c r="L2263" s="36">
        <v>599.62</v>
      </c>
      <c r="M2263" s="36">
        <v>0</v>
      </c>
      <c r="N2263" s="36">
        <v>80.144999999999996</v>
      </c>
      <c r="O2263" s="36">
        <v>519.48</v>
      </c>
      <c r="P2263" t="s">
        <v>110</v>
      </c>
      <c r="Q2263" t="s">
        <v>111</v>
      </c>
      <c r="R2263" t="s">
        <v>111</v>
      </c>
      <c r="S2263" s="1">
        <v>46101</v>
      </c>
      <c r="T2263" s="1">
        <v>46101</v>
      </c>
      <c r="U2263" s="1">
        <v>46095</v>
      </c>
      <c r="V2263" s="1">
        <v>46466</v>
      </c>
      <c r="W2263" t="s">
        <v>38</v>
      </c>
      <c r="X2263">
        <v>12</v>
      </c>
      <c r="Y2263" t="s">
        <v>49</v>
      </c>
      <c r="Z2263" t="s">
        <v>81</v>
      </c>
      <c r="AA2263" t="s">
        <v>117</v>
      </c>
      <c r="AB2263">
        <v>1</v>
      </c>
      <c r="AC2263" t="s">
        <v>113</v>
      </c>
      <c r="AD2263" t="s">
        <v>131</v>
      </c>
      <c r="AE2263" t="s">
        <v>46</v>
      </c>
      <c r="AF2263" t="s">
        <v>96</v>
      </c>
      <c r="AG2263" t="str">
        <f t="shared" si="38"/>
        <v>À Vista</v>
      </c>
      <c r="AH2263" t="str">
        <f>IF(AND(SUMIF(E:E,E2263,I:I)&gt;=400000,Q2263="B2G"),"n","")</f>
        <v/>
      </c>
    </row>
    <row r="2264" spans="1:34">
      <c r="A2264">
        <v>2026</v>
      </c>
      <c r="B2264">
        <v>3</v>
      </c>
      <c r="C2264" s="83">
        <v>19435468716</v>
      </c>
      <c r="D2264" t="s">
        <v>2097</v>
      </c>
      <c r="E2264">
        <v>21477675886</v>
      </c>
      <c r="F2264">
        <v>636798</v>
      </c>
      <c r="G2264">
        <v>53747399182</v>
      </c>
      <c r="H2264" t="s">
        <v>35</v>
      </c>
      <c r="I2264" s="36">
        <v>10872</v>
      </c>
      <c r="J2264" s="36">
        <v>5436</v>
      </c>
      <c r="K2264" s="85">
        <v>5436</v>
      </c>
      <c r="L2264" s="36">
        <v>453</v>
      </c>
      <c r="M2264" s="36">
        <v>453</v>
      </c>
      <c r="N2264" s="36">
        <v>0</v>
      </c>
      <c r="O2264" s="36">
        <v>0</v>
      </c>
      <c r="P2264" t="s">
        <v>87</v>
      </c>
      <c r="Q2264" t="s">
        <v>37</v>
      </c>
      <c r="R2264" t="s">
        <v>37</v>
      </c>
      <c r="S2264" s="1">
        <v>46112</v>
      </c>
      <c r="T2264" s="1">
        <v>46112</v>
      </c>
      <c r="V2264" s="1">
        <v>46843</v>
      </c>
      <c r="W2264" t="s">
        <v>56</v>
      </c>
      <c r="X2264">
        <v>24</v>
      </c>
      <c r="Y2264" t="s">
        <v>49</v>
      </c>
      <c r="AA2264" t="s">
        <v>40</v>
      </c>
      <c r="AB2264">
        <v>1</v>
      </c>
      <c r="AC2264" t="s">
        <v>41</v>
      </c>
      <c r="AD2264" t="s">
        <v>54</v>
      </c>
      <c r="AE2264" t="s">
        <v>46</v>
      </c>
      <c r="AF2264" t="s">
        <v>44</v>
      </c>
      <c r="AG2264" t="str">
        <f t="shared" si="38"/>
        <v>À Vista</v>
      </c>
      <c r="AH2264" t="str">
        <f>IF(AND(SUMIF(E:E,E2264,I:I)&gt;=400000,Q2264="B2G"),"n","")</f>
        <v/>
      </c>
    </row>
    <row r="2265" spans="1:34">
      <c r="A2265">
        <v>2026</v>
      </c>
      <c r="B2265">
        <v>3</v>
      </c>
      <c r="C2265" s="83">
        <v>19435468716</v>
      </c>
      <c r="D2265" t="s">
        <v>2097</v>
      </c>
      <c r="E2265">
        <v>21477675886</v>
      </c>
      <c r="F2265">
        <v>636798</v>
      </c>
      <c r="G2265">
        <v>53747399183</v>
      </c>
      <c r="H2265" t="s">
        <v>35</v>
      </c>
      <c r="I2265" s="36">
        <v>9288</v>
      </c>
      <c r="J2265" s="36">
        <v>4644</v>
      </c>
      <c r="K2265" s="85">
        <v>4644</v>
      </c>
      <c r="L2265" s="36">
        <v>387</v>
      </c>
      <c r="M2265" s="36">
        <v>387</v>
      </c>
      <c r="N2265" s="36">
        <v>0</v>
      </c>
      <c r="O2265" s="36">
        <v>0</v>
      </c>
      <c r="P2265" t="s">
        <v>87</v>
      </c>
      <c r="Q2265" t="s">
        <v>37</v>
      </c>
      <c r="R2265" t="s">
        <v>37</v>
      </c>
      <c r="S2265" s="1">
        <v>46112</v>
      </c>
      <c r="T2265" s="1">
        <v>46112</v>
      </c>
      <c r="V2265" s="1">
        <v>46843</v>
      </c>
      <c r="W2265" t="s">
        <v>56</v>
      </c>
      <c r="X2265">
        <v>24</v>
      </c>
      <c r="Y2265" t="s">
        <v>49</v>
      </c>
      <c r="AA2265" t="s">
        <v>40</v>
      </c>
      <c r="AB2265">
        <v>1</v>
      </c>
      <c r="AC2265" t="s">
        <v>41</v>
      </c>
      <c r="AD2265" t="s">
        <v>53</v>
      </c>
      <c r="AE2265" t="s">
        <v>43</v>
      </c>
      <c r="AF2265" t="s">
        <v>44</v>
      </c>
      <c r="AG2265" t="str">
        <f t="shared" si="38"/>
        <v>À Vista</v>
      </c>
      <c r="AH2265" t="str">
        <f>IF(AND(SUMIF(E:E,E2265,I:I)&gt;=400000,Q2265="B2G"),"n","")</f>
        <v/>
      </c>
    </row>
    <row r="2266" spans="1:34">
      <c r="A2266">
        <v>2026</v>
      </c>
      <c r="B2266">
        <v>3</v>
      </c>
      <c r="C2266" s="83">
        <v>19435476591</v>
      </c>
      <c r="D2266" t="s">
        <v>2098</v>
      </c>
      <c r="E2266">
        <v>57959848767</v>
      </c>
      <c r="F2266">
        <v>636552</v>
      </c>
      <c r="G2266">
        <v>53239524129</v>
      </c>
      <c r="H2266" t="s">
        <v>35</v>
      </c>
      <c r="I2266" s="36">
        <v>59500.800000000003</v>
      </c>
      <c r="J2266" s="36">
        <v>7715.8376799999996</v>
      </c>
      <c r="K2266" s="85">
        <v>51784.962319999999</v>
      </c>
      <c r="L2266" s="36">
        <v>642.98647329999994</v>
      </c>
      <c r="M2266" s="36">
        <v>0</v>
      </c>
      <c r="N2266" s="36">
        <v>642.98647329999994</v>
      </c>
      <c r="O2266" s="36">
        <v>0</v>
      </c>
      <c r="P2266" t="s">
        <v>367</v>
      </c>
      <c r="Q2266" t="s">
        <v>191</v>
      </c>
      <c r="R2266" t="s">
        <v>191</v>
      </c>
      <c r="S2266" s="1">
        <v>46098</v>
      </c>
      <c r="T2266" s="1">
        <v>46098</v>
      </c>
      <c r="V2266" s="1">
        <v>47194</v>
      </c>
      <c r="W2266" t="s">
        <v>102</v>
      </c>
      <c r="Y2266" t="s">
        <v>49</v>
      </c>
      <c r="AA2266" t="s">
        <v>122</v>
      </c>
      <c r="AB2266">
        <v>36</v>
      </c>
      <c r="AC2266" t="s">
        <v>192</v>
      </c>
      <c r="AD2266" t="s">
        <v>125</v>
      </c>
      <c r="AE2266" t="s">
        <v>43</v>
      </c>
      <c r="AF2266" t="s">
        <v>47</v>
      </c>
      <c r="AG2266" t="str">
        <f t="shared" si="38"/>
        <v>Recorrente</v>
      </c>
      <c r="AH2266" t="str">
        <f>IF(AND(SUMIF(E:E,E2266,I:I)&gt;=400000,Q2266="B2G"),"n","")</f>
        <v/>
      </c>
    </row>
    <row r="2267" spans="1:34">
      <c r="A2267">
        <v>2026</v>
      </c>
      <c r="B2267">
        <v>3</v>
      </c>
      <c r="C2267" s="83">
        <v>19435493504</v>
      </c>
      <c r="D2267" t="s">
        <v>2099</v>
      </c>
      <c r="E2267">
        <v>43057369125</v>
      </c>
      <c r="F2267">
        <v>636455</v>
      </c>
      <c r="G2267">
        <v>53090735389</v>
      </c>
      <c r="H2267" t="s">
        <v>35</v>
      </c>
      <c r="I2267" s="36">
        <v>10872</v>
      </c>
      <c r="J2267" s="36">
        <v>0</v>
      </c>
      <c r="K2267" s="85">
        <v>0</v>
      </c>
      <c r="L2267" s="36">
        <v>0</v>
      </c>
      <c r="M2267" s="36">
        <v>0</v>
      </c>
      <c r="N2267" s="36">
        <v>0</v>
      </c>
      <c r="O2267" s="36">
        <v>0</v>
      </c>
      <c r="P2267" t="s">
        <v>98</v>
      </c>
      <c r="Q2267" t="s">
        <v>37</v>
      </c>
      <c r="R2267" t="s">
        <v>37</v>
      </c>
      <c r="S2267" s="1">
        <v>46092</v>
      </c>
      <c r="T2267" s="1">
        <v>46092</v>
      </c>
      <c r="U2267" s="1"/>
      <c r="V2267" s="1"/>
      <c r="W2267" t="s">
        <v>39</v>
      </c>
      <c r="Y2267" t="s">
        <v>39</v>
      </c>
      <c r="AA2267" t="s">
        <v>40</v>
      </c>
      <c r="AB2267">
        <v>1</v>
      </c>
      <c r="AC2267" t="s">
        <v>41</v>
      </c>
      <c r="AD2267" t="s">
        <v>2079</v>
      </c>
      <c r="AE2267" t="s">
        <v>46</v>
      </c>
      <c r="AF2267" t="s">
        <v>44</v>
      </c>
      <c r="AG2267" t="str">
        <f t="shared" si="38"/>
        <v>À Vista</v>
      </c>
      <c r="AH2267" t="str">
        <f>IF(AND(SUMIF(E:E,E2267,I:I)&gt;=400000,Q2267="B2G"),"n","")</f>
        <v/>
      </c>
    </row>
    <row r="2268" spans="1:34">
      <c r="A2268">
        <v>2026</v>
      </c>
      <c r="B2268">
        <v>3</v>
      </c>
      <c r="C2268" s="83">
        <v>19435493504</v>
      </c>
      <c r="D2268" t="s">
        <v>2099</v>
      </c>
      <c r="E2268">
        <v>43057369125</v>
      </c>
      <c r="F2268">
        <v>636455</v>
      </c>
      <c r="G2268">
        <v>53090735390</v>
      </c>
      <c r="H2268" t="s">
        <v>35</v>
      </c>
      <c r="I2268" s="36">
        <v>9288</v>
      </c>
      <c r="J2268" s="36">
        <v>0</v>
      </c>
      <c r="K2268" s="85">
        <v>0</v>
      </c>
      <c r="L2268" s="36">
        <v>0</v>
      </c>
      <c r="M2268" s="36">
        <v>0</v>
      </c>
      <c r="N2268" s="36">
        <v>0</v>
      </c>
      <c r="O2268" s="36">
        <v>0</v>
      </c>
      <c r="P2268" t="s">
        <v>98</v>
      </c>
      <c r="Q2268" t="s">
        <v>37</v>
      </c>
      <c r="R2268" t="s">
        <v>37</v>
      </c>
      <c r="S2268" s="1">
        <v>46092</v>
      </c>
      <c r="T2268" s="1">
        <v>46092</v>
      </c>
      <c r="U2268" s="1"/>
      <c r="V2268" s="1"/>
      <c r="W2268" t="s">
        <v>39</v>
      </c>
      <c r="Y2268" t="s">
        <v>39</v>
      </c>
      <c r="AA2268" t="s">
        <v>40</v>
      </c>
      <c r="AB2268">
        <v>1</v>
      </c>
      <c r="AC2268" t="s">
        <v>41</v>
      </c>
      <c r="AD2268" t="s">
        <v>2080</v>
      </c>
      <c r="AE2268" t="s">
        <v>43</v>
      </c>
      <c r="AF2268" t="s">
        <v>44</v>
      </c>
      <c r="AG2268" t="str">
        <f t="shared" si="38"/>
        <v>À Vista</v>
      </c>
      <c r="AH2268" t="str">
        <f>IF(AND(SUMIF(E:E,E2268,I:I)&gt;=400000,Q2268="B2G"),"n","")</f>
        <v/>
      </c>
    </row>
    <row r="2269" spans="1:34">
      <c r="A2269">
        <v>2026</v>
      </c>
      <c r="B2269">
        <v>3</v>
      </c>
      <c r="C2269" s="83">
        <v>19435493541</v>
      </c>
      <c r="D2269" t="s">
        <v>2100</v>
      </c>
      <c r="E2269">
        <v>45103001165</v>
      </c>
      <c r="F2269">
        <v>606085</v>
      </c>
      <c r="G2269">
        <v>53530716178</v>
      </c>
      <c r="H2269" t="s">
        <v>35</v>
      </c>
      <c r="I2269" s="36">
        <v>14157</v>
      </c>
      <c r="J2269" s="36">
        <v>14157</v>
      </c>
      <c r="K2269" s="85">
        <v>0</v>
      </c>
      <c r="L2269" s="36">
        <v>1179.75</v>
      </c>
      <c r="M2269" s="36">
        <v>0</v>
      </c>
      <c r="N2269" s="36">
        <v>0</v>
      </c>
      <c r="O2269" s="36">
        <v>1179.75</v>
      </c>
      <c r="P2269" t="s">
        <v>87</v>
      </c>
      <c r="Q2269" t="s">
        <v>37</v>
      </c>
      <c r="R2269" t="s">
        <v>37</v>
      </c>
      <c r="S2269" s="1">
        <v>46106</v>
      </c>
      <c r="T2269" s="1">
        <v>46106</v>
      </c>
      <c r="U2269" s="1">
        <v>46108</v>
      </c>
      <c r="V2269" s="1">
        <v>46473</v>
      </c>
      <c r="W2269" t="s">
        <v>38</v>
      </c>
      <c r="X2269">
        <v>12</v>
      </c>
      <c r="Y2269" t="s">
        <v>49</v>
      </c>
      <c r="Z2269" t="s">
        <v>81</v>
      </c>
      <c r="AA2269" t="s">
        <v>40</v>
      </c>
      <c r="AB2269">
        <v>1</v>
      </c>
      <c r="AC2269" t="s">
        <v>41</v>
      </c>
      <c r="AD2269" t="s">
        <v>100</v>
      </c>
      <c r="AE2269" t="s">
        <v>46</v>
      </c>
      <c r="AF2269" t="s">
        <v>47</v>
      </c>
      <c r="AG2269" t="str">
        <f t="shared" si="38"/>
        <v>À Vista</v>
      </c>
      <c r="AH2269" t="str">
        <f>IF(AND(SUMIF(E:E,E2269,I:I)&gt;=400000,Q2269="B2G"),"n","")</f>
        <v/>
      </c>
    </row>
    <row r="2270" spans="1:34">
      <c r="A2270">
        <v>2026</v>
      </c>
      <c r="B2270">
        <v>3</v>
      </c>
      <c r="C2270" s="83">
        <v>19435493541</v>
      </c>
      <c r="D2270" t="s">
        <v>2100</v>
      </c>
      <c r="E2270">
        <v>45103001165</v>
      </c>
      <c r="F2270">
        <v>606085</v>
      </c>
      <c r="G2270">
        <v>53530716179</v>
      </c>
      <c r="H2270" t="s">
        <v>35</v>
      </c>
      <c r="I2270" s="36">
        <v>14157</v>
      </c>
      <c r="J2270" s="36">
        <v>14157</v>
      </c>
      <c r="K2270" s="85">
        <v>0</v>
      </c>
      <c r="L2270" s="36">
        <v>1179.75</v>
      </c>
      <c r="M2270" s="36">
        <v>0</v>
      </c>
      <c r="N2270" s="36">
        <v>0</v>
      </c>
      <c r="O2270" s="36">
        <v>1179.75</v>
      </c>
      <c r="P2270" t="s">
        <v>87</v>
      </c>
      <c r="Q2270" t="s">
        <v>37</v>
      </c>
      <c r="R2270" t="s">
        <v>37</v>
      </c>
      <c r="S2270" s="1">
        <v>46106</v>
      </c>
      <c r="T2270" s="1">
        <v>46106</v>
      </c>
      <c r="U2270" s="1">
        <v>46108</v>
      </c>
      <c r="V2270" s="1">
        <v>46473</v>
      </c>
      <c r="W2270" t="s">
        <v>38</v>
      </c>
      <c r="X2270">
        <v>12</v>
      </c>
      <c r="Y2270" t="s">
        <v>49</v>
      </c>
      <c r="Z2270" t="s">
        <v>81</v>
      </c>
      <c r="AA2270" t="s">
        <v>40</v>
      </c>
      <c r="AB2270">
        <v>1</v>
      </c>
      <c r="AC2270" t="s">
        <v>41</v>
      </c>
      <c r="AD2270" t="s">
        <v>70</v>
      </c>
      <c r="AE2270" t="s">
        <v>43</v>
      </c>
      <c r="AF2270" t="s">
        <v>47</v>
      </c>
      <c r="AG2270" t="str">
        <f t="shared" si="38"/>
        <v>À Vista</v>
      </c>
      <c r="AH2270" t="str">
        <f>IF(AND(SUMIF(E:E,E2270,I:I)&gt;=400000,Q2270="B2G"),"n","")</f>
        <v/>
      </c>
    </row>
    <row r="2271" spans="1:34">
      <c r="A2271">
        <v>2026</v>
      </c>
      <c r="B2271">
        <v>3</v>
      </c>
      <c r="C2271" s="83">
        <v>19435497119</v>
      </c>
      <c r="D2271" t="s">
        <v>2101</v>
      </c>
      <c r="E2271">
        <v>54444407454</v>
      </c>
      <c r="F2271">
        <v>627268</v>
      </c>
      <c r="G2271">
        <v>49770176436</v>
      </c>
      <c r="H2271" t="s">
        <v>35</v>
      </c>
      <c r="I2271" s="36">
        <v>5514</v>
      </c>
      <c r="J2271" s="36">
        <v>5514</v>
      </c>
      <c r="K2271" s="85">
        <v>0</v>
      </c>
      <c r="L2271" s="36">
        <v>459.5</v>
      </c>
      <c r="M2271" s="36">
        <v>0</v>
      </c>
      <c r="N2271" s="36">
        <v>30.5</v>
      </c>
      <c r="O2271" s="36">
        <v>429</v>
      </c>
      <c r="P2271" t="s">
        <v>165</v>
      </c>
      <c r="Q2271" t="s">
        <v>166</v>
      </c>
      <c r="R2271" t="s">
        <v>166</v>
      </c>
      <c r="S2271" s="1">
        <v>46092</v>
      </c>
      <c r="T2271" s="1">
        <v>46092</v>
      </c>
      <c r="U2271" s="1">
        <v>46092</v>
      </c>
      <c r="V2271" s="1">
        <v>46457</v>
      </c>
      <c r="W2271" t="s">
        <v>38</v>
      </c>
      <c r="X2271">
        <v>12</v>
      </c>
      <c r="Y2271" t="s">
        <v>49</v>
      </c>
      <c r="Z2271" t="s">
        <v>81</v>
      </c>
      <c r="AA2271" t="s">
        <v>122</v>
      </c>
      <c r="AB2271">
        <v>12</v>
      </c>
      <c r="AC2271" t="s">
        <v>166</v>
      </c>
      <c r="AD2271" t="s">
        <v>138</v>
      </c>
      <c r="AE2271" t="s">
        <v>135</v>
      </c>
      <c r="AF2271" t="s">
        <v>119</v>
      </c>
      <c r="AG2271" t="str">
        <f t="shared" si="38"/>
        <v>Recorrente</v>
      </c>
      <c r="AH2271" t="str">
        <f>IF(AND(SUMIF(E:E,E2271,I:I)&gt;=400000,Q2271="B2G"),"n","")</f>
        <v/>
      </c>
    </row>
    <row r="2272" spans="1:34">
      <c r="A2272">
        <v>2026</v>
      </c>
      <c r="B2272">
        <v>3</v>
      </c>
      <c r="C2272" s="83">
        <v>19435501657</v>
      </c>
      <c r="D2272" t="s">
        <v>2102</v>
      </c>
      <c r="E2272">
        <v>34651644556</v>
      </c>
      <c r="F2272">
        <v>636502</v>
      </c>
      <c r="G2272">
        <v>53206762592</v>
      </c>
      <c r="H2272" t="s">
        <v>35</v>
      </c>
      <c r="I2272" s="36">
        <v>10872</v>
      </c>
      <c r="J2272" s="36">
        <v>5436</v>
      </c>
      <c r="K2272" s="85">
        <v>5436</v>
      </c>
      <c r="L2272" s="36">
        <v>453</v>
      </c>
      <c r="M2272" s="36">
        <v>453</v>
      </c>
      <c r="N2272" s="36">
        <v>0</v>
      </c>
      <c r="O2272" s="36">
        <v>0</v>
      </c>
      <c r="P2272" t="s">
        <v>36</v>
      </c>
      <c r="Q2272" t="s">
        <v>37</v>
      </c>
      <c r="R2272" t="s">
        <v>37</v>
      </c>
      <c r="S2272" s="1">
        <v>46094</v>
      </c>
      <c r="T2272" s="1">
        <v>46094</v>
      </c>
      <c r="V2272" s="1">
        <v>46825</v>
      </c>
      <c r="W2272" t="s">
        <v>56</v>
      </c>
      <c r="X2272">
        <v>24</v>
      </c>
      <c r="Y2272" t="s">
        <v>49</v>
      </c>
      <c r="AA2272" t="s">
        <v>40</v>
      </c>
      <c r="AB2272">
        <v>1</v>
      </c>
      <c r="AC2272" t="s">
        <v>41</v>
      </c>
      <c r="AD2272" t="s">
        <v>54</v>
      </c>
      <c r="AE2272" t="s">
        <v>46</v>
      </c>
      <c r="AF2272" t="s">
        <v>44</v>
      </c>
      <c r="AG2272" t="str">
        <f t="shared" si="38"/>
        <v>À Vista</v>
      </c>
      <c r="AH2272" t="str">
        <f>IF(AND(SUMIF(E:E,E2272,I:I)&gt;=400000,Q2272="B2G"),"n","")</f>
        <v/>
      </c>
    </row>
    <row r="2273" spans="1:34">
      <c r="A2273">
        <v>2026</v>
      </c>
      <c r="B2273">
        <v>3</v>
      </c>
      <c r="C2273" s="83">
        <v>19435501657</v>
      </c>
      <c r="D2273" t="s">
        <v>2102</v>
      </c>
      <c r="E2273">
        <v>34651644556</v>
      </c>
      <c r="F2273">
        <v>636502</v>
      </c>
      <c r="G2273">
        <v>53206762593</v>
      </c>
      <c r="H2273" t="s">
        <v>35</v>
      </c>
      <c r="I2273" s="36">
        <v>9288</v>
      </c>
      <c r="J2273" s="36">
        <v>4644</v>
      </c>
      <c r="K2273" s="85">
        <v>4644</v>
      </c>
      <c r="L2273" s="36">
        <v>387</v>
      </c>
      <c r="M2273" s="36">
        <v>387</v>
      </c>
      <c r="N2273" s="36">
        <v>0</v>
      </c>
      <c r="O2273" s="36">
        <v>0</v>
      </c>
      <c r="P2273" t="s">
        <v>36</v>
      </c>
      <c r="Q2273" t="s">
        <v>37</v>
      </c>
      <c r="R2273" t="s">
        <v>37</v>
      </c>
      <c r="S2273" s="1">
        <v>46094</v>
      </c>
      <c r="T2273" s="1">
        <v>46094</v>
      </c>
      <c r="U2273" s="1"/>
      <c r="V2273" s="1">
        <v>46825</v>
      </c>
      <c r="W2273" t="s">
        <v>56</v>
      </c>
      <c r="X2273">
        <v>24</v>
      </c>
      <c r="Y2273" t="s">
        <v>49</v>
      </c>
      <c r="AA2273" t="s">
        <v>40</v>
      </c>
      <c r="AB2273">
        <v>1</v>
      </c>
      <c r="AC2273" t="s">
        <v>41</v>
      </c>
      <c r="AD2273" t="s">
        <v>53</v>
      </c>
      <c r="AE2273" t="s">
        <v>43</v>
      </c>
      <c r="AF2273" t="s">
        <v>44</v>
      </c>
      <c r="AG2273" t="str">
        <f t="shared" si="38"/>
        <v>À Vista</v>
      </c>
      <c r="AH2273" t="str">
        <f>IF(AND(SUMIF(E:E,E2273,I:I)&gt;=400000,Q2273="B2G"),"n","")</f>
        <v/>
      </c>
    </row>
    <row r="2274" spans="1:34">
      <c r="A2274">
        <v>2026</v>
      </c>
      <c r="B2274">
        <v>3</v>
      </c>
      <c r="C2274" s="83">
        <v>19435501657</v>
      </c>
      <c r="D2274" t="s">
        <v>2102</v>
      </c>
      <c r="E2274">
        <v>34651644556</v>
      </c>
      <c r="F2274">
        <v>636502</v>
      </c>
      <c r="G2274">
        <v>53206762594</v>
      </c>
      <c r="H2274" t="s">
        <v>35</v>
      </c>
      <c r="I2274" s="36">
        <v>14496</v>
      </c>
      <c r="J2274" s="36">
        <v>7248</v>
      </c>
      <c r="K2274" s="85">
        <v>7248</v>
      </c>
      <c r="L2274" s="36">
        <v>604</v>
      </c>
      <c r="M2274" s="36">
        <v>604</v>
      </c>
      <c r="N2274" s="36">
        <v>0</v>
      </c>
      <c r="O2274" s="36">
        <v>0</v>
      </c>
      <c r="P2274" t="s">
        <v>36</v>
      </c>
      <c r="Q2274" t="s">
        <v>37</v>
      </c>
      <c r="R2274" t="s">
        <v>37</v>
      </c>
      <c r="S2274" s="1">
        <v>46094</v>
      </c>
      <c r="T2274" s="1">
        <v>46094</v>
      </c>
      <c r="U2274" s="1"/>
      <c r="V2274" s="1">
        <v>46825</v>
      </c>
      <c r="W2274" t="s">
        <v>56</v>
      </c>
      <c r="X2274">
        <v>24</v>
      </c>
      <c r="Y2274" t="s">
        <v>49</v>
      </c>
      <c r="AA2274" t="s">
        <v>40</v>
      </c>
      <c r="AB2274">
        <v>1</v>
      </c>
      <c r="AC2274" t="s">
        <v>41</v>
      </c>
      <c r="AD2274" t="s">
        <v>70</v>
      </c>
      <c r="AE2274" t="s">
        <v>43</v>
      </c>
      <c r="AF2274" t="s">
        <v>47</v>
      </c>
      <c r="AG2274" t="str">
        <f t="shared" si="38"/>
        <v>À Vista</v>
      </c>
      <c r="AH2274" t="str">
        <f>IF(AND(SUMIF(E:E,E2274,I:I)&gt;=400000,Q2274="B2G"),"n","")</f>
        <v/>
      </c>
    </row>
    <row r="2275" spans="1:34">
      <c r="A2275">
        <v>2026</v>
      </c>
      <c r="B2275">
        <v>3</v>
      </c>
      <c r="C2275" s="83">
        <v>19435529646</v>
      </c>
      <c r="D2275" t="s">
        <v>2103</v>
      </c>
      <c r="E2275">
        <v>54321577598</v>
      </c>
      <c r="F2275">
        <v>529171</v>
      </c>
      <c r="G2275">
        <v>49684029349</v>
      </c>
      <c r="H2275" t="s">
        <v>35</v>
      </c>
      <c r="I2275" s="36">
        <v>2874</v>
      </c>
      <c r="J2275" s="36">
        <v>2874</v>
      </c>
      <c r="K2275" s="85">
        <v>0</v>
      </c>
      <c r="L2275" s="36">
        <v>239.5</v>
      </c>
      <c r="M2275" s="36">
        <v>0</v>
      </c>
      <c r="N2275" s="36">
        <v>36.35</v>
      </c>
      <c r="O2275" s="36">
        <v>203.15</v>
      </c>
      <c r="P2275" t="s">
        <v>165</v>
      </c>
      <c r="Q2275" t="s">
        <v>166</v>
      </c>
      <c r="R2275" t="s">
        <v>166</v>
      </c>
      <c r="S2275" s="1">
        <v>46089</v>
      </c>
      <c r="T2275" s="1">
        <v>46089</v>
      </c>
      <c r="U2275" s="1">
        <v>46089</v>
      </c>
      <c r="V2275" s="1">
        <v>46454</v>
      </c>
      <c r="W2275" t="s">
        <v>38</v>
      </c>
      <c r="X2275">
        <v>12</v>
      </c>
      <c r="Y2275" t="s">
        <v>49</v>
      </c>
      <c r="Z2275" t="s">
        <v>81</v>
      </c>
      <c r="AA2275" t="s">
        <v>122</v>
      </c>
      <c r="AB2275">
        <v>12</v>
      </c>
      <c r="AC2275" t="s">
        <v>166</v>
      </c>
      <c r="AD2275" t="s">
        <v>140</v>
      </c>
      <c r="AE2275" t="s">
        <v>46</v>
      </c>
      <c r="AF2275" t="s">
        <v>119</v>
      </c>
      <c r="AG2275" t="str">
        <f t="shared" si="38"/>
        <v>Recorrente</v>
      </c>
      <c r="AH2275" t="str">
        <f>IF(AND(SUMIF(E:E,E2275,I:I)&gt;=400000,Q2275="B2G"),"n","")</f>
        <v/>
      </c>
    </row>
    <row r="2276" spans="1:34">
      <c r="A2276">
        <v>2026</v>
      </c>
      <c r="B2276">
        <v>3</v>
      </c>
      <c r="C2276" s="83">
        <v>19435529646</v>
      </c>
      <c r="D2276" t="s">
        <v>2103</v>
      </c>
      <c r="E2276">
        <v>54321577598</v>
      </c>
      <c r="F2276">
        <v>529171</v>
      </c>
      <c r="G2276">
        <v>49687643734</v>
      </c>
      <c r="H2276" t="s">
        <v>35</v>
      </c>
      <c r="I2276" s="36">
        <v>2874</v>
      </c>
      <c r="J2276" s="36">
        <v>2874</v>
      </c>
      <c r="K2276" s="85">
        <v>0</v>
      </c>
      <c r="L2276" s="36">
        <v>239.5</v>
      </c>
      <c r="M2276" s="36">
        <v>0</v>
      </c>
      <c r="N2276" s="36">
        <v>36.35</v>
      </c>
      <c r="O2276" s="36">
        <v>203.15</v>
      </c>
      <c r="P2276" t="s">
        <v>165</v>
      </c>
      <c r="Q2276" t="s">
        <v>166</v>
      </c>
      <c r="R2276" t="s">
        <v>166</v>
      </c>
      <c r="S2276" s="1">
        <v>46089</v>
      </c>
      <c r="T2276" s="1">
        <v>46089</v>
      </c>
      <c r="U2276" s="1">
        <v>46089</v>
      </c>
      <c r="V2276" s="1">
        <v>46454</v>
      </c>
      <c r="W2276" t="s">
        <v>38</v>
      </c>
      <c r="X2276">
        <v>12</v>
      </c>
      <c r="Y2276" t="s">
        <v>49</v>
      </c>
      <c r="Z2276" t="s">
        <v>81</v>
      </c>
      <c r="AA2276" t="s">
        <v>122</v>
      </c>
      <c r="AB2276">
        <v>12</v>
      </c>
      <c r="AC2276" t="s">
        <v>166</v>
      </c>
      <c r="AD2276" t="s">
        <v>118</v>
      </c>
      <c r="AE2276" t="s">
        <v>43</v>
      </c>
      <c r="AF2276" t="s">
        <v>119</v>
      </c>
      <c r="AG2276" t="str">
        <f t="shared" si="38"/>
        <v>Recorrente</v>
      </c>
      <c r="AH2276" t="str">
        <f>IF(AND(SUMIF(E:E,E2276,I:I)&gt;=400000,Q2276="B2G"),"n","")</f>
        <v/>
      </c>
    </row>
    <row r="2277" spans="1:34">
      <c r="A2277">
        <v>2026</v>
      </c>
      <c r="B2277">
        <v>3</v>
      </c>
      <c r="C2277" s="83">
        <v>19435533456</v>
      </c>
      <c r="D2277" t="s">
        <v>2104</v>
      </c>
      <c r="E2277">
        <v>43906956615</v>
      </c>
      <c r="F2277">
        <v>636829</v>
      </c>
      <c r="G2277">
        <v>53808720696</v>
      </c>
      <c r="H2277" t="s">
        <v>35</v>
      </c>
      <c r="I2277" s="36">
        <v>5772</v>
      </c>
      <c r="J2277" s="36">
        <v>5772</v>
      </c>
      <c r="K2277" s="85">
        <v>0</v>
      </c>
      <c r="L2277" s="36">
        <v>481</v>
      </c>
      <c r="M2277" s="36">
        <v>481</v>
      </c>
      <c r="N2277" s="36">
        <v>0</v>
      </c>
      <c r="O2277" s="36">
        <v>0</v>
      </c>
      <c r="P2277" t="s">
        <v>98</v>
      </c>
      <c r="Q2277" t="s">
        <v>37</v>
      </c>
      <c r="R2277" t="s">
        <v>37</v>
      </c>
      <c r="S2277" s="1">
        <v>46112</v>
      </c>
      <c r="T2277" s="1">
        <v>46112</v>
      </c>
      <c r="V2277" s="1">
        <v>46477</v>
      </c>
      <c r="W2277" t="s">
        <v>38</v>
      </c>
      <c r="X2277">
        <v>12</v>
      </c>
      <c r="Y2277" t="s">
        <v>49</v>
      </c>
      <c r="AA2277" t="s">
        <v>40</v>
      </c>
      <c r="AB2277">
        <v>1</v>
      </c>
      <c r="AC2277" t="s">
        <v>41</v>
      </c>
      <c r="AD2277" t="s">
        <v>54</v>
      </c>
      <c r="AE2277" t="s">
        <v>46</v>
      </c>
      <c r="AF2277" t="s">
        <v>44</v>
      </c>
      <c r="AG2277" t="str">
        <f t="shared" si="38"/>
        <v>À Vista</v>
      </c>
      <c r="AH2277" t="str">
        <f>IF(AND(SUMIF(E:E,E2277,I:I)&gt;=400000,Q2277="B2G"),"n","")</f>
        <v/>
      </c>
    </row>
    <row r="2278" spans="1:34">
      <c r="A2278">
        <v>2026</v>
      </c>
      <c r="B2278">
        <v>3</v>
      </c>
      <c r="C2278" s="83">
        <v>19435533456</v>
      </c>
      <c r="D2278" t="s">
        <v>2104</v>
      </c>
      <c r="E2278">
        <v>43906956615</v>
      </c>
      <c r="F2278">
        <v>636829</v>
      </c>
      <c r="G2278">
        <v>53808720697</v>
      </c>
      <c r="H2278" t="s">
        <v>35</v>
      </c>
      <c r="I2278" s="36">
        <v>4932</v>
      </c>
      <c r="J2278" s="36">
        <v>4932</v>
      </c>
      <c r="K2278" s="85">
        <v>0</v>
      </c>
      <c r="L2278" s="36">
        <v>411</v>
      </c>
      <c r="M2278" s="36">
        <v>411</v>
      </c>
      <c r="N2278" s="36">
        <v>0</v>
      </c>
      <c r="O2278" s="36">
        <v>0</v>
      </c>
      <c r="P2278" t="s">
        <v>98</v>
      </c>
      <c r="Q2278" t="s">
        <v>37</v>
      </c>
      <c r="R2278" t="s">
        <v>37</v>
      </c>
      <c r="S2278" s="1">
        <v>46112</v>
      </c>
      <c r="T2278" s="1">
        <v>46112</v>
      </c>
      <c r="V2278" s="1">
        <v>46477</v>
      </c>
      <c r="W2278" t="s">
        <v>38</v>
      </c>
      <c r="X2278">
        <v>12</v>
      </c>
      <c r="Y2278" t="s">
        <v>49</v>
      </c>
      <c r="AA2278" t="s">
        <v>40</v>
      </c>
      <c r="AB2278">
        <v>1</v>
      </c>
      <c r="AC2278" t="s">
        <v>41</v>
      </c>
      <c r="AD2278" t="s">
        <v>53</v>
      </c>
      <c r="AE2278" t="s">
        <v>43</v>
      </c>
      <c r="AF2278" t="s">
        <v>44</v>
      </c>
      <c r="AG2278" t="str">
        <f t="shared" si="38"/>
        <v>À Vista</v>
      </c>
      <c r="AH2278" t="str">
        <f>IF(AND(SUMIF(E:E,E2278,I:I)&gt;=400000,Q2278="B2G"),"n","")</f>
        <v/>
      </c>
    </row>
    <row r="2279" spans="1:34">
      <c r="A2279">
        <v>2026</v>
      </c>
      <c r="B2279">
        <v>3</v>
      </c>
      <c r="C2279" s="83">
        <v>19435533608</v>
      </c>
      <c r="D2279" t="s">
        <v>2105</v>
      </c>
      <c r="E2279">
        <v>58452121973</v>
      </c>
      <c r="F2279">
        <v>636725</v>
      </c>
      <c r="G2279">
        <v>53640519281</v>
      </c>
      <c r="H2279" t="s">
        <v>35</v>
      </c>
      <c r="I2279" s="36">
        <v>4644</v>
      </c>
      <c r="J2279" s="36">
        <v>4644</v>
      </c>
      <c r="K2279" s="85">
        <v>0</v>
      </c>
      <c r="L2279" s="36">
        <v>387</v>
      </c>
      <c r="M2279" s="36">
        <v>387</v>
      </c>
      <c r="N2279" s="36">
        <v>0</v>
      </c>
      <c r="O2279" s="36">
        <v>0</v>
      </c>
      <c r="P2279" t="s">
        <v>1165</v>
      </c>
      <c r="Q2279" t="s">
        <v>79</v>
      </c>
      <c r="R2279" t="s">
        <v>80</v>
      </c>
      <c r="S2279" s="1">
        <v>46108</v>
      </c>
      <c r="T2279" s="1">
        <v>46108</v>
      </c>
      <c r="U2279" s="1"/>
      <c r="V2279" s="1">
        <v>46488</v>
      </c>
      <c r="W2279" t="s">
        <v>38</v>
      </c>
      <c r="X2279">
        <v>13</v>
      </c>
      <c r="Y2279" t="s">
        <v>49</v>
      </c>
      <c r="AA2279" t="s">
        <v>82</v>
      </c>
      <c r="AB2279">
        <v>1</v>
      </c>
      <c r="AC2279" t="s">
        <v>83</v>
      </c>
      <c r="AD2279" t="s">
        <v>53</v>
      </c>
      <c r="AE2279" t="s">
        <v>43</v>
      </c>
      <c r="AF2279" t="s">
        <v>44</v>
      </c>
      <c r="AG2279" t="str">
        <f t="shared" si="38"/>
        <v>À Vista</v>
      </c>
      <c r="AH2279" t="str">
        <f>IF(AND(SUMIF(E:E,E2279,I:I)&gt;=400000,Q2279="B2G"),"n","")</f>
        <v/>
      </c>
    </row>
    <row r="2280" spans="1:34">
      <c r="A2280">
        <v>2026</v>
      </c>
      <c r="B2280">
        <v>3</v>
      </c>
      <c r="C2280" s="83">
        <v>19435533608</v>
      </c>
      <c r="D2280" t="s">
        <v>2105</v>
      </c>
      <c r="E2280">
        <v>58452121973</v>
      </c>
      <c r="F2280">
        <v>636725</v>
      </c>
      <c r="G2280">
        <v>53640519282</v>
      </c>
      <c r="H2280" t="s">
        <v>35</v>
      </c>
      <c r="I2280" s="36">
        <v>5436</v>
      </c>
      <c r="J2280" s="36">
        <v>5436</v>
      </c>
      <c r="K2280" s="85">
        <v>0</v>
      </c>
      <c r="L2280" s="36">
        <v>453</v>
      </c>
      <c r="M2280" s="36">
        <v>453</v>
      </c>
      <c r="N2280" s="36">
        <v>0</v>
      </c>
      <c r="O2280" s="36">
        <v>0</v>
      </c>
      <c r="P2280" t="s">
        <v>1165</v>
      </c>
      <c r="Q2280" t="s">
        <v>79</v>
      </c>
      <c r="R2280" t="s">
        <v>80</v>
      </c>
      <c r="S2280" s="1">
        <v>46108</v>
      </c>
      <c r="T2280" s="1">
        <v>46108</v>
      </c>
      <c r="U2280" s="1"/>
      <c r="V2280" s="1">
        <v>46488</v>
      </c>
      <c r="W2280" t="s">
        <v>38</v>
      </c>
      <c r="X2280">
        <v>13</v>
      </c>
      <c r="Y2280" t="s">
        <v>49</v>
      </c>
      <c r="AA2280" t="s">
        <v>82</v>
      </c>
      <c r="AB2280">
        <v>1</v>
      </c>
      <c r="AC2280" t="s">
        <v>83</v>
      </c>
      <c r="AD2280" t="s">
        <v>54</v>
      </c>
      <c r="AE2280" t="s">
        <v>46</v>
      </c>
      <c r="AF2280" t="s">
        <v>44</v>
      </c>
      <c r="AG2280" t="str">
        <f t="shared" si="38"/>
        <v>À Vista</v>
      </c>
      <c r="AH2280" t="str">
        <f>IF(AND(SUMIF(E:E,E2280,I:I)&gt;=400000,Q2280="B2G"),"n","")</f>
        <v/>
      </c>
    </row>
    <row r="2281" spans="1:34">
      <c r="A2281">
        <v>2026</v>
      </c>
      <c r="B2281">
        <v>3</v>
      </c>
      <c r="C2281" s="83">
        <v>19435548564</v>
      </c>
      <c r="D2281" t="s">
        <v>2106</v>
      </c>
      <c r="E2281">
        <v>44767462474</v>
      </c>
      <c r="F2281">
        <v>627994</v>
      </c>
      <c r="G2281">
        <v>53666447394</v>
      </c>
      <c r="H2281" t="s">
        <v>35</v>
      </c>
      <c r="I2281" s="36">
        <v>6274.72</v>
      </c>
      <c r="J2281" s="36">
        <v>6274.72</v>
      </c>
      <c r="K2281" s="85">
        <v>9.0949500000000005E-13</v>
      </c>
      <c r="L2281" s="36">
        <v>522.89333329999999</v>
      </c>
      <c r="M2281" s="36">
        <v>0</v>
      </c>
      <c r="N2281" s="36">
        <v>27.893333330000001</v>
      </c>
      <c r="O2281" s="36">
        <v>495</v>
      </c>
      <c r="P2281" t="s">
        <v>2068</v>
      </c>
      <c r="Q2281" t="s">
        <v>37</v>
      </c>
      <c r="R2281" t="s">
        <v>37</v>
      </c>
      <c r="S2281" s="1">
        <v>46108</v>
      </c>
      <c r="T2281" s="1">
        <v>46108</v>
      </c>
      <c r="U2281" s="1">
        <v>46109</v>
      </c>
      <c r="V2281" s="1">
        <v>46474</v>
      </c>
      <c r="W2281" t="s">
        <v>38</v>
      </c>
      <c r="X2281">
        <v>12</v>
      </c>
      <c r="Y2281" t="s">
        <v>49</v>
      </c>
      <c r="Z2281" t="s">
        <v>81</v>
      </c>
      <c r="AA2281" t="s">
        <v>40</v>
      </c>
      <c r="AB2281">
        <v>1</v>
      </c>
      <c r="AC2281" t="s">
        <v>41</v>
      </c>
      <c r="AD2281" t="s">
        <v>70</v>
      </c>
      <c r="AE2281" t="s">
        <v>43</v>
      </c>
      <c r="AF2281" t="s">
        <v>47</v>
      </c>
      <c r="AG2281" t="str">
        <f t="shared" si="38"/>
        <v>À Vista</v>
      </c>
      <c r="AH2281" t="str">
        <f>IF(AND(SUMIF(E:E,E2281,I:I)&gt;=400000,Q2281="B2G"),"n","")</f>
        <v/>
      </c>
    </row>
    <row r="2282" spans="1:34">
      <c r="A2282">
        <v>2026</v>
      </c>
      <c r="B2282">
        <v>3</v>
      </c>
      <c r="C2282" s="83">
        <v>19435548564</v>
      </c>
      <c r="D2282" t="s">
        <v>2106</v>
      </c>
      <c r="E2282">
        <v>44767462474</v>
      </c>
      <c r="F2282">
        <v>627994</v>
      </c>
      <c r="G2282">
        <v>53666447395</v>
      </c>
      <c r="H2282" t="s">
        <v>35</v>
      </c>
      <c r="I2282" s="36">
        <v>6274.72</v>
      </c>
      <c r="J2282" s="36">
        <v>6274.72</v>
      </c>
      <c r="K2282" s="85">
        <v>9.0949500000000005E-13</v>
      </c>
      <c r="L2282" s="36">
        <v>522.89333329999999</v>
      </c>
      <c r="M2282" s="36">
        <v>0</v>
      </c>
      <c r="N2282" s="36">
        <v>27.893333330000001</v>
      </c>
      <c r="O2282" s="36">
        <v>495</v>
      </c>
      <c r="P2282" t="s">
        <v>2068</v>
      </c>
      <c r="Q2282" t="s">
        <v>37</v>
      </c>
      <c r="R2282" t="s">
        <v>37</v>
      </c>
      <c r="S2282" s="1">
        <v>46108</v>
      </c>
      <c r="T2282" s="1">
        <v>46108</v>
      </c>
      <c r="U2282" s="1">
        <v>46109</v>
      </c>
      <c r="V2282" s="1">
        <v>46474</v>
      </c>
      <c r="W2282" t="s">
        <v>38</v>
      </c>
      <c r="X2282">
        <v>12</v>
      </c>
      <c r="Y2282" t="s">
        <v>49</v>
      </c>
      <c r="Z2282" t="s">
        <v>81</v>
      </c>
      <c r="AA2282" t="s">
        <v>40</v>
      </c>
      <c r="AB2282">
        <v>1</v>
      </c>
      <c r="AC2282" t="s">
        <v>41</v>
      </c>
      <c r="AD2282" t="s">
        <v>70</v>
      </c>
      <c r="AE2282" t="s">
        <v>43</v>
      </c>
      <c r="AF2282" t="s">
        <v>47</v>
      </c>
      <c r="AG2282" t="str">
        <f t="shared" si="38"/>
        <v>À Vista</v>
      </c>
      <c r="AH2282" t="str">
        <f>IF(AND(SUMIF(E:E,E2282,I:I)&gt;=400000,Q2282="B2G"),"n","")</f>
        <v/>
      </c>
    </row>
    <row r="2283" spans="1:34">
      <c r="A2283">
        <v>2026</v>
      </c>
      <c r="B2283">
        <v>3</v>
      </c>
      <c r="C2283" s="83">
        <v>19435548564</v>
      </c>
      <c r="D2283" t="s">
        <v>2106</v>
      </c>
      <c r="E2283">
        <v>44767462474</v>
      </c>
      <c r="F2283">
        <v>627994</v>
      </c>
      <c r="G2283">
        <v>53666447396</v>
      </c>
      <c r="H2283" t="s">
        <v>35</v>
      </c>
      <c r="I2283" s="36">
        <v>6274.72</v>
      </c>
      <c r="J2283" s="36">
        <v>6274.72</v>
      </c>
      <c r="K2283" s="85">
        <v>9.0949500000000005E-13</v>
      </c>
      <c r="L2283" s="36">
        <v>522.89333329999999</v>
      </c>
      <c r="M2283" s="36">
        <v>0</v>
      </c>
      <c r="N2283" s="36">
        <v>27.893333330000001</v>
      </c>
      <c r="O2283" s="36">
        <v>495</v>
      </c>
      <c r="P2283" t="s">
        <v>2068</v>
      </c>
      <c r="Q2283" t="s">
        <v>37</v>
      </c>
      <c r="R2283" t="s">
        <v>37</v>
      </c>
      <c r="S2283" s="1">
        <v>46108</v>
      </c>
      <c r="T2283" s="1">
        <v>46108</v>
      </c>
      <c r="U2283" s="1">
        <v>46109</v>
      </c>
      <c r="V2283" s="1">
        <v>46474</v>
      </c>
      <c r="W2283" t="s">
        <v>38</v>
      </c>
      <c r="X2283">
        <v>12</v>
      </c>
      <c r="Y2283" t="s">
        <v>49</v>
      </c>
      <c r="Z2283" t="s">
        <v>81</v>
      </c>
      <c r="AA2283" t="s">
        <v>40</v>
      </c>
      <c r="AB2283">
        <v>1</v>
      </c>
      <c r="AC2283" t="s">
        <v>41</v>
      </c>
      <c r="AD2283" t="s">
        <v>70</v>
      </c>
      <c r="AE2283" t="s">
        <v>43</v>
      </c>
      <c r="AF2283" t="s">
        <v>47</v>
      </c>
      <c r="AG2283" t="str">
        <f t="shared" si="38"/>
        <v>À Vista</v>
      </c>
      <c r="AH2283" t="str">
        <f>IF(AND(SUMIF(E:E,E2283,I:I)&gt;=400000,Q2283="B2G"),"n","")</f>
        <v/>
      </c>
    </row>
    <row r="2284" spans="1:34">
      <c r="A2284">
        <v>2026</v>
      </c>
      <c r="B2284">
        <v>3</v>
      </c>
      <c r="C2284" s="83">
        <v>19435548564</v>
      </c>
      <c r="D2284" t="s">
        <v>2106</v>
      </c>
      <c r="E2284">
        <v>44767462474</v>
      </c>
      <c r="F2284">
        <v>627994</v>
      </c>
      <c r="G2284">
        <v>53666447397</v>
      </c>
      <c r="H2284" t="s">
        <v>35</v>
      </c>
      <c r="I2284" s="36">
        <v>6274.72</v>
      </c>
      <c r="J2284" s="36">
        <v>6274.72</v>
      </c>
      <c r="K2284" s="85">
        <v>9.0949500000000005E-13</v>
      </c>
      <c r="L2284" s="36">
        <v>522.89333329999999</v>
      </c>
      <c r="M2284" s="36">
        <v>0</v>
      </c>
      <c r="N2284" s="36">
        <v>27.893333330000001</v>
      </c>
      <c r="O2284" s="36">
        <v>495</v>
      </c>
      <c r="P2284" t="s">
        <v>2068</v>
      </c>
      <c r="Q2284" t="s">
        <v>37</v>
      </c>
      <c r="R2284" t="s">
        <v>37</v>
      </c>
      <c r="S2284" s="1">
        <v>46108</v>
      </c>
      <c r="T2284" s="1">
        <v>46108</v>
      </c>
      <c r="U2284" s="1">
        <v>46109</v>
      </c>
      <c r="V2284" s="1">
        <v>46474</v>
      </c>
      <c r="W2284" t="s">
        <v>38</v>
      </c>
      <c r="X2284">
        <v>12</v>
      </c>
      <c r="Y2284" t="s">
        <v>49</v>
      </c>
      <c r="Z2284" t="s">
        <v>81</v>
      </c>
      <c r="AA2284" t="s">
        <v>40</v>
      </c>
      <c r="AB2284">
        <v>1</v>
      </c>
      <c r="AC2284" t="s">
        <v>41</v>
      </c>
      <c r="AD2284" t="s">
        <v>70</v>
      </c>
      <c r="AE2284" t="s">
        <v>43</v>
      </c>
      <c r="AF2284" t="s">
        <v>47</v>
      </c>
      <c r="AG2284" t="str">
        <f t="shared" si="38"/>
        <v>À Vista</v>
      </c>
      <c r="AH2284" t="str">
        <f>IF(AND(SUMIF(E:E,E2284,I:I)&gt;=400000,Q2284="B2G"),"n","")</f>
        <v/>
      </c>
    </row>
    <row r="2285" spans="1:34">
      <c r="A2285">
        <v>2026</v>
      </c>
      <c r="B2285">
        <v>3</v>
      </c>
      <c r="C2285" s="83">
        <v>19435548564</v>
      </c>
      <c r="D2285" t="s">
        <v>2106</v>
      </c>
      <c r="E2285">
        <v>44767462474</v>
      </c>
      <c r="F2285">
        <v>627994</v>
      </c>
      <c r="G2285">
        <v>53666447398</v>
      </c>
      <c r="H2285" t="s">
        <v>35</v>
      </c>
      <c r="I2285" s="36">
        <v>6274.72</v>
      </c>
      <c r="J2285" s="36">
        <v>6274.72</v>
      </c>
      <c r="K2285" s="85">
        <v>9.0949500000000005E-13</v>
      </c>
      <c r="L2285" s="36">
        <v>522.89333329999999</v>
      </c>
      <c r="M2285" s="36">
        <v>0</v>
      </c>
      <c r="N2285" s="36">
        <v>27.893333330000001</v>
      </c>
      <c r="O2285" s="36">
        <v>495</v>
      </c>
      <c r="P2285" t="s">
        <v>2068</v>
      </c>
      <c r="Q2285" t="s">
        <v>37</v>
      </c>
      <c r="R2285" t="s">
        <v>37</v>
      </c>
      <c r="S2285" s="1">
        <v>46108</v>
      </c>
      <c r="T2285" s="1">
        <v>46108</v>
      </c>
      <c r="U2285" s="1">
        <v>46109</v>
      </c>
      <c r="V2285" s="1">
        <v>46474</v>
      </c>
      <c r="W2285" t="s">
        <v>38</v>
      </c>
      <c r="X2285">
        <v>12</v>
      </c>
      <c r="Y2285" t="s">
        <v>49</v>
      </c>
      <c r="Z2285" t="s">
        <v>81</v>
      </c>
      <c r="AA2285" t="s">
        <v>40</v>
      </c>
      <c r="AB2285">
        <v>1</v>
      </c>
      <c r="AC2285" t="s">
        <v>41</v>
      </c>
      <c r="AD2285" t="s">
        <v>70</v>
      </c>
      <c r="AE2285" t="s">
        <v>43</v>
      </c>
      <c r="AF2285" t="s">
        <v>47</v>
      </c>
      <c r="AG2285" t="str">
        <f t="shared" si="38"/>
        <v>À Vista</v>
      </c>
      <c r="AH2285" t="str">
        <f>IF(AND(SUMIF(E:E,E2285,I:I)&gt;=400000,Q2285="B2G"),"n","")</f>
        <v/>
      </c>
    </row>
    <row r="2286" spans="1:34">
      <c r="A2286">
        <v>2026</v>
      </c>
      <c r="B2286">
        <v>3</v>
      </c>
      <c r="C2286" s="83">
        <v>19435548564</v>
      </c>
      <c r="D2286" t="s">
        <v>2106</v>
      </c>
      <c r="E2286">
        <v>44767462474</v>
      </c>
      <c r="F2286">
        <v>627994</v>
      </c>
      <c r="G2286">
        <v>53666447399</v>
      </c>
      <c r="H2286" t="s">
        <v>35</v>
      </c>
      <c r="I2286" s="36">
        <v>6274.72</v>
      </c>
      <c r="J2286" s="36">
        <v>6274.72</v>
      </c>
      <c r="K2286" s="85">
        <v>9.0949500000000005E-13</v>
      </c>
      <c r="L2286" s="36">
        <v>522.89333329999999</v>
      </c>
      <c r="M2286" s="36">
        <v>0</v>
      </c>
      <c r="N2286" s="36">
        <v>27.893333330000001</v>
      </c>
      <c r="O2286" s="36">
        <v>495</v>
      </c>
      <c r="P2286" t="s">
        <v>2068</v>
      </c>
      <c r="Q2286" t="s">
        <v>37</v>
      </c>
      <c r="R2286" t="s">
        <v>37</v>
      </c>
      <c r="S2286" s="1">
        <v>46108</v>
      </c>
      <c r="T2286" s="1">
        <v>46108</v>
      </c>
      <c r="U2286" s="1">
        <v>46109</v>
      </c>
      <c r="V2286" s="1">
        <v>46474</v>
      </c>
      <c r="W2286" t="s">
        <v>38</v>
      </c>
      <c r="X2286">
        <v>12</v>
      </c>
      <c r="Y2286" t="s">
        <v>49</v>
      </c>
      <c r="Z2286" t="s">
        <v>81</v>
      </c>
      <c r="AA2286" t="s">
        <v>40</v>
      </c>
      <c r="AB2286">
        <v>1</v>
      </c>
      <c r="AC2286" t="s">
        <v>41</v>
      </c>
      <c r="AD2286" t="s">
        <v>70</v>
      </c>
      <c r="AE2286" t="s">
        <v>43</v>
      </c>
      <c r="AF2286" t="s">
        <v>47</v>
      </c>
      <c r="AG2286" t="str">
        <f t="shared" si="38"/>
        <v>À Vista</v>
      </c>
      <c r="AH2286" t="str">
        <f>IF(AND(SUMIF(E:E,E2286,I:I)&gt;=400000,Q2286="B2G"),"n","")</f>
        <v/>
      </c>
    </row>
    <row r="2287" spans="1:34">
      <c r="A2287">
        <v>2026</v>
      </c>
      <c r="B2287">
        <v>3</v>
      </c>
      <c r="C2287" s="83">
        <v>19435558792</v>
      </c>
      <c r="D2287" t="s">
        <v>2107</v>
      </c>
      <c r="E2287">
        <v>58163182148</v>
      </c>
      <c r="F2287">
        <v>636592</v>
      </c>
      <c r="G2287">
        <v>53342970195</v>
      </c>
      <c r="H2287" t="s">
        <v>35</v>
      </c>
      <c r="I2287" s="36">
        <v>4278.84</v>
      </c>
      <c r="J2287" s="36">
        <v>4278.8999999999996</v>
      </c>
      <c r="K2287" s="85">
        <v>0</v>
      </c>
      <c r="L2287" s="36">
        <v>356.57499999999999</v>
      </c>
      <c r="M2287" s="36">
        <v>356.57499999999999</v>
      </c>
      <c r="N2287" s="36">
        <v>0</v>
      </c>
      <c r="O2287" s="36">
        <v>0</v>
      </c>
      <c r="P2287" t="s">
        <v>1073</v>
      </c>
      <c r="Q2287" t="s">
        <v>314</v>
      </c>
      <c r="R2287" t="s">
        <v>314</v>
      </c>
      <c r="S2287" s="1">
        <v>46100</v>
      </c>
      <c r="T2287" s="1">
        <v>46100</v>
      </c>
      <c r="V2287" s="1">
        <v>46465</v>
      </c>
      <c r="W2287" t="s">
        <v>38</v>
      </c>
      <c r="X2287">
        <v>12</v>
      </c>
      <c r="Y2287" t="s">
        <v>49</v>
      </c>
      <c r="AA2287" t="s">
        <v>92</v>
      </c>
      <c r="AB2287">
        <v>12</v>
      </c>
      <c r="AC2287" t="s">
        <v>315</v>
      </c>
      <c r="AD2287" t="s">
        <v>84</v>
      </c>
      <c r="AE2287" t="s">
        <v>43</v>
      </c>
      <c r="AF2287" t="s">
        <v>44</v>
      </c>
      <c r="AG2287" t="str">
        <f t="shared" si="38"/>
        <v>Recorrente</v>
      </c>
      <c r="AH2287" t="str">
        <f>IF(AND(SUMIF(E:E,E2287,I:I)&gt;=400000,Q2287="B2G"),"n","")</f>
        <v/>
      </c>
    </row>
    <row r="2288" spans="1:34">
      <c r="A2288">
        <v>2026</v>
      </c>
      <c r="B2288">
        <v>3</v>
      </c>
      <c r="C2288" s="83">
        <v>19435558990</v>
      </c>
      <c r="D2288" t="s">
        <v>2108</v>
      </c>
      <c r="E2288">
        <v>56927420476</v>
      </c>
      <c r="F2288">
        <v>636565</v>
      </c>
      <c r="G2288">
        <v>53317279792</v>
      </c>
      <c r="H2288" t="s">
        <v>35</v>
      </c>
      <c r="I2288" s="36">
        <v>2874</v>
      </c>
      <c r="J2288" s="36">
        <v>2874</v>
      </c>
      <c r="K2288" s="85">
        <v>0</v>
      </c>
      <c r="L2288" s="36">
        <v>239.5</v>
      </c>
      <c r="M2288" s="36">
        <v>239.5</v>
      </c>
      <c r="N2288" s="36">
        <v>0</v>
      </c>
      <c r="O2288" s="36">
        <v>0</v>
      </c>
      <c r="P2288" t="s">
        <v>129</v>
      </c>
      <c r="Q2288" t="s">
        <v>91</v>
      </c>
      <c r="R2288" t="s">
        <v>91</v>
      </c>
      <c r="S2288" s="1">
        <v>46098</v>
      </c>
      <c r="T2288" s="1">
        <v>46098</v>
      </c>
      <c r="U2288" s="1"/>
      <c r="V2288" s="1">
        <v>46463</v>
      </c>
      <c r="W2288" t="s">
        <v>38</v>
      </c>
      <c r="X2288">
        <v>12</v>
      </c>
      <c r="Y2288" t="s">
        <v>49</v>
      </c>
      <c r="AA2288" t="s">
        <v>122</v>
      </c>
      <c r="AB2288">
        <v>12</v>
      </c>
      <c r="AC2288" t="s">
        <v>93</v>
      </c>
      <c r="AD2288" t="s">
        <v>118</v>
      </c>
      <c r="AE2288" t="s">
        <v>43</v>
      </c>
      <c r="AF2288" t="s">
        <v>119</v>
      </c>
      <c r="AG2288" t="str">
        <f t="shared" si="38"/>
        <v>Recorrente</v>
      </c>
      <c r="AH2288" t="str">
        <f>IF(AND(SUMIF(E:E,E2288,I:I)&gt;=400000,Q2288="B2G"),"n","")</f>
        <v/>
      </c>
    </row>
    <row r="2289" spans="1:34">
      <c r="A2289">
        <v>2026</v>
      </c>
      <c r="B2289">
        <v>3</v>
      </c>
      <c r="C2289" s="83">
        <v>19435559000</v>
      </c>
      <c r="D2289" t="s">
        <v>2109</v>
      </c>
      <c r="E2289">
        <v>58067292281</v>
      </c>
      <c r="F2289">
        <v>636576</v>
      </c>
      <c r="G2289">
        <v>53317215835</v>
      </c>
      <c r="H2289" t="s">
        <v>35</v>
      </c>
      <c r="I2289" s="36">
        <v>2874</v>
      </c>
      <c r="J2289" s="36">
        <v>2874</v>
      </c>
      <c r="K2289" s="85">
        <v>0</v>
      </c>
      <c r="L2289" s="36">
        <v>239.5</v>
      </c>
      <c r="M2289" s="36">
        <v>239.5</v>
      </c>
      <c r="N2289" s="36">
        <v>0</v>
      </c>
      <c r="O2289" s="36">
        <v>0</v>
      </c>
      <c r="P2289" t="s">
        <v>2004</v>
      </c>
      <c r="Q2289" t="s">
        <v>300</v>
      </c>
      <c r="R2289" t="s">
        <v>300</v>
      </c>
      <c r="S2289" s="1">
        <v>46099</v>
      </c>
      <c r="T2289" s="1">
        <v>46099</v>
      </c>
      <c r="U2289" s="1"/>
      <c r="V2289" s="1">
        <v>46464</v>
      </c>
      <c r="W2289" t="s">
        <v>38</v>
      </c>
      <c r="X2289">
        <v>12</v>
      </c>
      <c r="Y2289" t="s">
        <v>49</v>
      </c>
      <c r="AA2289" t="s">
        <v>122</v>
      </c>
      <c r="AB2289">
        <v>12</v>
      </c>
      <c r="AC2289" t="s">
        <v>301</v>
      </c>
      <c r="AD2289" t="s">
        <v>118</v>
      </c>
      <c r="AE2289" t="s">
        <v>43</v>
      </c>
      <c r="AF2289" t="s">
        <v>119</v>
      </c>
      <c r="AG2289" t="str">
        <f t="shared" si="38"/>
        <v>Recorrente</v>
      </c>
      <c r="AH2289" t="str">
        <f>IF(AND(SUMIF(E:E,E2289,I:I)&gt;=400000,Q2289="B2G"),"n","")</f>
        <v/>
      </c>
    </row>
    <row r="2290" spans="1:34">
      <c r="A2290">
        <v>2026</v>
      </c>
      <c r="B2290">
        <v>3</v>
      </c>
      <c r="C2290" s="83">
        <v>19435559026</v>
      </c>
      <c r="D2290" t="s">
        <v>2110</v>
      </c>
      <c r="E2290">
        <v>58254508588</v>
      </c>
      <c r="F2290">
        <v>530546</v>
      </c>
      <c r="G2290">
        <v>53455856706</v>
      </c>
      <c r="H2290" t="s">
        <v>35</v>
      </c>
      <c r="I2290" s="36">
        <v>8442</v>
      </c>
      <c r="J2290" s="36">
        <v>8442</v>
      </c>
      <c r="K2290" s="85">
        <v>0</v>
      </c>
      <c r="L2290" s="36">
        <v>703.5</v>
      </c>
      <c r="M2290" s="36">
        <v>703.5</v>
      </c>
      <c r="N2290" s="36">
        <v>0</v>
      </c>
      <c r="O2290" s="36">
        <v>0</v>
      </c>
      <c r="P2290" t="s">
        <v>127</v>
      </c>
      <c r="Q2290" t="s">
        <v>111</v>
      </c>
      <c r="R2290" t="s">
        <v>111</v>
      </c>
      <c r="S2290" s="1">
        <v>46105</v>
      </c>
      <c r="T2290" s="1">
        <v>46105</v>
      </c>
      <c r="U2290" s="1">
        <v>46102</v>
      </c>
      <c r="V2290" s="1">
        <v>46470</v>
      </c>
      <c r="W2290" t="s">
        <v>38</v>
      </c>
      <c r="X2290">
        <v>12</v>
      </c>
      <c r="Y2290" t="s">
        <v>49</v>
      </c>
      <c r="Z2290" t="s">
        <v>81</v>
      </c>
      <c r="AA2290" t="s">
        <v>112</v>
      </c>
      <c r="AB2290">
        <v>12</v>
      </c>
      <c r="AC2290" t="s">
        <v>113</v>
      </c>
      <c r="AD2290" t="s">
        <v>134</v>
      </c>
      <c r="AE2290" t="s">
        <v>135</v>
      </c>
      <c r="AF2290" t="s">
        <v>44</v>
      </c>
      <c r="AG2290" t="str">
        <f t="shared" si="38"/>
        <v>CC 12x</v>
      </c>
      <c r="AH2290" t="str">
        <f>IF(AND(SUMIF(E:E,E2290,I:I)&gt;=400000,Q2290="B2G"),"n","")</f>
        <v/>
      </c>
    </row>
    <row r="2291" spans="1:34">
      <c r="A2291">
        <v>2026</v>
      </c>
      <c r="B2291">
        <v>3</v>
      </c>
      <c r="C2291" s="83">
        <v>19435559036</v>
      </c>
      <c r="D2291" t="s">
        <v>2111</v>
      </c>
      <c r="E2291">
        <v>58226655404</v>
      </c>
      <c r="F2291">
        <v>526923</v>
      </c>
      <c r="G2291">
        <v>53451819606</v>
      </c>
      <c r="H2291" t="s">
        <v>35</v>
      </c>
      <c r="I2291" s="36">
        <v>4500</v>
      </c>
      <c r="J2291" s="36">
        <v>4500</v>
      </c>
      <c r="K2291" s="85">
        <v>0</v>
      </c>
      <c r="L2291" s="36">
        <v>375</v>
      </c>
      <c r="M2291" s="36">
        <v>0</v>
      </c>
      <c r="N2291" s="36">
        <v>44.73</v>
      </c>
      <c r="O2291" s="36">
        <v>330.27</v>
      </c>
      <c r="P2291" t="s">
        <v>162</v>
      </c>
      <c r="Q2291" t="s">
        <v>111</v>
      </c>
      <c r="R2291" t="s">
        <v>111</v>
      </c>
      <c r="S2291" s="1">
        <v>46104</v>
      </c>
      <c r="T2291" s="1">
        <v>46104</v>
      </c>
      <c r="U2291" s="1">
        <v>46101</v>
      </c>
      <c r="V2291" s="1">
        <v>46469</v>
      </c>
      <c r="W2291" t="s">
        <v>38</v>
      </c>
      <c r="X2291">
        <v>12</v>
      </c>
      <c r="Y2291" t="s">
        <v>49</v>
      </c>
      <c r="Z2291" t="s">
        <v>81</v>
      </c>
      <c r="AA2291" t="s">
        <v>117</v>
      </c>
      <c r="AB2291">
        <v>1</v>
      </c>
      <c r="AC2291" t="s">
        <v>113</v>
      </c>
      <c r="AD2291" t="s">
        <v>158</v>
      </c>
      <c r="AE2291" t="s">
        <v>43</v>
      </c>
      <c r="AF2291" t="s">
        <v>47</v>
      </c>
      <c r="AG2291" t="str">
        <f t="shared" si="38"/>
        <v>À Vista</v>
      </c>
      <c r="AH2291" t="str">
        <f>IF(AND(SUMIF(E:E,E2291,I:I)&gt;=400000,Q2291="B2G"),"n","")</f>
        <v/>
      </c>
    </row>
    <row r="2292" spans="1:34">
      <c r="A2292">
        <v>2026</v>
      </c>
      <c r="B2292">
        <v>3</v>
      </c>
      <c r="C2292" s="83">
        <v>19435564652</v>
      </c>
      <c r="D2292" t="s">
        <v>2112</v>
      </c>
      <c r="E2292">
        <v>56176627294</v>
      </c>
      <c r="F2292">
        <v>620367</v>
      </c>
      <c r="G2292">
        <v>51342988187</v>
      </c>
      <c r="H2292" t="s">
        <v>35</v>
      </c>
      <c r="I2292" s="36">
        <v>4045.44</v>
      </c>
      <c r="J2292" s="36">
        <v>4045.44</v>
      </c>
      <c r="K2292" s="85">
        <v>0</v>
      </c>
      <c r="L2292" s="36">
        <v>337.12</v>
      </c>
      <c r="M2292" s="36">
        <v>0</v>
      </c>
      <c r="N2292" s="36">
        <v>72.525000000000006</v>
      </c>
      <c r="O2292" s="36">
        <v>264.60000000000002</v>
      </c>
      <c r="P2292" t="s">
        <v>165</v>
      </c>
      <c r="Q2292" t="s">
        <v>166</v>
      </c>
      <c r="R2292" t="s">
        <v>166</v>
      </c>
      <c r="S2292" s="1">
        <v>46095</v>
      </c>
      <c r="T2292" s="1">
        <v>46095</v>
      </c>
      <c r="U2292" s="1">
        <v>46095</v>
      </c>
      <c r="V2292" s="1">
        <v>46460</v>
      </c>
      <c r="W2292" t="s">
        <v>38</v>
      </c>
      <c r="X2292">
        <v>12</v>
      </c>
      <c r="Y2292" t="s">
        <v>49</v>
      </c>
      <c r="Z2292" t="s">
        <v>81</v>
      </c>
      <c r="AA2292" t="s">
        <v>112</v>
      </c>
      <c r="AB2292">
        <v>12</v>
      </c>
      <c r="AC2292" t="s">
        <v>166</v>
      </c>
      <c r="AD2292" t="s">
        <v>85</v>
      </c>
      <c r="AE2292" t="s">
        <v>46</v>
      </c>
      <c r="AF2292" t="s">
        <v>44</v>
      </c>
      <c r="AG2292" t="str">
        <f t="shared" si="38"/>
        <v>CC 12x</v>
      </c>
      <c r="AH2292" t="str">
        <f>IF(AND(SUMIF(E:E,E2292,I:I)&gt;=400000,Q2292="B2G"),"n","")</f>
        <v/>
      </c>
    </row>
    <row r="2293" spans="1:34">
      <c r="A2293">
        <v>2026</v>
      </c>
      <c r="B2293">
        <v>3</v>
      </c>
      <c r="C2293" s="83">
        <v>19435564652</v>
      </c>
      <c r="D2293" t="s">
        <v>2112</v>
      </c>
      <c r="E2293">
        <v>56176627294</v>
      </c>
      <c r="F2293">
        <v>620367</v>
      </c>
      <c r="G2293">
        <v>51414440991</v>
      </c>
      <c r="H2293" t="s">
        <v>35</v>
      </c>
      <c r="I2293" s="36">
        <v>4045.44</v>
      </c>
      <c r="J2293" s="36">
        <v>4045.44</v>
      </c>
      <c r="K2293" s="85">
        <v>0</v>
      </c>
      <c r="L2293" s="36">
        <v>337.12</v>
      </c>
      <c r="M2293" s="36">
        <v>0</v>
      </c>
      <c r="N2293" s="36">
        <v>72.525000000000006</v>
      </c>
      <c r="O2293" s="36">
        <v>264.60000000000002</v>
      </c>
      <c r="P2293" t="s">
        <v>165</v>
      </c>
      <c r="Q2293" t="s">
        <v>166</v>
      </c>
      <c r="R2293" t="s">
        <v>166</v>
      </c>
      <c r="S2293" s="1">
        <v>46095</v>
      </c>
      <c r="T2293" s="1">
        <v>46095</v>
      </c>
      <c r="U2293" s="1">
        <v>46095</v>
      </c>
      <c r="V2293" s="1">
        <v>46460</v>
      </c>
      <c r="W2293" t="s">
        <v>38</v>
      </c>
      <c r="X2293">
        <v>12</v>
      </c>
      <c r="Y2293" t="s">
        <v>49</v>
      </c>
      <c r="Z2293" t="s">
        <v>81</v>
      </c>
      <c r="AA2293" t="s">
        <v>112</v>
      </c>
      <c r="AB2293">
        <v>12</v>
      </c>
      <c r="AC2293" t="s">
        <v>166</v>
      </c>
      <c r="AD2293" t="s">
        <v>84</v>
      </c>
      <c r="AE2293" t="s">
        <v>43</v>
      </c>
      <c r="AF2293" t="s">
        <v>44</v>
      </c>
      <c r="AG2293" t="str">
        <f t="shared" si="38"/>
        <v>CC 12x</v>
      </c>
      <c r="AH2293" t="str">
        <f>IF(AND(SUMIF(E:E,E2293,I:I)&gt;=400000,Q2293="B2G"),"n","")</f>
        <v/>
      </c>
    </row>
    <row r="2294" spans="1:34">
      <c r="A2294">
        <v>2026</v>
      </c>
      <c r="B2294">
        <v>3</v>
      </c>
      <c r="C2294" s="83">
        <v>19435567026</v>
      </c>
      <c r="D2294" t="s">
        <v>2113</v>
      </c>
      <c r="E2294">
        <v>56187755187</v>
      </c>
      <c r="F2294">
        <v>612519</v>
      </c>
      <c r="G2294">
        <v>51479547189</v>
      </c>
      <c r="H2294" t="s">
        <v>35</v>
      </c>
      <c r="I2294" s="36">
        <v>2874</v>
      </c>
      <c r="J2294" s="36">
        <v>2874</v>
      </c>
      <c r="K2294" s="85">
        <v>0</v>
      </c>
      <c r="L2294" s="36">
        <v>239.5</v>
      </c>
      <c r="M2294" s="36">
        <v>0</v>
      </c>
      <c r="N2294" s="36">
        <v>36.35</v>
      </c>
      <c r="O2294" s="36">
        <v>203.15</v>
      </c>
      <c r="P2294" t="s">
        <v>165</v>
      </c>
      <c r="Q2294" t="s">
        <v>166</v>
      </c>
      <c r="R2294" t="s">
        <v>166</v>
      </c>
      <c r="S2294" s="1">
        <v>46107</v>
      </c>
      <c r="T2294" s="1">
        <v>46107</v>
      </c>
      <c r="U2294" s="1">
        <v>46111</v>
      </c>
      <c r="V2294" s="1">
        <v>46476</v>
      </c>
      <c r="W2294" t="s">
        <v>38</v>
      </c>
      <c r="X2294">
        <v>12</v>
      </c>
      <c r="Y2294" t="s">
        <v>49</v>
      </c>
      <c r="Z2294" t="s">
        <v>81</v>
      </c>
      <c r="AA2294" t="s">
        <v>112</v>
      </c>
      <c r="AB2294">
        <v>12</v>
      </c>
      <c r="AC2294" t="s">
        <v>166</v>
      </c>
      <c r="AD2294" t="s">
        <v>118</v>
      </c>
      <c r="AE2294" t="s">
        <v>43</v>
      </c>
      <c r="AF2294" t="s">
        <v>119</v>
      </c>
      <c r="AG2294" t="str">
        <f t="shared" si="38"/>
        <v>CC 12x</v>
      </c>
      <c r="AH2294" t="str">
        <f>IF(AND(SUMIF(E:E,E2294,I:I)&gt;=400000,Q2294="B2G"),"n","")</f>
        <v/>
      </c>
    </row>
    <row r="2295" spans="1:34">
      <c r="A2295">
        <v>2026</v>
      </c>
      <c r="B2295">
        <v>3</v>
      </c>
      <c r="C2295" s="83">
        <v>19435572353</v>
      </c>
      <c r="D2295" t="s">
        <v>2114</v>
      </c>
      <c r="E2295">
        <v>58646529921</v>
      </c>
      <c r="F2295">
        <v>627292</v>
      </c>
      <c r="G2295">
        <v>53812302438</v>
      </c>
      <c r="H2295" t="s">
        <v>35</v>
      </c>
      <c r="I2295" s="36">
        <v>2575.08</v>
      </c>
      <c r="J2295" s="36">
        <v>1321.08</v>
      </c>
      <c r="K2295" s="85">
        <v>1254</v>
      </c>
      <c r="L2295" s="36">
        <v>110.09</v>
      </c>
      <c r="M2295" s="36">
        <v>0</v>
      </c>
      <c r="N2295" s="36">
        <v>110.09</v>
      </c>
      <c r="O2295" s="36">
        <v>0</v>
      </c>
      <c r="P2295" t="s">
        <v>804</v>
      </c>
      <c r="Q2295" t="s">
        <v>191</v>
      </c>
      <c r="R2295" t="s">
        <v>191</v>
      </c>
      <c r="S2295" s="1">
        <v>46112</v>
      </c>
      <c r="T2295" s="1">
        <v>46112</v>
      </c>
      <c r="U2295" s="1">
        <v>46824</v>
      </c>
      <c r="V2295" s="1">
        <v>46824</v>
      </c>
      <c r="W2295" t="s">
        <v>102</v>
      </c>
      <c r="X2295">
        <v>24</v>
      </c>
      <c r="Y2295" t="s">
        <v>49</v>
      </c>
      <c r="Z2295" t="s">
        <v>324</v>
      </c>
      <c r="AA2295" t="s">
        <v>122</v>
      </c>
      <c r="AB2295">
        <v>23</v>
      </c>
      <c r="AC2295" t="s">
        <v>192</v>
      </c>
      <c r="AD2295" t="s">
        <v>149</v>
      </c>
      <c r="AE2295" t="s">
        <v>43</v>
      </c>
      <c r="AF2295" t="s">
        <v>96</v>
      </c>
      <c r="AG2295" t="str">
        <f t="shared" si="38"/>
        <v>Recorrente</v>
      </c>
      <c r="AH2295" t="str">
        <f>IF(AND(SUMIF(E:E,E2295,I:I)&gt;=400000,Q2295="B2G"),"n","")</f>
        <v/>
      </c>
    </row>
    <row r="2296" spans="1:34">
      <c r="A2296">
        <v>2026</v>
      </c>
      <c r="B2296">
        <v>3</v>
      </c>
      <c r="C2296" s="83">
        <v>19435572353</v>
      </c>
      <c r="D2296" t="s">
        <v>2114</v>
      </c>
      <c r="E2296">
        <v>58646529921</v>
      </c>
      <c r="F2296">
        <v>627292</v>
      </c>
      <c r="G2296">
        <v>53812302439</v>
      </c>
      <c r="H2296" t="s">
        <v>35</v>
      </c>
      <c r="I2296" s="36">
        <v>2575.08</v>
      </c>
      <c r="J2296" s="36">
        <v>1321.08</v>
      </c>
      <c r="K2296" s="85">
        <v>1254</v>
      </c>
      <c r="L2296" s="36">
        <v>110.09</v>
      </c>
      <c r="M2296" s="36">
        <v>0</v>
      </c>
      <c r="N2296" s="36">
        <v>110.09</v>
      </c>
      <c r="O2296" s="36">
        <v>0</v>
      </c>
      <c r="P2296" t="s">
        <v>804</v>
      </c>
      <c r="Q2296" t="s">
        <v>191</v>
      </c>
      <c r="R2296" t="s">
        <v>191</v>
      </c>
      <c r="S2296" s="1">
        <v>46112</v>
      </c>
      <c r="T2296" s="1">
        <v>46112</v>
      </c>
      <c r="U2296" s="1">
        <v>46824</v>
      </c>
      <c r="V2296" s="1">
        <v>46824</v>
      </c>
      <c r="W2296" t="s">
        <v>102</v>
      </c>
      <c r="X2296">
        <v>24</v>
      </c>
      <c r="Y2296" t="s">
        <v>49</v>
      </c>
      <c r="Z2296" t="s">
        <v>324</v>
      </c>
      <c r="AA2296" t="s">
        <v>122</v>
      </c>
      <c r="AB2296">
        <v>23</v>
      </c>
      <c r="AC2296" t="s">
        <v>192</v>
      </c>
      <c r="AD2296" t="s">
        <v>149</v>
      </c>
      <c r="AE2296" t="s">
        <v>43</v>
      </c>
      <c r="AF2296" t="s">
        <v>96</v>
      </c>
      <c r="AG2296" t="str">
        <f t="shared" si="38"/>
        <v>Recorrente</v>
      </c>
      <c r="AH2296" t="str">
        <f>IF(AND(SUMIF(E:E,E2296,I:I)&gt;=400000,Q2296="B2G"),"n","")</f>
        <v/>
      </c>
    </row>
    <row r="2297" spans="1:34">
      <c r="A2297">
        <v>2026</v>
      </c>
      <c r="B2297">
        <v>3</v>
      </c>
      <c r="C2297" s="83">
        <v>19435575935</v>
      </c>
      <c r="D2297" t="s">
        <v>2115</v>
      </c>
      <c r="E2297">
        <v>57977950513</v>
      </c>
      <c r="F2297">
        <v>511364</v>
      </c>
      <c r="G2297">
        <v>53206480053</v>
      </c>
      <c r="H2297" t="s">
        <v>35</v>
      </c>
      <c r="I2297" s="36">
        <v>8476.56</v>
      </c>
      <c r="J2297" s="36">
        <v>7085.4</v>
      </c>
      <c r="K2297" s="85">
        <v>1391.16</v>
      </c>
      <c r="L2297" s="36">
        <v>590.45000000000005</v>
      </c>
      <c r="M2297" s="36">
        <v>0</v>
      </c>
      <c r="N2297" s="36">
        <v>590.45000000000005</v>
      </c>
      <c r="O2297" s="36">
        <v>0</v>
      </c>
      <c r="P2297" t="s">
        <v>190</v>
      </c>
      <c r="Q2297" t="s">
        <v>191</v>
      </c>
      <c r="R2297" t="s">
        <v>191</v>
      </c>
      <c r="S2297" s="1">
        <v>46094</v>
      </c>
      <c r="T2297" s="1">
        <v>46094</v>
      </c>
      <c r="U2297" s="1">
        <v>46531</v>
      </c>
      <c r="V2297" s="1">
        <v>46531</v>
      </c>
      <c r="W2297" t="s">
        <v>102</v>
      </c>
      <c r="X2297">
        <v>14</v>
      </c>
      <c r="Y2297" t="s">
        <v>49</v>
      </c>
      <c r="Z2297" t="s">
        <v>324</v>
      </c>
      <c r="AA2297" t="s">
        <v>122</v>
      </c>
      <c r="AB2297">
        <v>14</v>
      </c>
      <c r="AC2297" t="s">
        <v>192</v>
      </c>
      <c r="AD2297" t="s">
        <v>146</v>
      </c>
      <c r="AE2297" t="s">
        <v>135</v>
      </c>
      <c r="AF2297" t="s">
        <v>96</v>
      </c>
      <c r="AG2297" t="str">
        <f t="shared" si="38"/>
        <v>Recorrente</v>
      </c>
      <c r="AH2297" t="str">
        <f>IF(AND(SUMIF(E:E,E2297,I:I)&gt;=400000,Q2297="B2G"),"n","")</f>
        <v/>
      </c>
    </row>
    <row r="2298" spans="1:34">
      <c r="A2298">
        <v>2026</v>
      </c>
      <c r="B2298">
        <v>3</v>
      </c>
      <c r="C2298" s="83">
        <v>19435586202</v>
      </c>
      <c r="D2298" t="s">
        <v>683</v>
      </c>
      <c r="E2298">
        <v>57443063468</v>
      </c>
      <c r="F2298">
        <v>636421</v>
      </c>
      <c r="G2298">
        <v>53073021793</v>
      </c>
      <c r="H2298" t="s">
        <v>104</v>
      </c>
      <c r="I2298" s="36">
        <v>30000</v>
      </c>
      <c r="J2298" s="36">
        <v>0</v>
      </c>
      <c r="K2298" s="85">
        <v>0</v>
      </c>
      <c r="L2298" s="36">
        <v>0</v>
      </c>
      <c r="M2298" s="36">
        <v>0</v>
      </c>
      <c r="N2298" s="36">
        <v>0</v>
      </c>
      <c r="O2298" s="36">
        <v>0</v>
      </c>
      <c r="P2298" t="s">
        <v>684</v>
      </c>
      <c r="Q2298" t="s">
        <v>79</v>
      </c>
      <c r="R2298" t="s">
        <v>80</v>
      </c>
      <c r="S2298" s="1">
        <v>46090</v>
      </c>
      <c r="T2298" s="1">
        <v>46090</v>
      </c>
      <c r="U2298" s="1"/>
      <c r="V2298" s="1">
        <v>46464</v>
      </c>
      <c r="W2298" t="s">
        <v>38</v>
      </c>
      <c r="X2298">
        <v>12</v>
      </c>
      <c r="Y2298" t="s">
        <v>104</v>
      </c>
      <c r="AA2298" t="s">
        <v>40</v>
      </c>
      <c r="AB2298">
        <v>1</v>
      </c>
      <c r="AC2298" t="s">
        <v>83</v>
      </c>
      <c r="AD2298" t="s">
        <v>685</v>
      </c>
      <c r="AE2298" t="s">
        <v>106</v>
      </c>
      <c r="AF2298" t="s">
        <v>59</v>
      </c>
      <c r="AG2298" t="str">
        <f t="shared" si="38"/>
        <v>À Vista</v>
      </c>
      <c r="AH2298" t="str">
        <f>IF(AND(SUMIF(E:E,E2298,I:I)&gt;=400000,Q2298="B2G"),"n","")</f>
        <v/>
      </c>
    </row>
    <row r="2299" spans="1:34">
      <c r="A2299">
        <v>2026</v>
      </c>
      <c r="B2299">
        <v>3</v>
      </c>
      <c r="C2299" s="83">
        <v>19435589158</v>
      </c>
      <c r="D2299" t="s">
        <v>2116</v>
      </c>
      <c r="E2299">
        <v>46599558968</v>
      </c>
      <c r="F2299">
        <v>636658</v>
      </c>
      <c r="G2299">
        <v>53530328361</v>
      </c>
      <c r="H2299" t="s">
        <v>35</v>
      </c>
      <c r="I2299" s="36">
        <v>52780.08</v>
      </c>
      <c r="J2299" s="36">
        <v>52780.08</v>
      </c>
      <c r="K2299" s="85">
        <v>0</v>
      </c>
      <c r="L2299" s="36">
        <v>4398.34</v>
      </c>
      <c r="M2299" s="36">
        <v>4398.34</v>
      </c>
      <c r="N2299" s="36">
        <v>0</v>
      </c>
      <c r="O2299" s="36">
        <v>0</v>
      </c>
      <c r="P2299" t="s">
        <v>36</v>
      </c>
      <c r="Q2299" t="s">
        <v>37</v>
      </c>
      <c r="R2299" t="s">
        <v>37</v>
      </c>
      <c r="S2299" s="1">
        <v>46105</v>
      </c>
      <c r="T2299" s="1">
        <v>46105</v>
      </c>
      <c r="V2299" s="1">
        <v>46470</v>
      </c>
      <c r="W2299" t="s">
        <v>38</v>
      </c>
      <c r="X2299">
        <v>12</v>
      </c>
      <c r="Y2299" t="s">
        <v>49</v>
      </c>
      <c r="AA2299" t="s">
        <v>40</v>
      </c>
      <c r="AB2299">
        <v>1</v>
      </c>
      <c r="AC2299" t="s">
        <v>41</v>
      </c>
      <c r="AD2299" t="s">
        <v>57</v>
      </c>
      <c r="AE2299" t="s">
        <v>58</v>
      </c>
      <c r="AF2299" t="s">
        <v>59</v>
      </c>
      <c r="AG2299" t="str">
        <f t="shared" si="38"/>
        <v>À Vista</v>
      </c>
      <c r="AH2299" t="str">
        <f>IF(AND(SUMIF(E:E,E2299,I:I)&gt;=400000,Q2299="B2G"),"n","")</f>
        <v/>
      </c>
    </row>
    <row r="2300" spans="1:34">
      <c r="A2300">
        <v>2026</v>
      </c>
      <c r="B2300">
        <v>3</v>
      </c>
      <c r="C2300" s="83">
        <v>19435589247</v>
      </c>
      <c r="D2300" t="s">
        <v>2117</v>
      </c>
      <c r="E2300">
        <v>56149645488</v>
      </c>
      <c r="F2300">
        <v>508799</v>
      </c>
      <c r="G2300">
        <v>52811251813</v>
      </c>
      <c r="H2300" t="s">
        <v>35</v>
      </c>
      <c r="I2300" s="36">
        <v>3116.64</v>
      </c>
      <c r="J2300" s="36">
        <v>3116.64</v>
      </c>
      <c r="K2300" s="85">
        <v>4.5474699999999999E-13</v>
      </c>
      <c r="L2300" s="36">
        <v>259.72000000000003</v>
      </c>
      <c r="M2300" s="36">
        <v>0</v>
      </c>
      <c r="N2300" s="36">
        <v>23.340895</v>
      </c>
      <c r="O2300" s="36">
        <v>236.38</v>
      </c>
      <c r="P2300" t="s">
        <v>116</v>
      </c>
      <c r="Q2300" t="s">
        <v>111</v>
      </c>
      <c r="R2300" t="s">
        <v>111</v>
      </c>
      <c r="S2300" s="1">
        <v>46092</v>
      </c>
      <c r="T2300" s="1">
        <v>46092</v>
      </c>
      <c r="U2300" s="1">
        <v>46111</v>
      </c>
      <c r="V2300" s="1">
        <v>46476</v>
      </c>
      <c r="W2300" t="s">
        <v>38</v>
      </c>
      <c r="X2300">
        <v>12</v>
      </c>
      <c r="Y2300" t="s">
        <v>49</v>
      </c>
      <c r="Z2300" t="s">
        <v>81</v>
      </c>
      <c r="AA2300" t="s">
        <v>112</v>
      </c>
      <c r="AB2300">
        <v>12</v>
      </c>
      <c r="AC2300" t="s">
        <v>113</v>
      </c>
      <c r="AD2300" t="s">
        <v>160</v>
      </c>
      <c r="AE2300" t="s">
        <v>43</v>
      </c>
      <c r="AF2300" t="s">
        <v>44</v>
      </c>
      <c r="AG2300" t="str">
        <f t="shared" ref="AG2300:AG2363" si="39">IF(IFERROR(SEARCH("Recorrente",AA2300),0)&gt;0,"Recorrente",IF(AB2300=1,"À Vista",IF(AB2300&lt;=3,"CC 3x",IF(AB2300&lt;=12,"CC 12x",IF(AB2300&gt;12,"Recorrente","")))))</f>
        <v>CC 12x</v>
      </c>
      <c r="AH2300" t="str">
        <f>IF(AND(SUMIF(E:E,E2300,I:I)&gt;=400000,Q2300="B2G"),"n","")</f>
        <v/>
      </c>
    </row>
    <row r="2301" spans="1:34">
      <c r="A2301">
        <v>2026</v>
      </c>
      <c r="B2301">
        <v>3</v>
      </c>
      <c r="C2301" s="83">
        <v>19435594088</v>
      </c>
      <c r="D2301" t="s">
        <v>2118</v>
      </c>
      <c r="E2301">
        <v>56469424480</v>
      </c>
      <c r="F2301">
        <v>636722</v>
      </c>
      <c r="G2301">
        <v>53601647490</v>
      </c>
      <c r="H2301" t="s">
        <v>35</v>
      </c>
      <c r="I2301" s="36">
        <v>5489.76</v>
      </c>
      <c r="J2301" s="36">
        <v>5489.76</v>
      </c>
      <c r="K2301" s="85">
        <v>0</v>
      </c>
      <c r="L2301" s="36">
        <v>457.48</v>
      </c>
      <c r="M2301" s="36">
        <v>457.48</v>
      </c>
      <c r="N2301" s="36">
        <v>0</v>
      </c>
      <c r="O2301" s="36">
        <v>0</v>
      </c>
      <c r="P2301" t="s">
        <v>1073</v>
      </c>
      <c r="Q2301" t="s">
        <v>314</v>
      </c>
      <c r="R2301" t="s">
        <v>314</v>
      </c>
      <c r="S2301" s="1">
        <v>46107</v>
      </c>
      <c r="T2301" s="1">
        <v>46107</v>
      </c>
      <c r="V2301" s="1">
        <v>46472</v>
      </c>
      <c r="W2301" t="s">
        <v>38</v>
      </c>
      <c r="X2301">
        <v>12</v>
      </c>
      <c r="Y2301" t="s">
        <v>49</v>
      </c>
      <c r="AA2301" t="s">
        <v>112</v>
      </c>
      <c r="AB2301">
        <v>12</v>
      </c>
      <c r="AC2301" t="s">
        <v>315</v>
      </c>
      <c r="AD2301" t="s">
        <v>149</v>
      </c>
      <c r="AE2301" t="s">
        <v>43</v>
      </c>
      <c r="AF2301" t="s">
        <v>96</v>
      </c>
      <c r="AG2301" t="str">
        <f t="shared" si="39"/>
        <v>CC 12x</v>
      </c>
      <c r="AH2301" t="str">
        <f>IF(AND(SUMIF(E:E,E2301,I:I)&gt;=400000,Q2301="B2G"),"n","")</f>
        <v/>
      </c>
    </row>
    <row r="2302" spans="1:34">
      <c r="A2302">
        <v>2026</v>
      </c>
      <c r="B2302">
        <v>3</v>
      </c>
      <c r="C2302" s="83">
        <v>19435599885</v>
      </c>
      <c r="D2302" t="s">
        <v>2119</v>
      </c>
      <c r="E2302">
        <v>48369334181</v>
      </c>
      <c r="F2302">
        <v>636512</v>
      </c>
      <c r="G2302">
        <v>53208707347</v>
      </c>
      <c r="H2302" t="s">
        <v>35</v>
      </c>
      <c r="I2302" s="36">
        <v>5436</v>
      </c>
      <c r="J2302" s="36">
        <v>5436</v>
      </c>
      <c r="K2302" s="85">
        <v>0</v>
      </c>
      <c r="L2302" s="36">
        <v>453</v>
      </c>
      <c r="M2302" s="36">
        <v>453</v>
      </c>
      <c r="N2302" s="36">
        <v>0</v>
      </c>
      <c r="O2302" s="36">
        <v>0</v>
      </c>
      <c r="P2302" t="s">
        <v>98</v>
      </c>
      <c r="Q2302" t="s">
        <v>37</v>
      </c>
      <c r="R2302" t="s">
        <v>37</v>
      </c>
      <c r="S2302" s="1">
        <v>46094</v>
      </c>
      <c r="T2302" s="1">
        <v>46094</v>
      </c>
      <c r="V2302" s="1">
        <v>46459</v>
      </c>
      <c r="W2302" t="s">
        <v>38</v>
      </c>
      <c r="X2302">
        <v>12</v>
      </c>
      <c r="Y2302" t="s">
        <v>49</v>
      </c>
      <c r="AA2302" t="s">
        <v>40</v>
      </c>
      <c r="AB2302">
        <v>1</v>
      </c>
      <c r="AC2302" t="s">
        <v>41</v>
      </c>
      <c r="AD2302" t="s">
        <v>54</v>
      </c>
      <c r="AE2302" t="s">
        <v>46</v>
      </c>
      <c r="AF2302" t="s">
        <v>44</v>
      </c>
      <c r="AG2302" t="str">
        <f t="shared" si="39"/>
        <v>À Vista</v>
      </c>
      <c r="AH2302" t="str">
        <f>IF(AND(SUMIF(E:E,E2302,I:I)&gt;=400000,Q2302="B2G"),"n","")</f>
        <v/>
      </c>
    </row>
    <row r="2303" spans="1:34">
      <c r="A2303">
        <v>2026</v>
      </c>
      <c r="B2303">
        <v>3</v>
      </c>
      <c r="C2303" s="83">
        <v>19435599885</v>
      </c>
      <c r="D2303" t="s">
        <v>2119</v>
      </c>
      <c r="E2303">
        <v>48369334181</v>
      </c>
      <c r="F2303">
        <v>636512</v>
      </c>
      <c r="G2303">
        <v>53208707348</v>
      </c>
      <c r="H2303" t="s">
        <v>35</v>
      </c>
      <c r="I2303" s="36">
        <v>4644</v>
      </c>
      <c r="J2303" s="36">
        <v>4644</v>
      </c>
      <c r="K2303" s="85">
        <v>0</v>
      </c>
      <c r="L2303" s="36">
        <v>387</v>
      </c>
      <c r="M2303" s="36">
        <v>387</v>
      </c>
      <c r="N2303" s="36">
        <v>0</v>
      </c>
      <c r="O2303" s="36">
        <v>0</v>
      </c>
      <c r="P2303" t="s">
        <v>98</v>
      </c>
      <c r="Q2303" t="s">
        <v>37</v>
      </c>
      <c r="R2303" t="s">
        <v>37</v>
      </c>
      <c r="S2303" s="1">
        <v>46094</v>
      </c>
      <c r="T2303" s="1">
        <v>46094</v>
      </c>
      <c r="U2303" s="1"/>
      <c r="V2303" s="1">
        <v>46459</v>
      </c>
      <c r="W2303" t="s">
        <v>38</v>
      </c>
      <c r="X2303">
        <v>12</v>
      </c>
      <c r="Y2303" t="s">
        <v>49</v>
      </c>
      <c r="AA2303" t="s">
        <v>40</v>
      </c>
      <c r="AB2303">
        <v>1</v>
      </c>
      <c r="AC2303" t="s">
        <v>41</v>
      </c>
      <c r="AD2303" t="s">
        <v>53</v>
      </c>
      <c r="AE2303" t="s">
        <v>43</v>
      </c>
      <c r="AF2303" t="s">
        <v>44</v>
      </c>
      <c r="AG2303" t="str">
        <f t="shared" si="39"/>
        <v>À Vista</v>
      </c>
      <c r="AH2303" t="str">
        <f>IF(AND(SUMIF(E:E,E2303,I:I)&gt;=400000,Q2303="B2G"),"n","")</f>
        <v/>
      </c>
    </row>
    <row r="2304" spans="1:34">
      <c r="A2304">
        <v>2026</v>
      </c>
      <c r="B2304">
        <v>3</v>
      </c>
      <c r="C2304" s="83">
        <v>19435599935</v>
      </c>
      <c r="D2304" t="s">
        <v>2120</v>
      </c>
      <c r="E2304">
        <v>58170184032</v>
      </c>
      <c r="F2304">
        <v>636605</v>
      </c>
      <c r="G2304">
        <v>53403490415</v>
      </c>
      <c r="H2304" t="s">
        <v>35</v>
      </c>
      <c r="I2304" s="36">
        <v>2730.24</v>
      </c>
      <c r="J2304" s="36">
        <v>2730.3</v>
      </c>
      <c r="K2304" s="85">
        <v>0</v>
      </c>
      <c r="L2304" s="36">
        <v>227.52500000000001</v>
      </c>
      <c r="M2304" s="36">
        <v>227.52500000000001</v>
      </c>
      <c r="N2304" s="36">
        <v>0</v>
      </c>
      <c r="O2304" s="36">
        <v>0</v>
      </c>
      <c r="P2304" t="s">
        <v>129</v>
      </c>
      <c r="Q2304" t="s">
        <v>91</v>
      </c>
      <c r="R2304" t="s">
        <v>91</v>
      </c>
      <c r="S2304" s="1">
        <v>46100</v>
      </c>
      <c r="T2304" s="1">
        <v>46100</v>
      </c>
      <c r="V2304" s="1">
        <v>46465</v>
      </c>
      <c r="W2304" t="s">
        <v>38</v>
      </c>
      <c r="X2304">
        <v>12</v>
      </c>
      <c r="Y2304" t="s">
        <v>49</v>
      </c>
      <c r="AA2304" t="s">
        <v>112</v>
      </c>
      <c r="AB2304">
        <v>12</v>
      </c>
      <c r="AC2304" t="s">
        <v>93</v>
      </c>
      <c r="AD2304" t="s">
        <v>140</v>
      </c>
      <c r="AE2304" t="s">
        <v>46</v>
      </c>
      <c r="AF2304" t="s">
        <v>119</v>
      </c>
      <c r="AG2304" t="str">
        <f t="shared" si="39"/>
        <v>CC 12x</v>
      </c>
      <c r="AH2304" t="str">
        <f>IF(AND(SUMIF(E:E,E2304,I:I)&gt;=400000,Q2304="B2G"),"n","")</f>
        <v/>
      </c>
    </row>
    <row r="2305" spans="1:34">
      <c r="A2305">
        <v>2026</v>
      </c>
      <c r="B2305">
        <v>3</v>
      </c>
      <c r="C2305" s="83">
        <v>19435603799</v>
      </c>
      <c r="D2305" t="s">
        <v>2121</v>
      </c>
      <c r="E2305">
        <v>55702824971</v>
      </c>
      <c r="F2305">
        <v>508415</v>
      </c>
      <c r="G2305">
        <v>51044137657</v>
      </c>
      <c r="H2305" t="s">
        <v>35</v>
      </c>
      <c r="I2305" s="36">
        <v>2874</v>
      </c>
      <c r="J2305" s="36">
        <v>2874</v>
      </c>
      <c r="K2305" s="85">
        <v>0</v>
      </c>
      <c r="L2305" s="36">
        <v>239.5</v>
      </c>
      <c r="M2305" s="36">
        <v>0</v>
      </c>
      <c r="N2305" s="36">
        <v>0.5</v>
      </c>
      <c r="O2305" s="36">
        <v>239</v>
      </c>
      <c r="P2305" t="s">
        <v>165</v>
      </c>
      <c r="Q2305" t="s">
        <v>166</v>
      </c>
      <c r="R2305" t="s">
        <v>166</v>
      </c>
      <c r="S2305" s="1">
        <v>46106</v>
      </c>
      <c r="T2305" s="1">
        <v>46106</v>
      </c>
      <c r="U2305" s="1">
        <v>46106</v>
      </c>
      <c r="V2305" s="1">
        <v>46471</v>
      </c>
      <c r="W2305" t="s">
        <v>38</v>
      </c>
      <c r="X2305">
        <v>12</v>
      </c>
      <c r="Y2305" t="s">
        <v>49</v>
      </c>
      <c r="Z2305" t="s">
        <v>81</v>
      </c>
      <c r="AA2305" t="s">
        <v>122</v>
      </c>
      <c r="AB2305">
        <v>12</v>
      </c>
      <c r="AC2305" t="s">
        <v>166</v>
      </c>
      <c r="AD2305" t="s">
        <v>140</v>
      </c>
      <c r="AE2305" t="s">
        <v>46</v>
      </c>
      <c r="AF2305" t="s">
        <v>119</v>
      </c>
      <c r="AG2305" t="str">
        <f t="shared" si="39"/>
        <v>Recorrente</v>
      </c>
      <c r="AH2305" t="str">
        <f>IF(AND(SUMIF(E:E,E2305,I:I)&gt;=400000,Q2305="B2G"),"n","")</f>
        <v/>
      </c>
    </row>
    <row r="2306" spans="1:34">
      <c r="A2306">
        <v>2026</v>
      </c>
      <c r="B2306">
        <v>3</v>
      </c>
      <c r="C2306" s="83">
        <v>19435607142</v>
      </c>
      <c r="D2306" t="s">
        <v>2122</v>
      </c>
      <c r="E2306">
        <v>39011989016</v>
      </c>
      <c r="F2306">
        <v>529151</v>
      </c>
      <c r="G2306">
        <v>53170409257</v>
      </c>
      <c r="H2306" t="s">
        <v>35</v>
      </c>
      <c r="I2306" s="36">
        <v>144960</v>
      </c>
      <c r="J2306" s="36">
        <v>72480</v>
      </c>
      <c r="K2306" s="85">
        <v>72480</v>
      </c>
      <c r="L2306" s="36">
        <v>6040</v>
      </c>
      <c r="M2306" s="36">
        <v>6040</v>
      </c>
      <c r="N2306" s="36">
        <v>0</v>
      </c>
      <c r="O2306" s="36">
        <v>0</v>
      </c>
      <c r="P2306" t="s">
        <v>36</v>
      </c>
      <c r="Q2306" t="s">
        <v>37</v>
      </c>
      <c r="R2306" t="s">
        <v>37</v>
      </c>
      <c r="S2306" s="1">
        <v>46093</v>
      </c>
      <c r="T2306" s="1">
        <v>46093</v>
      </c>
      <c r="U2306" s="1"/>
      <c r="V2306" s="1">
        <v>46832</v>
      </c>
      <c r="W2306" t="s">
        <v>56</v>
      </c>
      <c r="X2306">
        <v>24</v>
      </c>
      <c r="Y2306" t="s">
        <v>49</v>
      </c>
      <c r="Z2306" t="s">
        <v>81</v>
      </c>
      <c r="AA2306" t="s">
        <v>40</v>
      </c>
      <c r="AB2306">
        <v>1</v>
      </c>
      <c r="AC2306" t="s">
        <v>41</v>
      </c>
      <c r="AD2306" t="s">
        <v>70</v>
      </c>
      <c r="AE2306" t="s">
        <v>43</v>
      </c>
      <c r="AF2306" t="s">
        <v>47</v>
      </c>
      <c r="AG2306" t="str">
        <f t="shared" si="39"/>
        <v>À Vista</v>
      </c>
      <c r="AH2306" t="str">
        <f>IF(AND(SUMIF(E:E,E2306,I:I)&gt;=400000,Q2306="B2G"),"n","")</f>
        <v/>
      </c>
    </row>
    <row r="2307" spans="1:34">
      <c r="A2307">
        <v>2026</v>
      </c>
      <c r="B2307">
        <v>3</v>
      </c>
      <c r="C2307" s="83">
        <v>19435607142</v>
      </c>
      <c r="D2307" t="s">
        <v>2122</v>
      </c>
      <c r="E2307">
        <v>39011989016</v>
      </c>
      <c r="F2307">
        <v>529151</v>
      </c>
      <c r="G2307">
        <v>53170409258</v>
      </c>
      <c r="H2307" t="s">
        <v>35</v>
      </c>
      <c r="I2307" s="36">
        <v>53472</v>
      </c>
      <c r="J2307" s="36">
        <v>26736</v>
      </c>
      <c r="K2307" s="85">
        <v>26736</v>
      </c>
      <c r="L2307" s="36">
        <v>2228</v>
      </c>
      <c r="M2307" s="36">
        <v>2228</v>
      </c>
      <c r="N2307" s="36">
        <v>0</v>
      </c>
      <c r="O2307" s="36">
        <v>0</v>
      </c>
      <c r="P2307" t="s">
        <v>36</v>
      </c>
      <c r="Q2307" t="s">
        <v>37</v>
      </c>
      <c r="R2307" t="s">
        <v>37</v>
      </c>
      <c r="S2307" s="1">
        <v>46093</v>
      </c>
      <c r="T2307" s="1">
        <v>46093</v>
      </c>
      <c r="V2307" s="1">
        <v>46832</v>
      </c>
      <c r="W2307" t="s">
        <v>56</v>
      </c>
      <c r="X2307">
        <v>24</v>
      </c>
      <c r="Y2307" t="s">
        <v>49</v>
      </c>
      <c r="Z2307" t="s">
        <v>81</v>
      </c>
      <c r="AA2307" t="s">
        <v>40</v>
      </c>
      <c r="AB2307">
        <v>1</v>
      </c>
      <c r="AC2307" t="s">
        <v>41</v>
      </c>
      <c r="AD2307" t="s">
        <v>100</v>
      </c>
      <c r="AE2307" t="s">
        <v>46</v>
      </c>
      <c r="AF2307" t="s">
        <v>47</v>
      </c>
      <c r="AG2307" t="str">
        <f t="shared" si="39"/>
        <v>À Vista</v>
      </c>
      <c r="AH2307" t="str">
        <f>IF(AND(SUMIF(E:E,E2307,I:I)&gt;=400000,Q2307="B2G"),"n","")</f>
        <v/>
      </c>
    </row>
    <row r="2308" spans="1:34">
      <c r="A2308">
        <v>2026</v>
      </c>
      <c r="B2308">
        <v>3</v>
      </c>
      <c r="C2308" s="83">
        <v>19435611695</v>
      </c>
      <c r="D2308" t="s">
        <v>2123</v>
      </c>
      <c r="E2308">
        <v>57021964312</v>
      </c>
      <c r="F2308">
        <v>304015</v>
      </c>
      <c r="G2308">
        <v>52704160388</v>
      </c>
      <c r="H2308" t="s">
        <v>35</v>
      </c>
      <c r="I2308" s="36">
        <v>8564.4</v>
      </c>
      <c r="J2308" s="36">
        <v>8564.4</v>
      </c>
      <c r="K2308" s="85">
        <v>0</v>
      </c>
      <c r="L2308" s="36">
        <v>713.7</v>
      </c>
      <c r="M2308" s="36">
        <v>713.7</v>
      </c>
      <c r="N2308" s="36">
        <v>0</v>
      </c>
      <c r="O2308" s="36">
        <v>0</v>
      </c>
      <c r="P2308" t="s">
        <v>116</v>
      </c>
      <c r="Q2308" t="s">
        <v>111</v>
      </c>
      <c r="R2308" t="s">
        <v>111</v>
      </c>
      <c r="S2308" s="1">
        <v>46084</v>
      </c>
      <c r="T2308" s="1">
        <v>46084</v>
      </c>
      <c r="U2308" s="1">
        <v>46048</v>
      </c>
      <c r="V2308" s="1">
        <v>46446</v>
      </c>
      <c r="W2308" t="s">
        <v>38</v>
      </c>
      <c r="X2308">
        <v>13</v>
      </c>
      <c r="Y2308" t="s">
        <v>49</v>
      </c>
      <c r="Z2308" t="s">
        <v>81</v>
      </c>
      <c r="AA2308" t="s">
        <v>112</v>
      </c>
      <c r="AB2308">
        <v>4</v>
      </c>
      <c r="AC2308" t="s">
        <v>113</v>
      </c>
      <c r="AD2308" t="s">
        <v>154</v>
      </c>
      <c r="AE2308" t="s">
        <v>46</v>
      </c>
      <c r="AF2308" t="s">
        <v>47</v>
      </c>
      <c r="AG2308" t="str">
        <f t="shared" si="39"/>
        <v>CC 12x</v>
      </c>
      <c r="AH2308" t="str">
        <f>IF(AND(SUMIF(E:E,E2308,I:I)&gt;=400000,Q2308="B2G"),"n","")</f>
        <v/>
      </c>
    </row>
    <row r="2309" spans="1:34">
      <c r="A2309">
        <v>2026</v>
      </c>
      <c r="B2309">
        <v>3</v>
      </c>
      <c r="C2309" s="83">
        <v>19435621010</v>
      </c>
      <c r="D2309" t="s">
        <v>2124</v>
      </c>
      <c r="E2309">
        <v>35034990669</v>
      </c>
      <c r="F2309">
        <v>636699</v>
      </c>
      <c r="G2309">
        <v>53530659492</v>
      </c>
      <c r="H2309" t="s">
        <v>673</v>
      </c>
      <c r="I2309" s="36">
        <v>25000</v>
      </c>
      <c r="J2309" s="36">
        <v>0</v>
      </c>
      <c r="K2309" s="85">
        <v>0</v>
      </c>
      <c r="L2309" s="36">
        <v>0</v>
      </c>
      <c r="M2309" s="36">
        <v>0</v>
      </c>
      <c r="N2309" s="36">
        <v>0</v>
      </c>
      <c r="O2309" s="36">
        <v>0</v>
      </c>
      <c r="P2309" t="s">
        <v>98</v>
      </c>
      <c r="Q2309" t="s">
        <v>37</v>
      </c>
      <c r="R2309" t="s">
        <v>37</v>
      </c>
      <c r="S2309" s="1">
        <v>46106</v>
      </c>
      <c r="T2309" s="1">
        <v>46106</v>
      </c>
      <c r="U2309" s="1"/>
      <c r="V2309" s="1">
        <v>46471</v>
      </c>
      <c r="W2309" t="s">
        <v>38</v>
      </c>
      <c r="X2309">
        <v>12</v>
      </c>
      <c r="Y2309" t="s">
        <v>1229</v>
      </c>
      <c r="AA2309" t="s">
        <v>40</v>
      </c>
      <c r="AB2309">
        <v>1</v>
      </c>
      <c r="AC2309" t="s">
        <v>41</v>
      </c>
      <c r="AD2309" t="s">
        <v>2125</v>
      </c>
      <c r="AE2309" t="s">
        <v>106</v>
      </c>
      <c r="AF2309" t="s">
        <v>59</v>
      </c>
      <c r="AG2309" t="str">
        <f t="shared" si="39"/>
        <v>À Vista</v>
      </c>
      <c r="AH2309" t="str">
        <f>IF(AND(SUMIF(E:E,E2309,I:I)&gt;=400000,Q2309="B2G"),"n","")</f>
        <v/>
      </c>
    </row>
    <row r="2310" spans="1:34">
      <c r="A2310">
        <v>2026</v>
      </c>
      <c r="B2310">
        <v>3</v>
      </c>
      <c r="C2310" s="83">
        <v>19435621134</v>
      </c>
      <c r="D2310" t="s">
        <v>2126</v>
      </c>
      <c r="E2310">
        <v>56854414379</v>
      </c>
      <c r="F2310">
        <v>636828</v>
      </c>
      <c r="G2310">
        <v>53747435340</v>
      </c>
      <c r="H2310" t="s">
        <v>35</v>
      </c>
      <c r="I2310" s="36">
        <v>2571.2399999999998</v>
      </c>
      <c r="J2310" s="36">
        <v>2571.2000039999998</v>
      </c>
      <c r="K2310" s="85">
        <v>3.9995999999999997E-2</v>
      </c>
      <c r="L2310" s="36">
        <v>214.26666700000001</v>
      </c>
      <c r="M2310" s="36">
        <v>214.26666700000001</v>
      </c>
      <c r="N2310" s="36">
        <v>0</v>
      </c>
      <c r="O2310" s="36">
        <v>0</v>
      </c>
      <c r="P2310" t="s">
        <v>668</v>
      </c>
      <c r="Q2310" t="s">
        <v>91</v>
      </c>
      <c r="R2310" t="s">
        <v>91</v>
      </c>
      <c r="S2310" s="1">
        <v>46112</v>
      </c>
      <c r="T2310" s="1">
        <v>46112</v>
      </c>
      <c r="U2310" s="1"/>
      <c r="V2310" s="1">
        <v>46477</v>
      </c>
      <c r="W2310" t="s">
        <v>38</v>
      </c>
      <c r="X2310">
        <v>12</v>
      </c>
      <c r="Y2310" t="s">
        <v>49</v>
      </c>
      <c r="AA2310" t="s">
        <v>82</v>
      </c>
      <c r="AB2310">
        <v>1</v>
      </c>
      <c r="AC2310" t="s">
        <v>93</v>
      </c>
      <c r="AD2310" t="s">
        <v>140</v>
      </c>
      <c r="AE2310" t="s">
        <v>46</v>
      </c>
      <c r="AF2310" t="s">
        <v>119</v>
      </c>
      <c r="AG2310" t="str">
        <f t="shared" si="39"/>
        <v>À Vista</v>
      </c>
      <c r="AH2310" t="str">
        <f>IF(AND(SUMIF(E:E,E2310,I:I)&gt;=400000,Q2310="B2G"),"n","")</f>
        <v/>
      </c>
    </row>
    <row r="2311" spans="1:34">
      <c r="A2311">
        <v>2026</v>
      </c>
      <c r="B2311">
        <v>3</v>
      </c>
      <c r="C2311" s="83">
        <v>19435650074</v>
      </c>
      <c r="D2311" t="s">
        <v>294</v>
      </c>
      <c r="E2311">
        <v>57863560258</v>
      </c>
      <c r="F2311">
        <v>522871</v>
      </c>
      <c r="G2311">
        <v>53140628786</v>
      </c>
      <c r="H2311" t="s">
        <v>35</v>
      </c>
      <c r="I2311" s="36">
        <v>1911.6</v>
      </c>
      <c r="J2311" s="36">
        <v>1077.48</v>
      </c>
      <c r="K2311" s="85">
        <v>834.12</v>
      </c>
      <c r="L2311" s="36">
        <v>89.79</v>
      </c>
      <c r="M2311" s="36">
        <v>0</v>
      </c>
      <c r="N2311" s="36">
        <v>89.79</v>
      </c>
      <c r="O2311" s="36">
        <v>0</v>
      </c>
      <c r="P2311" t="s">
        <v>520</v>
      </c>
      <c r="Q2311" t="s">
        <v>191</v>
      </c>
      <c r="R2311" t="s">
        <v>191</v>
      </c>
      <c r="S2311" s="1">
        <v>46092</v>
      </c>
      <c r="T2311" s="1">
        <v>46092</v>
      </c>
      <c r="U2311" s="1">
        <v>46739</v>
      </c>
      <c r="V2311" s="1">
        <v>46739</v>
      </c>
      <c r="W2311" t="s">
        <v>56</v>
      </c>
      <c r="X2311">
        <v>21</v>
      </c>
      <c r="Y2311" t="s">
        <v>49</v>
      </c>
      <c r="Z2311" t="s">
        <v>324</v>
      </c>
      <c r="AA2311" t="s">
        <v>122</v>
      </c>
      <c r="AB2311">
        <v>20</v>
      </c>
      <c r="AC2311" t="s">
        <v>192</v>
      </c>
      <c r="AD2311" t="s">
        <v>368</v>
      </c>
      <c r="AE2311" t="s">
        <v>95</v>
      </c>
      <c r="AF2311" t="s">
        <v>59</v>
      </c>
      <c r="AG2311" t="str">
        <f t="shared" si="39"/>
        <v>Recorrente</v>
      </c>
      <c r="AH2311" t="str">
        <f>IF(AND(SUMIF(E:E,E2311,I:I)&gt;=400000,Q2311="B2G"),"n","")</f>
        <v/>
      </c>
    </row>
    <row r="2312" spans="1:34">
      <c r="A2312">
        <v>2026</v>
      </c>
      <c r="B2312">
        <v>3</v>
      </c>
      <c r="C2312" s="83">
        <v>19435659354</v>
      </c>
      <c r="D2312" t="s">
        <v>2127</v>
      </c>
      <c r="E2312">
        <v>58375091244</v>
      </c>
      <c r="F2312">
        <v>531128</v>
      </c>
      <c r="G2312">
        <v>53742392733</v>
      </c>
      <c r="H2312" t="s">
        <v>35</v>
      </c>
      <c r="I2312" s="36">
        <v>3642.24</v>
      </c>
      <c r="J2312" s="36">
        <v>3642.24</v>
      </c>
      <c r="K2312" s="85">
        <v>0</v>
      </c>
      <c r="L2312" s="36">
        <v>303.52</v>
      </c>
      <c r="M2312" s="36">
        <v>0</v>
      </c>
      <c r="N2312" s="36">
        <v>0</v>
      </c>
      <c r="O2312" s="36">
        <v>303.52499999999998</v>
      </c>
      <c r="P2312" t="s">
        <v>162</v>
      </c>
      <c r="Q2312" t="s">
        <v>111</v>
      </c>
      <c r="R2312" t="s">
        <v>111</v>
      </c>
      <c r="S2312" s="1">
        <v>46112</v>
      </c>
      <c r="T2312" s="1">
        <v>46112</v>
      </c>
      <c r="U2312" s="1">
        <v>46110</v>
      </c>
      <c r="V2312" s="1">
        <v>46477</v>
      </c>
      <c r="W2312" t="s">
        <v>38</v>
      </c>
      <c r="X2312">
        <v>12</v>
      </c>
      <c r="Y2312" t="s">
        <v>49</v>
      </c>
      <c r="Z2312" t="s">
        <v>76</v>
      </c>
      <c r="AA2312" t="s">
        <v>122</v>
      </c>
      <c r="AB2312">
        <v>12</v>
      </c>
      <c r="AC2312" t="s">
        <v>113</v>
      </c>
      <c r="AD2312" t="s">
        <v>142</v>
      </c>
      <c r="AE2312" t="s">
        <v>95</v>
      </c>
      <c r="AF2312" t="s">
        <v>44</v>
      </c>
      <c r="AG2312" t="str">
        <f t="shared" si="39"/>
        <v>Recorrente</v>
      </c>
      <c r="AH2312" t="str">
        <f>IF(AND(SUMIF(E:E,E2312,I:I)&gt;=400000,Q2312="B2G"),"n","")</f>
        <v/>
      </c>
    </row>
    <row r="2313" spans="1:34">
      <c r="A2313">
        <v>2026</v>
      </c>
      <c r="B2313">
        <v>3</v>
      </c>
      <c r="C2313" s="83">
        <v>19435662118</v>
      </c>
      <c r="D2313" t="s">
        <v>2128</v>
      </c>
      <c r="E2313">
        <v>57963593854</v>
      </c>
      <c r="F2313">
        <v>529658</v>
      </c>
      <c r="G2313">
        <v>53206458212</v>
      </c>
      <c r="H2313" t="s">
        <v>35</v>
      </c>
      <c r="I2313" s="36">
        <v>3669</v>
      </c>
      <c r="J2313" s="36">
        <v>3669</v>
      </c>
      <c r="K2313" s="85">
        <v>0</v>
      </c>
      <c r="L2313" s="36">
        <v>305.75</v>
      </c>
      <c r="M2313" s="36">
        <v>0</v>
      </c>
      <c r="N2313" s="36">
        <v>33.950000000000003</v>
      </c>
      <c r="O2313" s="36">
        <v>271.8</v>
      </c>
      <c r="P2313" t="s">
        <v>127</v>
      </c>
      <c r="Q2313" t="s">
        <v>111</v>
      </c>
      <c r="R2313" t="s">
        <v>111</v>
      </c>
      <c r="S2313" s="1">
        <v>46094</v>
      </c>
      <c r="T2313" s="1">
        <v>46094</v>
      </c>
      <c r="U2313" s="1">
        <v>46094</v>
      </c>
      <c r="V2313" s="1">
        <v>46459</v>
      </c>
      <c r="W2313" t="s">
        <v>38</v>
      </c>
      <c r="X2313">
        <v>12</v>
      </c>
      <c r="Y2313" t="s">
        <v>49</v>
      </c>
      <c r="Z2313" t="s">
        <v>81</v>
      </c>
      <c r="AA2313" t="s">
        <v>117</v>
      </c>
      <c r="AB2313">
        <v>1</v>
      </c>
      <c r="AC2313" t="s">
        <v>113</v>
      </c>
      <c r="AD2313" t="s">
        <v>85</v>
      </c>
      <c r="AE2313" t="s">
        <v>46</v>
      </c>
      <c r="AF2313" t="s">
        <v>44</v>
      </c>
      <c r="AG2313" t="str">
        <f t="shared" si="39"/>
        <v>À Vista</v>
      </c>
      <c r="AH2313" t="str">
        <f>IF(AND(SUMIF(E:E,E2313,I:I)&gt;=400000,Q2313="B2G"),"n","")</f>
        <v/>
      </c>
    </row>
    <row r="2314" spans="1:34">
      <c r="A2314">
        <v>2026</v>
      </c>
      <c r="B2314">
        <v>3</v>
      </c>
      <c r="C2314" s="83">
        <v>19435665302</v>
      </c>
      <c r="D2314" t="s">
        <v>2129</v>
      </c>
      <c r="E2314">
        <v>55626161929</v>
      </c>
      <c r="F2314">
        <v>531592</v>
      </c>
      <c r="G2314">
        <v>52811374626</v>
      </c>
      <c r="H2314" t="s">
        <v>35</v>
      </c>
      <c r="I2314" s="36">
        <v>7056.6</v>
      </c>
      <c r="J2314" s="36">
        <v>7056.6</v>
      </c>
      <c r="K2314" s="85">
        <v>0</v>
      </c>
      <c r="L2314" s="36">
        <v>588.04999999999995</v>
      </c>
      <c r="M2314" s="36">
        <v>0</v>
      </c>
      <c r="N2314" s="36">
        <v>24.90797938</v>
      </c>
      <c r="O2314" s="36">
        <v>563.14250000000004</v>
      </c>
      <c r="P2314" t="s">
        <v>1165</v>
      </c>
      <c r="Q2314" t="s">
        <v>79</v>
      </c>
      <c r="R2314" t="s">
        <v>80</v>
      </c>
      <c r="S2314" s="1">
        <v>46085</v>
      </c>
      <c r="T2314" s="1">
        <v>46085</v>
      </c>
      <c r="U2314" s="1">
        <v>46112</v>
      </c>
      <c r="V2314" s="1">
        <v>46477</v>
      </c>
      <c r="W2314" t="s">
        <v>38</v>
      </c>
      <c r="X2314">
        <v>12</v>
      </c>
      <c r="Y2314" t="s">
        <v>49</v>
      </c>
      <c r="Z2314" t="s">
        <v>81</v>
      </c>
      <c r="AA2314" t="s">
        <v>112</v>
      </c>
      <c r="AB2314">
        <v>12</v>
      </c>
      <c r="AC2314" t="s">
        <v>83</v>
      </c>
      <c r="AD2314" t="s">
        <v>100</v>
      </c>
      <c r="AE2314" t="s">
        <v>46</v>
      </c>
      <c r="AF2314" t="s">
        <v>47</v>
      </c>
      <c r="AG2314" t="str">
        <f t="shared" si="39"/>
        <v>CC 12x</v>
      </c>
      <c r="AH2314" t="str">
        <f>IF(AND(SUMIF(E:E,E2314,I:I)&gt;=400000,Q2314="B2G"),"n","")</f>
        <v/>
      </c>
    </row>
    <row r="2315" spans="1:34">
      <c r="A2315">
        <v>2026</v>
      </c>
      <c r="B2315">
        <v>3</v>
      </c>
      <c r="C2315" s="83">
        <v>19435665302</v>
      </c>
      <c r="D2315" t="s">
        <v>2129</v>
      </c>
      <c r="E2315">
        <v>55626161929</v>
      </c>
      <c r="F2315">
        <v>531592</v>
      </c>
      <c r="G2315">
        <v>52811374627</v>
      </c>
      <c r="H2315" t="s">
        <v>35</v>
      </c>
      <c r="I2315" s="36">
        <v>7056.6</v>
      </c>
      <c r="J2315" s="36">
        <v>7056.6</v>
      </c>
      <c r="K2315" s="85">
        <v>0</v>
      </c>
      <c r="L2315" s="36">
        <v>588.04999999999995</v>
      </c>
      <c r="M2315" s="36">
        <v>0</v>
      </c>
      <c r="N2315" s="36">
        <v>24.90797938</v>
      </c>
      <c r="O2315" s="36">
        <v>563.14250000000004</v>
      </c>
      <c r="P2315" t="s">
        <v>1165</v>
      </c>
      <c r="Q2315" t="s">
        <v>79</v>
      </c>
      <c r="R2315" t="s">
        <v>80</v>
      </c>
      <c r="S2315" s="1">
        <v>46085</v>
      </c>
      <c r="T2315" s="1">
        <v>46085</v>
      </c>
      <c r="U2315" s="1">
        <v>46112</v>
      </c>
      <c r="V2315" s="1">
        <v>46477</v>
      </c>
      <c r="W2315" t="s">
        <v>38</v>
      </c>
      <c r="X2315">
        <v>12</v>
      </c>
      <c r="Y2315" t="s">
        <v>49</v>
      </c>
      <c r="Z2315" t="s">
        <v>81</v>
      </c>
      <c r="AA2315" t="s">
        <v>112</v>
      </c>
      <c r="AB2315">
        <v>12</v>
      </c>
      <c r="AC2315" t="s">
        <v>83</v>
      </c>
      <c r="AD2315" t="s">
        <v>73</v>
      </c>
      <c r="AE2315" t="s">
        <v>51</v>
      </c>
      <c r="AF2315" t="s">
        <v>47</v>
      </c>
      <c r="AG2315" t="str">
        <f t="shared" si="39"/>
        <v>CC 12x</v>
      </c>
      <c r="AH2315" t="str">
        <f>IF(AND(SUMIF(E:E,E2315,I:I)&gt;=400000,Q2315="B2G"),"n","")</f>
        <v/>
      </c>
    </row>
    <row r="2316" spans="1:34">
      <c r="A2316">
        <v>2026</v>
      </c>
      <c r="B2316">
        <v>3</v>
      </c>
      <c r="C2316" s="83">
        <v>19435665302</v>
      </c>
      <c r="D2316" t="s">
        <v>2129</v>
      </c>
      <c r="E2316">
        <v>55626161929</v>
      </c>
      <c r="F2316">
        <v>531592</v>
      </c>
      <c r="G2316">
        <v>52811374628</v>
      </c>
      <c r="H2316" t="s">
        <v>35</v>
      </c>
      <c r="I2316" s="36">
        <v>7056.6</v>
      </c>
      <c r="J2316" s="36">
        <v>7056.6</v>
      </c>
      <c r="K2316" s="85">
        <v>0</v>
      </c>
      <c r="L2316" s="36">
        <v>588.04999999999995</v>
      </c>
      <c r="M2316" s="36">
        <v>0</v>
      </c>
      <c r="N2316" s="36">
        <v>24.90797938</v>
      </c>
      <c r="O2316" s="36">
        <v>563.14250000000004</v>
      </c>
      <c r="P2316" t="s">
        <v>1165</v>
      </c>
      <c r="Q2316" t="s">
        <v>79</v>
      </c>
      <c r="R2316" t="s">
        <v>80</v>
      </c>
      <c r="S2316" s="1">
        <v>46085</v>
      </c>
      <c r="T2316" s="1">
        <v>46085</v>
      </c>
      <c r="U2316" s="1">
        <v>46112</v>
      </c>
      <c r="V2316" s="1">
        <v>46477</v>
      </c>
      <c r="W2316" t="s">
        <v>38</v>
      </c>
      <c r="X2316">
        <v>12</v>
      </c>
      <c r="Y2316" t="s">
        <v>49</v>
      </c>
      <c r="Z2316" t="s">
        <v>81</v>
      </c>
      <c r="AA2316" t="s">
        <v>112</v>
      </c>
      <c r="AB2316">
        <v>12</v>
      </c>
      <c r="AC2316" t="s">
        <v>83</v>
      </c>
      <c r="AD2316" t="s">
        <v>564</v>
      </c>
      <c r="AE2316" t="s">
        <v>257</v>
      </c>
      <c r="AF2316" t="s">
        <v>59</v>
      </c>
      <c r="AG2316" t="str">
        <f t="shared" si="39"/>
        <v>CC 12x</v>
      </c>
      <c r="AH2316" t="str">
        <f>IF(AND(SUMIF(E:E,E2316,I:I)&gt;=400000,Q2316="B2G"),"n","")</f>
        <v/>
      </c>
    </row>
    <row r="2317" spans="1:34">
      <c r="A2317">
        <v>2026</v>
      </c>
      <c r="B2317">
        <v>3</v>
      </c>
      <c r="C2317" s="83">
        <v>19435665302</v>
      </c>
      <c r="D2317" t="s">
        <v>2129</v>
      </c>
      <c r="E2317">
        <v>55626161929</v>
      </c>
      <c r="F2317">
        <v>531592</v>
      </c>
      <c r="G2317">
        <v>52811374629</v>
      </c>
      <c r="H2317" t="s">
        <v>35</v>
      </c>
      <c r="I2317" s="36">
        <v>7056.6</v>
      </c>
      <c r="J2317" s="36">
        <v>7056.6</v>
      </c>
      <c r="K2317" s="85">
        <v>0</v>
      </c>
      <c r="L2317" s="36">
        <v>588.04999999999995</v>
      </c>
      <c r="M2317" s="36">
        <v>0</v>
      </c>
      <c r="N2317" s="36">
        <v>24.90797938</v>
      </c>
      <c r="O2317" s="36">
        <v>563.14250000000004</v>
      </c>
      <c r="P2317" t="s">
        <v>1165</v>
      </c>
      <c r="Q2317" t="s">
        <v>79</v>
      </c>
      <c r="R2317" t="s">
        <v>80</v>
      </c>
      <c r="S2317" s="1">
        <v>46085</v>
      </c>
      <c r="T2317" s="1">
        <v>46085</v>
      </c>
      <c r="U2317" s="1">
        <v>46112</v>
      </c>
      <c r="V2317" s="1">
        <v>46477</v>
      </c>
      <c r="W2317" t="s">
        <v>38</v>
      </c>
      <c r="X2317">
        <v>12</v>
      </c>
      <c r="Y2317" t="s">
        <v>49</v>
      </c>
      <c r="Z2317" t="s">
        <v>81</v>
      </c>
      <c r="AA2317" t="s">
        <v>112</v>
      </c>
      <c r="AB2317">
        <v>12</v>
      </c>
      <c r="AC2317" t="s">
        <v>83</v>
      </c>
      <c r="AD2317" t="s">
        <v>70</v>
      </c>
      <c r="AE2317" t="s">
        <v>43</v>
      </c>
      <c r="AF2317" t="s">
        <v>47</v>
      </c>
      <c r="AG2317" t="str">
        <f t="shared" si="39"/>
        <v>CC 12x</v>
      </c>
      <c r="AH2317" t="str">
        <f>IF(AND(SUMIF(E:E,E2317,I:I)&gt;=400000,Q2317="B2G"),"n","")</f>
        <v/>
      </c>
    </row>
    <row r="2318" spans="1:34">
      <c r="A2318">
        <v>2026</v>
      </c>
      <c r="B2318">
        <v>3</v>
      </c>
      <c r="C2318" s="83">
        <v>19435672486</v>
      </c>
      <c r="D2318" t="s">
        <v>718</v>
      </c>
      <c r="E2318">
        <v>57655174541</v>
      </c>
      <c r="F2318">
        <v>636393</v>
      </c>
      <c r="G2318">
        <v>52915417436</v>
      </c>
      <c r="H2318" t="s">
        <v>35</v>
      </c>
      <c r="I2318" s="36">
        <v>4329.24</v>
      </c>
      <c r="J2318" s="36">
        <v>4329.24</v>
      </c>
      <c r="K2318" s="85">
        <v>0</v>
      </c>
      <c r="L2318" s="36">
        <v>360.77</v>
      </c>
      <c r="M2318" s="36">
        <v>0</v>
      </c>
      <c r="N2318" s="36">
        <v>360.77</v>
      </c>
      <c r="O2318" s="36">
        <v>0</v>
      </c>
      <c r="P2318" t="s">
        <v>804</v>
      </c>
      <c r="Q2318" t="s">
        <v>191</v>
      </c>
      <c r="R2318" t="s">
        <v>191</v>
      </c>
      <c r="S2318" s="1">
        <v>46087</v>
      </c>
      <c r="T2318" s="1">
        <v>46087</v>
      </c>
      <c r="U2318" s="1"/>
      <c r="V2318" s="1">
        <v>46452</v>
      </c>
      <c r="W2318" t="s">
        <v>38</v>
      </c>
      <c r="X2318">
        <v>12</v>
      </c>
      <c r="Y2318" t="s">
        <v>49</v>
      </c>
      <c r="AA2318" t="s">
        <v>112</v>
      </c>
      <c r="AB2318">
        <v>12</v>
      </c>
      <c r="AC2318" t="s">
        <v>192</v>
      </c>
      <c r="AD2318" t="s">
        <v>84</v>
      </c>
      <c r="AE2318" t="s">
        <v>43</v>
      </c>
      <c r="AF2318" t="s">
        <v>44</v>
      </c>
      <c r="AG2318" t="str">
        <f t="shared" si="39"/>
        <v>CC 12x</v>
      </c>
      <c r="AH2318" t="str">
        <f>IF(AND(SUMIF(E:E,E2318,I:I)&gt;=400000,Q2318="B2G"),"n","")</f>
        <v/>
      </c>
    </row>
    <row r="2319" spans="1:34">
      <c r="A2319">
        <v>2026</v>
      </c>
      <c r="B2319">
        <v>3</v>
      </c>
      <c r="C2319" s="83">
        <v>19435677978</v>
      </c>
      <c r="D2319" t="s">
        <v>2130</v>
      </c>
      <c r="E2319">
        <v>56092801448</v>
      </c>
      <c r="F2319">
        <v>529858</v>
      </c>
      <c r="G2319">
        <v>52811319314</v>
      </c>
      <c r="H2319" t="s">
        <v>35</v>
      </c>
      <c r="I2319" s="36">
        <v>6664.68</v>
      </c>
      <c r="J2319" s="36">
        <v>6664.68</v>
      </c>
      <c r="K2319" s="85">
        <v>0</v>
      </c>
      <c r="L2319" s="36">
        <v>555.39</v>
      </c>
      <c r="M2319" s="36">
        <v>0</v>
      </c>
      <c r="N2319" s="36">
        <v>89.813749999999999</v>
      </c>
      <c r="O2319" s="36">
        <v>465.58</v>
      </c>
      <c r="P2319" t="s">
        <v>110</v>
      </c>
      <c r="Q2319" t="s">
        <v>111</v>
      </c>
      <c r="R2319" t="s">
        <v>111</v>
      </c>
      <c r="S2319" s="1">
        <v>46090</v>
      </c>
      <c r="T2319" s="1">
        <v>46090</v>
      </c>
      <c r="U2319" s="1">
        <v>46109</v>
      </c>
      <c r="V2319" s="1">
        <v>46474</v>
      </c>
      <c r="W2319" t="s">
        <v>38</v>
      </c>
      <c r="X2319">
        <v>12</v>
      </c>
      <c r="Y2319" t="s">
        <v>49</v>
      </c>
      <c r="Z2319" t="s">
        <v>81</v>
      </c>
      <c r="AA2319" t="s">
        <v>112</v>
      </c>
      <c r="AB2319">
        <v>12</v>
      </c>
      <c r="AC2319" t="s">
        <v>113</v>
      </c>
      <c r="AD2319" t="s">
        <v>134</v>
      </c>
      <c r="AE2319" t="s">
        <v>135</v>
      </c>
      <c r="AF2319" t="s">
        <v>44</v>
      </c>
      <c r="AG2319" t="str">
        <f t="shared" si="39"/>
        <v>CC 12x</v>
      </c>
      <c r="AH2319" t="str">
        <f>IF(AND(SUMIF(E:E,E2319,I:I)&gt;=400000,Q2319="B2G"),"n","")</f>
        <v/>
      </c>
    </row>
    <row r="2320" spans="1:34">
      <c r="A2320">
        <v>2026</v>
      </c>
      <c r="B2320">
        <v>3</v>
      </c>
      <c r="C2320" s="83">
        <v>19435678023</v>
      </c>
      <c r="D2320" t="s">
        <v>2131</v>
      </c>
      <c r="E2320">
        <v>56919565697</v>
      </c>
      <c r="F2320">
        <v>608694</v>
      </c>
      <c r="G2320">
        <v>53172374655</v>
      </c>
      <c r="H2320" t="s">
        <v>35</v>
      </c>
      <c r="I2320" s="36">
        <v>5754</v>
      </c>
      <c r="J2320" s="36">
        <v>5754</v>
      </c>
      <c r="K2320" s="85">
        <v>0</v>
      </c>
      <c r="L2320" s="36">
        <v>479.5</v>
      </c>
      <c r="M2320" s="36">
        <v>0</v>
      </c>
      <c r="N2320" s="36">
        <v>26.5</v>
      </c>
      <c r="O2320" s="36">
        <v>453</v>
      </c>
      <c r="P2320" t="s">
        <v>162</v>
      </c>
      <c r="Q2320" t="s">
        <v>111</v>
      </c>
      <c r="R2320" t="s">
        <v>111</v>
      </c>
      <c r="S2320" s="1">
        <v>46093</v>
      </c>
      <c r="T2320" s="1">
        <v>46093</v>
      </c>
      <c r="U2320" s="1">
        <v>46081</v>
      </c>
      <c r="V2320" s="1">
        <v>46458</v>
      </c>
      <c r="W2320" t="s">
        <v>38</v>
      </c>
      <c r="X2320">
        <v>13</v>
      </c>
      <c r="Y2320" t="s">
        <v>49</v>
      </c>
      <c r="Z2320" t="s">
        <v>81</v>
      </c>
      <c r="AA2320" t="s">
        <v>122</v>
      </c>
      <c r="AB2320">
        <v>12</v>
      </c>
      <c r="AC2320" t="s">
        <v>113</v>
      </c>
      <c r="AD2320" t="s">
        <v>85</v>
      </c>
      <c r="AE2320" t="s">
        <v>46</v>
      </c>
      <c r="AF2320" t="s">
        <v>44</v>
      </c>
      <c r="AG2320" t="str">
        <f t="shared" si="39"/>
        <v>Recorrente</v>
      </c>
      <c r="AH2320" t="str">
        <f>IF(AND(SUMIF(E:E,E2320,I:I)&gt;=400000,Q2320="B2G"),"n","")</f>
        <v/>
      </c>
    </row>
    <row r="2321" spans="1:34">
      <c r="A2321">
        <v>2026</v>
      </c>
      <c r="B2321">
        <v>3</v>
      </c>
      <c r="C2321" s="83">
        <v>19435681439</v>
      </c>
      <c r="D2321" t="s">
        <v>2132</v>
      </c>
      <c r="E2321">
        <v>55851377840</v>
      </c>
      <c r="F2321">
        <v>530959</v>
      </c>
      <c r="G2321">
        <v>51133884416</v>
      </c>
      <c r="H2321" t="s">
        <v>35</v>
      </c>
      <c r="I2321" s="36">
        <v>4854.6000000000004</v>
      </c>
      <c r="J2321" s="36">
        <v>4854.6000000000004</v>
      </c>
      <c r="K2321" s="85">
        <v>0</v>
      </c>
      <c r="L2321" s="36">
        <v>404.55</v>
      </c>
      <c r="M2321" s="36">
        <v>0</v>
      </c>
      <c r="N2321" s="36">
        <v>82.775000000000006</v>
      </c>
      <c r="O2321" s="36">
        <v>321.77499999999998</v>
      </c>
      <c r="P2321" t="s">
        <v>165</v>
      </c>
      <c r="Q2321" t="s">
        <v>166</v>
      </c>
      <c r="R2321" t="s">
        <v>166</v>
      </c>
      <c r="S2321" s="1">
        <v>46107</v>
      </c>
      <c r="T2321" s="1">
        <v>46107</v>
      </c>
      <c r="U2321" s="1">
        <v>46108</v>
      </c>
      <c r="V2321" s="1">
        <v>46473</v>
      </c>
      <c r="W2321" t="s">
        <v>38</v>
      </c>
      <c r="X2321">
        <v>12</v>
      </c>
      <c r="Y2321" t="s">
        <v>49</v>
      </c>
      <c r="Z2321" t="s">
        <v>81</v>
      </c>
      <c r="AA2321" t="s">
        <v>122</v>
      </c>
      <c r="AB2321">
        <v>12</v>
      </c>
      <c r="AC2321" t="s">
        <v>166</v>
      </c>
      <c r="AD2321" t="s">
        <v>84</v>
      </c>
      <c r="AE2321" t="s">
        <v>43</v>
      </c>
      <c r="AF2321" t="s">
        <v>44</v>
      </c>
      <c r="AG2321" t="str">
        <f t="shared" si="39"/>
        <v>Recorrente</v>
      </c>
      <c r="AH2321" t="str">
        <f>IF(AND(SUMIF(E:E,E2321,I:I)&gt;=400000,Q2321="B2G"),"n","")</f>
        <v/>
      </c>
    </row>
    <row r="2322" spans="1:34">
      <c r="A2322">
        <v>2026</v>
      </c>
      <c r="B2322">
        <v>3</v>
      </c>
      <c r="C2322" s="83">
        <v>19435681439</v>
      </c>
      <c r="D2322" t="s">
        <v>2132</v>
      </c>
      <c r="E2322">
        <v>55851377840</v>
      </c>
      <c r="F2322">
        <v>530959</v>
      </c>
      <c r="G2322">
        <v>51139766938</v>
      </c>
      <c r="H2322" t="s">
        <v>35</v>
      </c>
      <c r="I2322" s="36">
        <v>4854.6000000000004</v>
      </c>
      <c r="J2322" s="36">
        <v>4854.6000000000004</v>
      </c>
      <c r="K2322" s="85">
        <v>0</v>
      </c>
      <c r="L2322" s="36">
        <v>404.55</v>
      </c>
      <c r="M2322" s="36">
        <v>0</v>
      </c>
      <c r="N2322" s="36">
        <v>82.775000000000006</v>
      </c>
      <c r="O2322" s="36">
        <v>321.77499999999998</v>
      </c>
      <c r="P2322" t="s">
        <v>165</v>
      </c>
      <c r="Q2322" t="s">
        <v>166</v>
      </c>
      <c r="R2322" t="s">
        <v>166</v>
      </c>
      <c r="S2322" s="1">
        <v>46107</v>
      </c>
      <c r="T2322" s="1">
        <v>46107</v>
      </c>
      <c r="U2322" s="1">
        <v>46108</v>
      </c>
      <c r="V2322" s="1">
        <v>46473</v>
      </c>
      <c r="W2322" t="s">
        <v>38</v>
      </c>
      <c r="X2322">
        <v>12</v>
      </c>
      <c r="Y2322" t="s">
        <v>49</v>
      </c>
      <c r="Z2322" t="s">
        <v>81</v>
      </c>
      <c r="AA2322" t="s">
        <v>122</v>
      </c>
      <c r="AB2322">
        <v>12</v>
      </c>
      <c r="AC2322" t="s">
        <v>166</v>
      </c>
      <c r="AD2322" t="s">
        <v>85</v>
      </c>
      <c r="AE2322" t="s">
        <v>46</v>
      </c>
      <c r="AF2322" t="s">
        <v>44</v>
      </c>
      <c r="AG2322" t="str">
        <f t="shared" si="39"/>
        <v>Recorrente</v>
      </c>
      <c r="AH2322" t="str">
        <f>IF(AND(SUMIF(E:E,E2322,I:I)&gt;=400000,Q2322="B2G"),"n","")</f>
        <v/>
      </c>
    </row>
    <row r="2323" spans="1:34">
      <c r="A2323">
        <v>2026</v>
      </c>
      <c r="B2323">
        <v>3</v>
      </c>
      <c r="C2323" s="83">
        <v>19435681451</v>
      </c>
      <c r="D2323" t="s">
        <v>2133</v>
      </c>
      <c r="E2323">
        <v>57858327369</v>
      </c>
      <c r="F2323">
        <v>528289</v>
      </c>
      <c r="G2323">
        <v>53206180107</v>
      </c>
      <c r="H2323" t="s">
        <v>35</v>
      </c>
      <c r="I2323" s="36">
        <v>4130.04</v>
      </c>
      <c r="J2323" s="36">
        <v>4130.04</v>
      </c>
      <c r="K2323" s="85">
        <v>0</v>
      </c>
      <c r="L2323" s="36">
        <v>344.17</v>
      </c>
      <c r="M2323" s="36">
        <v>0</v>
      </c>
      <c r="N2323" s="36">
        <v>29.805</v>
      </c>
      <c r="O2323" s="36">
        <v>314.37</v>
      </c>
      <c r="P2323" t="s">
        <v>133</v>
      </c>
      <c r="Q2323" t="s">
        <v>111</v>
      </c>
      <c r="R2323" t="s">
        <v>111</v>
      </c>
      <c r="S2323" s="1">
        <v>46093</v>
      </c>
      <c r="T2323" s="1">
        <v>46093</v>
      </c>
      <c r="U2323" s="1">
        <v>46105</v>
      </c>
      <c r="V2323" s="1">
        <v>46470</v>
      </c>
      <c r="W2323" t="s">
        <v>38</v>
      </c>
      <c r="X2323">
        <v>12</v>
      </c>
      <c r="Y2323" t="s">
        <v>49</v>
      </c>
      <c r="Z2323" t="s">
        <v>81</v>
      </c>
      <c r="AA2323" t="s">
        <v>112</v>
      </c>
      <c r="AB2323">
        <v>12</v>
      </c>
      <c r="AC2323" t="s">
        <v>113</v>
      </c>
      <c r="AD2323" t="s">
        <v>158</v>
      </c>
      <c r="AE2323" t="s">
        <v>43</v>
      </c>
      <c r="AF2323" t="s">
        <v>47</v>
      </c>
      <c r="AG2323" t="str">
        <f t="shared" si="39"/>
        <v>CC 12x</v>
      </c>
      <c r="AH2323" t="str">
        <f>IF(AND(SUMIF(E:E,E2323,I:I)&gt;=400000,Q2323="B2G"),"n","")</f>
        <v/>
      </c>
    </row>
    <row r="2324" spans="1:34">
      <c r="A2324">
        <v>2026</v>
      </c>
      <c r="B2324">
        <v>3</v>
      </c>
      <c r="C2324" s="83">
        <v>19435681548</v>
      </c>
      <c r="D2324" t="s">
        <v>2134</v>
      </c>
      <c r="E2324">
        <v>57790402462</v>
      </c>
      <c r="F2324">
        <v>636413</v>
      </c>
      <c r="G2324">
        <v>53072569674</v>
      </c>
      <c r="H2324" t="s">
        <v>35</v>
      </c>
      <c r="I2324" s="36">
        <v>16837.2</v>
      </c>
      <c r="J2324" s="36">
        <v>1324.2</v>
      </c>
      <c r="K2324" s="85">
        <v>15513</v>
      </c>
      <c r="L2324" s="36">
        <v>110.35</v>
      </c>
      <c r="M2324" s="36">
        <v>0</v>
      </c>
      <c r="N2324" s="36">
        <v>110.35</v>
      </c>
      <c r="O2324" s="36">
        <v>0</v>
      </c>
      <c r="P2324" t="s">
        <v>367</v>
      </c>
      <c r="Q2324" t="s">
        <v>191</v>
      </c>
      <c r="R2324" t="s">
        <v>191</v>
      </c>
      <c r="S2324" s="1">
        <v>46090</v>
      </c>
      <c r="T2324" s="1">
        <v>46090</v>
      </c>
      <c r="V2324" s="1">
        <v>46821</v>
      </c>
      <c r="W2324" t="s">
        <v>56</v>
      </c>
      <c r="Y2324" t="s">
        <v>49</v>
      </c>
      <c r="AA2324" t="s">
        <v>122</v>
      </c>
      <c r="AB2324">
        <v>24</v>
      </c>
      <c r="AC2324" t="s">
        <v>192</v>
      </c>
      <c r="AD2324" t="s">
        <v>134</v>
      </c>
      <c r="AE2324" t="s">
        <v>135</v>
      </c>
      <c r="AF2324" t="s">
        <v>44</v>
      </c>
      <c r="AG2324" t="str">
        <f t="shared" si="39"/>
        <v>Recorrente</v>
      </c>
      <c r="AH2324" t="str">
        <f>IF(AND(SUMIF(E:E,E2324,I:I)&gt;=400000,Q2324="B2G"),"n","")</f>
        <v/>
      </c>
    </row>
    <row r="2325" spans="1:34">
      <c r="A2325">
        <v>2026</v>
      </c>
      <c r="B2325">
        <v>3</v>
      </c>
      <c r="C2325" s="83">
        <v>19435696766</v>
      </c>
      <c r="D2325" t="s">
        <v>2135</v>
      </c>
      <c r="E2325">
        <v>58295145770</v>
      </c>
      <c r="F2325">
        <v>636710</v>
      </c>
      <c r="G2325">
        <v>53531053924</v>
      </c>
      <c r="H2325" t="s">
        <v>35</v>
      </c>
      <c r="I2325" s="36">
        <v>21744</v>
      </c>
      <c r="J2325" s="36">
        <v>21744</v>
      </c>
      <c r="K2325" s="85">
        <v>0</v>
      </c>
      <c r="L2325" s="36">
        <v>1812</v>
      </c>
      <c r="M2325" s="36">
        <v>1812</v>
      </c>
      <c r="N2325" s="36">
        <v>0</v>
      </c>
      <c r="O2325" s="36">
        <v>0</v>
      </c>
      <c r="P2325" t="s">
        <v>2068</v>
      </c>
      <c r="Q2325" t="s">
        <v>37</v>
      </c>
      <c r="R2325" t="s">
        <v>37</v>
      </c>
      <c r="S2325" s="1">
        <v>46107</v>
      </c>
      <c r="T2325" s="1">
        <v>46107</v>
      </c>
      <c r="U2325" s="1"/>
      <c r="V2325" s="1">
        <v>46494</v>
      </c>
      <c r="W2325" t="s">
        <v>38</v>
      </c>
      <c r="X2325">
        <v>13</v>
      </c>
      <c r="Y2325" t="s">
        <v>49</v>
      </c>
      <c r="AA2325" t="s">
        <v>40</v>
      </c>
      <c r="AB2325">
        <v>1</v>
      </c>
      <c r="AC2325" t="s">
        <v>41</v>
      </c>
      <c r="AD2325" t="s">
        <v>54</v>
      </c>
      <c r="AE2325" t="s">
        <v>46</v>
      </c>
      <c r="AF2325" t="s">
        <v>44</v>
      </c>
      <c r="AG2325" t="str">
        <f t="shared" si="39"/>
        <v>À Vista</v>
      </c>
      <c r="AH2325" t="str">
        <f>IF(AND(SUMIF(E:E,E2325,I:I)&gt;=400000,Q2325="B2G"),"n","")</f>
        <v/>
      </c>
    </row>
    <row r="2326" spans="1:34">
      <c r="A2326">
        <v>2026</v>
      </c>
      <c r="B2326">
        <v>3</v>
      </c>
      <c r="C2326" s="83">
        <v>19435696766</v>
      </c>
      <c r="D2326" t="s">
        <v>2135</v>
      </c>
      <c r="E2326">
        <v>58295145770</v>
      </c>
      <c r="F2326">
        <v>636710</v>
      </c>
      <c r="G2326">
        <v>53531053925</v>
      </c>
      <c r="H2326" t="s">
        <v>35</v>
      </c>
      <c r="I2326" s="36">
        <v>18576</v>
      </c>
      <c r="J2326" s="36">
        <v>18576</v>
      </c>
      <c r="K2326" s="85">
        <v>0</v>
      </c>
      <c r="L2326" s="36">
        <v>1548</v>
      </c>
      <c r="M2326" s="36">
        <v>1548</v>
      </c>
      <c r="N2326" s="36">
        <v>0</v>
      </c>
      <c r="O2326" s="36">
        <v>0</v>
      </c>
      <c r="P2326" t="s">
        <v>2068</v>
      </c>
      <c r="Q2326" t="s">
        <v>37</v>
      </c>
      <c r="R2326" t="s">
        <v>37</v>
      </c>
      <c r="S2326" s="1">
        <v>46107</v>
      </c>
      <c r="T2326" s="1">
        <v>46107</v>
      </c>
      <c r="U2326" s="1"/>
      <c r="V2326" s="1">
        <v>46494</v>
      </c>
      <c r="W2326" t="s">
        <v>38</v>
      </c>
      <c r="X2326">
        <v>13</v>
      </c>
      <c r="Y2326" t="s">
        <v>49</v>
      </c>
      <c r="AA2326" t="s">
        <v>40</v>
      </c>
      <c r="AB2326">
        <v>1</v>
      </c>
      <c r="AC2326" t="s">
        <v>41</v>
      </c>
      <c r="AD2326" t="s">
        <v>53</v>
      </c>
      <c r="AE2326" t="s">
        <v>43</v>
      </c>
      <c r="AF2326" t="s">
        <v>44</v>
      </c>
      <c r="AG2326" t="str">
        <f t="shared" si="39"/>
        <v>À Vista</v>
      </c>
      <c r="AH2326" t="str">
        <f>IF(AND(SUMIF(E:E,E2326,I:I)&gt;=400000,Q2326="B2G"),"n","")</f>
        <v/>
      </c>
    </row>
    <row r="2327" spans="1:34">
      <c r="A2327">
        <v>2026</v>
      </c>
      <c r="B2327">
        <v>3</v>
      </c>
      <c r="C2327" s="83">
        <v>19435700092</v>
      </c>
      <c r="D2327" t="s">
        <v>2136</v>
      </c>
      <c r="E2327">
        <v>58011614862</v>
      </c>
      <c r="F2327">
        <v>309632</v>
      </c>
      <c r="G2327">
        <v>53409052699</v>
      </c>
      <c r="H2327" t="s">
        <v>35</v>
      </c>
      <c r="I2327" s="36">
        <v>4962.6000000000004</v>
      </c>
      <c r="J2327" s="36">
        <v>4962.6000000000004</v>
      </c>
      <c r="K2327" s="85">
        <v>0</v>
      </c>
      <c r="L2327" s="36">
        <v>413.55</v>
      </c>
      <c r="M2327" s="36">
        <v>0</v>
      </c>
      <c r="N2327" s="36">
        <v>26.55</v>
      </c>
      <c r="O2327" s="36">
        <v>387</v>
      </c>
      <c r="P2327" t="s">
        <v>121</v>
      </c>
      <c r="Q2327" t="s">
        <v>111</v>
      </c>
      <c r="R2327" t="s">
        <v>111</v>
      </c>
      <c r="S2327" s="1">
        <v>46101</v>
      </c>
      <c r="T2327" s="1">
        <v>46101</v>
      </c>
      <c r="U2327" s="1">
        <v>46096</v>
      </c>
      <c r="V2327" s="1">
        <v>46466</v>
      </c>
      <c r="W2327" t="s">
        <v>38</v>
      </c>
      <c r="X2327">
        <v>12</v>
      </c>
      <c r="Y2327" t="s">
        <v>49</v>
      </c>
      <c r="Z2327" t="s">
        <v>81</v>
      </c>
      <c r="AA2327" t="s">
        <v>112</v>
      </c>
      <c r="AB2327">
        <v>12</v>
      </c>
      <c r="AC2327" t="s">
        <v>113</v>
      </c>
      <c r="AD2327" t="s">
        <v>138</v>
      </c>
      <c r="AE2327" t="s">
        <v>135</v>
      </c>
      <c r="AF2327" t="s">
        <v>119</v>
      </c>
      <c r="AG2327" t="str">
        <f t="shared" si="39"/>
        <v>CC 12x</v>
      </c>
      <c r="AH2327" t="str">
        <f>IF(AND(SUMIF(E:E,E2327,I:I)&gt;=400000,Q2327="B2G"),"n","")</f>
        <v/>
      </c>
    </row>
    <row r="2328" spans="1:34">
      <c r="A2328">
        <v>2026</v>
      </c>
      <c r="B2328">
        <v>3</v>
      </c>
      <c r="C2328" s="83">
        <v>19435709268</v>
      </c>
      <c r="D2328" t="s">
        <v>2137</v>
      </c>
      <c r="E2328">
        <v>55822404230</v>
      </c>
      <c r="F2328">
        <v>627938</v>
      </c>
      <c r="G2328">
        <v>51163728777</v>
      </c>
      <c r="H2328" t="s">
        <v>35</v>
      </c>
      <c r="I2328" s="36">
        <v>2874</v>
      </c>
      <c r="J2328" s="36">
        <v>2874</v>
      </c>
      <c r="K2328" s="85">
        <v>0</v>
      </c>
      <c r="L2328" s="36">
        <v>239.5</v>
      </c>
      <c r="M2328" s="36">
        <v>0</v>
      </c>
      <c r="N2328" s="36">
        <v>36.35</v>
      </c>
      <c r="O2328" s="36">
        <v>203.15</v>
      </c>
      <c r="P2328" t="s">
        <v>165</v>
      </c>
      <c r="Q2328" t="s">
        <v>166</v>
      </c>
      <c r="R2328" t="s">
        <v>166</v>
      </c>
      <c r="S2328" s="1">
        <v>46107</v>
      </c>
      <c r="T2328" s="1">
        <v>46107</v>
      </c>
      <c r="U2328" s="1">
        <v>46108</v>
      </c>
      <c r="V2328" s="1">
        <v>46473</v>
      </c>
      <c r="W2328" t="s">
        <v>38</v>
      </c>
      <c r="X2328">
        <v>12</v>
      </c>
      <c r="Y2328" t="s">
        <v>49</v>
      </c>
      <c r="Z2328" t="s">
        <v>81</v>
      </c>
      <c r="AA2328" t="s">
        <v>112</v>
      </c>
      <c r="AB2328">
        <v>12</v>
      </c>
      <c r="AC2328" t="s">
        <v>166</v>
      </c>
      <c r="AD2328" t="s">
        <v>140</v>
      </c>
      <c r="AE2328" t="s">
        <v>46</v>
      </c>
      <c r="AF2328" t="s">
        <v>119</v>
      </c>
      <c r="AG2328" t="str">
        <f t="shared" si="39"/>
        <v>CC 12x</v>
      </c>
      <c r="AH2328" t="str">
        <f>IF(AND(SUMIF(E:E,E2328,I:I)&gt;=400000,Q2328="B2G"),"n","")</f>
        <v/>
      </c>
    </row>
    <row r="2329" spans="1:34">
      <c r="A2329">
        <v>2026</v>
      </c>
      <c r="B2329">
        <v>3</v>
      </c>
      <c r="C2329" s="83">
        <v>19435709321</v>
      </c>
      <c r="D2329" t="s">
        <v>2138</v>
      </c>
      <c r="E2329">
        <v>54441479491</v>
      </c>
      <c r="F2329">
        <v>529271</v>
      </c>
      <c r="G2329">
        <v>49825065492</v>
      </c>
      <c r="H2329" t="s">
        <v>35</v>
      </c>
      <c r="I2329" s="36">
        <v>5754</v>
      </c>
      <c r="J2329" s="36">
        <v>5754</v>
      </c>
      <c r="K2329" s="85">
        <v>0</v>
      </c>
      <c r="L2329" s="36">
        <v>479.5</v>
      </c>
      <c r="M2329" s="36">
        <v>0</v>
      </c>
      <c r="N2329" s="36">
        <v>26.5</v>
      </c>
      <c r="O2329" s="36">
        <v>453</v>
      </c>
      <c r="P2329" t="s">
        <v>165</v>
      </c>
      <c r="Q2329" t="s">
        <v>166</v>
      </c>
      <c r="R2329" t="s">
        <v>166</v>
      </c>
      <c r="S2329" s="1">
        <v>46091</v>
      </c>
      <c r="T2329" s="1">
        <v>46091</v>
      </c>
      <c r="U2329" s="1">
        <v>46091</v>
      </c>
      <c r="V2329" s="1">
        <v>46456</v>
      </c>
      <c r="W2329" t="s">
        <v>38</v>
      </c>
      <c r="X2329">
        <v>12</v>
      </c>
      <c r="Y2329" t="s">
        <v>49</v>
      </c>
      <c r="Z2329" t="s">
        <v>81</v>
      </c>
      <c r="AA2329" t="s">
        <v>112</v>
      </c>
      <c r="AB2329">
        <v>12</v>
      </c>
      <c r="AC2329" t="s">
        <v>166</v>
      </c>
      <c r="AD2329" t="s">
        <v>85</v>
      </c>
      <c r="AE2329" t="s">
        <v>46</v>
      </c>
      <c r="AF2329" t="s">
        <v>44</v>
      </c>
      <c r="AG2329" t="str">
        <f t="shared" si="39"/>
        <v>CC 12x</v>
      </c>
      <c r="AH2329" t="str">
        <f>IF(AND(SUMIF(E:E,E2329,I:I)&gt;=400000,Q2329="B2G"),"n","")</f>
        <v/>
      </c>
    </row>
    <row r="2330" spans="1:34">
      <c r="A2330">
        <v>2026</v>
      </c>
      <c r="B2330">
        <v>3</v>
      </c>
      <c r="C2330" s="83">
        <v>19435714737</v>
      </c>
      <c r="D2330" t="s">
        <v>2139</v>
      </c>
      <c r="E2330">
        <v>58519396002</v>
      </c>
      <c r="F2330">
        <v>636819</v>
      </c>
      <c r="G2330">
        <v>53808758545</v>
      </c>
      <c r="H2330" t="s">
        <v>35</v>
      </c>
      <c r="I2330" s="36">
        <v>5400.84</v>
      </c>
      <c r="J2330" s="36">
        <v>5400.9</v>
      </c>
      <c r="K2330" s="85">
        <v>0</v>
      </c>
      <c r="L2330" s="36">
        <v>450.07499999999999</v>
      </c>
      <c r="M2330" s="36">
        <v>450.07499999999999</v>
      </c>
      <c r="N2330" s="36">
        <v>0</v>
      </c>
      <c r="O2330" s="36">
        <v>0</v>
      </c>
      <c r="P2330" t="s">
        <v>1073</v>
      </c>
      <c r="Q2330" t="s">
        <v>314</v>
      </c>
      <c r="R2330" t="s">
        <v>314</v>
      </c>
      <c r="S2330" s="1">
        <v>46112</v>
      </c>
      <c r="T2330" s="1">
        <v>46112</v>
      </c>
      <c r="U2330" s="1"/>
      <c r="V2330" s="1">
        <v>46477</v>
      </c>
      <c r="W2330" t="s">
        <v>38</v>
      </c>
      <c r="X2330">
        <v>12</v>
      </c>
      <c r="Y2330" t="s">
        <v>49</v>
      </c>
      <c r="AA2330" t="s">
        <v>122</v>
      </c>
      <c r="AB2330">
        <v>12</v>
      </c>
      <c r="AC2330" t="s">
        <v>315</v>
      </c>
      <c r="AD2330" t="s">
        <v>174</v>
      </c>
      <c r="AE2330" t="s">
        <v>43</v>
      </c>
      <c r="AF2330" t="s">
        <v>47</v>
      </c>
      <c r="AG2330" t="str">
        <f t="shared" si="39"/>
        <v>Recorrente</v>
      </c>
      <c r="AH2330" t="str">
        <f>IF(AND(SUMIF(E:E,E2330,I:I)&gt;=400000,Q2330="B2G"),"n","")</f>
        <v/>
      </c>
    </row>
    <row r="2331" spans="1:34">
      <c r="A2331">
        <v>2026</v>
      </c>
      <c r="B2331">
        <v>3</v>
      </c>
      <c r="C2331" s="83">
        <v>19435721771</v>
      </c>
      <c r="D2331" t="s">
        <v>2140</v>
      </c>
      <c r="E2331">
        <v>56486131536</v>
      </c>
      <c r="F2331">
        <v>627428</v>
      </c>
      <c r="G2331">
        <v>51751592047</v>
      </c>
      <c r="H2331" t="s">
        <v>35</v>
      </c>
      <c r="I2331" s="36">
        <v>9354</v>
      </c>
      <c r="J2331" s="36">
        <v>9354</v>
      </c>
      <c r="K2331" s="85">
        <v>0</v>
      </c>
      <c r="L2331" s="36">
        <v>779.5</v>
      </c>
      <c r="M2331" s="36">
        <v>0</v>
      </c>
      <c r="N2331" s="36">
        <v>40.5</v>
      </c>
      <c r="O2331" s="36">
        <v>739</v>
      </c>
      <c r="P2331" t="s">
        <v>165</v>
      </c>
      <c r="Q2331" t="s">
        <v>166</v>
      </c>
      <c r="R2331" t="s">
        <v>166</v>
      </c>
      <c r="S2331" s="1">
        <v>46098</v>
      </c>
      <c r="T2331" s="1">
        <v>46098</v>
      </c>
      <c r="U2331" s="1">
        <v>46098</v>
      </c>
      <c r="V2331" s="1">
        <v>46463</v>
      </c>
      <c r="W2331" t="s">
        <v>38</v>
      </c>
      <c r="X2331">
        <v>12</v>
      </c>
      <c r="Y2331" t="s">
        <v>49</v>
      </c>
      <c r="Z2331" t="s">
        <v>81</v>
      </c>
      <c r="AA2331" t="s">
        <v>112</v>
      </c>
      <c r="AB2331">
        <v>12</v>
      </c>
      <c r="AC2331" t="s">
        <v>166</v>
      </c>
      <c r="AD2331" t="s">
        <v>134</v>
      </c>
      <c r="AE2331" t="s">
        <v>135</v>
      </c>
      <c r="AF2331" t="s">
        <v>44</v>
      </c>
      <c r="AG2331" t="str">
        <f t="shared" si="39"/>
        <v>CC 12x</v>
      </c>
      <c r="AH2331" t="str">
        <f>IF(AND(SUMIF(E:E,E2331,I:I)&gt;=400000,Q2331="B2G"),"n","")</f>
        <v/>
      </c>
    </row>
    <row r="2332" spans="1:34">
      <c r="A2332">
        <v>2026</v>
      </c>
      <c r="B2332">
        <v>3</v>
      </c>
      <c r="C2332" s="83">
        <v>19435726676</v>
      </c>
      <c r="D2332" t="s">
        <v>2141</v>
      </c>
      <c r="E2332">
        <v>57954021123</v>
      </c>
      <c r="F2332">
        <v>530784</v>
      </c>
      <c r="G2332">
        <v>53170362938</v>
      </c>
      <c r="H2332" t="s">
        <v>35</v>
      </c>
      <c r="I2332" s="36">
        <v>6758.4</v>
      </c>
      <c r="J2332" s="36">
        <v>6758.4</v>
      </c>
      <c r="K2332" s="85">
        <v>0</v>
      </c>
      <c r="L2332" s="36">
        <v>563.20000000000005</v>
      </c>
      <c r="M2332" s="36">
        <v>0</v>
      </c>
      <c r="N2332" s="36">
        <v>0</v>
      </c>
      <c r="O2332" s="36">
        <v>563.19654500000001</v>
      </c>
      <c r="P2332" t="s">
        <v>116</v>
      </c>
      <c r="Q2332" t="s">
        <v>111</v>
      </c>
      <c r="R2332" t="s">
        <v>111</v>
      </c>
      <c r="S2332" s="1">
        <v>46093</v>
      </c>
      <c r="T2332" s="1">
        <v>46093</v>
      </c>
      <c r="U2332" s="1">
        <v>46105</v>
      </c>
      <c r="V2332" s="1">
        <v>46470</v>
      </c>
      <c r="W2332" t="s">
        <v>38</v>
      </c>
      <c r="X2332">
        <v>12</v>
      </c>
      <c r="Y2332" t="s">
        <v>49</v>
      </c>
      <c r="Z2332" t="s">
        <v>81</v>
      </c>
      <c r="AA2332" t="s">
        <v>117</v>
      </c>
      <c r="AB2332">
        <v>1</v>
      </c>
      <c r="AC2332" t="s">
        <v>113</v>
      </c>
      <c r="AD2332" t="s">
        <v>134</v>
      </c>
      <c r="AE2332" t="s">
        <v>135</v>
      </c>
      <c r="AF2332" t="s">
        <v>44</v>
      </c>
      <c r="AG2332" t="str">
        <f t="shared" si="39"/>
        <v>À Vista</v>
      </c>
      <c r="AH2332" t="str">
        <f>IF(AND(SUMIF(E:E,E2332,I:I)&gt;=400000,Q2332="B2G"),"n","")</f>
        <v/>
      </c>
    </row>
    <row r="2333" spans="1:34">
      <c r="A2333">
        <v>2026</v>
      </c>
      <c r="B2333">
        <v>3</v>
      </c>
      <c r="C2333" s="83">
        <v>19435726678</v>
      </c>
      <c r="D2333" t="s">
        <v>2142</v>
      </c>
      <c r="E2333">
        <v>50797799704</v>
      </c>
      <c r="F2333">
        <v>636820</v>
      </c>
      <c r="G2333">
        <v>53808900481</v>
      </c>
      <c r="H2333" t="s">
        <v>35</v>
      </c>
      <c r="I2333" s="36">
        <v>119849.4</v>
      </c>
      <c r="J2333" s="36">
        <v>39949.800000000003</v>
      </c>
      <c r="K2333" s="85">
        <v>79899.600000000006</v>
      </c>
      <c r="L2333" s="36">
        <v>3329.15</v>
      </c>
      <c r="M2333" s="36">
        <v>3329.15</v>
      </c>
      <c r="N2333" s="36">
        <v>0</v>
      </c>
      <c r="O2333" s="36">
        <v>0</v>
      </c>
      <c r="P2333" t="s">
        <v>66</v>
      </c>
      <c r="Q2333" t="s">
        <v>37</v>
      </c>
      <c r="R2333" t="s">
        <v>37</v>
      </c>
      <c r="S2333" s="1">
        <v>46112</v>
      </c>
      <c r="T2333" s="1">
        <v>46112</v>
      </c>
      <c r="U2333" s="1"/>
      <c r="V2333" s="1">
        <v>47208</v>
      </c>
      <c r="W2333" t="s">
        <v>102</v>
      </c>
      <c r="X2333">
        <v>36</v>
      </c>
      <c r="Y2333" t="s">
        <v>49</v>
      </c>
      <c r="AA2333" t="s">
        <v>40</v>
      </c>
      <c r="AB2333">
        <v>1</v>
      </c>
      <c r="AC2333" t="s">
        <v>41</v>
      </c>
      <c r="AD2333" t="s">
        <v>50</v>
      </c>
      <c r="AE2333" t="s">
        <v>51</v>
      </c>
      <c r="AF2333" t="s">
        <v>44</v>
      </c>
      <c r="AG2333" t="str">
        <f t="shared" si="39"/>
        <v>À Vista</v>
      </c>
      <c r="AH2333" t="str">
        <f>IF(AND(SUMIF(E:E,E2333,I:I)&gt;=400000,Q2333="B2G"),"n","")</f>
        <v/>
      </c>
    </row>
    <row r="2334" spans="1:34">
      <c r="A2334">
        <v>2026</v>
      </c>
      <c r="B2334">
        <v>3</v>
      </c>
      <c r="C2334" s="83">
        <v>19435726691</v>
      </c>
      <c r="D2334" t="s">
        <v>2143</v>
      </c>
      <c r="E2334">
        <v>57946980362</v>
      </c>
      <c r="F2334">
        <v>618827</v>
      </c>
      <c r="G2334">
        <v>53208706425</v>
      </c>
      <c r="H2334" t="s">
        <v>35</v>
      </c>
      <c r="I2334" s="36">
        <v>3913.56</v>
      </c>
      <c r="J2334" s="36">
        <v>2882.04</v>
      </c>
      <c r="K2334" s="85">
        <v>1031.52</v>
      </c>
      <c r="L2334" s="36">
        <v>240.17</v>
      </c>
      <c r="M2334" s="36">
        <v>0</v>
      </c>
      <c r="N2334" s="36">
        <v>240.17</v>
      </c>
      <c r="O2334" s="36">
        <v>0</v>
      </c>
      <c r="P2334" t="s">
        <v>804</v>
      </c>
      <c r="Q2334" t="s">
        <v>191</v>
      </c>
      <c r="R2334" t="s">
        <v>191</v>
      </c>
      <c r="S2334" s="1">
        <v>46094</v>
      </c>
      <c r="T2334" s="1">
        <v>46094</v>
      </c>
      <c r="U2334" s="1">
        <v>46590</v>
      </c>
      <c r="V2334" s="1">
        <v>46590</v>
      </c>
      <c r="W2334" t="s">
        <v>102</v>
      </c>
      <c r="X2334">
        <v>16</v>
      </c>
      <c r="Y2334" t="s">
        <v>49</v>
      </c>
      <c r="Z2334" t="s">
        <v>324</v>
      </c>
      <c r="AA2334" t="s">
        <v>122</v>
      </c>
      <c r="AB2334">
        <v>16</v>
      </c>
      <c r="AC2334" t="s">
        <v>192</v>
      </c>
      <c r="AD2334" t="s">
        <v>85</v>
      </c>
      <c r="AE2334" t="s">
        <v>46</v>
      </c>
      <c r="AF2334" t="s">
        <v>44</v>
      </c>
      <c r="AG2334" t="str">
        <f t="shared" si="39"/>
        <v>Recorrente</v>
      </c>
      <c r="AH2334" t="str">
        <f>IF(AND(SUMIF(E:E,E2334,I:I)&gt;=400000,Q2334="B2G"),"n","")</f>
        <v/>
      </c>
    </row>
    <row r="2335" spans="1:34">
      <c r="A2335">
        <v>2026</v>
      </c>
      <c r="B2335">
        <v>3</v>
      </c>
      <c r="C2335" s="83">
        <v>194456791609</v>
      </c>
      <c r="D2335" t="s">
        <v>2144</v>
      </c>
      <c r="E2335">
        <v>55821630871</v>
      </c>
      <c r="F2335">
        <v>627948</v>
      </c>
      <c r="G2335">
        <v>51120186738</v>
      </c>
      <c r="H2335" t="s">
        <v>35</v>
      </c>
      <c r="I2335" s="36">
        <v>2874</v>
      </c>
      <c r="J2335" s="36">
        <v>2874</v>
      </c>
      <c r="K2335" s="85">
        <v>0</v>
      </c>
      <c r="L2335" s="36">
        <v>239.5</v>
      </c>
      <c r="M2335" s="36">
        <v>0</v>
      </c>
      <c r="N2335" s="36">
        <v>42.45</v>
      </c>
      <c r="O2335" s="36">
        <v>197.05</v>
      </c>
      <c r="P2335" t="s">
        <v>165</v>
      </c>
      <c r="Q2335" t="s">
        <v>166</v>
      </c>
      <c r="R2335" t="s">
        <v>166</v>
      </c>
      <c r="S2335" s="1">
        <v>46107</v>
      </c>
      <c r="T2335" s="1">
        <v>46107</v>
      </c>
      <c r="U2335" s="1">
        <v>46108</v>
      </c>
      <c r="V2335" s="1">
        <v>46473</v>
      </c>
      <c r="W2335" t="s">
        <v>38</v>
      </c>
      <c r="X2335">
        <v>12</v>
      </c>
      <c r="Y2335" t="s">
        <v>49</v>
      </c>
      <c r="Z2335" t="s">
        <v>81</v>
      </c>
      <c r="AA2335" t="s">
        <v>112</v>
      </c>
      <c r="AB2335">
        <v>12</v>
      </c>
      <c r="AC2335" t="s">
        <v>166</v>
      </c>
      <c r="AD2335" t="s">
        <v>118</v>
      </c>
      <c r="AE2335" t="s">
        <v>43</v>
      </c>
      <c r="AF2335" t="s">
        <v>119</v>
      </c>
      <c r="AG2335" t="str">
        <f t="shared" si="39"/>
        <v>CC 12x</v>
      </c>
      <c r="AH2335" t="str">
        <f>IF(AND(SUMIF(E:E,E2335,I:I)&gt;=400000,Q2335="B2G"),"n","")</f>
        <v/>
      </c>
    </row>
    <row r="2336" spans="1:34">
      <c r="A2336">
        <v>2026</v>
      </c>
      <c r="B2336">
        <v>3</v>
      </c>
      <c r="C2336" s="83">
        <v>19485507251</v>
      </c>
      <c r="D2336" t="s">
        <v>2145</v>
      </c>
      <c r="E2336">
        <v>57566358290</v>
      </c>
      <c r="F2336">
        <v>627804</v>
      </c>
      <c r="G2336">
        <v>52811526060</v>
      </c>
      <c r="H2336" t="s">
        <v>35</v>
      </c>
      <c r="I2336" s="36">
        <v>5466.24</v>
      </c>
      <c r="J2336" s="36">
        <v>5466.24</v>
      </c>
      <c r="K2336" s="85">
        <v>0</v>
      </c>
      <c r="L2336" s="36">
        <v>455.52</v>
      </c>
      <c r="M2336" s="36">
        <v>0</v>
      </c>
      <c r="N2336" s="36">
        <v>25.175000000000001</v>
      </c>
      <c r="O2336" s="36">
        <v>430.35</v>
      </c>
      <c r="P2336" t="s">
        <v>133</v>
      </c>
      <c r="Q2336" t="s">
        <v>111</v>
      </c>
      <c r="R2336" t="s">
        <v>111</v>
      </c>
      <c r="S2336" s="1">
        <v>46090</v>
      </c>
      <c r="T2336" s="1">
        <v>46090</v>
      </c>
      <c r="U2336" s="1">
        <v>46106</v>
      </c>
      <c r="V2336" s="1">
        <v>46471</v>
      </c>
      <c r="W2336" t="s">
        <v>38</v>
      </c>
      <c r="X2336">
        <v>12</v>
      </c>
      <c r="Y2336" t="s">
        <v>49</v>
      </c>
      <c r="Z2336" t="s">
        <v>81</v>
      </c>
      <c r="AA2336" t="s">
        <v>112</v>
      </c>
      <c r="AB2336">
        <v>12</v>
      </c>
      <c r="AC2336" t="s">
        <v>113</v>
      </c>
      <c r="AD2336" t="s">
        <v>85</v>
      </c>
      <c r="AE2336" t="s">
        <v>46</v>
      </c>
      <c r="AF2336" t="s">
        <v>44</v>
      </c>
      <c r="AG2336" t="str">
        <f t="shared" si="39"/>
        <v>CC 12x</v>
      </c>
      <c r="AH2336" t="str">
        <f>IF(AND(SUMIF(E:E,E2336,I:I)&gt;=400000,Q2336="B2G"),"n","")</f>
        <v/>
      </c>
    </row>
    <row r="2337" spans="1:34">
      <c r="A2337">
        <v>2026</v>
      </c>
      <c r="B2337">
        <v>3</v>
      </c>
      <c r="C2337" s="83">
        <v>19485513142</v>
      </c>
      <c r="D2337" t="s">
        <v>2146</v>
      </c>
      <c r="E2337">
        <v>58263342972</v>
      </c>
      <c r="F2337">
        <v>636769</v>
      </c>
      <c r="G2337">
        <v>53747508560</v>
      </c>
      <c r="H2337" t="s">
        <v>35</v>
      </c>
      <c r="I2337" s="36">
        <v>8394</v>
      </c>
      <c r="J2337" s="36">
        <v>8394</v>
      </c>
      <c r="K2337" s="85">
        <v>0</v>
      </c>
      <c r="L2337" s="36">
        <v>699.5</v>
      </c>
      <c r="M2337" s="36">
        <v>699.5</v>
      </c>
      <c r="N2337" s="36">
        <v>0</v>
      </c>
      <c r="O2337" s="36">
        <v>0</v>
      </c>
      <c r="P2337" t="s">
        <v>90</v>
      </c>
      <c r="Q2337" t="s">
        <v>91</v>
      </c>
      <c r="R2337" t="s">
        <v>91</v>
      </c>
      <c r="S2337" s="1">
        <v>46111</v>
      </c>
      <c r="T2337" s="1">
        <v>46111</v>
      </c>
      <c r="V2337" s="1">
        <v>46492</v>
      </c>
      <c r="W2337" t="s">
        <v>38</v>
      </c>
      <c r="X2337">
        <v>13</v>
      </c>
      <c r="Y2337" t="s">
        <v>49</v>
      </c>
      <c r="AA2337" t="s">
        <v>92</v>
      </c>
      <c r="AB2337">
        <v>12</v>
      </c>
      <c r="AC2337" t="s">
        <v>93</v>
      </c>
      <c r="AD2337" t="s">
        <v>94</v>
      </c>
      <c r="AE2337" t="s">
        <v>95</v>
      </c>
      <c r="AF2337" t="s">
        <v>96</v>
      </c>
      <c r="AG2337" t="str">
        <f t="shared" si="39"/>
        <v>Recorrente</v>
      </c>
      <c r="AH2337" t="str">
        <f>IF(AND(SUMIF(E:E,E2337,I:I)&gt;=400000,Q2337="B2G"),"n","")</f>
        <v/>
      </c>
    </row>
    <row r="2338" spans="1:34">
      <c r="A2338">
        <v>2026</v>
      </c>
      <c r="B2338">
        <v>3</v>
      </c>
      <c r="C2338" s="83">
        <v>19485527367</v>
      </c>
      <c r="D2338" t="s">
        <v>2147</v>
      </c>
      <c r="E2338">
        <v>58324434076</v>
      </c>
      <c r="F2338">
        <v>636657</v>
      </c>
      <c r="G2338">
        <v>53491091118</v>
      </c>
      <c r="H2338" t="s">
        <v>35</v>
      </c>
      <c r="I2338" s="36">
        <v>7014.6</v>
      </c>
      <c r="J2338" s="36">
        <v>7014.6</v>
      </c>
      <c r="K2338" s="85">
        <v>0</v>
      </c>
      <c r="L2338" s="36">
        <v>584.54999999999995</v>
      </c>
      <c r="M2338" s="36">
        <v>584.54999999999995</v>
      </c>
      <c r="N2338" s="36">
        <v>0</v>
      </c>
      <c r="O2338" s="36">
        <v>0</v>
      </c>
      <c r="P2338" t="s">
        <v>506</v>
      </c>
      <c r="Q2338" t="s">
        <v>314</v>
      </c>
      <c r="R2338" t="s">
        <v>314</v>
      </c>
      <c r="S2338" s="1">
        <v>46105</v>
      </c>
      <c r="T2338" s="1">
        <v>46105</v>
      </c>
      <c r="V2338" s="1">
        <v>46470</v>
      </c>
      <c r="W2338" t="s">
        <v>38</v>
      </c>
      <c r="X2338">
        <v>12</v>
      </c>
      <c r="Y2338" t="s">
        <v>49</v>
      </c>
      <c r="AA2338" t="s">
        <v>122</v>
      </c>
      <c r="AB2338">
        <v>12</v>
      </c>
      <c r="AC2338" t="s">
        <v>315</v>
      </c>
      <c r="AD2338" t="s">
        <v>125</v>
      </c>
      <c r="AE2338" t="s">
        <v>43</v>
      </c>
      <c r="AF2338" t="s">
        <v>47</v>
      </c>
      <c r="AG2338" t="str">
        <f t="shared" si="39"/>
        <v>Recorrente</v>
      </c>
      <c r="AH2338" t="str">
        <f>IF(AND(SUMIF(E:E,E2338,I:I)&gt;=400000,Q2338="B2G"),"n","")</f>
        <v/>
      </c>
    </row>
    <row r="2339" spans="1:34">
      <c r="A2339">
        <v>2026</v>
      </c>
      <c r="B2339">
        <v>3</v>
      </c>
      <c r="C2339" s="83">
        <v>19485527367</v>
      </c>
      <c r="D2339" t="s">
        <v>2147</v>
      </c>
      <c r="E2339">
        <v>58324434076</v>
      </c>
      <c r="F2339">
        <v>636657</v>
      </c>
      <c r="G2339">
        <v>53491091119</v>
      </c>
      <c r="H2339" t="s">
        <v>35</v>
      </c>
      <c r="I2339" s="36">
        <v>7014.6</v>
      </c>
      <c r="J2339" s="36">
        <v>7014.6</v>
      </c>
      <c r="K2339" s="85">
        <v>0</v>
      </c>
      <c r="L2339" s="36">
        <v>584.54999999999995</v>
      </c>
      <c r="M2339" s="36">
        <v>584.54999999999995</v>
      </c>
      <c r="N2339" s="36">
        <v>0</v>
      </c>
      <c r="O2339" s="36">
        <v>0</v>
      </c>
      <c r="P2339" t="s">
        <v>506</v>
      </c>
      <c r="Q2339" t="s">
        <v>314</v>
      </c>
      <c r="R2339" t="s">
        <v>314</v>
      </c>
      <c r="S2339" s="1">
        <v>46105</v>
      </c>
      <c r="T2339" s="1">
        <v>46105</v>
      </c>
      <c r="V2339" s="1">
        <v>46470</v>
      </c>
      <c r="W2339" t="s">
        <v>38</v>
      </c>
      <c r="X2339">
        <v>12</v>
      </c>
      <c r="Y2339" t="s">
        <v>49</v>
      </c>
      <c r="AA2339" t="s">
        <v>122</v>
      </c>
      <c r="AB2339">
        <v>12</v>
      </c>
      <c r="AC2339" t="s">
        <v>315</v>
      </c>
      <c r="AD2339" t="s">
        <v>125</v>
      </c>
      <c r="AE2339" t="s">
        <v>43</v>
      </c>
      <c r="AF2339" t="s">
        <v>47</v>
      </c>
      <c r="AG2339" t="str">
        <f t="shared" si="39"/>
        <v>Recorrente</v>
      </c>
      <c r="AH2339" t="str">
        <f>IF(AND(SUMIF(E:E,E2339,I:I)&gt;=400000,Q2339="B2G"),"n","")</f>
        <v/>
      </c>
    </row>
    <row r="2340" spans="1:34">
      <c r="A2340">
        <v>2026</v>
      </c>
      <c r="B2340">
        <v>3</v>
      </c>
      <c r="C2340" s="83">
        <v>19485527367</v>
      </c>
      <c r="D2340" t="s">
        <v>2147</v>
      </c>
      <c r="E2340">
        <v>58324434076</v>
      </c>
      <c r="F2340">
        <v>636657</v>
      </c>
      <c r="G2340">
        <v>53491091120</v>
      </c>
      <c r="H2340" t="s">
        <v>35</v>
      </c>
      <c r="I2340" s="36">
        <v>5178.6000000000004</v>
      </c>
      <c r="J2340" s="36">
        <v>5178.6000000000004</v>
      </c>
      <c r="K2340" s="85">
        <v>0</v>
      </c>
      <c r="L2340" s="36">
        <v>431.55</v>
      </c>
      <c r="M2340" s="36">
        <v>431.55</v>
      </c>
      <c r="N2340" s="36">
        <v>0</v>
      </c>
      <c r="O2340" s="36">
        <v>0</v>
      </c>
      <c r="P2340" t="s">
        <v>506</v>
      </c>
      <c r="Q2340" t="s">
        <v>314</v>
      </c>
      <c r="R2340" t="s">
        <v>314</v>
      </c>
      <c r="S2340" s="1">
        <v>46105</v>
      </c>
      <c r="T2340" s="1">
        <v>46105</v>
      </c>
      <c r="V2340" s="1">
        <v>46470</v>
      </c>
      <c r="W2340" t="s">
        <v>38</v>
      </c>
      <c r="X2340">
        <v>12</v>
      </c>
      <c r="Y2340" t="s">
        <v>49</v>
      </c>
      <c r="AA2340" t="s">
        <v>122</v>
      </c>
      <c r="AB2340">
        <v>12</v>
      </c>
      <c r="AC2340" t="s">
        <v>315</v>
      </c>
      <c r="AD2340" t="s">
        <v>85</v>
      </c>
      <c r="AE2340" t="s">
        <v>46</v>
      </c>
      <c r="AF2340" t="s">
        <v>44</v>
      </c>
      <c r="AG2340" t="str">
        <f t="shared" si="39"/>
        <v>Recorrente</v>
      </c>
      <c r="AH2340" t="str">
        <f>IF(AND(SUMIF(E:E,E2340,I:I)&gt;=400000,Q2340="B2G"),"n","")</f>
        <v/>
      </c>
    </row>
    <row r="2341" spans="1:34">
      <c r="A2341">
        <v>2026</v>
      </c>
      <c r="B2341">
        <v>3</v>
      </c>
      <c r="C2341" s="83">
        <v>19485527382</v>
      </c>
      <c r="D2341" t="s">
        <v>2148</v>
      </c>
      <c r="E2341">
        <v>54645993590</v>
      </c>
      <c r="F2341">
        <v>636824</v>
      </c>
      <c r="G2341">
        <v>53808841247</v>
      </c>
      <c r="H2341" t="s">
        <v>35</v>
      </c>
      <c r="I2341" s="36">
        <v>4644</v>
      </c>
      <c r="J2341" s="36">
        <v>4644</v>
      </c>
      <c r="K2341" s="85">
        <v>0</v>
      </c>
      <c r="L2341" s="36">
        <v>387</v>
      </c>
      <c r="M2341" s="36">
        <v>387</v>
      </c>
      <c r="N2341" s="36">
        <v>0</v>
      </c>
      <c r="O2341" s="36">
        <v>0</v>
      </c>
      <c r="P2341" t="s">
        <v>75</v>
      </c>
      <c r="Q2341" t="s">
        <v>37</v>
      </c>
      <c r="R2341" t="s">
        <v>37</v>
      </c>
      <c r="S2341" s="1">
        <v>46112</v>
      </c>
      <c r="T2341" s="1">
        <v>46112</v>
      </c>
      <c r="V2341" s="1">
        <v>46477</v>
      </c>
      <c r="W2341" t="s">
        <v>38</v>
      </c>
      <c r="X2341">
        <v>12</v>
      </c>
      <c r="Y2341" t="s">
        <v>49</v>
      </c>
      <c r="AA2341" t="s">
        <v>40</v>
      </c>
      <c r="AB2341">
        <v>1</v>
      </c>
      <c r="AC2341" t="s">
        <v>41</v>
      </c>
      <c r="AD2341" t="s">
        <v>53</v>
      </c>
      <c r="AE2341" t="s">
        <v>43</v>
      </c>
      <c r="AF2341" t="s">
        <v>44</v>
      </c>
      <c r="AG2341" t="str">
        <f t="shared" si="39"/>
        <v>À Vista</v>
      </c>
      <c r="AH2341" t="str">
        <f>IF(AND(SUMIF(E:E,E2341,I:I)&gt;=400000,Q2341="B2G"),"n","")</f>
        <v/>
      </c>
    </row>
    <row r="2342" spans="1:34">
      <c r="A2342">
        <v>2026</v>
      </c>
      <c r="B2342">
        <v>3</v>
      </c>
      <c r="C2342" s="83">
        <v>19485527382</v>
      </c>
      <c r="D2342" t="s">
        <v>2148</v>
      </c>
      <c r="E2342">
        <v>54645993590</v>
      </c>
      <c r="F2342">
        <v>636824</v>
      </c>
      <c r="G2342">
        <v>53808841248</v>
      </c>
      <c r="H2342" t="s">
        <v>35</v>
      </c>
      <c r="I2342" s="36">
        <v>5436</v>
      </c>
      <c r="J2342" s="36">
        <v>5436</v>
      </c>
      <c r="K2342" s="85">
        <v>0</v>
      </c>
      <c r="L2342" s="36">
        <v>453</v>
      </c>
      <c r="M2342" s="36">
        <v>453</v>
      </c>
      <c r="N2342" s="36">
        <v>0</v>
      </c>
      <c r="O2342" s="36">
        <v>0</v>
      </c>
      <c r="P2342" t="s">
        <v>75</v>
      </c>
      <c r="Q2342" t="s">
        <v>37</v>
      </c>
      <c r="R2342" t="s">
        <v>37</v>
      </c>
      <c r="S2342" s="1">
        <v>46112</v>
      </c>
      <c r="T2342" s="1">
        <v>46112</v>
      </c>
      <c r="V2342" s="1">
        <v>46477</v>
      </c>
      <c r="W2342" t="s">
        <v>38</v>
      </c>
      <c r="X2342">
        <v>12</v>
      </c>
      <c r="Y2342" t="s">
        <v>49</v>
      </c>
      <c r="AA2342" t="s">
        <v>40</v>
      </c>
      <c r="AB2342">
        <v>1</v>
      </c>
      <c r="AC2342" t="s">
        <v>41</v>
      </c>
      <c r="AD2342" t="s">
        <v>54</v>
      </c>
      <c r="AE2342" t="s">
        <v>46</v>
      </c>
      <c r="AF2342" t="s">
        <v>44</v>
      </c>
      <c r="AG2342" t="str">
        <f t="shared" si="39"/>
        <v>À Vista</v>
      </c>
      <c r="AH2342" t="str">
        <f>IF(AND(SUMIF(E:E,E2342,I:I)&gt;=400000,Q2342="B2G"),"n","")</f>
        <v/>
      </c>
    </row>
    <row r="2343" spans="1:34">
      <c r="A2343">
        <v>2026</v>
      </c>
      <c r="B2343">
        <v>3</v>
      </c>
      <c r="C2343" s="83">
        <v>19485533353</v>
      </c>
      <c r="D2343" t="s">
        <v>2149</v>
      </c>
      <c r="E2343">
        <v>58041361296</v>
      </c>
      <c r="F2343">
        <v>636529</v>
      </c>
      <c r="G2343">
        <v>53239307632</v>
      </c>
      <c r="H2343" t="s">
        <v>35</v>
      </c>
      <c r="I2343" s="36">
        <v>16246.2</v>
      </c>
      <c r="J2343" s="36">
        <v>2727.1237420000002</v>
      </c>
      <c r="K2343" s="85">
        <v>13519.07626</v>
      </c>
      <c r="L2343" s="36">
        <v>227.26031180000001</v>
      </c>
      <c r="M2343" s="36">
        <v>0</v>
      </c>
      <c r="N2343" s="36">
        <v>227.26031180000001</v>
      </c>
      <c r="O2343" s="36">
        <v>0</v>
      </c>
      <c r="P2343" t="s">
        <v>367</v>
      </c>
      <c r="Q2343" t="s">
        <v>191</v>
      </c>
      <c r="R2343" t="s">
        <v>191</v>
      </c>
      <c r="S2343" s="1">
        <v>46097</v>
      </c>
      <c r="T2343" s="1">
        <v>46097</v>
      </c>
      <c r="V2343" s="1">
        <v>46462</v>
      </c>
      <c r="W2343" t="s">
        <v>38</v>
      </c>
      <c r="Y2343" t="s">
        <v>49</v>
      </c>
      <c r="AA2343" t="s">
        <v>112</v>
      </c>
      <c r="AB2343">
        <v>12</v>
      </c>
      <c r="AC2343" t="s">
        <v>192</v>
      </c>
      <c r="AD2343" t="s">
        <v>174</v>
      </c>
      <c r="AE2343" t="s">
        <v>43</v>
      </c>
      <c r="AF2343" t="s">
        <v>47</v>
      </c>
      <c r="AG2343" t="str">
        <f t="shared" si="39"/>
        <v>CC 12x</v>
      </c>
      <c r="AH2343" t="str">
        <f>IF(AND(SUMIF(E:E,E2343,I:I)&gt;=400000,Q2343="B2G"),"n","")</f>
        <v/>
      </c>
    </row>
    <row r="2344" spans="1:34">
      <c r="A2344">
        <v>2026</v>
      </c>
      <c r="B2344">
        <v>3</v>
      </c>
      <c r="C2344" s="83">
        <v>19485533353</v>
      </c>
      <c r="D2344" t="s">
        <v>2149</v>
      </c>
      <c r="E2344">
        <v>58041361296</v>
      </c>
      <c r="F2344">
        <v>636529</v>
      </c>
      <c r="G2344">
        <v>53239307633</v>
      </c>
      <c r="H2344" t="s">
        <v>35</v>
      </c>
      <c r="I2344" s="36">
        <v>10830.72</v>
      </c>
      <c r="J2344" s="36">
        <v>1818.0824950000001</v>
      </c>
      <c r="K2344" s="85">
        <v>9012.6375050000006</v>
      </c>
      <c r="L2344" s="36">
        <v>151.50687450000001</v>
      </c>
      <c r="M2344" s="36">
        <v>0</v>
      </c>
      <c r="N2344" s="36">
        <v>151.50687450000001</v>
      </c>
      <c r="O2344" s="36">
        <v>0</v>
      </c>
      <c r="P2344" t="s">
        <v>367</v>
      </c>
      <c r="Q2344" t="s">
        <v>191</v>
      </c>
      <c r="R2344" t="s">
        <v>191</v>
      </c>
      <c r="S2344" s="1">
        <v>46097</v>
      </c>
      <c r="T2344" s="1">
        <v>46097</v>
      </c>
      <c r="V2344" s="1">
        <v>46462</v>
      </c>
      <c r="W2344" t="s">
        <v>38</v>
      </c>
      <c r="Y2344" t="s">
        <v>49</v>
      </c>
      <c r="AA2344" t="s">
        <v>112</v>
      </c>
      <c r="AB2344">
        <v>12</v>
      </c>
      <c r="AC2344" t="s">
        <v>192</v>
      </c>
      <c r="AD2344" t="s">
        <v>158</v>
      </c>
      <c r="AE2344" t="s">
        <v>43</v>
      </c>
      <c r="AF2344" t="s">
        <v>47</v>
      </c>
      <c r="AG2344" t="str">
        <f t="shared" si="39"/>
        <v>CC 12x</v>
      </c>
      <c r="AH2344" t="str">
        <f>IF(AND(SUMIF(E:E,E2344,I:I)&gt;=400000,Q2344="B2G"),"n","")</f>
        <v/>
      </c>
    </row>
    <row r="2345" spans="1:34">
      <c r="A2345">
        <v>2026</v>
      </c>
      <c r="B2345">
        <v>3</v>
      </c>
      <c r="C2345" s="83">
        <v>19485533353</v>
      </c>
      <c r="D2345" t="s">
        <v>2149</v>
      </c>
      <c r="E2345">
        <v>58041361296</v>
      </c>
      <c r="F2345">
        <v>636529</v>
      </c>
      <c r="G2345">
        <v>53239307634</v>
      </c>
      <c r="H2345" t="s">
        <v>35</v>
      </c>
      <c r="I2345" s="36">
        <v>7014.6</v>
      </c>
      <c r="J2345" s="36">
        <v>1177.489364</v>
      </c>
      <c r="K2345" s="85">
        <v>5837.1106360000003</v>
      </c>
      <c r="L2345" s="36">
        <v>98.124113629999997</v>
      </c>
      <c r="M2345" s="36">
        <v>0</v>
      </c>
      <c r="N2345" s="36">
        <v>98.124113629999997</v>
      </c>
      <c r="O2345" s="36">
        <v>0</v>
      </c>
      <c r="P2345" t="s">
        <v>367</v>
      </c>
      <c r="Q2345" t="s">
        <v>191</v>
      </c>
      <c r="R2345" t="s">
        <v>191</v>
      </c>
      <c r="S2345" s="1">
        <v>46097</v>
      </c>
      <c r="T2345" s="1">
        <v>46097</v>
      </c>
      <c r="V2345" s="1">
        <v>46462</v>
      </c>
      <c r="W2345" t="s">
        <v>38</v>
      </c>
      <c r="Y2345" t="s">
        <v>49</v>
      </c>
      <c r="AA2345" t="s">
        <v>112</v>
      </c>
      <c r="AB2345">
        <v>12</v>
      </c>
      <c r="AC2345" t="s">
        <v>192</v>
      </c>
      <c r="AD2345" t="s">
        <v>125</v>
      </c>
      <c r="AE2345" t="s">
        <v>43</v>
      </c>
      <c r="AF2345" t="s">
        <v>47</v>
      </c>
      <c r="AG2345" t="str">
        <f t="shared" si="39"/>
        <v>CC 12x</v>
      </c>
      <c r="AH2345" t="str">
        <f>IF(AND(SUMIF(E:E,E2345,I:I)&gt;=400000,Q2345="B2G"),"n","")</f>
        <v/>
      </c>
    </row>
    <row r="2346" spans="1:34">
      <c r="A2346">
        <v>2026</v>
      </c>
      <c r="B2346">
        <v>3</v>
      </c>
      <c r="C2346" s="83">
        <v>19485537098</v>
      </c>
      <c r="D2346" t="s">
        <v>2150</v>
      </c>
      <c r="E2346">
        <v>43595434836</v>
      </c>
      <c r="F2346">
        <v>636827</v>
      </c>
      <c r="G2346">
        <v>53808780961</v>
      </c>
      <c r="H2346" t="s">
        <v>35</v>
      </c>
      <c r="I2346" s="36">
        <v>16800</v>
      </c>
      <c r="J2346" s="36">
        <v>16800</v>
      </c>
      <c r="K2346" s="85">
        <v>0</v>
      </c>
      <c r="L2346" s="36">
        <v>1400</v>
      </c>
      <c r="M2346" s="36">
        <v>1400</v>
      </c>
      <c r="N2346" s="36">
        <v>0</v>
      </c>
      <c r="O2346" s="36">
        <v>0</v>
      </c>
      <c r="P2346" t="s">
        <v>668</v>
      </c>
      <c r="Q2346" t="s">
        <v>91</v>
      </c>
      <c r="R2346" t="s">
        <v>91</v>
      </c>
      <c r="S2346" s="1">
        <v>46112</v>
      </c>
      <c r="T2346" s="1">
        <v>46112</v>
      </c>
      <c r="U2346" s="1"/>
      <c r="V2346" s="1">
        <v>46477</v>
      </c>
      <c r="W2346" t="s">
        <v>38</v>
      </c>
      <c r="X2346">
        <v>12</v>
      </c>
      <c r="Y2346" t="s">
        <v>49</v>
      </c>
      <c r="AA2346" t="s">
        <v>92</v>
      </c>
      <c r="AB2346">
        <v>12</v>
      </c>
      <c r="AC2346" t="s">
        <v>93</v>
      </c>
      <c r="AD2346" t="s">
        <v>94</v>
      </c>
      <c r="AE2346" t="s">
        <v>95</v>
      </c>
      <c r="AF2346" t="s">
        <v>96</v>
      </c>
      <c r="AG2346" t="str">
        <f t="shared" si="39"/>
        <v>Recorrente</v>
      </c>
      <c r="AH2346" t="str">
        <f>IF(AND(SUMIF(E:E,E2346,I:I)&gt;=400000,Q2346="B2G"),"n","")</f>
        <v/>
      </c>
    </row>
    <row r="2347" spans="1:34">
      <c r="A2347">
        <v>2026</v>
      </c>
      <c r="B2347">
        <v>3</v>
      </c>
      <c r="C2347" s="83">
        <v>19485540164</v>
      </c>
      <c r="D2347" t="s">
        <v>1211</v>
      </c>
      <c r="E2347">
        <v>57561914231</v>
      </c>
      <c r="F2347">
        <v>636533</v>
      </c>
      <c r="G2347">
        <v>53237562539</v>
      </c>
      <c r="H2347" t="s">
        <v>35</v>
      </c>
      <c r="I2347" s="36">
        <v>25170</v>
      </c>
      <c r="J2347" s="36">
        <v>25170</v>
      </c>
      <c r="K2347" s="85">
        <v>0</v>
      </c>
      <c r="L2347" s="36">
        <v>2097.5</v>
      </c>
      <c r="M2347" s="36">
        <v>0</v>
      </c>
      <c r="N2347" s="36">
        <v>2097.5</v>
      </c>
      <c r="O2347" s="36">
        <v>0</v>
      </c>
      <c r="P2347" t="s">
        <v>520</v>
      </c>
      <c r="Q2347" t="s">
        <v>191</v>
      </c>
      <c r="R2347" t="s">
        <v>191</v>
      </c>
      <c r="S2347" s="1">
        <v>46097</v>
      </c>
      <c r="T2347" s="1">
        <v>46097</v>
      </c>
      <c r="U2347" s="1"/>
      <c r="V2347" s="1">
        <v>46462</v>
      </c>
      <c r="W2347" t="s">
        <v>38</v>
      </c>
      <c r="X2347">
        <v>12</v>
      </c>
      <c r="Y2347" t="s">
        <v>49</v>
      </c>
      <c r="AA2347" t="s">
        <v>122</v>
      </c>
      <c r="AB2347">
        <v>12</v>
      </c>
      <c r="AC2347" t="s">
        <v>192</v>
      </c>
      <c r="AD2347" t="s">
        <v>84</v>
      </c>
      <c r="AE2347" t="s">
        <v>43</v>
      </c>
      <c r="AF2347" t="s">
        <v>44</v>
      </c>
      <c r="AG2347" t="str">
        <f t="shared" si="39"/>
        <v>Recorrente</v>
      </c>
      <c r="AH2347" t="str">
        <f>IF(AND(SUMIF(E:E,E2347,I:I)&gt;=400000,Q2347="B2G"),"n","")</f>
        <v/>
      </c>
    </row>
    <row r="2348" spans="1:34">
      <c r="A2348">
        <v>2026</v>
      </c>
      <c r="B2348">
        <v>3</v>
      </c>
      <c r="C2348" s="83">
        <v>19485540527</v>
      </c>
      <c r="D2348" t="s">
        <v>2151</v>
      </c>
      <c r="E2348">
        <v>56024971810</v>
      </c>
      <c r="F2348">
        <v>612390</v>
      </c>
      <c r="G2348">
        <v>51304345356</v>
      </c>
      <c r="H2348" t="s">
        <v>35</v>
      </c>
      <c r="I2348" s="36">
        <v>3994</v>
      </c>
      <c r="J2348" s="36">
        <v>3994</v>
      </c>
      <c r="K2348" s="85">
        <v>0</v>
      </c>
      <c r="L2348" s="36">
        <v>332.83333329999999</v>
      </c>
      <c r="M2348" s="36">
        <v>0</v>
      </c>
      <c r="N2348" s="36">
        <v>64.8</v>
      </c>
      <c r="O2348" s="36">
        <v>268.03333329999998</v>
      </c>
      <c r="P2348" t="s">
        <v>165</v>
      </c>
      <c r="Q2348" t="s">
        <v>166</v>
      </c>
      <c r="R2348" t="s">
        <v>166</v>
      </c>
      <c r="S2348" s="1">
        <v>46107</v>
      </c>
      <c r="T2348" s="1">
        <v>46107</v>
      </c>
      <c r="U2348" s="1">
        <v>46109</v>
      </c>
      <c r="V2348" s="1">
        <v>46474</v>
      </c>
      <c r="W2348" t="s">
        <v>38</v>
      </c>
      <c r="X2348">
        <v>12</v>
      </c>
      <c r="Y2348" t="s">
        <v>49</v>
      </c>
      <c r="Z2348" t="s">
        <v>81</v>
      </c>
      <c r="AA2348" t="s">
        <v>112</v>
      </c>
      <c r="AB2348">
        <v>12</v>
      </c>
      <c r="AC2348" t="s">
        <v>166</v>
      </c>
      <c r="AD2348" t="s">
        <v>1715</v>
      </c>
      <c r="AE2348" t="s">
        <v>289</v>
      </c>
      <c r="AF2348" t="s">
        <v>59</v>
      </c>
      <c r="AG2348" t="str">
        <f t="shared" si="39"/>
        <v>CC 12x</v>
      </c>
      <c r="AH2348" t="str">
        <f>IF(AND(SUMIF(E:E,E2348,I:I)&gt;=400000,Q2348="B2G"),"n","")</f>
        <v/>
      </c>
    </row>
    <row r="2349" spans="1:34">
      <c r="A2349">
        <v>2026</v>
      </c>
      <c r="B2349">
        <v>3</v>
      </c>
      <c r="C2349" s="83">
        <v>19485540527</v>
      </c>
      <c r="D2349" t="s">
        <v>2151</v>
      </c>
      <c r="E2349">
        <v>56024971810</v>
      </c>
      <c r="F2349">
        <v>612390</v>
      </c>
      <c r="G2349">
        <v>51315684167</v>
      </c>
      <c r="H2349" t="s">
        <v>35</v>
      </c>
      <c r="I2349" s="36">
        <v>3994</v>
      </c>
      <c r="J2349" s="36">
        <v>3994</v>
      </c>
      <c r="K2349" s="85">
        <v>0</v>
      </c>
      <c r="L2349" s="36">
        <v>332.83333329999999</v>
      </c>
      <c r="M2349" s="36">
        <v>0</v>
      </c>
      <c r="N2349" s="36">
        <v>64.8</v>
      </c>
      <c r="O2349" s="36">
        <v>268.03333329999998</v>
      </c>
      <c r="P2349" t="s">
        <v>165</v>
      </c>
      <c r="Q2349" t="s">
        <v>166</v>
      </c>
      <c r="R2349" t="s">
        <v>166</v>
      </c>
      <c r="S2349" s="1">
        <v>46107</v>
      </c>
      <c r="T2349" s="1">
        <v>46107</v>
      </c>
      <c r="U2349" s="1">
        <v>46109</v>
      </c>
      <c r="V2349" s="1">
        <v>46474</v>
      </c>
      <c r="W2349" t="s">
        <v>38</v>
      </c>
      <c r="X2349">
        <v>12</v>
      </c>
      <c r="Y2349" t="s">
        <v>49</v>
      </c>
      <c r="Z2349" t="s">
        <v>81</v>
      </c>
      <c r="AA2349" t="s">
        <v>112</v>
      </c>
      <c r="AB2349">
        <v>12</v>
      </c>
      <c r="AC2349" t="s">
        <v>166</v>
      </c>
      <c r="AD2349" t="s">
        <v>142</v>
      </c>
      <c r="AE2349" t="s">
        <v>95</v>
      </c>
      <c r="AF2349" t="s">
        <v>44</v>
      </c>
      <c r="AG2349" t="str">
        <f t="shared" si="39"/>
        <v>CC 12x</v>
      </c>
      <c r="AH2349" t="str">
        <f>IF(AND(SUMIF(E:E,E2349,I:I)&gt;=400000,Q2349="B2G"),"n","")</f>
        <v/>
      </c>
    </row>
    <row r="2350" spans="1:34">
      <c r="A2350">
        <v>2026</v>
      </c>
      <c r="B2350">
        <v>3</v>
      </c>
      <c r="C2350" s="83">
        <v>19485540527</v>
      </c>
      <c r="D2350" t="s">
        <v>2151</v>
      </c>
      <c r="E2350">
        <v>56024971810</v>
      </c>
      <c r="F2350">
        <v>612390</v>
      </c>
      <c r="G2350">
        <v>51318472513</v>
      </c>
      <c r="H2350" t="s">
        <v>35</v>
      </c>
      <c r="I2350" s="36">
        <v>3994</v>
      </c>
      <c r="J2350" s="36">
        <v>3994</v>
      </c>
      <c r="K2350" s="85">
        <v>0</v>
      </c>
      <c r="L2350" s="36">
        <v>332.83333329999999</v>
      </c>
      <c r="M2350" s="36">
        <v>0</v>
      </c>
      <c r="N2350" s="36">
        <v>64.8</v>
      </c>
      <c r="O2350" s="36">
        <v>268.03333329999998</v>
      </c>
      <c r="P2350" t="s">
        <v>165</v>
      </c>
      <c r="Q2350" t="s">
        <v>166</v>
      </c>
      <c r="R2350" t="s">
        <v>166</v>
      </c>
      <c r="S2350" s="1">
        <v>46107</v>
      </c>
      <c r="T2350" s="1">
        <v>46107</v>
      </c>
      <c r="U2350" s="1">
        <v>46109</v>
      </c>
      <c r="V2350" s="1">
        <v>46474</v>
      </c>
      <c r="W2350" t="s">
        <v>38</v>
      </c>
      <c r="X2350">
        <v>12</v>
      </c>
      <c r="Y2350" t="s">
        <v>49</v>
      </c>
      <c r="Z2350" t="s">
        <v>81</v>
      </c>
      <c r="AA2350" t="s">
        <v>112</v>
      </c>
      <c r="AB2350">
        <v>12</v>
      </c>
      <c r="AC2350" t="s">
        <v>166</v>
      </c>
      <c r="AD2350" t="s">
        <v>142</v>
      </c>
      <c r="AE2350" t="s">
        <v>95</v>
      </c>
      <c r="AF2350" t="s">
        <v>44</v>
      </c>
      <c r="AG2350" t="str">
        <f t="shared" si="39"/>
        <v>CC 12x</v>
      </c>
      <c r="AH2350" t="str">
        <f>IF(AND(SUMIF(E:E,E2350,I:I)&gt;=400000,Q2350="B2G"),"n","")</f>
        <v/>
      </c>
    </row>
    <row r="2351" spans="1:34">
      <c r="A2351">
        <v>2026</v>
      </c>
      <c r="B2351">
        <v>3</v>
      </c>
      <c r="C2351" s="83">
        <v>19485553325</v>
      </c>
      <c r="D2351" t="s">
        <v>2152</v>
      </c>
      <c r="E2351">
        <v>58634216564</v>
      </c>
      <c r="F2351">
        <v>625390</v>
      </c>
      <c r="G2351">
        <v>53808827911</v>
      </c>
      <c r="H2351" t="s">
        <v>35</v>
      </c>
      <c r="I2351" s="36">
        <v>4866</v>
      </c>
      <c r="J2351" s="36">
        <v>4866</v>
      </c>
      <c r="K2351" s="85">
        <v>0</v>
      </c>
      <c r="L2351" s="36">
        <v>405.5</v>
      </c>
      <c r="M2351" s="36">
        <v>405.5</v>
      </c>
      <c r="N2351" s="36">
        <v>0</v>
      </c>
      <c r="O2351" s="36">
        <v>0</v>
      </c>
      <c r="P2351" t="s">
        <v>110</v>
      </c>
      <c r="Q2351" t="s">
        <v>111</v>
      </c>
      <c r="R2351" t="s">
        <v>111</v>
      </c>
      <c r="S2351" s="1">
        <v>46112</v>
      </c>
      <c r="T2351" s="1">
        <v>46112</v>
      </c>
      <c r="U2351" s="1">
        <v>46032</v>
      </c>
      <c r="V2351" s="1">
        <v>46477</v>
      </c>
      <c r="W2351" t="s">
        <v>38</v>
      </c>
      <c r="X2351">
        <v>14</v>
      </c>
      <c r="Y2351" t="s">
        <v>49</v>
      </c>
      <c r="Z2351" t="s">
        <v>81</v>
      </c>
      <c r="AA2351" t="s">
        <v>112</v>
      </c>
      <c r="AB2351">
        <v>12</v>
      </c>
      <c r="AC2351" t="s">
        <v>113</v>
      </c>
      <c r="AD2351" t="s">
        <v>158</v>
      </c>
      <c r="AE2351" t="s">
        <v>43</v>
      </c>
      <c r="AF2351" t="s">
        <v>47</v>
      </c>
      <c r="AG2351" t="str">
        <f t="shared" si="39"/>
        <v>CC 12x</v>
      </c>
      <c r="AH2351" t="str">
        <f>IF(AND(SUMIF(E:E,E2351,I:I)&gt;=400000,Q2351="B2G"),"n","")</f>
        <v/>
      </c>
    </row>
    <row r="2352" spans="1:34">
      <c r="A2352">
        <v>2026</v>
      </c>
      <c r="B2352">
        <v>3</v>
      </c>
      <c r="C2352" s="83">
        <v>19485556816</v>
      </c>
      <c r="D2352" t="s">
        <v>2153</v>
      </c>
      <c r="E2352">
        <v>58315137683</v>
      </c>
      <c r="F2352">
        <v>636729</v>
      </c>
      <c r="G2352">
        <v>53571084448</v>
      </c>
      <c r="H2352" t="s">
        <v>35</v>
      </c>
      <c r="I2352" s="36">
        <v>5464.44</v>
      </c>
      <c r="J2352" s="36">
        <v>5464.44</v>
      </c>
      <c r="K2352" s="85">
        <v>0</v>
      </c>
      <c r="L2352" s="36">
        <v>455.37</v>
      </c>
      <c r="M2352" s="36">
        <v>455.37</v>
      </c>
      <c r="N2352" s="36">
        <v>0</v>
      </c>
      <c r="O2352" s="36">
        <v>0</v>
      </c>
      <c r="P2352" t="s">
        <v>90</v>
      </c>
      <c r="Q2352" t="s">
        <v>91</v>
      </c>
      <c r="R2352" t="s">
        <v>91</v>
      </c>
      <c r="S2352" s="1">
        <v>46108</v>
      </c>
      <c r="T2352" s="1">
        <v>46108</v>
      </c>
      <c r="V2352" s="1">
        <v>46478</v>
      </c>
      <c r="W2352" t="s">
        <v>38</v>
      </c>
      <c r="X2352">
        <v>13</v>
      </c>
      <c r="Y2352" t="s">
        <v>49</v>
      </c>
      <c r="AA2352" t="s">
        <v>82</v>
      </c>
      <c r="AB2352">
        <v>1</v>
      </c>
      <c r="AC2352" t="s">
        <v>93</v>
      </c>
      <c r="AD2352" t="s">
        <v>149</v>
      </c>
      <c r="AE2352" t="s">
        <v>43</v>
      </c>
      <c r="AF2352" t="s">
        <v>96</v>
      </c>
      <c r="AG2352" t="str">
        <f t="shared" si="39"/>
        <v>À Vista</v>
      </c>
      <c r="AH2352" t="str">
        <f>IF(AND(SUMIF(E:E,E2352,I:I)&gt;=400000,Q2352="B2G"),"n","")</f>
        <v/>
      </c>
    </row>
    <row r="2353" spans="1:34">
      <c r="A2353">
        <v>2026</v>
      </c>
      <c r="B2353">
        <v>3</v>
      </c>
      <c r="C2353" s="83">
        <v>19485579809</v>
      </c>
      <c r="D2353" t="s">
        <v>2154</v>
      </c>
      <c r="E2353">
        <v>56090086448</v>
      </c>
      <c r="F2353">
        <v>531268</v>
      </c>
      <c r="G2353">
        <v>51320112800</v>
      </c>
      <c r="H2353" t="s">
        <v>35</v>
      </c>
      <c r="I2353" s="36">
        <v>9594</v>
      </c>
      <c r="J2353" s="36">
        <v>9594</v>
      </c>
      <c r="K2353" s="85">
        <v>0</v>
      </c>
      <c r="L2353" s="36">
        <v>799.5</v>
      </c>
      <c r="M2353" s="36">
        <v>0</v>
      </c>
      <c r="N2353" s="36">
        <v>132.80000000000001</v>
      </c>
      <c r="O2353" s="36">
        <v>666.7</v>
      </c>
      <c r="P2353" t="s">
        <v>165</v>
      </c>
      <c r="Q2353" t="s">
        <v>166</v>
      </c>
      <c r="R2353" t="s">
        <v>166</v>
      </c>
      <c r="S2353" s="1">
        <v>46107</v>
      </c>
      <c r="T2353" s="1">
        <v>46107</v>
      </c>
      <c r="U2353" s="1">
        <v>46110</v>
      </c>
      <c r="V2353" s="1">
        <v>46475</v>
      </c>
      <c r="W2353" t="s">
        <v>38</v>
      </c>
      <c r="X2353">
        <v>12</v>
      </c>
      <c r="Y2353" t="s">
        <v>49</v>
      </c>
      <c r="Z2353" t="s">
        <v>81</v>
      </c>
      <c r="AA2353" t="s">
        <v>112</v>
      </c>
      <c r="AB2353">
        <v>5</v>
      </c>
      <c r="AC2353" t="s">
        <v>166</v>
      </c>
      <c r="AD2353" t="s">
        <v>131</v>
      </c>
      <c r="AE2353" t="s">
        <v>46</v>
      </c>
      <c r="AF2353" t="s">
        <v>96</v>
      </c>
      <c r="AG2353" t="str">
        <f t="shared" si="39"/>
        <v>CC 12x</v>
      </c>
      <c r="AH2353" t="str">
        <f>IF(AND(SUMIF(E:E,E2353,I:I)&gt;=400000,Q2353="B2G"),"n","")</f>
        <v/>
      </c>
    </row>
    <row r="2354" spans="1:34">
      <c r="A2354">
        <v>2026</v>
      </c>
      <c r="B2354">
        <v>3</v>
      </c>
      <c r="C2354" s="83">
        <v>19485583000</v>
      </c>
      <c r="D2354" t="s">
        <v>2155</v>
      </c>
      <c r="E2354">
        <v>58361905268</v>
      </c>
      <c r="F2354">
        <v>636818</v>
      </c>
      <c r="G2354">
        <v>53808638900</v>
      </c>
      <c r="H2354" t="s">
        <v>35</v>
      </c>
      <c r="I2354" s="36">
        <v>5489.88</v>
      </c>
      <c r="J2354" s="36">
        <v>5489.88</v>
      </c>
      <c r="K2354" s="85">
        <v>0</v>
      </c>
      <c r="L2354" s="36">
        <v>457.49</v>
      </c>
      <c r="M2354" s="36">
        <v>457.49</v>
      </c>
      <c r="N2354" s="36">
        <v>0</v>
      </c>
      <c r="O2354" s="36">
        <v>0</v>
      </c>
      <c r="P2354" t="s">
        <v>1073</v>
      </c>
      <c r="Q2354" t="s">
        <v>314</v>
      </c>
      <c r="R2354" t="s">
        <v>314</v>
      </c>
      <c r="S2354" s="1">
        <v>46112</v>
      </c>
      <c r="T2354" s="1">
        <v>46112</v>
      </c>
      <c r="U2354" s="1"/>
      <c r="V2354" s="1">
        <v>46477</v>
      </c>
      <c r="W2354" t="s">
        <v>38</v>
      </c>
      <c r="X2354">
        <v>12</v>
      </c>
      <c r="Y2354" t="s">
        <v>49</v>
      </c>
      <c r="AA2354" t="s">
        <v>112</v>
      </c>
      <c r="AB2354">
        <v>12</v>
      </c>
      <c r="AC2354" t="s">
        <v>315</v>
      </c>
      <c r="AD2354" t="s">
        <v>158</v>
      </c>
      <c r="AE2354" t="s">
        <v>43</v>
      </c>
      <c r="AF2354" t="s">
        <v>47</v>
      </c>
      <c r="AG2354" t="str">
        <f t="shared" si="39"/>
        <v>CC 12x</v>
      </c>
      <c r="AH2354" t="str">
        <f>IF(AND(SUMIF(E:E,E2354,I:I)&gt;=400000,Q2354="B2G"),"n","")</f>
        <v/>
      </c>
    </row>
    <row r="2355" spans="1:34">
      <c r="A2355">
        <v>2026</v>
      </c>
      <c r="B2355">
        <v>3</v>
      </c>
      <c r="C2355" s="83">
        <v>19485586813</v>
      </c>
      <c r="D2355" t="s">
        <v>2156</v>
      </c>
      <c r="E2355">
        <v>57395896664</v>
      </c>
      <c r="F2355">
        <v>308392</v>
      </c>
      <c r="G2355">
        <v>52698146097</v>
      </c>
      <c r="H2355" t="s">
        <v>35</v>
      </c>
      <c r="I2355" s="36">
        <v>5962.44</v>
      </c>
      <c r="J2355" s="36">
        <v>5962.44</v>
      </c>
      <c r="K2355" s="85">
        <v>0</v>
      </c>
      <c r="L2355" s="36">
        <v>496.87</v>
      </c>
      <c r="M2355" s="36">
        <v>0</v>
      </c>
      <c r="N2355" s="36">
        <v>30.2075</v>
      </c>
      <c r="O2355" s="36">
        <v>466.66</v>
      </c>
      <c r="P2355" t="s">
        <v>137</v>
      </c>
      <c r="Q2355" t="s">
        <v>111</v>
      </c>
      <c r="R2355" t="s">
        <v>111</v>
      </c>
      <c r="S2355" s="1">
        <v>46084</v>
      </c>
      <c r="T2355" s="1">
        <v>46084</v>
      </c>
      <c r="U2355" s="1">
        <v>46084</v>
      </c>
      <c r="V2355" s="1">
        <v>46449</v>
      </c>
      <c r="W2355" t="s">
        <v>38</v>
      </c>
      <c r="X2355">
        <v>12</v>
      </c>
      <c r="Y2355" t="s">
        <v>49</v>
      </c>
      <c r="Z2355" t="s">
        <v>81</v>
      </c>
      <c r="AA2355" t="s">
        <v>112</v>
      </c>
      <c r="AB2355">
        <v>12</v>
      </c>
      <c r="AC2355" t="s">
        <v>113</v>
      </c>
      <c r="AD2355" t="s">
        <v>125</v>
      </c>
      <c r="AE2355" t="s">
        <v>43</v>
      </c>
      <c r="AF2355" t="s">
        <v>47</v>
      </c>
      <c r="AG2355" t="str">
        <f t="shared" si="39"/>
        <v>CC 12x</v>
      </c>
      <c r="AH2355" t="str">
        <f>IF(AND(SUMIF(E:E,E2355,I:I)&gt;=400000,Q2355="B2G"),"n","")</f>
        <v/>
      </c>
    </row>
    <row r="2356" spans="1:34">
      <c r="A2356">
        <v>2026</v>
      </c>
      <c r="B2356">
        <v>3</v>
      </c>
      <c r="C2356" s="83">
        <v>19485602913</v>
      </c>
      <c r="D2356" t="s">
        <v>1219</v>
      </c>
      <c r="E2356">
        <v>58320451398</v>
      </c>
      <c r="F2356">
        <v>530218</v>
      </c>
      <c r="G2356">
        <v>53666684552</v>
      </c>
      <c r="H2356" t="s">
        <v>35</v>
      </c>
      <c r="I2356" s="36">
        <v>3666.6</v>
      </c>
      <c r="J2356" s="36">
        <v>3666.6</v>
      </c>
      <c r="K2356" s="85">
        <v>0</v>
      </c>
      <c r="L2356" s="36">
        <v>305.55</v>
      </c>
      <c r="M2356" s="36">
        <v>0</v>
      </c>
      <c r="N2356" s="36">
        <v>151.73400000000001</v>
      </c>
      <c r="O2356" s="36">
        <v>153.816</v>
      </c>
      <c r="P2356" t="s">
        <v>121</v>
      </c>
      <c r="Q2356" t="s">
        <v>111</v>
      </c>
      <c r="R2356" t="s">
        <v>111</v>
      </c>
      <c r="S2356" s="1">
        <v>46111</v>
      </c>
      <c r="T2356" s="1">
        <v>46111</v>
      </c>
      <c r="U2356" s="1">
        <v>46105</v>
      </c>
      <c r="V2356" s="1">
        <v>46476</v>
      </c>
      <c r="W2356" t="s">
        <v>38</v>
      </c>
      <c r="X2356">
        <v>12</v>
      </c>
      <c r="Y2356" t="s">
        <v>49</v>
      </c>
      <c r="Z2356" t="s">
        <v>81</v>
      </c>
      <c r="AA2356" t="s">
        <v>117</v>
      </c>
      <c r="AB2356">
        <v>1</v>
      </c>
      <c r="AC2356" t="s">
        <v>113</v>
      </c>
      <c r="AD2356" t="s">
        <v>114</v>
      </c>
      <c r="AE2356" t="s">
        <v>43</v>
      </c>
      <c r="AF2356" t="s">
        <v>44</v>
      </c>
      <c r="AG2356" t="str">
        <f t="shared" si="39"/>
        <v>À Vista</v>
      </c>
      <c r="AH2356" t="str">
        <f>IF(AND(SUMIF(E:E,E2356,I:I)&gt;=400000,Q2356="B2G"),"n","")</f>
        <v/>
      </c>
    </row>
    <row r="2357" spans="1:34">
      <c r="A2357">
        <v>2026</v>
      </c>
      <c r="B2357">
        <v>3</v>
      </c>
      <c r="C2357" s="83">
        <v>19485891915</v>
      </c>
      <c r="D2357" t="s">
        <v>2157</v>
      </c>
      <c r="E2357">
        <v>58071009843</v>
      </c>
      <c r="F2357">
        <v>636732</v>
      </c>
      <c r="G2357">
        <v>53602000293</v>
      </c>
      <c r="H2357" t="s">
        <v>35</v>
      </c>
      <c r="I2357" s="36">
        <v>11976</v>
      </c>
      <c r="J2357" s="36">
        <v>5988.0277800000003</v>
      </c>
      <c r="K2357" s="85">
        <v>5987.9722199999997</v>
      </c>
      <c r="L2357" s="36">
        <v>499.00231500000001</v>
      </c>
      <c r="M2357" s="36">
        <v>0</v>
      </c>
      <c r="N2357" s="36">
        <v>499.00231500000001</v>
      </c>
      <c r="O2357" s="36">
        <v>0</v>
      </c>
      <c r="P2357" t="s">
        <v>190</v>
      </c>
      <c r="Q2357" t="s">
        <v>191</v>
      </c>
      <c r="R2357" t="s">
        <v>191</v>
      </c>
      <c r="S2357" s="1">
        <v>46108</v>
      </c>
      <c r="T2357" s="1">
        <v>46108</v>
      </c>
      <c r="U2357" s="1"/>
      <c r="V2357" s="1">
        <v>46839</v>
      </c>
      <c r="W2357" t="s">
        <v>56</v>
      </c>
      <c r="X2357">
        <v>24</v>
      </c>
      <c r="Y2357" t="s">
        <v>49</v>
      </c>
      <c r="AA2357" t="s">
        <v>122</v>
      </c>
      <c r="AB2357">
        <v>24</v>
      </c>
      <c r="AC2357" t="s">
        <v>192</v>
      </c>
      <c r="AD2357" t="s">
        <v>94</v>
      </c>
      <c r="AE2357" t="s">
        <v>95</v>
      </c>
      <c r="AF2357" t="s">
        <v>96</v>
      </c>
      <c r="AG2357" t="str">
        <f t="shared" si="39"/>
        <v>Recorrente</v>
      </c>
      <c r="AH2357" t="str">
        <f>IF(AND(SUMIF(E:E,E2357,I:I)&gt;=400000,Q2357="B2G"),"n","")</f>
        <v/>
      </c>
    </row>
    <row r="2358" spans="1:34">
      <c r="A2358">
        <v>2026</v>
      </c>
      <c r="B2358">
        <v>3</v>
      </c>
      <c r="C2358" s="83">
        <v>19485910621</v>
      </c>
      <c r="D2358" t="s">
        <v>2158</v>
      </c>
      <c r="E2358">
        <v>53232098358</v>
      </c>
      <c r="F2358">
        <v>636352</v>
      </c>
      <c r="G2358">
        <v>52704407684</v>
      </c>
      <c r="H2358" t="s">
        <v>35</v>
      </c>
      <c r="I2358" s="36">
        <v>2874</v>
      </c>
      <c r="J2358" s="36">
        <v>2874</v>
      </c>
      <c r="K2358" s="85">
        <v>0</v>
      </c>
      <c r="L2358" s="36">
        <v>239.5</v>
      </c>
      <c r="M2358" s="36">
        <v>0</v>
      </c>
      <c r="N2358" s="36">
        <v>239.5</v>
      </c>
      <c r="O2358" s="36">
        <v>0</v>
      </c>
      <c r="P2358" t="s">
        <v>367</v>
      </c>
      <c r="Q2358" t="s">
        <v>191</v>
      </c>
      <c r="R2358" t="s">
        <v>191</v>
      </c>
      <c r="S2358" s="1">
        <v>46084</v>
      </c>
      <c r="T2358" s="1">
        <v>46084</v>
      </c>
      <c r="V2358" s="1">
        <v>46456</v>
      </c>
      <c r="W2358" t="s">
        <v>38</v>
      </c>
      <c r="X2358">
        <v>12</v>
      </c>
      <c r="Y2358" t="s">
        <v>49</v>
      </c>
      <c r="AA2358" t="s">
        <v>92</v>
      </c>
      <c r="AB2358">
        <v>12</v>
      </c>
      <c r="AC2358" t="s">
        <v>192</v>
      </c>
      <c r="AD2358" t="s">
        <v>118</v>
      </c>
      <c r="AE2358" t="s">
        <v>43</v>
      </c>
      <c r="AF2358" t="s">
        <v>119</v>
      </c>
      <c r="AG2358" t="str">
        <f t="shared" si="39"/>
        <v>Recorrente</v>
      </c>
      <c r="AH2358" t="str">
        <f>IF(AND(SUMIF(E:E,E2358,I:I)&gt;=400000,Q2358="B2G"),"n","")</f>
        <v/>
      </c>
    </row>
    <row r="2359" spans="1:34">
      <c r="A2359">
        <v>2026</v>
      </c>
      <c r="B2359">
        <v>3</v>
      </c>
      <c r="C2359" s="83">
        <v>19485910648</v>
      </c>
      <c r="D2359" t="s">
        <v>2159</v>
      </c>
      <c r="E2359">
        <v>57653027857</v>
      </c>
      <c r="F2359">
        <v>617736</v>
      </c>
      <c r="G2359">
        <v>53072824627</v>
      </c>
      <c r="H2359" t="s">
        <v>35</v>
      </c>
      <c r="I2359" s="36">
        <v>1435.44</v>
      </c>
      <c r="J2359" s="36">
        <v>4766.6400000000003</v>
      </c>
      <c r="K2359" s="85">
        <v>0</v>
      </c>
      <c r="L2359" s="36">
        <v>397.22</v>
      </c>
      <c r="M2359" s="36">
        <v>0</v>
      </c>
      <c r="N2359" s="36">
        <v>397.22</v>
      </c>
      <c r="O2359" s="36">
        <v>0</v>
      </c>
      <c r="P2359" t="s">
        <v>520</v>
      </c>
      <c r="Q2359" t="s">
        <v>191</v>
      </c>
      <c r="R2359" t="s">
        <v>191</v>
      </c>
      <c r="S2359" s="1">
        <v>46091</v>
      </c>
      <c r="T2359" s="1">
        <v>46091</v>
      </c>
      <c r="U2359" s="1">
        <v>46201</v>
      </c>
      <c r="V2359" s="1">
        <v>46201</v>
      </c>
      <c r="W2359" t="s">
        <v>56</v>
      </c>
      <c r="X2359">
        <v>3</v>
      </c>
      <c r="Y2359" t="s">
        <v>49</v>
      </c>
      <c r="Z2359" t="s">
        <v>324</v>
      </c>
      <c r="AA2359" t="s">
        <v>112</v>
      </c>
      <c r="AB2359">
        <v>3</v>
      </c>
      <c r="AC2359" t="s">
        <v>192</v>
      </c>
      <c r="AD2359" t="s">
        <v>174</v>
      </c>
      <c r="AE2359" t="s">
        <v>43</v>
      </c>
      <c r="AF2359" t="s">
        <v>47</v>
      </c>
      <c r="AG2359" t="str">
        <f t="shared" si="39"/>
        <v>CC 3x</v>
      </c>
      <c r="AH2359" t="str">
        <f>IF(AND(SUMIF(E:E,E2359,I:I)&gt;=400000,Q2359="B2G"),"n","")</f>
        <v/>
      </c>
    </row>
    <row r="2360" spans="1:34">
      <c r="A2360">
        <v>2026</v>
      </c>
      <c r="B2360">
        <v>3</v>
      </c>
      <c r="C2360" s="83">
        <v>19485916269</v>
      </c>
      <c r="D2360" t="s">
        <v>2160</v>
      </c>
      <c r="E2360">
        <v>57178157889</v>
      </c>
      <c r="F2360">
        <v>636707</v>
      </c>
      <c r="G2360">
        <v>53451852376</v>
      </c>
      <c r="H2360" t="s">
        <v>35</v>
      </c>
      <c r="I2360" s="36">
        <v>691200</v>
      </c>
      <c r="J2360" s="36">
        <v>230400</v>
      </c>
      <c r="K2360" s="85">
        <v>460800</v>
      </c>
      <c r="L2360" s="36">
        <v>19200</v>
      </c>
      <c r="M2360" s="36">
        <v>19200</v>
      </c>
      <c r="N2360" s="36">
        <v>0</v>
      </c>
      <c r="O2360" s="36">
        <v>0</v>
      </c>
      <c r="P2360" t="s">
        <v>1192</v>
      </c>
      <c r="Q2360" t="s">
        <v>1193</v>
      </c>
      <c r="R2360" t="s">
        <v>1193</v>
      </c>
      <c r="S2360" s="1">
        <v>46107</v>
      </c>
      <c r="T2360" s="1">
        <v>46107</v>
      </c>
      <c r="U2360" s="1"/>
      <c r="V2360" s="1">
        <v>47203</v>
      </c>
      <c r="W2360" t="s">
        <v>102</v>
      </c>
      <c r="X2360">
        <v>36</v>
      </c>
      <c r="Y2360" t="s">
        <v>49</v>
      </c>
      <c r="AA2360" t="s">
        <v>92</v>
      </c>
      <c r="AB2360">
        <v>36</v>
      </c>
      <c r="AC2360" t="s">
        <v>1195</v>
      </c>
      <c r="AD2360" t="s">
        <v>2161</v>
      </c>
      <c r="AE2360" t="s">
        <v>106</v>
      </c>
      <c r="AF2360" t="s">
        <v>59</v>
      </c>
      <c r="AG2360" t="str">
        <f t="shared" si="39"/>
        <v>Recorrente</v>
      </c>
      <c r="AH2360" t="str">
        <f>IF(AND(SUMIF(E:E,E2360,I:I)&gt;=400000,Q2360="B2G"),"n","")</f>
        <v/>
      </c>
    </row>
    <row r="2361" spans="1:34">
      <c r="A2361">
        <v>2026</v>
      </c>
      <c r="B2361">
        <v>3</v>
      </c>
      <c r="C2361" s="83">
        <v>19485916269</v>
      </c>
      <c r="D2361" t="s">
        <v>2160</v>
      </c>
      <c r="E2361">
        <v>58135905078</v>
      </c>
      <c r="F2361">
        <v>636709</v>
      </c>
      <c r="G2361">
        <v>53451832953</v>
      </c>
      <c r="H2361" t="s">
        <v>673</v>
      </c>
      <c r="I2361" s="36">
        <v>84000</v>
      </c>
      <c r="J2361" s="36">
        <v>0</v>
      </c>
      <c r="K2361" s="85">
        <v>0</v>
      </c>
      <c r="L2361" s="36">
        <v>0</v>
      </c>
      <c r="M2361" s="36">
        <v>0</v>
      </c>
      <c r="N2361" s="36">
        <v>0</v>
      </c>
      <c r="O2361" s="36">
        <v>0</v>
      </c>
      <c r="P2361" t="s">
        <v>1192</v>
      </c>
      <c r="Q2361" t="s">
        <v>1193</v>
      </c>
      <c r="R2361" t="s">
        <v>1193</v>
      </c>
      <c r="S2361" s="1">
        <v>46107</v>
      </c>
      <c r="T2361" s="1">
        <v>46107</v>
      </c>
      <c r="V2361" s="1">
        <v>47203</v>
      </c>
      <c r="W2361" t="s">
        <v>102</v>
      </c>
      <c r="X2361">
        <v>36</v>
      </c>
      <c r="Y2361" t="s">
        <v>1229</v>
      </c>
      <c r="AA2361" t="s">
        <v>82</v>
      </c>
      <c r="AB2361">
        <v>1</v>
      </c>
      <c r="AC2361" t="s">
        <v>1195</v>
      </c>
      <c r="AD2361" t="s">
        <v>2162</v>
      </c>
      <c r="AE2361" t="s">
        <v>46</v>
      </c>
      <c r="AF2361" t="s">
        <v>59</v>
      </c>
      <c r="AG2361" t="str">
        <f t="shared" si="39"/>
        <v>À Vista</v>
      </c>
      <c r="AH2361" t="str">
        <f>IF(AND(SUMIF(E:E,E2361,I:I)&gt;=400000,Q2361="B2G"),"n","")</f>
        <v/>
      </c>
    </row>
    <row r="2362" spans="1:34">
      <c r="A2362">
        <v>2026</v>
      </c>
      <c r="B2362">
        <v>3</v>
      </c>
      <c r="C2362" s="83">
        <v>19485926972</v>
      </c>
      <c r="D2362" t="s">
        <v>2163</v>
      </c>
      <c r="E2362">
        <v>55925512866</v>
      </c>
      <c r="F2362">
        <v>529491</v>
      </c>
      <c r="G2362">
        <v>53530331494</v>
      </c>
      <c r="H2362" t="s">
        <v>35</v>
      </c>
      <c r="I2362" s="36">
        <v>5676</v>
      </c>
      <c r="J2362" s="36">
        <v>5676</v>
      </c>
      <c r="K2362" s="85">
        <v>0</v>
      </c>
      <c r="L2362" s="36">
        <v>473</v>
      </c>
      <c r="M2362" s="36">
        <v>0</v>
      </c>
      <c r="N2362" s="36">
        <v>57.83</v>
      </c>
      <c r="O2362" s="36">
        <v>415.17</v>
      </c>
      <c r="P2362" t="s">
        <v>127</v>
      </c>
      <c r="Q2362" t="s">
        <v>111</v>
      </c>
      <c r="R2362" t="s">
        <v>111</v>
      </c>
      <c r="S2362" s="1">
        <v>46105</v>
      </c>
      <c r="T2362" s="1">
        <v>46105</v>
      </c>
      <c r="U2362" s="1">
        <v>46108</v>
      </c>
      <c r="V2362" s="1">
        <v>46473</v>
      </c>
      <c r="W2362" t="s">
        <v>38</v>
      </c>
      <c r="X2362">
        <v>12</v>
      </c>
      <c r="Y2362" t="s">
        <v>49</v>
      </c>
      <c r="Z2362" t="s">
        <v>81</v>
      </c>
      <c r="AA2362" t="s">
        <v>112</v>
      </c>
      <c r="AB2362">
        <v>12</v>
      </c>
      <c r="AC2362" t="s">
        <v>113</v>
      </c>
      <c r="AD2362" t="s">
        <v>94</v>
      </c>
      <c r="AE2362" t="s">
        <v>95</v>
      </c>
      <c r="AF2362" t="s">
        <v>96</v>
      </c>
      <c r="AG2362" t="str">
        <f t="shared" si="39"/>
        <v>CC 12x</v>
      </c>
      <c r="AH2362" t="str">
        <f>IF(AND(SUMIF(E:E,E2362,I:I)&gt;=400000,Q2362="B2G"),"n","")</f>
        <v/>
      </c>
    </row>
    <row r="2363" spans="1:34">
      <c r="A2363">
        <v>2026</v>
      </c>
      <c r="B2363">
        <v>3</v>
      </c>
      <c r="C2363" s="83">
        <v>19485932899</v>
      </c>
      <c r="D2363" t="s">
        <v>2164</v>
      </c>
      <c r="E2363">
        <v>56223809353</v>
      </c>
      <c r="F2363">
        <v>636445</v>
      </c>
      <c r="G2363">
        <v>53140699450</v>
      </c>
      <c r="H2363" t="s">
        <v>35</v>
      </c>
      <c r="I2363" s="36">
        <v>10068</v>
      </c>
      <c r="J2363" s="36">
        <v>10068</v>
      </c>
      <c r="K2363" s="85">
        <v>0</v>
      </c>
      <c r="L2363" s="36">
        <v>839</v>
      </c>
      <c r="M2363" s="36">
        <v>0</v>
      </c>
      <c r="N2363" s="36">
        <v>65</v>
      </c>
      <c r="O2363" s="36">
        <v>774</v>
      </c>
      <c r="P2363" t="s">
        <v>367</v>
      </c>
      <c r="Q2363" t="s">
        <v>191</v>
      </c>
      <c r="R2363" t="s">
        <v>191</v>
      </c>
      <c r="S2363" s="1">
        <v>46091</v>
      </c>
      <c r="T2363" s="1">
        <v>46091</v>
      </c>
      <c r="V2363" s="1">
        <v>46456</v>
      </c>
      <c r="W2363" t="s">
        <v>38</v>
      </c>
      <c r="Y2363" t="s">
        <v>49</v>
      </c>
      <c r="AA2363" t="s">
        <v>122</v>
      </c>
      <c r="AB2363">
        <v>12</v>
      </c>
      <c r="AC2363" t="s">
        <v>192</v>
      </c>
      <c r="AD2363" t="s">
        <v>84</v>
      </c>
      <c r="AE2363" t="s">
        <v>43</v>
      </c>
      <c r="AF2363" t="s">
        <v>44</v>
      </c>
      <c r="AG2363" t="str">
        <f t="shared" si="39"/>
        <v>Recorrente</v>
      </c>
      <c r="AH2363" t="str">
        <f>IF(AND(SUMIF(E:E,E2363,I:I)&gt;=400000,Q2363="B2G"),"n","")</f>
        <v/>
      </c>
    </row>
    <row r="2364" spans="1:34">
      <c r="A2364">
        <v>2026</v>
      </c>
      <c r="B2364">
        <v>3</v>
      </c>
      <c r="C2364" s="83">
        <v>19485932980</v>
      </c>
      <c r="D2364" t="s">
        <v>2165</v>
      </c>
      <c r="E2364">
        <v>58332666131</v>
      </c>
      <c r="F2364">
        <v>619424</v>
      </c>
      <c r="G2364">
        <v>53530339436</v>
      </c>
      <c r="H2364" t="s">
        <v>35</v>
      </c>
      <c r="I2364" s="36">
        <v>2767.68</v>
      </c>
      <c r="J2364" s="36">
        <v>1932.9372969999999</v>
      </c>
      <c r="K2364" s="85">
        <v>834.74270279999996</v>
      </c>
      <c r="L2364" s="36">
        <v>161.07810810000001</v>
      </c>
      <c r="M2364" s="36">
        <v>0</v>
      </c>
      <c r="N2364" s="36">
        <v>161.07810810000001</v>
      </c>
      <c r="O2364" s="36">
        <v>0</v>
      </c>
      <c r="P2364" t="s">
        <v>520</v>
      </c>
      <c r="Q2364" t="s">
        <v>191</v>
      </c>
      <c r="R2364" t="s">
        <v>191</v>
      </c>
      <c r="S2364" s="1">
        <v>46105</v>
      </c>
      <c r="T2364" s="1">
        <v>46105</v>
      </c>
      <c r="U2364" s="1">
        <v>46628</v>
      </c>
      <c r="V2364" s="1">
        <v>46628</v>
      </c>
      <c r="W2364" t="s">
        <v>102</v>
      </c>
      <c r="X2364">
        <v>17</v>
      </c>
      <c r="Y2364" t="s">
        <v>49</v>
      </c>
      <c r="Z2364" t="s">
        <v>324</v>
      </c>
      <c r="AA2364" t="s">
        <v>122</v>
      </c>
      <c r="AB2364">
        <v>16</v>
      </c>
      <c r="AC2364" t="s">
        <v>192</v>
      </c>
      <c r="AD2364" t="s">
        <v>550</v>
      </c>
      <c r="AE2364" t="s">
        <v>363</v>
      </c>
      <c r="AF2364" t="s">
        <v>59</v>
      </c>
      <c r="AG2364" t="str">
        <f t="shared" ref="AG2364:AG2427" si="40">IF(IFERROR(SEARCH("Recorrente",AA2364),0)&gt;0,"Recorrente",IF(AB2364=1,"À Vista",IF(AB2364&lt;=3,"CC 3x",IF(AB2364&lt;=12,"CC 12x",IF(AB2364&gt;12,"Recorrente","")))))</f>
        <v>Recorrente</v>
      </c>
      <c r="AH2364" t="str">
        <f>IF(AND(SUMIF(E:E,E2364,I:I)&gt;=400000,Q2364="B2G"),"n","")</f>
        <v/>
      </c>
    </row>
    <row r="2365" spans="1:34">
      <c r="A2365">
        <v>2026</v>
      </c>
      <c r="B2365">
        <v>3</v>
      </c>
      <c r="C2365" s="83">
        <v>19485939129</v>
      </c>
      <c r="D2365" t="s">
        <v>2166</v>
      </c>
      <c r="E2365">
        <v>57553077371</v>
      </c>
      <c r="F2365">
        <v>636374</v>
      </c>
      <c r="G2365">
        <v>52873331469</v>
      </c>
      <c r="H2365" t="s">
        <v>35</v>
      </c>
      <c r="I2365" s="36">
        <v>6354</v>
      </c>
      <c r="J2365" s="36">
        <v>6354</v>
      </c>
      <c r="K2365" s="85">
        <v>0</v>
      </c>
      <c r="L2365" s="36">
        <v>529.5</v>
      </c>
      <c r="M2365" s="36">
        <v>529.5</v>
      </c>
      <c r="N2365" s="36">
        <v>0</v>
      </c>
      <c r="O2365" s="36">
        <v>0</v>
      </c>
      <c r="P2365" t="s">
        <v>348</v>
      </c>
      <c r="Q2365" t="s">
        <v>349</v>
      </c>
      <c r="R2365" t="s">
        <v>349</v>
      </c>
      <c r="S2365" s="1">
        <v>46086</v>
      </c>
      <c r="T2365" s="1">
        <v>46086</v>
      </c>
      <c r="U2365" s="1"/>
      <c r="V2365" s="1">
        <v>46451</v>
      </c>
      <c r="W2365" t="s">
        <v>38</v>
      </c>
      <c r="X2365">
        <v>12</v>
      </c>
      <c r="Y2365" t="s">
        <v>49</v>
      </c>
      <c r="AA2365" t="s">
        <v>112</v>
      </c>
      <c r="AB2365">
        <v>12</v>
      </c>
      <c r="AC2365" t="s">
        <v>350</v>
      </c>
      <c r="AD2365" t="s">
        <v>149</v>
      </c>
      <c r="AE2365" t="s">
        <v>43</v>
      </c>
      <c r="AF2365" t="s">
        <v>96</v>
      </c>
      <c r="AG2365" t="str">
        <f t="shared" si="40"/>
        <v>CC 12x</v>
      </c>
      <c r="AH2365" t="str">
        <f>IF(AND(SUMIF(E:E,E2365,I:I)&gt;=400000,Q2365="B2G"),"n","")</f>
        <v/>
      </c>
    </row>
    <row r="2366" spans="1:34">
      <c r="A2366">
        <v>2026</v>
      </c>
      <c r="B2366">
        <v>3</v>
      </c>
      <c r="C2366" s="83">
        <v>19485946005</v>
      </c>
      <c r="D2366" t="s">
        <v>1226</v>
      </c>
      <c r="E2366">
        <v>58022879800</v>
      </c>
      <c r="F2366">
        <v>610374</v>
      </c>
      <c r="G2366">
        <v>53317217169</v>
      </c>
      <c r="H2366" t="s">
        <v>35</v>
      </c>
      <c r="I2366" s="36">
        <v>4576.2</v>
      </c>
      <c r="J2366" s="36">
        <v>4803.3599999999997</v>
      </c>
      <c r="K2366" s="85">
        <v>0</v>
      </c>
      <c r="L2366" s="36">
        <v>400.28</v>
      </c>
      <c r="M2366" s="36">
        <v>0</v>
      </c>
      <c r="N2366" s="36">
        <v>400.28</v>
      </c>
      <c r="O2366" s="36">
        <v>0</v>
      </c>
      <c r="P2366" t="s">
        <v>190</v>
      </c>
      <c r="Q2366" t="s">
        <v>191</v>
      </c>
      <c r="R2366" t="s">
        <v>191</v>
      </c>
      <c r="S2366" s="1">
        <v>46098</v>
      </c>
      <c r="T2366" s="1">
        <v>46098</v>
      </c>
      <c r="U2366" s="1">
        <v>46446</v>
      </c>
      <c r="V2366" s="1">
        <v>46446</v>
      </c>
      <c r="W2366" t="s">
        <v>38</v>
      </c>
      <c r="X2366">
        <v>11</v>
      </c>
      <c r="Y2366" t="s">
        <v>49</v>
      </c>
      <c r="Z2366" t="s">
        <v>324</v>
      </c>
      <c r="AA2366" t="s">
        <v>112</v>
      </c>
      <c r="AB2366">
        <v>11</v>
      </c>
      <c r="AC2366" t="s">
        <v>192</v>
      </c>
      <c r="AD2366" t="s">
        <v>154</v>
      </c>
      <c r="AE2366" t="s">
        <v>46</v>
      </c>
      <c r="AF2366" t="s">
        <v>47</v>
      </c>
      <c r="AG2366" t="str">
        <f t="shared" si="40"/>
        <v>CC 12x</v>
      </c>
      <c r="AH2366" t="str">
        <f>IF(AND(SUMIF(E:E,E2366,I:I)&gt;=400000,Q2366="B2G"),"n","")</f>
        <v/>
      </c>
    </row>
    <row r="2367" spans="1:34">
      <c r="A2367">
        <v>2026</v>
      </c>
      <c r="B2367">
        <v>3</v>
      </c>
      <c r="C2367" s="83">
        <v>19485961902</v>
      </c>
      <c r="D2367" t="s">
        <v>2167</v>
      </c>
      <c r="E2367">
        <v>57855715362</v>
      </c>
      <c r="F2367">
        <v>636432</v>
      </c>
      <c r="G2367">
        <v>53090578856</v>
      </c>
      <c r="H2367" t="s">
        <v>35</v>
      </c>
      <c r="I2367" s="36">
        <v>3742</v>
      </c>
      <c r="J2367" s="36">
        <v>3742</v>
      </c>
      <c r="K2367" s="85">
        <v>0</v>
      </c>
      <c r="L2367" s="36">
        <v>311.83333329999999</v>
      </c>
      <c r="M2367" s="36">
        <v>0</v>
      </c>
      <c r="N2367" s="36">
        <v>0</v>
      </c>
      <c r="O2367" s="36">
        <v>311.82958330000002</v>
      </c>
      <c r="P2367" t="s">
        <v>116</v>
      </c>
      <c r="Q2367" t="s">
        <v>111</v>
      </c>
      <c r="R2367" t="s">
        <v>111</v>
      </c>
      <c r="S2367" s="1">
        <v>46092</v>
      </c>
      <c r="T2367" s="1">
        <v>46092</v>
      </c>
      <c r="U2367" s="1">
        <v>46079</v>
      </c>
      <c r="V2367" s="1">
        <v>46457</v>
      </c>
      <c r="W2367" t="s">
        <v>38</v>
      </c>
      <c r="X2367">
        <v>13</v>
      </c>
      <c r="Y2367" t="s">
        <v>49</v>
      </c>
      <c r="Z2367" t="s">
        <v>76</v>
      </c>
      <c r="AA2367" t="s">
        <v>112</v>
      </c>
      <c r="AB2367">
        <v>12</v>
      </c>
      <c r="AC2367" t="s">
        <v>113</v>
      </c>
      <c r="AD2367" t="s">
        <v>160</v>
      </c>
      <c r="AE2367" t="s">
        <v>43</v>
      </c>
      <c r="AF2367" t="s">
        <v>44</v>
      </c>
      <c r="AG2367" t="str">
        <f t="shared" si="40"/>
        <v>CC 12x</v>
      </c>
      <c r="AH2367" t="str">
        <f>IF(AND(SUMIF(E:E,E2367,I:I)&gt;=400000,Q2367="B2G"),"n","")</f>
        <v/>
      </c>
    </row>
    <row r="2368" spans="1:34">
      <c r="A2368">
        <v>2026</v>
      </c>
      <c r="B2368">
        <v>3</v>
      </c>
      <c r="C2368" s="83">
        <v>19485961902</v>
      </c>
      <c r="D2368" t="s">
        <v>2167</v>
      </c>
      <c r="E2368">
        <v>57855715362</v>
      </c>
      <c r="F2368">
        <v>636432</v>
      </c>
      <c r="G2368">
        <v>53090578857</v>
      </c>
      <c r="H2368" t="s">
        <v>35</v>
      </c>
      <c r="I2368" s="36">
        <v>3742</v>
      </c>
      <c r="J2368" s="36">
        <v>3742</v>
      </c>
      <c r="K2368" s="85">
        <v>0</v>
      </c>
      <c r="L2368" s="36">
        <v>311.83333329999999</v>
      </c>
      <c r="M2368" s="36">
        <v>0</v>
      </c>
      <c r="N2368" s="36">
        <v>0</v>
      </c>
      <c r="O2368" s="36">
        <v>311.82958330000002</v>
      </c>
      <c r="P2368" t="s">
        <v>116</v>
      </c>
      <c r="Q2368" t="s">
        <v>111</v>
      </c>
      <c r="R2368" t="s">
        <v>111</v>
      </c>
      <c r="S2368" s="1">
        <v>46092</v>
      </c>
      <c r="T2368" s="1">
        <v>46092</v>
      </c>
      <c r="U2368" s="1">
        <v>46079</v>
      </c>
      <c r="V2368" s="1">
        <v>46457</v>
      </c>
      <c r="W2368" t="s">
        <v>38</v>
      </c>
      <c r="X2368">
        <v>13</v>
      </c>
      <c r="Y2368" t="s">
        <v>49</v>
      </c>
      <c r="Z2368" t="s">
        <v>76</v>
      </c>
      <c r="AA2368" t="s">
        <v>112</v>
      </c>
      <c r="AB2368">
        <v>12</v>
      </c>
      <c r="AC2368" t="s">
        <v>113</v>
      </c>
      <c r="AD2368" t="s">
        <v>114</v>
      </c>
      <c r="AE2368" t="s">
        <v>43</v>
      </c>
      <c r="AF2368" t="s">
        <v>44</v>
      </c>
      <c r="AG2368" t="str">
        <f t="shared" si="40"/>
        <v>CC 12x</v>
      </c>
      <c r="AH2368" t="str">
        <f>IF(AND(SUMIF(E:E,E2368,I:I)&gt;=400000,Q2368="B2G"),"n","")</f>
        <v/>
      </c>
    </row>
    <row r="2369" spans="1:34">
      <c r="A2369">
        <v>2026</v>
      </c>
      <c r="B2369">
        <v>3</v>
      </c>
      <c r="C2369" s="83">
        <v>19485961902</v>
      </c>
      <c r="D2369" t="s">
        <v>2167</v>
      </c>
      <c r="E2369">
        <v>57855715362</v>
      </c>
      <c r="F2369">
        <v>636432</v>
      </c>
      <c r="G2369">
        <v>53090578858</v>
      </c>
      <c r="H2369" t="s">
        <v>35</v>
      </c>
      <c r="I2369" s="36">
        <v>3742</v>
      </c>
      <c r="J2369" s="36">
        <v>3742</v>
      </c>
      <c r="K2369" s="85">
        <v>0</v>
      </c>
      <c r="L2369" s="36">
        <v>311.83333329999999</v>
      </c>
      <c r="M2369" s="36">
        <v>0</v>
      </c>
      <c r="N2369" s="36">
        <v>0</v>
      </c>
      <c r="O2369" s="36">
        <v>311.82958330000002</v>
      </c>
      <c r="P2369" t="s">
        <v>116</v>
      </c>
      <c r="Q2369" t="s">
        <v>111</v>
      </c>
      <c r="R2369" t="s">
        <v>111</v>
      </c>
      <c r="S2369" s="1">
        <v>46092</v>
      </c>
      <c r="T2369" s="1">
        <v>46092</v>
      </c>
      <c r="U2369" s="1">
        <v>46079</v>
      </c>
      <c r="V2369" s="1">
        <v>46457</v>
      </c>
      <c r="W2369" t="s">
        <v>38</v>
      </c>
      <c r="X2369">
        <v>13</v>
      </c>
      <c r="Y2369" t="s">
        <v>49</v>
      </c>
      <c r="Z2369" t="s">
        <v>76</v>
      </c>
      <c r="AA2369" t="s">
        <v>112</v>
      </c>
      <c r="AB2369">
        <v>12</v>
      </c>
      <c r="AC2369" t="s">
        <v>113</v>
      </c>
      <c r="AD2369" t="s">
        <v>85</v>
      </c>
      <c r="AE2369" t="s">
        <v>46</v>
      </c>
      <c r="AF2369" t="s">
        <v>44</v>
      </c>
      <c r="AG2369" t="str">
        <f t="shared" si="40"/>
        <v>CC 12x</v>
      </c>
      <c r="AH2369" t="str">
        <f>IF(AND(SUMIF(E:E,E2369,I:I)&gt;=400000,Q2369="B2G"),"n","")</f>
        <v/>
      </c>
    </row>
    <row r="2370" spans="1:34">
      <c r="A2370">
        <v>2026</v>
      </c>
      <c r="B2370">
        <v>3</v>
      </c>
      <c r="C2370" s="83">
        <v>19485962055</v>
      </c>
      <c r="D2370" t="s">
        <v>2168</v>
      </c>
      <c r="E2370">
        <v>36825813766</v>
      </c>
      <c r="F2370">
        <v>636478</v>
      </c>
      <c r="G2370">
        <v>53172560702</v>
      </c>
      <c r="H2370" t="s">
        <v>35</v>
      </c>
      <c r="I2370" s="36">
        <v>9288</v>
      </c>
      <c r="J2370" s="36">
        <v>9288</v>
      </c>
      <c r="K2370" s="85">
        <v>0</v>
      </c>
      <c r="L2370" s="36">
        <v>774</v>
      </c>
      <c r="M2370" s="36">
        <v>774</v>
      </c>
      <c r="N2370" s="36">
        <v>0</v>
      </c>
      <c r="O2370" s="36">
        <v>0</v>
      </c>
      <c r="P2370" t="s">
        <v>1165</v>
      </c>
      <c r="Q2370" t="s">
        <v>37</v>
      </c>
      <c r="R2370" t="s">
        <v>37</v>
      </c>
      <c r="S2370" s="1">
        <v>46093</v>
      </c>
      <c r="T2370" s="1">
        <v>46093</v>
      </c>
      <c r="U2370" s="1"/>
      <c r="V2370" s="1">
        <v>46458</v>
      </c>
      <c r="W2370" t="s">
        <v>38</v>
      </c>
      <c r="X2370">
        <v>12</v>
      </c>
      <c r="Y2370" t="s">
        <v>49</v>
      </c>
      <c r="AA2370" t="s">
        <v>40</v>
      </c>
      <c r="AB2370">
        <v>1</v>
      </c>
      <c r="AC2370" t="s">
        <v>41</v>
      </c>
      <c r="AD2370" t="s">
        <v>53</v>
      </c>
      <c r="AE2370" t="s">
        <v>43</v>
      </c>
      <c r="AF2370" t="s">
        <v>44</v>
      </c>
      <c r="AG2370" t="str">
        <f t="shared" si="40"/>
        <v>À Vista</v>
      </c>
      <c r="AH2370" t="str">
        <f>IF(AND(SUMIF(E:E,E2370,I:I)&gt;=400000,Q2370="B2G"),"n","")</f>
        <v/>
      </c>
    </row>
    <row r="2371" spans="1:34">
      <c r="A2371">
        <v>2026</v>
      </c>
      <c r="B2371">
        <v>3</v>
      </c>
      <c r="C2371" s="83">
        <v>19485962055</v>
      </c>
      <c r="D2371" t="s">
        <v>2168</v>
      </c>
      <c r="E2371">
        <v>36825813766</v>
      </c>
      <c r="F2371">
        <v>636478</v>
      </c>
      <c r="G2371">
        <v>53172560703</v>
      </c>
      <c r="H2371" t="s">
        <v>35</v>
      </c>
      <c r="I2371" s="36">
        <v>10872</v>
      </c>
      <c r="J2371" s="36">
        <v>10872</v>
      </c>
      <c r="K2371" s="85">
        <v>0</v>
      </c>
      <c r="L2371" s="36">
        <v>906</v>
      </c>
      <c r="M2371" s="36">
        <v>906</v>
      </c>
      <c r="N2371" s="36">
        <v>0</v>
      </c>
      <c r="O2371" s="36">
        <v>0</v>
      </c>
      <c r="P2371" t="s">
        <v>1165</v>
      </c>
      <c r="Q2371" t="s">
        <v>37</v>
      </c>
      <c r="R2371" t="s">
        <v>37</v>
      </c>
      <c r="S2371" s="1">
        <v>46093</v>
      </c>
      <c r="T2371" s="1">
        <v>46093</v>
      </c>
      <c r="U2371" s="1"/>
      <c r="V2371" s="1">
        <v>46458</v>
      </c>
      <c r="W2371" t="s">
        <v>38</v>
      </c>
      <c r="X2371">
        <v>12</v>
      </c>
      <c r="Y2371" t="s">
        <v>49</v>
      </c>
      <c r="AA2371" t="s">
        <v>40</v>
      </c>
      <c r="AB2371">
        <v>1</v>
      </c>
      <c r="AC2371" t="s">
        <v>41</v>
      </c>
      <c r="AD2371" t="s">
        <v>54</v>
      </c>
      <c r="AE2371" t="s">
        <v>46</v>
      </c>
      <c r="AF2371" t="s">
        <v>44</v>
      </c>
      <c r="AG2371" t="str">
        <f t="shared" si="40"/>
        <v>À Vista</v>
      </c>
      <c r="AH2371" t="str">
        <f>IF(AND(SUMIF(E:E,E2371,I:I)&gt;=400000,Q2371="B2G"),"n","")</f>
        <v/>
      </c>
    </row>
    <row r="2372" spans="1:34">
      <c r="A2372">
        <v>2026</v>
      </c>
      <c r="B2372">
        <v>3</v>
      </c>
      <c r="C2372" s="83">
        <v>19485975155</v>
      </c>
      <c r="D2372" t="s">
        <v>2169</v>
      </c>
      <c r="E2372">
        <v>58610047808</v>
      </c>
      <c r="F2372">
        <v>624761</v>
      </c>
      <c r="G2372">
        <v>53748078389</v>
      </c>
      <c r="H2372" t="s">
        <v>35</v>
      </c>
      <c r="I2372" s="36">
        <v>4633.4399999999996</v>
      </c>
      <c r="J2372" s="36">
        <v>1158.3599999999999</v>
      </c>
      <c r="K2372" s="85">
        <v>3475.08</v>
      </c>
      <c r="L2372" s="36">
        <v>96.53</v>
      </c>
      <c r="M2372" s="36">
        <v>0</v>
      </c>
      <c r="N2372" s="36">
        <v>96.53</v>
      </c>
      <c r="O2372" s="36">
        <v>0</v>
      </c>
      <c r="P2372" t="s">
        <v>520</v>
      </c>
      <c r="Q2372" t="s">
        <v>191</v>
      </c>
      <c r="R2372" t="s">
        <v>191</v>
      </c>
      <c r="S2372" s="1">
        <v>46112</v>
      </c>
      <c r="T2372" s="1">
        <v>46112</v>
      </c>
      <c r="U2372" s="1">
        <v>47097</v>
      </c>
      <c r="V2372" s="1">
        <v>47097</v>
      </c>
      <c r="W2372" t="s">
        <v>691</v>
      </c>
      <c r="X2372">
        <v>33</v>
      </c>
      <c r="Y2372" t="s">
        <v>49</v>
      </c>
      <c r="Z2372" t="s">
        <v>324</v>
      </c>
      <c r="AA2372" t="s">
        <v>122</v>
      </c>
      <c r="AB2372">
        <v>32</v>
      </c>
      <c r="AC2372" t="s">
        <v>192</v>
      </c>
      <c r="AD2372" t="s">
        <v>550</v>
      </c>
      <c r="AE2372" t="s">
        <v>363</v>
      </c>
      <c r="AF2372" t="s">
        <v>59</v>
      </c>
      <c r="AG2372" t="str">
        <f t="shared" si="40"/>
        <v>Recorrente</v>
      </c>
      <c r="AH2372" t="str">
        <f>IF(AND(SUMIF(E:E,E2372,I:I)&gt;=400000,Q2372="B2G"),"n","")</f>
        <v/>
      </c>
    </row>
    <row r="2373" spans="1:34">
      <c r="A2373">
        <v>2026</v>
      </c>
      <c r="B2373">
        <v>3</v>
      </c>
      <c r="C2373" s="83">
        <v>19485975155</v>
      </c>
      <c r="D2373" t="s">
        <v>2169</v>
      </c>
      <c r="E2373">
        <v>58610047808</v>
      </c>
      <c r="F2373">
        <v>624761</v>
      </c>
      <c r="G2373">
        <v>53748078390</v>
      </c>
      <c r="H2373" t="s">
        <v>35</v>
      </c>
      <c r="I2373" s="36">
        <v>4633.4399999999996</v>
      </c>
      <c r="J2373" s="36">
        <v>1158.3599999999999</v>
      </c>
      <c r="K2373" s="85">
        <v>3475.08</v>
      </c>
      <c r="L2373" s="36">
        <v>96.53</v>
      </c>
      <c r="M2373" s="36">
        <v>0</v>
      </c>
      <c r="N2373" s="36">
        <v>96.53</v>
      </c>
      <c r="O2373" s="36">
        <v>0</v>
      </c>
      <c r="P2373" t="s">
        <v>520</v>
      </c>
      <c r="Q2373" t="s">
        <v>191</v>
      </c>
      <c r="R2373" t="s">
        <v>191</v>
      </c>
      <c r="S2373" s="1">
        <v>46112</v>
      </c>
      <c r="T2373" s="1">
        <v>46112</v>
      </c>
      <c r="U2373" s="1">
        <v>47097</v>
      </c>
      <c r="V2373" s="1">
        <v>47097</v>
      </c>
      <c r="W2373" t="s">
        <v>691</v>
      </c>
      <c r="X2373">
        <v>33</v>
      </c>
      <c r="Y2373" t="s">
        <v>49</v>
      </c>
      <c r="Z2373" t="s">
        <v>324</v>
      </c>
      <c r="AA2373" t="s">
        <v>122</v>
      </c>
      <c r="AB2373">
        <v>32</v>
      </c>
      <c r="AC2373" t="s">
        <v>192</v>
      </c>
      <c r="AD2373" t="s">
        <v>527</v>
      </c>
      <c r="AE2373" t="s">
        <v>257</v>
      </c>
      <c r="AF2373" t="s">
        <v>59</v>
      </c>
      <c r="AG2373" t="str">
        <f t="shared" si="40"/>
        <v>Recorrente</v>
      </c>
      <c r="AH2373" t="str">
        <f>IF(AND(SUMIF(E:E,E2373,I:I)&gt;=400000,Q2373="B2G"),"n","")</f>
        <v/>
      </c>
    </row>
    <row r="2374" spans="1:34">
      <c r="A2374">
        <v>2026</v>
      </c>
      <c r="B2374">
        <v>3</v>
      </c>
      <c r="C2374" s="83">
        <v>19485981002</v>
      </c>
      <c r="D2374" t="s">
        <v>2170</v>
      </c>
      <c r="E2374">
        <v>57627825477</v>
      </c>
      <c r="F2374">
        <v>636394</v>
      </c>
      <c r="G2374">
        <v>52915610535</v>
      </c>
      <c r="H2374" t="s">
        <v>35</v>
      </c>
      <c r="I2374" s="36">
        <v>2874</v>
      </c>
      <c r="J2374" s="36">
        <v>2874</v>
      </c>
      <c r="K2374" s="85">
        <v>0</v>
      </c>
      <c r="L2374" s="36">
        <v>239.5</v>
      </c>
      <c r="M2374" s="36">
        <v>0</v>
      </c>
      <c r="N2374" s="36">
        <v>239.5</v>
      </c>
      <c r="O2374" s="36">
        <v>0</v>
      </c>
      <c r="P2374" t="s">
        <v>367</v>
      </c>
      <c r="Q2374" t="s">
        <v>191</v>
      </c>
      <c r="R2374" t="s">
        <v>191</v>
      </c>
      <c r="S2374" s="1">
        <v>46087</v>
      </c>
      <c r="T2374" s="1">
        <v>46087</v>
      </c>
      <c r="U2374" s="1"/>
      <c r="V2374" s="1">
        <v>46452</v>
      </c>
      <c r="W2374" t="s">
        <v>38</v>
      </c>
      <c r="X2374">
        <v>12</v>
      </c>
      <c r="Y2374" t="s">
        <v>49</v>
      </c>
      <c r="AA2374" t="s">
        <v>112</v>
      </c>
      <c r="AB2374">
        <v>12</v>
      </c>
      <c r="AC2374" t="s">
        <v>192</v>
      </c>
      <c r="AD2374" t="s">
        <v>118</v>
      </c>
      <c r="AE2374" t="s">
        <v>43</v>
      </c>
      <c r="AF2374" t="s">
        <v>119</v>
      </c>
      <c r="AG2374" t="str">
        <f t="shared" si="40"/>
        <v>CC 12x</v>
      </c>
      <c r="AH2374" t="str">
        <f>IF(AND(SUMIF(E:E,E2374,I:I)&gt;=400000,Q2374="B2G"),"n","")</f>
        <v/>
      </c>
    </row>
    <row r="2375" spans="1:34">
      <c r="A2375">
        <v>2026</v>
      </c>
      <c r="B2375">
        <v>3</v>
      </c>
      <c r="C2375" s="83">
        <v>19485984044</v>
      </c>
      <c r="D2375" t="s">
        <v>2171</v>
      </c>
      <c r="E2375">
        <v>55489915426</v>
      </c>
      <c r="F2375">
        <v>531130</v>
      </c>
      <c r="G2375">
        <v>52798303667</v>
      </c>
      <c r="H2375" t="s">
        <v>35</v>
      </c>
      <c r="I2375" s="36">
        <v>12912</v>
      </c>
      <c r="J2375" s="36">
        <v>12912</v>
      </c>
      <c r="K2375" s="85">
        <v>0</v>
      </c>
      <c r="L2375" s="36">
        <v>1076</v>
      </c>
      <c r="M2375" s="36">
        <v>0</v>
      </c>
      <c r="N2375" s="36">
        <v>1021.39</v>
      </c>
      <c r="O2375" s="36">
        <v>54.61</v>
      </c>
      <c r="P2375" t="s">
        <v>1165</v>
      </c>
      <c r="Q2375" t="s">
        <v>79</v>
      </c>
      <c r="R2375" t="s">
        <v>80</v>
      </c>
      <c r="S2375" s="1">
        <v>46085</v>
      </c>
      <c r="T2375" s="1">
        <v>46085</v>
      </c>
      <c r="U2375" s="1">
        <v>46117</v>
      </c>
      <c r="V2375" s="1">
        <v>46482</v>
      </c>
      <c r="W2375" t="s">
        <v>38</v>
      </c>
      <c r="X2375">
        <v>12</v>
      </c>
      <c r="Y2375" t="s">
        <v>49</v>
      </c>
      <c r="Z2375" t="s">
        <v>76</v>
      </c>
      <c r="AA2375" t="s">
        <v>82</v>
      </c>
      <c r="AB2375">
        <v>1</v>
      </c>
      <c r="AC2375" t="s">
        <v>83</v>
      </c>
      <c r="AD2375" t="s">
        <v>53</v>
      </c>
      <c r="AE2375" t="s">
        <v>43</v>
      </c>
      <c r="AF2375" t="s">
        <v>44</v>
      </c>
      <c r="AG2375" t="str">
        <f t="shared" si="40"/>
        <v>À Vista</v>
      </c>
      <c r="AH2375" t="str">
        <f>IF(AND(SUMIF(E:E,E2375,I:I)&gt;=400000,Q2375="B2G"),"n","")</f>
        <v/>
      </c>
    </row>
    <row r="2376" spans="1:34">
      <c r="A2376">
        <v>2026</v>
      </c>
      <c r="B2376">
        <v>3</v>
      </c>
      <c r="C2376" s="83">
        <v>19485984044</v>
      </c>
      <c r="D2376" t="s">
        <v>2171</v>
      </c>
      <c r="E2376">
        <v>55489915426</v>
      </c>
      <c r="F2376">
        <v>531130</v>
      </c>
      <c r="G2376">
        <v>52798303668</v>
      </c>
      <c r="H2376" t="s">
        <v>35</v>
      </c>
      <c r="I2376" s="36">
        <v>12912</v>
      </c>
      <c r="J2376" s="36">
        <v>12912</v>
      </c>
      <c r="K2376" s="85">
        <v>0</v>
      </c>
      <c r="L2376" s="36">
        <v>1076</v>
      </c>
      <c r="M2376" s="36">
        <v>0</v>
      </c>
      <c r="N2376" s="36">
        <v>1021.39</v>
      </c>
      <c r="O2376" s="36">
        <v>54.61</v>
      </c>
      <c r="P2376" t="s">
        <v>1165</v>
      </c>
      <c r="Q2376" t="s">
        <v>79</v>
      </c>
      <c r="R2376" t="s">
        <v>80</v>
      </c>
      <c r="S2376" s="1">
        <v>46085</v>
      </c>
      <c r="T2376" s="1">
        <v>46085</v>
      </c>
      <c r="U2376" s="1">
        <v>46117</v>
      </c>
      <c r="V2376" s="1">
        <v>46482</v>
      </c>
      <c r="W2376" t="s">
        <v>38</v>
      </c>
      <c r="X2376">
        <v>12</v>
      </c>
      <c r="Y2376" t="s">
        <v>49</v>
      </c>
      <c r="Z2376" t="s">
        <v>76</v>
      </c>
      <c r="AA2376" t="s">
        <v>82</v>
      </c>
      <c r="AB2376">
        <v>1</v>
      </c>
      <c r="AC2376" t="s">
        <v>83</v>
      </c>
      <c r="AD2376" t="s">
        <v>70</v>
      </c>
      <c r="AE2376" t="s">
        <v>43</v>
      </c>
      <c r="AF2376" t="s">
        <v>47</v>
      </c>
      <c r="AG2376" t="str">
        <f t="shared" si="40"/>
        <v>À Vista</v>
      </c>
      <c r="AH2376" t="str">
        <f>IF(AND(SUMIF(E:E,E2376,I:I)&gt;=400000,Q2376="B2G"),"n","")</f>
        <v/>
      </c>
    </row>
    <row r="2377" spans="1:34">
      <c r="A2377">
        <v>2026</v>
      </c>
      <c r="B2377">
        <v>3</v>
      </c>
      <c r="C2377" s="83">
        <v>19485984271</v>
      </c>
      <c r="D2377" t="s">
        <v>2172</v>
      </c>
      <c r="E2377">
        <v>54971446129</v>
      </c>
      <c r="F2377">
        <v>626018</v>
      </c>
      <c r="G2377">
        <v>52602912403</v>
      </c>
      <c r="H2377" t="s">
        <v>35</v>
      </c>
      <c r="I2377" s="36">
        <v>6715.2</v>
      </c>
      <c r="J2377" s="36">
        <v>6715.2</v>
      </c>
      <c r="K2377" s="85">
        <v>0</v>
      </c>
      <c r="L2377" s="36">
        <v>559.6</v>
      </c>
      <c r="M2377" s="36">
        <v>0</v>
      </c>
      <c r="N2377" s="36">
        <v>36.6</v>
      </c>
      <c r="O2377" s="36">
        <v>523</v>
      </c>
      <c r="P2377" t="s">
        <v>110</v>
      </c>
      <c r="Q2377" t="s">
        <v>111</v>
      </c>
      <c r="R2377" t="s">
        <v>111</v>
      </c>
      <c r="S2377" s="1">
        <v>46099</v>
      </c>
      <c r="T2377" s="1">
        <v>46099</v>
      </c>
      <c r="U2377" s="1">
        <v>46052</v>
      </c>
      <c r="V2377" s="1">
        <v>46448</v>
      </c>
      <c r="W2377" t="s">
        <v>38</v>
      </c>
      <c r="X2377">
        <v>14</v>
      </c>
      <c r="Y2377" t="s">
        <v>49</v>
      </c>
      <c r="Z2377" t="s">
        <v>81</v>
      </c>
      <c r="AA2377" t="s">
        <v>40</v>
      </c>
      <c r="AB2377">
        <v>1</v>
      </c>
      <c r="AC2377" t="s">
        <v>113</v>
      </c>
      <c r="AD2377" t="s">
        <v>94</v>
      </c>
      <c r="AE2377" t="s">
        <v>95</v>
      </c>
      <c r="AF2377" t="s">
        <v>96</v>
      </c>
      <c r="AG2377" t="str">
        <f t="shared" si="40"/>
        <v>À Vista</v>
      </c>
      <c r="AH2377" t="str">
        <f>IF(AND(SUMIF(E:E,E2377,I:I)&gt;=400000,Q2377="B2G"),"n","")</f>
        <v/>
      </c>
    </row>
    <row r="2378" spans="1:34">
      <c r="A2378">
        <v>2026</v>
      </c>
      <c r="B2378">
        <v>3</v>
      </c>
      <c r="C2378" s="83">
        <v>19485984271</v>
      </c>
      <c r="D2378" t="s">
        <v>2172</v>
      </c>
      <c r="E2378">
        <v>54971446129</v>
      </c>
      <c r="F2378">
        <v>626018</v>
      </c>
      <c r="G2378">
        <v>52602912404</v>
      </c>
      <c r="H2378" t="s">
        <v>35</v>
      </c>
      <c r="I2378" s="36">
        <v>6715.2</v>
      </c>
      <c r="J2378" s="36">
        <v>6715.2</v>
      </c>
      <c r="K2378" s="85">
        <v>0</v>
      </c>
      <c r="L2378" s="36">
        <v>559.6</v>
      </c>
      <c r="M2378" s="36">
        <v>0</v>
      </c>
      <c r="N2378" s="36">
        <v>36.6</v>
      </c>
      <c r="O2378" s="36">
        <v>523</v>
      </c>
      <c r="P2378" t="s">
        <v>110</v>
      </c>
      <c r="Q2378" t="s">
        <v>111</v>
      </c>
      <c r="R2378" t="s">
        <v>111</v>
      </c>
      <c r="S2378" s="1">
        <v>46099</v>
      </c>
      <c r="T2378" s="1">
        <v>46099</v>
      </c>
      <c r="U2378" s="1">
        <v>46052</v>
      </c>
      <c r="V2378" s="1">
        <v>46448</v>
      </c>
      <c r="W2378" t="s">
        <v>38</v>
      </c>
      <c r="X2378">
        <v>14</v>
      </c>
      <c r="Y2378" t="s">
        <v>49</v>
      </c>
      <c r="Z2378" t="s">
        <v>81</v>
      </c>
      <c r="AA2378" t="s">
        <v>40</v>
      </c>
      <c r="AB2378">
        <v>1</v>
      </c>
      <c r="AC2378" t="s">
        <v>113</v>
      </c>
      <c r="AD2378" t="s">
        <v>94</v>
      </c>
      <c r="AE2378" t="s">
        <v>95</v>
      </c>
      <c r="AF2378" t="s">
        <v>96</v>
      </c>
      <c r="AG2378" t="str">
        <f t="shared" si="40"/>
        <v>À Vista</v>
      </c>
      <c r="AH2378" t="str">
        <f>IF(AND(SUMIF(E:E,E2378,I:I)&gt;=400000,Q2378="B2G"),"n","")</f>
        <v/>
      </c>
    </row>
    <row r="2379" spans="1:34">
      <c r="A2379">
        <v>2026</v>
      </c>
      <c r="B2379">
        <v>3</v>
      </c>
      <c r="C2379" s="83">
        <v>19485984271</v>
      </c>
      <c r="D2379" t="s">
        <v>2172</v>
      </c>
      <c r="E2379">
        <v>54971446129</v>
      </c>
      <c r="F2379">
        <v>626018</v>
      </c>
      <c r="G2379">
        <v>52602912405</v>
      </c>
      <c r="H2379" t="s">
        <v>35</v>
      </c>
      <c r="I2379" s="36">
        <v>6715.2</v>
      </c>
      <c r="J2379" s="36">
        <v>6715.2</v>
      </c>
      <c r="K2379" s="85">
        <v>0</v>
      </c>
      <c r="L2379" s="36">
        <v>559.6</v>
      </c>
      <c r="M2379" s="36">
        <v>0</v>
      </c>
      <c r="N2379" s="36">
        <v>36.6</v>
      </c>
      <c r="O2379" s="36">
        <v>523</v>
      </c>
      <c r="P2379" t="s">
        <v>110</v>
      </c>
      <c r="Q2379" t="s">
        <v>111</v>
      </c>
      <c r="R2379" t="s">
        <v>111</v>
      </c>
      <c r="S2379" s="1">
        <v>46099</v>
      </c>
      <c r="T2379" s="1">
        <v>46099</v>
      </c>
      <c r="U2379" s="1">
        <v>46052</v>
      </c>
      <c r="V2379" s="1">
        <v>46448</v>
      </c>
      <c r="W2379" t="s">
        <v>38</v>
      </c>
      <c r="X2379">
        <v>14</v>
      </c>
      <c r="Y2379" t="s">
        <v>49</v>
      </c>
      <c r="Z2379" t="s">
        <v>81</v>
      </c>
      <c r="AA2379" t="s">
        <v>40</v>
      </c>
      <c r="AB2379">
        <v>1</v>
      </c>
      <c r="AC2379" t="s">
        <v>113</v>
      </c>
      <c r="AD2379" t="s">
        <v>94</v>
      </c>
      <c r="AE2379" t="s">
        <v>95</v>
      </c>
      <c r="AF2379" t="s">
        <v>96</v>
      </c>
      <c r="AG2379" t="str">
        <f t="shared" si="40"/>
        <v>À Vista</v>
      </c>
      <c r="AH2379" t="str">
        <f>IF(AND(SUMIF(E:E,E2379,I:I)&gt;=400000,Q2379="B2G"),"n","")</f>
        <v/>
      </c>
    </row>
    <row r="2380" spans="1:34">
      <c r="A2380">
        <v>2026</v>
      </c>
      <c r="B2380">
        <v>3</v>
      </c>
      <c r="C2380" s="83">
        <v>19485987443</v>
      </c>
      <c r="D2380" t="s">
        <v>2173</v>
      </c>
      <c r="E2380">
        <v>51659194010</v>
      </c>
      <c r="F2380">
        <v>636761</v>
      </c>
      <c r="G2380">
        <v>53742237499</v>
      </c>
      <c r="H2380" t="s">
        <v>35</v>
      </c>
      <c r="I2380" s="36">
        <v>26642.400000000001</v>
      </c>
      <c r="J2380" s="36">
        <v>26642.400000000001</v>
      </c>
      <c r="K2380" s="85">
        <v>3.6379800000000002E-12</v>
      </c>
      <c r="L2380" s="36">
        <v>2220.1999999999998</v>
      </c>
      <c r="M2380" s="36">
        <v>2220.1999999999998</v>
      </c>
      <c r="N2380" s="36">
        <v>0</v>
      </c>
      <c r="O2380" s="36">
        <v>0</v>
      </c>
      <c r="P2380" t="s">
        <v>668</v>
      </c>
      <c r="Q2380" t="s">
        <v>91</v>
      </c>
      <c r="R2380" t="s">
        <v>91</v>
      </c>
      <c r="S2380" s="1">
        <v>46111</v>
      </c>
      <c r="T2380" s="1">
        <v>46111</v>
      </c>
      <c r="U2380" s="1"/>
      <c r="V2380" s="1">
        <v>46476</v>
      </c>
      <c r="W2380" t="s">
        <v>38</v>
      </c>
      <c r="X2380">
        <v>12</v>
      </c>
      <c r="Y2380" t="s">
        <v>49</v>
      </c>
      <c r="AA2380" t="s">
        <v>92</v>
      </c>
      <c r="AB2380">
        <v>12</v>
      </c>
      <c r="AC2380" t="s">
        <v>93</v>
      </c>
      <c r="AD2380" t="s">
        <v>1167</v>
      </c>
      <c r="AE2380" t="s">
        <v>95</v>
      </c>
      <c r="AF2380" t="s">
        <v>96</v>
      </c>
      <c r="AG2380" t="str">
        <f t="shared" si="40"/>
        <v>Recorrente</v>
      </c>
      <c r="AH2380" t="str">
        <f>IF(AND(SUMIF(E:E,E2380,I:I)&gt;=400000,Q2380="B2G"),"n","")</f>
        <v/>
      </c>
    </row>
    <row r="2381" spans="1:34">
      <c r="A2381">
        <v>2026</v>
      </c>
      <c r="B2381">
        <v>3</v>
      </c>
      <c r="C2381" s="83">
        <v>19485987443</v>
      </c>
      <c r="D2381" t="s">
        <v>2173</v>
      </c>
      <c r="E2381">
        <v>51659194010</v>
      </c>
      <c r="F2381">
        <v>636761</v>
      </c>
      <c r="G2381">
        <v>53742237500</v>
      </c>
      <c r="H2381" t="s">
        <v>35</v>
      </c>
      <c r="I2381" s="36">
        <v>2157.6</v>
      </c>
      <c r="J2381" s="36">
        <v>2157.6</v>
      </c>
      <c r="K2381" s="85">
        <v>0</v>
      </c>
      <c r="L2381" s="36">
        <v>179.8</v>
      </c>
      <c r="M2381" s="36">
        <v>179.8</v>
      </c>
      <c r="N2381" s="36">
        <v>0</v>
      </c>
      <c r="O2381" s="36">
        <v>0</v>
      </c>
      <c r="P2381" t="s">
        <v>668</v>
      </c>
      <c r="Q2381" t="s">
        <v>91</v>
      </c>
      <c r="R2381" t="s">
        <v>91</v>
      </c>
      <c r="S2381" s="1">
        <v>46111</v>
      </c>
      <c r="T2381" s="1">
        <v>46111</v>
      </c>
      <c r="V2381" s="1">
        <v>46476</v>
      </c>
      <c r="W2381" t="s">
        <v>38</v>
      </c>
      <c r="X2381">
        <v>12</v>
      </c>
      <c r="Y2381" t="s">
        <v>49</v>
      </c>
      <c r="AA2381" t="s">
        <v>92</v>
      </c>
      <c r="AB2381">
        <v>12</v>
      </c>
      <c r="AC2381" t="s">
        <v>93</v>
      </c>
      <c r="AD2381" t="s">
        <v>368</v>
      </c>
      <c r="AE2381" t="s">
        <v>95</v>
      </c>
      <c r="AF2381" t="s">
        <v>59</v>
      </c>
      <c r="AG2381" t="str">
        <f t="shared" si="40"/>
        <v>Recorrente</v>
      </c>
      <c r="AH2381" t="str">
        <f>IF(AND(SUMIF(E:E,E2381,I:I)&gt;=400000,Q2381="B2G"),"n","")</f>
        <v/>
      </c>
    </row>
    <row r="2382" spans="1:34">
      <c r="A2382">
        <v>2026</v>
      </c>
      <c r="B2382">
        <v>3</v>
      </c>
      <c r="C2382" s="83">
        <v>19485990987</v>
      </c>
      <c r="D2382" t="s">
        <v>2174</v>
      </c>
      <c r="E2382">
        <v>58208364869</v>
      </c>
      <c r="F2382">
        <v>610198</v>
      </c>
      <c r="G2382">
        <v>53451849397</v>
      </c>
      <c r="H2382" t="s">
        <v>35</v>
      </c>
      <c r="I2382" s="36">
        <v>5400.84</v>
      </c>
      <c r="J2382" s="36">
        <v>5400.84</v>
      </c>
      <c r="K2382" s="85">
        <v>0</v>
      </c>
      <c r="L2382" s="36">
        <v>450.07</v>
      </c>
      <c r="M2382" s="36">
        <v>450.07</v>
      </c>
      <c r="N2382" s="36">
        <v>0</v>
      </c>
      <c r="O2382" s="36">
        <v>0</v>
      </c>
      <c r="P2382" t="s">
        <v>121</v>
      </c>
      <c r="Q2382" t="s">
        <v>111</v>
      </c>
      <c r="R2382" t="s">
        <v>111</v>
      </c>
      <c r="S2382" s="1">
        <v>46105</v>
      </c>
      <c r="T2382" s="1">
        <v>46105</v>
      </c>
      <c r="U2382" s="1">
        <v>46081</v>
      </c>
      <c r="V2382" s="1">
        <v>46470</v>
      </c>
      <c r="W2382" t="s">
        <v>38</v>
      </c>
      <c r="X2382">
        <v>13</v>
      </c>
      <c r="Y2382" t="s">
        <v>49</v>
      </c>
      <c r="Z2382" t="s">
        <v>81</v>
      </c>
      <c r="AA2382" t="s">
        <v>122</v>
      </c>
      <c r="AB2382">
        <v>12</v>
      </c>
      <c r="AC2382" t="s">
        <v>113</v>
      </c>
      <c r="AD2382" t="s">
        <v>149</v>
      </c>
      <c r="AE2382" t="s">
        <v>43</v>
      </c>
      <c r="AF2382" t="s">
        <v>96</v>
      </c>
      <c r="AG2382" t="str">
        <f t="shared" si="40"/>
        <v>Recorrente</v>
      </c>
      <c r="AH2382" t="str">
        <f>IF(AND(SUMIF(E:E,E2382,I:I)&gt;=400000,Q2382="B2G"),"n","")</f>
        <v/>
      </c>
    </row>
    <row r="2383" spans="1:34">
      <c r="A2383">
        <v>2026</v>
      </c>
      <c r="B2383">
        <v>3</v>
      </c>
      <c r="C2383" s="83">
        <v>19485991024</v>
      </c>
      <c r="D2383" t="s">
        <v>2175</v>
      </c>
      <c r="E2383">
        <v>55430014219</v>
      </c>
      <c r="F2383">
        <v>636484</v>
      </c>
      <c r="G2383">
        <v>53172337523</v>
      </c>
      <c r="H2383" t="s">
        <v>35</v>
      </c>
      <c r="I2383" s="36">
        <v>2802.6</v>
      </c>
      <c r="J2383" s="36">
        <v>2802.654</v>
      </c>
      <c r="K2383" s="85">
        <v>0</v>
      </c>
      <c r="L2383" s="36">
        <v>233.55449999999999</v>
      </c>
      <c r="M2383" s="36">
        <v>0</v>
      </c>
      <c r="N2383" s="36">
        <v>233.55449999999999</v>
      </c>
      <c r="O2383" s="36">
        <v>0</v>
      </c>
      <c r="P2383" t="s">
        <v>520</v>
      </c>
      <c r="Q2383" t="s">
        <v>191</v>
      </c>
      <c r="R2383" t="s">
        <v>191</v>
      </c>
      <c r="S2383" s="1">
        <v>46093</v>
      </c>
      <c r="T2383" s="1">
        <v>46093</v>
      </c>
      <c r="U2383" s="1"/>
      <c r="V2383" s="1">
        <v>46467</v>
      </c>
      <c r="W2383" t="s">
        <v>38</v>
      </c>
      <c r="X2383">
        <v>12</v>
      </c>
      <c r="Y2383" t="s">
        <v>49</v>
      </c>
      <c r="AA2383" t="s">
        <v>117</v>
      </c>
      <c r="AB2383">
        <v>1</v>
      </c>
      <c r="AC2383" t="s">
        <v>192</v>
      </c>
      <c r="AD2383" t="s">
        <v>142</v>
      </c>
      <c r="AE2383" t="s">
        <v>95</v>
      </c>
      <c r="AF2383" t="s">
        <v>44</v>
      </c>
      <c r="AG2383" t="str">
        <f t="shared" si="40"/>
        <v>À Vista</v>
      </c>
      <c r="AH2383" t="str">
        <f>IF(AND(SUMIF(E:E,E2383,I:I)&gt;=400000,Q2383="B2G"),"n","")</f>
        <v/>
      </c>
    </row>
    <row r="2384" spans="1:34">
      <c r="A2384">
        <v>2026</v>
      </c>
      <c r="B2384">
        <v>3</v>
      </c>
      <c r="C2384" s="83">
        <v>19486000951</v>
      </c>
      <c r="D2384" t="s">
        <v>2176</v>
      </c>
      <c r="E2384">
        <v>55126410613</v>
      </c>
      <c r="F2384">
        <v>636482</v>
      </c>
      <c r="G2384">
        <v>53172335520</v>
      </c>
      <c r="H2384" t="s">
        <v>35</v>
      </c>
      <c r="I2384" s="36">
        <v>5436</v>
      </c>
      <c r="J2384" s="36">
        <v>5436</v>
      </c>
      <c r="K2384" s="85">
        <v>0</v>
      </c>
      <c r="L2384" s="36">
        <v>453</v>
      </c>
      <c r="M2384" s="36">
        <v>453</v>
      </c>
      <c r="N2384" s="36">
        <v>0</v>
      </c>
      <c r="O2384" s="36">
        <v>0</v>
      </c>
      <c r="P2384" t="s">
        <v>36</v>
      </c>
      <c r="Q2384" t="s">
        <v>37</v>
      </c>
      <c r="R2384" t="s">
        <v>37</v>
      </c>
      <c r="S2384" s="1">
        <v>46093</v>
      </c>
      <c r="T2384" s="1">
        <v>46093</v>
      </c>
      <c r="U2384" s="1"/>
      <c r="V2384" s="1">
        <v>46494</v>
      </c>
      <c r="W2384" t="s">
        <v>38</v>
      </c>
      <c r="X2384">
        <v>13</v>
      </c>
      <c r="Y2384" t="s">
        <v>49</v>
      </c>
      <c r="AA2384" t="s">
        <v>40</v>
      </c>
      <c r="AB2384">
        <v>1</v>
      </c>
      <c r="AC2384" t="s">
        <v>41</v>
      </c>
      <c r="AD2384" t="s">
        <v>54</v>
      </c>
      <c r="AE2384" t="s">
        <v>46</v>
      </c>
      <c r="AF2384" t="s">
        <v>44</v>
      </c>
      <c r="AG2384" t="str">
        <f t="shared" si="40"/>
        <v>À Vista</v>
      </c>
      <c r="AH2384" t="str">
        <f>IF(AND(SUMIF(E:E,E2384,I:I)&gt;=400000,Q2384="B2G"),"n","")</f>
        <v/>
      </c>
    </row>
    <row r="2385" spans="1:34">
      <c r="A2385">
        <v>2026</v>
      </c>
      <c r="B2385">
        <v>3</v>
      </c>
      <c r="C2385" s="83">
        <v>19486000951</v>
      </c>
      <c r="D2385" t="s">
        <v>2176</v>
      </c>
      <c r="E2385">
        <v>55126410613</v>
      </c>
      <c r="F2385">
        <v>636482</v>
      </c>
      <c r="G2385">
        <v>53172335521</v>
      </c>
      <c r="H2385" t="s">
        <v>35</v>
      </c>
      <c r="I2385" s="36">
        <v>4644</v>
      </c>
      <c r="J2385" s="36">
        <v>4644</v>
      </c>
      <c r="K2385" s="85">
        <v>0</v>
      </c>
      <c r="L2385" s="36">
        <v>387</v>
      </c>
      <c r="M2385" s="36">
        <v>387</v>
      </c>
      <c r="N2385" s="36">
        <v>0</v>
      </c>
      <c r="O2385" s="36">
        <v>0</v>
      </c>
      <c r="P2385" t="s">
        <v>36</v>
      </c>
      <c r="Q2385" t="s">
        <v>37</v>
      </c>
      <c r="R2385" t="s">
        <v>37</v>
      </c>
      <c r="S2385" s="1">
        <v>46093</v>
      </c>
      <c r="T2385" s="1">
        <v>46093</v>
      </c>
      <c r="U2385" s="1"/>
      <c r="V2385" s="1">
        <v>46494</v>
      </c>
      <c r="W2385" t="s">
        <v>38</v>
      </c>
      <c r="X2385">
        <v>13</v>
      </c>
      <c r="Y2385" t="s">
        <v>49</v>
      </c>
      <c r="AA2385" t="s">
        <v>40</v>
      </c>
      <c r="AB2385">
        <v>1</v>
      </c>
      <c r="AC2385" t="s">
        <v>41</v>
      </c>
      <c r="AD2385" t="s">
        <v>53</v>
      </c>
      <c r="AE2385" t="s">
        <v>43</v>
      </c>
      <c r="AF2385" t="s">
        <v>44</v>
      </c>
      <c r="AG2385" t="str">
        <f t="shared" si="40"/>
        <v>À Vista</v>
      </c>
      <c r="AH2385" t="str">
        <f>IF(AND(SUMIF(E:E,E2385,I:I)&gt;=400000,Q2385="B2G"),"n","")</f>
        <v/>
      </c>
    </row>
    <row r="2386" spans="1:34">
      <c r="A2386">
        <v>2026</v>
      </c>
      <c r="B2386">
        <v>3</v>
      </c>
      <c r="C2386" s="83">
        <v>19486004124</v>
      </c>
      <c r="D2386" t="s">
        <v>2177</v>
      </c>
      <c r="E2386">
        <v>58554686735</v>
      </c>
      <c r="F2386">
        <v>636783</v>
      </c>
      <c r="G2386">
        <v>53747190307</v>
      </c>
      <c r="H2386" t="s">
        <v>35</v>
      </c>
      <c r="I2386" s="36">
        <v>31482</v>
      </c>
      <c r="J2386" s="36">
        <v>10494</v>
      </c>
      <c r="K2386" s="85">
        <v>20988</v>
      </c>
      <c r="L2386" s="36">
        <v>874.5</v>
      </c>
      <c r="M2386" s="36">
        <v>874.5</v>
      </c>
      <c r="N2386" s="36">
        <v>0</v>
      </c>
      <c r="O2386" s="36">
        <v>0</v>
      </c>
      <c r="P2386" t="s">
        <v>1165</v>
      </c>
      <c r="Q2386" t="s">
        <v>37</v>
      </c>
      <c r="R2386" t="s">
        <v>37</v>
      </c>
      <c r="S2386" s="1">
        <v>46111</v>
      </c>
      <c r="T2386" s="1">
        <v>46111</v>
      </c>
      <c r="U2386" s="1"/>
      <c r="V2386" s="1">
        <v>47207</v>
      </c>
      <c r="W2386" t="s">
        <v>102</v>
      </c>
      <c r="X2386">
        <v>36</v>
      </c>
      <c r="Y2386" t="s">
        <v>49</v>
      </c>
      <c r="AA2386" t="s">
        <v>40</v>
      </c>
      <c r="AB2386">
        <v>1</v>
      </c>
      <c r="AC2386" t="s">
        <v>41</v>
      </c>
      <c r="AD2386" t="s">
        <v>100</v>
      </c>
      <c r="AE2386" t="s">
        <v>46</v>
      </c>
      <c r="AF2386" t="s">
        <v>47</v>
      </c>
      <c r="AG2386" t="str">
        <f t="shared" si="40"/>
        <v>À Vista</v>
      </c>
      <c r="AH2386" t="str">
        <f>IF(AND(SUMIF(E:E,E2386,I:I)&gt;=400000,Q2386="B2G"),"n","")</f>
        <v/>
      </c>
    </row>
    <row r="2387" spans="1:34">
      <c r="A2387">
        <v>2026</v>
      </c>
      <c r="B2387">
        <v>3</v>
      </c>
      <c r="C2387" s="83">
        <v>19486004124</v>
      </c>
      <c r="D2387" t="s">
        <v>2177</v>
      </c>
      <c r="E2387">
        <v>58554686735</v>
      </c>
      <c r="F2387">
        <v>636783</v>
      </c>
      <c r="G2387">
        <v>53747190308</v>
      </c>
      <c r="H2387" t="s">
        <v>35</v>
      </c>
      <c r="I2387" s="36">
        <v>35640</v>
      </c>
      <c r="J2387" s="36">
        <v>11880</v>
      </c>
      <c r="K2387" s="85">
        <v>23760</v>
      </c>
      <c r="L2387" s="36">
        <v>990</v>
      </c>
      <c r="M2387" s="36">
        <v>990</v>
      </c>
      <c r="N2387" s="36">
        <v>0</v>
      </c>
      <c r="O2387" s="36">
        <v>0</v>
      </c>
      <c r="P2387" t="s">
        <v>1165</v>
      </c>
      <c r="Q2387" t="s">
        <v>37</v>
      </c>
      <c r="R2387" t="s">
        <v>37</v>
      </c>
      <c r="S2387" s="1">
        <v>46111</v>
      </c>
      <c r="T2387" s="1">
        <v>46111</v>
      </c>
      <c r="U2387" s="1"/>
      <c r="V2387" s="1">
        <v>47207</v>
      </c>
      <c r="W2387" t="s">
        <v>102</v>
      </c>
      <c r="X2387">
        <v>36</v>
      </c>
      <c r="Y2387" t="s">
        <v>49</v>
      </c>
      <c r="AA2387" t="s">
        <v>40</v>
      </c>
      <c r="AB2387">
        <v>1</v>
      </c>
      <c r="AC2387" t="s">
        <v>41</v>
      </c>
      <c r="AD2387" t="s">
        <v>70</v>
      </c>
      <c r="AE2387" t="s">
        <v>43</v>
      </c>
      <c r="AF2387" t="s">
        <v>47</v>
      </c>
      <c r="AG2387" t="str">
        <f t="shared" si="40"/>
        <v>À Vista</v>
      </c>
      <c r="AH2387" t="str">
        <f>IF(AND(SUMIF(E:E,E2387,I:I)&gt;=400000,Q2387="B2G"),"n","")</f>
        <v/>
      </c>
    </row>
    <row r="2388" spans="1:34">
      <c r="A2388">
        <v>2026</v>
      </c>
      <c r="B2388">
        <v>3</v>
      </c>
      <c r="C2388" s="83">
        <v>19486004124</v>
      </c>
      <c r="D2388" t="s">
        <v>2177</v>
      </c>
      <c r="E2388">
        <v>58554686735</v>
      </c>
      <c r="F2388">
        <v>636783</v>
      </c>
      <c r="G2388">
        <v>53747190309</v>
      </c>
      <c r="H2388" t="s">
        <v>35</v>
      </c>
      <c r="I2388" s="36">
        <v>43200</v>
      </c>
      <c r="J2388" s="36">
        <v>14400</v>
      </c>
      <c r="K2388" s="85">
        <v>28800</v>
      </c>
      <c r="L2388" s="36">
        <v>1200</v>
      </c>
      <c r="M2388" s="36">
        <v>1200</v>
      </c>
      <c r="N2388" s="36">
        <v>0</v>
      </c>
      <c r="O2388" s="36">
        <v>0</v>
      </c>
      <c r="P2388" t="s">
        <v>1165</v>
      </c>
      <c r="Q2388" t="s">
        <v>37</v>
      </c>
      <c r="R2388" t="s">
        <v>37</v>
      </c>
      <c r="S2388" s="1">
        <v>46111</v>
      </c>
      <c r="T2388" s="1">
        <v>46111</v>
      </c>
      <c r="U2388" s="1"/>
      <c r="V2388" s="1">
        <v>47207</v>
      </c>
      <c r="W2388" t="s">
        <v>102</v>
      </c>
      <c r="X2388">
        <v>36</v>
      </c>
      <c r="Y2388" t="s">
        <v>49</v>
      </c>
      <c r="AA2388" t="s">
        <v>40</v>
      </c>
      <c r="AB2388">
        <v>1</v>
      </c>
      <c r="AC2388" t="s">
        <v>41</v>
      </c>
      <c r="AD2388" t="s">
        <v>73</v>
      </c>
      <c r="AE2388" t="s">
        <v>51</v>
      </c>
      <c r="AF2388" t="s">
        <v>47</v>
      </c>
      <c r="AG2388" t="str">
        <f t="shared" si="40"/>
        <v>À Vista</v>
      </c>
      <c r="AH2388" t="str">
        <f>IF(AND(SUMIF(E:E,E2388,I:I)&gt;=400000,Q2388="B2G"),"n","")</f>
        <v/>
      </c>
    </row>
    <row r="2389" spans="1:34">
      <c r="A2389">
        <v>2026</v>
      </c>
      <c r="B2389">
        <v>3</v>
      </c>
      <c r="C2389" s="83">
        <v>19486007558</v>
      </c>
      <c r="D2389" t="s">
        <v>2178</v>
      </c>
      <c r="E2389">
        <v>58559399242</v>
      </c>
      <c r="F2389">
        <v>624203</v>
      </c>
      <c r="G2389">
        <v>53747323194</v>
      </c>
      <c r="H2389" t="s">
        <v>35</v>
      </c>
      <c r="I2389" s="36">
        <v>9574.2000000000007</v>
      </c>
      <c r="J2389" s="36">
        <v>1689.76</v>
      </c>
      <c r="K2389" s="85">
        <v>7884.44</v>
      </c>
      <c r="L2389" s="36">
        <v>140.81333330000001</v>
      </c>
      <c r="M2389" s="36">
        <v>0</v>
      </c>
      <c r="N2389" s="36">
        <v>140.81333330000001</v>
      </c>
      <c r="O2389" s="36">
        <v>0</v>
      </c>
      <c r="P2389" t="s">
        <v>520</v>
      </c>
      <c r="Q2389" t="s">
        <v>191</v>
      </c>
      <c r="R2389" t="s">
        <v>191</v>
      </c>
      <c r="S2389" s="1">
        <v>46112</v>
      </c>
      <c r="T2389" s="1">
        <v>46112</v>
      </c>
      <c r="U2389" s="1">
        <v>46718</v>
      </c>
      <c r="V2389" s="1">
        <v>46718</v>
      </c>
      <c r="W2389" t="s">
        <v>102</v>
      </c>
      <c r="X2389">
        <v>20</v>
      </c>
      <c r="Y2389" t="s">
        <v>49</v>
      </c>
      <c r="Z2389" t="s">
        <v>324</v>
      </c>
      <c r="AA2389" t="s">
        <v>92</v>
      </c>
      <c r="AB2389">
        <v>19</v>
      </c>
      <c r="AC2389" t="s">
        <v>192</v>
      </c>
      <c r="AD2389" t="s">
        <v>125</v>
      </c>
      <c r="AE2389" t="s">
        <v>43</v>
      </c>
      <c r="AF2389" t="s">
        <v>47</v>
      </c>
      <c r="AG2389" t="str">
        <f t="shared" si="40"/>
        <v>Recorrente</v>
      </c>
      <c r="AH2389" t="str">
        <f>IF(AND(SUMIF(E:E,E2389,I:I)&gt;=400000,Q2389="B2G"),"n","")</f>
        <v/>
      </c>
    </row>
    <row r="2390" spans="1:34">
      <c r="A2390">
        <v>2026</v>
      </c>
      <c r="B2390">
        <v>3</v>
      </c>
      <c r="C2390" s="83">
        <v>19486007558</v>
      </c>
      <c r="D2390" t="s">
        <v>2178</v>
      </c>
      <c r="E2390">
        <v>58559399242</v>
      </c>
      <c r="F2390">
        <v>624203</v>
      </c>
      <c r="G2390">
        <v>53747323195</v>
      </c>
      <c r="H2390" t="s">
        <v>35</v>
      </c>
      <c r="I2390" s="36">
        <v>2722.32</v>
      </c>
      <c r="J2390" s="36">
        <v>1689.76</v>
      </c>
      <c r="K2390" s="85">
        <v>1032.56</v>
      </c>
      <c r="L2390" s="36">
        <v>140.81333330000001</v>
      </c>
      <c r="M2390" s="36">
        <v>0</v>
      </c>
      <c r="N2390" s="36">
        <v>140.81333330000001</v>
      </c>
      <c r="O2390" s="36">
        <v>0</v>
      </c>
      <c r="P2390" t="s">
        <v>520</v>
      </c>
      <c r="Q2390" t="s">
        <v>191</v>
      </c>
      <c r="R2390" t="s">
        <v>191</v>
      </c>
      <c r="S2390" s="1">
        <v>46112</v>
      </c>
      <c r="T2390" s="1">
        <v>46112</v>
      </c>
      <c r="U2390" s="1">
        <v>46718</v>
      </c>
      <c r="V2390" s="1">
        <v>46718</v>
      </c>
      <c r="W2390" t="s">
        <v>102</v>
      </c>
      <c r="X2390">
        <v>20</v>
      </c>
      <c r="Y2390" t="s">
        <v>49</v>
      </c>
      <c r="Z2390" t="s">
        <v>324</v>
      </c>
      <c r="AA2390" t="s">
        <v>92</v>
      </c>
      <c r="AB2390">
        <v>19</v>
      </c>
      <c r="AC2390" t="s">
        <v>192</v>
      </c>
      <c r="AD2390" t="s">
        <v>527</v>
      </c>
      <c r="AE2390" t="s">
        <v>257</v>
      </c>
      <c r="AF2390" t="s">
        <v>59</v>
      </c>
      <c r="AG2390" t="str">
        <f t="shared" si="40"/>
        <v>Recorrente</v>
      </c>
      <c r="AH2390" t="str">
        <f>IF(AND(SUMIF(E:E,E2390,I:I)&gt;=400000,Q2390="B2G"),"n","")</f>
        <v/>
      </c>
    </row>
    <row r="2391" spans="1:34">
      <c r="A2391">
        <v>2026</v>
      </c>
      <c r="B2391">
        <v>3</v>
      </c>
      <c r="C2391" s="83">
        <v>19486007558</v>
      </c>
      <c r="D2391" t="s">
        <v>2178</v>
      </c>
      <c r="E2391">
        <v>58559399242</v>
      </c>
      <c r="F2391">
        <v>624203</v>
      </c>
      <c r="G2391">
        <v>53747323196</v>
      </c>
      <c r="H2391" t="s">
        <v>35</v>
      </c>
      <c r="I2391" s="36">
        <v>2911.32</v>
      </c>
      <c r="J2391" s="36">
        <v>1689.76</v>
      </c>
      <c r="K2391" s="85">
        <v>1221.56</v>
      </c>
      <c r="L2391" s="36">
        <v>140.81333330000001</v>
      </c>
      <c r="M2391" s="36">
        <v>0</v>
      </c>
      <c r="N2391" s="36">
        <v>140.81333330000001</v>
      </c>
      <c r="O2391" s="36">
        <v>0</v>
      </c>
      <c r="P2391" t="s">
        <v>520</v>
      </c>
      <c r="Q2391" t="s">
        <v>191</v>
      </c>
      <c r="R2391" t="s">
        <v>191</v>
      </c>
      <c r="S2391" s="1">
        <v>46112</v>
      </c>
      <c r="T2391" s="1">
        <v>46112</v>
      </c>
      <c r="U2391" s="1">
        <v>46718</v>
      </c>
      <c r="V2391" s="1">
        <v>46718</v>
      </c>
      <c r="W2391" t="s">
        <v>102</v>
      </c>
      <c r="X2391">
        <v>20</v>
      </c>
      <c r="Y2391" t="s">
        <v>49</v>
      </c>
      <c r="Z2391" t="s">
        <v>324</v>
      </c>
      <c r="AA2391" t="s">
        <v>92</v>
      </c>
      <c r="AB2391">
        <v>19</v>
      </c>
      <c r="AC2391" t="s">
        <v>192</v>
      </c>
      <c r="AD2391" t="s">
        <v>550</v>
      </c>
      <c r="AE2391" t="s">
        <v>363</v>
      </c>
      <c r="AF2391" t="s">
        <v>59</v>
      </c>
      <c r="AG2391" t="str">
        <f t="shared" si="40"/>
        <v>Recorrente</v>
      </c>
      <c r="AH2391" t="str">
        <f>IF(AND(SUMIF(E:E,E2391,I:I)&gt;=400000,Q2391="B2G"),"n","")</f>
        <v/>
      </c>
    </row>
    <row r="2392" spans="1:34">
      <c r="A2392">
        <v>2026</v>
      </c>
      <c r="B2392">
        <v>3</v>
      </c>
      <c r="C2392" s="83">
        <v>19486007843</v>
      </c>
      <c r="D2392" t="s">
        <v>2179</v>
      </c>
      <c r="E2392">
        <v>58383446917</v>
      </c>
      <c r="F2392">
        <v>530985</v>
      </c>
      <c r="G2392">
        <v>53747275653</v>
      </c>
      <c r="H2392" t="s">
        <v>35</v>
      </c>
      <c r="I2392" s="36">
        <v>6828.36</v>
      </c>
      <c r="J2392" s="36">
        <v>6828.36</v>
      </c>
      <c r="K2392" s="85">
        <v>0</v>
      </c>
      <c r="L2392" s="36">
        <v>569.03</v>
      </c>
      <c r="M2392" s="36">
        <v>0</v>
      </c>
      <c r="N2392" s="36">
        <v>279.09375</v>
      </c>
      <c r="O2392" s="36">
        <v>289.94125000000003</v>
      </c>
      <c r="P2392" t="s">
        <v>110</v>
      </c>
      <c r="Q2392" t="s">
        <v>111</v>
      </c>
      <c r="R2392" t="s">
        <v>111</v>
      </c>
      <c r="S2392" s="1">
        <v>46112</v>
      </c>
      <c r="T2392" s="1">
        <v>46112</v>
      </c>
      <c r="U2392" s="1">
        <v>46109</v>
      </c>
      <c r="V2392" s="1">
        <v>46477</v>
      </c>
      <c r="W2392" t="s">
        <v>38</v>
      </c>
      <c r="X2392">
        <v>12</v>
      </c>
      <c r="Y2392" t="s">
        <v>49</v>
      </c>
      <c r="Z2392" t="s">
        <v>81</v>
      </c>
      <c r="AA2392" t="s">
        <v>122</v>
      </c>
      <c r="AB2392">
        <v>12</v>
      </c>
      <c r="AC2392" t="s">
        <v>113</v>
      </c>
      <c r="AD2392" t="s">
        <v>134</v>
      </c>
      <c r="AE2392" t="s">
        <v>135</v>
      </c>
      <c r="AF2392" t="s">
        <v>44</v>
      </c>
      <c r="AG2392" t="str">
        <f t="shared" si="40"/>
        <v>Recorrente</v>
      </c>
      <c r="AH2392" t="str">
        <f>IF(AND(SUMIF(E:E,E2392,I:I)&gt;=400000,Q2392="B2G"),"n","")</f>
        <v/>
      </c>
    </row>
    <row r="2393" spans="1:34">
      <c r="A2393">
        <v>2026</v>
      </c>
      <c r="B2393">
        <v>3</v>
      </c>
      <c r="C2393" s="83">
        <v>19486007876</v>
      </c>
      <c r="D2393" t="s">
        <v>2180</v>
      </c>
      <c r="E2393">
        <v>55515941679</v>
      </c>
      <c r="F2393">
        <v>547642</v>
      </c>
      <c r="G2393">
        <v>53172405798</v>
      </c>
      <c r="H2393" t="s">
        <v>35</v>
      </c>
      <c r="I2393" s="36">
        <v>2735.4</v>
      </c>
      <c r="J2393" s="36">
        <v>4803.84</v>
      </c>
      <c r="K2393" s="85">
        <v>0</v>
      </c>
      <c r="L2393" s="36">
        <v>400.32</v>
      </c>
      <c r="M2393" s="36">
        <v>0</v>
      </c>
      <c r="N2393" s="36">
        <v>400.32</v>
      </c>
      <c r="O2393" s="36">
        <v>0</v>
      </c>
      <c r="P2393" t="s">
        <v>520</v>
      </c>
      <c r="Q2393" t="s">
        <v>191</v>
      </c>
      <c r="R2393" t="s">
        <v>191</v>
      </c>
      <c r="S2393" s="1">
        <v>46092</v>
      </c>
      <c r="T2393" s="1">
        <v>46092</v>
      </c>
      <c r="U2393" s="1">
        <v>46300</v>
      </c>
      <c r="V2393" s="1">
        <v>46300</v>
      </c>
      <c r="W2393" t="s">
        <v>38</v>
      </c>
      <c r="X2393">
        <v>7</v>
      </c>
      <c r="Y2393" t="s">
        <v>49</v>
      </c>
      <c r="Z2393" t="s">
        <v>324</v>
      </c>
      <c r="AA2393" t="s">
        <v>122</v>
      </c>
      <c r="AB2393">
        <v>6</v>
      </c>
      <c r="AC2393" t="s">
        <v>192</v>
      </c>
      <c r="AD2393" t="s">
        <v>154</v>
      </c>
      <c r="AE2393" t="s">
        <v>46</v>
      </c>
      <c r="AF2393" t="s">
        <v>47</v>
      </c>
      <c r="AG2393" t="str">
        <f t="shared" si="40"/>
        <v>Recorrente</v>
      </c>
      <c r="AH2393" t="str">
        <f>IF(AND(SUMIF(E:E,E2393,I:I)&gt;=400000,Q2393="B2G"),"n","")</f>
        <v/>
      </c>
    </row>
    <row r="2394" spans="1:34">
      <c r="A2394">
        <v>2026</v>
      </c>
      <c r="B2394">
        <v>3</v>
      </c>
      <c r="C2394" s="83">
        <v>19486010987</v>
      </c>
      <c r="D2394" t="s">
        <v>1233</v>
      </c>
      <c r="E2394">
        <v>56134459173</v>
      </c>
      <c r="F2394">
        <v>627775</v>
      </c>
      <c r="G2394">
        <v>51317104160</v>
      </c>
      <c r="H2394" t="s">
        <v>35</v>
      </c>
      <c r="I2394" s="36">
        <v>2874</v>
      </c>
      <c r="J2394" s="36">
        <v>2874</v>
      </c>
      <c r="K2394" s="85">
        <v>0</v>
      </c>
      <c r="L2394" s="36">
        <v>239.5</v>
      </c>
      <c r="M2394" s="36">
        <v>0</v>
      </c>
      <c r="N2394" s="36">
        <v>0.5</v>
      </c>
      <c r="O2394" s="36">
        <v>239</v>
      </c>
      <c r="P2394" t="s">
        <v>165</v>
      </c>
      <c r="Q2394" t="s">
        <v>166</v>
      </c>
      <c r="R2394" t="s">
        <v>166</v>
      </c>
      <c r="S2394" s="1">
        <v>46106</v>
      </c>
      <c r="T2394" s="1">
        <v>46106</v>
      </c>
      <c r="U2394" s="1">
        <v>46106</v>
      </c>
      <c r="V2394" s="1">
        <v>46471</v>
      </c>
      <c r="W2394" t="s">
        <v>38</v>
      </c>
      <c r="X2394">
        <v>12</v>
      </c>
      <c r="Y2394" t="s">
        <v>49</v>
      </c>
      <c r="Z2394" t="s">
        <v>81</v>
      </c>
      <c r="AA2394" t="s">
        <v>122</v>
      </c>
      <c r="AB2394">
        <v>12</v>
      </c>
      <c r="AC2394" t="s">
        <v>166</v>
      </c>
      <c r="AD2394" t="s">
        <v>140</v>
      </c>
      <c r="AE2394" t="s">
        <v>46</v>
      </c>
      <c r="AF2394" t="s">
        <v>119</v>
      </c>
      <c r="AG2394" t="str">
        <f t="shared" si="40"/>
        <v>Recorrente</v>
      </c>
      <c r="AH2394" t="str">
        <f>IF(AND(SUMIF(E:E,E2394,I:I)&gt;=400000,Q2394="B2G"),"n","")</f>
        <v/>
      </c>
    </row>
    <row r="2395" spans="1:34">
      <c r="A2395">
        <v>2026</v>
      </c>
      <c r="B2395">
        <v>3</v>
      </c>
      <c r="C2395" s="83">
        <v>19486013971</v>
      </c>
      <c r="D2395" t="s">
        <v>2181</v>
      </c>
      <c r="E2395">
        <v>54424852259</v>
      </c>
      <c r="F2395">
        <v>529276</v>
      </c>
      <c r="G2395">
        <v>49771552052</v>
      </c>
      <c r="H2395" t="s">
        <v>35</v>
      </c>
      <c r="I2395" s="36">
        <v>3685.44</v>
      </c>
      <c r="J2395" s="36">
        <v>3685.44</v>
      </c>
      <c r="K2395" s="85">
        <v>0</v>
      </c>
      <c r="L2395" s="36">
        <v>307.12</v>
      </c>
      <c r="M2395" s="36">
        <v>0</v>
      </c>
      <c r="N2395" s="36">
        <v>56.905000000000001</v>
      </c>
      <c r="O2395" s="36">
        <v>250.22</v>
      </c>
      <c r="P2395" t="s">
        <v>165</v>
      </c>
      <c r="Q2395" t="s">
        <v>166</v>
      </c>
      <c r="R2395" t="s">
        <v>166</v>
      </c>
      <c r="S2395" s="1">
        <v>46091</v>
      </c>
      <c r="T2395" s="1">
        <v>46091</v>
      </c>
      <c r="U2395" s="1">
        <v>46091</v>
      </c>
      <c r="V2395" s="1">
        <v>46456</v>
      </c>
      <c r="W2395" t="s">
        <v>38</v>
      </c>
      <c r="X2395">
        <v>12</v>
      </c>
      <c r="Y2395" t="s">
        <v>49</v>
      </c>
      <c r="Z2395" t="s">
        <v>81</v>
      </c>
      <c r="AA2395" t="s">
        <v>112</v>
      </c>
      <c r="AB2395">
        <v>12</v>
      </c>
      <c r="AC2395" t="s">
        <v>166</v>
      </c>
      <c r="AD2395" t="s">
        <v>114</v>
      </c>
      <c r="AE2395" t="s">
        <v>43</v>
      </c>
      <c r="AF2395" t="s">
        <v>44</v>
      </c>
      <c r="AG2395" t="str">
        <f t="shared" si="40"/>
        <v>CC 12x</v>
      </c>
      <c r="AH2395" t="str">
        <f>IF(AND(SUMIF(E:E,E2395,I:I)&gt;=400000,Q2395="B2G"),"n","")</f>
        <v/>
      </c>
    </row>
    <row r="2396" spans="1:34">
      <c r="A2396">
        <v>2026</v>
      </c>
      <c r="B2396">
        <v>3</v>
      </c>
      <c r="C2396" s="83">
        <v>19486013971</v>
      </c>
      <c r="D2396" t="s">
        <v>2181</v>
      </c>
      <c r="E2396">
        <v>54424852259</v>
      </c>
      <c r="F2396">
        <v>529276</v>
      </c>
      <c r="G2396">
        <v>49824599113</v>
      </c>
      <c r="H2396" t="s">
        <v>35</v>
      </c>
      <c r="I2396" s="36">
        <v>3685.44</v>
      </c>
      <c r="J2396" s="36">
        <v>3685.44</v>
      </c>
      <c r="K2396" s="85">
        <v>0</v>
      </c>
      <c r="L2396" s="36">
        <v>307.12</v>
      </c>
      <c r="M2396" s="36">
        <v>0</v>
      </c>
      <c r="N2396" s="36">
        <v>56.905000000000001</v>
      </c>
      <c r="O2396" s="36">
        <v>250.22</v>
      </c>
      <c r="P2396" t="s">
        <v>165</v>
      </c>
      <c r="Q2396" t="s">
        <v>166</v>
      </c>
      <c r="R2396" t="s">
        <v>166</v>
      </c>
      <c r="S2396" s="1">
        <v>46091</v>
      </c>
      <c r="T2396" s="1">
        <v>46091</v>
      </c>
      <c r="U2396" s="1">
        <v>46091</v>
      </c>
      <c r="V2396" s="1">
        <v>46456</v>
      </c>
      <c r="W2396" t="s">
        <v>38</v>
      </c>
      <c r="X2396">
        <v>12</v>
      </c>
      <c r="Y2396" t="s">
        <v>49</v>
      </c>
      <c r="Z2396" t="s">
        <v>81</v>
      </c>
      <c r="AA2396" t="s">
        <v>112</v>
      </c>
      <c r="AB2396">
        <v>12</v>
      </c>
      <c r="AC2396" t="s">
        <v>166</v>
      </c>
      <c r="AD2396" t="s">
        <v>85</v>
      </c>
      <c r="AE2396" t="s">
        <v>46</v>
      </c>
      <c r="AF2396" t="s">
        <v>44</v>
      </c>
      <c r="AG2396" t="str">
        <f t="shared" si="40"/>
        <v>CC 12x</v>
      </c>
      <c r="AH2396" t="str">
        <f>IF(AND(SUMIF(E:E,E2396,I:I)&gt;=400000,Q2396="B2G"),"n","")</f>
        <v/>
      </c>
    </row>
    <row r="2397" spans="1:34">
      <c r="A2397">
        <v>2026</v>
      </c>
      <c r="B2397">
        <v>3</v>
      </c>
      <c r="C2397" s="83">
        <v>19486027157</v>
      </c>
      <c r="D2397" t="s">
        <v>2182</v>
      </c>
      <c r="E2397">
        <v>44827657483</v>
      </c>
      <c r="F2397">
        <v>636652</v>
      </c>
      <c r="G2397">
        <v>53455494570</v>
      </c>
      <c r="H2397" t="s">
        <v>35</v>
      </c>
      <c r="I2397" s="36">
        <v>27864</v>
      </c>
      <c r="J2397" s="36">
        <v>9288</v>
      </c>
      <c r="K2397" s="85">
        <v>18576</v>
      </c>
      <c r="L2397" s="36">
        <v>774</v>
      </c>
      <c r="M2397" s="36">
        <v>774</v>
      </c>
      <c r="N2397" s="36">
        <v>0</v>
      </c>
      <c r="O2397" s="36">
        <v>0</v>
      </c>
      <c r="P2397" t="s">
        <v>1165</v>
      </c>
      <c r="Q2397" t="s">
        <v>37</v>
      </c>
      <c r="R2397" t="s">
        <v>37</v>
      </c>
      <c r="S2397" s="1">
        <v>46105</v>
      </c>
      <c r="T2397" s="1">
        <v>46105</v>
      </c>
      <c r="U2397" s="1"/>
      <c r="V2397" s="1">
        <v>47201</v>
      </c>
      <c r="W2397" t="s">
        <v>102</v>
      </c>
      <c r="X2397">
        <v>36</v>
      </c>
      <c r="Y2397" t="s">
        <v>49</v>
      </c>
      <c r="AA2397" t="s">
        <v>40</v>
      </c>
      <c r="AB2397">
        <v>1</v>
      </c>
      <c r="AC2397" t="s">
        <v>41</v>
      </c>
      <c r="AD2397" t="s">
        <v>53</v>
      </c>
      <c r="AE2397" t="s">
        <v>43</v>
      </c>
      <c r="AF2397" t="s">
        <v>44</v>
      </c>
      <c r="AG2397" t="str">
        <f t="shared" si="40"/>
        <v>À Vista</v>
      </c>
      <c r="AH2397" t="str">
        <f>IF(AND(SUMIF(E:E,E2397,I:I)&gt;=400000,Q2397="B2G"),"n","")</f>
        <v/>
      </c>
    </row>
    <row r="2398" spans="1:34">
      <c r="A2398">
        <v>2026</v>
      </c>
      <c r="B2398">
        <v>3</v>
      </c>
      <c r="C2398" s="83">
        <v>195006393241</v>
      </c>
      <c r="D2398" t="s">
        <v>2183</v>
      </c>
      <c r="E2398">
        <v>56753287340</v>
      </c>
      <c r="F2398">
        <v>611647</v>
      </c>
      <c r="G2398">
        <v>53409246762</v>
      </c>
      <c r="H2398" t="s">
        <v>35</v>
      </c>
      <c r="I2398" s="36">
        <v>2640</v>
      </c>
      <c r="J2398" s="36">
        <v>2640</v>
      </c>
      <c r="K2398" s="85">
        <v>0</v>
      </c>
      <c r="L2398" s="36">
        <v>220</v>
      </c>
      <c r="M2398" s="36">
        <v>0</v>
      </c>
      <c r="N2398" s="36">
        <v>0</v>
      </c>
      <c r="O2398" s="36">
        <v>220.00470000000001</v>
      </c>
      <c r="P2398" t="s">
        <v>137</v>
      </c>
      <c r="Q2398" t="s">
        <v>111</v>
      </c>
      <c r="R2398" t="s">
        <v>111</v>
      </c>
      <c r="S2398" s="1">
        <v>46105</v>
      </c>
      <c r="T2398" s="1">
        <v>46105</v>
      </c>
      <c r="U2398" s="1">
        <v>46105</v>
      </c>
      <c r="V2398" s="1">
        <v>46470</v>
      </c>
      <c r="W2398" t="s">
        <v>38</v>
      </c>
      <c r="X2398">
        <v>12</v>
      </c>
      <c r="Y2398" t="s">
        <v>49</v>
      </c>
      <c r="Z2398" t="s">
        <v>81</v>
      </c>
      <c r="AA2398" t="s">
        <v>122</v>
      </c>
      <c r="AB2398">
        <v>12</v>
      </c>
      <c r="AC2398" t="s">
        <v>113</v>
      </c>
      <c r="AD2398" t="s">
        <v>118</v>
      </c>
      <c r="AE2398" t="s">
        <v>43</v>
      </c>
      <c r="AF2398" t="s">
        <v>119</v>
      </c>
      <c r="AG2398" t="str">
        <f t="shared" si="40"/>
        <v>Recorrente</v>
      </c>
      <c r="AH2398" t="str">
        <f>IF(AND(SUMIF(E:E,E2398,I:I)&gt;=400000,Q2398="B2G"),"n","")</f>
        <v/>
      </c>
    </row>
    <row r="2399" spans="1:34">
      <c r="A2399">
        <v>2026</v>
      </c>
      <c r="B2399">
        <v>3</v>
      </c>
      <c r="C2399" s="83">
        <v>195323482224</v>
      </c>
      <c r="D2399" t="s">
        <v>2184</v>
      </c>
      <c r="E2399">
        <v>57865540509</v>
      </c>
      <c r="F2399">
        <v>305910</v>
      </c>
      <c r="G2399">
        <v>53094474126</v>
      </c>
      <c r="H2399" t="s">
        <v>35</v>
      </c>
      <c r="I2399" s="36">
        <v>6664.44</v>
      </c>
      <c r="J2399" s="36">
        <v>6664.44</v>
      </c>
      <c r="K2399" s="85">
        <v>0</v>
      </c>
      <c r="L2399" s="36">
        <v>555.37</v>
      </c>
      <c r="M2399" s="36">
        <v>555.37</v>
      </c>
      <c r="N2399" s="36">
        <v>0</v>
      </c>
      <c r="O2399" s="36">
        <v>0</v>
      </c>
      <c r="P2399" t="s">
        <v>162</v>
      </c>
      <c r="Q2399" t="s">
        <v>111</v>
      </c>
      <c r="R2399" t="s">
        <v>111</v>
      </c>
      <c r="S2399" s="1">
        <v>46092</v>
      </c>
      <c r="T2399" s="1">
        <v>46092</v>
      </c>
      <c r="U2399" s="1">
        <v>46059</v>
      </c>
      <c r="V2399" s="1">
        <v>46457</v>
      </c>
      <c r="W2399" t="s">
        <v>38</v>
      </c>
      <c r="X2399">
        <v>13</v>
      </c>
      <c r="Y2399" t="s">
        <v>49</v>
      </c>
      <c r="Z2399" t="s">
        <v>81</v>
      </c>
      <c r="AA2399" t="s">
        <v>122</v>
      </c>
      <c r="AB2399">
        <v>12</v>
      </c>
      <c r="AC2399" t="s">
        <v>113</v>
      </c>
      <c r="AD2399" t="s">
        <v>134</v>
      </c>
      <c r="AE2399" t="s">
        <v>135</v>
      </c>
      <c r="AF2399" t="s">
        <v>44</v>
      </c>
      <c r="AG2399" t="str">
        <f t="shared" si="40"/>
        <v>Recorrente</v>
      </c>
      <c r="AH2399" t="str">
        <f>IF(AND(SUMIF(E:E,E2399,I:I)&gt;=400000,Q2399="B2G"),"n","")</f>
        <v/>
      </c>
    </row>
    <row r="2400" spans="1:34">
      <c r="A2400">
        <v>2026</v>
      </c>
      <c r="B2400">
        <v>3</v>
      </c>
      <c r="C2400" s="83">
        <v>195383597435</v>
      </c>
      <c r="D2400" t="s">
        <v>2185</v>
      </c>
      <c r="E2400">
        <v>56265877771</v>
      </c>
      <c r="F2400">
        <v>627445</v>
      </c>
      <c r="G2400">
        <v>52245278345</v>
      </c>
      <c r="H2400" t="s">
        <v>35</v>
      </c>
      <c r="I2400" s="36">
        <v>2198.64</v>
      </c>
      <c r="J2400" s="36">
        <v>2198.64</v>
      </c>
      <c r="K2400" s="85">
        <v>0</v>
      </c>
      <c r="L2400" s="36">
        <v>183.22</v>
      </c>
      <c r="M2400" s="36">
        <v>183.22</v>
      </c>
      <c r="N2400" s="36">
        <v>0</v>
      </c>
      <c r="O2400" s="36">
        <v>0</v>
      </c>
      <c r="P2400" t="s">
        <v>127</v>
      </c>
      <c r="Q2400" t="s">
        <v>111</v>
      </c>
      <c r="R2400" t="s">
        <v>111</v>
      </c>
      <c r="S2400" s="1">
        <v>46077</v>
      </c>
      <c r="T2400" s="1">
        <v>46082</v>
      </c>
      <c r="U2400" s="1">
        <v>46098</v>
      </c>
      <c r="V2400" s="1">
        <v>46463</v>
      </c>
      <c r="W2400" t="s">
        <v>38</v>
      </c>
      <c r="X2400">
        <v>12</v>
      </c>
      <c r="Y2400" t="s">
        <v>49</v>
      </c>
      <c r="Z2400" t="s">
        <v>81</v>
      </c>
      <c r="AA2400" t="s">
        <v>112</v>
      </c>
      <c r="AB2400">
        <v>12</v>
      </c>
      <c r="AC2400" t="s">
        <v>113</v>
      </c>
      <c r="AD2400" t="s">
        <v>118</v>
      </c>
      <c r="AE2400" t="s">
        <v>43</v>
      </c>
      <c r="AF2400" t="s">
        <v>119</v>
      </c>
      <c r="AG2400" t="str">
        <f t="shared" si="40"/>
        <v>CC 12x</v>
      </c>
      <c r="AH2400" t="str">
        <f>IF(AND(SUMIF(E:E,E2400,I:I)&gt;=400000,Q2400="B2G"),"n","")</f>
        <v/>
      </c>
    </row>
    <row r="2401" spans="1:34">
      <c r="A2401">
        <v>2026</v>
      </c>
      <c r="B2401">
        <v>3</v>
      </c>
      <c r="C2401" s="83">
        <v>195482266490</v>
      </c>
      <c r="D2401" t="s">
        <v>2186</v>
      </c>
      <c r="E2401">
        <v>57462077184</v>
      </c>
      <c r="F2401">
        <v>620372</v>
      </c>
      <c r="G2401">
        <v>52798709913</v>
      </c>
      <c r="H2401" t="s">
        <v>35</v>
      </c>
      <c r="I2401" s="36">
        <v>3207.36</v>
      </c>
      <c r="J2401" s="36">
        <v>2161.56</v>
      </c>
      <c r="K2401" s="85">
        <v>1045.8</v>
      </c>
      <c r="L2401" s="36">
        <v>180.13</v>
      </c>
      <c r="M2401" s="36">
        <v>0</v>
      </c>
      <c r="N2401" s="36">
        <v>180.13</v>
      </c>
      <c r="O2401" s="36">
        <v>0</v>
      </c>
      <c r="P2401" t="s">
        <v>520</v>
      </c>
      <c r="Q2401" t="s">
        <v>191</v>
      </c>
      <c r="R2401" t="s">
        <v>191</v>
      </c>
      <c r="S2401" s="1">
        <v>46086</v>
      </c>
      <c r="T2401" s="1">
        <v>46086</v>
      </c>
      <c r="U2401" s="1">
        <v>46628</v>
      </c>
      <c r="V2401" s="1">
        <v>46628</v>
      </c>
      <c r="W2401" t="s">
        <v>56</v>
      </c>
      <c r="X2401">
        <v>17</v>
      </c>
      <c r="Y2401" t="s">
        <v>49</v>
      </c>
      <c r="Z2401" t="s">
        <v>324</v>
      </c>
      <c r="AA2401" t="s">
        <v>122</v>
      </c>
      <c r="AB2401">
        <v>17</v>
      </c>
      <c r="AC2401" t="s">
        <v>192</v>
      </c>
      <c r="AD2401" t="s">
        <v>84</v>
      </c>
      <c r="AE2401" t="s">
        <v>43</v>
      </c>
      <c r="AF2401" t="s">
        <v>44</v>
      </c>
      <c r="AG2401" t="str">
        <f t="shared" si="40"/>
        <v>Recorrente</v>
      </c>
      <c r="AH2401" t="str">
        <f>IF(AND(SUMIF(E:E,E2401,I:I)&gt;=400000,Q2401="B2G"),"n","")</f>
        <v/>
      </c>
    </row>
    <row r="2402" spans="1:34">
      <c r="A2402">
        <v>2026</v>
      </c>
      <c r="B2402">
        <v>3</v>
      </c>
      <c r="C2402" s="83">
        <v>19612630358</v>
      </c>
      <c r="D2402" t="s">
        <v>2187</v>
      </c>
      <c r="E2402">
        <v>57037515892</v>
      </c>
      <c r="F2402">
        <v>636774</v>
      </c>
      <c r="G2402">
        <v>53747189916</v>
      </c>
      <c r="H2402" t="s">
        <v>35</v>
      </c>
      <c r="I2402" s="36">
        <v>6858.72</v>
      </c>
      <c r="J2402" s="36">
        <v>6858.72</v>
      </c>
      <c r="K2402" s="85">
        <v>0</v>
      </c>
      <c r="L2402" s="36">
        <v>571.55999999999995</v>
      </c>
      <c r="M2402" s="36">
        <v>0</v>
      </c>
      <c r="N2402" s="36">
        <v>571.55999999999995</v>
      </c>
      <c r="O2402" s="36">
        <v>0</v>
      </c>
      <c r="P2402" t="s">
        <v>520</v>
      </c>
      <c r="Q2402" t="s">
        <v>191</v>
      </c>
      <c r="R2402" t="s">
        <v>191</v>
      </c>
      <c r="S2402" s="1">
        <v>46111</v>
      </c>
      <c r="T2402" s="1">
        <v>46111</v>
      </c>
      <c r="U2402" s="1"/>
      <c r="V2402" s="1">
        <v>46479</v>
      </c>
      <c r="W2402" t="s">
        <v>38</v>
      </c>
      <c r="X2402">
        <v>13</v>
      </c>
      <c r="Y2402" t="s">
        <v>49</v>
      </c>
      <c r="AA2402" t="s">
        <v>92</v>
      </c>
      <c r="AB2402">
        <v>12</v>
      </c>
      <c r="AC2402" t="s">
        <v>192</v>
      </c>
      <c r="AD2402" t="s">
        <v>125</v>
      </c>
      <c r="AE2402" t="s">
        <v>43</v>
      </c>
      <c r="AF2402" t="s">
        <v>47</v>
      </c>
      <c r="AG2402" t="str">
        <f t="shared" si="40"/>
        <v>Recorrente</v>
      </c>
      <c r="AH2402" t="str">
        <f>IF(AND(SUMIF(E:E,E2402,I:I)&gt;=400000,Q2402="B2G"),"n","")</f>
        <v/>
      </c>
    </row>
    <row r="2403" spans="1:34">
      <c r="A2403">
        <v>2026</v>
      </c>
      <c r="B2403">
        <v>3</v>
      </c>
      <c r="C2403" s="83">
        <v>19612630358</v>
      </c>
      <c r="D2403" t="s">
        <v>2187</v>
      </c>
      <c r="E2403">
        <v>57037515892</v>
      </c>
      <c r="F2403">
        <v>636774</v>
      </c>
      <c r="G2403">
        <v>53747189917</v>
      </c>
      <c r="H2403" t="s">
        <v>35</v>
      </c>
      <c r="I2403" s="36">
        <v>12666.72</v>
      </c>
      <c r="J2403" s="36">
        <v>12666.72</v>
      </c>
      <c r="K2403" s="85">
        <v>0</v>
      </c>
      <c r="L2403" s="36">
        <v>1055.56</v>
      </c>
      <c r="M2403" s="36">
        <v>0</v>
      </c>
      <c r="N2403" s="36">
        <v>1055.56</v>
      </c>
      <c r="O2403" s="36">
        <v>0</v>
      </c>
      <c r="P2403" t="s">
        <v>520</v>
      </c>
      <c r="Q2403" t="s">
        <v>191</v>
      </c>
      <c r="R2403" t="s">
        <v>191</v>
      </c>
      <c r="S2403" s="1">
        <v>46111</v>
      </c>
      <c r="T2403" s="1">
        <v>46111</v>
      </c>
      <c r="U2403" s="1"/>
      <c r="V2403" s="1">
        <v>46479</v>
      </c>
      <c r="W2403" t="s">
        <v>38</v>
      </c>
      <c r="X2403">
        <v>13</v>
      </c>
      <c r="Y2403" t="s">
        <v>49</v>
      </c>
      <c r="AA2403" t="s">
        <v>92</v>
      </c>
      <c r="AB2403">
        <v>12</v>
      </c>
      <c r="AC2403" t="s">
        <v>192</v>
      </c>
      <c r="AD2403" t="s">
        <v>154</v>
      </c>
      <c r="AE2403" t="s">
        <v>46</v>
      </c>
      <c r="AF2403" t="s">
        <v>47</v>
      </c>
      <c r="AG2403" t="str">
        <f t="shared" si="40"/>
        <v>Recorrente</v>
      </c>
      <c r="AH2403" t="str">
        <f>IF(AND(SUMIF(E:E,E2403,I:I)&gt;=400000,Q2403="B2G"),"n","")</f>
        <v/>
      </c>
    </row>
    <row r="2404" spans="1:34">
      <c r="A2404">
        <v>2026</v>
      </c>
      <c r="B2404">
        <v>3</v>
      </c>
      <c r="C2404" s="83">
        <v>196244040840</v>
      </c>
      <c r="D2404" t="s">
        <v>816</v>
      </c>
      <c r="E2404">
        <v>55719050008</v>
      </c>
      <c r="F2404">
        <v>507282</v>
      </c>
      <c r="G2404">
        <v>52868734581</v>
      </c>
      <c r="H2404" t="s">
        <v>35</v>
      </c>
      <c r="I2404" s="36">
        <v>7339.44</v>
      </c>
      <c r="J2404" s="36">
        <v>7339.44</v>
      </c>
      <c r="K2404" s="85">
        <v>0</v>
      </c>
      <c r="L2404" s="36">
        <v>611.62</v>
      </c>
      <c r="M2404" s="36">
        <v>611.62</v>
      </c>
      <c r="N2404" s="36">
        <v>0</v>
      </c>
      <c r="O2404" s="36">
        <v>0</v>
      </c>
      <c r="P2404" t="s">
        <v>162</v>
      </c>
      <c r="Q2404" t="s">
        <v>111</v>
      </c>
      <c r="R2404" t="s">
        <v>111</v>
      </c>
      <c r="S2404" s="1">
        <v>46087</v>
      </c>
      <c r="T2404" s="1">
        <v>46087</v>
      </c>
      <c r="U2404" s="1">
        <v>46091</v>
      </c>
      <c r="V2404" s="1">
        <v>46456</v>
      </c>
      <c r="W2404" t="s">
        <v>38</v>
      </c>
      <c r="X2404">
        <v>12</v>
      </c>
      <c r="Y2404" t="s">
        <v>49</v>
      </c>
      <c r="Z2404" t="s">
        <v>81</v>
      </c>
      <c r="AA2404" t="s">
        <v>112</v>
      </c>
      <c r="AB2404">
        <v>3</v>
      </c>
      <c r="AC2404" t="s">
        <v>113</v>
      </c>
      <c r="AD2404" t="s">
        <v>131</v>
      </c>
      <c r="AE2404" t="s">
        <v>46</v>
      </c>
      <c r="AF2404" t="s">
        <v>96</v>
      </c>
      <c r="AG2404" t="str">
        <f t="shared" si="40"/>
        <v>CC 3x</v>
      </c>
      <c r="AH2404" t="str">
        <f>IF(AND(SUMIF(E:E,E2404,I:I)&gt;=400000,Q2404="B2G"),"n","")</f>
        <v/>
      </c>
    </row>
    <row r="2405" spans="1:34">
      <c r="A2405">
        <v>2026</v>
      </c>
      <c r="B2405">
        <v>3</v>
      </c>
      <c r="C2405" s="83">
        <v>19699386677</v>
      </c>
      <c r="D2405" t="s">
        <v>2188</v>
      </c>
      <c r="E2405">
        <v>56137049235</v>
      </c>
      <c r="F2405">
        <v>508747</v>
      </c>
      <c r="G2405">
        <v>51474587544</v>
      </c>
      <c r="H2405" t="s">
        <v>35</v>
      </c>
      <c r="I2405" s="36">
        <v>12954.6</v>
      </c>
      <c r="J2405" s="36">
        <v>12954.6</v>
      </c>
      <c r="K2405" s="85">
        <v>1.8189900000000001E-12</v>
      </c>
      <c r="L2405" s="36">
        <v>1079.55</v>
      </c>
      <c r="M2405" s="36">
        <v>0</v>
      </c>
      <c r="N2405" s="36">
        <v>132.65</v>
      </c>
      <c r="O2405" s="36">
        <v>946.9</v>
      </c>
      <c r="P2405" t="s">
        <v>165</v>
      </c>
      <c r="Q2405" t="s">
        <v>166</v>
      </c>
      <c r="R2405" t="s">
        <v>166</v>
      </c>
      <c r="S2405" s="1">
        <v>46107</v>
      </c>
      <c r="T2405" s="1">
        <v>46107</v>
      </c>
      <c r="U2405" s="1">
        <v>46111</v>
      </c>
      <c r="V2405" s="1">
        <v>46476</v>
      </c>
      <c r="W2405" t="s">
        <v>38</v>
      </c>
      <c r="X2405">
        <v>12</v>
      </c>
      <c r="Y2405" t="s">
        <v>49</v>
      </c>
      <c r="Z2405" t="s">
        <v>81</v>
      </c>
      <c r="AA2405" t="s">
        <v>122</v>
      </c>
      <c r="AB2405">
        <v>12</v>
      </c>
      <c r="AC2405" t="s">
        <v>166</v>
      </c>
      <c r="AD2405" t="s">
        <v>154</v>
      </c>
      <c r="AE2405" t="s">
        <v>46</v>
      </c>
      <c r="AF2405" t="s">
        <v>47</v>
      </c>
      <c r="AG2405" t="str">
        <f t="shared" si="40"/>
        <v>Recorrente</v>
      </c>
      <c r="AH2405" t="str">
        <f>IF(AND(SUMIF(E:E,E2405,I:I)&gt;=400000,Q2405="B2G"),"n","")</f>
        <v/>
      </c>
    </row>
    <row r="2406" spans="1:34">
      <c r="A2406">
        <v>2026</v>
      </c>
      <c r="B2406">
        <v>3</v>
      </c>
      <c r="C2406" s="83">
        <v>19699665316</v>
      </c>
      <c r="D2406" t="s">
        <v>892</v>
      </c>
      <c r="E2406">
        <v>57654356760</v>
      </c>
      <c r="F2406">
        <v>635840</v>
      </c>
      <c r="G2406">
        <v>52873369221</v>
      </c>
      <c r="H2406" t="s">
        <v>35</v>
      </c>
      <c r="I2406" s="36">
        <v>1952.88</v>
      </c>
      <c r="J2406" s="36">
        <v>2161.56</v>
      </c>
      <c r="K2406" s="85">
        <v>0</v>
      </c>
      <c r="L2406" s="36">
        <v>180.13</v>
      </c>
      <c r="M2406" s="36">
        <v>0</v>
      </c>
      <c r="N2406" s="36">
        <v>180.13</v>
      </c>
      <c r="O2406" s="36">
        <v>0</v>
      </c>
      <c r="P2406" t="s">
        <v>520</v>
      </c>
      <c r="Q2406" t="s">
        <v>191</v>
      </c>
      <c r="R2406" t="s">
        <v>191</v>
      </c>
      <c r="S2406" s="1">
        <v>46087</v>
      </c>
      <c r="T2406" s="1">
        <v>46087</v>
      </c>
      <c r="U2406" s="1">
        <v>46417</v>
      </c>
      <c r="V2406" s="1">
        <v>46417</v>
      </c>
      <c r="W2406" t="s">
        <v>38</v>
      </c>
      <c r="X2406">
        <v>10</v>
      </c>
      <c r="Y2406" t="s">
        <v>49</v>
      </c>
      <c r="Z2406" t="s">
        <v>324</v>
      </c>
      <c r="AA2406" t="s">
        <v>122</v>
      </c>
      <c r="AB2406">
        <v>10</v>
      </c>
      <c r="AC2406" t="s">
        <v>192</v>
      </c>
      <c r="AD2406" t="s">
        <v>84</v>
      </c>
      <c r="AE2406" t="s">
        <v>43</v>
      </c>
      <c r="AF2406" t="s">
        <v>44</v>
      </c>
      <c r="AG2406" t="str">
        <f t="shared" si="40"/>
        <v>Recorrente</v>
      </c>
      <c r="AH2406" t="str">
        <f>IF(AND(SUMIF(E:E,E2406,I:I)&gt;=400000,Q2406="B2G"),"n","")</f>
        <v/>
      </c>
    </row>
    <row r="2407" spans="1:34">
      <c r="A2407">
        <v>2026</v>
      </c>
      <c r="B2407">
        <v>3</v>
      </c>
      <c r="C2407" s="83">
        <v>19732502865</v>
      </c>
      <c r="D2407" t="s">
        <v>2189</v>
      </c>
      <c r="E2407">
        <v>55480478345</v>
      </c>
      <c r="F2407">
        <v>611939</v>
      </c>
      <c r="G2407">
        <v>50843169338</v>
      </c>
      <c r="H2407" t="s">
        <v>35</v>
      </c>
      <c r="I2407" s="36">
        <v>2874</v>
      </c>
      <c r="J2407" s="36">
        <v>2874</v>
      </c>
      <c r="K2407" s="85">
        <v>0</v>
      </c>
      <c r="L2407" s="36">
        <v>239.5</v>
      </c>
      <c r="M2407" s="36">
        <v>0</v>
      </c>
      <c r="N2407" s="36">
        <v>7.67</v>
      </c>
      <c r="O2407" s="36">
        <v>231.83</v>
      </c>
      <c r="P2407" t="s">
        <v>165</v>
      </c>
      <c r="Q2407" t="s">
        <v>166</v>
      </c>
      <c r="R2407" t="s">
        <v>166</v>
      </c>
      <c r="S2407" s="1">
        <v>46102</v>
      </c>
      <c r="T2407" s="1">
        <v>46102</v>
      </c>
      <c r="U2407" s="1">
        <v>46102</v>
      </c>
      <c r="V2407" s="1">
        <v>46467</v>
      </c>
      <c r="W2407" t="s">
        <v>38</v>
      </c>
      <c r="X2407">
        <v>12</v>
      </c>
      <c r="Y2407" t="s">
        <v>49</v>
      </c>
      <c r="Z2407" t="s">
        <v>81</v>
      </c>
      <c r="AA2407" t="s">
        <v>112</v>
      </c>
      <c r="AB2407">
        <v>12</v>
      </c>
      <c r="AC2407" t="s">
        <v>166</v>
      </c>
      <c r="AD2407" t="s">
        <v>118</v>
      </c>
      <c r="AE2407" t="s">
        <v>43</v>
      </c>
      <c r="AF2407" t="s">
        <v>119</v>
      </c>
      <c r="AG2407" t="str">
        <f t="shared" si="40"/>
        <v>CC 12x</v>
      </c>
      <c r="AH2407" t="str">
        <f>IF(AND(SUMIF(E:E,E2407,I:I)&gt;=400000,Q2407="B2G"),"n","")</f>
        <v/>
      </c>
    </row>
    <row r="2408" spans="1:34">
      <c r="A2408">
        <v>2026</v>
      </c>
      <c r="B2408">
        <v>3</v>
      </c>
      <c r="C2408" s="83">
        <v>19733342243</v>
      </c>
      <c r="D2408" t="s">
        <v>2190</v>
      </c>
      <c r="E2408">
        <v>55804044906</v>
      </c>
      <c r="F2408">
        <v>611776</v>
      </c>
      <c r="G2408">
        <v>51984272922</v>
      </c>
      <c r="H2408" t="s">
        <v>35</v>
      </c>
      <c r="I2408" s="36">
        <v>6036.24</v>
      </c>
      <c r="J2408" s="36">
        <v>6036.24</v>
      </c>
      <c r="K2408" s="85">
        <v>0</v>
      </c>
      <c r="L2408" s="36">
        <v>503.02</v>
      </c>
      <c r="M2408" s="36">
        <v>0</v>
      </c>
      <c r="N2408" s="36">
        <v>0</v>
      </c>
      <c r="O2408" s="36">
        <v>503.02499999999998</v>
      </c>
      <c r="P2408" t="s">
        <v>127</v>
      </c>
      <c r="Q2408" t="s">
        <v>111</v>
      </c>
      <c r="R2408" t="s">
        <v>111</v>
      </c>
      <c r="S2408" s="1">
        <v>46073</v>
      </c>
      <c r="T2408" s="1">
        <v>46082</v>
      </c>
      <c r="U2408" s="1">
        <v>46107</v>
      </c>
      <c r="V2408" s="1">
        <v>46472</v>
      </c>
      <c r="W2408" t="s">
        <v>38</v>
      </c>
      <c r="X2408">
        <v>12</v>
      </c>
      <c r="Y2408" t="s">
        <v>49</v>
      </c>
      <c r="Z2408" t="s">
        <v>76</v>
      </c>
      <c r="AA2408" t="s">
        <v>122</v>
      </c>
      <c r="AB2408">
        <v>12</v>
      </c>
      <c r="AC2408" t="s">
        <v>113</v>
      </c>
      <c r="AD2408" t="s">
        <v>149</v>
      </c>
      <c r="AE2408" t="s">
        <v>43</v>
      </c>
      <c r="AF2408" t="s">
        <v>96</v>
      </c>
      <c r="AG2408" t="str">
        <f t="shared" si="40"/>
        <v>Recorrente</v>
      </c>
      <c r="AH2408" t="str">
        <f>IF(AND(SUMIF(E:E,E2408,I:I)&gt;=400000,Q2408="B2G"),"n","")</f>
        <v/>
      </c>
    </row>
    <row r="2409" spans="1:34">
      <c r="A2409">
        <v>2026</v>
      </c>
      <c r="B2409">
        <v>3</v>
      </c>
      <c r="C2409" s="83">
        <v>19733402999</v>
      </c>
      <c r="D2409" t="s">
        <v>2191</v>
      </c>
      <c r="E2409">
        <v>55488389389</v>
      </c>
      <c r="F2409">
        <v>611754</v>
      </c>
      <c r="G2409">
        <v>50785964839</v>
      </c>
      <c r="H2409" t="s">
        <v>35</v>
      </c>
      <c r="I2409" s="36">
        <v>5154</v>
      </c>
      <c r="J2409" s="36">
        <v>5154</v>
      </c>
      <c r="K2409" s="85">
        <v>0</v>
      </c>
      <c r="L2409" s="36">
        <v>429.5</v>
      </c>
      <c r="M2409" s="36">
        <v>0</v>
      </c>
      <c r="N2409" s="36">
        <v>81.849999999999994</v>
      </c>
      <c r="O2409" s="36">
        <v>347.65</v>
      </c>
      <c r="P2409" t="s">
        <v>165</v>
      </c>
      <c r="Q2409" t="s">
        <v>166</v>
      </c>
      <c r="R2409" t="s">
        <v>166</v>
      </c>
      <c r="S2409" s="1">
        <v>46102</v>
      </c>
      <c r="T2409" s="1">
        <v>46102</v>
      </c>
      <c r="U2409" s="1">
        <v>46102</v>
      </c>
      <c r="V2409" s="1">
        <v>46467</v>
      </c>
      <c r="W2409" t="s">
        <v>38</v>
      </c>
      <c r="X2409">
        <v>12</v>
      </c>
      <c r="Y2409" t="s">
        <v>49</v>
      </c>
      <c r="Z2409" t="s">
        <v>81</v>
      </c>
      <c r="AA2409" t="s">
        <v>112</v>
      </c>
      <c r="AB2409">
        <v>12</v>
      </c>
      <c r="AC2409" t="s">
        <v>166</v>
      </c>
      <c r="AD2409" t="s">
        <v>229</v>
      </c>
      <c r="AE2409" t="s">
        <v>43</v>
      </c>
      <c r="AF2409" t="s">
        <v>96</v>
      </c>
      <c r="AG2409" t="str">
        <f t="shared" si="40"/>
        <v>CC 12x</v>
      </c>
      <c r="AH2409" t="str">
        <f>IF(AND(SUMIF(E:E,E2409,I:I)&gt;=400000,Q2409="B2G"),"n","")</f>
        <v/>
      </c>
    </row>
    <row r="2410" spans="1:34">
      <c r="A2410">
        <v>2026</v>
      </c>
      <c r="B2410">
        <v>3</v>
      </c>
      <c r="C2410" s="83">
        <v>19733405485</v>
      </c>
      <c r="D2410" t="s">
        <v>2192</v>
      </c>
      <c r="E2410">
        <v>57991966287</v>
      </c>
      <c r="F2410">
        <v>611258</v>
      </c>
      <c r="G2410">
        <v>53239576903</v>
      </c>
      <c r="H2410" t="s">
        <v>35</v>
      </c>
      <c r="I2410" s="36">
        <v>7553.4</v>
      </c>
      <c r="J2410" s="36">
        <v>7553.4</v>
      </c>
      <c r="K2410" s="85">
        <v>0</v>
      </c>
      <c r="L2410" s="36">
        <v>629.45000000000005</v>
      </c>
      <c r="M2410" s="36">
        <v>0</v>
      </c>
      <c r="N2410" s="36">
        <v>53.766249999999999</v>
      </c>
      <c r="O2410" s="36">
        <v>575.67999999999995</v>
      </c>
      <c r="P2410" t="s">
        <v>110</v>
      </c>
      <c r="Q2410" t="s">
        <v>111</v>
      </c>
      <c r="R2410" t="s">
        <v>111</v>
      </c>
      <c r="S2410" s="1">
        <v>46097</v>
      </c>
      <c r="T2410" s="1">
        <v>46097</v>
      </c>
      <c r="U2410" s="1">
        <v>46095</v>
      </c>
      <c r="V2410" s="1">
        <v>46462</v>
      </c>
      <c r="W2410" t="s">
        <v>38</v>
      </c>
      <c r="X2410">
        <v>12</v>
      </c>
      <c r="Y2410" t="s">
        <v>49</v>
      </c>
      <c r="Z2410" t="s">
        <v>81</v>
      </c>
      <c r="AA2410" t="s">
        <v>112</v>
      </c>
      <c r="AB2410">
        <v>12</v>
      </c>
      <c r="AC2410" t="s">
        <v>113</v>
      </c>
      <c r="AD2410" t="s">
        <v>134</v>
      </c>
      <c r="AE2410" t="s">
        <v>135</v>
      </c>
      <c r="AF2410" t="s">
        <v>44</v>
      </c>
      <c r="AG2410" t="str">
        <f t="shared" si="40"/>
        <v>CC 12x</v>
      </c>
      <c r="AH2410" t="str">
        <f>IF(AND(SUMIF(E:E,E2410,I:I)&gt;=400000,Q2410="B2G"),"n","")</f>
        <v/>
      </c>
    </row>
    <row r="2411" spans="1:34">
      <c r="A2411">
        <v>2026</v>
      </c>
      <c r="B2411">
        <v>3</v>
      </c>
      <c r="C2411" s="83">
        <v>19733419022</v>
      </c>
      <c r="D2411" t="s">
        <v>2193</v>
      </c>
      <c r="E2411">
        <v>58254350345</v>
      </c>
      <c r="F2411">
        <v>278750</v>
      </c>
      <c r="G2411">
        <v>53452843617</v>
      </c>
      <c r="H2411" t="s">
        <v>35</v>
      </c>
      <c r="I2411" s="36">
        <v>4661.88</v>
      </c>
      <c r="J2411" s="36">
        <v>4661.88</v>
      </c>
      <c r="K2411" s="85">
        <v>0</v>
      </c>
      <c r="L2411" s="36">
        <v>388.49</v>
      </c>
      <c r="M2411" s="36">
        <v>388.49</v>
      </c>
      <c r="N2411" s="36">
        <v>0</v>
      </c>
      <c r="O2411" s="36">
        <v>0</v>
      </c>
      <c r="P2411" t="s">
        <v>137</v>
      </c>
      <c r="Q2411" t="s">
        <v>111</v>
      </c>
      <c r="R2411" t="s">
        <v>111</v>
      </c>
      <c r="S2411" s="1">
        <v>46104</v>
      </c>
      <c r="T2411" s="1">
        <v>46104</v>
      </c>
      <c r="U2411" s="1">
        <v>46092</v>
      </c>
      <c r="V2411" s="1">
        <v>46469</v>
      </c>
      <c r="W2411" t="s">
        <v>38</v>
      </c>
      <c r="X2411">
        <v>12</v>
      </c>
      <c r="Y2411" t="s">
        <v>49</v>
      </c>
      <c r="Z2411" t="s">
        <v>81</v>
      </c>
      <c r="AA2411" t="s">
        <v>122</v>
      </c>
      <c r="AB2411">
        <v>12</v>
      </c>
      <c r="AC2411" t="s">
        <v>113</v>
      </c>
      <c r="AD2411" t="s">
        <v>85</v>
      </c>
      <c r="AE2411" t="s">
        <v>46</v>
      </c>
      <c r="AF2411" t="s">
        <v>44</v>
      </c>
      <c r="AG2411" t="str">
        <f t="shared" si="40"/>
        <v>Recorrente</v>
      </c>
      <c r="AH2411" t="str">
        <f>IF(AND(SUMIF(E:E,E2411,I:I)&gt;=400000,Q2411="B2G"),"n","")</f>
        <v/>
      </c>
    </row>
    <row r="2412" spans="1:34">
      <c r="A2412">
        <v>2026</v>
      </c>
      <c r="B2412">
        <v>3</v>
      </c>
      <c r="C2412" s="83">
        <v>19733469360</v>
      </c>
      <c r="D2412" t="s">
        <v>2194</v>
      </c>
      <c r="E2412">
        <v>55868317014</v>
      </c>
      <c r="F2412">
        <v>508174</v>
      </c>
      <c r="G2412">
        <v>51183657648</v>
      </c>
      <c r="H2412" t="s">
        <v>35</v>
      </c>
      <c r="I2412" s="36">
        <v>4530.6000000000004</v>
      </c>
      <c r="J2412" s="36">
        <v>4530.6000000000004</v>
      </c>
      <c r="K2412" s="85">
        <v>0</v>
      </c>
      <c r="L2412" s="36">
        <v>377.55</v>
      </c>
      <c r="M2412" s="36">
        <v>0</v>
      </c>
      <c r="N2412" s="36">
        <v>81.489999999999995</v>
      </c>
      <c r="O2412" s="36">
        <v>296.06</v>
      </c>
      <c r="P2412" t="s">
        <v>165</v>
      </c>
      <c r="Q2412" t="s">
        <v>166</v>
      </c>
      <c r="R2412" t="s">
        <v>166</v>
      </c>
      <c r="S2412" s="1">
        <v>46107</v>
      </c>
      <c r="T2412" s="1">
        <v>46107</v>
      </c>
      <c r="U2412" s="1">
        <v>46108</v>
      </c>
      <c r="V2412" s="1">
        <v>46473</v>
      </c>
      <c r="W2412" t="s">
        <v>38</v>
      </c>
      <c r="X2412">
        <v>12</v>
      </c>
      <c r="Y2412" t="s">
        <v>49</v>
      </c>
      <c r="Z2412" t="s">
        <v>81</v>
      </c>
      <c r="AA2412" t="s">
        <v>122</v>
      </c>
      <c r="AB2412">
        <v>12</v>
      </c>
      <c r="AC2412" t="s">
        <v>166</v>
      </c>
      <c r="AD2412" t="s">
        <v>84</v>
      </c>
      <c r="AE2412" t="s">
        <v>43</v>
      </c>
      <c r="AF2412" t="s">
        <v>44</v>
      </c>
      <c r="AG2412" t="str">
        <f t="shared" si="40"/>
        <v>Recorrente</v>
      </c>
      <c r="AH2412" t="str">
        <f>IF(AND(SUMIF(E:E,E2412,I:I)&gt;=400000,Q2412="B2G"),"n","")</f>
        <v/>
      </c>
    </row>
    <row r="2413" spans="1:34">
      <c r="A2413">
        <v>2026</v>
      </c>
      <c r="B2413">
        <v>3</v>
      </c>
      <c r="C2413" s="83">
        <v>19733508220</v>
      </c>
      <c r="D2413" t="s">
        <v>2195</v>
      </c>
      <c r="E2413">
        <v>55103637072</v>
      </c>
      <c r="F2413">
        <v>507672</v>
      </c>
      <c r="G2413">
        <v>50361297719</v>
      </c>
      <c r="H2413" t="s">
        <v>35</v>
      </c>
      <c r="I2413" s="36">
        <v>4315.4399999999996</v>
      </c>
      <c r="J2413" s="36">
        <v>4315.4399999999996</v>
      </c>
      <c r="K2413" s="85">
        <v>0</v>
      </c>
      <c r="L2413" s="36">
        <v>359.62</v>
      </c>
      <c r="M2413" s="36">
        <v>0</v>
      </c>
      <c r="N2413" s="36">
        <v>74.245000000000005</v>
      </c>
      <c r="O2413" s="36">
        <v>285.38</v>
      </c>
      <c r="P2413" t="s">
        <v>165</v>
      </c>
      <c r="Q2413" t="s">
        <v>166</v>
      </c>
      <c r="R2413" t="s">
        <v>166</v>
      </c>
      <c r="S2413" s="1">
        <v>46097</v>
      </c>
      <c r="T2413" s="1">
        <v>46097</v>
      </c>
      <c r="U2413" s="1">
        <v>46097</v>
      </c>
      <c r="V2413" s="1">
        <v>46462</v>
      </c>
      <c r="W2413" t="s">
        <v>38</v>
      </c>
      <c r="X2413">
        <v>12</v>
      </c>
      <c r="Y2413" t="s">
        <v>49</v>
      </c>
      <c r="Z2413" t="s">
        <v>81</v>
      </c>
      <c r="AA2413" t="s">
        <v>122</v>
      </c>
      <c r="AB2413">
        <v>12</v>
      </c>
      <c r="AC2413" t="s">
        <v>166</v>
      </c>
      <c r="AD2413" t="s">
        <v>85</v>
      </c>
      <c r="AE2413" t="s">
        <v>46</v>
      </c>
      <c r="AF2413" t="s">
        <v>44</v>
      </c>
      <c r="AG2413" t="str">
        <f t="shared" si="40"/>
        <v>Recorrente</v>
      </c>
      <c r="AH2413" t="str">
        <f>IF(AND(SUMIF(E:E,E2413,I:I)&gt;=400000,Q2413="B2G"),"n","")</f>
        <v/>
      </c>
    </row>
    <row r="2414" spans="1:34">
      <c r="A2414">
        <v>2026</v>
      </c>
      <c r="B2414">
        <v>3</v>
      </c>
      <c r="C2414" s="83">
        <v>197485635720</v>
      </c>
      <c r="D2414" t="s">
        <v>2196</v>
      </c>
      <c r="E2414">
        <v>58566821268</v>
      </c>
      <c r="F2414">
        <v>633310</v>
      </c>
      <c r="G2414">
        <v>53747870027</v>
      </c>
      <c r="H2414" t="s">
        <v>35</v>
      </c>
      <c r="I2414" s="36">
        <v>1938.96</v>
      </c>
      <c r="J2414" s="36">
        <v>3650.76</v>
      </c>
      <c r="K2414" s="85">
        <v>0</v>
      </c>
      <c r="L2414" s="36">
        <v>304.23</v>
      </c>
      <c r="M2414" s="36">
        <v>0</v>
      </c>
      <c r="N2414" s="36">
        <v>304.23</v>
      </c>
      <c r="O2414" s="36">
        <v>0</v>
      </c>
      <c r="P2414" t="s">
        <v>469</v>
      </c>
      <c r="Q2414" t="s">
        <v>191</v>
      </c>
      <c r="R2414" t="s">
        <v>191</v>
      </c>
      <c r="S2414" s="1">
        <v>46111</v>
      </c>
      <c r="T2414" s="1">
        <v>46111</v>
      </c>
      <c r="U2414" s="1">
        <v>46305</v>
      </c>
      <c r="V2414" s="1">
        <v>46305</v>
      </c>
      <c r="W2414" t="s">
        <v>38</v>
      </c>
      <c r="X2414">
        <v>7</v>
      </c>
      <c r="Y2414" t="s">
        <v>49</v>
      </c>
      <c r="Z2414" t="s">
        <v>324</v>
      </c>
      <c r="AA2414" t="s">
        <v>122</v>
      </c>
      <c r="AB2414">
        <v>6</v>
      </c>
      <c r="AC2414" t="s">
        <v>192</v>
      </c>
      <c r="AD2414" t="s">
        <v>134</v>
      </c>
      <c r="AE2414" t="s">
        <v>135</v>
      </c>
      <c r="AF2414" t="s">
        <v>44</v>
      </c>
      <c r="AG2414" t="str">
        <f t="shared" si="40"/>
        <v>Recorrente</v>
      </c>
      <c r="AH2414" t="str">
        <f>IF(AND(SUMIF(E:E,E2414,I:I)&gt;=400000,Q2414="B2G"),"n","")</f>
        <v/>
      </c>
    </row>
    <row r="2415" spans="1:34">
      <c r="A2415">
        <v>2026</v>
      </c>
      <c r="B2415">
        <v>3</v>
      </c>
      <c r="C2415" s="83">
        <v>197493449523</v>
      </c>
      <c r="D2415" t="s">
        <v>2197</v>
      </c>
      <c r="E2415">
        <v>54422378575</v>
      </c>
      <c r="F2415">
        <v>529494</v>
      </c>
      <c r="G2415">
        <v>49784331671</v>
      </c>
      <c r="H2415" t="s">
        <v>35</v>
      </c>
      <c r="I2415" s="36">
        <v>4530.6000000000004</v>
      </c>
      <c r="J2415" s="36">
        <v>4530.6000000000004</v>
      </c>
      <c r="K2415" s="85">
        <v>0</v>
      </c>
      <c r="L2415" s="36">
        <v>377.55</v>
      </c>
      <c r="M2415" s="36">
        <v>0</v>
      </c>
      <c r="N2415" s="36">
        <v>64.08</v>
      </c>
      <c r="O2415" s="36">
        <v>313.47000000000003</v>
      </c>
      <c r="P2415" t="s">
        <v>165</v>
      </c>
      <c r="Q2415" t="s">
        <v>166</v>
      </c>
      <c r="R2415" t="s">
        <v>166</v>
      </c>
      <c r="S2415" s="1">
        <v>46091</v>
      </c>
      <c r="T2415" s="1">
        <v>46091</v>
      </c>
      <c r="U2415" s="1">
        <v>46091</v>
      </c>
      <c r="V2415" s="1">
        <v>46456</v>
      </c>
      <c r="W2415" t="s">
        <v>38</v>
      </c>
      <c r="X2415">
        <v>12</v>
      </c>
      <c r="Y2415" t="s">
        <v>49</v>
      </c>
      <c r="Z2415" t="s">
        <v>81</v>
      </c>
      <c r="AA2415" t="s">
        <v>112</v>
      </c>
      <c r="AB2415">
        <v>12</v>
      </c>
      <c r="AC2415" t="s">
        <v>166</v>
      </c>
      <c r="AD2415" t="s">
        <v>84</v>
      </c>
      <c r="AE2415" t="s">
        <v>43</v>
      </c>
      <c r="AF2415" t="s">
        <v>44</v>
      </c>
      <c r="AG2415" t="str">
        <f t="shared" si="40"/>
        <v>CC 12x</v>
      </c>
      <c r="AH2415" t="str">
        <f>IF(AND(SUMIF(E:E,E2415,I:I)&gt;=400000,Q2415="B2G"),"n","")</f>
        <v/>
      </c>
    </row>
    <row r="2416" spans="1:34">
      <c r="A2416">
        <v>2026</v>
      </c>
      <c r="B2416">
        <v>3</v>
      </c>
      <c r="C2416" s="83">
        <v>199024896323</v>
      </c>
      <c r="D2416" t="s">
        <v>2198</v>
      </c>
      <c r="E2416">
        <v>57991060236</v>
      </c>
      <c r="F2416">
        <v>625403</v>
      </c>
      <c r="G2416">
        <v>53241860630</v>
      </c>
      <c r="H2416" t="s">
        <v>35</v>
      </c>
      <c r="I2416" s="36">
        <v>4218.24</v>
      </c>
      <c r="J2416" s="36">
        <v>4218.24</v>
      </c>
      <c r="K2416" s="85">
        <v>0</v>
      </c>
      <c r="L2416" s="36">
        <v>351.52</v>
      </c>
      <c r="M2416" s="36">
        <v>351.52</v>
      </c>
      <c r="N2416" s="36">
        <v>0</v>
      </c>
      <c r="O2416" s="36">
        <v>0</v>
      </c>
      <c r="P2416" t="s">
        <v>133</v>
      </c>
      <c r="Q2416" t="s">
        <v>111</v>
      </c>
      <c r="R2416" t="s">
        <v>111</v>
      </c>
      <c r="S2416" s="1">
        <v>46098</v>
      </c>
      <c r="T2416" s="1">
        <v>46098</v>
      </c>
      <c r="U2416" s="1">
        <v>46035</v>
      </c>
      <c r="V2416" s="1">
        <v>46463</v>
      </c>
      <c r="W2416" t="s">
        <v>38</v>
      </c>
      <c r="X2416">
        <v>14</v>
      </c>
      <c r="Y2416" t="s">
        <v>49</v>
      </c>
      <c r="Z2416" t="s">
        <v>76</v>
      </c>
      <c r="AA2416" t="s">
        <v>112</v>
      </c>
      <c r="AB2416">
        <v>12</v>
      </c>
      <c r="AC2416" t="s">
        <v>113</v>
      </c>
      <c r="AD2416" t="s">
        <v>138</v>
      </c>
      <c r="AE2416" t="s">
        <v>135</v>
      </c>
      <c r="AF2416" t="s">
        <v>119</v>
      </c>
      <c r="AG2416" t="str">
        <f t="shared" si="40"/>
        <v>CC 12x</v>
      </c>
      <c r="AH2416" t="str">
        <f>IF(AND(SUMIF(E:E,E2416,I:I)&gt;=400000,Q2416="B2G"),"n","")</f>
        <v/>
      </c>
    </row>
    <row r="2417" spans="1:34">
      <c r="A2417">
        <v>2026</v>
      </c>
      <c r="B2417">
        <v>3</v>
      </c>
      <c r="C2417" s="83">
        <v>199024896323</v>
      </c>
      <c r="D2417" t="s">
        <v>2198</v>
      </c>
      <c r="E2417">
        <v>58295893643</v>
      </c>
      <c r="F2417">
        <v>636721</v>
      </c>
      <c r="G2417">
        <v>53608228694</v>
      </c>
      <c r="H2417" t="s">
        <v>35</v>
      </c>
      <c r="I2417" s="36">
        <v>633</v>
      </c>
      <c r="J2417" s="36">
        <v>7596</v>
      </c>
      <c r="K2417" s="85">
        <v>0</v>
      </c>
      <c r="L2417" s="36">
        <v>633</v>
      </c>
      <c r="M2417" s="36">
        <v>633</v>
      </c>
      <c r="N2417" s="36">
        <v>0</v>
      </c>
      <c r="O2417" s="36">
        <v>0</v>
      </c>
      <c r="P2417" t="s">
        <v>133</v>
      </c>
      <c r="Q2417" t="s">
        <v>111</v>
      </c>
      <c r="R2417" t="s">
        <v>111</v>
      </c>
      <c r="S2417" s="1">
        <v>46107</v>
      </c>
      <c r="T2417" s="1">
        <v>46107</v>
      </c>
      <c r="U2417" s="1"/>
      <c r="V2417" s="1">
        <v>46138</v>
      </c>
      <c r="W2417" t="s">
        <v>679</v>
      </c>
      <c r="X2417">
        <v>1</v>
      </c>
      <c r="Y2417" t="s">
        <v>49</v>
      </c>
      <c r="AA2417" t="s">
        <v>112</v>
      </c>
      <c r="AB2417">
        <v>1</v>
      </c>
      <c r="AC2417" t="s">
        <v>113</v>
      </c>
      <c r="AD2417" t="s">
        <v>84</v>
      </c>
      <c r="AE2417" t="s">
        <v>43</v>
      </c>
      <c r="AF2417" t="s">
        <v>44</v>
      </c>
      <c r="AG2417" t="str">
        <f t="shared" si="40"/>
        <v>À Vista</v>
      </c>
      <c r="AH2417" t="str">
        <f>IF(AND(SUMIF(E:E,E2417,I:I)&gt;=400000,Q2417="B2G"),"n","")</f>
        <v/>
      </c>
    </row>
    <row r="2418" spans="1:34">
      <c r="A2418">
        <v>2026</v>
      </c>
      <c r="B2418">
        <v>3</v>
      </c>
      <c r="C2418" s="83">
        <v>199208286089</v>
      </c>
      <c r="D2418" t="s">
        <v>2199</v>
      </c>
      <c r="E2418">
        <v>55515034188</v>
      </c>
      <c r="F2418">
        <v>636561</v>
      </c>
      <c r="G2418">
        <v>53317193265</v>
      </c>
      <c r="H2418" t="s">
        <v>35</v>
      </c>
      <c r="I2418" s="36">
        <v>3945.84</v>
      </c>
      <c r="J2418" s="36">
        <v>3945.84</v>
      </c>
      <c r="K2418" s="85">
        <v>0</v>
      </c>
      <c r="L2418" s="36">
        <v>328.82</v>
      </c>
      <c r="M2418" s="36">
        <v>328.82</v>
      </c>
      <c r="N2418" s="36">
        <v>0</v>
      </c>
      <c r="O2418" s="36">
        <v>0</v>
      </c>
      <c r="P2418" t="s">
        <v>1073</v>
      </c>
      <c r="Q2418" t="s">
        <v>314</v>
      </c>
      <c r="R2418" t="s">
        <v>314</v>
      </c>
      <c r="S2418" s="1">
        <v>46098</v>
      </c>
      <c r="T2418" s="1">
        <v>46098</v>
      </c>
      <c r="U2418" s="1"/>
      <c r="V2418" s="1">
        <v>46463</v>
      </c>
      <c r="W2418" t="s">
        <v>38</v>
      </c>
      <c r="X2418">
        <v>12</v>
      </c>
      <c r="Y2418" t="s">
        <v>49</v>
      </c>
      <c r="AA2418" t="s">
        <v>117</v>
      </c>
      <c r="AB2418">
        <v>1</v>
      </c>
      <c r="AC2418" t="s">
        <v>315</v>
      </c>
      <c r="AD2418" t="s">
        <v>85</v>
      </c>
      <c r="AE2418" t="s">
        <v>46</v>
      </c>
      <c r="AF2418" t="s">
        <v>44</v>
      </c>
      <c r="AG2418" t="str">
        <f t="shared" si="40"/>
        <v>À Vista</v>
      </c>
      <c r="AH2418" t="str">
        <f>IF(AND(SUMIF(E:E,E2418,I:I)&gt;=400000,Q2418="B2G"),"n","")</f>
        <v/>
      </c>
    </row>
    <row r="2419" spans="1:34">
      <c r="A2419">
        <v>2026</v>
      </c>
      <c r="B2419">
        <v>3</v>
      </c>
      <c r="C2419" s="83">
        <v>199208286089</v>
      </c>
      <c r="D2419" t="s">
        <v>2199</v>
      </c>
      <c r="E2419">
        <v>55515034188</v>
      </c>
      <c r="F2419">
        <v>636561</v>
      </c>
      <c r="G2419">
        <v>53317193266</v>
      </c>
      <c r="H2419" t="s">
        <v>35</v>
      </c>
      <c r="I2419" s="36">
        <v>3942.24</v>
      </c>
      <c r="J2419" s="36">
        <v>3942.2759999999998</v>
      </c>
      <c r="K2419" s="85">
        <v>0</v>
      </c>
      <c r="L2419" s="36">
        <v>328.52300000000002</v>
      </c>
      <c r="M2419" s="36">
        <v>328.52300000000002</v>
      </c>
      <c r="N2419" s="36">
        <v>0</v>
      </c>
      <c r="O2419" s="36">
        <v>0</v>
      </c>
      <c r="P2419" t="s">
        <v>1073</v>
      </c>
      <c r="Q2419" t="s">
        <v>314</v>
      </c>
      <c r="R2419" t="s">
        <v>314</v>
      </c>
      <c r="S2419" s="1">
        <v>46098</v>
      </c>
      <c r="T2419" s="1">
        <v>46098</v>
      </c>
      <c r="V2419" s="1">
        <v>46463</v>
      </c>
      <c r="W2419" t="s">
        <v>38</v>
      </c>
      <c r="X2419">
        <v>12</v>
      </c>
      <c r="Y2419" t="s">
        <v>49</v>
      </c>
      <c r="AA2419" t="s">
        <v>117</v>
      </c>
      <c r="AB2419">
        <v>1</v>
      </c>
      <c r="AC2419" t="s">
        <v>315</v>
      </c>
      <c r="AD2419" t="s">
        <v>84</v>
      </c>
      <c r="AE2419" t="s">
        <v>43</v>
      </c>
      <c r="AF2419" t="s">
        <v>44</v>
      </c>
      <c r="AG2419" t="str">
        <f t="shared" si="40"/>
        <v>À Vista</v>
      </c>
      <c r="AH2419" t="str">
        <f>IF(AND(SUMIF(E:E,E2419,I:I)&gt;=400000,Q2419="B2G"),"n","")</f>
        <v/>
      </c>
    </row>
    <row r="2420" spans="1:34">
      <c r="A2420">
        <v>2026</v>
      </c>
      <c r="B2420">
        <v>3</v>
      </c>
      <c r="C2420" s="83">
        <v>199208747566</v>
      </c>
      <c r="D2420" t="s">
        <v>2200</v>
      </c>
      <c r="E2420">
        <v>55498521771</v>
      </c>
      <c r="F2420">
        <v>636426</v>
      </c>
      <c r="G2420">
        <v>53072804173</v>
      </c>
      <c r="H2420" t="s">
        <v>35</v>
      </c>
      <c r="I2420" s="36">
        <v>2874</v>
      </c>
      <c r="J2420" s="36">
        <v>2874</v>
      </c>
      <c r="K2420" s="85">
        <v>0</v>
      </c>
      <c r="L2420" s="36">
        <v>239.5</v>
      </c>
      <c r="M2420" s="36">
        <v>239.5</v>
      </c>
      <c r="N2420" s="36">
        <v>0</v>
      </c>
      <c r="O2420" s="36">
        <v>0</v>
      </c>
      <c r="P2420" t="s">
        <v>829</v>
      </c>
      <c r="Q2420" t="s">
        <v>300</v>
      </c>
      <c r="R2420" t="s">
        <v>300</v>
      </c>
      <c r="S2420" s="1">
        <v>46090</v>
      </c>
      <c r="T2420" s="1">
        <v>46090</v>
      </c>
      <c r="U2420" s="1"/>
      <c r="V2420" s="1">
        <v>46455</v>
      </c>
      <c r="W2420" t="s">
        <v>38</v>
      </c>
      <c r="X2420">
        <v>12</v>
      </c>
      <c r="Y2420" t="s">
        <v>49</v>
      </c>
      <c r="AA2420" t="s">
        <v>122</v>
      </c>
      <c r="AB2420">
        <v>12</v>
      </c>
      <c r="AC2420" t="s">
        <v>301</v>
      </c>
      <c r="AD2420" t="s">
        <v>140</v>
      </c>
      <c r="AE2420" t="s">
        <v>46</v>
      </c>
      <c r="AF2420" t="s">
        <v>119</v>
      </c>
      <c r="AG2420" t="str">
        <f t="shared" si="40"/>
        <v>Recorrente</v>
      </c>
      <c r="AH2420" t="str">
        <f>IF(AND(SUMIF(E:E,E2420,I:I)&gt;=400000,Q2420="B2G"),"n","")</f>
        <v/>
      </c>
    </row>
    <row r="2421" spans="1:34">
      <c r="A2421">
        <v>2026</v>
      </c>
      <c r="B2421">
        <v>3</v>
      </c>
      <c r="C2421" s="83">
        <v>199338533769</v>
      </c>
      <c r="D2421" t="s">
        <v>2201</v>
      </c>
      <c r="E2421">
        <v>54350537759</v>
      </c>
      <c r="F2421">
        <v>309256</v>
      </c>
      <c r="G2421">
        <v>49725779743</v>
      </c>
      <c r="H2421" t="s">
        <v>35</v>
      </c>
      <c r="I2421" s="36">
        <v>4962.6000000000004</v>
      </c>
      <c r="J2421" s="36">
        <v>4962.6000000000004</v>
      </c>
      <c r="K2421" s="85">
        <v>0</v>
      </c>
      <c r="L2421" s="36">
        <v>413.55</v>
      </c>
      <c r="M2421" s="36">
        <v>0</v>
      </c>
      <c r="N2421" s="36">
        <v>47.9</v>
      </c>
      <c r="O2421" s="36">
        <v>365.65</v>
      </c>
      <c r="P2421" t="s">
        <v>165</v>
      </c>
      <c r="Q2421" t="s">
        <v>166</v>
      </c>
      <c r="R2421" t="s">
        <v>166</v>
      </c>
      <c r="S2421" s="1">
        <v>46090</v>
      </c>
      <c r="T2421" s="1">
        <v>46090</v>
      </c>
      <c r="U2421" s="1">
        <v>46090</v>
      </c>
      <c r="V2421" s="1">
        <v>46455</v>
      </c>
      <c r="W2421" t="s">
        <v>38</v>
      </c>
      <c r="X2421">
        <v>12</v>
      </c>
      <c r="Y2421" t="s">
        <v>49</v>
      </c>
      <c r="Z2421" t="s">
        <v>81</v>
      </c>
      <c r="AA2421" t="s">
        <v>122</v>
      </c>
      <c r="AB2421">
        <v>12</v>
      </c>
      <c r="AC2421" t="s">
        <v>166</v>
      </c>
      <c r="AD2421" t="s">
        <v>138</v>
      </c>
      <c r="AE2421" t="s">
        <v>135</v>
      </c>
      <c r="AF2421" t="s">
        <v>119</v>
      </c>
      <c r="AG2421" t="str">
        <f t="shared" si="40"/>
        <v>Recorrente</v>
      </c>
      <c r="AH2421" t="str">
        <f>IF(AND(SUMIF(E:E,E2421,I:I)&gt;=400000,Q2421="B2G"),"n","")</f>
        <v/>
      </c>
    </row>
    <row r="2422" spans="1:34">
      <c r="A2422">
        <v>2026</v>
      </c>
      <c r="B2422">
        <v>3</v>
      </c>
      <c r="C2422" s="83">
        <v>199408002374</v>
      </c>
      <c r="D2422" t="s">
        <v>2202</v>
      </c>
      <c r="E2422">
        <v>57566090645</v>
      </c>
      <c r="F2422">
        <v>636398</v>
      </c>
      <c r="G2422">
        <v>52912686437</v>
      </c>
      <c r="H2422" t="s">
        <v>35</v>
      </c>
      <c r="I2422" s="36">
        <v>2759.04</v>
      </c>
      <c r="J2422" s="36">
        <v>2759.04</v>
      </c>
      <c r="K2422" s="85">
        <v>0</v>
      </c>
      <c r="L2422" s="36">
        <v>229.92</v>
      </c>
      <c r="M2422" s="36">
        <v>229.92</v>
      </c>
      <c r="N2422" s="36">
        <v>0</v>
      </c>
      <c r="O2422" s="36">
        <v>0</v>
      </c>
      <c r="P2422" t="s">
        <v>829</v>
      </c>
      <c r="Q2422" t="s">
        <v>300</v>
      </c>
      <c r="R2422" t="s">
        <v>300</v>
      </c>
      <c r="S2422" s="1">
        <v>46087</v>
      </c>
      <c r="T2422" s="1">
        <v>46087</v>
      </c>
      <c r="U2422" s="1"/>
      <c r="V2422" s="1">
        <v>46452</v>
      </c>
      <c r="W2422" t="s">
        <v>38</v>
      </c>
      <c r="X2422">
        <v>12</v>
      </c>
      <c r="Y2422" t="s">
        <v>49</v>
      </c>
      <c r="AA2422" t="s">
        <v>112</v>
      </c>
      <c r="AB2422">
        <v>12</v>
      </c>
      <c r="AC2422" t="s">
        <v>301</v>
      </c>
      <c r="AD2422" t="s">
        <v>118</v>
      </c>
      <c r="AE2422" t="s">
        <v>43</v>
      </c>
      <c r="AF2422" t="s">
        <v>119</v>
      </c>
      <c r="AG2422" t="str">
        <f t="shared" si="40"/>
        <v>CC 12x</v>
      </c>
      <c r="AH2422" t="str">
        <f>IF(AND(SUMIF(E:E,E2422,I:I)&gt;=400000,Q2422="B2G"),"n","")</f>
        <v/>
      </c>
    </row>
    <row r="2423" spans="1:34">
      <c r="A2423">
        <v>2026</v>
      </c>
      <c r="B2423">
        <v>3</v>
      </c>
      <c r="C2423" s="83">
        <v>199705952105</v>
      </c>
      <c r="D2423" t="s">
        <v>2203</v>
      </c>
      <c r="E2423">
        <v>56044432003</v>
      </c>
      <c r="F2423">
        <v>611980</v>
      </c>
      <c r="G2423">
        <v>53208873288</v>
      </c>
      <c r="H2423" t="s">
        <v>35</v>
      </c>
      <c r="I2423" s="36">
        <v>4065</v>
      </c>
      <c r="J2423" s="36">
        <v>4065</v>
      </c>
      <c r="K2423" s="85">
        <v>0</v>
      </c>
      <c r="L2423" s="36">
        <v>338.75</v>
      </c>
      <c r="M2423" s="36">
        <v>0</v>
      </c>
      <c r="N2423" s="36">
        <v>26.24625</v>
      </c>
      <c r="O2423" s="36">
        <v>312.5</v>
      </c>
      <c r="P2423" t="s">
        <v>137</v>
      </c>
      <c r="Q2423" t="s">
        <v>111</v>
      </c>
      <c r="R2423" t="s">
        <v>111</v>
      </c>
      <c r="S2423" s="1">
        <v>46097</v>
      </c>
      <c r="T2423" s="1">
        <v>46097</v>
      </c>
      <c r="U2423" s="1">
        <v>46103</v>
      </c>
      <c r="V2423" s="1">
        <v>46468</v>
      </c>
      <c r="W2423" t="s">
        <v>38</v>
      </c>
      <c r="X2423">
        <v>12</v>
      </c>
      <c r="Y2423" t="s">
        <v>49</v>
      </c>
      <c r="Z2423" t="s">
        <v>81</v>
      </c>
      <c r="AA2423" t="s">
        <v>122</v>
      </c>
      <c r="AB2423">
        <v>12</v>
      </c>
      <c r="AC2423" t="s">
        <v>113</v>
      </c>
      <c r="AD2423" t="s">
        <v>84</v>
      </c>
      <c r="AE2423" t="s">
        <v>43</v>
      </c>
      <c r="AF2423" t="s">
        <v>44</v>
      </c>
      <c r="AG2423" t="str">
        <f t="shared" si="40"/>
        <v>Recorrente</v>
      </c>
      <c r="AH2423" t="str">
        <f>IF(AND(SUMIF(E:E,E2423,I:I)&gt;=400000,Q2423="B2G"),"n","")</f>
        <v/>
      </c>
    </row>
    <row r="2424" spans="1:34">
      <c r="A2424">
        <v>2026</v>
      </c>
      <c r="B2424">
        <v>3</v>
      </c>
      <c r="C2424" s="83">
        <v>200069745686</v>
      </c>
      <c r="D2424" t="s">
        <v>2204</v>
      </c>
      <c r="E2424">
        <v>58371874726</v>
      </c>
      <c r="F2424">
        <v>533005</v>
      </c>
      <c r="G2424">
        <v>53640392328</v>
      </c>
      <c r="H2424" t="s">
        <v>35</v>
      </c>
      <c r="I2424" s="36">
        <v>4401.84</v>
      </c>
      <c r="J2424" s="36">
        <v>4401.84</v>
      </c>
      <c r="K2424" s="85">
        <v>0</v>
      </c>
      <c r="L2424" s="36">
        <v>366.82</v>
      </c>
      <c r="M2424" s="36">
        <v>0</v>
      </c>
      <c r="N2424" s="36">
        <v>31.572295</v>
      </c>
      <c r="O2424" s="36">
        <v>335.25</v>
      </c>
      <c r="P2424" t="s">
        <v>116</v>
      </c>
      <c r="Q2424" t="s">
        <v>111</v>
      </c>
      <c r="R2424" t="s">
        <v>111</v>
      </c>
      <c r="S2424" s="1">
        <v>46111</v>
      </c>
      <c r="T2424" s="1">
        <v>46111</v>
      </c>
      <c r="U2424" s="1">
        <v>46108</v>
      </c>
      <c r="V2424" s="1">
        <v>46476</v>
      </c>
      <c r="W2424" t="s">
        <v>38</v>
      </c>
      <c r="X2424">
        <v>12</v>
      </c>
      <c r="Y2424" t="s">
        <v>49</v>
      </c>
      <c r="Z2424" t="s">
        <v>81</v>
      </c>
      <c r="AA2424" t="s">
        <v>112</v>
      </c>
      <c r="AB2424">
        <v>12</v>
      </c>
      <c r="AC2424" t="s">
        <v>113</v>
      </c>
      <c r="AD2424" t="s">
        <v>85</v>
      </c>
      <c r="AE2424" t="s">
        <v>46</v>
      </c>
      <c r="AF2424" t="s">
        <v>44</v>
      </c>
      <c r="AG2424" t="str">
        <f t="shared" si="40"/>
        <v>CC 12x</v>
      </c>
      <c r="AH2424" t="str">
        <f>IF(AND(SUMIF(E:E,E2424,I:I)&gt;=400000,Q2424="B2G"),"n","")</f>
        <v/>
      </c>
    </row>
    <row r="2425" spans="1:34">
      <c r="A2425">
        <v>2026</v>
      </c>
      <c r="B2425">
        <v>3</v>
      </c>
      <c r="C2425" s="83">
        <v>200180353955</v>
      </c>
      <c r="D2425" t="s">
        <v>2205</v>
      </c>
      <c r="E2425">
        <v>58008567365</v>
      </c>
      <c r="F2425">
        <v>636521</v>
      </c>
      <c r="G2425">
        <v>53216260959</v>
      </c>
      <c r="H2425" t="s">
        <v>35</v>
      </c>
      <c r="I2425" s="36">
        <v>2874</v>
      </c>
      <c r="J2425" s="36">
        <v>2874</v>
      </c>
      <c r="K2425" s="85">
        <v>0</v>
      </c>
      <c r="L2425" s="36">
        <v>239.5</v>
      </c>
      <c r="M2425" s="36">
        <v>239.5</v>
      </c>
      <c r="N2425" s="36">
        <v>0</v>
      </c>
      <c r="O2425" s="36">
        <v>0</v>
      </c>
      <c r="P2425" t="s">
        <v>497</v>
      </c>
      <c r="Q2425" t="s">
        <v>498</v>
      </c>
      <c r="R2425" t="s">
        <v>498</v>
      </c>
      <c r="S2425" s="1">
        <v>46096</v>
      </c>
      <c r="T2425" s="1">
        <v>46096</v>
      </c>
      <c r="U2425" s="1"/>
      <c r="V2425" s="1">
        <v>46461</v>
      </c>
      <c r="W2425" t="s">
        <v>38</v>
      </c>
      <c r="X2425">
        <v>12</v>
      </c>
      <c r="Y2425" t="s">
        <v>49</v>
      </c>
      <c r="AA2425" t="s">
        <v>112</v>
      </c>
      <c r="AB2425">
        <v>12</v>
      </c>
      <c r="AC2425" t="s">
        <v>499</v>
      </c>
      <c r="AD2425" t="s">
        <v>118</v>
      </c>
      <c r="AE2425" t="s">
        <v>43</v>
      </c>
      <c r="AF2425" t="s">
        <v>119</v>
      </c>
      <c r="AG2425" t="str">
        <f t="shared" si="40"/>
        <v>CC 12x</v>
      </c>
      <c r="AH2425" t="str">
        <f>IF(AND(SUMIF(E:E,E2425,I:I)&gt;=400000,Q2425="B2G"),"n","")</f>
        <v/>
      </c>
    </row>
    <row r="2426" spans="1:34">
      <c r="A2426">
        <v>2026</v>
      </c>
      <c r="B2426">
        <v>3</v>
      </c>
      <c r="C2426" s="83">
        <v>200590025731</v>
      </c>
      <c r="D2426" t="s">
        <v>2206</v>
      </c>
      <c r="E2426">
        <v>58268970586</v>
      </c>
      <c r="F2426">
        <v>636681</v>
      </c>
      <c r="G2426">
        <v>53530273859</v>
      </c>
      <c r="H2426" t="s">
        <v>35</v>
      </c>
      <c r="I2426" s="36">
        <v>4411.2</v>
      </c>
      <c r="J2426" s="36">
        <v>4411.2</v>
      </c>
      <c r="K2426" s="85">
        <v>0</v>
      </c>
      <c r="L2426" s="36">
        <v>367.6</v>
      </c>
      <c r="M2426" s="36">
        <v>367.6</v>
      </c>
      <c r="N2426" s="36">
        <v>0</v>
      </c>
      <c r="O2426" s="36">
        <v>0</v>
      </c>
      <c r="P2426" t="s">
        <v>511</v>
      </c>
      <c r="Q2426" t="s">
        <v>300</v>
      </c>
      <c r="R2426" t="s">
        <v>300</v>
      </c>
      <c r="S2426" s="1">
        <v>46105</v>
      </c>
      <c r="T2426" s="1">
        <v>46105</v>
      </c>
      <c r="U2426" s="1"/>
      <c r="V2426" s="1">
        <v>46470</v>
      </c>
      <c r="W2426" t="s">
        <v>38</v>
      </c>
      <c r="X2426">
        <v>12</v>
      </c>
      <c r="Y2426" t="s">
        <v>49</v>
      </c>
      <c r="AA2426" t="s">
        <v>112</v>
      </c>
      <c r="AB2426">
        <v>12</v>
      </c>
      <c r="AC2426" t="s">
        <v>301</v>
      </c>
      <c r="AD2426" t="s">
        <v>138</v>
      </c>
      <c r="AE2426" t="s">
        <v>135</v>
      </c>
      <c r="AF2426" t="s">
        <v>119</v>
      </c>
      <c r="AG2426" t="str">
        <f t="shared" si="40"/>
        <v>CC 12x</v>
      </c>
      <c r="AH2426" t="str">
        <f>IF(AND(SUMIF(E:E,E2426,I:I)&gt;=400000,Q2426="B2G"),"n","")</f>
        <v/>
      </c>
    </row>
    <row r="2427" spans="1:34">
      <c r="A2427">
        <v>2026</v>
      </c>
      <c r="B2427">
        <v>3</v>
      </c>
      <c r="C2427" s="83">
        <v>201043424420</v>
      </c>
      <c r="D2427" t="s">
        <v>2207</v>
      </c>
      <c r="E2427">
        <v>56254543110</v>
      </c>
      <c r="F2427">
        <v>531638</v>
      </c>
      <c r="G2427">
        <v>53409266084</v>
      </c>
      <c r="H2427" t="s">
        <v>35</v>
      </c>
      <c r="I2427" s="36">
        <v>7553.4</v>
      </c>
      <c r="J2427" s="36">
        <v>7553.4</v>
      </c>
      <c r="K2427" s="85">
        <v>0</v>
      </c>
      <c r="L2427" s="36">
        <v>629.45000000000005</v>
      </c>
      <c r="M2427" s="36">
        <v>0</v>
      </c>
      <c r="N2427" s="36">
        <v>95.516249999999999</v>
      </c>
      <c r="O2427" s="36">
        <v>533.92999999999995</v>
      </c>
      <c r="P2427" t="s">
        <v>137</v>
      </c>
      <c r="Q2427" t="s">
        <v>111</v>
      </c>
      <c r="R2427" t="s">
        <v>111</v>
      </c>
      <c r="S2427" s="1">
        <v>46105</v>
      </c>
      <c r="T2427" s="1">
        <v>46105</v>
      </c>
      <c r="U2427" s="1">
        <v>46112</v>
      </c>
      <c r="V2427" s="1">
        <v>46477</v>
      </c>
      <c r="W2427" t="s">
        <v>38</v>
      </c>
      <c r="X2427">
        <v>12</v>
      </c>
      <c r="Y2427" t="s">
        <v>49</v>
      </c>
      <c r="Z2427" t="s">
        <v>81</v>
      </c>
      <c r="AA2427" t="s">
        <v>122</v>
      </c>
      <c r="AB2427">
        <v>12</v>
      </c>
      <c r="AC2427" t="s">
        <v>113</v>
      </c>
      <c r="AD2427" t="s">
        <v>134</v>
      </c>
      <c r="AE2427" t="s">
        <v>135</v>
      </c>
      <c r="AF2427" t="s">
        <v>44</v>
      </c>
      <c r="AG2427" t="str">
        <f t="shared" si="40"/>
        <v>Recorrente</v>
      </c>
      <c r="AH2427" t="str">
        <f>IF(AND(SUMIF(E:E,E2427,I:I)&gt;=400000,Q2427="B2G"),"n","")</f>
        <v/>
      </c>
    </row>
    <row r="2428" spans="1:34">
      <c r="A2428">
        <v>2026</v>
      </c>
      <c r="B2428">
        <v>3</v>
      </c>
      <c r="C2428" s="83">
        <v>20113595789</v>
      </c>
      <c r="D2428" t="s">
        <v>2208</v>
      </c>
      <c r="E2428">
        <v>58155589130</v>
      </c>
      <c r="F2428">
        <v>531778</v>
      </c>
      <c r="G2428">
        <v>53601900400</v>
      </c>
      <c r="H2428" t="s">
        <v>35</v>
      </c>
      <c r="I2428" s="36">
        <v>4890.84</v>
      </c>
      <c r="J2428" s="36">
        <v>4890.84</v>
      </c>
      <c r="K2428" s="85">
        <v>0</v>
      </c>
      <c r="L2428" s="36">
        <v>407.57</v>
      </c>
      <c r="M2428" s="36">
        <v>0</v>
      </c>
      <c r="N2428" s="36">
        <v>22.524999999999999</v>
      </c>
      <c r="O2428" s="36">
        <v>385.05</v>
      </c>
      <c r="P2428" t="s">
        <v>121</v>
      </c>
      <c r="Q2428" t="s">
        <v>111</v>
      </c>
      <c r="R2428" t="s">
        <v>111</v>
      </c>
      <c r="S2428" s="1">
        <v>46107</v>
      </c>
      <c r="T2428" s="1">
        <v>46107</v>
      </c>
      <c r="U2428" s="1">
        <v>46112</v>
      </c>
      <c r="V2428" s="1">
        <v>46477</v>
      </c>
      <c r="W2428" t="s">
        <v>38</v>
      </c>
      <c r="X2428">
        <v>12</v>
      </c>
      <c r="Y2428" t="s">
        <v>49</v>
      </c>
      <c r="Z2428" t="s">
        <v>76</v>
      </c>
      <c r="AA2428" t="s">
        <v>112</v>
      </c>
      <c r="AB2428">
        <v>12</v>
      </c>
      <c r="AC2428" t="s">
        <v>113</v>
      </c>
      <c r="AD2428" t="s">
        <v>85</v>
      </c>
      <c r="AE2428" t="s">
        <v>46</v>
      </c>
      <c r="AF2428" t="s">
        <v>44</v>
      </c>
      <c r="AG2428" t="str">
        <f t="shared" ref="AG2428:AG2491" si="41">IF(IFERROR(SEARCH("Recorrente",AA2428),0)&gt;0,"Recorrente",IF(AB2428=1,"À Vista",IF(AB2428&lt;=3,"CC 3x",IF(AB2428&lt;=12,"CC 12x",IF(AB2428&gt;12,"Recorrente","")))))</f>
        <v>CC 12x</v>
      </c>
      <c r="AH2428" t="str">
        <f>IF(AND(SUMIF(E:E,E2428,I:I)&gt;=400000,Q2428="B2G"),"n","")</f>
        <v/>
      </c>
    </row>
    <row r="2429" spans="1:34">
      <c r="A2429">
        <v>2026</v>
      </c>
      <c r="B2429">
        <v>3</v>
      </c>
      <c r="C2429" s="83">
        <v>201213541164</v>
      </c>
      <c r="D2429" t="s">
        <v>2209</v>
      </c>
      <c r="E2429">
        <v>58373682042</v>
      </c>
      <c r="F2429">
        <v>627991</v>
      </c>
      <c r="G2429">
        <v>53601899663</v>
      </c>
      <c r="H2429" t="s">
        <v>35</v>
      </c>
      <c r="I2429" s="36">
        <v>4686.84</v>
      </c>
      <c r="J2429" s="36">
        <v>4686.84</v>
      </c>
      <c r="K2429" s="85">
        <v>0</v>
      </c>
      <c r="L2429" s="36">
        <v>390.57</v>
      </c>
      <c r="M2429" s="36">
        <v>0</v>
      </c>
      <c r="N2429" s="36">
        <v>62.395000000000003</v>
      </c>
      <c r="O2429" s="36">
        <v>328.18</v>
      </c>
      <c r="P2429" t="s">
        <v>162</v>
      </c>
      <c r="Q2429" t="s">
        <v>111</v>
      </c>
      <c r="R2429" t="s">
        <v>111</v>
      </c>
      <c r="S2429" s="1">
        <v>46107</v>
      </c>
      <c r="T2429" s="1">
        <v>46107</v>
      </c>
      <c r="U2429" s="1">
        <v>46109</v>
      </c>
      <c r="V2429" s="1">
        <v>46474</v>
      </c>
      <c r="W2429" t="s">
        <v>38</v>
      </c>
      <c r="X2429">
        <v>12</v>
      </c>
      <c r="Y2429" t="s">
        <v>49</v>
      </c>
      <c r="Z2429" t="s">
        <v>81</v>
      </c>
      <c r="AA2429" t="s">
        <v>112</v>
      </c>
      <c r="AB2429">
        <v>12</v>
      </c>
      <c r="AC2429" t="s">
        <v>113</v>
      </c>
      <c r="AD2429" t="s">
        <v>138</v>
      </c>
      <c r="AE2429" t="s">
        <v>135</v>
      </c>
      <c r="AF2429" t="s">
        <v>119</v>
      </c>
      <c r="AG2429" t="str">
        <f t="shared" si="41"/>
        <v>CC 12x</v>
      </c>
      <c r="AH2429" t="str">
        <f>IF(AND(SUMIF(E:E,E2429,I:I)&gt;=400000,Q2429="B2G"),"n","")</f>
        <v/>
      </c>
    </row>
    <row r="2430" spans="1:34">
      <c r="A2430">
        <v>2026</v>
      </c>
      <c r="B2430">
        <v>3</v>
      </c>
      <c r="C2430" s="83">
        <v>201361456993</v>
      </c>
      <c r="D2430" t="s">
        <v>2210</v>
      </c>
      <c r="E2430">
        <v>56877625693</v>
      </c>
      <c r="F2430">
        <v>636342</v>
      </c>
      <c r="G2430">
        <v>52652840452</v>
      </c>
      <c r="H2430" t="s">
        <v>35</v>
      </c>
      <c r="I2430" s="36">
        <v>2299.1999999999998</v>
      </c>
      <c r="J2430" s="36">
        <v>2299.1999999999998</v>
      </c>
      <c r="K2430" s="85">
        <v>0</v>
      </c>
      <c r="L2430" s="36">
        <v>191.6</v>
      </c>
      <c r="M2430" s="36">
        <v>191.6</v>
      </c>
      <c r="N2430" s="36">
        <v>0</v>
      </c>
      <c r="O2430" s="36">
        <v>0</v>
      </c>
      <c r="P2430" t="s">
        <v>829</v>
      </c>
      <c r="Q2430" t="s">
        <v>300</v>
      </c>
      <c r="R2430" t="s">
        <v>300</v>
      </c>
      <c r="S2430" s="1">
        <v>46084</v>
      </c>
      <c r="T2430" s="1">
        <v>46084</v>
      </c>
      <c r="U2430" s="1"/>
      <c r="V2430" s="1">
        <v>46449</v>
      </c>
      <c r="W2430" t="s">
        <v>38</v>
      </c>
      <c r="X2430">
        <v>12</v>
      </c>
      <c r="Y2430" t="s">
        <v>49</v>
      </c>
      <c r="AA2430" t="s">
        <v>122</v>
      </c>
      <c r="AB2430">
        <v>12</v>
      </c>
      <c r="AC2430" t="s">
        <v>301</v>
      </c>
      <c r="AD2430" t="s">
        <v>118</v>
      </c>
      <c r="AE2430" t="s">
        <v>43</v>
      </c>
      <c r="AF2430" t="s">
        <v>119</v>
      </c>
      <c r="AG2430" t="str">
        <f t="shared" si="41"/>
        <v>Recorrente</v>
      </c>
      <c r="AH2430" t="str">
        <f>IF(AND(SUMIF(E:E,E2430,I:I)&gt;=400000,Q2430="B2G"),"n","")</f>
        <v/>
      </c>
    </row>
    <row r="2431" spans="1:34">
      <c r="A2431">
        <v>2026</v>
      </c>
      <c r="B2431">
        <v>3</v>
      </c>
      <c r="C2431" s="83">
        <v>202028927273</v>
      </c>
      <c r="D2431" t="s">
        <v>2211</v>
      </c>
      <c r="E2431">
        <v>55263845703</v>
      </c>
      <c r="F2431">
        <v>627519</v>
      </c>
      <c r="G2431">
        <v>50533584914</v>
      </c>
      <c r="H2431" t="s">
        <v>35</v>
      </c>
      <c r="I2431" s="36">
        <v>2874</v>
      </c>
      <c r="J2431" s="36">
        <v>2874</v>
      </c>
      <c r="K2431" s="85">
        <v>0</v>
      </c>
      <c r="L2431" s="36">
        <v>239.5</v>
      </c>
      <c r="M2431" s="36">
        <v>0</v>
      </c>
      <c r="N2431" s="36">
        <v>36.35</v>
      </c>
      <c r="O2431" s="36">
        <v>203.15</v>
      </c>
      <c r="P2431" t="s">
        <v>165</v>
      </c>
      <c r="Q2431" t="s">
        <v>166</v>
      </c>
      <c r="R2431" t="s">
        <v>166</v>
      </c>
      <c r="S2431" s="1">
        <v>46099</v>
      </c>
      <c r="T2431" s="1">
        <v>46099</v>
      </c>
      <c r="U2431" s="1">
        <v>46099</v>
      </c>
      <c r="V2431" s="1">
        <v>46464</v>
      </c>
      <c r="W2431" t="s">
        <v>38</v>
      </c>
      <c r="X2431">
        <v>12</v>
      </c>
      <c r="Y2431" t="s">
        <v>49</v>
      </c>
      <c r="Z2431" t="s">
        <v>81</v>
      </c>
      <c r="AA2431" t="s">
        <v>122</v>
      </c>
      <c r="AB2431">
        <v>12</v>
      </c>
      <c r="AC2431" t="s">
        <v>166</v>
      </c>
      <c r="AD2431" t="s">
        <v>140</v>
      </c>
      <c r="AE2431" t="s">
        <v>46</v>
      </c>
      <c r="AF2431" t="s">
        <v>119</v>
      </c>
      <c r="AG2431" t="str">
        <f t="shared" si="41"/>
        <v>Recorrente</v>
      </c>
      <c r="AH2431" t="str">
        <f>IF(AND(SUMIF(E:E,E2431,I:I)&gt;=400000,Q2431="B2G"),"n","")</f>
        <v/>
      </c>
    </row>
    <row r="2432" spans="1:34">
      <c r="A2432">
        <v>2026</v>
      </c>
      <c r="B2432">
        <v>3</v>
      </c>
      <c r="C2432" s="83">
        <v>202125283206</v>
      </c>
      <c r="D2432" t="s">
        <v>2212</v>
      </c>
      <c r="E2432">
        <v>56225901995</v>
      </c>
      <c r="F2432">
        <v>636628</v>
      </c>
      <c r="G2432">
        <v>53409221147</v>
      </c>
      <c r="H2432" t="s">
        <v>35</v>
      </c>
      <c r="I2432" s="36">
        <v>2460.12</v>
      </c>
      <c r="J2432" s="36">
        <v>2460.1439999999998</v>
      </c>
      <c r="K2432" s="85">
        <v>0</v>
      </c>
      <c r="L2432" s="36">
        <v>205.012</v>
      </c>
      <c r="M2432" s="36">
        <v>205.012</v>
      </c>
      <c r="N2432" s="36">
        <v>0</v>
      </c>
      <c r="O2432" s="36">
        <v>0</v>
      </c>
      <c r="P2432" t="s">
        <v>506</v>
      </c>
      <c r="Q2432" t="s">
        <v>314</v>
      </c>
      <c r="R2432" t="s">
        <v>314</v>
      </c>
      <c r="S2432" s="1">
        <v>46101</v>
      </c>
      <c r="T2432" s="1">
        <v>46101</v>
      </c>
      <c r="U2432" s="1"/>
      <c r="V2432" s="1">
        <v>46466</v>
      </c>
      <c r="W2432" t="s">
        <v>38</v>
      </c>
      <c r="X2432">
        <v>12</v>
      </c>
      <c r="Y2432" t="s">
        <v>49</v>
      </c>
      <c r="AA2432" t="s">
        <v>112</v>
      </c>
      <c r="AB2432">
        <v>12</v>
      </c>
      <c r="AC2432" t="s">
        <v>315</v>
      </c>
      <c r="AD2432" t="s">
        <v>140</v>
      </c>
      <c r="AE2432" t="s">
        <v>46</v>
      </c>
      <c r="AF2432" t="s">
        <v>119</v>
      </c>
      <c r="AG2432" t="str">
        <f t="shared" si="41"/>
        <v>CC 12x</v>
      </c>
      <c r="AH2432" t="str">
        <f>IF(AND(SUMIF(E:E,E2432,I:I)&gt;=400000,Q2432="B2G"),"n","")</f>
        <v/>
      </c>
    </row>
    <row r="2433" spans="1:34">
      <c r="A2433">
        <v>2026</v>
      </c>
      <c r="B2433">
        <v>3</v>
      </c>
      <c r="C2433" s="83">
        <v>202130564009</v>
      </c>
      <c r="D2433" t="s">
        <v>2213</v>
      </c>
      <c r="E2433">
        <v>56007390061</v>
      </c>
      <c r="F2433">
        <v>527004</v>
      </c>
      <c r="G2433">
        <v>51938915149</v>
      </c>
      <c r="H2433" t="s">
        <v>35</v>
      </c>
      <c r="I2433" s="36">
        <v>4742.16</v>
      </c>
      <c r="J2433" s="36">
        <v>2371.08</v>
      </c>
      <c r="K2433" s="85">
        <v>2371.08</v>
      </c>
      <c r="L2433" s="36">
        <v>197.59</v>
      </c>
      <c r="M2433" s="36">
        <v>0</v>
      </c>
      <c r="N2433" s="36">
        <v>44.094895000000001</v>
      </c>
      <c r="O2433" s="36">
        <v>153.4975</v>
      </c>
      <c r="P2433" t="s">
        <v>116</v>
      </c>
      <c r="Q2433" t="s">
        <v>111</v>
      </c>
      <c r="R2433" t="s">
        <v>111</v>
      </c>
      <c r="S2433" s="1">
        <v>46087</v>
      </c>
      <c r="T2433" s="1">
        <v>46087</v>
      </c>
      <c r="U2433" s="1">
        <v>46063</v>
      </c>
      <c r="V2433" s="1">
        <v>46818</v>
      </c>
      <c r="W2433" t="s">
        <v>56</v>
      </c>
      <c r="X2433">
        <v>25</v>
      </c>
      <c r="Y2433" t="s">
        <v>49</v>
      </c>
      <c r="Z2433" t="s">
        <v>76</v>
      </c>
      <c r="AA2433" t="s">
        <v>112</v>
      </c>
      <c r="AB2433">
        <v>1</v>
      </c>
      <c r="AC2433" t="s">
        <v>113</v>
      </c>
      <c r="AD2433" t="s">
        <v>160</v>
      </c>
      <c r="AE2433" t="s">
        <v>43</v>
      </c>
      <c r="AF2433" t="s">
        <v>44</v>
      </c>
      <c r="AG2433" t="str">
        <f t="shared" si="41"/>
        <v>À Vista</v>
      </c>
      <c r="AH2433" t="str">
        <f>IF(AND(SUMIF(E:E,E2433,I:I)&gt;=400000,Q2433="B2G"),"n","")</f>
        <v/>
      </c>
    </row>
    <row r="2434" spans="1:34">
      <c r="A2434">
        <v>2026</v>
      </c>
      <c r="B2434">
        <v>3</v>
      </c>
      <c r="C2434" s="83">
        <v>202168524664</v>
      </c>
      <c r="D2434" t="s">
        <v>2214</v>
      </c>
      <c r="E2434">
        <v>58046959015</v>
      </c>
      <c r="F2434">
        <v>636542</v>
      </c>
      <c r="G2434">
        <v>53241791309</v>
      </c>
      <c r="H2434" t="s">
        <v>35</v>
      </c>
      <c r="I2434" s="36">
        <v>3750</v>
      </c>
      <c r="J2434" s="36">
        <v>3750</v>
      </c>
      <c r="K2434" s="85">
        <v>0</v>
      </c>
      <c r="L2434" s="36">
        <v>312.5</v>
      </c>
      <c r="M2434" s="36">
        <v>312.5</v>
      </c>
      <c r="N2434" s="36">
        <v>0</v>
      </c>
      <c r="O2434" s="36">
        <v>0</v>
      </c>
      <c r="P2434" t="s">
        <v>511</v>
      </c>
      <c r="Q2434" t="s">
        <v>300</v>
      </c>
      <c r="R2434" t="s">
        <v>300</v>
      </c>
      <c r="S2434" s="1">
        <v>46097</v>
      </c>
      <c r="T2434" s="1">
        <v>46097</v>
      </c>
      <c r="U2434" s="1"/>
      <c r="V2434" s="1">
        <v>46462</v>
      </c>
      <c r="W2434" t="s">
        <v>38</v>
      </c>
      <c r="X2434">
        <v>12</v>
      </c>
      <c r="Y2434" t="s">
        <v>49</v>
      </c>
      <c r="AA2434" t="s">
        <v>112</v>
      </c>
      <c r="AB2434">
        <v>12</v>
      </c>
      <c r="AC2434" t="s">
        <v>301</v>
      </c>
      <c r="AD2434" t="s">
        <v>114</v>
      </c>
      <c r="AE2434" t="s">
        <v>43</v>
      </c>
      <c r="AF2434" t="s">
        <v>44</v>
      </c>
      <c r="AG2434" t="str">
        <f t="shared" si="41"/>
        <v>CC 12x</v>
      </c>
      <c r="AH2434" t="str">
        <f>IF(AND(SUMIF(E:E,E2434,I:I)&gt;=400000,Q2434="B2G"),"n","")</f>
        <v/>
      </c>
    </row>
    <row r="2435" spans="1:34">
      <c r="A2435">
        <v>2026</v>
      </c>
      <c r="B2435">
        <v>3</v>
      </c>
      <c r="C2435" s="83">
        <v>202658923388</v>
      </c>
      <c r="D2435" t="s">
        <v>2215</v>
      </c>
      <c r="E2435">
        <v>58132108826</v>
      </c>
      <c r="F2435">
        <v>636604</v>
      </c>
      <c r="G2435">
        <v>53405068634</v>
      </c>
      <c r="H2435" t="s">
        <v>35</v>
      </c>
      <c r="I2435" s="36">
        <v>2300.4</v>
      </c>
      <c r="J2435" s="36">
        <v>2300.4</v>
      </c>
      <c r="K2435" s="85">
        <v>4.5474699999999999E-13</v>
      </c>
      <c r="L2435" s="36">
        <v>191.7</v>
      </c>
      <c r="M2435" s="36">
        <v>191.7</v>
      </c>
      <c r="N2435" s="36">
        <v>0</v>
      </c>
      <c r="O2435" s="36">
        <v>0</v>
      </c>
      <c r="P2435" t="s">
        <v>506</v>
      </c>
      <c r="Q2435" t="s">
        <v>300</v>
      </c>
      <c r="R2435" t="s">
        <v>80</v>
      </c>
      <c r="S2435" s="1">
        <v>46100</v>
      </c>
      <c r="T2435" s="1">
        <v>46100</v>
      </c>
      <c r="V2435" s="1">
        <v>46465</v>
      </c>
      <c r="W2435" t="s">
        <v>38</v>
      </c>
      <c r="X2435">
        <v>12</v>
      </c>
      <c r="Y2435" t="s">
        <v>49</v>
      </c>
      <c r="AA2435" t="s">
        <v>122</v>
      </c>
      <c r="AB2435">
        <v>12</v>
      </c>
      <c r="AC2435" t="s">
        <v>495</v>
      </c>
      <c r="AD2435" t="s">
        <v>142</v>
      </c>
      <c r="AE2435" t="s">
        <v>95</v>
      </c>
      <c r="AF2435" t="s">
        <v>44</v>
      </c>
      <c r="AG2435" t="str">
        <f t="shared" si="41"/>
        <v>Recorrente</v>
      </c>
      <c r="AH2435" t="str">
        <f>IF(AND(SUMIF(E:E,E2435,I:I)&gt;=400000,Q2435="B2G"),"n","")</f>
        <v/>
      </c>
    </row>
    <row r="2436" spans="1:34">
      <c r="A2436">
        <v>2026</v>
      </c>
      <c r="B2436">
        <v>3</v>
      </c>
      <c r="C2436" s="83">
        <v>20301767714</v>
      </c>
      <c r="D2436" t="s">
        <v>2216</v>
      </c>
      <c r="E2436">
        <v>57856048387</v>
      </c>
      <c r="F2436">
        <v>636777</v>
      </c>
      <c r="G2436">
        <v>53747061393</v>
      </c>
      <c r="H2436" t="s">
        <v>35</v>
      </c>
      <c r="I2436" s="36">
        <v>59625</v>
      </c>
      <c r="J2436" s="36">
        <v>47700</v>
      </c>
      <c r="K2436" s="85">
        <v>11925</v>
      </c>
      <c r="L2436" s="36">
        <v>3975</v>
      </c>
      <c r="M2436" s="36">
        <v>3975</v>
      </c>
      <c r="N2436" s="36">
        <v>0</v>
      </c>
      <c r="O2436" s="36">
        <v>0</v>
      </c>
      <c r="P2436" t="s">
        <v>1192</v>
      </c>
      <c r="Q2436" t="s">
        <v>1193</v>
      </c>
      <c r="R2436" t="s">
        <v>1193</v>
      </c>
      <c r="S2436" s="1">
        <v>46111</v>
      </c>
      <c r="T2436" s="1">
        <v>46111</v>
      </c>
      <c r="U2436" s="1"/>
      <c r="V2436" s="1">
        <v>46568</v>
      </c>
      <c r="W2436" t="s">
        <v>1194</v>
      </c>
      <c r="X2436">
        <v>15</v>
      </c>
      <c r="Y2436" t="s">
        <v>49</v>
      </c>
      <c r="AA2436" t="s">
        <v>92</v>
      </c>
      <c r="AB2436">
        <v>15</v>
      </c>
      <c r="AC2436" t="s">
        <v>1195</v>
      </c>
      <c r="AD2436" t="s">
        <v>2217</v>
      </c>
      <c r="AE2436" t="s">
        <v>106</v>
      </c>
      <c r="AF2436" t="s">
        <v>59</v>
      </c>
      <c r="AG2436" t="str">
        <f t="shared" si="41"/>
        <v>Recorrente</v>
      </c>
      <c r="AH2436" t="str">
        <f>IF(AND(SUMIF(E:E,E2436,I:I)&gt;=400000,Q2436="B2G"),"n","")</f>
        <v/>
      </c>
    </row>
    <row r="2437" spans="1:34">
      <c r="A2437">
        <v>2026</v>
      </c>
      <c r="B2437">
        <v>3</v>
      </c>
      <c r="C2437" s="83">
        <v>203045734728</v>
      </c>
      <c r="D2437" t="s">
        <v>1330</v>
      </c>
      <c r="E2437">
        <v>57945167983</v>
      </c>
      <c r="F2437">
        <v>319942</v>
      </c>
      <c r="G2437">
        <v>53343382134</v>
      </c>
      <c r="H2437" t="s">
        <v>35</v>
      </c>
      <c r="I2437" s="36">
        <v>2730.24</v>
      </c>
      <c r="J2437" s="36">
        <v>2730.24</v>
      </c>
      <c r="K2437" s="85">
        <v>0</v>
      </c>
      <c r="L2437" s="36">
        <v>227.52</v>
      </c>
      <c r="M2437" s="36">
        <v>0</v>
      </c>
      <c r="N2437" s="36">
        <v>0</v>
      </c>
      <c r="O2437" s="36">
        <v>227.52500000000001</v>
      </c>
      <c r="P2437" t="s">
        <v>1160</v>
      </c>
      <c r="Q2437" t="s">
        <v>111</v>
      </c>
      <c r="R2437" t="s">
        <v>111</v>
      </c>
      <c r="S2437" s="1">
        <v>46100</v>
      </c>
      <c r="T2437" s="1">
        <v>46100</v>
      </c>
      <c r="U2437" s="1">
        <v>46069</v>
      </c>
      <c r="V2437" s="1">
        <v>46465</v>
      </c>
      <c r="W2437" t="s">
        <v>38</v>
      </c>
      <c r="X2437">
        <v>13</v>
      </c>
      <c r="Y2437" t="s">
        <v>49</v>
      </c>
      <c r="Z2437" t="s">
        <v>76</v>
      </c>
      <c r="AA2437" t="s">
        <v>112</v>
      </c>
      <c r="AB2437">
        <v>12</v>
      </c>
      <c r="AC2437" t="s">
        <v>113</v>
      </c>
      <c r="AD2437" t="s">
        <v>140</v>
      </c>
      <c r="AE2437" t="s">
        <v>46</v>
      </c>
      <c r="AF2437" t="s">
        <v>119</v>
      </c>
      <c r="AG2437" t="str">
        <f t="shared" si="41"/>
        <v>CC 12x</v>
      </c>
      <c r="AH2437" t="str">
        <f>IF(AND(SUMIF(E:E,E2437,I:I)&gt;=400000,Q2437="B2G"),"n","")</f>
        <v/>
      </c>
    </row>
    <row r="2438" spans="1:34">
      <c r="A2438">
        <v>2026</v>
      </c>
      <c r="B2438">
        <v>3</v>
      </c>
      <c r="C2438" s="83">
        <v>203648340495</v>
      </c>
      <c r="D2438" t="s">
        <v>2218</v>
      </c>
      <c r="E2438">
        <v>57941842304</v>
      </c>
      <c r="F2438">
        <v>636486</v>
      </c>
      <c r="G2438">
        <v>53206195498</v>
      </c>
      <c r="H2438" t="s">
        <v>35</v>
      </c>
      <c r="I2438" s="36">
        <v>855</v>
      </c>
      <c r="J2438" s="36">
        <v>855</v>
      </c>
      <c r="K2438" s="85">
        <v>0</v>
      </c>
      <c r="L2438" s="36">
        <v>71.25</v>
      </c>
      <c r="M2438" s="36">
        <v>71.25</v>
      </c>
      <c r="N2438" s="36">
        <v>0</v>
      </c>
      <c r="O2438" s="36">
        <v>0</v>
      </c>
      <c r="P2438" t="s">
        <v>313</v>
      </c>
      <c r="Q2438" t="s">
        <v>314</v>
      </c>
      <c r="R2438" t="s">
        <v>314</v>
      </c>
      <c r="S2438" s="1">
        <v>46093</v>
      </c>
      <c r="T2438" s="1">
        <v>46093</v>
      </c>
      <c r="U2438" s="1"/>
      <c r="V2438" s="1">
        <v>46458</v>
      </c>
      <c r="W2438" t="s">
        <v>38</v>
      </c>
      <c r="X2438">
        <v>12</v>
      </c>
      <c r="Y2438" t="s">
        <v>49</v>
      </c>
      <c r="AA2438" t="s">
        <v>117</v>
      </c>
      <c r="AB2438">
        <v>1</v>
      </c>
      <c r="AC2438" t="s">
        <v>315</v>
      </c>
      <c r="AD2438" t="s">
        <v>1270</v>
      </c>
      <c r="AE2438" t="s">
        <v>95</v>
      </c>
      <c r="AF2438" t="s">
        <v>244</v>
      </c>
      <c r="AG2438" t="str">
        <f t="shared" si="41"/>
        <v>À Vista</v>
      </c>
      <c r="AH2438" t="str">
        <f>IF(AND(SUMIF(E:E,E2438,I:I)&gt;=400000,Q2438="B2G"),"n","")</f>
        <v/>
      </c>
    </row>
    <row r="2439" spans="1:34">
      <c r="A2439">
        <v>2026</v>
      </c>
      <c r="B2439">
        <v>3</v>
      </c>
      <c r="C2439" s="83">
        <v>203696543790</v>
      </c>
      <c r="D2439" t="s">
        <v>2219</v>
      </c>
      <c r="E2439">
        <v>58554538884</v>
      </c>
      <c r="F2439">
        <v>636782</v>
      </c>
      <c r="G2439">
        <v>53747442263</v>
      </c>
      <c r="H2439" t="s">
        <v>35</v>
      </c>
      <c r="I2439" s="36">
        <v>3020.4</v>
      </c>
      <c r="J2439" s="36">
        <v>3020.4</v>
      </c>
      <c r="K2439" s="85">
        <v>4.5474699999999999E-13</v>
      </c>
      <c r="L2439" s="36">
        <v>251.7</v>
      </c>
      <c r="M2439" s="36">
        <v>251.7</v>
      </c>
      <c r="N2439" s="36">
        <v>0</v>
      </c>
      <c r="O2439" s="36">
        <v>0</v>
      </c>
      <c r="P2439" t="s">
        <v>829</v>
      </c>
      <c r="Q2439" t="s">
        <v>300</v>
      </c>
      <c r="R2439" t="s">
        <v>80</v>
      </c>
      <c r="S2439" s="1">
        <v>46111</v>
      </c>
      <c r="T2439" s="1">
        <v>46111</v>
      </c>
      <c r="U2439" s="1"/>
      <c r="V2439" s="1">
        <v>46476</v>
      </c>
      <c r="W2439" t="s">
        <v>38</v>
      </c>
      <c r="X2439">
        <v>12</v>
      </c>
      <c r="Y2439" t="s">
        <v>49</v>
      </c>
      <c r="AA2439" t="s">
        <v>112</v>
      </c>
      <c r="AB2439">
        <v>12</v>
      </c>
      <c r="AC2439" t="s">
        <v>495</v>
      </c>
      <c r="AD2439" t="s">
        <v>84</v>
      </c>
      <c r="AE2439" t="s">
        <v>43</v>
      </c>
      <c r="AF2439" t="s">
        <v>44</v>
      </c>
      <c r="AG2439" t="str">
        <f t="shared" si="41"/>
        <v>CC 12x</v>
      </c>
      <c r="AH2439" t="str">
        <f>IF(AND(SUMIF(E:E,E2439,I:I)&gt;=400000,Q2439="B2G"),"n","")</f>
        <v/>
      </c>
    </row>
    <row r="2440" spans="1:34">
      <c r="A2440">
        <v>2026</v>
      </c>
      <c r="B2440">
        <v>3</v>
      </c>
      <c r="C2440" s="83">
        <v>204004237960</v>
      </c>
      <c r="D2440" t="s">
        <v>2220</v>
      </c>
      <c r="E2440">
        <v>57997977241</v>
      </c>
      <c r="F2440">
        <v>528046</v>
      </c>
      <c r="G2440">
        <v>53490718558</v>
      </c>
      <c r="H2440" t="s">
        <v>35</v>
      </c>
      <c r="I2440" s="36">
        <v>4682.3999999999996</v>
      </c>
      <c r="J2440" s="36">
        <v>4682.3999999999996</v>
      </c>
      <c r="K2440" s="85">
        <v>0</v>
      </c>
      <c r="L2440" s="36">
        <v>390.2</v>
      </c>
      <c r="M2440" s="36">
        <v>0</v>
      </c>
      <c r="N2440" s="36">
        <v>5.1527149999999997</v>
      </c>
      <c r="O2440" s="36">
        <v>385.05</v>
      </c>
      <c r="P2440" t="s">
        <v>116</v>
      </c>
      <c r="Q2440" t="s">
        <v>111</v>
      </c>
      <c r="R2440" t="s">
        <v>111</v>
      </c>
      <c r="S2440" s="1">
        <v>46111</v>
      </c>
      <c r="T2440" s="1">
        <v>46111</v>
      </c>
      <c r="U2440" s="1">
        <v>46095</v>
      </c>
      <c r="V2440" s="1">
        <v>46476</v>
      </c>
      <c r="W2440" t="s">
        <v>38</v>
      </c>
      <c r="X2440">
        <v>12</v>
      </c>
      <c r="Y2440" t="s">
        <v>49</v>
      </c>
      <c r="Z2440" t="s">
        <v>81</v>
      </c>
      <c r="AA2440" t="s">
        <v>122</v>
      </c>
      <c r="AB2440">
        <v>12</v>
      </c>
      <c r="AC2440" t="s">
        <v>113</v>
      </c>
      <c r="AD2440" t="s">
        <v>85</v>
      </c>
      <c r="AE2440" t="s">
        <v>46</v>
      </c>
      <c r="AF2440" t="s">
        <v>44</v>
      </c>
      <c r="AG2440" t="str">
        <f t="shared" si="41"/>
        <v>Recorrente</v>
      </c>
      <c r="AH2440" t="str">
        <f>IF(AND(SUMIF(E:E,E2440,I:I)&gt;=400000,Q2440="B2G"),"n","")</f>
        <v/>
      </c>
    </row>
    <row r="2441" spans="1:34">
      <c r="A2441">
        <v>2026</v>
      </c>
      <c r="B2441">
        <v>3</v>
      </c>
      <c r="C2441" s="83">
        <v>204105708455</v>
      </c>
      <c r="D2441" t="s">
        <v>2221</v>
      </c>
      <c r="E2441">
        <v>57817574757</v>
      </c>
      <c r="F2441">
        <v>636406</v>
      </c>
      <c r="G2441">
        <v>52952796978</v>
      </c>
      <c r="H2441" t="s">
        <v>35</v>
      </c>
      <c r="I2441" s="36">
        <v>4852.32</v>
      </c>
      <c r="J2441" s="36">
        <v>4852.32</v>
      </c>
      <c r="K2441" s="85">
        <v>0</v>
      </c>
      <c r="L2441" s="36">
        <v>404.36</v>
      </c>
      <c r="M2441" s="36">
        <v>404.36</v>
      </c>
      <c r="N2441" s="36">
        <v>0</v>
      </c>
      <c r="O2441" s="36">
        <v>0</v>
      </c>
      <c r="P2441" t="s">
        <v>299</v>
      </c>
      <c r="Q2441" t="s">
        <v>300</v>
      </c>
      <c r="R2441" t="s">
        <v>300</v>
      </c>
      <c r="S2441" s="1">
        <v>46090</v>
      </c>
      <c r="T2441" s="1">
        <v>46090</v>
      </c>
      <c r="U2441" s="1"/>
      <c r="V2441" s="1">
        <v>46455</v>
      </c>
      <c r="W2441" t="s">
        <v>38</v>
      </c>
      <c r="X2441">
        <v>12</v>
      </c>
      <c r="Y2441" t="s">
        <v>49</v>
      </c>
      <c r="AA2441" t="s">
        <v>117</v>
      </c>
      <c r="AB2441">
        <v>1</v>
      </c>
      <c r="AC2441" t="s">
        <v>301</v>
      </c>
      <c r="AD2441" t="s">
        <v>138</v>
      </c>
      <c r="AE2441" t="s">
        <v>135</v>
      </c>
      <c r="AF2441" t="s">
        <v>119</v>
      </c>
      <c r="AG2441" t="str">
        <f t="shared" si="41"/>
        <v>À Vista</v>
      </c>
      <c r="AH2441" t="str">
        <f>IF(AND(SUMIF(E:E,E2441,I:I)&gt;=400000,Q2441="B2G"),"n","")</f>
        <v/>
      </c>
    </row>
    <row r="2442" spans="1:34">
      <c r="A2442">
        <v>2026</v>
      </c>
      <c r="B2442">
        <v>3</v>
      </c>
      <c r="C2442" s="83">
        <v>204112882033</v>
      </c>
      <c r="D2442" t="s">
        <v>2222</v>
      </c>
      <c r="E2442">
        <v>58021421183</v>
      </c>
      <c r="F2442">
        <v>636527</v>
      </c>
      <c r="G2442">
        <v>53239115864</v>
      </c>
      <c r="H2442" t="s">
        <v>35</v>
      </c>
      <c r="I2442" s="36">
        <v>4962.6000000000004</v>
      </c>
      <c r="J2442" s="36">
        <v>4962.6000000000004</v>
      </c>
      <c r="K2442" s="85">
        <v>0</v>
      </c>
      <c r="L2442" s="36">
        <v>413.55</v>
      </c>
      <c r="M2442" s="36">
        <v>413.55</v>
      </c>
      <c r="N2442" s="36">
        <v>0</v>
      </c>
      <c r="O2442" s="36">
        <v>0</v>
      </c>
      <c r="P2442" t="s">
        <v>506</v>
      </c>
      <c r="Q2442" t="s">
        <v>300</v>
      </c>
      <c r="R2442" t="s">
        <v>300</v>
      </c>
      <c r="S2442" s="1">
        <v>46097</v>
      </c>
      <c r="T2442" s="1">
        <v>46097</v>
      </c>
      <c r="U2442" s="1"/>
      <c r="V2442" s="1">
        <v>46462</v>
      </c>
      <c r="W2442" t="s">
        <v>38</v>
      </c>
      <c r="X2442">
        <v>12</v>
      </c>
      <c r="Y2442" t="s">
        <v>49</v>
      </c>
      <c r="AA2442" t="s">
        <v>112</v>
      </c>
      <c r="AB2442">
        <v>12</v>
      </c>
      <c r="AC2442" t="s">
        <v>301</v>
      </c>
      <c r="AD2442" t="s">
        <v>138</v>
      </c>
      <c r="AE2442" t="s">
        <v>135</v>
      </c>
      <c r="AF2442" t="s">
        <v>119</v>
      </c>
      <c r="AG2442" t="str">
        <f t="shared" si="41"/>
        <v>CC 12x</v>
      </c>
      <c r="AH2442" t="str">
        <f>IF(AND(SUMIF(E:E,E2442,I:I)&gt;=400000,Q2442="B2G"),"n","")</f>
        <v/>
      </c>
    </row>
    <row r="2443" spans="1:34">
      <c r="A2443">
        <v>2026</v>
      </c>
      <c r="B2443">
        <v>3</v>
      </c>
      <c r="C2443" s="83">
        <v>204165917107</v>
      </c>
      <c r="D2443" t="s">
        <v>2223</v>
      </c>
      <c r="E2443">
        <v>58654756422</v>
      </c>
      <c r="F2443">
        <v>636817</v>
      </c>
      <c r="G2443">
        <v>53808699691</v>
      </c>
      <c r="H2443" t="s">
        <v>35</v>
      </c>
      <c r="I2443" s="36">
        <v>2874</v>
      </c>
      <c r="J2443" s="36">
        <v>2874</v>
      </c>
      <c r="K2443" s="85">
        <v>0</v>
      </c>
      <c r="L2443" s="36">
        <v>239.5</v>
      </c>
      <c r="M2443" s="36">
        <v>239.5</v>
      </c>
      <c r="N2443" s="36">
        <v>0</v>
      </c>
      <c r="O2443" s="36">
        <v>0</v>
      </c>
      <c r="P2443" t="s">
        <v>829</v>
      </c>
      <c r="Q2443" t="s">
        <v>300</v>
      </c>
      <c r="R2443" t="s">
        <v>300</v>
      </c>
      <c r="S2443" s="1">
        <v>46112</v>
      </c>
      <c r="T2443" s="1">
        <v>46112</v>
      </c>
      <c r="U2443" s="1"/>
      <c r="V2443" s="1">
        <v>46477</v>
      </c>
      <c r="W2443" t="s">
        <v>38</v>
      </c>
      <c r="X2443">
        <v>12</v>
      </c>
      <c r="Y2443" t="s">
        <v>49</v>
      </c>
      <c r="AA2443" t="s">
        <v>122</v>
      </c>
      <c r="AB2443">
        <v>12</v>
      </c>
      <c r="AC2443" t="s">
        <v>301</v>
      </c>
      <c r="AD2443" t="s">
        <v>140</v>
      </c>
      <c r="AE2443" t="s">
        <v>46</v>
      </c>
      <c r="AF2443" t="s">
        <v>119</v>
      </c>
      <c r="AG2443" t="str">
        <f t="shared" si="41"/>
        <v>Recorrente</v>
      </c>
      <c r="AH2443" t="str">
        <f>IF(AND(SUMIF(E:E,E2443,I:I)&gt;=400000,Q2443="B2G"),"n","")</f>
        <v/>
      </c>
    </row>
    <row r="2444" spans="1:34">
      <c r="A2444">
        <v>2026</v>
      </c>
      <c r="B2444">
        <v>3</v>
      </c>
      <c r="C2444" s="83">
        <v>20484064307</v>
      </c>
      <c r="D2444" t="s">
        <v>2224</v>
      </c>
      <c r="E2444">
        <v>58103491733</v>
      </c>
      <c r="F2444">
        <v>627447</v>
      </c>
      <c r="G2444">
        <v>53666447933</v>
      </c>
      <c r="H2444" t="s">
        <v>35</v>
      </c>
      <c r="I2444" s="36">
        <v>3055.44</v>
      </c>
      <c r="J2444" s="36">
        <v>3055.44</v>
      </c>
      <c r="K2444" s="85">
        <v>0</v>
      </c>
      <c r="L2444" s="36">
        <v>254.62</v>
      </c>
      <c r="M2444" s="36">
        <v>0</v>
      </c>
      <c r="N2444" s="36">
        <v>53.774999999999999</v>
      </c>
      <c r="O2444" s="36">
        <v>200.85</v>
      </c>
      <c r="P2444" t="s">
        <v>121</v>
      </c>
      <c r="Q2444" t="s">
        <v>111</v>
      </c>
      <c r="R2444" t="s">
        <v>111</v>
      </c>
      <c r="S2444" s="1">
        <v>46108</v>
      </c>
      <c r="T2444" s="1">
        <v>46108</v>
      </c>
      <c r="U2444" s="1">
        <v>46098</v>
      </c>
      <c r="V2444" s="1">
        <v>46473</v>
      </c>
      <c r="W2444" t="s">
        <v>38</v>
      </c>
      <c r="X2444">
        <v>12</v>
      </c>
      <c r="Y2444" t="s">
        <v>49</v>
      </c>
      <c r="Z2444" t="s">
        <v>81</v>
      </c>
      <c r="AA2444" t="s">
        <v>112</v>
      </c>
      <c r="AB2444">
        <v>12</v>
      </c>
      <c r="AC2444" t="s">
        <v>113</v>
      </c>
      <c r="AD2444" t="s">
        <v>114</v>
      </c>
      <c r="AE2444" t="s">
        <v>43</v>
      </c>
      <c r="AF2444" t="s">
        <v>44</v>
      </c>
      <c r="AG2444" t="str">
        <f t="shared" si="41"/>
        <v>CC 12x</v>
      </c>
      <c r="AH2444" t="str">
        <f>IF(AND(SUMIF(E:E,E2444,I:I)&gt;=400000,Q2444="B2G"),"n","")</f>
        <v/>
      </c>
    </row>
    <row r="2445" spans="1:34">
      <c r="A2445">
        <v>2026</v>
      </c>
      <c r="B2445">
        <v>3</v>
      </c>
      <c r="C2445" s="83">
        <v>205124305444</v>
      </c>
      <c r="D2445" t="s">
        <v>2225</v>
      </c>
      <c r="E2445">
        <v>56877636143</v>
      </c>
      <c r="F2445">
        <v>626937</v>
      </c>
      <c r="G2445">
        <v>53206201135</v>
      </c>
      <c r="H2445" t="s">
        <v>35</v>
      </c>
      <c r="I2445" s="36">
        <v>4638.6000000000004</v>
      </c>
      <c r="J2445" s="36">
        <v>4638.6000000000004</v>
      </c>
      <c r="K2445" s="85">
        <v>0</v>
      </c>
      <c r="L2445" s="36">
        <v>386.55</v>
      </c>
      <c r="M2445" s="36">
        <v>0</v>
      </c>
      <c r="N2445" s="36">
        <v>163.30000000000001</v>
      </c>
      <c r="O2445" s="36">
        <v>223.25</v>
      </c>
      <c r="P2445" t="s">
        <v>121</v>
      </c>
      <c r="Q2445" t="s">
        <v>111</v>
      </c>
      <c r="R2445" t="s">
        <v>111</v>
      </c>
      <c r="S2445" s="1">
        <v>46093</v>
      </c>
      <c r="T2445" s="1">
        <v>46093</v>
      </c>
      <c r="U2445" s="1">
        <v>46078</v>
      </c>
      <c r="V2445" s="1">
        <v>46458</v>
      </c>
      <c r="W2445" t="s">
        <v>38</v>
      </c>
      <c r="X2445">
        <v>13</v>
      </c>
      <c r="Y2445" t="s">
        <v>49</v>
      </c>
      <c r="Z2445" t="s">
        <v>81</v>
      </c>
      <c r="AA2445" t="s">
        <v>122</v>
      </c>
      <c r="AB2445">
        <v>12</v>
      </c>
      <c r="AC2445" t="s">
        <v>113</v>
      </c>
      <c r="AD2445" t="s">
        <v>163</v>
      </c>
      <c r="AE2445" t="s">
        <v>43</v>
      </c>
      <c r="AF2445" t="s">
        <v>96</v>
      </c>
      <c r="AG2445" t="str">
        <f t="shared" si="41"/>
        <v>Recorrente</v>
      </c>
      <c r="AH2445" t="str">
        <f>IF(AND(SUMIF(E:E,E2445,I:I)&gt;=400000,Q2445="B2G"),"n","")</f>
        <v/>
      </c>
    </row>
    <row r="2446" spans="1:34">
      <c r="A2446">
        <v>2026</v>
      </c>
      <c r="B2446">
        <v>3</v>
      </c>
      <c r="C2446" s="83">
        <v>205297923463</v>
      </c>
      <c r="D2446" t="s">
        <v>2226</v>
      </c>
      <c r="E2446">
        <v>58055509146</v>
      </c>
      <c r="F2446">
        <v>636546</v>
      </c>
      <c r="G2446">
        <v>53239630485</v>
      </c>
      <c r="H2446" t="s">
        <v>35</v>
      </c>
      <c r="I2446" s="36">
        <v>2874</v>
      </c>
      <c r="J2446" s="36">
        <v>2874</v>
      </c>
      <c r="K2446" s="85">
        <v>0</v>
      </c>
      <c r="L2446" s="36">
        <v>239.5</v>
      </c>
      <c r="M2446" s="36">
        <v>239.5</v>
      </c>
      <c r="N2446" s="36">
        <v>0</v>
      </c>
      <c r="O2446" s="36">
        <v>0</v>
      </c>
      <c r="P2446" t="s">
        <v>2004</v>
      </c>
      <c r="Q2446" t="s">
        <v>300</v>
      </c>
      <c r="R2446" t="s">
        <v>300</v>
      </c>
      <c r="S2446" s="1">
        <v>46097</v>
      </c>
      <c r="T2446" s="1">
        <v>46097</v>
      </c>
      <c r="U2446" s="1"/>
      <c r="V2446" s="1">
        <v>46462</v>
      </c>
      <c r="W2446" t="s">
        <v>38</v>
      </c>
      <c r="X2446">
        <v>12</v>
      </c>
      <c r="Y2446" t="s">
        <v>49</v>
      </c>
      <c r="AA2446" t="s">
        <v>122</v>
      </c>
      <c r="AB2446">
        <v>12</v>
      </c>
      <c r="AC2446" t="s">
        <v>301</v>
      </c>
      <c r="AD2446" t="s">
        <v>118</v>
      </c>
      <c r="AE2446" t="s">
        <v>43</v>
      </c>
      <c r="AF2446" t="s">
        <v>119</v>
      </c>
      <c r="AG2446" t="str">
        <f t="shared" si="41"/>
        <v>Recorrente</v>
      </c>
      <c r="AH2446" t="str">
        <f>IF(AND(SUMIF(E:E,E2446,I:I)&gt;=400000,Q2446="B2G"),"n","")</f>
        <v/>
      </c>
    </row>
    <row r="2447" spans="1:34">
      <c r="A2447">
        <v>2026</v>
      </c>
      <c r="B2447">
        <v>3</v>
      </c>
      <c r="C2447" s="83">
        <v>205449307786</v>
      </c>
      <c r="D2447" t="s">
        <v>2227</v>
      </c>
      <c r="E2447">
        <v>57139245190</v>
      </c>
      <c r="F2447">
        <v>636348</v>
      </c>
      <c r="G2447">
        <v>52355358315</v>
      </c>
      <c r="H2447" t="s">
        <v>35</v>
      </c>
      <c r="I2447" s="36">
        <v>2874</v>
      </c>
      <c r="J2447" s="36">
        <v>2874</v>
      </c>
      <c r="K2447" s="85">
        <v>0</v>
      </c>
      <c r="L2447" s="36">
        <v>239.5</v>
      </c>
      <c r="M2447" s="36">
        <v>239.5</v>
      </c>
      <c r="N2447" s="36">
        <v>0</v>
      </c>
      <c r="O2447" s="36">
        <v>0</v>
      </c>
      <c r="P2447" t="s">
        <v>511</v>
      </c>
      <c r="Q2447" t="s">
        <v>300</v>
      </c>
      <c r="R2447" t="s">
        <v>300</v>
      </c>
      <c r="S2447" s="1">
        <v>46084</v>
      </c>
      <c r="T2447" s="1">
        <v>46084</v>
      </c>
      <c r="U2447" s="1"/>
      <c r="V2447" s="1">
        <v>46449</v>
      </c>
      <c r="W2447" t="s">
        <v>38</v>
      </c>
      <c r="X2447">
        <v>12</v>
      </c>
      <c r="Y2447" t="s">
        <v>49</v>
      </c>
      <c r="AA2447" t="s">
        <v>122</v>
      </c>
      <c r="AB2447">
        <v>12</v>
      </c>
      <c r="AC2447" t="s">
        <v>301</v>
      </c>
      <c r="AD2447" t="s">
        <v>140</v>
      </c>
      <c r="AE2447" t="s">
        <v>46</v>
      </c>
      <c r="AF2447" t="s">
        <v>119</v>
      </c>
      <c r="AG2447" t="str">
        <f t="shared" si="41"/>
        <v>Recorrente</v>
      </c>
      <c r="AH2447" t="str">
        <f>IF(AND(SUMIF(E:E,E2447,I:I)&gt;=400000,Q2447="B2G"),"n","")</f>
        <v/>
      </c>
    </row>
    <row r="2448" spans="1:34">
      <c r="A2448">
        <v>2026</v>
      </c>
      <c r="B2448">
        <v>3</v>
      </c>
      <c r="C2448" s="83">
        <v>205970115509</v>
      </c>
      <c r="D2448" t="s">
        <v>2228</v>
      </c>
      <c r="E2448">
        <v>56946036826</v>
      </c>
      <c r="F2448">
        <v>528612</v>
      </c>
      <c r="G2448">
        <v>52603186822</v>
      </c>
      <c r="H2448" t="s">
        <v>35</v>
      </c>
      <c r="I2448" s="36">
        <v>3865.44</v>
      </c>
      <c r="J2448" s="36">
        <v>3865.44</v>
      </c>
      <c r="K2448" s="85">
        <v>0</v>
      </c>
      <c r="L2448" s="36">
        <v>322.12</v>
      </c>
      <c r="M2448" s="36">
        <v>0</v>
      </c>
      <c r="N2448" s="36">
        <v>64.454999999999998</v>
      </c>
      <c r="O2448" s="36">
        <v>257.67</v>
      </c>
      <c r="P2448" t="s">
        <v>804</v>
      </c>
      <c r="Q2448" t="s">
        <v>111</v>
      </c>
      <c r="R2448" t="s">
        <v>111</v>
      </c>
      <c r="S2448" s="1">
        <v>46085</v>
      </c>
      <c r="T2448" s="1">
        <v>46085</v>
      </c>
      <c r="U2448" s="1">
        <v>46081</v>
      </c>
      <c r="V2448" s="1">
        <v>46450</v>
      </c>
      <c r="W2448" t="s">
        <v>38</v>
      </c>
      <c r="X2448">
        <v>13</v>
      </c>
      <c r="Y2448" t="s">
        <v>49</v>
      </c>
      <c r="Z2448" t="s">
        <v>81</v>
      </c>
      <c r="AA2448" t="s">
        <v>112</v>
      </c>
      <c r="AB2448">
        <v>1</v>
      </c>
      <c r="AC2448" t="s">
        <v>113</v>
      </c>
      <c r="AD2448" t="s">
        <v>229</v>
      </c>
      <c r="AE2448" t="s">
        <v>43</v>
      </c>
      <c r="AF2448" t="s">
        <v>96</v>
      </c>
      <c r="AG2448" t="str">
        <f t="shared" si="41"/>
        <v>À Vista</v>
      </c>
      <c r="AH2448" t="str">
        <f>IF(AND(SUMIF(E:E,E2448,I:I)&gt;=400000,Q2448="B2G"),"n","")</f>
        <v/>
      </c>
    </row>
    <row r="2449" spans="1:34">
      <c r="A2449">
        <v>2026</v>
      </c>
      <c r="B2449">
        <v>3</v>
      </c>
      <c r="C2449" s="83">
        <v>2059739</v>
      </c>
      <c r="D2449" t="s">
        <v>2229</v>
      </c>
      <c r="E2449">
        <v>55694495536</v>
      </c>
      <c r="F2449">
        <v>310150</v>
      </c>
      <c r="G2449">
        <v>51026309460</v>
      </c>
      <c r="H2449" t="s">
        <v>35</v>
      </c>
      <c r="I2449" s="36">
        <v>2011.8</v>
      </c>
      <c r="J2449" s="36">
        <v>2011.8</v>
      </c>
      <c r="K2449" s="85">
        <v>0</v>
      </c>
      <c r="L2449" s="36">
        <v>167.65</v>
      </c>
      <c r="M2449" s="36">
        <v>0</v>
      </c>
      <c r="N2449" s="36">
        <v>0</v>
      </c>
      <c r="O2449" s="36">
        <v>167.65</v>
      </c>
      <c r="P2449" t="s">
        <v>165</v>
      </c>
      <c r="Q2449" t="s">
        <v>166</v>
      </c>
      <c r="R2449" t="s">
        <v>166</v>
      </c>
      <c r="S2449" s="1">
        <v>46105</v>
      </c>
      <c r="T2449" s="1">
        <v>46105</v>
      </c>
      <c r="U2449" s="1">
        <v>46105</v>
      </c>
      <c r="V2449" s="1">
        <v>46470</v>
      </c>
      <c r="W2449" t="s">
        <v>38</v>
      </c>
      <c r="X2449">
        <v>12</v>
      </c>
      <c r="Y2449" t="s">
        <v>49</v>
      </c>
      <c r="Z2449" t="s">
        <v>81</v>
      </c>
      <c r="AA2449" t="s">
        <v>112</v>
      </c>
      <c r="AB2449">
        <v>12</v>
      </c>
      <c r="AC2449" t="s">
        <v>166</v>
      </c>
      <c r="AD2449" t="s">
        <v>118</v>
      </c>
      <c r="AE2449" t="s">
        <v>43</v>
      </c>
      <c r="AF2449" t="s">
        <v>119</v>
      </c>
      <c r="AG2449" t="str">
        <f t="shared" si="41"/>
        <v>CC 12x</v>
      </c>
      <c r="AH2449" t="str">
        <f>IF(AND(SUMIF(E:E,E2449,I:I)&gt;=400000,Q2449="B2G"),"n","")</f>
        <v/>
      </c>
    </row>
    <row r="2450" spans="1:34">
      <c r="A2450">
        <v>2026</v>
      </c>
      <c r="B2450">
        <v>3</v>
      </c>
      <c r="C2450" s="83">
        <v>2059769</v>
      </c>
      <c r="D2450" t="s">
        <v>2230</v>
      </c>
      <c r="E2450">
        <v>56700340401</v>
      </c>
      <c r="F2450">
        <v>325234</v>
      </c>
      <c r="G2450">
        <v>52599724821</v>
      </c>
      <c r="H2450" t="s">
        <v>35</v>
      </c>
      <c r="I2450" s="36">
        <v>2804.88</v>
      </c>
      <c r="J2450" s="36">
        <v>4533.4799999999996</v>
      </c>
      <c r="K2450" s="85">
        <v>0</v>
      </c>
      <c r="L2450" s="36">
        <v>377.79</v>
      </c>
      <c r="M2450" s="36">
        <v>0</v>
      </c>
      <c r="N2450" s="36">
        <v>377.79</v>
      </c>
      <c r="O2450" s="36">
        <v>0</v>
      </c>
      <c r="P2450" t="s">
        <v>804</v>
      </c>
      <c r="Q2450" t="s">
        <v>191</v>
      </c>
      <c r="R2450" t="s">
        <v>191</v>
      </c>
      <c r="S2450" s="1">
        <v>46084</v>
      </c>
      <c r="T2450" s="1">
        <v>46084</v>
      </c>
      <c r="U2450" s="1">
        <v>46309</v>
      </c>
      <c r="V2450" s="1">
        <v>46309</v>
      </c>
      <c r="W2450" t="s">
        <v>38</v>
      </c>
      <c r="X2450">
        <v>7</v>
      </c>
      <c r="Y2450" t="s">
        <v>49</v>
      </c>
      <c r="Z2450" t="s">
        <v>324</v>
      </c>
      <c r="AA2450" t="s">
        <v>122</v>
      </c>
      <c r="AB2450">
        <v>7</v>
      </c>
      <c r="AC2450" t="s">
        <v>192</v>
      </c>
      <c r="AD2450" t="s">
        <v>84</v>
      </c>
      <c r="AE2450" t="s">
        <v>43</v>
      </c>
      <c r="AF2450" t="s">
        <v>44</v>
      </c>
      <c r="AG2450" t="str">
        <f t="shared" si="41"/>
        <v>Recorrente</v>
      </c>
      <c r="AH2450" t="str">
        <f>IF(AND(SUMIF(E:E,E2450,I:I)&gt;=400000,Q2450="B2G"),"n","")</f>
        <v/>
      </c>
    </row>
    <row r="2451" spans="1:34">
      <c r="A2451">
        <v>2026</v>
      </c>
      <c r="B2451">
        <v>3</v>
      </c>
      <c r="C2451" s="83">
        <v>2059910</v>
      </c>
      <c r="D2451" t="s">
        <v>2231</v>
      </c>
      <c r="E2451">
        <v>58124130051</v>
      </c>
      <c r="F2451">
        <v>606546</v>
      </c>
      <c r="G2451">
        <v>53342690410</v>
      </c>
      <c r="H2451" t="s">
        <v>35</v>
      </c>
      <c r="I2451" s="36">
        <v>4406.6400000000003</v>
      </c>
      <c r="J2451" s="36">
        <v>4406.6400000000003</v>
      </c>
      <c r="K2451" s="85">
        <v>0</v>
      </c>
      <c r="L2451" s="36">
        <v>367.22</v>
      </c>
      <c r="M2451" s="36">
        <v>367.22</v>
      </c>
      <c r="N2451" s="36">
        <v>0</v>
      </c>
      <c r="O2451" s="36">
        <v>0</v>
      </c>
      <c r="P2451" t="s">
        <v>116</v>
      </c>
      <c r="Q2451" t="s">
        <v>111</v>
      </c>
      <c r="R2451" t="s">
        <v>111</v>
      </c>
      <c r="S2451" s="1">
        <v>46101</v>
      </c>
      <c r="T2451" s="1">
        <v>46101</v>
      </c>
      <c r="U2451" s="1">
        <v>46018</v>
      </c>
      <c r="V2451" s="1">
        <v>46466</v>
      </c>
      <c r="W2451" t="s">
        <v>38</v>
      </c>
      <c r="X2451">
        <v>15</v>
      </c>
      <c r="Y2451" t="s">
        <v>49</v>
      </c>
      <c r="Z2451" t="s">
        <v>81</v>
      </c>
      <c r="AA2451" t="s">
        <v>122</v>
      </c>
      <c r="AB2451">
        <v>12</v>
      </c>
      <c r="AC2451" t="s">
        <v>113</v>
      </c>
      <c r="AD2451" t="s">
        <v>229</v>
      </c>
      <c r="AE2451" t="s">
        <v>43</v>
      </c>
      <c r="AF2451" t="s">
        <v>96</v>
      </c>
      <c r="AG2451" t="str">
        <f t="shared" si="41"/>
        <v>Recorrente</v>
      </c>
      <c r="AH2451" t="str">
        <f>IF(AND(SUMIF(E:E,E2451,I:I)&gt;=400000,Q2451="B2G"),"n","")</f>
        <v/>
      </c>
    </row>
    <row r="2452" spans="1:34">
      <c r="A2452">
        <v>2026</v>
      </c>
      <c r="B2452">
        <v>3</v>
      </c>
      <c r="C2452" s="83">
        <v>2062078</v>
      </c>
      <c r="D2452" t="s">
        <v>2232</v>
      </c>
      <c r="E2452">
        <v>54418400344</v>
      </c>
      <c r="F2452">
        <v>507335</v>
      </c>
      <c r="G2452">
        <v>49893045367</v>
      </c>
      <c r="H2452" t="s">
        <v>35</v>
      </c>
      <c r="I2452" s="36">
        <v>9594</v>
      </c>
      <c r="J2452" s="36">
        <v>9594</v>
      </c>
      <c r="K2452" s="85">
        <v>0</v>
      </c>
      <c r="L2452" s="36">
        <v>799.5</v>
      </c>
      <c r="M2452" s="36">
        <v>0</v>
      </c>
      <c r="N2452" s="36">
        <v>80.5</v>
      </c>
      <c r="O2452" s="36">
        <v>719</v>
      </c>
      <c r="P2452" t="s">
        <v>165</v>
      </c>
      <c r="Q2452" t="s">
        <v>166</v>
      </c>
      <c r="R2452" t="s">
        <v>166</v>
      </c>
      <c r="S2452" s="1">
        <v>46093</v>
      </c>
      <c r="T2452" s="1">
        <v>46093</v>
      </c>
      <c r="U2452" s="1">
        <v>46093</v>
      </c>
      <c r="V2452" s="1">
        <v>46458</v>
      </c>
      <c r="W2452" t="s">
        <v>38</v>
      </c>
      <c r="X2452">
        <v>12</v>
      </c>
      <c r="Y2452" t="s">
        <v>49</v>
      </c>
      <c r="Z2452" t="s">
        <v>81</v>
      </c>
      <c r="AA2452" t="s">
        <v>112</v>
      </c>
      <c r="AB2452">
        <v>12</v>
      </c>
      <c r="AC2452" t="s">
        <v>166</v>
      </c>
      <c r="AD2452" t="s">
        <v>131</v>
      </c>
      <c r="AE2452" t="s">
        <v>46</v>
      </c>
      <c r="AF2452" t="s">
        <v>96</v>
      </c>
      <c r="AG2452" t="str">
        <f t="shared" si="41"/>
        <v>CC 12x</v>
      </c>
      <c r="AH2452" t="str">
        <f>IF(AND(SUMIF(E:E,E2452,I:I)&gt;=400000,Q2452="B2G"),"n","")</f>
        <v/>
      </c>
    </row>
    <row r="2453" spans="1:34">
      <c r="A2453">
        <v>2026</v>
      </c>
      <c r="B2453">
        <v>3</v>
      </c>
      <c r="C2453" s="83">
        <v>206298844171</v>
      </c>
      <c r="D2453" t="s">
        <v>2233</v>
      </c>
      <c r="E2453">
        <v>57955649683</v>
      </c>
      <c r="F2453">
        <v>636495</v>
      </c>
      <c r="G2453">
        <v>53206168904</v>
      </c>
      <c r="H2453" t="s">
        <v>35</v>
      </c>
      <c r="I2453" s="36">
        <v>1724.4</v>
      </c>
      <c r="J2453" s="36">
        <v>1724.4</v>
      </c>
      <c r="K2453" s="85">
        <v>2.2737400000000001E-13</v>
      </c>
      <c r="L2453" s="36">
        <v>143.69999999999999</v>
      </c>
      <c r="M2453" s="36">
        <v>143.69999999999999</v>
      </c>
      <c r="N2453" s="36">
        <v>0</v>
      </c>
      <c r="O2453" s="36">
        <v>0</v>
      </c>
      <c r="P2453" t="s">
        <v>829</v>
      </c>
      <c r="Q2453" t="s">
        <v>300</v>
      </c>
      <c r="R2453" t="s">
        <v>80</v>
      </c>
      <c r="S2453" s="1">
        <v>46093</v>
      </c>
      <c r="T2453" s="1">
        <v>46093</v>
      </c>
      <c r="U2453" s="1"/>
      <c r="V2453" s="1">
        <v>46458</v>
      </c>
      <c r="W2453" t="s">
        <v>38</v>
      </c>
      <c r="X2453">
        <v>12</v>
      </c>
      <c r="Y2453" t="s">
        <v>49</v>
      </c>
      <c r="AA2453" t="s">
        <v>112</v>
      </c>
      <c r="AB2453">
        <v>12</v>
      </c>
      <c r="AC2453" t="s">
        <v>495</v>
      </c>
      <c r="AD2453" t="s">
        <v>140</v>
      </c>
      <c r="AE2453" t="s">
        <v>46</v>
      </c>
      <c r="AF2453" t="s">
        <v>119</v>
      </c>
      <c r="AG2453" t="str">
        <f t="shared" si="41"/>
        <v>CC 12x</v>
      </c>
      <c r="AH2453" t="str">
        <f>IF(AND(SUMIF(E:E,E2453,I:I)&gt;=400000,Q2453="B2G"),"n","")</f>
        <v/>
      </c>
    </row>
    <row r="2454" spans="1:34">
      <c r="A2454">
        <v>2026</v>
      </c>
      <c r="B2454">
        <v>3</v>
      </c>
      <c r="C2454" s="83">
        <v>206312771082</v>
      </c>
      <c r="D2454" t="s">
        <v>2234</v>
      </c>
      <c r="E2454">
        <v>57339894201</v>
      </c>
      <c r="F2454">
        <v>636331</v>
      </c>
      <c r="G2454">
        <v>52554548241</v>
      </c>
      <c r="H2454" t="s">
        <v>104</v>
      </c>
      <c r="I2454" s="36">
        <v>718.8</v>
      </c>
      <c r="J2454" s="36">
        <v>718.8</v>
      </c>
      <c r="K2454" s="85">
        <v>0</v>
      </c>
      <c r="L2454" s="36">
        <v>59.9</v>
      </c>
      <c r="M2454" s="36">
        <v>59.9</v>
      </c>
      <c r="N2454" s="36">
        <v>0</v>
      </c>
      <c r="O2454" s="36">
        <v>0</v>
      </c>
      <c r="P2454" t="s">
        <v>497</v>
      </c>
      <c r="Q2454" t="s">
        <v>498</v>
      </c>
      <c r="R2454" t="s">
        <v>498</v>
      </c>
      <c r="S2454" s="1">
        <v>46083</v>
      </c>
      <c r="T2454" s="1">
        <v>46083</v>
      </c>
      <c r="U2454" s="1"/>
      <c r="V2454" s="1">
        <v>46448</v>
      </c>
      <c r="W2454" t="s">
        <v>38</v>
      </c>
      <c r="X2454">
        <v>12</v>
      </c>
      <c r="Y2454" t="s">
        <v>49</v>
      </c>
      <c r="AA2454" t="s">
        <v>112</v>
      </c>
      <c r="AB2454">
        <v>1</v>
      </c>
      <c r="AC2454" t="s">
        <v>499</v>
      </c>
      <c r="AD2454" t="s">
        <v>105</v>
      </c>
      <c r="AE2454" t="s">
        <v>106</v>
      </c>
      <c r="AF2454" t="s">
        <v>59</v>
      </c>
      <c r="AG2454" t="str">
        <f t="shared" si="41"/>
        <v>À Vista</v>
      </c>
      <c r="AH2454" t="str">
        <f>IF(AND(SUMIF(E:E,E2454,I:I)&gt;=400000,Q2454="B2G"),"n","")</f>
        <v/>
      </c>
    </row>
    <row r="2455" spans="1:34">
      <c r="A2455">
        <v>2026</v>
      </c>
      <c r="B2455">
        <v>3</v>
      </c>
      <c r="C2455" s="83">
        <v>2063275</v>
      </c>
      <c r="D2455" t="s">
        <v>2235</v>
      </c>
      <c r="E2455">
        <v>57713900105</v>
      </c>
      <c r="F2455">
        <v>627202</v>
      </c>
      <c r="G2455">
        <v>53409883140</v>
      </c>
      <c r="H2455" t="s">
        <v>35</v>
      </c>
      <c r="I2455" s="36">
        <v>2442.84</v>
      </c>
      <c r="J2455" s="36">
        <v>2442.84</v>
      </c>
      <c r="K2455" s="85">
        <v>0</v>
      </c>
      <c r="L2455" s="36">
        <v>203.57</v>
      </c>
      <c r="M2455" s="36">
        <v>0</v>
      </c>
      <c r="N2455" s="36">
        <v>10.585000000000001</v>
      </c>
      <c r="O2455" s="36">
        <v>192.99</v>
      </c>
      <c r="P2455" t="s">
        <v>121</v>
      </c>
      <c r="Q2455" t="s">
        <v>111</v>
      </c>
      <c r="R2455" t="s">
        <v>111</v>
      </c>
      <c r="S2455" s="1">
        <v>46101</v>
      </c>
      <c r="T2455" s="1">
        <v>46101</v>
      </c>
      <c r="U2455" s="1">
        <v>46088</v>
      </c>
      <c r="V2455" s="1">
        <v>46466</v>
      </c>
      <c r="W2455" t="s">
        <v>38</v>
      </c>
      <c r="X2455">
        <v>12</v>
      </c>
      <c r="Y2455" t="s">
        <v>49</v>
      </c>
      <c r="Z2455" t="s">
        <v>81</v>
      </c>
      <c r="AA2455" t="s">
        <v>122</v>
      </c>
      <c r="AB2455">
        <v>12</v>
      </c>
      <c r="AC2455" t="s">
        <v>113</v>
      </c>
      <c r="AD2455" t="s">
        <v>140</v>
      </c>
      <c r="AE2455" t="s">
        <v>46</v>
      </c>
      <c r="AF2455" t="s">
        <v>119</v>
      </c>
      <c r="AG2455" t="str">
        <f t="shared" si="41"/>
        <v>Recorrente</v>
      </c>
      <c r="AH2455" t="str">
        <f>IF(AND(SUMIF(E:E,E2455,I:I)&gt;=400000,Q2455="B2G"),"n","")</f>
        <v/>
      </c>
    </row>
    <row r="2456" spans="1:34">
      <c r="A2456">
        <v>2026</v>
      </c>
      <c r="B2456">
        <v>3</v>
      </c>
      <c r="C2456" s="83">
        <v>206346858319</v>
      </c>
      <c r="D2456" t="s">
        <v>2236</v>
      </c>
      <c r="E2456">
        <v>53995980412</v>
      </c>
      <c r="F2456">
        <v>308869</v>
      </c>
      <c r="G2456">
        <v>49274652163</v>
      </c>
      <c r="H2456" t="s">
        <v>35</v>
      </c>
      <c r="I2456" s="36">
        <v>10795.44</v>
      </c>
      <c r="J2456" s="36">
        <v>10795.44</v>
      </c>
      <c r="K2456" s="85">
        <v>0</v>
      </c>
      <c r="L2456" s="36">
        <v>899.62</v>
      </c>
      <c r="M2456" s="36">
        <v>0</v>
      </c>
      <c r="N2456" s="36">
        <v>197.80500000000001</v>
      </c>
      <c r="O2456" s="36">
        <v>701.82</v>
      </c>
      <c r="P2456" t="s">
        <v>165</v>
      </c>
      <c r="Q2456" t="s">
        <v>166</v>
      </c>
      <c r="R2456" t="s">
        <v>166</v>
      </c>
      <c r="S2456" s="1">
        <v>46083</v>
      </c>
      <c r="T2456" s="1">
        <v>46083</v>
      </c>
      <c r="U2456" s="1">
        <v>46083</v>
      </c>
      <c r="V2456" s="1">
        <v>46448</v>
      </c>
      <c r="W2456" t="s">
        <v>38</v>
      </c>
      <c r="X2456">
        <v>12</v>
      </c>
      <c r="Y2456" t="s">
        <v>49</v>
      </c>
      <c r="Z2456" t="s">
        <v>81</v>
      </c>
      <c r="AA2456" t="s">
        <v>122</v>
      </c>
      <c r="AB2456">
        <v>12</v>
      </c>
      <c r="AC2456" t="s">
        <v>166</v>
      </c>
      <c r="AD2456" t="s">
        <v>154</v>
      </c>
      <c r="AE2456" t="s">
        <v>46</v>
      </c>
      <c r="AF2456" t="s">
        <v>47</v>
      </c>
      <c r="AG2456" t="str">
        <f t="shared" si="41"/>
        <v>Recorrente</v>
      </c>
      <c r="AH2456" t="str">
        <f>IF(AND(SUMIF(E:E,E2456,I:I)&gt;=400000,Q2456="B2G"),"n","")</f>
        <v/>
      </c>
    </row>
    <row r="2457" spans="1:34">
      <c r="A2457">
        <v>2026</v>
      </c>
      <c r="B2457">
        <v>3</v>
      </c>
      <c r="C2457" s="83">
        <v>2063715</v>
      </c>
      <c r="D2457" t="s">
        <v>2237</v>
      </c>
      <c r="E2457">
        <v>58430631192</v>
      </c>
      <c r="F2457">
        <v>636780</v>
      </c>
      <c r="G2457">
        <v>53710910016</v>
      </c>
      <c r="H2457" t="s">
        <v>35</v>
      </c>
      <c r="I2457" s="36">
        <v>7480.08</v>
      </c>
      <c r="J2457" s="36">
        <v>2179.2437789999999</v>
      </c>
      <c r="K2457" s="85">
        <v>5300.8362209999996</v>
      </c>
      <c r="L2457" s="36">
        <v>181.60364820000001</v>
      </c>
      <c r="M2457" s="36">
        <v>0</v>
      </c>
      <c r="N2457" s="36">
        <v>181.60364820000001</v>
      </c>
      <c r="O2457" s="36">
        <v>0</v>
      </c>
      <c r="P2457" t="s">
        <v>367</v>
      </c>
      <c r="Q2457" t="s">
        <v>191</v>
      </c>
      <c r="R2457" t="s">
        <v>191</v>
      </c>
      <c r="S2457" s="1">
        <v>46111</v>
      </c>
      <c r="T2457" s="1">
        <v>46111</v>
      </c>
      <c r="U2457" s="1"/>
      <c r="V2457" s="1">
        <v>46842</v>
      </c>
      <c r="W2457" t="s">
        <v>56</v>
      </c>
      <c r="Y2457" t="s">
        <v>49</v>
      </c>
      <c r="AA2457" t="s">
        <v>122</v>
      </c>
      <c r="AB2457">
        <v>24</v>
      </c>
      <c r="AC2457" t="s">
        <v>192</v>
      </c>
      <c r="AD2457" t="s">
        <v>85</v>
      </c>
      <c r="AE2457" t="s">
        <v>46</v>
      </c>
      <c r="AF2457" t="s">
        <v>44</v>
      </c>
      <c r="AG2457" t="str">
        <f t="shared" si="41"/>
        <v>Recorrente</v>
      </c>
      <c r="AH2457" t="str">
        <f>IF(AND(SUMIF(E:E,E2457,I:I)&gt;=400000,Q2457="B2G"),"n","")</f>
        <v/>
      </c>
    </row>
    <row r="2458" spans="1:34">
      <c r="A2458">
        <v>2026</v>
      </c>
      <c r="B2458">
        <v>3</v>
      </c>
      <c r="C2458" s="83">
        <v>2063715</v>
      </c>
      <c r="D2458" t="s">
        <v>2237</v>
      </c>
      <c r="E2458">
        <v>58430631192</v>
      </c>
      <c r="F2458">
        <v>636780</v>
      </c>
      <c r="G2458">
        <v>53710910017</v>
      </c>
      <c r="H2458" t="s">
        <v>35</v>
      </c>
      <c r="I2458" s="36">
        <v>11437.2</v>
      </c>
      <c r="J2458" s="36">
        <v>3332.0562209999998</v>
      </c>
      <c r="K2458" s="85">
        <v>8105.143779</v>
      </c>
      <c r="L2458" s="36">
        <v>277.67135180000002</v>
      </c>
      <c r="M2458" s="36">
        <v>0</v>
      </c>
      <c r="N2458" s="36">
        <v>277.67135180000002</v>
      </c>
      <c r="O2458" s="36">
        <v>0</v>
      </c>
      <c r="P2458" t="s">
        <v>367</v>
      </c>
      <c r="Q2458" t="s">
        <v>191</v>
      </c>
      <c r="R2458" t="s">
        <v>191</v>
      </c>
      <c r="S2458" s="1">
        <v>46111</v>
      </c>
      <c r="T2458" s="1">
        <v>46111</v>
      </c>
      <c r="U2458" s="1"/>
      <c r="V2458" s="1">
        <v>46842</v>
      </c>
      <c r="W2458" t="s">
        <v>56</v>
      </c>
      <c r="Y2458" t="s">
        <v>49</v>
      </c>
      <c r="AA2458" t="s">
        <v>122</v>
      </c>
      <c r="AB2458">
        <v>24</v>
      </c>
      <c r="AC2458" t="s">
        <v>192</v>
      </c>
      <c r="AD2458" t="s">
        <v>149</v>
      </c>
      <c r="AE2458" t="s">
        <v>43</v>
      </c>
      <c r="AF2458" t="s">
        <v>96</v>
      </c>
      <c r="AG2458" t="str">
        <f t="shared" si="41"/>
        <v>Recorrente</v>
      </c>
      <c r="AH2458" t="str">
        <f>IF(AND(SUMIF(E:E,E2458,I:I)&gt;=400000,Q2458="B2G"),"n","")</f>
        <v/>
      </c>
    </row>
    <row r="2459" spans="1:34">
      <c r="A2459">
        <v>2026</v>
      </c>
      <c r="B2459">
        <v>3</v>
      </c>
      <c r="C2459" s="83">
        <v>2063874</v>
      </c>
      <c r="D2459" t="s">
        <v>2238</v>
      </c>
      <c r="E2459">
        <v>53554238310</v>
      </c>
      <c r="F2459">
        <v>609025</v>
      </c>
      <c r="G2459">
        <v>53170684316</v>
      </c>
      <c r="H2459" t="s">
        <v>35</v>
      </c>
      <c r="I2459" s="36">
        <v>6313.92</v>
      </c>
      <c r="J2459" s="36">
        <v>6313.92</v>
      </c>
      <c r="K2459" s="85">
        <v>0</v>
      </c>
      <c r="L2459" s="36">
        <v>526.16</v>
      </c>
      <c r="M2459" s="36">
        <v>526.16</v>
      </c>
      <c r="N2459" s="36">
        <v>0</v>
      </c>
      <c r="O2459" s="36">
        <v>0</v>
      </c>
      <c r="P2459" t="s">
        <v>116</v>
      </c>
      <c r="Q2459" t="s">
        <v>111</v>
      </c>
      <c r="R2459" t="s">
        <v>111</v>
      </c>
      <c r="S2459" s="1">
        <v>46093</v>
      </c>
      <c r="T2459" s="1">
        <v>46093</v>
      </c>
      <c r="U2459" s="1">
        <v>46062</v>
      </c>
      <c r="V2459" s="1">
        <v>46458</v>
      </c>
      <c r="W2459" t="s">
        <v>38</v>
      </c>
      <c r="X2459">
        <v>13</v>
      </c>
      <c r="Y2459" t="s">
        <v>49</v>
      </c>
      <c r="Z2459" t="s">
        <v>81</v>
      </c>
      <c r="AA2459" t="s">
        <v>112</v>
      </c>
      <c r="AB2459">
        <v>12</v>
      </c>
      <c r="AC2459" t="s">
        <v>113</v>
      </c>
      <c r="AD2459" t="s">
        <v>134</v>
      </c>
      <c r="AE2459" t="s">
        <v>135</v>
      </c>
      <c r="AF2459" t="s">
        <v>44</v>
      </c>
      <c r="AG2459" t="str">
        <f t="shared" si="41"/>
        <v>CC 12x</v>
      </c>
      <c r="AH2459" t="str">
        <f>IF(AND(SUMIF(E:E,E2459,I:I)&gt;=400000,Q2459="B2G"),"n","")</f>
        <v/>
      </c>
    </row>
    <row r="2460" spans="1:34">
      <c r="A2460">
        <v>2026</v>
      </c>
      <c r="B2460">
        <v>3</v>
      </c>
      <c r="C2460" s="83">
        <v>206415746214</v>
      </c>
      <c r="D2460" t="s">
        <v>2239</v>
      </c>
      <c r="E2460">
        <v>57200717649</v>
      </c>
      <c r="F2460">
        <v>528720</v>
      </c>
      <c r="G2460">
        <v>52902411160</v>
      </c>
      <c r="H2460" t="s">
        <v>35</v>
      </c>
      <c r="I2460" s="36">
        <v>4099.68</v>
      </c>
      <c r="J2460" s="36">
        <v>4099.68</v>
      </c>
      <c r="K2460" s="85">
        <v>0</v>
      </c>
      <c r="L2460" s="36">
        <v>341.64</v>
      </c>
      <c r="M2460" s="36">
        <v>341.64</v>
      </c>
      <c r="N2460" s="36">
        <v>0</v>
      </c>
      <c r="O2460" s="36">
        <v>0</v>
      </c>
      <c r="P2460" t="s">
        <v>116</v>
      </c>
      <c r="Q2460" t="s">
        <v>111</v>
      </c>
      <c r="R2460" t="s">
        <v>111</v>
      </c>
      <c r="S2460" s="1">
        <v>46090</v>
      </c>
      <c r="T2460" s="1">
        <v>46090</v>
      </c>
      <c r="U2460" s="1">
        <v>46081</v>
      </c>
      <c r="V2460" s="1">
        <v>46455</v>
      </c>
      <c r="W2460" t="s">
        <v>38</v>
      </c>
      <c r="X2460">
        <v>13</v>
      </c>
      <c r="Y2460" t="s">
        <v>49</v>
      </c>
      <c r="Z2460" t="s">
        <v>81</v>
      </c>
      <c r="AA2460" t="s">
        <v>122</v>
      </c>
      <c r="AB2460">
        <v>12</v>
      </c>
      <c r="AC2460" t="s">
        <v>113</v>
      </c>
      <c r="AD2460" t="s">
        <v>85</v>
      </c>
      <c r="AE2460" t="s">
        <v>46</v>
      </c>
      <c r="AF2460" t="s">
        <v>44</v>
      </c>
      <c r="AG2460" t="str">
        <f t="shared" si="41"/>
        <v>Recorrente</v>
      </c>
      <c r="AH2460" t="str">
        <f>IF(AND(SUMIF(E:E,E2460,I:I)&gt;=400000,Q2460="B2G"),"n","")</f>
        <v/>
      </c>
    </row>
    <row r="2461" spans="1:34">
      <c r="A2461">
        <v>2026</v>
      </c>
      <c r="B2461">
        <v>3</v>
      </c>
      <c r="C2461" s="83">
        <v>206428950315</v>
      </c>
      <c r="D2461" t="s">
        <v>2240</v>
      </c>
      <c r="E2461">
        <v>57592143284</v>
      </c>
      <c r="F2461">
        <v>636369</v>
      </c>
      <c r="G2461">
        <v>52811530619</v>
      </c>
      <c r="H2461" t="s">
        <v>35</v>
      </c>
      <c r="I2461" s="36">
        <v>5718.6</v>
      </c>
      <c r="J2461" s="36">
        <v>5718.6</v>
      </c>
      <c r="K2461" s="85">
        <v>0</v>
      </c>
      <c r="L2461" s="36">
        <v>476.55</v>
      </c>
      <c r="M2461" s="36">
        <v>476.55</v>
      </c>
      <c r="N2461" s="36">
        <v>0</v>
      </c>
      <c r="O2461" s="36">
        <v>0</v>
      </c>
      <c r="P2461" t="s">
        <v>2004</v>
      </c>
      <c r="Q2461" t="s">
        <v>300</v>
      </c>
      <c r="R2461" t="s">
        <v>300</v>
      </c>
      <c r="S2461" s="1">
        <v>46086</v>
      </c>
      <c r="T2461" s="1">
        <v>46086</v>
      </c>
      <c r="U2461" s="1"/>
      <c r="V2461" s="1">
        <v>46451</v>
      </c>
      <c r="W2461" t="s">
        <v>38</v>
      </c>
      <c r="X2461">
        <v>12</v>
      </c>
      <c r="Y2461" t="s">
        <v>49</v>
      </c>
      <c r="AA2461" t="s">
        <v>117</v>
      </c>
      <c r="AB2461">
        <v>1</v>
      </c>
      <c r="AC2461" t="s">
        <v>301</v>
      </c>
      <c r="AD2461" t="s">
        <v>149</v>
      </c>
      <c r="AE2461" t="s">
        <v>43</v>
      </c>
      <c r="AF2461" t="s">
        <v>96</v>
      </c>
      <c r="AG2461" t="str">
        <f t="shared" si="41"/>
        <v>À Vista</v>
      </c>
      <c r="AH2461" t="str">
        <f>IF(AND(SUMIF(E:E,E2461,I:I)&gt;=400000,Q2461="B2G"),"n","")</f>
        <v/>
      </c>
    </row>
    <row r="2462" spans="1:34">
      <c r="A2462">
        <v>2026</v>
      </c>
      <c r="B2462">
        <v>3</v>
      </c>
      <c r="C2462" s="83">
        <v>206429499753</v>
      </c>
      <c r="D2462" t="s">
        <v>2241</v>
      </c>
      <c r="E2462">
        <v>57042734491</v>
      </c>
      <c r="F2462">
        <v>636337</v>
      </c>
      <c r="G2462">
        <v>52652337529</v>
      </c>
      <c r="H2462" t="s">
        <v>35</v>
      </c>
      <c r="I2462" s="36">
        <v>2340</v>
      </c>
      <c r="J2462" s="36">
        <v>2340</v>
      </c>
      <c r="K2462" s="85">
        <v>0</v>
      </c>
      <c r="L2462" s="36">
        <v>195</v>
      </c>
      <c r="M2462" s="36">
        <v>195</v>
      </c>
      <c r="N2462" s="36">
        <v>0</v>
      </c>
      <c r="O2462" s="36">
        <v>0</v>
      </c>
      <c r="P2462" t="s">
        <v>511</v>
      </c>
      <c r="Q2462" t="s">
        <v>300</v>
      </c>
      <c r="R2462" t="s">
        <v>300</v>
      </c>
      <c r="S2462" s="1">
        <v>46083</v>
      </c>
      <c r="T2462" s="1">
        <v>46083</v>
      </c>
      <c r="U2462" s="1"/>
      <c r="V2462" s="1">
        <v>46448</v>
      </c>
      <c r="W2462" t="s">
        <v>38</v>
      </c>
      <c r="X2462">
        <v>12</v>
      </c>
      <c r="Y2462" t="s">
        <v>49</v>
      </c>
      <c r="AA2462" t="s">
        <v>112</v>
      </c>
      <c r="AB2462">
        <v>2</v>
      </c>
      <c r="AC2462" t="s">
        <v>301</v>
      </c>
      <c r="AD2462" t="s">
        <v>118</v>
      </c>
      <c r="AE2462" t="s">
        <v>43</v>
      </c>
      <c r="AF2462" t="s">
        <v>119</v>
      </c>
      <c r="AG2462" t="str">
        <f t="shared" si="41"/>
        <v>CC 3x</v>
      </c>
      <c r="AH2462" t="str">
        <f>IF(AND(SUMIF(E:E,E2462,I:I)&gt;=400000,Q2462="B2G"),"n","")</f>
        <v/>
      </c>
    </row>
    <row r="2463" spans="1:34">
      <c r="A2463">
        <v>2026</v>
      </c>
      <c r="B2463">
        <v>3</v>
      </c>
      <c r="C2463" s="83">
        <v>2064826</v>
      </c>
      <c r="D2463" t="s">
        <v>2242</v>
      </c>
      <c r="E2463">
        <v>56288303460</v>
      </c>
      <c r="F2463">
        <v>531489</v>
      </c>
      <c r="G2463">
        <v>51552974420</v>
      </c>
      <c r="H2463" t="s">
        <v>35</v>
      </c>
      <c r="I2463" s="36">
        <v>5178.6000000000004</v>
      </c>
      <c r="J2463" s="36">
        <v>5178.6000000000004</v>
      </c>
      <c r="K2463" s="85">
        <v>0</v>
      </c>
      <c r="L2463" s="36">
        <v>431.55</v>
      </c>
      <c r="M2463" s="36">
        <v>0</v>
      </c>
      <c r="N2463" s="36">
        <v>85</v>
      </c>
      <c r="O2463" s="36">
        <v>346.55</v>
      </c>
      <c r="P2463" t="s">
        <v>165</v>
      </c>
      <c r="Q2463" t="s">
        <v>166</v>
      </c>
      <c r="R2463" t="s">
        <v>166</v>
      </c>
      <c r="S2463" s="1">
        <v>46107</v>
      </c>
      <c r="T2463" s="1">
        <v>46107</v>
      </c>
      <c r="U2463" s="1">
        <v>46112</v>
      </c>
      <c r="V2463" s="1">
        <v>46477</v>
      </c>
      <c r="W2463" t="s">
        <v>38</v>
      </c>
      <c r="X2463">
        <v>12</v>
      </c>
      <c r="Y2463" t="s">
        <v>49</v>
      </c>
      <c r="Z2463" t="s">
        <v>81</v>
      </c>
      <c r="AA2463" t="s">
        <v>122</v>
      </c>
      <c r="AB2463">
        <v>12</v>
      </c>
      <c r="AC2463" t="s">
        <v>166</v>
      </c>
      <c r="AD2463" t="s">
        <v>85</v>
      </c>
      <c r="AE2463" t="s">
        <v>46</v>
      </c>
      <c r="AF2463" t="s">
        <v>44</v>
      </c>
      <c r="AG2463" t="str">
        <f t="shared" si="41"/>
        <v>Recorrente</v>
      </c>
      <c r="AH2463" t="str">
        <f>IF(AND(SUMIF(E:E,E2463,I:I)&gt;=400000,Q2463="B2G"),"n","")</f>
        <v/>
      </c>
    </row>
    <row r="2464" spans="1:34">
      <c r="A2464">
        <v>2026</v>
      </c>
      <c r="B2464">
        <v>3</v>
      </c>
      <c r="C2464" s="83">
        <v>206507403776</v>
      </c>
      <c r="D2464" t="s">
        <v>2243</v>
      </c>
      <c r="E2464">
        <v>57370723944</v>
      </c>
      <c r="F2464">
        <v>636377</v>
      </c>
      <c r="G2464">
        <v>52868700204</v>
      </c>
      <c r="H2464" t="s">
        <v>35</v>
      </c>
      <c r="I2464" s="36">
        <v>5293.44</v>
      </c>
      <c r="J2464" s="36">
        <v>5293.44</v>
      </c>
      <c r="K2464" s="85">
        <v>0</v>
      </c>
      <c r="L2464" s="36">
        <v>441.12</v>
      </c>
      <c r="M2464" s="36">
        <v>441.12</v>
      </c>
      <c r="N2464" s="36">
        <v>0</v>
      </c>
      <c r="O2464" s="36">
        <v>0</v>
      </c>
      <c r="P2464" t="s">
        <v>829</v>
      </c>
      <c r="Q2464" t="s">
        <v>300</v>
      </c>
      <c r="R2464" t="s">
        <v>300</v>
      </c>
      <c r="S2464" s="1">
        <v>46086</v>
      </c>
      <c r="T2464" s="1">
        <v>46086</v>
      </c>
      <c r="U2464" s="1"/>
      <c r="V2464" s="1">
        <v>46451</v>
      </c>
      <c r="W2464" t="s">
        <v>38</v>
      </c>
      <c r="X2464">
        <v>12</v>
      </c>
      <c r="Y2464" t="s">
        <v>49</v>
      </c>
      <c r="AA2464" t="s">
        <v>112</v>
      </c>
      <c r="AB2464">
        <v>12</v>
      </c>
      <c r="AC2464" t="s">
        <v>301</v>
      </c>
      <c r="AD2464" t="s">
        <v>138</v>
      </c>
      <c r="AE2464" t="s">
        <v>135</v>
      </c>
      <c r="AF2464" t="s">
        <v>119</v>
      </c>
      <c r="AG2464" t="str">
        <f t="shared" si="41"/>
        <v>CC 12x</v>
      </c>
      <c r="AH2464" t="str">
        <f>IF(AND(SUMIF(E:E,E2464,I:I)&gt;=400000,Q2464="B2G"),"n","")</f>
        <v/>
      </c>
    </row>
    <row r="2465" spans="1:34">
      <c r="A2465">
        <v>2026</v>
      </c>
      <c r="B2465">
        <v>3</v>
      </c>
      <c r="C2465" s="83">
        <v>206524233069</v>
      </c>
      <c r="D2465" t="s">
        <v>2244</v>
      </c>
      <c r="E2465">
        <v>57417854744</v>
      </c>
      <c r="F2465">
        <v>636351</v>
      </c>
      <c r="G2465">
        <v>52704227910</v>
      </c>
      <c r="H2465" t="s">
        <v>35</v>
      </c>
      <c r="I2465" s="36">
        <v>4962.6000000000004</v>
      </c>
      <c r="J2465" s="36">
        <v>4962.6000000000004</v>
      </c>
      <c r="K2465" s="85">
        <v>0</v>
      </c>
      <c r="L2465" s="36">
        <v>413.55</v>
      </c>
      <c r="M2465" s="36">
        <v>413.55</v>
      </c>
      <c r="N2465" s="36">
        <v>0</v>
      </c>
      <c r="O2465" s="36">
        <v>0</v>
      </c>
      <c r="P2465" t="s">
        <v>1073</v>
      </c>
      <c r="Q2465" t="s">
        <v>314</v>
      </c>
      <c r="R2465" t="s">
        <v>314</v>
      </c>
      <c r="S2465" s="1">
        <v>46084</v>
      </c>
      <c r="T2465" s="1">
        <v>46084</v>
      </c>
      <c r="V2465" s="1">
        <v>46449</v>
      </c>
      <c r="W2465" t="s">
        <v>38</v>
      </c>
      <c r="X2465">
        <v>12</v>
      </c>
      <c r="Y2465" t="s">
        <v>49</v>
      </c>
      <c r="AA2465" t="s">
        <v>122</v>
      </c>
      <c r="AB2465">
        <v>12</v>
      </c>
      <c r="AC2465" t="s">
        <v>315</v>
      </c>
      <c r="AD2465" t="s">
        <v>138</v>
      </c>
      <c r="AE2465" t="s">
        <v>135</v>
      </c>
      <c r="AF2465" t="s">
        <v>119</v>
      </c>
      <c r="AG2465" t="str">
        <f t="shared" si="41"/>
        <v>Recorrente</v>
      </c>
      <c r="AH2465" t="str">
        <f>IF(AND(SUMIF(E:E,E2465,I:I)&gt;=400000,Q2465="B2G"),"n","")</f>
        <v/>
      </c>
    </row>
    <row r="2466" spans="1:34">
      <c r="A2466">
        <v>2026</v>
      </c>
      <c r="B2466">
        <v>3</v>
      </c>
      <c r="C2466" s="83">
        <v>206541574765</v>
      </c>
      <c r="D2466" t="s">
        <v>2245</v>
      </c>
      <c r="E2466">
        <v>57384544133</v>
      </c>
      <c r="F2466">
        <v>636339</v>
      </c>
      <c r="G2466">
        <v>52704471870</v>
      </c>
      <c r="H2466" t="s">
        <v>35</v>
      </c>
      <c r="I2466" s="36">
        <v>3452.4</v>
      </c>
      <c r="J2466" s="36">
        <v>3452.4</v>
      </c>
      <c r="K2466" s="85">
        <v>4.5474699999999999E-13</v>
      </c>
      <c r="L2466" s="36">
        <v>287.7</v>
      </c>
      <c r="M2466" s="36">
        <v>287.7</v>
      </c>
      <c r="N2466" s="36">
        <v>0</v>
      </c>
      <c r="O2466" s="36">
        <v>0</v>
      </c>
      <c r="P2466" t="s">
        <v>829</v>
      </c>
      <c r="Q2466" t="s">
        <v>300</v>
      </c>
      <c r="R2466" t="s">
        <v>300</v>
      </c>
      <c r="S2466" s="1">
        <v>46083</v>
      </c>
      <c r="T2466" s="1">
        <v>46083</v>
      </c>
      <c r="U2466" s="1"/>
      <c r="V2466" s="1">
        <v>46448</v>
      </c>
      <c r="W2466" t="s">
        <v>38</v>
      </c>
      <c r="X2466">
        <v>12</v>
      </c>
      <c r="Y2466" t="s">
        <v>49</v>
      </c>
      <c r="AA2466" t="s">
        <v>112</v>
      </c>
      <c r="AB2466">
        <v>12</v>
      </c>
      <c r="AC2466" t="s">
        <v>301</v>
      </c>
      <c r="AD2466" t="s">
        <v>85</v>
      </c>
      <c r="AE2466" t="s">
        <v>46</v>
      </c>
      <c r="AF2466" t="s">
        <v>44</v>
      </c>
      <c r="AG2466" t="str">
        <f t="shared" si="41"/>
        <v>CC 12x</v>
      </c>
      <c r="AH2466" t="str">
        <f>IF(AND(SUMIF(E:E,E2466,I:I)&gt;=400000,Q2466="B2G"),"n","")</f>
        <v/>
      </c>
    </row>
    <row r="2467" spans="1:34">
      <c r="A2467">
        <v>2026</v>
      </c>
      <c r="B2467">
        <v>3</v>
      </c>
      <c r="C2467" s="83">
        <v>2065908</v>
      </c>
      <c r="D2467" t="s">
        <v>2246</v>
      </c>
      <c r="E2467">
        <v>55712728581</v>
      </c>
      <c r="F2467">
        <v>611190</v>
      </c>
      <c r="G2467">
        <v>51018542615</v>
      </c>
      <c r="H2467" t="s">
        <v>35</v>
      </c>
      <c r="I2467" s="36">
        <v>2586.6</v>
      </c>
      <c r="J2467" s="36">
        <v>2586.6</v>
      </c>
      <c r="K2467" s="85">
        <v>0</v>
      </c>
      <c r="L2467" s="36">
        <v>215.55</v>
      </c>
      <c r="M2467" s="36">
        <v>0</v>
      </c>
      <c r="N2467" s="36">
        <v>32.71</v>
      </c>
      <c r="O2467" s="36">
        <v>182.84</v>
      </c>
      <c r="P2467" t="s">
        <v>165</v>
      </c>
      <c r="Q2467" t="s">
        <v>166</v>
      </c>
      <c r="R2467" t="s">
        <v>166</v>
      </c>
      <c r="S2467" s="1">
        <v>46105</v>
      </c>
      <c r="T2467" s="1">
        <v>46105</v>
      </c>
      <c r="U2467" s="1">
        <v>46105</v>
      </c>
      <c r="V2467" s="1">
        <v>46470</v>
      </c>
      <c r="W2467" t="s">
        <v>38</v>
      </c>
      <c r="X2467">
        <v>12</v>
      </c>
      <c r="Y2467" t="s">
        <v>49</v>
      </c>
      <c r="Z2467" t="s">
        <v>81</v>
      </c>
      <c r="AA2467" t="s">
        <v>112</v>
      </c>
      <c r="AB2467">
        <v>12</v>
      </c>
      <c r="AC2467" t="s">
        <v>166</v>
      </c>
      <c r="AD2467" t="s">
        <v>140</v>
      </c>
      <c r="AE2467" t="s">
        <v>46</v>
      </c>
      <c r="AF2467" t="s">
        <v>119</v>
      </c>
      <c r="AG2467" t="str">
        <f t="shared" si="41"/>
        <v>CC 12x</v>
      </c>
      <c r="AH2467" t="str">
        <f>IF(AND(SUMIF(E:E,E2467,I:I)&gt;=400000,Q2467="B2G"),"n","")</f>
        <v/>
      </c>
    </row>
    <row r="2468" spans="1:34">
      <c r="A2468">
        <v>2026</v>
      </c>
      <c r="B2468">
        <v>3</v>
      </c>
      <c r="C2468" s="83">
        <v>206619901707</v>
      </c>
      <c r="D2468" t="s">
        <v>2247</v>
      </c>
      <c r="E2468">
        <v>57825273003</v>
      </c>
      <c r="F2468">
        <v>636416</v>
      </c>
      <c r="G2468">
        <v>53072575157</v>
      </c>
      <c r="H2468" t="s">
        <v>35</v>
      </c>
      <c r="I2468" s="36">
        <v>2299.1999999999998</v>
      </c>
      <c r="J2468" s="36">
        <v>2299.1999999999998</v>
      </c>
      <c r="K2468" s="85">
        <v>0</v>
      </c>
      <c r="L2468" s="36">
        <v>191.6</v>
      </c>
      <c r="M2468" s="36">
        <v>191.6</v>
      </c>
      <c r="N2468" s="36">
        <v>0</v>
      </c>
      <c r="O2468" s="36">
        <v>0</v>
      </c>
      <c r="P2468" t="s">
        <v>829</v>
      </c>
      <c r="Q2468" t="s">
        <v>300</v>
      </c>
      <c r="R2468" t="s">
        <v>300</v>
      </c>
      <c r="S2468" s="1">
        <v>46090</v>
      </c>
      <c r="T2468" s="1">
        <v>46090</v>
      </c>
      <c r="U2468" s="1"/>
      <c r="V2468" s="1">
        <v>46455</v>
      </c>
      <c r="W2468" t="s">
        <v>38</v>
      </c>
      <c r="X2468">
        <v>12</v>
      </c>
      <c r="Y2468" t="s">
        <v>49</v>
      </c>
      <c r="AA2468" t="s">
        <v>112</v>
      </c>
      <c r="AB2468">
        <v>12</v>
      </c>
      <c r="AC2468" t="s">
        <v>301</v>
      </c>
      <c r="AD2468" t="s">
        <v>118</v>
      </c>
      <c r="AE2468" t="s">
        <v>43</v>
      </c>
      <c r="AF2468" t="s">
        <v>119</v>
      </c>
      <c r="AG2468" t="str">
        <f t="shared" si="41"/>
        <v>CC 12x</v>
      </c>
      <c r="AH2468" t="str">
        <f>IF(AND(SUMIF(E:E,E2468,I:I)&gt;=400000,Q2468="B2G"),"n","")</f>
        <v/>
      </c>
    </row>
    <row r="2469" spans="1:34">
      <c r="A2469">
        <v>2026</v>
      </c>
      <c r="B2469">
        <v>3</v>
      </c>
      <c r="C2469" s="83">
        <v>206686724377</v>
      </c>
      <c r="D2469" t="s">
        <v>2248</v>
      </c>
      <c r="E2469">
        <v>55335161777</v>
      </c>
      <c r="F2469">
        <v>610609</v>
      </c>
      <c r="G2469">
        <v>50876857383</v>
      </c>
      <c r="H2469" t="s">
        <v>35</v>
      </c>
      <c r="I2469" s="36">
        <v>4224</v>
      </c>
      <c r="J2469" s="36">
        <v>4224</v>
      </c>
      <c r="K2469" s="85">
        <v>0</v>
      </c>
      <c r="L2469" s="36">
        <v>352</v>
      </c>
      <c r="M2469" s="36">
        <v>0</v>
      </c>
      <c r="N2469" s="36">
        <v>25.96</v>
      </c>
      <c r="O2469" s="36">
        <v>326.04000000000002</v>
      </c>
      <c r="P2469" t="s">
        <v>127</v>
      </c>
      <c r="Q2469" t="s">
        <v>111</v>
      </c>
      <c r="R2469" t="s">
        <v>111</v>
      </c>
      <c r="S2469" s="1">
        <v>46085</v>
      </c>
      <c r="T2469" s="1">
        <v>46085</v>
      </c>
      <c r="U2469" s="1">
        <v>46085</v>
      </c>
      <c r="V2469" s="1">
        <v>46450</v>
      </c>
      <c r="W2469" t="s">
        <v>38</v>
      </c>
      <c r="X2469">
        <v>12</v>
      </c>
      <c r="Y2469" t="s">
        <v>49</v>
      </c>
      <c r="Z2469" t="s">
        <v>81</v>
      </c>
      <c r="AA2469" t="s">
        <v>112</v>
      </c>
      <c r="AB2469">
        <v>12</v>
      </c>
      <c r="AC2469" t="s">
        <v>113</v>
      </c>
      <c r="AD2469" t="s">
        <v>138</v>
      </c>
      <c r="AE2469" t="s">
        <v>135</v>
      </c>
      <c r="AF2469" t="s">
        <v>119</v>
      </c>
      <c r="AG2469" t="str">
        <f t="shared" si="41"/>
        <v>CC 12x</v>
      </c>
      <c r="AH2469" t="str">
        <f>IF(AND(SUMIF(E:E,E2469,I:I)&gt;=400000,Q2469="B2G"),"n","")</f>
        <v/>
      </c>
    </row>
    <row r="2470" spans="1:34">
      <c r="A2470">
        <v>2026</v>
      </c>
      <c r="B2470">
        <v>3</v>
      </c>
      <c r="C2470" s="83">
        <v>206688956811</v>
      </c>
      <c r="D2470" t="s">
        <v>2249</v>
      </c>
      <c r="E2470">
        <v>57956047984</v>
      </c>
      <c r="F2470">
        <v>627249</v>
      </c>
      <c r="G2470">
        <v>53455305109</v>
      </c>
      <c r="H2470" t="s">
        <v>35</v>
      </c>
      <c r="I2470" s="36">
        <v>4099.68</v>
      </c>
      <c r="J2470" s="36">
        <v>4099.68</v>
      </c>
      <c r="K2470" s="85">
        <v>0</v>
      </c>
      <c r="L2470" s="36">
        <v>341.64</v>
      </c>
      <c r="M2470" s="36">
        <v>0</v>
      </c>
      <c r="N2470" s="36">
        <v>69.84375</v>
      </c>
      <c r="O2470" s="36">
        <v>271.8</v>
      </c>
      <c r="P2470" t="s">
        <v>137</v>
      </c>
      <c r="Q2470" t="s">
        <v>111</v>
      </c>
      <c r="R2470" t="s">
        <v>111</v>
      </c>
      <c r="S2470" s="1">
        <v>46105</v>
      </c>
      <c r="T2470" s="1">
        <v>46105</v>
      </c>
      <c r="U2470" s="1">
        <v>46092</v>
      </c>
      <c r="V2470" s="1">
        <v>46470</v>
      </c>
      <c r="W2470" t="s">
        <v>38</v>
      </c>
      <c r="X2470">
        <v>12</v>
      </c>
      <c r="Y2470" t="s">
        <v>49</v>
      </c>
      <c r="Z2470" t="s">
        <v>81</v>
      </c>
      <c r="AA2470" t="s">
        <v>122</v>
      </c>
      <c r="AB2470">
        <v>12</v>
      </c>
      <c r="AC2470" t="s">
        <v>113</v>
      </c>
      <c r="AD2470" t="s">
        <v>85</v>
      </c>
      <c r="AE2470" t="s">
        <v>46</v>
      </c>
      <c r="AF2470" t="s">
        <v>44</v>
      </c>
      <c r="AG2470" t="str">
        <f t="shared" si="41"/>
        <v>Recorrente</v>
      </c>
      <c r="AH2470" t="str">
        <f>IF(AND(SUMIF(E:E,E2470,I:I)&gt;=400000,Q2470="B2G"),"n","")</f>
        <v/>
      </c>
    </row>
    <row r="2471" spans="1:34">
      <c r="A2471">
        <v>2026</v>
      </c>
      <c r="B2471">
        <v>3</v>
      </c>
      <c r="C2471" s="83">
        <v>2067067</v>
      </c>
      <c r="D2471" t="s">
        <v>2250</v>
      </c>
      <c r="E2471">
        <v>55460844166</v>
      </c>
      <c r="F2471">
        <v>636500</v>
      </c>
      <c r="G2471">
        <v>53206442592</v>
      </c>
      <c r="H2471" t="s">
        <v>35</v>
      </c>
      <c r="I2471" s="36">
        <v>4466.28</v>
      </c>
      <c r="J2471" s="36">
        <v>4466.34</v>
      </c>
      <c r="K2471" s="85">
        <v>0</v>
      </c>
      <c r="L2471" s="36">
        <v>372.19499999999999</v>
      </c>
      <c r="M2471" s="36">
        <v>372.19499999999999</v>
      </c>
      <c r="N2471" s="36">
        <v>0</v>
      </c>
      <c r="O2471" s="36">
        <v>0</v>
      </c>
      <c r="P2471" t="s">
        <v>506</v>
      </c>
      <c r="Q2471" t="s">
        <v>314</v>
      </c>
      <c r="R2471" t="s">
        <v>314</v>
      </c>
      <c r="S2471" s="1">
        <v>46094</v>
      </c>
      <c r="T2471" s="1">
        <v>46094</v>
      </c>
      <c r="U2471" s="1"/>
      <c r="V2471" s="1">
        <v>46459</v>
      </c>
      <c r="W2471" t="s">
        <v>38</v>
      </c>
      <c r="X2471">
        <v>12</v>
      </c>
      <c r="Y2471" t="s">
        <v>49</v>
      </c>
      <c r="AA2471" t="s">
        <v>112</v>
      </c>
      <c r="AB2471">
        <v>12</v>
      </c>
      <c r="AC2471" t="s">
        <v>315</v>
      </c>
      <c r="AD2471" t="s">
        <v>138</v>
      </c>
      <c r="AE2471" t="s">
        <v>135</v>
      </c>
      <c r="AF2471" t="s">
        <v>119</v>
      </c>
      <c r="AG2471" t="str">
        <f t="shared" si="41"/>
        <v>CC 12x</v>
      </c>
      <c r="AH2471" t="str">
        <f>IF(AND(SUMIF(E:E,E2471,I:I)&gt;=400000,Q2471="B2G"),"n","")</f>
        <v/>
      </c>
    </row>
    <row r="2472" spans="1:34">
      <c r="A2472">
        <v>2026</v>
      </c>
      <c r="B2472">
        <v>3</v>
      </c>
      <c r="C2472" s="83">
        <v>206740962136</v>
      </c>
      <c r="D2472" t="s">
        <v>2251</v>
      </c>
      <c r="E2472">
        <v>57490790183</v>
      </c>
      <c r="F2472">
        <v>636353</v>
      </c>
      <c r="G2472">
        <v>52758295319</v>
      </c>
      <c r="H2472" t="s">
        <v>35</v>
      </c>
      <c r="I2472" s="36">
        <v>4962.6000000000004</v>
      </c>
      <c r="J2472" s="36">
        <v>4962.6000000000004</v>
      </c>
      <c r="K2472" s="85">
        <v>0</v>
      </c>
      <c r="L2472" s="36">
        <v>413.55</v>
      </c>
      <c r="M2472" s="36">
        <v>413.55</v>
      </c>
      <c r="N2472" s="36">
        <v>0</v>
      </c>
      <c r="O2472" s="36">
        <v>0</v>
      </c>
      <c r="P2472" t="s">
        <v>511</v>
      </c>
      <c r="Q2472" t="s">
        <v>300</v>
      </c>
      <c r="R2472" t="s">
        <v>300</v>
      </c>
      <c r="S2472" s="1">
        <v>46084</v>
      </c>
      <c r="T2472" s="1">
        <v>46084</v>
      </c>
      <c r="U2472" s="1"/>
      <c r="V2472" s="1">
        <v>46449</v>
      </c>
      <c r="W2472" t="s">
        <v>38</v>
      </c>
      <c r="X2472">
        <v>12</v>
      </c>
      <c r="Y2472" t="s">
        <v>49</v>
      </c>
      <c r="AA2472" t="s">
        <v>112</v>
      </c>
      <c r="AB2472">
        <v>12</v>
      </c>
      <c r="AC2472" t="s">
        <v>301</v>
      </c>
      <c r="AD2472" t="s">
        <v>138</v>
      </c>
      <c r="AE2472" t="s">
        <v>135</v>
      </c>
      <c r="AF2472" t="s">
        <v>119</v>
      </c>
      <c r="AG2472" t="str">
        <f t="shared" si="41"/>
        <v>CC 12x</v>
      </c>
      <c r="AH2472" t="str">
        <f>IF(AND(SUMIF(E:E,E2472,I:I)&gt;=400000,Q2472="B2G"),"n","")</f>
        <v/>
      </c>
    </row>
    <row r="2473" spans="1:34">
      <c r="A2473">
        <v>2026</v>
      </c>
      <c r="B2473">
        <v>3</v>
      </c>
      <c r="C2473" s="83">
        <v>206784600954</v>
      </c>
      <c r="D2473" t="s">
        <v>2252</v>
      </c>
      <c r="E2473">
        <v>57506389081</v>
      </c>
      <c r="F2473">
        <v>636371</v>
      </c>
      <c r="G2473">
        <v>52811162997</v>
      </c>
      <c r="H2473" t="s">
        <v>35</v>
      </c>
      <c r="I2473" s="36">
        <v>2224.44</v>
      </c>
      <c r="J2473" s="36">
        <v>2224.44</v>
      </c>
      <c r="K2473" s="85">
        <v>0</v>
      </c>
      <c r="L2473" s="36">
        <v>185.37</v>
      </c>
      <c r="M2473" s="36">
        <v>185.37</v>
      </c>
      <c r="N2473" s="36">
        <v>0</v>
      </c>
      <c r="O2473" s="36">
        <v>0</v>
      </c>
      <c r="P2473" t="s">
        <v>1073</v>
      </c>
      <c r="Q2473" t="s">
        <v>314</v>
      </c>
      <c r="R2473" t="s">
        <v>314</v>
      </c>
      <c r="S2473" s="1">
        <v>46086</v>
      </c>
      <c r="T2473" s="1">
        <v>46086</v>
      </c>
      <c r="U2473" s="1"/>
      <c r="V2473" s="1">
        <v>46451</v>
      </c>
      <c r="W2473" t="s">
        <v>38</v>
      </c>
      <c r="X2473">
        <v>12</v>
      </c>
      <c r="Y2473" t="s">
        <v>49</v>
      </c>
      <c r="AA2473" t="s">
        <v>117</v>
      </c>
      <c r="AB2473">
        <v>1</v>
      </c>
      <c r="AC2473" t="s">
        <v>315</v>
      </c>
      <c r="AD2473" t="s">
        <v>140</v>
      </c>
      <c r="AE2473" t="s">
        <v>46</v>
      </c>
      <c r="AF2473" t="s">
        <v>119</v>
      </c>
      <c r="AG2473" t="str">
        <f t="shared" si="41"/>
        <v>À Vista</v>
      </c>
      <c r="AH2473" t="str">
        <f>IF(AND(SUMIF(E:E,E2473,I:I)&gt;=400000,Q2473="B2G"),"n","")</f>
        <v/>
      </c>
    </row>
    <row r="2474" spans="1:34">
      <c r="A2474">
        <v>2026</v>
      </c>
      <c r="B2474">
        <v>3</v>
      </c>
      <c r="C2474" s="83">
        <v>206790090526</v>
      </c>
      <c r="D2474" t="s">
        <v>2253</v>
      </c>
      <c r="E2474">
        <v>58346517150</v>
      </c>
      <c r="F2474">
        <v>636700</v>
      </c>
      <c r="G2474">
        <v>53493102233</v>
      </c>
      <c r="H2474" t="s">
        <v>35</v>
      </c>
      <c r="I2474" s="36">
        <v>2759.04</v>
      </c>
      <c r="J2474" s="36">
        <v>2759.04</v>
      </c>
      <c r="K2474" s="85">
        <v>0</v>
      </c>
      <c r="L2474" s="36">
        <v>229.92</v>
      </c>
      <c r="M2474" s="36">
        <v>229.92</v>
      </c>
      <c r="N2474" s="36">
        <v>0</v>
      </c>
      <c r="O2474" s="36">
        <v>0</v>
      </c>
      <c r="P2474" t="s">
        <v>829</v>
      </c>
      <c r="Q2474" t="s">
        <v>300</v>
      </c>
      <c r="R2474" t="s">
        <v>300</v>
      </c>
      <c r="S2474" s="1">
        <v>46106</v>
      </c>
      <c r="T2474" s="1">
        <v>46106</v>
      </c>
      <c r="U2474" s="1"/>
      <c r="V2474" s="1">
        <v>46471</v>
      </c>
      <c r="W2474" t="s">
        <v>38</v>
      </c>
      <c r="X2474">
        <v>12</v>
      </c>
      <c r="Y2474" t="s">
        <v>49</v>
      </c>
      <c r="AA2474" t="s">
        <v>112</v>
      </c>
      <c r="AB2474">
        <v>12</v>
      </c>
      <c r="AC2474" t="s">
        <v>301</v>
      </c>
      <c r="AD2474" t="s">
        <v>118</v>
      </c>
      <c r="AE2474" t="s">
        <v>43</v>
      </c>
      <c r="AF2474" t="s">
        <v>119</v>
      </c>
      <c r="AG2474" t="str">
        <f t="shared" si="41"/>
        <v>CC 12x</v>
      </c>
      <c r="AH2474" t="str">
        <f>IF(AND(SUMIF(E:E,E2474,I:I)&gt;=400000,Q2474="B2G"),"n","")</f>
        <v/>
      </c>
    </row>
    <row r="2475" spans="1:34">
      <c r="A2475">
        <v>2026</v>
      </c>
      <c r="B2475">
        <v>3</v>
      </c>
      <c r="C2475" s="83">
        <v>2067936</v>
      </c>
      <c r="D2475" t="s">
        <v>2254</v>
      </c>
      <c r="E2475">
        <v>55724765501</v>
      </c>
      <c r="F2475">
        <v>627717</v>
      </c>
      <c r="G2475">
        <v>51030850205</v>
      </c>
      <c r="H2475" t="s">
        <v>35</v>
      </c>
      <c r="I2475" s="36">
        <v>4530.6000000000004</v>
      </c>
      <c r="J2475" s="36">
        <v>4530.6000000000004</v>
      </c>
      <c r="K2475" s="85">
        <v>0</v>
      </c>
      <c r="L2475" s="36">
        <v>377.55</v>
      </c>
      <c r="M2475" s="36">
        <v>0</v>
      </c>
      <c r="N2475" s="36">
        <v>48.6</v>
      </c>
      <c r="O2475" s="36">
        <v>328.95</v>
      </c>
      <c r="P2475" t="s">
        <v>165</v>
      </c>
      <c r="Q2475" t="s">
        <v>166</v>
      </c>
      <c r="R2475" t="s">
        <v>166</v>
      </c>
      <c r="S2475" s="1">
        <v>46105</v>
      </c>
      <c r="T2475" s="1">
        <v>46105</v>
      </c>
      <c r="U2475" s="1">
        <v>46105</v>
      </c>
      <c r="V2475" s="1">
        <v>46470</v>
      </c>
      <c r="W2475" t="s">
        <v>38</v>
      </c>
      <c r="X2475">
        <v>12</v>
      </c>
      <c r="Y2475" t="s">
        <v>49</v>
      </c>
      <c r="Z2475" t="s">
        <v>81</v>
      </c>
      <c r="AA2475" t="s">
        <v>122</v>
      </c>
      <c r="AB2475">
        <v>12</v>
      </c>
      <c r="AC2475" t="s">
        <v>166</v>
      </c>
      <c r="AD2475" t="s">
        <v>84</v>
      </c>
      <c r="AE2475" t="s">
        <v>43</v>
      </c>
      <c r="AF2475" t="s">
        <v>44</v>
      </c>
      <c r="AG2475" t="str">
        <f t="shared" si="41"/>
        <v>Recorrente</v>
      </c>
      <c r="AH2475" t="str">
        <f>IF(AND(SUMIF(E:E,E2475,I:I)&gt;=400000,Q2475="B2G"),"n","")</f>
        <v/>
      </c>
    </row>
    <row r="2476" spans="1:34">
      <c r="A2476">
        <v>2026</v>
      </c>
      <c r="B2476">
        <v>3</v>
      </c>
      <c r="C2476" s="83">
        <v>2068019</v>
      </c>
      <c r="D2476" t="s">
        <v>2255</v>
      </c>
      <c r="E2476">
        <v>55432214566</v>
      </c>
      <c r="F2476">
        <v>325967</v>
      </c>
      <c r="G2476">
        <v>50713691021</v>
      </c>
      <c r="H2476" t="s">
        <v>35</v>
      </c>
      <c r="I2476" s="36">
        <v>9354</v>
      </c>
      <c r="J2476" s="36">
        <v>9354</v>
      </c>
      <c r="K2476" s="85">
        <v>0</v>
      </c>
      <c r="L2476" s="36">
        <v>779.5</v>
      </c>
      <c r="M2476" s="36">
        <v>0</v>
      </c>
      <c r="N2476" s="36">
        <v>114.4</v>
      </c>
      <c r="O2476" s="36">
        <v>665.1</v>
      </c>
      <c r="P2476" t="s">
        <v>165</v>
      </c>
      <c r="Q2476" t="s">
        <v>166</v>
      </c>
      <c r="R2476" t="s">
        <v>166</v>
      </c>
      <c r="S2476" s="1">
        <v>46101</v>
      </c>
      <c r="T2476" s="1">
        <v>46101</v>
      </c>
      <c r="U2476" s="1">
        <v>46101</v>
      </c>
      <c r="V2476" s="1">
        <v>46466</v>
      </c>
      <c r="W2476" t="s">
        <v>38</v>
      </c>
      <c r="X2476">
        <v>12</v>
      </c>
      <c r="Y2476" t="s">
        <v>49</v>
      </c>
      <c r="Z2476" t="s">
        <v>81</v>
      </c>
      <c r="AA2476" t="s">
        <v>122</v>
      </c>
      <c r="AB2476">
        <v>12</v>
      </c>
      <c r="AC2476" t="s">
        <v>166</v>
      </c>
      <c r="AD2476" t="s">
        <v>134</v>
      </c>
      <c r="AE2476" t="s">
        <v>135</v>
      </c>
      <c r="AF2476" t="s">
        <v>44</v>
      </c>
      <c r="AG2476" t="str">
        <f t="shared" si="41"/>
        <v>Recorrente</v>
      </c>
      <c r="AH2476" t="str">
        <f>IF(AND(SUMIF(E:E,E2476,I:I)&gt;=400000,Q2476="B2G"),"n","")</f>
        <v/>
      </c>
    </row>
    <row r="2477" spans="1:34">
      <c r="A2477">
        <v>2026</v>
      </c>
      <c r="B2477">
        <v>3</v>
      </c>
      <c r="C2477" s="83">
        <v>2069281</v>
      </c>
      <c r="D2477" t="s">
        <v>2256</v>
      </c>
      <c r="E2477">
        <v>58654009013</v>
      </c>
      <c r="F2477">
        <v>621383</v>
      </c>
      <c r="G2477">
        <v>53812311331</v>
      </c>
      <c r="H2477" t="s">
        <v>35</v>
      </c>
      <c r="I2477" s="36">
        <v>4353.84</v>
      </c>
      <c r="J2477" s="36">
        <v>2918.04</v>
      </c>
      <c r="K2477" s="85">
        <v>1435.8</v>
      </c>
      <c r="L2477" s="36">
        <v>243.17</v>
      </c>
      <c r="M2477" s="36">
        <v>0</v>
      </c>
      <c r="N2477" s="36">
        <v>243.17</v>
      </c>
      <c r="O2477" s="36">
        <v>0</v>
      </c>
      <c r="P2477" t="s">
        <v>323</v>
      </c>
      <c r="Q2477" t="s">
        <v>191</v>
      </c>
      <c r="R2477" t="s">
        <v>191</v>
      </c>
      <c r="S2477" s="1">
        <v>46112</v>
      </c>
      <c r="T2477" s="1">
        <v>46112</v>
      </c>
      <c r="U2477" s="1">
        <v>46657</v>
      </c>
      <c r="V2477" s="1">
        <v>46657</v>
      </c>
      <c r="W2477" t="s">
        <v>102</v>
      </c>
      <c r="X2477">
        <v>18</v>
      </c>
      <c r="Y2477" t="s">
        <v>49</v>
      </c>
      <c r="Z2477" t="s">
        <v>324</v>
      </c>
      <c r="AA2477" t="s">
        <v>122</v>
      </c>
      <c r="AB2477">
        <v>17</v>
      </c>
      <c r="AC2477" t="s">
        <v>192</v>
      </c>
      <c r="AD2477" t="s">
        <v>146</v>
      </c>
      <c r="AE2477" t="s">
        <v>135</v>
      </c>
      <c r="AF2477" t="s">
        <v>96</v>
      </c>
      <c r="AG2477" t="str">
        <f t="shared" si="41"/>
        <v>Recorrente</v>
      </c>
      <c r="AH2477" t="str">
        <f>IF(AND(SUMIF(E:E,E2477,I:I)&gt;=400000,Q2477="B2G"),"n","")</f>
        <v/>
      </c>
    </row>
    <row r="2478" spans="1:34">
      <c r="A2478">
        <v>2026</v>
      </c>
      <c r="B2478">
        <v>3</v>
      </c>
      <c r="C2478" s="83">
        <v>2069465</v>
      </c>
      <c r="D2478" t="s">
        <v>786</v>
      </c>
      <c r="E2478">
        <v>55081950212</v>
      </c>
      <c r="F2478">
        <v>507654</v>
      </c>
      <c r="G2478">
        <v>50416781078</v>
      </c>
      <c r="H2478" t="s">
        <v>35</v>
      </c>
      <c r="I2478" s="36">
        <v>4765.4399999999996</v>
      </c>
      <c r="J2478" s="36">
        <v>4765.4399999999996</v>
      </c>
      <c r="K2478" s="85">
        <v>0</v>
      </c>
      <c r="L2478" s="36">
        <v>397.12</v>
      </c>
      <c r="M2478" s="36">
        <v>0</v>
      </c>
      <c r="N2478" s="36">
        <v>68.614999999999995</v>
      </c>
      <c r="O2478" s="36">
        <v>328.51</v>
      </c>
      <c r="P2478" t="s">
        <v>165</v>
      </c>
      <c r="Q2478" t="s">
        <v>166</v>
      </c>
      <c r="R2478" t="s">
        <v>166</v>
      </c>
      <c r="S2478" s="1">
        <v>46097</v>
      </c>
      <c r="T2478" s="1">
        <v>46097</v>
      </c>
      <c r="U2478" s="1">
        <v>46097</v>
      </c>
      <c r="V2478" s="1">
        <v>46462</v>
      </c>
      <c r="W2478" t="s">
        <v>38</v>
      </c>
      <c r="X2478">
        <v>12</v>
      </c>
      <c r="Y2478" t="s">
        <v>49</v>
      </c>
      <c r="Z2478" t="s">
        <v>81</v>
      </c>
      <c r="AA2478" t="s">
        <v>122</v>
      </c>
      <c r="AB2478">
        <v>12</v>
      </c>
      <c r="AC2478" t="s">
        <v>166</v>
      </c>
      <c r="AD2478" t="s">
        <v>174</v>
      </c>
      <c r="AE2478" t="s">
        <v>43</v>
      </c>
      <c r="AF2478" t="s">
        <v>47</v>
      </c>
      <c r="AG2478" t="str">
        <f t="shared" si="41"/>
        <v>Recorrente</v>
      </c>
      <c r="AH2478" t="str">
        <f>IF(AND(SUMIF(E:E,E2478,I:I)&gt;=400000,Q2478="B2G"),"n","")</f>
        <v/>
      </c>
    </row>
    <row r="2479" spans="1:34">
      <c r="A2479">
        <v>2026</v>
      </c>
      <c r="B2479">
        <v>3</v>
      </c>
      <c r="C2479" s="83">
        <v>2069465</v>
      </c>
      <c r="D2479" t="s">
        <v>786</v>
      </c>
      <c r="E2479">
        <v>58242992222</v>
      </c>
      <c r="F2479">
        <v>612055</v>
      </c>
      <c r="G2479">
        <v>53451852042</v>
      </c>
      <c r="H2479" t="s">
        <v>35</v>
      </c>
      <c r="I2479" s="36">
        <v>4074</v>
      </c>
      <c r="J2479" s="36">
        <v>4074</v>
      </c>
      <c r="K2479" s="85">
        <v>0</v>
      </c>
      <c r="L2479" s="36">
        <v>339.5</v>
      </c>
      <c r="M2479" s="36">
        <v>0</v>
      </c>
      <c r="N2479" s="36">
        <v>76.849999999999994</v>
      </c>
      <c r="O2479" s="36">
        <v>262.64999999999998</v>
      </c>
      <c r="P2479" t="s">
        <v>127</v>
      </c>
      <c r="Q2479" t="s">
        <v>111</v>
      </c>
      <c r="R2479" t="s">
        <v>111</v>
      </c>
      <c r="S2479" s="1">
        <v>46104</v>
      </c>
      <c r="T2479" s="1">
        <v>46104</v>
      </c>
      <c r="U2479" s="1">
        <v>46103</v>
      </c>
      <c r="V2479" s="1">
        <v>46469</v>
      </c>
      <c r="W2479" t="s">
        <v>38</v>
      </c>
      <c r="X2479">
        <v>12</v>
      </c>
      <c r="Y2479" t="s">
        <v>49</v>
      </c>
      <c r="Z2479" t="s">
        <v>81</v>
      </c>
      <c r="AA2479" t="s">
        <v>122</v>
      </c>
      <c r="AB2479">
        <v>12</v>
      </c>
      <c r="AC2479" t="s">
        <v>113</v>
      </c>
      <c r="AD2479" t="s">
        <v>160</v>
      </c>
      <c r="AE2479" t="s">
        <v>43</v>
      </c>
      <c r="AF2479" t="s">
        <v>44</v>
      </c>
      <c r="AG2479" t="str">
        <f t="shared" si="41"/>
        <v>Recorrente</v>
      </c>
      <c r="AH2479" t="str">
        <f>IF(AND(SUMIF(E:E,E2479,I:I)&gt;=400000,Q2479="B2G"),"n","")</f>
        <v/>
      </c>
    </row>
    <row r="2480" spans="1:34">
      <c r="A2480">
        <v>2026</v>
      </c>
      <c r="B2480">
        <v>3</v>
      </c>
      <c r="C2480" s="83">
        <v>2069601</v>
      </c>
      <c r="D2480" t="s">
        <v>2257</v>
      </c>
      <c r="E2480">
        <v>54130512222</v>
      </c>
      <c r="F2480">
        <v>610598</v>
      </c>
      <c r="G2480">
        <v>49462282332</v>
      </c>
      <c r="H2480" t="s">
        <v>35</v>
      </c>
      <c r="I2480" s="36">
        <v>5154</v>
      </c>
      <c r="J2480" s="36">
        <v>5154</v>
      </c>
      <c r="K2480" s="85">
        <v>0</v>
      </c>
      <c r="L2480" s="36">
        <v>429.5</v>
      </c>
      <c r="M2480" s="36">
        <v>0</v>
      </c>
      <c r="N2480" s="36">
        <v>61.4</v>
      </c>
      <c r="O2480" s="36">
        <v>368.1</v>
      </c>
      <c r="P2480" t="s">
        <v>165</v>
      </c>
      <c r="Q2480" t="s">
        <v>166</v>
      </c>
      <c r="R2480" t="s">
        <v>166</v>
      </c>
      <c r="S2480" s="1">
        <v>46085</v>
      </c>
      <c r="T2480" s="1">
        <v>46085</v>
      </c>
      <c r="U2480" s="1">
        <v>46085</v>
      </c>
      <c r="V2480" s="1">
        <v>46450</v>
      </c>
      <c r="W2480" t="s">
        <v>38</v>
      </c>
      <c r="X2480">
        <v>12</v>
      </c>
      <c r="Y2480" t="s">
        <v>49</v>
      </c>
      <c r="Z2480" t="s">
        <v>81</v>
      </c>
      <c r="AA2480" t="s">
        <v>122</v>
      </c>
      <c r="AB2480">
        <v>12</v>
      </c>
      <c r="AC2480" t="s">
        <v>166</v>
      </c>
      <c r="AD2480" t="s">
        <v>163</v>
      </c>
      <c r="AE2480" t="s">
        <v>43</v>
      </c>
      <c r="AF2480" t="s">
        <v>96</v>
      </c>
      <c r="AG2480" t="str">
        <f t="shared" si="41"/>
        <v>Recorrente</v>
      </c>
      <c r="AH2480" t="str">
        <f>IF(AND(SUMIF(E:E,E2480,I:I)&gt;=400000,Q2480="B2G"),"n","")</f>
        <v/>
      </c>
    </row>
    <row r="2481" spans="1:34">
      <c r="A2481">
        <v>2026</v>
      </c>
      <c r="B2481">
        <v>3</v>
      </c>
      <c r="C2481" s="83">
        <v>20697984082</v>
      </c>
      <c r="D2481" t="s">
        <v>2258</v>
      </c>
      <c r="E2481">
        <v>57655341428</v>
      </c>
      <c r="F2481">
        <v>636516</v>
      </c>
      <c r="G2481">
        <v>53208834209</v>
      </c>
      <c r="H2481" t="s">
        <v>35</v>
      </c>
      <c r="I2481" s="36">
        <v>5772</v>
      </c>
      <c r="J2481" s="36">
        <v>5772</v>
      </c>
      <c r="K2481" s="85">
        <v>0</v>
      </c>
      <c r="L2481" s="36">
        <v>481</v>
      </c>
      <c r="M2481" s="36">
        <v>481</v>
      </c>
      <c r="N2481" s="36">
        <v>0</v>
      </c>
      <c r="O2481" s="36">
        <v>0</v>
      </c>
      <c r="P2481" t="s">
        <v>98</v>
      </c>
      <c r="Q2481" t="s">
        <v>37</v>
      </c>
      <c r="R2481" t="s">
        <v>37</v>
      </c>
      <c r="S2481" s="1">
        <v>46094</v>
      </c>
      <c r="T2481" s="1">
        <v>46094</v>
      </c>
      <c r="U2481" s="1"/>
      <c r="V2481" s="1">
        <v>46459</v>
      </c>
      <c r="W2481" t="s">
        <v>38</v>
      </c>
      <c r="X2481">
        <v>12</v>
      </c>
      <c r="Y2481" t="s">
        <v>49</v>
      </c>
      <c r="AA2481" t="s">
        <v>40</v>
      </c>
      <c r="AB2481">
        <v>1</v>
      </c>
      <c r="AC2481" t="s">
        <v>41</v>
      </c>
      <c r="AD2481" t="s">
        <v>54</v>
      </c>
      <c r="AE2481" t="s">
        <v>46</v>
      </c>
      <c r="AF2481" t="s">
        <v>44</v>
      </c>
      <c r="AG2481" t="str">
        <f t="shared" si="41"/>
        <v>À Vista</v>
      </c>
      <c r="AH2481" t="str">
        <f>IF(AND(SUMIF(E:E,E2481,I:I)&gt;=400000,Q2481="B2G"),"n","")</f>
        <v/>
      </c>
    </row>
    <row r="2482" spans="1:34">
      <c r="A2482">
        <v>2026</v>
      </c>
      <c r="B2482">
        <v>3</v>
      </c>
      <c r="C2482" s="83">
        <v>2069988</v>
      </c>
      <c r="D2482" t="s">
        <v>2259</v>
      </c>
      <c r="E2482">
        <v>58446367632</v>
      </c>
      <c r="F2482">
        <v>636815</v>
      </c>
      <c r="G2482">
        <v>53808709953</v>
      </c>
      <c r="H2482" t="s">
        <v>35</v>
      </c>
      <c r="I2482" s="36">
        <v>4884</v>
      </c>
      <c r="J2482" s="36">
        <v>4884</v>
      </c>
      <c r="K2482" s="85">
        <v>0</v>
      </c>
      <c r="L2482" s="36">
        <v>407</v>
      </c>
      <c r="M2482" s="36">
        <v>407</v>
      </c>
      <c r="N2482" s="36">
        <v>0</v>
      </c>
      <c r="O2482" s="36">
        <v>0</v>
      </c>
      <c r="P2482" t="s">
        <v>313</v>
      </c>
      <c r="Q2482" t="s">
        <v>314</v>
      </c>
      <c r="R2482" t="s">
        <v>314</v>
      </c>
      <c r="S2482" s="1">
        <v>46112</v>
      </c>
      <c r="T2482" s="1">
        <v>46112</v>
      </c>
      <c r="U2482" s="1"/>
      <c r="V2482" s="1">
        <v>46477</v>
      </c>
      <c r="W2482" t="s">
        <v>38</v>
      </c>
      <c r="X2482">
        <v>12</v>
      </c>
      <c r="Y2482" t="s">
        <v>49</v>
      </c>
      <c r="AA2482" t="s">
        <v>122</v>
      </c>
      <c r="AB2482">
        <v>12</v>
      </c>
      <c r="AC2482" t="s">
        <v>315</v>
      </c>
      <c r="AD2482" t="s">
        <v>85</v>
      </c>
      <c r="AE2482" t="s">
        <v>46</v>
      </c>
      <c r="AF2482" t="s">
        <v>44</v>
      </c>
      <c r="AG2482" t="str">
        <f t="shared" si="41"/>
        <v>Recorrente</v>
      </c>
      <c r="AH2482" t="str">
        <f>IF(AND(SUMIF(E:E,E2482,I:I)&gt;=400000,Q2482="B2G"),"n","")</f>
        <v/>
      </c>
    </row>
    <row r="2483" spans="1:34">
      <c r="A2483">
        <v>2026</v>
      </c>
      <c r="B2483">
        <v>3</v>
      </c>
      <c r="C2483" s="83">
        <v>207016125487</v>
      </c>
      <c r="D2483" t="s">
        <v>2260</v>
      </c>
      <c r="E2483">
        <v>57350625333</v>
      </c>
      <c r="F2483">
        <v>636365</v>
      </c>
      <c r="G2483">
        <v>52811644332</v>
      </c>
      <c r="H2483" t="s">
        <v>35</v>
      </c>
      <c r="I2483" s="36">
        <v>7249.92</v>
      </c>
      <c r="J2483" s="36">
        <v>7249.92</v>
      </c>
      <c r="K2483" s="85">
        <v>0</v>
      </c>
      <c r="L2483" s="36">
        <v>604.16</v>
      </c>
      <c r="M2483" s="36">
        <v>604.16</v>
      </c>
      <c r="N2483" s="36">
        <v>0</v>
      </c>
      <c r="O2483" s="36">
        <v>0</v>
      </c>
      <c r="P2483" t="s">
        <v>1073</v>
      </c>
      <c r="Q2483" t="s">
        <v>314</v>
      </c>
      <c r="R2483" t="s">
        <v>314</v>
      </c>
      <c r="S2483" s="1">
        <v>46086</v>
      </c>
      <c r="T2483" s="1">
        <v>46086</v>
      </c>
      <c r="U2483" s="1"/>
      <c r="V2483" s="1">
        <v>46451</v>
      </c>
      <c r="W2483" t="s">
        <v>38</v>
      </c>
      <c r="X2483">
        <v>12</v>
      </c>
      <c r="Y2483" t="s">
        <v>49</v>
      </c>
      <c r="AA2483" t="s">
        <v>112</v>
      </c>
      <c r="AB2483">
        <v>1</v>
      </c>
      <c r="AC2483" t="s">
        <v>315</v>
      </c>
      <c r="AD2483" t="s">
        <v>134</v>
      </c>
      <c r="AE2483" t="s">
        <v>135</v>
      </c>
      <c r="AF2483" t="s">
        <v>44</v>
      </c>
      <c r="AG2483" t="str">
        <f t="shared" si="41"/>
        <v>À Vista</v>
      </c>
      <c r="AH2483" t="str">
        <f>IF(AND(SUMIF(E:E,E2483,I:I)&gt;=400000,Q2483="B2G"),"n","")</f>
        <v/>
      </c>
    </row>
    <row r="2484" spans="1:34">
      <c r="A2484">
        <v>2026</v>
      </c>
      <c r="B2484">
        <v>3</v>
      </c>
      <c r="C2484" s="83">
        <v>2070889</v>
      </c>
      <c r="D2484" t="s">
        <v>2261</v>
      </c>
      <c r="E2484">
        <v>57979403445</v>
      </c>
      <c r="F2484">
        <v>507470</v>
      </c>
      <c r="G2484">
        <v>53406753629</v>
      </c>
      <c r="H2484" t="s">
        <v>35</v>
      </c>
      <c r="I2484" s="36">
        <v>4686.84</v>
      </c>
      <c r="J2484" s="36">
        <v>4686.84</v>
      </c>
      <c r="K2484" s="85">
        <v>0</v>
      </c>
      <c r="L2484" s="36">
        <v>390.57</v>
      </c>
      <c r="M2484" s="36">
        <v>0</v>
      </c>
      <c r="N2484" s="36">
        <v>0</v>
      </c>
      <c r="O2484" s="36">
        <v>390.57499999999999</v>
      </c>
      <c r="P2484" t="s">
        <v>162</v>
      </c>
      <c r="Q2484" t="s">
        <v>111</v>
      </c>
      <c r="R2484" t="s">
        <v>111</v>
      </c>
      <c r="S2484" s="1">
        <v>46101</v>
      </c>
      <c r="T2484" s="1">
        <v>46101</v>
      </c>
      <c r="U2484" s="1">
        <v>46094</v>
      </c>
      <c r="V2484" s="1">
        <v>46467</v>
      </c>
      <c r="W2484" t="s">
        <v>38</v>
      </c>
      <c r="X2484">
        <v>12</v>
      </c>
      <c r="Y2484" t="s">
        <v>49</v>
      </c>
      <c r="Z2484" t="s">
        <v>76</v>
      </c>
      <c r="AA2484" t="s">
        <v>112</v>
      </c>
      <c r="AB2484">
        <v>1</v>
      </c>
      <c r="AC2484" t="s">
        <v>113</v>
      </c>
      <c r="AD2484" t="s">
        <v>138</v>
      </c>
      <c r="AE2484" t="s">
        <v>135</v>
      </c>
      <c r="AF2484" t="s">
        <v>119</v>
      </c>
      <c r="AG2484" t="str">
        <f t="shared" si="41"/>
        <v>À Vista</v>
      </c>
      <c r="AH2484" t="str">
        <f>IF(AND(SUMIF(E:E,E2484,I:I)&gt;=400000,Q2484="B2G"),"n","")</f>
        <v/>
      </c>
    </row>
    <row r="2485" spans="1:34">
      <c r="A2485">
        <v>2026</v>
      </c>
      <c r="B2485">
        <v>3</v>
      </c>
      <c r="C2485" s="83">
        <v>2070925</v>
      </c>
      <c r="D2485" t="s">
        <v>2262</v>
      </c>
      <c r="E2485">
        <v>56188105392</v>
      </c>
      <c r="F2485">
        <v>506977</v>
      </c>
      <c r="G2485">
        <v>53237540102</v>
      </c>
      <c r="H2485" t="s">
        <v>35</v>
      </c>
      <c r="I2485" s="36">
        <v>4660.68</v>
      </c>
      <c r="J2485" s="36">
        <v>4660.68</v>
      </c>
      <c r="K2485" s="85">
        <v>0</v>
      </c>
      <c r="L2485" s="36">
        <v>388.39</v>
      </c>
      <c r="M2485" s="36">
        <v>0</v>
      </c>
      <c r="N2485" s="36">
        <v>41.854999999999997</v>
      </c>
      <c r="O2485" s="36">
        <v>346.54</v>
      </c>
      <c r="P2485" t="s">
        <v>137</v>
      </c>
      <c r="Q2485" t="s">
        <v>111</v>
      </c>
      <c r="R2485" t="s">
        <v>111</v>
      </c>
      <c r="S2485" s="1">
        <v>46097</v>
      </c>
      <c r="T2485" s="1">
        <v>46097</v>
      </c>
      <c r="U2485" s="1">
        <v>46096</v>
      </c>
      <c r="V2485" s="1">
        <v>46462</v>
      </c>
      <c r="W2485" t="s">
        <v>38</v>
      </c>
      <c r="X2485">
        <v>12</v>
      </c>
      <c r="Y2485" t="s">
        <v>49</v>
      </c>
      <c r="Z2485" t="s">
        <v>81</v>
      </c>
      <c r="AA2485" t="s">
        <v>122</v>
      </c>
      <c r="AB2485">
        <v>12</v>
      </c>
      <c r="AC2485" t="s">
        <v>113</v>
      </c>
      <c r="AD2485" t="s">
        <v>85</v>
      </c>
      <c r="AE2485" t="s">
        <v>46</v>
      </c>
      <c r="AF2485" t="s">
        <v>44</v>
      </c>
      <c r="AG2485" t="str">
        <f t="shared" si="41"/>
        <v>Recorrente</v>
      </c>
      <c r="AH2485" t="str">
        <f>IF(AND(SUMIF(E:E,E2485,I:I)&gt;=400000,Q2485="B2G"),"n","")</f>
        <v/>
      </c>
    </row>
    <row r="2486" spans="1:34">
      <c r="A2486">
        <v>2026</v>
      </c>
      <c r="B2486">
        <v>3</v>
      </c>
      <c r="C2486" s="83">
        <v>207114316149</v>
      </c>
      <c r="D2486" t="s">
        <v>2263</v>
      </c>
      <c r="E2486">
        <v>57591374172</v>
      </c>
      <c r="F2486">
        <v>546343</v>
      </c>
      <c r="G2486">
        <v>52873268400</v>
      </c>
      <c r="H2486" t="s">
        <v>35</v>
      </c>
      <c r="I2486" s="36">
        <v>1510.32</v>
      </c>
      <c r="J2486" s="36">
        <v>2731.08</v>
      </c>
      <c r="K2486" s="85">
        <v>0</v>
      </c>
      <c r="L2486" s="36">
        <v>227.59</v>
      </c>
      <c r="M2486" s="36">
        <v>0</v>
      </c>
      <c r="N2486" s="36">
        <v>227.59</v>
      </c>
      <c r="O2486" s="36">
        <v>0</v>
      </c>
      <c r="P2486" t="s">
        <v>469</v>
      </c>
      <c r="Q2486" t="s">
        <v>191</v>
      </c>
      <c r="R2486" t="s">
        <v>191</v>
      </c>
      <c r="S2486" s="1">
        <v>46086</v>
      </c>
      <c r="T2486" s="1">
        <v>46086</v>
      </c>
      <c r="U2486" s="1">
        <v>46288</v>
      </c>
      <c r="V2486" s="1">
        <v>46288</v>
      </c>
      <c r="W2486" t="s">
        <v>38</v>
      </c>
      <c r="X2486">
        <v>6</v>
      </c>
      <c r="Y2486" t="s">
        <v>49</v>
      </c>
      <c r="Z2486" t="s">
        <v>324</v>
      </c>
      <c r="AA2486" t="s">
        <v>122</v>
      </c>
      <c r="AB2486">
        <v>6</v>
      </c>
      <c r="AC2486" t="s">
        <v>192</v>
      </c>
      <c r="AD2486" t="s">
        <v>140</v>
      </c>
      <c r="AE2486" t="s">
        <v>46</v>
      </c>
      <c r="AF2486" t="s">
        <v>119</v>
      </c>
      <c r="AG2486" t="str">
        <f t="shared" si="41"/>
        <v>Recorrente</v>
      </c>
      <c r="AH2486" t="str">
        <f>IF(AND(SUMIF(E:E,E2486,I:I)&gt;=400000,Q2486="B2G"),"n","")</f>
        <v/>
      </c>
    </row>
    <row r="2487" spans="1:34">
      <c r="A2487">
        <v>2026</v>
      </c>
      <c r="B2487">
        <v>3</v>
      </c>
      <c r="C2487" s="83">
        <v>207190358410</v>
      </c>
      <c r="D2487" t="s">
        <v>2264</v>
      </c>
      <c r="E2487">
        <v>57506906636</v>
      </c>
      <c r="F2487">
        <v>630479</v>
      </c>
      <c r="G2487">
        <v>52811119897</v>
      </c>
      <c r="H2487" t="s">
        <v>35</v>
      </c>
      <c r="I2487" s="36">
        <v>674.64</v>
      </c>
      <c r="J2487" s="36">
        <v>2161.6799999999998</v>
      </c>
      <c r="K2487" s="85">
        <v>0</v>
      </c>
      <c r="L2487" s="36">
        <v>180.14</v>
      </c>
      <c r="M2487" s="36">
        <v>0</v>
      </c>
      <c r="N2487" s="36">
        <v>180.14</v>
      </c>
      <c r="O2487" s="36">
        <v>0</v>
      </c>
      <c r="P2487" t="s">
        <v>2265</v>
      </c>
      <c r="Q2487" t="s">
        <v>191</v>
      </c>
      <c r="R2487" t="s">
        <v>191</v>
      </c>
      <c r="S2487" s="1">
        <v>46085</v>
      </c>
      <c r="T2487" s="1">
        <v>46085</v>
      </c>
      <c r="U2487" s="1">
        <v>46199</v>
      </c>
      <c r="V2487" s="1">
        <v>46199</v>
      </c>
      <c r="W2487" t="s">
        <v>38</v>
      </c>
      <c r="X2487">
        <v>3</v>
      </c>
      <c r="Y2487" t="s">
        <v>49</v>
      </c>
      <c r="Z2487" t="s">
        <v>324</v>
      </c>
      <c r="AA2487" t="s">
        <v>122</v>
      </c>
      <c r="AB2487">
        <v>3</v>
      </c>
      <c r="AC2487" t="s">
        <v>192</v>
      </c>
      <c r="AD2487" t="s">
        <v>84</v>
      </c>
      <c r="AE2487" t="s">
        <v>43</v>
      </c>
      <c r="AF2487" t="s">
        <v>44</v>
      </c>
      <c r="AG2487" t="str">
        <f t="shared" si="41"/>
        <v>Recorrente</v>
      </c>
      <c r="AH2487" t="str">
        <f>IF(AND(SUMIF(E:E,E2487,I:I)&gt;=400000,Q2487="B2G"),"n","")</f>
        <v/>
      </c>
    </row>
    <row r="2488" spans="1:34">
      <c r="A2488">
        <v>2026</v>
      </c>
      <c r="B2488">
        <v>3</v>
      </c>
      <c r="C2488" s="83">
        <v>207229249818</v>
      </c>
      <c r="D2488" t="s">
        <v>2266</v>
      </c>
      <c r="E2488">
        <v>57958765081</v>
      </c>
      <c r="F2488">
        <v>636480</v>
      </c>
      <c r="G2488">
        <v>53172379746</v>
      </c>
      <c r="H2488" t="s">
        <v>35</v>
      </c>
      <c r="I2488" s="36">
        <v>3452.4</v>
      </c>
      <c r="J2488" s="36">
        <v>3452.4</v>
      </c>
      <c r="K2488" s="85">
        <v>4.5474699999999999E-13</v>
      </c>
      <c r="L2488" s="36">
        <v>287.7</v>
      </c>
      <c r="M2488" s="36">
        <v>287.7</v>
      </c>
      <c r="N2488" s="36">
        <v>0</v>
      </c>
      <c r="O2488" s="36">
        <v>0</v>
      </c>
      <c r="P2488" t="s">
        <v>829</v>
      </c>
      <c r="Q2488" t="s">
        <v>300</v>
      </c>
      <c r="R2488" t="s">
        <v>300</v>
      </c>
      <c r="S2488" s="1">
        <v>46093</v>
      </c>
      <c r="T2488" s="1">
        <v>46093</v>
      </c>
      <c r="U2488" s="1"/>
      <c r="V2488" s="1">
        <v>46458</v>
      </c>
      <c r="W2488" t="s">
        <v>38</v>
      </c>
      <c r="X2488">
        <v>12</v>
      </c>
      <c r="Y2488" t="s">
        <v>49</v>
      </c>
      <c r="AA2488" t="s">
        <v>122</v>
      </c>
      <c r="AB2488">
        <v>12</v>
      </c>
      <c r="AC2488" t="s">
        <v>301</v>
      </c>
      <c r="AD2488" t="s">
        <v>85</v>
      </c>
      <c r="AE2488" t="s">
        <v>46</v>
      </c>
      <c r="AF2488" t="s">
        <v>44</v>
      </c>
      <c r="AG2488" t="str">
        <f t="shared" si="41"/>
        <v>Recorrente</v>
      </c>
      <c r="AH2488" t="str">
        <f>IF(AND(SUMIF(E:E,E2488,I:I)&gt;=400000,Q2488="B2G"),"n","")</f>
        <v/>
      </c>
    </row>
    <row r="2489" spans="1:34">
      <c r="A2489">
        <v>2026</v>
      </c>
      <c r="B2489">
        <v>3</v>
      </c>
      <c r="C2489" s="83">
        <v>207269931660</v>
      </c>
      <c r="D2489" t="s">
        <v>2267</v>
      </c>
      <c r="E2489">
        <v>58367263329</v>
      </c>
      <c r="F2489">
        <v>636715</v>
      </c>
      <c r="G2489">
        <v>53571176759</v>
      </c>
      <c r="H2489" t="s">
        <v>35</v>
      </c>
      <c r="I2489" s="36">
        <v>3452.4</v>
      </c>
      <c r="J2489" s="36">
        <v>3452.4</v>
      </c>
      <c r="K2489" s="85">
        <v>4.5474699999999999E-13</v>
      </c>
      <c r="L2489" s="36">
        <v>287.7</v>
      </c>
      <c r="M2489" s="36">
        <v>287.7</v>
      </c>
      <c r="N2489" s="36">
        <v>0</v>
      </c>
      <c r="O2489" s="36">
        <v>0</v>
      </c>
      <c r="P2489" t="s">
        <v>511</v>
      </c>
      <c r="Q2489" t="s">
        <v>300</v>
      </c>
      <c r="R2489" t="s">
        <v>80</v>
      </c>
      <c r="S2489" s="1">
        <v>46107</v>
      </c>
      <c r="T2489" s="1">
        <v>46107</v>
      </c>
      <c r="V2489" s="1">
        <v>46472</v>
      </c>
      <c r="W2489" t="s">
        <v>38</v>
      </c>
      <c r="X2489">
        <v>12</v>
      </c>
      <c r="Y2489" t="s">
        <v>49</v>
      </c>
      <c r="AA2489" t="s">
        <v>112</v>
      </c>
      <c r="AB2489">
        <v>12</v>
      </c>
      <c r="AC2489" t="s">
        <v>495</v>
      </c>
      <c r="AD2489" t="s">
        <v>85</v>
      </c>
      <c r="AE2489" t="s">
        <v>46</v>
      </c>
      <c r="AF2489" t="s">
        <v>44</v>
      </c>
      <c r="AG2489" t="str">
        <f t="shared" si="41"/>
        <v>CC 12x</v>
      </c>
      <c r="AH2489" t="str">
        <f>IF(AND(SUMIF(E:E,E2489,I:I)&gt;=400000,Q2489="B2G"),"n","")</f>
        <v/>
      </c>
    </row>
    <row r="2490" spans="1:34">
      <c r="A2490">
        <v>2026</v>
      </c>
      <c r="B2490">
        <v>3</v>
      </c>
      <c r="C2490" s="83">
        <v>207285452587</v>
      </c>
      <c r="D2490" t="s">
        <v>2268</v>
      </c>
      <c r="E2490">
        <v>57897882739</v>
      </c>
      <c r="F2490">
        <v>636458</v>
      </c>
      <c r="G2490">
        <v>53090687806</v>
      </c>
      <c r="H2490" t="s">
        <v>35</v>
      </c>
      <c r="I2490" s="36">
        <v>4123.2</v>
      </c>
      <c r="J2490" s="36">
        <v>4123.2</v>
      </c>
      <c r="K2490" s="85">
        <v>0</v>
      </c>
      <c r="L2490" s="36">
        <v>343.6</v>
      </c>
      <c r="M2490" s="36">
        <v>343.6</v>
      </c>
      <c r="N2490" s="36">
        <v>0</v>
      </c>
      <c r="O2490" s="36">
        <v>0</v>
      </c>
      <c r="P2490" t="s">
        <v>506</v>
      </c>
      <c r="Q2490" t="s">
        <v>300</v>
      </c>
      <c r="R2490" t="s">
        <v>300</v>
      </c>
      <c r="S2490" s="1">
        <v>46092</v>
      </c>
      <c r="T2490" s="1">
        <v>46092</v>
      </c>
      <c r="U2490" s="1"/>
      <c r="V2490" s="1">
        <v>46457</v>
      </c>
      <c r="W2490" t="s">
        <v>38</v>
      </c>
      <c r="X2490">
        <v>12</v>
      </c>
      <c r="Y2490" t="s">
        <v>49</v>
      </c>
      <c r="AA2490" t="s">
        <v>117</v>
      </c>
      <c r="AB2490">
        <v>1</v>
      </c>
      <c r="AC2490" t="s">
        <v>301</v>
      </c>
      <c r="AD2490" t="s">
        <v>229</v>
      </c>
      <c r="AE2490" t="s">
        <v>43</v>
      </c>
      <c r="AF2490" t="s">
        <v>96</v>
      </c>
      <c r="AG2490" t="str">
        <f t="shared" si="41"/>
        <v>À Vista</v>
      </c>
      <c r="AH2490" t="str">
        <f>IF(AND(SUMIF(E:E,E2490,I:I)&gt;=400000,Q2490="B2G"),"n","")</f>
        <v/>
      </c>
    </row>
    <row r="2491" spans="1:34">
      <c r="A2491">
        <v>2026</v>
      </c>
      <c r="B2491">
        <v>3</v>
      </c>
      <c r="C2491" s="83">
        <v>207305949294</v>
      </c>
      <c r="D2491" t="s">
        <v>2269</v>
      </c>
      <c r="E2491">
        <v>57736652697</v>
      </c>
      <c r="F2491">
        <v>636526</v>
      </c>
      <c r="G2491">
        <v>52952528459</v>
      </c>
      <c r="H2491" t="s">
        <v>35</v>
      </c>
      <c r="I2491" s="36">
        <v>2448</v>
      </c>
      <c r="J2491" s="36">
        <v>2448</v>
      </c>
      <c r="K2491" s="85">
        <v>0</v>
      </c>
      <c r="L2491" s="36">
        <v>204</v>
      </c>
      <c r="M2491" s="36">
        <v>204</v>
      </c>
      <c r="N2491" s="36">
        <v>0</v>
      </c>
      <c r="O2491" s="36">
        <v>0</v>
      </c>
      <c r="P2491" t="s">
        <v>511</v>
      </c>
      <c r="Q2491" t="s">
        <v>314</v>
      </c>
      <c r="R2491" t="s">
        <v>314</v>
      </c>
      <c r="S2491" s="1">
        <v>46097</v>
      </c>
      <c r="T2491" s="1">
        <v>46097</v>
      </c>
      <c r="U2491" s="1"/>
      <c r="V2491" s="1">
        <v>46462</v>
      </c>
      <c r="W2491" t="s">
        <v>38</v>
      </c>
      <c r="X2491">
        <v>12</v>
      </c>
      <c r="Y2491" t="s">
        <v>49</v>
      </c>
      <c r="AA2491" t="s">
        <v>112</v>
      </c>
      <c r="AB2491">
        <v>12</v>
      </c>
      <c r="AC2491" t="s">
        <v>315</v>
      </c>
      <c r="AD2491" t="s">
        <v>140</v>
      </c>
      <c r="AE2491" t="s">
        <v>46</v>
      </c>
      <c r="AF2491" t="s">
        <v>119</v>
      </c>
      <c r="AG2491" t="str">
        <f t="shared" si="41"/>
        <v>CC 12x</v>
      </c>
      <c r="AH2491" t="str">
        <f>IF(AND(SUMIF(E:E,E2491,I:I)&gt;=400000,Q2491="B2G"),"n","")</f>
        <v/>
      </c>
    </row>
    <row r="2492" spans="1:34">
      <c r="A2492">
        <v>2026</v>
      </c>
      <c r="B2492">
        <v>3</v>
      </c>
      <c r="C2492" s="83">
        <v>207310217295</v>
      </c>
      <c r="D2492" t="s">
        <v>2270</v>
      </c>
      <c r="E2492">
        <v>57602737694</v>
      </c>
      <c r="F2492">
        <v>636375</v>
      </c>
      <c r="G2492">
        <v>52874886226</v>
      </c>
      <c r="H2492" t="s">
        <v>35</v>
      </c>
      <c r="I2492" s="36">
        <v>2874</v>
      </c>
      <c r="J2492" s="36">
        <v>2874</v>
      </c>
      <c r="K2492" s="85">
        <v>0</v>
      </c>
      <c r="L2492" s="36">
        <v>239.5</v>
      </c>
      <c r="M2492" s="36">
        <v>239.5</v>
      </c>
      <c r="N2492" s="36">
        <v>0</v>
      </c>
      <c r="O2492" s="36">
        <v>0</v>
      </c>
      <c r="P2492" t="s">
        <v>497</v>
      </c>
      <c r="Q2492" t="s">
        <v>498</v>
      </c>
      <c r="R2492" t="s">
        <v>498</v>
      </c>
      <c r="S2492" s="1">
        <v>46086</v>
      </c>
      <c r="T2492" s="1">
        <v>46086</v>
      </c>
      <c r="U2492" s="1"/>
      <c r="V2492" s="1">
        <v>46451</v>
      </c>
      <c r="W2492" t="s">
        <v>38</v>
      </c>
      <c r="X2492">
        <v>12</v>
      </c>
      <c r="Y2492" t="s">
        <v>49</v>
      </c>
      <c r="AA2492" t="s">
        <v>112</v>
      </c>
      <c r="AB2492">
        <v>12</v>
      </c>
      <c r="AC2492" t="s">
        <v>499</v>
      </c>
      <c r="AD2492" t="s">
        <v>118</v>
      </c>
      <c r="AE2492" t="s">
        <v>43</v>
      </c>
      <c r="AF2492" t="s">
        <v>119</v>
      </c>
      <c r="AG2492" t="str">
        <f t="shared" ref="AG2492:AG2555" si="42">IF(IFERROR(SEARCH("Recorrente",AA2492),0)&gt;0,"Recorrente",IF(AB2492=1,"À Vista",IF(AB2492&lt;=3,"CC 3x",IF(AB2492&lt;=12,"CC 12x",IF(AB2492&gt;12,"Recorrente","")))))</f>
        <v>CC 12x</v>
      </c>
      <c r="AH2492" t="str">
        <f>IF(AND(SUMIF(E:E,E2492,I:I)&gt;=400000,Q2492="B2G"),"n","")</f>
        <v/>
      </c>
    </row>
    <row r="2493" spans="1:34">
      <c r="A2493">
        <v>2026</v>
      </c>
      <c r="B2493">
        <v>3</v>
      </c>
      <c r="C2493" s="83">
        <v>207314399634</v>
      </c>
      <c r="D2493" t="s">
        <v>2271</v>
      </c>
      <c r="E2493">
        <v>53901769898</v>
      </c>
      <c r="F2493">
        <v>528834</v>
      </c>
      <c r="G2493">
        <v>49090065775</v>
      </c>
      <c r="H2493" t="s">
        <v>35</v>
      </c>
      <c r="I2493" s="36">
        <v>4315.4399999999996</v>
      </c>
      <c r="J2493" s="36">
        <v>4315.4399999999996</v>
      </c>
      <c r="K2493" s="85">
        <v>0</v>
      </c>
      <c r="L2493" s="36">
        <v>359.62</v>
      </c>
      <c r="M2493" s="36">
        <v>0</v>
      </c>
      <c r="N2493" s="36">
        <v>53.844999999999999</v>
      </c>
      <c r="O2493" s="36">
        <v>305.77999999999997</v>
      </c>
      <c r="P2493" t="s">
        <v>165</v>
      </c>
      <c r="Q2493" t="s">
        <v>166</v>
      </c>
      <c r="R2493" t="s">
        <v>166</v>
      </c>
      <c r="S2493" s="1">
        <v>46082</v>
      </c>
      <c r="T2493" s="1">
        <v>46082</v>
      </c>
      <c r="U2493" s="1">
        <v>46082</v>
      </c>
      <c r="V2493" s="1">
        <v>46447</v>
      </c>
      <c r="W2493" t="s">
        <v>38</v>
      </c>
      <c r="X2493">
        <v>12</v>
      </c>
      <c r="Y2493" t="s">
        <v>49</v>
      </c>
      <c r="Z2493" t="s">
        <v>81</v>
      </c>
      <c r="AA2493" t="s">
        <v>112</v>
      </c>
      <c r="AB2493">
        <v>12</v>
      </c>
      <c r="AC2493" t="s">
        <v>166</v>
      </c>
      <c r="AD2493" t="s">
        <v>85</v>
      </c>
      <c r="AE2493" t="s">
        <v>46</v>
      </c>
      <c r="AF2493" t="s">
        <v>44</v>
      </c>
      <c r="AG2493" t="str">
        <f t="shared" si="42"/>
        <v>CC 12x</v>
      </c>
      <c r="AH2493" t="str">
        <f>IF(AND(SUMIF(E:E,E2493,I:I)&gt;=400000,Q2493="B2G"),"n","")</f>
        <v/>
      </c>
    </row>
    <row r="2494" spans="1:34">
      <c r="A2494">
        <v>2026</v>
      </c>
      <c r="B2494">
        <v>3</v>
      </c>
      <c r="C2494" s="83">
        <v>2074687</v>
      </c>
      <c r="D2494" t="s">
        <v>2272</v>
      </c>
      <c r="E2494">
        <v>55686273566</v>
      </c>
      <c r="F2494">
        <v>612128</v>
      </c>
      <c r="G2494">
        <v>51019520654</v>
      </c>
      <c r="H2494" t="s">
        <v>35</v>
      </c>
      <c r="I2494" s="36">
        <v>2874</v>
      </c>
      <c r="J2494" s="36">
        <v>2874</v>
      </c>
      <c r="K2494" s="85">
        <v>0</v>
      </c>
      <c r="L2494" s="36">
        <v>239.5</v>
      </c>
      <c r="M2494" s="36">
        <v>0</v>
      </c>
      <c r="N2494" s="36">
        <v>46.51</v>
      </c>
      <c r="O2494" s="36">
        <v>192.99</v>
      </c>
      <c r="P2494" t="s">
        <v>165</v>
      </c>
      <c r="Q2494" t="s">
        <v>166</v>
      </c>
      <c r="R2494" t="s">
        <v>166</v>
      </c>
      <c r="S2494" s="1">
        <v>46106</v>
      </c>
      <c r="T2494" s="1">
        <v>46106</v>
      </c>
      <c r="U2494" s="1">
        <v>46106</v>
      </c>
      <c r="V2494" s="1">
        <v>46471</v>
      </c>
      <c r="W2494" t="s">
        <v>38</v>
      </c>
      <c r="X2494">
        <v>12</v>
      </c>
      <c r="Y2494" t="s">
        <v>49</v>
      </c>
      <c r="Z2494" t="s">
        <v>81</v>
      </c>
      <c r="AA2494" t="s">
        <v>112</v>
      </c>
      <c r="AB2494">
        <v>12</v>
      </c>
      <c r="AC2494" t="s">
        <v>166</v>
      </c>
      <c r="AD2494" t="s">
        <v>140</v>
      </c>
      <c r="AE2494" t="s">
        <v>46</v>
      </c>
      <c r="AF2494" t="s">
        <v>119</v>
      </c>
      <c r="AG2494" t="str">
        <f t="shared" si="42"/>
        <v>CC 12x</v>
      </c>
      <c r="AH2494" t="str">
        <f>IF(AND(SUMIF(E:E,E2494,I:I)&gt;=400000,Q2494="B2G"),"n","")</f>
        <v/>
      </c>
    </row>
    <row r="2495" spans="1:34">
      <c r="A2495">
        <v>2026</v>
      </c>
      <c r="B2495">
        <v>3</v>
      </c>
      <c r="C2495" s="83">
        <v>20749467235</v>
      </c>
      <c r="D2495" t="s">
        <v>2273</v>
      </c>
      <c r="E2495">
        <v>57948380021</v>
      </c>
      <c r="F2495">
        <v>636483</v>
      </c>
      <c r="G2495">
        <v>53172454307</v>
      </c>
      <c r="H2495" t="s">
        <v>35</v>
      </c>
      <c r="I2495" s="36">
        <v>2874</v>
      </c>
      <c r="J2495" s="36">
        <v>2874</v>
      </c>
      <c r="K2495" s="85">
        <v>0</v>
      </c>
      <c r="L2495" s="36">
        <v>239.5</v>
      </c>
      <c r="M2495" s="36">
        <v>239.5</v>
      </c>
      <c r="N2495" s="36">
        <v>0</v>
      </c>
      <c r="O2495" s="36">
        <v>0</v>
      </c>
      <c r="P2495" t="s">
        <v>90</v>
      </c>
      <c r="Q2495" t="s">
        <v>91</v>
      </c>
      <c r="R2495" t="s">
        <v>91</v>
      </c>
      <c r="S2495" s="1">
        <v>46093</v>
      </c>
      <c r="T2495" s="1">
        <v>46093</v>
      </c>
      <c r="V2495" s="1">
        <v>46458</v>
      </c>
      <c r="W2495" t="s">
        <v>38</v>
      </c>
      <c r="X2495">
        <v>12</v>
      </c>
      <c r="Y2495" t="s">
        <v>49</v>
      </c>
      <c r="AA2495" t="s">
        <v>122</v>
      </c>
      <c r="AB2495">
        <v>12</v>
      </c>
      <c r="AC2495" t="s">
        <v>93</v>
      </c>
      <c r="AD2495" t="s">
        <v>140</v>
      </c>
      <c r="AE2495" t="s">
        <v>46</v>
      </c>
      <c r="AF2495" t="s">
        <v>119</v>
      </c>
      <c r="AG2495" t="str">
        <f t="shared" si="42"/>
        <v>Recorrente</v>
      </c>
      <c r="AH2495" t="str">
        <f>IF(AND(SUMIF(E:E,E2495,I:I)&gt;=400000,Q2495="B2G"),"n","")</f>
        <v/>
      </c>
    </row>
    <row r="2496" spans="1:34">
      <c r="A2496">
        <v>2026</v>
      </c>
      <c r="B2496">
        <v>3</v>
      </c>
      <c r="C2496" s="83">
        <v>2075173</v>
      </c>
      <c r="D2496" t="s">
        <v>2274</v>
      </c>
      <c r="E2496">
        <v>58328268470</v>
      </c>
      <c r="F2496">
        <v>636690</v>
      </c>
      <c r="G2496">
        <v>53530439260</v>
      </c>
      <c r="H2496" t="s">
        <v>35</v>
      </c>
      <c r="I2496" s="36">
        <v>2586.6</v>
      </c>
      <c r="J2496" s="36">
        <v>2586.6</v>
      </c>
      <c r="K2496" s="85">
        <v>0</v>
      </c>
      <c r="L2496" s="36">
        <v>215.55</v>
      </c>
      <c r="M2496" s="36">
        <v>215.55</v>
      </c>
      <c r="N2496" s="36">
        <v>0</v>
      </c>
      <c r="O2496" s="36">
        <v>0</v>
      </c>
      <c r="P2496" t="s">
        <v>506</v>
      </c>
      <c r="Q2496" t="s">
        <v>300</v>
      </c>
      <c r="R2496" t="s">
        <v>300</v>
      </c>
      <c r="S2496" s="1">
        <v>46106</v>
      </c>
      <c r="T2496" s="1">
        <v>46106</v>
      </c>
      <c r="U2496" s="1"/>
      <c r="V2496" s="1">
        <v>46471</v>
      </c>
      <c r="W2496" t="s">
        <v>38</v>
      </c>
      <c r="X2496">
        <v>12</v>
      </c>
      <c r="Y2496" t="s">
        <v>49</v>
      </c>
      <c r="AA2496" t="s">
        <v>112</v>
      </c>
      <c r="AB2496">
        <v>12</v>
      </c>
      <c r="AC2496" t="s">
        <v>301</v>
      </c>
      <c r="AD2496" t="s">
        <v>140</v>
      </c>
      <c r="AE2496" t="s">
        <v>46</v>
      </c>
      <c r="AF2496" t="s">
        <v>119</v>
      </c>
      <c r="AG2496" t="str">
        <f t="shared" si="42"/>
        <v>CC 12x</v>
      </c>
      <c r="AH2496" t="str">
        <f>IF(AND(SUMIF(E:E,E2496,I:I)&gt;=400000,Q2496="B2G"),"n","")</f>
        <v/>
      </c>
    </row>
    <row r="2497" spans="1:34">
      <c r="A2497">
        <v>2026</v>
      </c>
      <c r="B2497">
        <v>3</v>
      </c>
      <c r="C2497" s="83">
        <v>207564990003</v>
      </c>
      <c r="D2497" t="s">
        <v>2275</v>
      </c>
      <c r="E2497">
        <v>57714573644</v>
      </c>
      <c r="F2497">
        <v>636403</v>
      </c>
      <c r="G2497">
        <v>52992487224</v>
      </c>
      <c r="H2497" t="s">
        <v>104</v>
      </c>
      <c r="I2497" s="36">
        <v>718.8</v>
      </c>
      <c r="J2497" s="36">
        <v>718.8</v>
      </c>
      <c r="K2497" s="85">
        <v>0</v>
      </c>
      <c r="L2497" s="36">
        <v>59.9</v>
      </c>
      <c r="M2497" s="36">
        <v>59.9</v>
      </c>
      <c r="N2497" s="36">
        <v>0</v>
      </c>
      <c r="O2497" s="36">
        <v>0</v>
      </c>
      <c r="P2497" t="s">
        <v>497</v>
      </c>
      <c r="Q2497" t="s">
        <v>498</v>
      </c>
      <c r="R2497" t="s">
        <v>498</v>
      </c>
      <c r="S2497" s="1">
        <v>46087</v>
      </c>
      <c r="T2497" s="1">
        <v>46087</v>
      </c>
      <c r="U2497" s="1"/>
      <c r="V2497" s="1">
        <v>46452</v>
      </c>
      <c r="W2497" t="s">
        <v>38</v>
      </c>
      <c r="X2497">
        <v>12</v>
      </c>
      <c r="Y2497" t="s">
        <v>49</v>
      </c>
      <c r="AA2497" t="s">
        <v>112</v>
      </c>
      <c r="AB2497">
        <v>12</v>
      </c>
      <c r="AC2497" t="s">
        <v>499</v>
      </c>
      <c r="AD2497" t="s">
        <v>105</v>
      </c>
      <c r="AE2497" t="s">
        <v>106</v>
      </c>
      <c r="AF2497" t="s">
        <v>59</v>
      </c>
      <c r="AG2497" t="str">
        <f t="shared" si="42"/>
        <v>CC 12x</v>
      </c>
      <c r="AH2497" t="str">
        <f>IF(AND(SUMIF(E:E,E2497,I:I)&gt;=400000,Q2497="B2G"),"n","")</f>
        <v/>
      </c>
    </row>
    <row r="2498" spans="1:34">
      <c r="A2498">
        <v>2026</v>
      </c>
      <c r="B2498">
        <v>3</v>
      </c>
      <c r="C2498" s="83">
        <v>2075906</v>
      </c>
      <c r="D2498" t="s">
        <v>2276</v>
      </c>
      <c r="E2498">
        <v>58112022874</v>
      </c>
      <c r="F2498">
        <v>636580</v>
      </c>
      <c r="G2498">
        <v>53342630004</v>
      </c>
      <c r="H2498" t="s">
        <v>35</v>
      </c>
      <c r="I2498" s="36">
        <v>4885.68</v>
      </c>
      <c r="J2498" s="36">
        <v>2442.9</v>
      </c>
      <c r="K2498" s="85">
        <v>2442.7800000000002</v>
      </c>
      <c r="L2498" s="36">
        <v>203.57499999999999</v>
      </c>
      <c r="M2498" s="36">
        <v>203.57499999999999</v>
      </c>
      <c r="N2498" s="36">
        <v>0</v>
      </c>
      <c r="O2498" s="36">
        <v>0</v>
      </c>
      <c r="P2498" t="s">
        <v>313</v>
      </c>
      <c r="Q2498" t="s">
        <v>314</v>
      </c>
      <c r="R2498" t="s">
        <v>314</v>
      </c>
      <c r="S2498" s="1">
        <v>46099</v>
      </c>
      <c r="T2498" s="1">
        <v>46099</v>
      </c>
      <c r="U2498" s="1"/>
      <c r="V2498" s="1">
        <v>46830</v>
      </c>
      <c r="W2498" t="s">
        <v>56</v>
      </c>
      <c r="X2498">
        <v>24</v>
      </c>
      <c r="Y2498" t="s">
        <v>49</v>
      </c>
      <c r="AA2498" t="s">
        <v>122</v>
      </c>
      <c r="AB2498">
        <v>24</v>
      </c>
      <c r="AC2498" t="s">
        <v>315</v>
      </c>
      <c r="AD2498" t="s">
        <v>140</v>
      </c>
      <c r="AE2498" t="s">
        <v>46</v>
      </c>
      <c r="AF2498" t="s">
        <v>119</v>
      </c>
      <c r="AG2498" t="str">
        <f t="shared" si="42"/>
        <v>Recorrente</v>
      </c>
      <c r="AH2498" t="str">
        <f>IF(AND(SUMIF(E:E,E2498,I:I)&gt;=400000,Q2498="B2G"),"n","")</f>
        <v/>
      </c>
    </row>
    <row r="2499" spans="1:34">
      <c r="A2499">
        <v>2026</v>
      </c>
      <c r="B2499">
        <v>3</v>
      </c>
      <c r="C2499" s="83">
        <v>207698549571</v>
      </c>
      <c r="D2499" t="s">
        <v>2277</v>
      </c>
      <c r="E2499">
        <v>57785264017</v>
      </c>
      <c r="F2499">
        <v>633007</v>
      </c>
      <c r="G2499">
        <v>52952448808</v>
      </c>
      <c r="H2499" t="s">
        <v>35</v>
      </c>
      <c r="I2499" s="36">
        <v>2146.1999999999998</v>
      </c>
      <c r="J2499" s="36">
        <v>4781.58</v>
      </c>
      <c r="K2499" s="85">
        <v>0</v>
      </c>
      <c r="L2499" s="36">
        <v>398.46499999999997</v>
      </c>
      <c r="M2499" s="36">
        <v>0</v>
      </c>
      <c r="N2499" s="36">
        <v>398.46499999999997</v>
      </c>
      <c r="O2499" s="36">
        <v>0</v>
      </c>
      <c r="P2499" t="s">
        <v>804</v>
      </c>
      <c r="Q2499" t="s">
        <v>191</v>
      </c>
      <c r="R2499" t="s">
        <v>191</v>
      </c>
      <c r="S2499" s="1">
        <v>46090</v>
      </c>
      <c r="T2499" s="1">
        <v>46090</v>
      </c>
      <c r="U2499" s="1">
        <v>46294</v>
      </c>
      <c r="V2499" s="1">
        <v>46294</v>
      </c>
      <c r="W2499" t="s">
        <v>38</v>
      </c>
      <c r="X2499">
        <v>6</v>
      </c>
      <c r="Y2499" t="s">
        <v>49</v>
      </c>
      <c r="Z2499" t="s">
        <v>324</v>
      </c>
      <c r="AA2499" t="s">
        <v>122</v>
      </c>
      <c r="AB2499">
        <v>6</v>
      </c>
      <c r="AC2499" t="s">
        <v>192</v>
      </c>
      <c r="AD2499" t="s">
        <v>131</v>
      </c>
      <c r="AE2499" t="s">
        <v>46</v>
      </c>
      <c r="AF2499" t="s">
        <v>96</v>
      </c>
      <c r="AG2499" t="str">
        <f t="shared" si="42"/>
        <v>Recorrente</v>
      </c>
      <c r="AH2499" t="str">
        <f>IF(AND(SUMIF(E:E,E2499,I:I)&gt;=400000,Q2499="B2G"),"n","")</f>
        <v/>
      </c>
    </row>
    <row r="2500" spans="1:34">
      <c r="A2500">
        <v>2026</v>
      </c>
      <c r="B2500">
        <v>3</v>
      </c>
      <c r="C2500" s="83">
        <v>207698549571</v>
      </c>
      <c r="D2500" t="s">
        <v>2277</v>
      </c>
      <c r="E2500">
        <v>57785264017</v>
      </c>
      <c r="F2500">
        <v>633007</v>
      </c>
      <c r="G2500">
        <v>52952448809</v>
      </c>
      <c r="H2500" t="s">
        <v>35</v>
      </c>
      <c r="I2500" s="36">
        <v>3194.64</v>
      </c>
      <c r="J2500" s="36">
        <v>4781.58</v>
      </c>
      <c r="K2500" s="85">
        <v>0</v>
      </c>
      <c r="L2500" s="36">
        <v>398.46499999999997</v>
      </c>
      <c r="M2500" s="36">
        <v>0</v>
      </c>
      <c r="N2500" s="36">
        <v>398.46499999999997</v>
      </c>
      <c r="O2500" s="36">
        <v>0</v>
      </c>
      <c r="P2500" t="s">
        <v>804</v>
      </c>
      <c r="Q2500" t="s">
        <v>191</v>
      </c>
      <c r="R2500" t="s">
        <v>191</v>
      </c>
      <c r="S2500" s="1">
        <v>46090</v>
      </c>
      <c r="T2500" s="1">
        <v>46090</v>
      </c>
      <c r="U2500" s="1">
        <v>46294</v>
      </c>
      <c r="V2500" s="1">
        <v>46294</v>
      </c>
      <c r="W2500" t="s">
        <v>38</v>
      </c>
      <c r="X2500">
        <v>6</v>
      </c>
      <c r="Y2500" t="s">
        <v>49</v>
      </c>
      <c r="Z2500" t="s">
        <v>324</v>
      </c>
      <c r="AA2500" t="s">
        <v>122</v>
      </c>
      <c r="AB2500">
        <v>6</v>
      </c>
      <c r="AC2500" t="s">
        <v>192</v>
      </c>
      <c r="AD2500" t="s">
        <v>149</v>
      </c>
      <c r="AE2500" t="s">
        <v>43</v>
      </c>
      <c r="AF2500" t="s">
        <v>96</v>
      </c>
      <c r="AG2500" t="str">
        <f t="shared" si="42"/>
        <v>Recorrente</v>
      </c>
      <c r="AH2500" t="str">
        <f>IF(AND(SUMIF(E:E,E2500,I:I)&gt;=400000,Q2500="B2G"),"n","")</f>
        <v/>
      </c>
    </row>
    <row r="2501" spans="1:34">
      <c r="A2501">
        <v>2026</v>
      </c>
      <c r="B2501">
        <v>3</v>
      </c>
      <c r="C2501" s="83">
        <v>207729988418</v>
      </c>
      <c r="D2501" t="s">
        <v>2278</v>
      </c>
      <c r="E2501">
        <v>58004396118</v>
      </c>
      <c r="F2501">
        <v>636579</v>
      </c>
      <c r="G2501">
        <v>53342696055</v>
      </c>
      <c r="H2501" t="s">
        <v>35</v>
      </c>
      <c r="I2501" s="36">
        <v>4832.6400000000003</v>
      </c>
      <c r="J2501" s="36">
        <v>4832.6400000000003</v>
      </c>
      <c r="K2501" s="85">
        <v>9.0949500000000005E-13</v>
      </c>
      <c r="L2501" s="36">
        <v>402.72</v>
      </c>
      <c r="M2501" s="36">
        <v>402.72</v>
      </c>
      <c r="N2501" s="36">
        <v>0</v>
      </c>
      <c r="O2501" s="36">
        <v>0</v>
      </c>
      <c r="P2501" t="s">
        <v>506</v>
      </c>
      <c r="Q2501" t="s">
        <v>300</v>
      </c>
      <c r="R2501" t="s">
        <v>300</v>
      </c>
      <c r="S2501" s="1">
        <v>46099</v>
      </c>
      <c r="T2501" s="1">
        <v>46099</v>
      </c>
      <c r="U2501" s="1"/>
      <c r="V2501" s="1">
        <v>46464</v>
      </c>
      <c r="W2501" t="s">
        <v>38</v>
      </c>
      <c r="X2501">
        <v>12</v>
      </c>
      <c r="Y2501" t="s">
        <v>49</v>
      </c>
      <c r="AA2501" t="s">
        <v>122</v>
      </c>
      <c r="AB2501">
        <v>12</v>
      </c>
      <c r="AC2501" t="s">
        <v>301</v>
      </c>
      <c r="AD2501" t="s">
        <v>84</v>
      </c>
      <c r="AE2501" t="s">
        <v>43</v>
      </c>
      <c r="AF2501" t="s">
        <v>44</v>
      </c>
      <c r="AG2501" t="str">
        <f t="shared" si="42"/>
        <v>Recorrente</v>
      </c>
      <c r="AH2501" t="str">
        <f>IF(AND(SUMIF(E:E,E2501,I:I)&gt;=400000,Q2501="B2G"),"n","")</f>
        <v/>
      </c>
    </row>
    <row r="2502" spans="1:34">
      <c r="A2502">
        <v>2026</v>
      </c>
      <c r="B2502">
        <v>3</v>
      </c>
      <c r="C2502" s="83">
        <v>207745436543</v>
      </c>
      <c r="D2502" t="s">
        <v>2279</v>
      </c>
      <c r="E2502">
        <v>54366798493</v>
      </c>
      <c r="F2502">
        <v>507165</v>
      </c>
      <c r="G2502">
        <v>49678483860</v>
      </c>
      <c r="H2502" t="s">
        <v>35</v>
      </c>
      <c r="I2502" s="36">
        <v>8418.6</v>
      </c>
      <c r="J2502" s="36">
        <v>8418.6</v>
      </c>
      <c r="K2502" s="85">
        <v>0</v>
      </c>
      <c r="L2502" s="36">
        <v>701.55</v>
      </c>
      <c r="M2502" s="36">
        <v>0</v>
      </c>
      <c r="N2502" s="36">
        <v>136.21</v>
      </c>
      <c r="O2502" s="36">
        <v>565.34</v>
      </c>
      <c r="P2502" t="s">
        <v>165</v>
      </c>
      <c r="Q2502" t="s">
        <v>166</v>
      </c>
      <c r="R2502" t="s">
        <v>166</v>
      </c>
      <c r="S2502" s="1">
        <v>46090</v>
      </c>
      <c r="T2502" s="1">
        <v>46090</v>
      </c>
      <c r="U2502" s="1">
        <v>46090</v>
      </c>
      <c r="V2502" s="1">
        <v>46455</v>
      </c>
      <c r="W2502" t="s">
        <v>38</v>
      </c>
      <c r="X2502">
        <v>12</v>
      </c>
      <c r="Y2502" t="s">
        <v>49</v>
      </c>
      <c r="Z2502" t="s">
        <v>81</v>
      </c>
      <c r="AA2502" t="s">
        <v>112</v>
      </c>
      <c r="AB2502">
        <v>12</v>
      </c>
      <c r="AC2502" t="s">
        <v>166</v>
      </c>
      <c r="AD2502" t="s">
        <v>134</v>
      </c>
      <c r="AE2502" t="s">
        <v>135</v>
      </c>
      <c r="AF2502" t="s">
        <v>44</v>
      </c>
      <c r="AG2502" t="str">
        <f t="shared" si="42"/>
        <v>CC 12x</v>
      </c>
      <c r="AH2502" t="str">
        <f>IF(AND(SUMIF(E:E,E2502,I:I)&gt;=400000,Q2502="B2G"),"n","")</f>
        <v/>
      </c>
    </row>
    <row r="2503" spans="1:34">
      <c r="A2503">
        <v>2026</v>
      </c>
      <c r="B2503">
        <v>3</v>
      </c>
      <c r="C2503" s="83">
        <v>2077712</v>
      </c>
      <c r="D2503" t="s">
        <v>2280</v>
      </c>
      <c r="E2503">
        <v>55351552116</v>
      </c>
      <c r="F2503">
        <v>279119</v>
      </c>
      <c r="G2503">
        <v>50713864561</v>
      </c>
      <c r="H2503" t="s">
        <v>35</v>
      </c>
      <c r="I2503" s="36">
        <v>7015.44</v>
      </c>
      <c r="J2503" s="36">
        <v>7015.44</v>
      </c>
      <c r="K2503" s="85">
        <v>0</v>
      </c>
      <c r="L2503" s="36">
        <v>584.62</v>
      </c>
      <c r="M2503" s="36">
        <v>0</v>
      </c>
      <c r="N2503" s="36">
        <v>119.05500000000001</v>
      </c>
      <c r="O2503" s="36">
        <v>465.57</v>
      </c>
      <c r="P2503" t="s">
        <v>165</v>
      </c>
      <c r="Q2503" t="s">
        <v>166</v>
      </c>
      <c r="R2503" t="s">
        <v>166</v>
      </c>
      <c r="S2503" s="1">
        <v>46101</v>
      </c>
      <c r="T2503" s="1">
        <v>46101</v>
      </c>
      <c r="U2503" s="1">
        <v>46101</v>
      </c>
      <c r="V2503" s="1">
        <v>46466</v>
      </c>
      <c r="W2503" t="s">
        <v>38</v>
      </c>
      <c r="X2503">
        <v>12</v>
      </c>
      <c r="Y2503" t="s">
        <v>49</v>
      </c>
      <c r="Z2503" t="s">
        <v>81</v>
      </c>
      <c r="AA2503" t="s">
        <v>122</v>
      </c>
      <c r="AB2503">
        <v>12</v>
      </c>
      <c r="AC2503" t="s">
        <v>166</v>
      </c>
      <c r="AD2503" t="s">
        <v>134</v>
      </c>
      <c r="AE2503" t="s">
        <v>135</v>
      </c>
      <c r="AF2503" t="s">
        <v>44</v>
      </c>
      <c r="AG2503" t="str">
        <f t="shared" si="42"/>
        <v>Recorrente</v>
      </c>
      <c r="AH2503" t="str">
        <f>IF(AND(SUMIF(E:E,E2503,I:I)&gt;=400000,Q2503="B2G"),"n","")</f>
        <v/>
      </c>
    </row>
    <row r="2504" spans="1:34">
      <c r="A2504">
        <v>2026</v>
      </c>
      <c r="B2504">
        <v>3</v>
      </c>
      <c r="C2504" s="83">
        <v>2078316</v>
      </c>
      <c r="D2504" t="s">
        <v>2281</v>
      </c>
      <c r="E2504">
        <v>55926355541</v>
      </c>
      <c r="F2504">
        <v>627183</v>
      </c>
      <c r="G2504">
        <v>51244202575</v>
      </c>
      <c r="H2504" t="s">
        <v>35</v>
      </c>
      <c r="I2504" s="36">
        <v>5514</v>
      </c>
      <c r="J2504" s="36">
        <v>5514</v>
      </c>
      <c r="K2504" s="85">
        <v>0</v>
      </c>
      <c r="L2504" s="36">
        <v>459.5</v>
      </c>
      <c r="M2504" s="36">
        <v>0</v>
      </c>
      <c r="N2504" s="36">
        <v>94.85</v>
      </c>
      <c r="O2504" s="36">
        <v>364.65</v>
      </c>
      <c r="P2504" t="s">
        <v>165</v>
      </c>
      <c r="Q2504" t="s">
        <v>166</v>
      </c>
      <c r="R2504" t="s">
        <v>166</v>
      </c>
      <c r="S2504" s="1">
        <v>46088</v>
      </c>
      <c r="T2504" s="1">
        <v>46088</v>
      </c>
      <c r="U2504" s="1">
        <v>46088</v>
      </c>
      <c r="V2504" s="1">
        <v>46453</v>
      </c>
      <c r="W2504" t="s">
        <v>38</v>
      </c>
      <c r="X2504">
        <v>12</v>
      </c>
      <c r="Y2504" t="s">
        <v>49</v>
      </c>
      <c r="Z2504" t="s">
        <v>81</v>
      </c>
      <c r="AA2504" t="s">
        <v>112</v>
      </c>
      <c r="AB2504">
        <v>12</v>
      </c>
      <c r="AC2504" t="s">
        <v>166</v>
      </c>
      <c r="AD2504" t="s">
        <v>138</v>
      </c>
      <c r="AE2504" t="s">
        <v>135</v>
      </c>
      <c r="AF2504" t="s">
        <v>119</v>
      </c>
      <c r="AG2504" t="str">
        <f t="shared" si="42"/>
        <v>CC 12x</v>
      </c>
      <c r="AH2504" t="str">
        <f>IF(AND(SUMIF(E:E,E2504,I:I)&gt;=400000,Q2504="B2G"),"n","")</f>
        <v/>
      </c>
    </row>
    <row r="2505" spans="1:34">
      <c r="A2505">
        <v>2026</v>
      </c>
      <c r="B2505">
        <v>3</v>
      </c>
      <c r="C2505" s="83">
        <v>2078579</v>
      </c>
      <c r="D2505" t="s">
        <v>2282</v>
      </c>
      <c r="E2505">
        <v>58058922795</v>
      </c>
      <c r="F2505">
        <v>636697</v>
      </c>
      <c r="G2505">
        <v>53492946816</v>
      </c>
      <c r="H2505" t="s">
        <v>35</v>
      </c>
      <c r="I2505" s="36">
        <v>2442.84</v>
      </c>
      <c r="J2505" s="36">
        <v>2442.9</v>
      </c>
      <c r="K2505" s="85">
        <v>0</v>
      </c>
      <c r="L2505" s="36">
        <v>203.57499999999999</v>
      </c>
      <c r="M2505" s="36">
        <v>203.57499999999999</v>
      </c>
      <c r="N2505" s="36">
        <v>0</v>
      </c>
      <c r="O2505" s="36">
        <v>0</v>
      </c>
      <c r="P2505" t="s">
        <v>313</v>
      </c>
      <c r="Q2505" t="s">
        <v>314</v>
      </c>
      <c r="R2505" t="s">
        <v>314</v>
      </c>
      <c r="S2505" s="1">
        <v>46106</v>
      </c>
      <c r="T2505" s="1">
        <v>46106</v>
      </c>
      <c r="U2505" s="1"/>
      <c r="V2505" s="1">
        <v>46471</v>
      </c>
      <c r="W2505" t="s">
        <v>38</v>
      </c>
      <c r="X2505">
        <v>12</v>
      </c>
      <c r="Y2505" t="s">
        <v>49</v>
      </c>
      <c r="AA2505" t="s">
        <v>122</v>
      </c>
      <c r="AB2505">
        <v>12</v>
      </c>
      <c r="AC2505" t="s">
        <v>315</v>
      </c>
      <c r="AD2505" t="s">
        <v>140</v>
      </c>
      <c r="AE2505" t="s">
        <v>46</v>
      </c>
      <c r="AF2505" t="s">
        <v>119</v>
      </c>
      <c r="AG2505" t="str">
        <f t="shared" si="42"/>
        <v>Recorrente</v>
      </c>
      <c r="AH2505" t="str">
        <f>IF(AND(SUMIF(E:E,E2505,I:I)&gt;=400000,Q2505="B2G"),"n","")</f>
        <v/>
      </c>
    </row>
    <row r="2506" spans="1:34">
      <c r="A2506">
        <v>2026</v>
      </c>
      <c r="B2506">
        <v>3</v>
      </c>
      <c r="C2506" s="83">
        <v>207863485284</v>
      </c>
      <c r="D2506" t="s">
        <v>2283</v>
      </c>
      <c r="E2506">
        <v>57819218980</v>
      </c>
      <c r="F2506">
        <v>507405</v>
      </c>
      <c r="G2506">
        <v>53072620804</v>
      </c>
      <c r="H2506" t="s">
        <v>35</v>
      </c>
      <c r="I2506" s="36">
        <v>4530.6000000000004</v>
      </c>
      <c r="J2506" s="36">
        <v>4530.6000000000004</v>
      </c>
      <c r="K2506" s="85">
        <v>0</v>
      </c>
      <c r="L2506" s="36">
        <v>377.55</v>
      </c>
      <c r="M2506" s="36">
        <v>0</v>
      </c>
      <c r="N2506" s="36">
        <v>0</v>
      </c>
      <c r="O2506" s="36">
        <v>377.55</v>
      </c>
      <c r="P2506" t="s">
        <v>133</v>
      </c>
      <c r="Q2506" t="s">
        <v>111</v>
      </c>
      <c r="R2506" t="s">
        <v>111</v>
      </c>
      <c r="S2506" s="1">
        <v>46094</v>
      </c>
      <c r="T2506" s="1">
        <v>46094</v>
      </c>
      <c r="U2506" s="1">
        <v>46094</v>
      </c>
      <c r="V2506" s="1">
        <v>46459</v>
      </c>
      <c r="W2506" t="s">
        <v>38</v>
      </c>
      <c r="X2506">
        <v>12</v>
      </c>
      <c r="Y2506" t="s">
        <v>49</v>
      </c>
      <c r="Z2506" t="s">
        <v>76</v>
      </c>
      <c r="AA2506" t="s">
        <v>122</v>
      </c>
      <c r="AB2506">
        <v>12</v>
      </c>
      <c r="AC2506" t="s">
        <v>113</v>
      </c>
      <c r="AD2506" t="s">
        <v>84</v>
      </c>
      <c r="AE2506" t="s">
        <v>43</v>
      </c>
      <c r="AF2506" t="s">
        <v>44</v>
      </c>
      <c r="AG2506" t="str">
        <f t="shared" si="42"/>
        <v>Recorrente</v>
      </c>
      <c r="AH2506" t="str">
        <f>IF(AND(SUMIF(E:E,E2506,I:I)&gt;=400000,Q2506="B2G"),"n","")</f>
        <v/>
      </c>
    </row>
    <row r="2507" spans="1:34">
      <c r="A2507">
        <v>2026</v>
      </c>
      <c r="B2507">
        <v>3</v>
      </c>
      <c r="C2507" s="83">
        <v>2080141</v>
      </c>
      <c r="D2507" t="s">
        <v>2284</v>
      </c>
      <c r="E2507">
        <v>54103776394</v>
      </c>
      <c r="F2507">
        <v>610503</v>
      </c>
      <c r="G2507">
        <v>49423219116</v>
      </c>
      <c r="H2507" t="s">
        <v>35</v>
      </c>
      <c r="I2507" s="36">
        <v>2874</v>
      </c>
      <c r="J2507" s="36">
        <v>2874</v>
      </c>
      <c r="K2507" s="85">
        <v>0</v>
      </c>
      <c r="L2507" s="36">
        <v>239.5</v>
      </c>
      <c r="M2507" s="36">
        <v>0</v>
      </c>
      <c r="N2507" s="36">
        <v>23.8</v>
      </c>
      <c r="O2507" s="36">
        <v>215.7</v>
      </c>
      <c r="P2507" t="s">
        <v>165</v>
      </c>
      <c r="Q2507" t="s">
        <v>166</v>
      </c>
      <c r="R2507" t="s">
        <v>166</v>
      </c>
      <c r="S2507" s="1">
        <v>46084</v>
      </c>
      <c r="T2507" s="1">
        <v>46084</v>
      </c>
      <c r="U2507" s="1">
        <v>46084</v>
      </c>
      <c r="V2507" s="1">
        <v>46449</v>
      </c>
      <c r="W2507" t="s">
        <v>38</v>
      </c>
      <c r="X2507">
        <v>12</v>
      </c>
      <c r="Y2507" t="s">
        <v>49</v>
      </c>
      <c r="Z2507" t="s">
        <v>81</v>
      </c>
      <c r="AA2507" t="s">
        <v>112</v>
      </c>
      <c r="AB2507">
        <v>4</v>
      </c>
      <c r="AC2507" t="s">
        <v>166</v>
      </c>
      <c r="AD2507" t="s">
        <v>118</v>
      </c>
      <c r="AE2507" t="s">
        <v>43</v>
      </c>
      <c r="AF2507" t="s">
        <v>119</v>
      </c>
      <c r="AG2507" t="str">
        <f t="shared" si="42"/>
        <v>CC 12x</v>
      </c>
      <c r="AH2507" t="str">
        <f>IF(AND(SUMIF(E:E,E2507,I:I)&gt;=400000,Q2507="B2G"),"n","")</f>
        <v/>
      </c>
    </row>
    <row r="2508" spans="1:34">
      <c r="A2508">
        <v>2026</v>
      </c>
      <c r="B2508">
        <v>3</v>
      </c>
      <c r="C2508" s="83">
        <v>208043225969</v>
      </c>
      <c r="D2508" t="s">
        <v>2285</v>
      </c>
      <c r="E2508">
        <v>57776960791</v>
      </c>
      <c r="F2508">
        <v>636438</v>
      </c>
      <c r="G2508">
        <v>53094175789</v>
      </c>
      <c r="H2508" t="s">
        <v>35</v>
      </c>
      <c r="I2508" s="36">
        <v>2759.04</v>
      </c>
      <c r="J2508" s="36">
        <v>2759.04</v>
      </c>
      <c r="K2508" s="85">
        <v>0</v>
      </c>
      <c r="L2508" s="36">
        <v>229.92</v>
      </c>
      <c r="M2508" s="36">
        <v>229.92</v>
      </c>
      <c r="N2508" s="36">
        <v>0</v>
      </c>
      <c r="O2508" s="36">
        <v>0</v>
      </c>
      <c r="P2508" t="s">
        <v>2004</v>
      </c>
      <c r="Q2508" t="s">
        <v>300</v>
      </c>
      <c r="R2508" t="s">
        <v>300</v>
      </c>
      <c r="S2508" s="1">
        <v>46091</v>
      </c>
      <c r="T2508" s="1">
        <v>46091</v>
      </c>
      <c r="U2508" s="1"/>
      <c r="V2508" s="1">
        <v>46456</v>
      </c>
      <c r="W2508" t="s">
        <v>38</v>
      </c>
      <c r="X2508">
        <v>12</v>
      </c>
      <c r="Y2508" t="s">
        <v>49</v>
      </c>
      <c r="AA2508" t="s">
        <v>112</v>
      </c>
      <c r="AB2508">
        <v>12</v>
      </c>
      <c r="AC2508" t="s">
        <v>301</v>
      </c>
      <c r="AD2508" t="s">
        <v>118</v>
      </c>
      <c r="AE2508" t="s">
        <v>43</v>
      </c>
      <c r="AF2508" t="s">
        <v>119</v>
      </c>
      <c r="AG2508" t="str">
        <f t="shared" si="42"/>
        <v>CC 12x</v>
      </c>
      <c r="AH2508" t="str">
        <f>IF(AND(SUMIF(E:E,E2508,I:I)&gt;=400000,Q2508="B2G"),"n","")</f>
        <v/>
      </c>
    </row>
    <row r="2509" spans="1:34">
      <c r="A2509">
        <v>2026</v>
      </c>
      <c r="B2509">
        <v>3</v>
      </c>
      <c r="C2509" s="83">
        <v>208045436956</v>
      </c>
      <c r="D2509" t="s">
        <v>2286</v>
      </c>
      <c r="E2509">
        <v>57904255898</v>
      </c>
      <c r="F2509">
        <v>636653</v>
      </c>
      <c r="G2509">
        <v>53455249200</v>
      </c>
      <c r="H2509" t="s">
        <v>35</v>
      </c>
      <c r="I2509" s="36">
        <v>2586.6</v>
      </c>
      <c r="J2509" s="36">
        <v>2586.6</v>
      </c>
      <c r="K2509" s="85">
        <v>0</v>
      </c>
      <c r="L2509" s="36">
        <v>215.55</v>
      </c>
      <c r="M2509" s="36">
        <v>215.55</v>
      </c>
      <c r="N2509" s="36">
        <v>0</v>
      </c>
      <c r="O2509" s="36">
        <v>0</v>
      </c>
      <c r="P2509" t="s">
        <v>829</v>
      </c>
      <c r="Q2509" t="s">
        <v>300</v>
      </c>
      <c r="R2509" t="s">
        <v>300</v>
      </c>
      <c r="S2509" s="1">
        <v>46105</v>
      </c>
      <c r="T2509" s="1">
        <v>46105</v>
      </c>
      <c r="U2509" s="1"/>
      <c r="V2509" s="1">
        <v>46470</v>
      </c>
      <c r="W2509" t="s">
        <v>38</v>
      </c>
      <c r="X2509">
        <v>12</v>
      </c>
      <c r="Y2509" t="s">
        <v>49</v>
      </c>
      <c r="AA2509" t="s">
        <v>117</v>
      </c>
      <c r="AB2509">
        <v>1</v>
      </c>
      <c r="AC2509" t="s">
        <v>301</v>
      </c>
      <c r="AD2509" t="s">
        <v>140</v>
      </c>
      <c r="AE2509" t="s">
        <v>46</v>
      </c>
      <c r="AF2509" t="s">
        <v>119</v>
      </c>
      <c r="AG2509" t="str">
        <f t="shared" si="42"/>
        <v>À Vista</v>
      </c>
      <c r="AH2509" t="str">
        <f>IF(AND(SUMIF(E:E,E2509,I:I)&gt;=400000,Q2509="B2G"),"n","")</f>
        <v/>
      </c>
    </row>
    <row r="2510" spans="1:34">
      <c r="A2510">
        <v>2026</v>
      </c>
      <c r="B2510">
        <v>3</v>
      </c>
      <c r="C2510" s="83">
        <v>208053424501</v>
      </c>
      <c r="D2510" t="s">
        <v>2287</v>
      </c>
      <c r="E2510">
        <v>55736773481</v>
      </c>
      <c r="F2510">
        <v>507525</v>
      </c>
      <c r="G2510">
        <v>53072674942</v>
      </c>
      <c r="H2510" t="s">
        <v>35</v>
      </c>
      <c r="I2510" s="36">
        <v>4854.6000000000004</v>
      </c>
      <c r="J2510" s="36">
        <v>4854.6000000000004</v>
      </c>
      <c r="K2510" s="85">
        <v>0</v>
      </c>
      <c r="L2510" s="36">
        <v>404.55</v>
      </c>
      <c r="M2510" s="36">
        <v>0</v>
      </c>
      <c r="N2510" s="36">
        <v>0</v>
      </c>
      <c r="O2510" s="36">
        <v>404.55</v>
      </c>
      <c r="P2510" t="s">
        <v>116</v>
      </c>
      <c r="Q2510" t="s">
        <v>111</v>
      </c>
      <c r="R2510" t="s">
        <v>111</v>
      </c>
      <c r="S2510" s="1">
        <v>46091</v>
      </c>
      <c r="T2510" s="1">
        <v>46091</v>
      </c>
      <c r="U2510" s="1">
        <v>46090</v>
      </c>
      <c r="V2510" s="1">
        <v>46456</v>
      </c>
      <c r="W2510" t="s">
        <v>38</v>
      </c>
      <c r="X2510">
        <v>12</v>
      </c>
      <c r="Y2510" t="s">
        <v>49</v>
      </c>
      <c r="Z2510" t="s">
        <v>81</v>
      </c>
      <c r="AA2510" t="s">
        <v>122</v>
      </c>
      <c r="AB2510">
        <v>12</v>
      </c>
      <c r="AC2510" t="s">
        <v>113</v>
      </c>
      <c r="AD2510" t="s">
        <v>84</v>
      </c>
      <c r="AE2510" t="s">
        <v>43</v>
      </c>
      <c r="AF2510" t="s">
        <v>44</v>
      </c>
      <c r="AG2510" t="str">
        <f t="shared" si="42"/>
        <v>Recorrente</v>
      </c>
      <c r="AH2510" t="str">
        <f>IF(AND(SUMIF(E:E,E2510,I:I)&gt;=400000,Q2510="B2G"),"n","")</f>
        <v/>
      </c>
    </row>
    <row r="2511" spans="1:34">
      <c r="A2511">
        <v>2026</v>
      </c>
      <c r="B2511">
        <v>3</v>
      </c>
      <c r="C2511" s="83">
        <v>208053424501</v>
      </c>
      <c r="D2511" t="s">
        <v>2287</v>
      </c>
      <c r="E2511">
        <v>55736773481</v>
      </c>
      <c r="F2511">
        <v>507525</v>
      </c>
      <c r="G2511">
        <v>53072674943</v>
      </c>
      <c r="H2511" t="s">
        <v>35</v>
      </c>
      <c r="I2511" s="36">
        <v>4854.6000000000004</v>
      </c>
      <c r="J2511" s="36">
        <v>4854.6000000000004</v>
      </c>
      <c r="K2511" s="85">
        <v>0</v>
      </c>
      <c r="L2511" s="36">
        <v>404.55</v>
      </c>
      <c r="M2511" s="36">
        <v>0</v>
      </c>
      <c r="N2511" s="36">
        <v>0</v>
      </c>
      <c r="O2511" s="36">
        <v>404.55</v>
      </c>
      <c r="P2511" t="s">
        <v>116</v>
      </c>
      <c r="Q2511" t="s">
        <v>111</v>
      </c>
      <c r="R2511" t="s">
        <v>111</v>
      </c>
      <c r="S2511" s="1">
        <v>46091</v>
      </c>
      <c r="T2511" s="1">
        <v>46091</v>
      </c>
      <c r="U2511" s="1">
        <v>46090</v>
      </c>
      <c r="V2511" s="1">
        <v>46456</v>
      </c>
      <c r="W2511" t="s">
        <v>38</v>
      </c>
      <c r="X2511">
        <v>12</v>
      </c>
      <c r="Y2511" t="s">
        <v>49</v>
      </c>
      <c r="Z2511" t="s">
        <v>81</v>
      </c>
      <c r="AA2511" t="s">
        <v>122</v>
      </c>
      <c r="AB2511">
        <v>12</v>
      </c>
      <c r="AC2511" t="s">
        <v>113</v>
      </c>
      <c r="AD2511" t="s">
        <v>85</v>
      </c>
      <c r="AE2511" t="s">
        <v>46</v>
      </c>
      <c r="AF2511" t="s">
        <v>44</v>
      </c>
      <c r="AG2511" t="str">
        <f t="shared" si="42"/>
        <v>Recorrente</v>
      </c>
      <c r="AH2511" t="str">
        <f>IF(AND(SUMIF(E:E,E2511,I:I)&gt;=400000,Q2511="B2G"),"n","")</f>
        <v/>
      </c>
    </row>
    <row r="2512" spans="1:34">
      <c r="A2512">
        <v>2026</v>
      </c>
      <c r="B2512">
        <v>3</v>
      </c>
      <c r="C2512" s="83">
        <v>2081047</v>
      </c>
      <c r="D2512" t="s">
        <v>2288</v>
      </c>
      <c r="E2512">
        <v>58376830720</v>
      </c>
      <c r="F2512">
        <v>543978</v>
      </c>
      <c r="G2512">
        <v>53531027516</v>
      </c>
      <c r="H2512" t="s">
        <v>35</v>
      </c>
      <c r="I2512" s="36">
        <v>1588.56</v>
      </c>
      <c r="J2512" s="36">
        <v>3842.76</v>
      </c>
      <c r="K2512" s="85">
        <v>0</v>
      </c>
      <c r="L2512" s="36">
        <v>320.23</v>
      </c>
      <c r="M2512" s="36">
        <v>0</v>
      </c>
      <c r="N2512" s="36">
        <v>320.23</v>
      </c>
      <c r="O2512" s="36">
        <v>0</v>
      </c>
      <c r="P2512" t="s">
        <v>804</v>
      </c>
      <c r="Q2512" t="s">
        <v>191</v>
      </c>
      <c r="R2512" t="s">
        <v>191</v>
      </c>
      <c r="S2512" s="1">
        <v>46107</v>
      </c>
      <c r="T2512" s="1">
        <v>46107</v>
      </c>
      <c r="U2512" s="1">
        <v>46257</v>
      </c>
      <c r="V2512" s="1">
        <v>46257</v>
      </c>
      <c r="W2512" t="s">
        <v>38</v>
      </c>
      <c r="X2512">
        <v>5</v>
      </c>
      <c r="Y2512" t="s">
        <v>49</v>
      </c>
      <c r="Z2512" t="s">
        <v>324</v>
      </c>
      <c r="AA2512" t="s">
        <v>122</v>
      </c>
      <c r="AB2512">
        <v>4</v>
      </c>
      <c r="AC2512" t="s">
        <v>192</v>
      </c>
      <c r="AD2512" t="s">
        <v>134</v>
      </c>
      <c r="AE2512" t="s">
        <v>135</v>
      </c>
      <c r="AF2512" t="s">
        <v>44</v>
      </c>
      <c r="AG2512" t="str">
        <f t="shared" si="42"/>
        <v>Recorrente</v>
      </c>
      <c r="AH2512" t="str">
        <f>IF(AND(SUMIF(E:E,E2512,I:I)&gt;=400000,Q2512="B2G"),"n","")</f>
        <v/>
      </c>
    </row>
    <row r="2513" spans="1:34">
      <c r="A2513">
        <v>2026</v>
      </c>
      <c r="B2513">
        <v>3</v>
      </c>
      <c r="C2513" s="83">
        <v>2081374</v>
      </c>
      <c r="D2513" t="s">
        <v>2289</v>
      </c>
      <c r="E2513">
        <v>56198595644</v>
      </c>
      <c r="F2513">
        <v>531332</v>
      </c>
      <c r="G2513">
        <v>52952642860</v>
      </c>
      <c r="H2513" t="s">
        <v>35</v>
      </c>
      <c r="I2513" s="36">
        <v>4635.96</v>
      </c>
      <c r="J2513" s="36">
        <v>4635.96</v>
      </c>
      <c r="K2513" s="85">
        <v>0</v>
      </c>
      <c r="L2513" s="36">
        <v>386.33</v>
      </c>
      <c r="M2513" s="36">
        <v>0</v>
      </c>
      <c r="N2513" s="36">
        <v>0</v>
      </c>
      <c r="O2513" s="36">
        <v>386.32835499999999</v>
      </c>
      <c r="P2513" t="s">
        <v>110</v>
      </c>
      <c r="Q2513" t="s">
        <v>111</v>
      </c>
      <c r="R2513" t="s">
        <v>111</v>
      </c>
      <c r="S2513" s="1">
        <v>46087</v>
      </c>
      <c r="T2513" s="1">
        <v>46087</v>
      </c>
      <c r="U2513" s="1">
        <v>46110</v>
      </c>
      <c r="V2513" s="1">
        <v>46475</v>
      </c>
      <c r="W2513" t="s">
        <v>38</v>
      </c>
      <c r="X2513">
        <v>12</v>
      </c>
      <c r="Y2513" t="s">
        <v>49</v>
      </c>
      <c r="Z2513" t="s">
        <v>76</v>
      </c>
      <c r="AA2513" t="s">
        <v>117</v>
      </c>
      <c r="AB2513">
        <v>1</v>
      </c>
      <c r="AC2513" t="s">
        <v>113</v>
      </c>
      <c r="AD2513" t="s">
        <v>85</v>
      </c>
      <c r="AE2513" t="s">
        <v>46</v>
      </c>
      <c r="AF2513" t="s">
        <v>44</v>
      </c>
      <c r="AG2513" t="str">
        <f t="shared" si="42"/>
        <v>À Vista</v>
      </c>
      <c r="AH2513" t="str">
        <f>IF(AND(SUMIF(E:E,E2513,I:I)&gt;=400000,Q2513="B2G"),"n","")</f>
        <v/>
      </c>
    </row>
    <row r="2514" spans="1:34">
      <c r="A2514">
        <v>2026</v>
      </c>
      <c r="B2514">
        <v>3</v>
      </c>
      <c r="C2514" s="83">
        <v>2082616</v>
      </c>
      <c r="D2514" t="s">
        <v>2290</v>
      </c>
      <c r="E2514">
        <v>58133156273</v>
      </c>
      <c r="F2514">
        <v>636585</v>
      </c>
      <c r="G2514">
        <v>53342773426</v>
      </c>
      <c r="H2514" t="s">
        <v>35</v>
      </c>
      <c r="I2514" s="36">
        <v>2874</v>
      </c>
      <c r="J2514" s="36">
        <v>2874</v>
      </c>
      <c r="K2514" s="85">
        <v>0</v>
      </c>
      <c r="L2514" s="36">
        <v>239.5</v>
      </c>
      <c r="M2514" s="36">
        <v>239.5</v>
      </c>
      <c r="N2514" s="36">
        <v>0</v>
      </c>
      <c r="O2514" s="36">
        <v>0</v>
      </c>
      <c r="P2514" t="s">
        <v>506</v>
      </c>
      <c r="Q2514" t="s">
        <v>300</v>
      </c>
      <c r="R2514" t="s">
        <v>300</v>
      </c>
      <c r="S2514" s="1">
        <v>46099</v>
      </c>
      <c r="T2514" s="1">
        <v>46099</v>
      </c>
      <c r="V2514" s="1">
        <v>46464</v>
      </c>
      <c r="W2514" t="s">
        <v>38</v>
      </c>
      <c r="X2514">
        <v>12</v>
      </c>
      <c r="Y2514" t="s">
        <v>49</v>
      </c>
      <c r="AA2514" t="s">
        <v>122</v>
      </c>
      <c r="AB2514">
        <v>12</v>
      </c>
      <c r="AC2514" t="s">
        <v>301</v>
      </c>
      <c r="AD2514" t="s">
        <v>140</v>
      </c>
      <c r="AE2514" t="s">
        <v>46</v>
      </c>
      <c r="AF2514" t="s">
        <v>119</v>
      </c>
      <c r="AG2514" t="str">
        <f t="shared" si="42"/>
        <v>Recorrente</v>
      </c>
      <c r="AH2514" t="str">
        <f>IF(AND(SUMIF(E:E,E2514,I:I)&gt;=400000,Q2514="B2G"),"n","")</f>
        <v/>
      </c>
    </row>
    <row r="2515" spans="1:34">
      <c r="A2515">
        <v>2026</v>
      </c>
      <c r="B2515">
        <v>3</v>
      </c>
      <c r="C2515" s="83">
        <v>208279290149</v>
      </c>
      <c r="D2515" t="s">
        <v>2291</v>
      </c>
      <c r="E2515">
        <v>57857932548</v>
      </c>
      <c r="F2515">
        <v>636472</v>
      </c>
      <c r="G2515">
        <v>53170298950</v>
      </c>
      <c r="H2515" t="s">
        <v>35</v>
      </c>
      <c r="I2515" s="36">
        <v>2299.1999999999998</v>
      </c>
      <c r="J2515" s="36">
        <v>2299.1999999999998</v>
      </c>
      <c r="K2515" s="85">
        <v>0</v>
      </c>
      <c r="L2515" s="36">
        <v>191.6</v>
      </c>
      <c r="M2515" s="36">
        <v>191.6</v>
      </c>
      <c r="N2515" s="36">
        <v>0</v>
      </c>
      <c r="O2515" s="36">
        <v>0</v>
      </c>
      <c r="P2515" t="s">
        <v>829</v>
      </c>
      <c r="Q2515" t="s">
        <v>300</v>
      </c>
      <c r="R2515" t="s">
        <v>300</v>
      </c>
      <c r="S2515" s="1">
        <v>46092</v>
      </c>
      <c r="T2515" s="1">
        <v>46092</v>
      </c>
      <c r="U2515" s="1"/>
      <c r="V2515" s="1">
        <v>46457</v>
      </c>
      <c r="W2515" t="s">
        <v>38</v>
      </c>
      <c r="X2515">
        <v>12</v>
      </c>
      <c r="Y2515" t="s">
        <v>49</v>
      </c>
      <c r="AA2515" t="s">
        <v>112</v>
      </c>
      <c r="AB2515">
        <v>12</v>
      </c>
      <c r="AC2515" t="s">
        <v>301</v>
      </c>
      <c r="AD2515" t="s">
        <v>140</v>
      </c>
      <c r="AE2515" t="s">
        <v>46</v>
      </c>
      <c r="AF2515" t="s">
        <v>119</v>
      </c>
      <c r="AG2515" t="str">
        <f t="shared" si="42"/>
        <v>CC 12x</v>
      </c>
      <c r="AH2515" t="str">
        <f>IF(AND(SUMIF(E:E,E2515,I:I)&gt;=400000,Q2515="B2G"),"n","")</f>
        <v/>
      </c>
    </row>
    <row r="2516" spans="1:34">
      <c r="A2516">
        <v>2026</v>
      </c>
      <c r="B2516">
        <v>3</v>
      </c>
      <c r="C2516" s="83">
        <v>208282657637</v>
      </c>
      <c r="D2516" t="s">
        <v>2292</v>
      </c>
      <c r="E2516">
        <v>58157062782</v>
      </c>
      <c r="F2516">
        <v>636596</v>
      </c>
      <c r="G2516">
        <v>53374646060</v>
      </c>
      <c r="H2516" t="s">
        <v>104</v>
      </c>
      <c r="I2516" s="36">
        <v>1078.8</v>
      </c>
      <c r="J2516" s="36">
        <v>1078.8</v>
      </c>
      <c r="K2516" s="85">
        <v>0</v>
      </c>
      <c r="L2516" s="36">
        <v>89.9</v>
      </c>
      <c r="M2516" s="36">
        <v>89.9</v>
      </c>
      <c r="N2516" s="36">
        <v>0</v>
      </c>
      <c r="O2516" s="36">
        <v>0</v>
      </c>
      <c r="P2516" t="s">
        <v>497</v>
      </c>
      <c r="Q2516" t="s">
        <v>498</v>
      </c>
      <c r="R2516" t="s">
        <v>498</v>
      </c>
      <c r="S2516" s="1">
        <v>46100</v>
      </c>
      <c r="T2516" s="1">
        <v>46100</v>
      </c>
      <c r="U2516" s="1"/>
      <c r="V2516" s="1">
        <v>46465</v>
      </c>
      <c r="W2516" t="s">
        <v>38</v>
      </c>
      <c r="X2516">
        <v>12</v>
      </c>
      <c r="Y2516" t="s">
        <v>49</v>
      </c>
      <c r="AA2516" t="s">
        <v>112</v>
      </c>
      <c r="AB2516">
        <v>12</v>
      </c>
      <c r="AC2516" t="s">
        <v>499</v>
      </c>
      <c r="AD2516" t="s">
        <v>699</v>
      </c>
      <c r="AE2516" t="s">
        <v>106</v>
      </c>
      <c r="AF2516" t="s">
        <v>59</v>
      </c>
      <c r="AG2516" t="str">
        <f t="shared" si="42"/>
        <v>CC 12x</v>
      </c>
      <c r="AH2516" t="str">
        <f>IF(AND(SUMIF(E:E,E2516,I:I)&gt;=400000,Q2516="B2G"),"n","")</f>
        <v/>
      </c>
    </row>
    <row r="2517" spans="1:34">
      <c r="A2517">
        <v>2026</v>
      </c>
      <c r="B2517">
        <v>3</v>
      </c>
      <c r="C2517" s="83">
        <v>208302681165</v>
      </c>
      <c r="D2517" t="s">
        <v>2293</v>
      </c>
      <c r="E2517">
        <v>57865603922</v>
      </c>
      <c r="F2517">
        <v>636456</v>
      </c>
      <c r="G2517">
        <v>53140673916</v>
      </c>
      <c r="H2517" t="s">
        <v>35</v>
      </c>
      <c r="I2517" s="36">
        <v>2224.44</v>
      </c>
      <c r="J2517" s="36">
        <v>2224.44</v>
      </c>
      <c r="K2517" s="85">
        <v>0</v>
      </c>
      <c r="L2517" s="36">
        <v>185.37</v>
      </c>
      <c r="M2517" s="36">
        <v>185.37</v>
      </c>
      <c r="N2517" s="36">
        <v>0</v>
      </c>
      <c r="O2517" s="36">
        <v>0</v>
      </c>
      <c r="P2517" t="s">
        <v>1073</v>
      </c>
      <c r="Q2517" t="s">
        <v>314</v>
      </c>
      <c r="R2517" t="s">
        <v>314</v>
      </c>
      <c r="S2517" s="1">
        <v>46092</v>
      </c>
      <c r="T2517" s="1">
        <v>46092</v>
      </c>
      <c r="V2517" s="1">
        <v>46457</v>
      </c>
      <c r="W2517" t="s">
        <v>38</v>
      </c>
      <c r="X2517">
        <v>12</v>
      </c>
      <c r="Y2517" t="s">
        <v>49</v>
      </c>
      <c r="AA2517" t="s">
        <v>117</v>
      </c>
      <c r="AB2517">
        <v>1</v>
      </c>
      <c r="AC2517" t="s">
        <v>315</v>
      </c>
      <c r="AD2517" t="s">
        <v>118</v>
      </c>
      <c r="AE2517" t="s">
        <v>43</v>
      </c>
      <c r="AF2517" t="s">
        <v>119</v>
      </c>
      <c r="AG2517" t="str">
        <f t="shared" si="42"/>
        <v>À Vista</v>
      </c>
      <c r="AH2517" t="str">
        <f>IF(AND(SUMIF(E:E,E2517,I:I)&gt;=400000,Q2517="B2G"),"n","")</f>
        <v/>
      </c>
    </row>
    <row r="2518" spans="1:34">
      <c r="A2518">
        <v>2026</v>
      </c>
      <c r="B2518">
        <v>3</v>
      </c>
      <c r="C2518" s="83">
        <v>2083243</v>
      </c>
      <c r="D2518" t="s">
        <v>2294</v>
      </c>
      <c r="E2518">
        <v>57896413334</v>
      </c>
      <c r="F2518">
        <v>324281</v>
      </c>
      <c r="G2518">
        <v>53239611182</v>
      </c>
      <c r="H2518" t="s">
        <v>35</v>
      </c>
      <c r="I2518" s="36">
        <v>1659.84</v>
      </c>
      <c r="J2518" s="36">
        <v>3242.16</v>
      </c>
      <c r="K2518" s="85">
        <v>0</v>
      </c>
      <c r="L2518" s="36">
        <v>270.18</v>
      </c>
      <c r="M2518" s="36">
        <v>0</v>
      </c>
      <c r="N2518" s="36">
        <v>270.18</v>
      </c>
      <c r="O2518" s="36">
        <v>0</v>
      </c>
      <c r="P2518" t="s">
        <v>323</v>
      </c>
      <c r="Q2518" t="s">
        <v>191</v>
      </c>
      <c r="R2518" t="s">
        <v>191</v>
      </c>
      <c r="S2518" s="1">
        <v>46098</v>
      </c>
      <c r="T2518" s="1">
        <v>46098</v>
      </c>
      <c r="U2518" s="1">
        <v>46285</v>
      </c>
      <c r="V2518" s="1">
        <v>46285</v>
      </c>
      <c r="W2518" t="s">
        <v>56</v>
      </c>
      <c r="X2518">
        <v>6</v>
      </c>
      <c r="Y2518" t="s">
        <v>49</v>
      </c>
      <c r="Z2518" t="s">
        <v>324</v>
      </c>
      <c r="AA2518" t="s">
        <v>122</v>
      </c>
      <c r="AB2518">
        <v>6</v>
      </c>
      <c r="AC2518" t="s">
        <v>192</v>
      </c>
      <c r="AD2518" t="s">
        <v>134</v>
      </c>
      <c r="AE2518" t="s">
        <v>135</v>
      </c>
      <c r="AF2518" t="s">
        <v>44</v>
      </c>
      <c r="AG2518" t="str">
        <f t="shared" si="42"/>
        <v>Recorrente</v>
      </c>
      <c r="AH2518" t="str">
        <f>IF(AND(SUMIF(E:E,E2518,I:I)&gt;=400000,Q2518="B2G"),"n","")</f>
        <v/>
      </c>
    </row>
    <row r="2519" spans="1:34">
      <c r="A2519">
        <v>2026</v>
      </c>
      <c r="B2519">
        <v>3</v>
      </c>
      <c r="C2519" s="83">
        <v>208333080668</v>
      </c>
      <c r="D2519" t="s">
        <v>2295</v>
      </c>
      <c r="E2519">
        <v>57912182934</v>
      </c>
      <c r="F2519">
        <v>636449</v>
      </c>
      <c r="G2519">
        <v>53140667408</v>
      </c>
      <c r="H2519" t="s">
        <v>35</v>
      </c>
      <c r="I2519" s="36">
        <v>2299.1999999999998</v>
      </c>
      <c r="J2519" s="36">
        <v>2299.1999999999998</v>
      </c>
      <c r="K2519" s="85">
        <v>0</v>
      </c>
      <c r="L2519" s="36">
        <v>191.6</v>
      </c>
      <c r="M2519" s="36">
        <v>191.6</v>
      </c>
      <c r="N2519" s="36">
        <v>0</v>
      </c>
      <c r="O2519" s="36">
        <v>0</v>
      </c>
      <c r="P2519" t="s">
        <v>829</v>
      </c>
      <c r="Q2519" t="s">
        <v>300</v>
      </c>
      <c r="R2519" t="s">
        <v>300</v>
      </c>
      <c r="S2519" s="1">
        <v>46091</v>
      </c>
      <c r="T2519" s="1">
        <v>46091</v>
      </c>
      <c r="U2519" s="1"/>
      <c r="V2519" s="1">
        <v>46457</v>
      </c>
      <c r="W2519" t="s">
        <v>38</v>
      </c>
      <c r="X2519">
        <v>12</v>
      </c>
      <c r="Y2519" t="s">
        <v>49</v>
      </c>
      <c r="AA2519" t="s">
        <v>112</v>
      </c>
      <c r="AB2519">
        <v>12</v>
      </c>
      <c r="AC2519" t="s">
        <v>301</v>
      </c>
      <c r="AD2519" t="s">
        <v>118</v>
      </c>
      <c r="AE2519" t="s">
        <v>43</v>
      </c>
      <c r="AF2519" t="s">
        <v>119</v>
      </c>
      <c r="AG2519" t="str">
        <f t="shared" si="42"/>
        <v>CC 12x</v>
      </c>
      <c r="AH2519" t="str">
        <f>IF(AND(SUMIF(E:E,E2519,I:I)&gt;=400000,Q2519="B2G"),"n","")</f>
        <v/>
      </c>
    </row>
    <row r="2520" spans="1:34">
      <c r="A2520">
        <v>2026</v>
      </c>
      <c r="B2520">
        <v>3</v>
      </c>
      <c r="C2520" s="83">
        <v>208366379384</v>
      </c>
      <c r="D2520" t="s">
        <v>2296</v>
      </c>
      <c r="E2520">
        <v>57872851246</v>
      </c>
      <c r="F2520">
        <v>636691</v>
      </c>
      <c r="G2520">
        <v>53530433310</v>
      </c>
      <c r="H2520" t="s">
        <v>35</v>
      </c>
      <c r="I2520" s="36">
        <v>3259.2</v>
      </c>
      <c r="J2520" s="36">
        <v>3259.2</v>
      </c>
      <c r="K2520" s="85">
        <v>0</v>
      </c>
      <c r="L2520" s="36">
        <v>271.60000000000002</v>
      </c>
      <c r="M2520" s="36">
        <v>271.60000000000002</v>
      </c>
      <c r="N2520" s="36">
        <v>0</v>
      </c>
      <c r="O2520" s="36">
        <v>0</v>
      </c>
      <c r="P2520" t="s">
        <v>506</v>
      </c>
      <c r="Q2520" t="s">
        <v>300</v>
      </c>
      <c r="R2520" t="s">
        <v>300</v>
      </c>
      <c r="S2520" s="1">
        <v>46106</v>
      </c>
      <c r="T2520" s="1">
        <v>46106</v>
      </c>
      <c r="U2520" s="1"/>
      <c r="V2520" s="1">
        <v>46471</v>
      </c>
      <c r="W2520" t="s">
        <v>38</v>
      </c>
      <c r="X2520">
        <v>12</v>
      </c>
      <c r="Y2520" t="s">
        <v>49</v>
      </c>
      <c r="AA2520" t="s">
        <v>122</v>
      </c>
      <c r="AB2520">
        <v>12</v>
      </c>
      <c r="AC2520" t="s">
        <v>301</v>
      </c>
      <c r="AD2520" t="s">
        <v>160</v>
      </c>
      <c r="AE2520" t="s">
        <v>43</v>
      </c>
      <c r="AF2520" t="s">
        <v>44</v>
      </c>
      <c r="AG2520" t="str">
        <f t="shared" si="42"/>
        <v>Recorrente</v>
      </c>
      <c r="AH2520" t="str">
        <f>IF(AND(SUMIF(E:E,E2520,I:I)&gt;=400000,Q2520="B2G"),"n","")</f>
        <v/>
      </c>
    </row>
    <row r="2521" spans="1:34">
      <c r="A2521">
        <v>2026</v>
      </c>
      <c r="B2521">
        <v>3</v>
      </c>
      <c r="C2521" s="83">
        <v>208397880944</v>
      </c>
      <c r="D2521" t="s">
        <v>2297</v>
      </c>
      <c r="E2521">
        <v>54477403257</v>
      </c>
      <c r="F2521">
        <v>529541</v>
      </c>
      <c r="G2521">
        <v>49799543590</v>
      </c>
      <c r="H2521" t="s">
        <v>35</v>
      </c>
      <c r="I2521" s="36">
        <v>3859.8</v>
      </c>
      <c r="J2521" s="36">
        <v>3859.8</v>
      </c>
      <c r="K2521" s="85">
        <v>0</v>
      </c>
      <c r="L2521" s="36">
        <v>321.64999999999998</v>
      </c>
      <c r="M2521" s="36">
        <v>0</v>
      </c>
      <c r="N2521" s="36">
        <v>167.72</v>
      </c>
      <c r="O2521" s="36">
        <v>153.93</v>
      </c>
      <c r="P2521" t="s">
        <v>165</v>
      </c>
      <c r="Q2521" t="s">
        <v>166</v>
      </c>
      <c r="R2521" t="s">
        <v>166</v>
      </c>
      <c r="S2521" s="1">
        <v>46091</v>
      </c>
      <c r="T2521" s="1">
        <v>46091</v>
      </c>
      <c r="U2521" s="1">
        <v>46091</v>
      </c>
      <c r="V2521" s="1">
        <v>46456</v>
      </c>
      <c r="W2521" t="s">
        <v>38</v>
      </c>
      <c r="X2521">
        <v>12</v>
      </c>
      <c r="Y2521" t="s">
        <v>49</v>
      </c>
      <c r="Z2521" t="s">
        <v>81</v>
      </c>
      <c r="AA2521" t="s">
        <v>112</v>
      </c>
      <c r="AB2521">
        <v>12</v>
      </c>
      <c r="AC2521" t="s">
        <v>166</v>
      </c>
      <c r="AD2521" t="s">
        <v>138</v>
      </c>
      <c r="AE2521" t="s">
        <v>135</v>
      </c>
      <c r="AF2521" t="s">
        <v>119</v>
      </c>
      <c r="AG2521" t="str">
        <f t="shared" si="42"/>
        <v>CC 12x</v>
      </c>
      <c r="AH2521" t="str">
        <f>IF(AND(SUMIF(E:E,E2521,I:I)&gt;=400000,Q2521="B2G"),"n","")</f>
        <v/>
      </c>
    </row>
    <row r="2522" spans="1:34">
      <c r="A2522">
        <v>2026</v>
      </c>
      <c r="B2522">
        <v>3</v>
      </c>
      <c r="C2522" s="83">
        <v>2084181</v>
      </c>
      <c r="D2522" t="s">
        <v>2298</v>
      </c>
      <c r="E2522">
        <v>55513747258</v>
      </c>
      <c r="F2522">
        <v>508109</v>
      </c>
      <c r="G2522">
        <v>50785965185</v>
      </c>
      <c r="H2522" t="s">
        <v>35</v>
      </c>
      <c r="I2522" s="36">
        <v>8055.6</v>
      </c>
      <c r="J2522" s="36">
        <v>4027.8</v>
      </c>
      <c r="K2522" s="85">
        <v>4027.8</v>
      </c>
      <c r="L2522" s="36">
        <v>335.65</v>
      </c>
      <c r="M2522" s="36">
        <v>0</v>
      </c>
      <c r="N2522" s="36">
        <v>163.36500000000001</v>
      </c>
      <c r="O2522" s="36">
        <v>172.285</v>
      </c>
      <c r="P2522" t="s">
        <v>165</v>
      </c>
      <c r="Q2522" t="s">
        <v>166</v>
      </c>
      <c r="R2522" t="s">
        <v>166</v>
      </c>
      <c r="S2522" s="1">
        <v>46102</v>
      </c>
      <c r="T2522" s="1">
        <v>46102</v>
      </c>
      <c r="U2522" s="1">
        <v>46102</v>
      </c>
      <c r="V2522" s="1">
        <v>46833</v>
      </c>
      <c r="W2522" t="s">
        <v>56</v>
      </c>
      <c r="X2522">
        <v>24</v>
      </c>
      <c r="Y2522" t="s">
        <v>49</v>
      </c>
      <c r="Z2522" t="s">
        <v>81</v>
      </c>
      <c r="AA2522" t="s">
        <v>112</v>
      </c>
      <c r="AB2522">
        <v>12</v>
      </c>
      <c r="AC2522" t="s">
        <v>166</v>
      </c>
      <c r="AD2522" t="s">
        <v>85</v>
      </c>
      <c r="AE2522" t="s">
        <v>46</v>
      </c>
      <c r="AF2522" t="s">
        <v>44</v>
      </c>
      <c r="AG2522" t="str">
        <f t="shared" si="42"/>
        <v>CC 12x</v>
      </c>
      <c r="AH2522" t="str">
        <f>IF(AND(SUMIF(E:E,E2522,I:I)&gt;=400000,Q2522="B2G"),"n","")</f>
        <v/>
      </c>
    </row>
    <row r="2523" spans="1:34">
      <c r="A2523">
        <v>2026</v>
      </c>
      <c r="B2523">
        <v>3</v>
      </c>
      <c r="C2523" s="83">
        <v>2084408</v>
      </c>
      <c r="D2523" t="s">
        <v>2299</v>
      </c>
      <c r="E2523">
        <v>58365809450</v>
      </c>
      <c r="F2523">
        <v>636720</v>
      </c>
      <c r="G2523">
        <v>53531067318</v>
      </c>
      <c r="H2523" t="s">
        <v>35</v>
      </c>
      <c r="I2523" s="36">
        <v>4080</v>
      </c>
      <c r="J2523" s="36">
        <v>4080</v>
      </c>
      <c r="K2523" s="85">
        <v>0</v>
      </c>
      <c r="L2523" s="36">
        <v>340</v>
      </c>
      <c r="M2523" s="36">
        <v>340</v>
      </c>
      <c r="N2523" s="36">
        <v>0</v>
      </c>
      <c r="O2523" s="36">
        <v>0</v>
      </c>
      <c r="P2523" t="s">
        <v>313</v>
      </c>
      <c r="Q2523" t="s">
        <v>314</v>
      </c>
      <c r="R2523" t="s">
        <v>314</v>
      </c>
      <c r="S2523" s="1">
        <v>46107</v>
      </c>
      <c r="T2523" s="1">
        <v>46107</v>
      </c>
      <c r="V2523" s="1">
        <v>46472</v>
      </c>
      <c r="W2523" t="s">
        <v>38</v>
      </c>
      <c r="X2523">
        <v>12</v>
      </c>
      <c r="Y2523" t="s">
        <v>49</v>
      </c>
      <c r="AA2523" t="s">
        <v>112</v>
      </c>
      <c r="AB2523">
        <v>12</v>
      </c>
      <c r="AC2523" t="s">
        <v>315</v>
      </c>
      <c r="AD2523" t="s">
        <v>84</v>
      </c>
      <c r="AE2523" t="s">
        <v>43</v>
      </c>
      <c r="AF2523" t="s">
        <v>44</v>
      </c>
      <c r="AG2523" t="str">
        <f t="shared" si="42"/>
        <v>CC 12x</v>
      </c>
      <c r="AH2523" t="str">
        <f>IF(AND(SUMIF(E:E,E2523,I:I)&gt;=400000,Q2523="B2G"),"n","")</f>
        <v/>
      </c>
    </row>
    <row r="2524" spans="1:34">
      <c r="A2524">
        <v>2026</v>
      </c>
      <c r="B2524">
        <v>3</v>
      </c>
      <c r="C2524" s="83">
        <v>2085095</v>
      </c>
      <c r="D2524" t="s">
        <v>504</v>
      </c>
      <c r="E2524">
        <v>55507242367</v>
      </c>
      <c r="F2524">
        <v>310557</v>
      </c>
      <c r="G2524">
        <v>50788387891</v>
      </c>
      <c r="H2524" t="s">
        <v>35</v>
      </c>
      <c r="I2524" s="36">
        <v>9354</v>
      </c>
      <c r="J2524" s="36">
        <v>9354</v>
      </c>
      <c r="K2524" s="85">
        <v>0</v>
      </c>
      <c r="L2524" s="36">
        <v>779.5</v>
      </c>
      <c r="M2524" s="36">
        <v>0</v>
      </c>
      <c r="N2524" s="36">
        <v>306.2</v>
      </c>
      <c r="O2524" s="36">
        <v>473.3</v>
      </c>
      <c r="P2524" t="s">
        <v>165</v>
      </c>
      <c r="Q2524" t="s">
        <v>166</v>
      </c>
      <c r="R2524" t="s">
        <v>166</v>
      </c>
      <c r="S2524" s="1">
        <v>46102</v>
      </c>
      <c r="T2524" s="1">
        <v>46102</v>
      </c>
      <c r="U2524" s="1">
        <v>46102</v>
      </c>
      <c r="V2524" s="1">
        <v>46467</v>
      </c>
      <c r="W2524" t="s">
        <v>38</v>
      </c>
      <c r="X2524">
        <v>12</v>
      </c>
      <c r="Y2524" t="s">
        <v>49</v>
      </c>
      <c r="Z2524" t="s">
        <v>81</v>
      </c>
      <c r="AA2524" t="s">
        <v>122</v>
      </c>
      <c r="AB2524">
        <v>2</v>
      </c>
      <c r="AC2524" t="s">
        <v>166</v>
      </c>
      <c r="AD2524" t="s">
        <v>134</v>
      </c>
      <c r="AE2524" t="s">
        <v>135</v>
      </c>
      <c r="AF2524" t="s">
        <v>44</v>
      </c>
      <c r="AG2524" t="str">
        <f t="shared" si="42"/>
        <v>Recorrente</v>
      </c>
      <c r="AH2524" t="str">
        <f>IF(AND(SUMIF(E:E,E2524,I:I)&gt;=400000,Q2524="B2G"),"n","")</f>
        <v/>
      </c>
    </row>
    <row r="2525" spans="1:34">
      <c r="A2525">
        <v>2026</v>
      </c>
      <c r="B2525">
        <v>3</v>
      </c>
      <c r="C2525" s="83">
        <v>208544761738</v>
      </c>
      <c r="D2525" t="s">
        <v>2300</v>
      </c>
      <c r="E2525">
        <v>57886915396</v>
      </c>
      <c r="F2525">
        <v>636452</v>
      </c>
      <c r="G2525">
        <v>53136069774</v>
      </c>
      <c r="H2525" t="s">
        <v>35</v>
      </c>
      <c r="I2525" s="36">
        <v>2874</v>
      </c>
      <c r="J2525" s="36">
        <v>2874</v>
      </c>
      <c r="K2525" s="85">
        <v>0</v>
      </c>
      <c r="L2525" s="36">
        <v>239.5</v>
      </c>
      <c r="M2525" s="36">
        <v>239.5</v>
      </c>
      <c r="N2525" s="36">
        <v>0</v>
      </c>
      <c r="O2525" s="36">
        <v>0</v>
      </c>
      <c r="P2525" t="s">
        <v>497</v>
      </c>
      <c r="Q2525" t="s">
        <v>498</v>
      </c>
      <c r="R2525" t="s">
        <v>498</v>
      </c>
      <c r="S2525" s="1">
        <v>46092</v>
      </c>
      <c r="T2525" s="1">
        <v>46092</v>
      </c>
      <c r="V2525" s="1">
        <v>46457</v>
      </c>
      <c r="W2525" t="s">
        <v>38</v>
      </c>
      <c r="X2525">
        <v>12</v>
      </c>
      <c r="Y2525" t="s">
        <v>49</v>
      </c>
      <c r="AA2525" t="s">
        <v>117</v>
      </c>
      <c r="AB2525">
        <v>1</v>
      </c>
      <c r="AC2525" t="s">
        <v>499</v>
      </c>
      <c r="AD2525" t="s">
        <v>118</v>
      </c>
      <c r="AE2525" t="s">
        <v>43</v>
      </c>
      <c r="AF2525" t="s">
        <v>119</v>
      </c>
      <c r="AG2525" t="str">
        <f t="shared" si="42"/>
        <v>À Vista</v>
      </c>
      <c r="AH2525" t="str">
        <f>IF(AND(SUMIF(E:E,E2525,I:I)&gt;=400000,Q2525="B2G"),"n","")</f>
        <v/>
      </c>
    </row>
    <row r="2526" spans="1:34">
      <c r="A2526">
        <v>2026</v>
      </c>
      <c r="B2526">
        <v>3</v>
      </c>
      <c r="C2526" s="83">
        <v>2085721</v>
      </c>
      <c r="D2526" t="s">
        <v>2301</v>
      </c>
      <c r="E2526">
        <v>57903644738</v>
      </c>
      <c r="F2526">
        <v>636616</v>
      </c>
      <c r="G2526">
        <v>53343317549</v>
      </c>
      <c r="H2526" t="s">
        <v>35</v>
      </c>
      <c r="I2526" s="36">
        <v>4200</v>
      </c>
      <c r="J2526" s="36">
        <v>4200</v>
      </c>
      <c r="K2526" s="85">
        <v>0</v>
      </c>
      <c r="L2526" s="36">
        <v>350</v>
      </c>
      <c r="M2526" s="36">
        <v>350</v>
      </c>
      <c r="N2526" s="36">
        <v>0</v>
      </c>
      <c r="O2526" s="36">
        <v>0</v>
      </c>
      <c r="P2526" t="s">
        <v>313</v>
      </c>
      <c r="Q2526" t="s">
        <v>314</v>
      </c>
      <c r="R2526" t="s">
        <v>314</v>
      </c>
      <c r="S2526" s="1">
        <v>46101</v>
      </c>
      <c r="T2526" s="1">
        <v>46101</v>
      </c>
      <c r="V2526" s="1">
        <v>46466</v>
      </c>
      <c r="W2526" t="s">
        <v>38</v>
      </c>
      <c r="X2526">
        <v>12</v>
      </c>
      <c r="Y2526" t="s">
        <v>49</v>
      </c>
      <c r="AA2526" t="s">
        <v>117</v>
      </c>
      <c r="AB2526">
        <v>1</v>
      </c>
      <c r="AC2526" t="s">
        <v>315</v>
      </c>
      <c r="AD2526" t="s">
        <v>85</v>
      </c>
      <c r="AE2526" t="s">
        <v>46</v>
      </c>
      <c r="AF2526" t="s">
        <v>44</v>
      </c>
      <c r="AG2526" t="str">
        <f t="shared" si="42"/>
        <v>À Vista</v>
      </c>
      <c r="AH2526" t="str">
        <f>IF(AND(SUMIF(E:E,E2526,I:I)&gt;=400000,Q2526="B2G"),"n","")</f>
        <v/>
      </c>
    </row>
    <row r="2527" spans="1:34">
      <c r="A2527">
        <v>2026</v>
      </c>
      <c r="B2527">
        <v>3</v>
      </c>
      <c r="C2527" s="83">
        <v>208589259134</v>
      </c>
      <c r="D2527" t="s">
        <v>2302</v>
      </c>
      <c r="E2527">
        <v>57957985367</v>
      </c>
      <c r="F2527">
        <v>636505</v>
      </c>
      <c r="G2527">
        <v>53206644584</v>
      </c>
      <c r="H2527" t="s">
        <v>35</v>
      </c>
      <c r="I2527" s="36">
        <v>2586.6</v>
      </c>
      <c r="J2527" s="36">
        <v>2586.6</v>
      </c>
      <c r="K2527" s="85">
        <v>0</v>
      </c>
      <c r="L2527" s="36">
        <v>215.55</v>
      </c>
      <c r="M2527" s="36">
        <v>215.55</v>
      </c>
      <c r="N2527" s="36">
        <v>0</v>
      </c>
      <c r="O2527" s="36">
        <v>0</v>
      </c>
      <c r="P2527" t="s">
        <v>506</v>
      </c>
      <c r="Q2527" t="s">
        <v>300</v>
      </c>
      <c r="R2527" t="s">
        <v>300</v>
      </c>
      <c r="S2527" s="1">
        <v>46094</v>
      </c>
      <c r="T2527" s="1">
        <v>46094</v>
      </c>
      <c r="U2527" s="1"/>
      <c r="V2527" s="1">
        <v>46459</v>
      </c>
      <c r="W2527" t="s">
        <v>38</v>
      </c>
      <c r="X2527">
        <v>12</v>
      </c>
      <c r="Y2527" t="s">
        <v>49</v>
      </c>
      <c r="AA2527" t="s">
        <v>112</v>
      </c>
      <c r="AB2527">
        <v>12</v>
      </c>
      <c r="AC2527" t="s">
        <v>301</v>
      </c>
      <c r="AD2527" t="s">
        <v>118</v>
      </c>
      <c r="AE2527" t="s">
        <v>43</v>
      </c>
      <c r="AF2527" t="s">
        <v>119</v>
      </c>
      <c r="AG2527" t="str">
        <f t="shared" si="42"/>
        <v>CC 12x</v>
      </c>
      <c r="AH2527" t="str">
        <f>IF(AND(SUMIF(E:E,E2527,I:I)&gt;=400000,Q2527="B2G"),"n","")</f>
        <v/>
      </c>
    </row>
    <row r="2528" spans="1:34">
      <c r="A2528">
        <v>2026</v>
      </c>
      <c r="B2528">
        <v>3</v>
      </c>
      <c r="C2528" s="83">
        <v>208597239478</v>
      </c>
      <c r="D2528" t="s">
        <v>2303</v>
      </c>
      <c r="E2528">
        <v>58269653925</v>
      </c>
      <c r="F2528">
        <v>636655</v>
      </c>
      <c r="G2528">
        <v>53455919438</v>
      </c>
      <c r="H2528" t="s">
        <v>35</v>
      </c>
      <c r="I2528" s="36">
        <v>4074</v>
      </c>
      <c r="J2528" s="36">
        <v>4074</v>
      </c>
      <c r="K2528" s="85">
        <v>0</v>
      </c>
      <c r="L2528" s="36">
        <v>339.5</v>
      </c>
      <c r="M2528" s="36">
        <v>339.5</v>
      </c>
      <c r="N2528" s="36">
        <v>0</v>
      </c>
      <c r="O2528" s="36">
        <v>0</v>
      </c>
      <c r="P2528" t="s">
        <v>829</v>
      </c>
      <c r="Q2528" t="s">
        <v>300</v>
      </c>
      <c r="R2528" t="s">
        <v>300</v>
      </c>
      <c r="S2528" s="1">
        <v>46105</v>
      </c>
      <c r="T2528" s="1">
        <v>46105</v>
      </c>
      <c r="U2528" s="1"/>
      <c r="V2528" s="1">
        <v>46470</v>
      </c>
      <c r="W2528" t="s">
        <v>38</v>
      </c>
      <c r="X2528">
        <v>12</v>
      </c>
      <c r="Y2528" t="s">
        <v>49</v>
      </c>
      <c r="AA2528" t="s">
        <v>122</v>
      </c>
      <c r="AB2528">
        <v>12</v>
      </c>
      <c r="AC2528" t="s">
        <v>301</v>
      </c>
      <c r="AD2528" t="s">
        <v>160</v>
      </c>
      <c r="AE2528" t="s">
        <v>43</v>
      </c>
      <c r="AF2528" t="s">
        <v>44</v>
      </c>
      <c r="AG2528" t="str">
        <f t="shared" si="42"/>
        <v>Recorrente</v>
      </c>
      <c r="AH2528" t="str">
        <f>IF(AND(SUMIF(E:E,E2528,I:I)&gt;=400000,Q2528="B2G"),"n","")</f>
        <v/>
      </c>
    </row>
    <row r="2529" spans="1:34">
      <c r="A2529">
        <v>2026</v>
      </c>
      <c r="B2529">
        <v>3</v>
      </c>
      <c r="C2529" s="83">
        <v>208600742667</v>
      </c>
      <c r="D2529" t="s">
        <v>2304</v>
      </c>
      <c r="E2529">
        <v>57959595817</v>
      </c>
      <c r="F2529">
        <v>636494</v>
      </c>
      <c r="G2529">
        <v>53206320897</v>
      </c>
      <c r="H2529" t="s">
        <v>35</v>
      </c>
      <c r="I2529" s="36">
        <v>4852.32</v>
      </c>
      <c r="J2529" s="36">
        <v>4852.32</v>
      </c>
      <c r="K2529" s="85">
        <v>0</v>
      </c>
      <c r="L2529" s="36">
        <v>404.36</v>
      </c>
      <c r="M2529" s="36">
        <v>404.36</v>
      </c>
      <c r="N2529" s="36">
        <v>0</v>
      </c>
      <c r="O2529" s="36">
        <v>0</v>
      </c>
      <c r="P2529" t="s">
        <v>829</v>
      </c>
      <c r="Q2529" t="s">
        <v>300</v>
      </c>
      <c r="R2529" t="s">
        <v>300</v>
      </c>
      <c r="S2529" s="1">
        <v>46093</v>
      </c>
      <c r="T2529" s="1">
        <v>46093</v>
      </c>
      <c r="V2529" s="1">
        <v>46458</v>
      </c>
      <c r="W2529" t="s">
        <v>38</v>
      </c>
      <c r="X2529">
        <v>12</v>
      </c>
      <c r="Y2529" t="s">
        <v>49</v>
      </c>
      <c r="AA2529" t="s">
        <v>117</v>
      </c>
      <c r="AB2529">
        <v>1</v>
      </c>
      <c r="AC2529" t="s">
        <v>301</v>
      </c>
      <c r="AD2529" t="s">
        <v>138</v>
      </c>
      <c r="AE2529" t="s">
        <v>135</v>
      </c>
      <c r="AF2529" t="s">
        <v>119</v>
      </c>
      <c r="AG2529" t="str">
        <f t="shared" si="42"/>
        <v>À Vista</v>
      </c>
      <c r="AH2529" t="str">
        <f>IF(AND(SUMIF(E:E,E2529,I:I)&gt;=400000,Q2529="B2G"),"n","")</f>
        <v/>
      </c>
    </row>
    <row r="2530" spans="1:34">
      <c r="A2530">
        <v>2026</v>
      </c>
      <c r="B2530">
        <v>3</v>
      </c>
      <c r="C2530" s="83">
        <v>2086084</v>
      </c>
      <c r="D2530" t="s">
        <v>2305</v>
      </c>
      <c r="E2530">
        <v>58273966087</v>
      </c>
      <c r="F2530">
        <v>530075</v>
      </c>
      <c r="G2530">
        <v>53666507158</v>
      </c>
      <c r="H2530" t="s">
        <v>35</v>
      </c>
      <c r="I2530" s="36">
        <v>3092.4</v>
      </c>
      <c r="J2530" s="36">
        <v>3092.4</v>
      </c>
      <c r="K2530" s="85">
        <v>4.5474699999999999E-13</v>
      </c>
      <c r="L2530" s="36">
        <v>257.7</v>
      </c>
      <c r="M2530" s="36">
        <v>0</v>
      </c>
      <c r="N2530" s="36">
        <v>32.75</v>
      </c>
      <c r="O2530" s="36">
        <v>224.95</v>
      </c>
      <c r="P2530" t="s">
        <v>116</v>
      </c>
      <c r="Q2530" t="s">
        <v>111</v>
      </c>
      <c r="R2530" t="s">
        <v>111</v>
      </c>
      <c r="S2530" s="1">
        <v>46112</v>
      </c>
      <c r="T2530" s="1">
        <v>46112</v>
      </c>
      <c r="U2530" s="1">
        <v>46104</v>
      </c>
      <c r="V2530" s="1">
        <v>46477</v>
      </c>
      <c r="W2530" t="s">
        <v>38</v>
      </c>
      <c r="X2530">
        <v>12</v>
      </c>
      <c r="Y2530" t="s">
        <v>49</v>
      </c>
      <c r="Z2530" t="s">
        <v>81</v>
      </c>
      <c r="AA2530" t="s">
        <v>117</v>
      </c>
      <c r="AB2530">
        <v>1</v>
      </c>
      <c r="AC2530" t="s">
        <v>113</v>
      </c>
      <c r="AD2530" t="s">
        <v>163</v>
      </c>
      <c r="AE2530" t="s">
        <v>43</v>
      </c>
      <c r="AF2530" t="s">
        <v>96</v>
      </c>
      <c r="AG2530" t="str">
        <f t="shared" si="42"/>
        <v>À Vista</v>
      </c>
      <c r="AH2530" t="str">
        <f>IF(AND(SUMIF(E:E,E2530,I:I)&gt;=400000,Q2530="B2G"),"n","")</f>
        <v/>
      </c>
    </row>
    <row r="2531" spans="1:34">
      <c r="A2531">
        <v>2026</v>
      </c>
      <c r="B2531">
        <v>3</v>
      </c>
      <c r="C2531" s="83">
        <v>208643270449</v>
      </c>
      <c r="D2531" t="s">
        <v>2306</v>
      </c>
      <c r="E2531">
        <v>57895041642</v>
      </c>
      <c r="F2531">
        <v>636450</v>
      </c>
      <c r="G2531">
        <v>53135270165</v>
      </c>
      <c r="H2531" t="s">
        <v>104</v>
      </c>
      <c r="I2531" s="36">
        <v>718.8</v>
      </c>
      <c r="J2531" s="36">
        <v>718.8</v>
      </c>
      <c r="K2531" s="85">
        <v>0</v>
      </c>
      <c r="L2531" s="36">
        <v>59.9</v>
      </c>
      <c r="M2531" s="36">
        <v>59.9</v>
      </c>
      <c r="N2531" s="36">
        <v>0</v>
      </c>
      <c r="O2531" s="36">
        <v>0</v>
      </c>
      <c r="P2531" t="s">
        <v>497</v>
      </c>
      <c r="Q2531" t="s">
        <v>498</v>
      </c>
      <c r="R2531" t="s">
        <v>498</v>
      </c>
      <c r="S2531" s="1">
        <v>46091</v>
      </c>
      <c r="T2531" s="1">
        <v>46091</v>
      </c>
      <c r="V2531" s="1">
        <v>46456</v>
      </c>
      <c r="W2531" t="s">
        <v>38</v>
      </c>
      <c r="X2531">
        <v>12</v>
      </c>
      <c r="Y2531" t="s">
        <v>49</v>
      </c>
      <c r="AA2531" t="s">
        <v>117</v>
      </c>
      <c r="AB2531">
        <v>1</v>
      </c>
      <c r="AC2531" t="s">
        <v>499</v>
      </c>
      <c r="AD2531" t="s">
        <v>105</v>
      </c>
      <c r="AE2531" t="s">
        <v>106</v>
      </c>
      <c r="AF2531" t="s">
        <v>59</v>
      </c>
      <c r="AG2531" t="str">
        <f t="shared" si="42"/>
        <v>À Vista</v>
      </c>
      <c r="AH2531" t="str">
        <f>IF(AND(SUMIF(E:E,E2531,I:I)&gt;=400000,Q2531="B2G"),"n","")</f>
        <v/>
      </c>
    </row>
    <row r="2532" spans="1:34">
      <c r="A2532">
        <v>2026</v>
      </c>
      <c r="B2532">
        <v>3</v>
      </c>
      <c r="C2532" s="83">
        <v>208770510883</v>
      </c>
      <c r="D2532" t="s">
        <v>2307</v>
      </c>
      <c r="E2532">
        <v>58643295244</v>
      </c>
      <c r="F2532">
        <v>636811</v>
      </c>
      <c r="G2532">
        <v>53808950046</v>
      </c>
      <c r="H2532" t="s">
        <v>35</v>
      </c>
      <c r="I2532" s="36">
        <v>3020.4</v>
      </c>
      <c r="J2532" s="36">
        <v>3020.4</v>
      </c>
      <c r="K2532" s="85">
        <v>4.5474699999999999E-13</v>
      </c>
      <c r="L2532" s="36">
        <v>251.7</v>
      </c>
      <c r="M2532" s="36">
        <v>251.7</v>
      </c>
      <c r="N2532" s="36">
        <v>0</v>
      </c>
      <c r="O2532" s="36">
        <v>0</v>
      </c>
      <c r="P2532" t="s">
        <v>506</v>
      </c>
      <c r="Q2532" t="s">
        <v>300</v>
      </c>
      <c r="R2532" t="s">
        <v>80</v>
      </c>
      <c r="S2532" s="1">
        <v>46112</v>
      </c>
      <c r="T2532" s="1">
        <v>46112</v>
      </c>
      <c r="U2532" s="1"/>
      <c r="V2532" s="1">
        <v>46477</v>
      </c>
      <c r="W2532" t="s">
        <v>38</v>
      </c>
      <c r="X2532">
        <v>12</v>
      </c>
      <c r="Y2532" t="s">
        <v>49</v>
      </c>
      <c r="AA2532" t="s">
        <v>122</v>
      </c>
      <c r="AB2532">
        <v>12</v>
      </c>
      <c r="AC2532" t="s">
        <v>495</v>
      </c>
      <c r="AD2532" t="s">
        <v>84</v>
      </c>
      <c r="AE2532" t="s">
        <v>43</v>
      </c>
      <c r="AF2532" t="s">
        <v>44</v>
      </c>
      <c r="AG2532" t="str">
        <f t="shared" si="42"/>
        <v>Recorrente</v>
      </c>
      <c r="AH2532" t="str">
        <f>IF(AND(SUMIF(E:E,E2532,I:I)&gt;=400000,Q2532="B2G"),"n","")</f>
        <v/>
      </c>
    </row>
    <row r="2533" spans="1:34">
      <c r="A2533">
        <v>2026</v>
      </c>
      <c r="B2533">
        <v>3</v>
      </c>
      <c r="C2533" s="83">
        <v>208839251362</v>
      </c>
      <c r="D2533" t="s">
        <v>2308</v>
      </c>
      <c r="E2533">
        <v>57904035457</v>
      </c>
      <c r="F2533">
        <v>636459</v>
      </c>
      <c r="G2533">
        <v>53130591836</v>
      </c>
      <c r="H2533" t="s">
        <v>104</v>
      </c>
      <c r="I2533" s="36">
        <v>718.8</v>
      </c>
      <c r="J2533" s="36">
        <v>718.8</v>
      </c>
      <c r="K2533" s="85">
        <v>0</v>
      </c>
      <c r="L2533" s="36">
        <v>59.9</v>
      </c>
      <c r="M2533" s="36">
        <v>59.9</v>
      </c>
      <c r="N2533" s="36">
        <v>0</v>
      </c>
      <c r="O2533" s="36">
        <v>0</v>
      </c>
      <c r="P2533" t="s">
        <v>497</v>
      </c>
      <c r="Q2533" t="s">
        <v>498</v>
      </c>
      <c r="R2533" t="s">
        <v>498</v>
      </c>
      <c r="S2533" s="1">
        <v>46092</v>
      </c>
      <c r="T2533" s="1">
        <v>46092</v>
      </c>
      <c r="U2533" s="1"/>
      <c r="V2533" s="1">
        <v>46457</v>
      </c>
      <c r="W2533" t="s">
        <v>38</v>
      </c>
      <c r="X2533">
        <v>12</v>
      </c>
      <c r="Y2533" t="s">
        <v>49</v>
      </c>
      <c r="AA2533" t="s">
        <v>112</v>
      </c>
      <c r="AB2533">
        <v>12</v>
      </c>
      <c r="AC2533" t="s">
        <v>499</v>
      </c>
      <c r="AD2533" t="s">
        <v>105</v>
      </c>
      <c r="AE2533" t="s">
        <v>106</v>
      </c>
      <c r="AF2533" t="s">
        <v>59</v>
      </c>
      <c r="AG2533" t="str">
        <f t="shared" si="42"/>
        <v>CC 12x</v>
      </c>
      <c r="AH2533" t="str">
        <f>IF(AND(SUMIF(E:E,E2533,I:I)&gt;=400000,Q2533="B2G"),"n","")</f>
        <v/>
      </c>
    </row>
    <row r="2534" spans="1:34">
      <c r="A2534">
        <v>2026</v>
      </c>
      <c r="B2534">
        <v>3</v>
      </c>
      <c r="C2534" s="83">
        <v>208848153657</v>
      </c>
      <c r="D2534" t="s">
        <v>2309</v>
      </c>
      <c r="E2534">
        <v>57950198408</v>
      </c>
      <c r="F2534">
        <v>636488</v>
      </c>
      <c r="G2534">
        <v>53206226724</v>
      </c>
      <c r="H2534" t="s">
        <v>35</v>
      </c>
      <c r="I2534" s="36">
        <v>2874</v>
      </c>
      <c r="J2534" s="36">
        <v>2874</v>
      </c>
      <c r="K2534" s="85">
        <v>0</v>
      </c>
      <c r="L2534" s="36">
        <v>239.5</v>
      </c>
      <c r="M2534" s="36">
        <v>239.5</v>
      </c>
      <c r="N2534" s="36">
        <v>0</v>
      </c>
      <c r="O2534" s="36">
        <v>0</v>
      </c>
      <c r="P2534" t="s">
        <v>2004</v>
      </c>
      <c r="Q2534" t="s">
        <v>300</v>
      </c>
      <c r="R2534" t="s">
        <v>300</v>
      </c>
      <c r="S2534" s="1">
        <v>46093</v>
      </c>
      <c r="T2534" s="1">
        <v>46093</v>
      </c>
      <c r="U2534" s="1"/>
      <c r="V2534" s="1">
        <v>46458</v>
      </c>
      <c r="W2534" t="s">
        <v>38</v>
      </c>
      <c r="X2534">
        <v>12</v>
      </c>
      <c r="Y2534" t="s">
        <v>49</v>
      </c>
      <c r="AA2534" t="s">
        <v>122</v>
      </c>
      <c r="AB2534">
        <v>12</v>
      </c>
      <c r="AC2534" t="s">
        <v>301</v>
      </c>
      <c r="AD2534" t="s">
        <v>140</v>
      </c>
      <c r="AE2534" t="s">
        <v>46</v>
      </c>
      <c r="AF2534" t="s">
        <v>119</v>
      </c>
      <c r="AG2534" t="str">
        <f t="shared" si="42"/>
        <v>Recorrente</v>
      </c>
      <c r="AH2534" t="str">
        <f>IF(AND(SUMIF(E:E,E2534,I:I)&gt;=400000,Q2534="B2G"),"n","")</f>
        <v/>
      </c>
    </row>
    <row r="2535" spans="1:34">
      <c r="A2535">
        <v>2026</v>
      </c>
      <c r="B2535">
        <v>3</v>
      </c>
      <c r="C2535" s="83">
        <v>208850888258</v>
      </c>
      <c r="D2535" t="s">
        <v>2310</v>
      </c>
      <c r="E2535">
        <v>57836693810</v>
      </c>
      <c r="F2535">
        <v>622441</v>
      </c>
      <c r="G2535">
        <v>53140747307</v>
      </c>
      <c r="H2535" t="s">
        <v>35</v>
      </c>
      <c r="I2535" s="36">
        <v>5228.28</v>
      </c>
      <c r="J2535" s="36">
        <v>3242.4</v>
      </c>
      <c r="K2535" s="85">
        <v>1985.88</v>
      </c>
      <c r="L2535" s="36">
        <v>270.2</v>
      </c>
      <c r="M2535" s="36">
        <v>0</v>
      </c>
      <c r="N2535" s="36">
        <v>270.2</v>
      </c>
      <c r="O2535" s="36">
        <v>0</v>
      </c>
      <c r="P2535" t="s">
        <v>323</v>
      </c>
      <c r="Q2535" t="s">
        <v>191</v>
      </c>
      <c r="R2535" t="s">
        <v>191</v>
      </c>
      <c r="S2535" s="1">
        <v>46093</v>
      </c>
      <c r="T2535" s="1">
        <v>46093</v>
      </c>
      <c r="U2535" s="1">
        <v>46681</v>
      </c>
      <c r="V2535" s="1">
        <v>46681</v>
      </c>
      <c r="W2535" t="s">
        <v>102</v>
      </c>
      <c r="X2535">
        <v>19</v>
      </c>
      <c r="Y2535" t="s">
        <v>49</v>
      </c>
      <c r="Z2535" t="s">
        <v>324</v>
      </c>
      <c r="AA2535" t="s">
        <v>122</v>
      </c>
      <c r="AB2535">
        <v>19</v>
      </c>
      <c r="AC2535" t="s">
        <v>192</v>
      </c>
      <c r="AD2535" t="s">
        <v>134</v>
      </c>
      <c r="AE2535" t="s">
        <v>135</v>
      </c>
      <c r="AF2535" t="s">
        <v>44</v>
      </c>
      <c r="AG2535" t="str">
        <f t="shared" si="42"/>
        <v>Recorrente</v>
      </c>
      <c r="AH2535" t="str">
        <f>IF(AND(SUMIF(E:E,E2535,I:I)&gt;=400000,Q2535="B2G"),"n","")</f>
        <v/>
      </c>
    </row>
    <row r="2536" spans="1:34">
      <c r="A2536">
        <v>2026</v>
      </c>
      <c r="B2536">
        <v>3</v>
      </c>
      <c r="C2536" s="83">
        <v>2088665</v>
      </c>
      <c r="D2536" t="s">
        <v>2311</v>
      </c>
      <c r="E2536">
        <v>56949717103</v>
      </c>
      <c r="F2536">
        <v>612275</v>
      </c>
      <c r="G2536">
        <v>53808642378</v>
      </c>
      <c r="H2536" t="s">
        <v>35</v>
      </c>
      <c r="I2536" s="36">
        <v>6293.64</v>
      </c>
      <c r="J2536" s="36">
        <v>6293.64</v>
      </c>
      <c r="K2536" s="85">
        <v>0</v>
      </c>
      <c r="L2536" s="36">
        <v>524.47</v>
      </c>
      <c r="M2536" s="36">
        <v>524.47</v>
      </c>
      <c r="N2536" s="36">
        <v>0</v>
      </c>
      <c r="O2536" s="36">
        <v>0</v>
      </c>
      <c r="P2536" t="s">
        <v>116</v>
      </c>
      <c r="Q2536" t="s">
        <v>111</v>
      </c>
      <c r="R2536" t="s">
        <v>111</v>
      </c>
      <c r="S2536" s="1">
        <v>46112</v>
      </c>
      <c r="T2536" s="1">
        <v>46112</v>
      </c>
      <c r="U2536" s="1">
        <v>46107</v>
      </c>
      <c r="V2536" s="1">
        <v>46477</v>
      </c>
      <c r="W2536" t="s">
        <v>38</v>
      </c>
      <c r="X2536">
        <v>12</v>
      </c>
      <c r="Y2536" t="s">
        <v>49</v>
      </c>
      <c r="Z2536" t="s">
        <v>81</v>
      </c>
      <c r="AA2536" t="s">
        <v>122</v>
      </c>
      <c r="AB2536">
        <v>12</v>
      </c>
      <c r="AC2536" t="s">
        <v>113</v>
      </c>
      <c r="AD2536" t="s">
        <v>125</v>
      </c>
      <c r="AE2536" t="s">
        <v>43</v>
      </c>
      <c r="AF2536" t="s">
        <v>47</v>
      </c>
      <c r="AG2536" t="str">
        <f t="shared" si="42"/>
        <v>Recorrente</v>
      </c>
      <c r="AH2536" t="str">
        <f>IF(AND(SUMIF(E:E,E2536,I:I)&gt;=400000,Q2536="B2G"),"n","")</f>
        <v/>
      </c>
    </row>
    <row r="2537" spans="1:34">
      <c r="A2537">
        <v>2026</v>
      </c>
      <c r="B2537">
        <v>3</v>
      </c>
      <c r="C2537" s="83">
        <v>208881146922</v>
      </c>
      <c r="D2537" t="s">
        <v>2312</v>
      </c>
      <c r="E2537">
        <v>58025457783</v>
      </c>
      <c r="F2537">
        <v>636535</v>
      </c>
      <c r="G2537">
        <v>53237556317</v>
      </c>
      <c r="H2537" t="s">
        <v>35</v>
      </c>
      <c r="I2537" s="36">
        <v>1724.4</v>
      </c>
      <c r="J2537" s="36">
        <v>1724.4</v>
      </c>
      <c r="K2537" s="85">
        <v>2.2737400000000001E-13</v>
      </c>
      <c r="L2537" s="36">
        <v>143.69999999999999</v>
      </c>
      <c r="M2537" s="36">
        <v>143.69999999999999</v>
      </c>
      <c r="N2537" s="36">
        <v>0</v>
      </c>
      <c r="O2537" s="36">
        <v>0</v>
      </c>
      <c r="P2537" t="s">
        <v>2004</v>
      </c>
      <c r="Q2537" t="s">
        <v>300</v>
      </c>
      <c r="R2537" t="s">
        <v>80</v>
      </c>
      <c r="S2537" s="1">
        <v>46097</v>
      </c>
      <c r="T2537" s="1">
        <v>46097</v>
      </c>
      <c r="U2537" s="1"/>
      <c r="V2537" s="1">
        <v>46462</v>
      </c>
      <c r="W2537" t="s">
        <v>38</v>
      </c>
      <c r="X2537">
        <v>12</v>
      </c>
      <c r="Y2537" t="s">
        <v>49</v>
      </c>
      <c r="AA2537" t="s">
        <v>112</v>
      </c>
      <c r="AB2537">
        <v>12</v>
      </c>
      <c r="AC2537" t="s">
        <v>495</v>
      </c>
      <c r="AD2537" t="s">
        <v>118</v>
      </c>
      <c r="AE2537" t="s">
        <v>43</v>
      </c>
      <c r="AF2537" t="s">
        <v>119</v>
      </c>
      <c r="AG2537" t="str">
        <f t="shared" si="42"/>
        <v>CC 12x</v>
      </c>
      <c r="AH2537" t="str">
        <f>IF(AND(SUMIF(E:E,E2537,I:I)&gt;=400000,Q2537="B2G"),"n","")</f>
        <v/>
      </c>
    </row>
    <row r="2538" spans="1:34">
      <c r="A2538">
        <v>2026</v>
      </c>
      <c r="B2538">
        <v>3</v>
      </c>
      <c r="C2538" s="83">
        <v>2089357</v>
      </c>
      <c r="D2538" t="s">
        <v>2313</v>
      </c>
      <c r="E2538">
        <v>55278542702</v>
      </c>
      <c r="F2538">
        <v>530079</v>
      </c>
      <c r="G2538">
        <v>50516227742</v>
      </c>
      <c r="H2538" t="s">
        <v>35</v>
      </c>
      <c r="I2538" s="36">
        <v>3666.6</v>
      </c>
      <c r="J2538" s="36">
        <v>3666.6</v>
      </c>
      <c r="K2538" s="85">
        <v>0</v>
      </c>
      <c r="L2538" s="36">
        <v>305.55</v>
      </c>
      <c r="M2538" s="36">
        <v>0</v>
      </c>
      <c r="N2538" s="36">
        <v>68.55</v>
      </c>
      <c r="O2538" s="36">
        <v>237</v>
      </c>
      <c r="P2538" t="s">
        <v>165</v>
      </c>
      <c r="Q2538" t="s">
        <v>166</v>
      </c>
      <c r="R2538" t="s">
        <v>166</v>
      </c>
      <c r="S2538" s="1">
        <v>46098</v>
      </c>
      <c r="T2538" s="1">
        <v>46098</v>
      </c>
      <c r="U2538" s="1">
        <v>46098</v>
      </c>
      <c r="V2538" s="1">
        <v>46463</v>
      </c>
      <c r="W2538" t="s">
        <v>38</v>
      </c>
      <c r="X2538">
        <v>12</v>
      </c>
      <c r="Y2538" t="s">
        <v>49</v>
      </c>
      <c r="Z2538" t="s">
        <v>81</v>
      </c>
      <c r="AA2538" t="s">
        <v>122</v>
      </c>
      <c r="AB2538">
        <v>12</v>
      </c>
      <c r="AC2538" t="s">
        <v>166</v>
      </c>
      <c r="AD2538" t="s">
        <v>114</v>
      </c>
      <c r="AE2538" t="s">
        <v>43</v>
      </c>
      <c r="AF2538" t="s">
        <v>44</v>
      </c>
      <c r="AG2538" t="str">
        <f t="shared" si="42"/>
        <v>Recorrente</v>
      </c>
      <c r="AH2538" t="str">
        <f>IF(AND(SUMIF(E:E,E2538,I:I)&gt;=400000,Q2538="B2G"),"n","")</f>
        <v/>
      </c>
    </row>
    <row r="2539" spans="1:34">
      <c r="A2539">
        <v>2026</v>
      </c>
      <c r="B2539">
        <v>3</v>
      </c>
      <c r="C2539" s="83">
        <v>2089641</v>
      </c>
      <c r="D2539" t="s">
        <v>2314</v>
      </c>
      <c r="E2539">
        <v>58632788123</v>
      </c>
      <c r="F2539">
        <v>278711</v>
      </c>
      <c r="G2539">
        <v>53808830096</v>
      </c>
      <c r="H2539" t="s">
        <v>35</v>
      </c>
      <c r="I2539" s="36">
        <v>4860.84</v>
      </c>
      <c r="J2539" s="36">
        <v>4860.84</v>
      </c>
      <c r="K2539" s="85">
        <v>0</v>
      </c>
      <c r="L2539" s="36">
        <v>405.07</v>
      </c>
      <c r="M2539" s="36">
        <v>0</v>
      </c>
      <c r="N2539" s="36">
        <v>44.54</v>
      </c>
      <c r="O2539" s="36">
        <v>360.53</v>
      </c>
      <c r="P2539" t="s">
        <v>162</v>
      </c>
      <c r="Q2539" t="s">
        <v>111</v>
      </c>
      <c r="R2539" t="s">
        <v>111</v>
      </c>
      <c r="S2539" s="1">
        <v>46112</v>
      </c>
      <c r="T2539" s="1">
        <v>46112</v>
      </c>
      <c r="U2539" s="1">
        <v>46095</v>
      </c>
      <c r="V2539" s="1">
        <v>46477</v>
      </c>
      <c r="W2539" t="s">
        <v>38</v>
      </c>
      <c r="X2539">
        <v>12</v>
      </c>
      <c r="Y2539" t="s">
        <v>49</v>
      </c>
      <c r="Z2539" t="s">
        <v>81</v>
      </c>
      <c r="AA2539" t="s">
        <v>112</v>
      </c>
      <c r="AB2539">
        <v>12</v>
      </c>
      <c r="AC2539" t="s">
        <v>113</v>
      </c>
      <c r="AD2539" t="s">
        <v>149</v>
      </c>
      <c r="AE2539" t="s">
        <v>43</v>
      </c>
      <c r="AF2539" t="s">
        <v>96</v>
      </c>
      <c r="AG2539" t="str">
        <f t="shared" si="42"/>
        <v>CC 12x</v>
      </c>
      <c r="AH2539" t="str">
        <f>IF(AND(SUMIF(E:E,E2539,I:I)&gt;=400000,Q2539="B2G"),"n","")</f>
        <v/>
      </c>
    </row>
    <row r="2540" spans="1:34">
      <c r="A2540">
        <v>2026</v>
      </c>
      <c r="B2540">
        <v>3</v>
      </c>
      <c r="C2540" s="83">
        <v>208993524903</v>
      </c>
      <c r="D2540" t="s">
        <v>2315</v>
      </c>
      <c r="E2540">
        <v>57990625321</v>
      </c>
      <c r="F2540">
        <v>602517</v>
      </c>
      <c r="G2540">
        <v>53208844726</v>
      </c>
      <c r="H2540" t="s">
        <v>35</v>
      </c>
      <c r="I2540" s="36">
        <v>10895.04</v>
      </c>
      <c r="J2540" s="36">
        <v>4107</v>
      </c>
      <c r="K2540" s="85">
        <v>6788.04</v>
      </c>
      <c r="L2540" s="36">
        <v>342.25</v>
      </c>
      <c r="M2540" s="36">
        <v>0</v>
      </c>
      <c r="N2540" s="36">
        <v>342.25</v>
      </c>
      <c r="O2540" s="36">
        <v>0</v>
      </c>
      <c r="P2540" t="s">
        <v>323</v>
      </c>
      <c r="Q2540" t="s">
        <v>191</v>
      </c>
      <c r="R2540" t="s">
        <v>191</v>
      </c>
      <c r="S2540" s="1">
        <v>46095</v>
      </c>
      <c r="T2540" s="1">
        <v>46095</v>
      </c>
      <c r="U2540" s="1">
        <v>47063</v>
      </c>
      <c r="V2540" s="1">
        <v>47063</v>
      </c>
      <c r="W2540" t="s">
        <v>691</v>
      </c>
      <c r="X2540">
        <v>32</v>
      </c>
      <c r="Y2540" t="s">
        <v>49</v>
      </c>
      <c r="Z2540" t="s">
        <v>324</v>
      </c>
      <c r="AA2540" t="s">
        <v>122</v>
      </c>
      <c r="AB2540">
        <v>31</v>
      </c>
      <c r="AC2540" t="s">
        <v>192</v>
      </c>
      <c r="AD2540" t="s">
        <v>134</v>
      </c>
      <c r="AE2540" t="s">
        <v>135</v>
      </c>
      <c r="AF2540" t="s">
        <v>44</v>
      </c>
      <c r="AG2540" t="str">
        <f t="shared" si="42"/>
        <v>Recorrente</v>
      </c>
      <c r="AH2540" t="str">
        <f>IF(AND(SUMIF(E:E,E2540,I:I)&gt;=400000,Q2540="B2G"),"n","")</f>
        <v/>
      </c>
    </row>
    <row r="2541" spans="1:34">
      <c r="A2541">
        <v>2026</v>
      </c>
      <c r="B2541">
        <v>3</v>
      </c>
      <c r="C2541" s="83">
        <v>2089945</v>
      </c>
      <c r="D2541" t="s">
        <v>2316</v>
      </c>
      <c r="E2541">
        <v>58144918600</v>
      </c>
      <c r="F2541">
        <v>636582</v>
      </c>
      <c r="G2541">
        <v>53342714178</v>
      </c>
      <c r="H2541" t="s">
        <v>35</v>
      </c>
      <c r="I2541" s="36">
        <v>4074</v>
      </c>
      <c r="J2541" s="36">
        <v>4074</v>
      </c>
      <c r="K2541" s="85">
        <v>0</v>
      </c>
      <c r="L2541" s="36">
        <v>339.5</v>
      </c>
      <c r="M2541" s="36">
        <v>0</v>
      </c>
      <c r="N2541" s="36">
        <v>339.5</v>
      </c>
      <c r="O2541" s="36">
        <v>0</v>
      </c>
      <c r="P2541" t="s">
        <v>367</v>
      </c>
      <c r="Q2541" t="s">
        <v>191</v>
      </c>
      <c r="R2541" t="s">
        <v>191</v>
      </c>
      <c r="S2541" s="1">
        <v>46099</v>
      </c>
      <c r="T2541" s="1">
        <v>46099</v>
      </c>
      <c r="U2541" s="1"/>
      <c r="V2541" s="1">
        <v>46464</v>
      </c>
      <c r="W2541" t="s">
        <v>38</v>
      </c>
      <c r="X2541">
        <v>12</v>
      </c>
      <c r="Y2541" t="s">
        <v>49</v>
      </c>
      <c r="AA2541" t="s">
        <v>122</v>
      </c>
      <c r="AB2541">
        <v>12</v>
      </c>
      <c r="AC2541" t="s">
        <v>192</v>
      </c>
      <c r="AD2541" t="s">
        <v>114</v>
      </c>
      <c r="AE2541" t="s">
        <v>43</v>
      </c>
      <c r="AF2541" t="s">
        <v>44</v>
      </c>
      <c r="AG2541" t="str">
        <f t="shared" si="42"/>
        <v>Recorrente</v>
      </c>
      <c r="AH2541" t="str">
        <f>IF(AND(SUMIF(E:E,E2541,I:I)&gt;=400000,Q2541="B2G"),"n","")</f>
        <v/>
      </c>
    </row>
    <row r="2542" spans="1:34">
      <c r="A2542">
        <v>2026</v>
      </c>
      <c r="B2542">
        <v>3</v>
      </c>
      <c r="C2542" s="83">
        <v>209025855558</v>
      </c>
      <c r="D2542" t="s">
        <v>2317</v>
      </c>
      <c r="E2542">
        <v>57942509089</v>
      </c>
      <c r="F2542">
        <v>636475</v>
      </c>
      <c r="G2542">
        <v>53190754100</v>
      </c>
      <c r="H2542" t="s">
        <v>104</v>
      </c>
      <c r="I2542" s="36">
        <v>718.8</v>
      </c>
      <c r="J2542" s="36">
        <v>718.8</v>
      </c>
      <c r="K2542" s="85">
        <v>0</v>
      </c>
      <c r="L2542" s="36">
        <v>59.9</v>
      </c>
      <c r="M2542" s="36">
        <v>59.9</v>
      </c>
      <c r="N2542" s="36">
        <v>0</v>
      </c>
      <c r="O2542" s="36">
        <v>0</v>
      </c>
      <c r="P2542" t="s">
        <v>497</v>
      </c>
      <c r="Q2542" t="s">
        <v>498</v>
      </c>
      <c r="R2542" t="s">
        <v>498</v>
      </c>
      <c r="S2542" s="1">
        <v>46092</v>
      </c>
      <c r="T2542" s="1">
        <v>46092</v>
      </c>
      <c r="U2542" s="1"/>
      <c r="V2542" s="1">
        <v>46457</v>
      </c>
      <c r="W2542" t="s">
        <v>38</v>
      </c>
      <c r="X2542">
        <v>12</v>
      </c>
      <c r="Y2542" t="s">
        <v>49</v>
      </c>
      <c r="AA2542" t="s">
        <v>112</v>
      </c>
      <c r="AB2542">
        <v>12</v>
      </c>
      <c r="AC2542" t="s">
        <v>499</v>
      </c>
      <c r="AD2542" t="s">
        <v>105</v>
      </c>
      <c r="AE2542" t="s">
        <v>106</v>
      </c>
      <c r="AF2542" t="s">
        <v>59</v>
      </c>
      <c r="AG2542" t="str">
        <f t="shared" si="42"/>
        <v>CC 12x</v>
      </c>
      <c r="AH2542" t="str">
        <f>IF(AND(SUMIF(E:E,E2542,I:I)&gt;=400000,Q2542="B2G"),"n","")</f>
        <v/>
      </c>
    </row>
    <row r="2543" spans="1:34">
      <c r="A2543">
        <v>2026</v>
      </c>
      <c r="B2543">
        <v>3</v>
      </c>
      <c r="C2543" s="83">
        <v>209041479946</v>
      </c>
      <c r="D2543" t="s">
        <v>2318</v>
      </c>
      <c r="E2543">
        <v>54621807231</v>
      </c>
      <c r="F2543">
        <v>611313</v>
      </c>
      <c r="G2543">
        <v>50001403488</v>
      </c>
      <c r="H2543" t="s">
        <v>35</v>
      </c>
      <c r="I2543" s="36">
        <v>5754</v>
      </c>
      <c r="J2543" s="36">
        <v>5754</v>
      </c>
      <c r="K2543" s="85">
        <v>0</v>
      </c>
      <c r="L2543" s="36">
        <v>479.5</v>
      </c>
      <c r="M2543" s="36">
        <v>0</v>
      </c>
      <c r="N2543" s="36">
        <v>71.8</v>
      </c>
      <c r="O2543" s="36">
        <v>407.7</v>
      </c>
      <c r="P2543" t="s">
        <v>165</v>
      </c>
      <c r="Q2543" t="s">
        <v>166</v>
      </c>
      <c r="R2543" t="s">
        <v>166</v>
      </c>
      <c r="S2543" s="1">
        <v>46094</v>
      </c>
      <c r="T2543" s="1">
        <v>46094</v>
      </c>
      <c r="U2543" s="1">
        <v>46094</v>
      </c>
      <c r="V2543" s="1">
        <v>46459</v>
      </c>
      <c r="W2543" t="s">
        <v>38</v>
      </c>
      <c r="X2543">
        <v>12</v>
      </c>
      <c r="Y2543" t="s">
        <v>49</v>
      </c>
      <c r="Z2543" t="s">
        <v>81</v>
      </c>
      <c r="AA2543" t="s">
        <v>112</v>
      </c>
      <c r="AB2543">
        <v>12</v>
      </c>
      <c r="AC2543" t="s">
        <v>166</v>
      </c>
      <c r="AD2543" t="s">
        <v>85</v>
      </c>
      <c r="AE2543" t="s">
        <v>46</v>
      </c>
      <c r="AF2543" t="s">
        <v>44</v>
      </c>
      <c r="AG2543" t="str">
        <f t="shared" si="42"/>
        <v>CC 12x</v>
      </c>
      <c r="AH2543" t="str">
        <f>IF(AND(SUMIF(E:E,E2543,I:I)&gt;=400000,Q2543="B2G"),"n","")</f>
        <v/>
      </c>
    </row>
    <row r="2544" spans="1:34">
      <c r="A2544">
        <v>2026</v>
      </c>
      <c r="B2544">
        <v>3</v>
      </c>
      <c r="C2544" s="83">
        <v>2090429</v>
      </c>
      <c r="D2544" t="s">
        <v>2319</v>
      </c>
      <c r="E2544">
        <v>58386193768</v>
      </c>
      <c r="F2544">
        <v>531779</v>
      </c>
      <c r="G2544">
        <v>53747182701</v>
      </c>
      <c r="H2544" t="s">
        <v>35</v>
      </c>
      <c r="I2544" s="36">
        <v>2586.6</v>
      </c>
      <c r="J2544" s="36">
        <v>2586.6</v>
      </c>
      <c r="K2544" s="85">
        <v>0</v>
      </c>
      <c r="L2544" s="36">
        <v>215.55</v>
      </c>
      <c r="M2544" s="36">
        <v>0</v>
      </c>
      <c r="N2544" s="36">
        <v>0</v>
      </c>
      <c r="O2544" s="36">
        <v>215.55</v>
      </c>
      <c r="P2544" t="s">
        <v>121</v>
      </c>
      <c r="Q2544" t="s">
        <v>111</v>
      </c>
      <c r="R2544" t="s">
        <v>111</v>
      </c>
      <c r="S2544" s="1">
        <v>46112</v>
      </c>
      <c r="T2544" s="1">
        <v>46112</v>
      </c>
      <c r="U2544" s="1">
        <v>46112</v>
      </c>
      <c r="V2544" s="1">
        <v>46477</v>
      </c>
      <c r="W2544" t="s">
        <v>38</v>
      </c>
      <c r="X2544">
        <v>12</v>
      </c>
      <c r="Y2544" t="s">
        <v>49</v>
      </c>
      <c r="Z2544" t="s">
        <v>81</v>
      </c>
      <c r="AA2544" t="s">
        <v>122</v>
      </c>
      <c r="AB2544">
        <v>12</v>
      </c>
      <c r="AC2544" t="s">
        <v>113</v>
      </c>
      <c r="AD2544" t="s">
        <v>140</v>
      </c>
      <c r="AE2544" t="s">
        <v>46</v>
      </c>
      <c r="AF2544" t="s">
        <v>119</v>
      </c>
      <c r="AG2544" t="str">
        <f t="shared" si="42"/>
        <v>Recorrente</v>
      </c>
      <c r="AH2544" t="str">
        <f>IF(AND(SUMIF(E:E,E2544,I:I)&gt;=400000,Q2544="B2G"),"n","")</f>
        <v/>
      </c>
    </row>
    <row r="2545" spans="1:34">
      <c r="A2545">
        <v>2026</v>
      </c>
      <c r="B2545">
        <v>3</v>
      </c>
      <c r="C2545" s="83">
        <v>209103075633</v>
      </c>
      <c r="D2545" t="s">
        <v>2320</v>
      </c>
      <c r="E2545">
        <v>57980046935</v>
      </c>
      <c r="F2545">
        <v>636519</v>
      </c>
      <c r="G2545">
        <v>53208773802</v>
      </c>
      <c r="H2545" t="s">
        <v>35</v>
      </c>
      <c r="I2545" s="36">
        <v>1724.4</v>
      </c>
      <c r="J2545" s="36">
        <v>1724.4</v>
      </c>
      <c r="K2545" s="85">
        <v>2.2737400000000001E-13</v>
      </c>
      <c r="L2545" s="36">
        <v>143.69999999999999</v>
      </c>
      <c r="M2545" s="36">
        <v>143.69999999999999</v>
      </c>
      <c r="N2545" s="36">
        <v>0</v>
      </c>
      <c r="O2545" s="36">
        <v>0</v>
      </c>
      <c r="P2545" t="s">
        <v>2004</v>
      </c>
      <c r="Q2545" t="s">
        <v>300</v>
      </c>
      <c r="R2545" t="s">
        <v>80</v>
      </c>
      <c r="S2545" s="1">
        <v>46094</v>
      </c>
      <c r="T2545" s="1">
        <v>46094</v>
      </c>
      <c r="U2545" s="1"/>
      <c r="V2545" s="1">
        <v>46459</v>
      </c>
      <c r="W2545" t="s">
        <v>38</v>
      </c>
      <c r="X2545">
        <v>12</v>
      </c>
      <c r="Y2545" t="s">
        <v>49</v>
      </c>
      <c r="AA2545" t="s">
        <v>112</v>
      </c>
      <c r="AB2545">
        <v>12</v>
      </c>
      <c r="AC2545" t="s">
        <v>495</v>
      </c>
      <c r="AD2545" t="s">
        <v>140</v>
      </c>
      <c r="AE2545" t="s">
        <v>46</v>
      </c>
      <c r="AF2545" t="s">
        <v>119</v>
      </c>
      <c r="AG2545" t="str">
        <f t="shared" si="42"/>
        <v>CC 12x</v>
      </c>
      <c r="AH2545" t="str">
        <f>IF(AND(SUMIF(E:E,E2545,I:I)&gt;=400000,Q2545="B2G"),"n","")</f>
        <v/>
      </c>
    </row>
    <row r="2546" spans="1:34">
      <c r="A2546">
        <v>2026</v>
      </c>
      <c r="B2546">
        <v>3</v>
      </c>
      <c r="C2546" s="83">
        <v>2091204</v>
      </c>
      <c r="D2546" t="s">
        <v>2321</v>
      </c>
      <c r="E2546">
        <v>58330510150</v>
      </c>
      <c r="F2546">
        <v>530842</v>
      </c>
      <c r="G2546">
        <v>53492997895</v>
      </c>
      <c r="H2546" t="s">
        <v>35</v>
      </c>
      <c r="I2546" s="36">
        <v>9445.44</v>
      </c>
      <c r="J2546" s="36">
        <v>9445.44</v>
      </c>
      <c r="K2546" s="85">
        <v>0</v>
      </c>
      <c r="L2546" s="36">
        <v>787.12</v>
      </c>
      <c r="M2546" s="36">
        <v>0</v>
      </c>
      <c r="N2546" s="36">
        <v>120.455</v>
      </c>
      <c r="O2546" s="36">
        <v>666.67</v>
      </c>
      <c r="P2546" t="s">
        <v>133</v>
      </c>
      <c r="Q2546" t="s">
        <v>111</v>
      </c>
      <c r="R2546" t="s">
        <v>111</v>
      </c>
      <c r="S2546" s="1">
        <v>46108</v>
      </c>
      <c r="T2546" s="1">
        <v>46108</v>
      </c>
      <c r="U2546" s="1">
        <v>46105</v>
      </c>
      <c r="V2546" s="1">
        <v>46473</v>
      </c>
      <c r="W2546" t="s">
        <v>38</v>
      </c>
      <c r="X2546">
        <v>12</v>
      </c>
      <c r="Y2546" t="s">
        <v>49</v>
      </c>
      <c r="Z2546" t="s">
        <v>81</v>
      </c>
      <c r="AA2546" t="s">
        <v>122</v>
      </c>
      <c r="AB2546">
        <v>12</v>
      </c>
      <c r="AC2546" t="s">
        <v>113</v>
      </c>
      <c r="AD2546" t="s">
        <v>146</v>
      </c>
      <c r="AE2546" t="s">
        <v>135</v>
      </c>
      <c r="AF2546" t="s">
        <v>96</v>
      </c>
      <c r="AG2546" t="str">
        <f t="shared" si="42"/>
        <v>Recorrente</v>
      </c>
      <c r="AH2546" t="str">
        <f>IF(AND(SUMIF(E:E,E2546,I:I)&gt;=400000,Q2546="B2G"),"n","")</f>
        <v/>
      </c>
    </row>
    <row r="2547" spans="1:34">
      <c r="A2547">
        <v>2026</v>
      </c>
      <c r="B2547">
        <v>3</v>
      </c>
      <c r="C2547" s="83">
        <v>2091505</v>
      </c>
      <c r="D2547" t="s">
        <v>2322</v>
      </c>
      <c r="E2547">
        <v>54986748947</v>
      </c>
      <c r="F2547">
        <v>527261</v>
      </c>
      <c r="G2547">
        <v>50308962187</v>
      </c>
      <c r="H2547" t="s">
        <v>35</v>
      </c>
      <c r="I2547" s="36">
        <v>7015.44</v>
      </c>
      <c r="J2547" s="36">
        <v>7015.44</v>
      </c>
      <c r="K2547" s="85">
        <v>0</v>
      </c>
      <c r="L2547" s="36">
        <v>584.62</v>
      </c>
      <c r="M2547" s="36">
        <v>0</v>
      </c>
      <c r="N2547" s="36">
        <v>85.454999999999998</v>
      </c>
      <c r="O2547" s="36">
        <v>499.17</v>
      </c>
      <c r="P2547" t="s">
        <v>165</v>
      </c>
      <c r="Q2547" t="s">
        <v>166</v>
      </c>
      <c r="R2547" t="s">
        <v>166</v>
      </c>
      <c r="S2547" s="1">
        <v>46096</v>
      </c>
      <c r="T2547" s="1">
        <v>46096</v>
      </c>
      <c r="U2547" s="1">
        <v>46096</v>
      </c>
      <c r="V2547" s="1">
        <v>46461</v>
      </c>
      <c r="W2547" t="s">
        <v>38</v>
      </c>
      <c r="X2547">
        <v>12</v>
      </c>
      <c r="Y2547" t="s">
        <v>49</v>
      </c>
      <c r="Z2547" t="s">
        <v>81</v>
      </c>
      <c r="AA2547" t="s">
        <v>112</v>
      </c>
      <c r="AB2547">
        <v>12</v>
      </c>
      <c r="AC2547" t="s">
        <v>166</v>
      </c>
      <c r="AD2547" t="s">
        <v>134</v>
      </c>
      <c r="AE2547" t="s">
        <v>135</v>
      </c>
      <c r="AF2547" t="s">
        <v>44</v>
      </c>
      <c r="AG2547" t="str">
        <f t="shared" si="42"/>
        <v>CC 12x</v>
      </c>
      <c r="AH2547" t="str">
        <f>IF(AND(SUMIF(E:E,E2547,I:I)&gt;=400000,Q2547="B2G"),"n","")</f>
        <v/>
      </c>
    </row>
    <row r="2548" spans="1:34">
      <c r="A2548">
        <v>2026</v>
      </c>
      <c r="B2548">
        <v>3</v>
      </c>
      <c r="C2548" s="83">
        <v>2091519</v>
      </c>
      <c r="D2548" t="s">
        <v>2323</v>
      </c>
      <c r="E2548">
        <v>57655996173</v>
      </c>
      <c r="F2548">
        <v>636389</v>
      </c>
      <c r="G2548">
        <v>52952792619</v>
      </c>
      <c r="H2548" t="s">
        <v>35</v>
      </c>
      <c r="I2548" s="36">
        <v>2701.56</v>
      </c>
      <c r="J2548" s="36">
        <v>2701.56</v>
      </c>
      <c r="K2548" s="85">
        <v>0</v>
      </c>
      <c r="L2548" s="36">
        <v>225.13</v>
      </c>
      <c r="M2548" s="36">
        <v>225.13</v>
      </c>
      <c r="N2548" s="36">
        <v>0</v>
      </c>
      <c r="O2548" s="36">
        <v>0</v>
      </c>
      <c r="P2548" t="s">
        <v>829</v>
      </c>
      <c r="Q2548" t="s">
        <v>300</v>
      </c>
      <c r="R2548" t="s">
        <v>300</v>
      </c>
      <c r="S2548" s="1">
        <v>46087</v>
      </c>
      <c r="T2548" s="1">
        <v>46087</v>
      </c>
      <c r="U2548" s="1"/>
      <c r="V2548" s="1">
        <v>46455</v>
      </c>
      <c r="W2548" t="s">
        <v>38</v>
      </c>
      <c r="X2548">
        <v>12</v>
      </c>
      <c r="Y2548" t="s">
        <v>49</v>
      </c>
      <c r="AA2548" t="s">
        <v>112</v>
      </c>
      <c r="AB2548">
        <v>12</v>
      </c>
      <c r="AC2548" t="s">
        <v>301</v>
      </c>
      <c r="AD2548" t="s">
        <v>140</v>
      </c>
      <c r="AE2548" t="s">
        <v>46</v>
      </c>
      <c r="AF2548" t="s">
        <v>119</v>
      </c>
      <c r="AG2548" t="str">
        <f t="shared" si="42"/>
        <v>CC 12x</v>
      </c>
      <c r="AH2548" t="str">
        <f>IF(AND(SUMIF(E:E,E2548,I:I)&gt;=400000,Q2548="B2G"),"n","")</f>
        <v/>
      </c>
    </row>
    <row r="2549" spans="1:34">
      <c r="A2549">
        <v>2026</v>
      </c>
      <c r="B2549">
        <v>3</v>
      </c>
      <c r="C2549" s="83">
        <v>209186916024</v>
      </c>
      <c r="D2549" t="s">
        <v>1575</v>
      </c>
      <c r="E2549">
        <v>57833487527</v>
      </c>
      <c r="F2549">
        <v>636428</v>
      </c>
      <c r="G2549">
        <v>53084885838</v>
      </c>
      <c r="H2549" t="s">
        <v>104</v>
      </c>
      <c r="I2549" s="36">
        <v>1078.8</v>
      </c>
      <c r="J2549" s="36">
        <v>1078.8</v>
      </c>
      <c r="K2549" s="85">
        <v>0</v>
      </c>
      <c r="L2549" s="36">
        <v>89.9</v>
      </c>
      <c r="M2549" s="36">
        <v>89.9</v>
      </c>
      <c r="N2549" s="36">
        <v>0</v>
      </c>
      <c r="O2549" s="36">
        <v>0</v>
      </c>
      <c r="P2549" t="s">
        <v>497</v>
      </c>
      <c r="Q2549" t="s">
        <v>498</v>
      </c>
      <c r="R2549" t="s">
        <v>498</v>
      </c>
      <c r="S2549" s="1">
        <v>46091</v>
      </c>
      <c r="T2549" s="1">
        <v>46091</v>
      </c>
      <c r="U2549" s="1"/>
      <c r="V2549" s="1">
        <v>46456</v>
      </c>
      <c r="W2549" t="s">
        <v>38</v>
      </c>
      <c r="X2549">
        <v>12</v>
      </c>
      <c r="Y2549" t="s">
        <v>49</v>
      </c>
      <c r="AA2549" t="s">
        <v>117</v>
      </c>
      <c r="AB2549">
        <v>1</v>
      </c>
      <c r="AC2549" t="s">
        <v>499</v>
      </c>
      <c r="AD2549" t="s">
        <v>699</v>
      </c>
      <c r="AE2549" t="s">
        <v>106</v>
      </c>
      <c r="AF2549" t="s">
        <v>59</v>
      </c>
      <c r="AG2549" t="str">
        <f t="shared" si="42"/>
        <v>À Vista</v>
      </c>
      <c r="AH2549" t="str">
        <f>IF(AND(SUMIF(E:E,E2549,I:I)&gt;=400000,Q2549="B2G"),"n","")</f>
        <v/>
      </c>
    </row>
    <row r="2550" spans="1:34">
      <c r="A2550">
        <v>2026</v>
      </c>
      <c r="B2550">
        <v>3</v>
      </c>
      <c r="C2550" s="83">
        <v>209186916024</v>
      </c>
      <c r="D2550" t="s">
        <v>1575</v>
      </c>
      <c r="E2550">
        <v>58053014528</v>
      </c>
      <c r="F2550">
        <v>636564</v>
      </c>
      <c r="G2550">
        <v>53279001965</v>
      </c>
      <c r="H2550" t="s">
        <v>104</v>
      </c>
      <c r="I2550" s="36">
        <v>718.8</v>
      </c>
      <c r="J2550" s="36">
        <v>718.8</v>
      </c>
      <c r="K2550" s="85">
        <v>0</v>
      </c>
      <c r="L2550" s="36">
        <v>59.9</v>
      </c>
      <c r="M2550" s="36">
        <v>59.9</v>
      </c>
      <c r="N2550" s="36">
        <v>0</v>
      </c>
      <c r="O2550" s="36">
        <v>0</v>
      </c>
      <c r="P2550" t="s">
        <v>497</v>
      </c>
      <c r="Q2550" t="s">
        <v>498</v>
      </c>
      <c r="R2550" t="s">
        <v>498</v>
      </c>
      <c r="S2550" s="1">
        <v>46098</v>
      </c>
      <c r="T2550" s="1">
        <v>46098</v>
      </c>
      <c r="V2550" s="1">
        <v>46463</v>
      </c>
      <c r="W2550" t="s">
        <v>38</v>
      </c>
      <c r="X2550">
        <v>12</v>
      </c>
      <c r="Y2550" t="s">
        <v>49</v>
      </c>
      <c r="AA2550" t="s">
        <v>112</v>
      </c>
      <c r="AB2550">
        <v>12</v>
      </c>
      <c r="AC2550" t="s">
        <v>499</v>
      </c>
      <c r="AD2550" t="s">
        <v>105</v>
      </c>
      <c r="AE2550" t="s">
        <v>106</v>
      </c>
      <c r="AF2550" t="s">
        <v>59</v>
      </c>
      <c r="AG2550" t="str">
        <f t="shared" si="42"/>
        <v>CC 12x</v>
      </c>
      <c r="AH2550" t="str">
        <f>IF(AND(SUMIF(E:E,E2550,I:I)&gt;=400000,Q2550="B2G"),"n","")</f>
        <v/>
      </c>
    </row>
    <row r="2551" spans="1:34">
      <c r="A2551">
        <v>2026</v>
      </c>
      <c r="B2551">
        <v>3</v>
      </c>
      <c r="C2551" s="83">
        <v>2092450</v>
      </c>
      <c r="D2551" t="s">
        <v>2324</v>
      </c>
      <c r="E2551">
        <v>55569566560</v>
      </c>
      <c r="F2551">
        <v>310168</v>
      </c>
      <c r="G2551">
        <v>50952290611</v>
      </c>
      <c r="H2551" t="s">
        <v>35</v>
      </c>
      <c r="I2551" s="36">
        <v>8634.6</v>
      </c>
      <c r="J2551" s="36">
        <v>8634.6</v>
      </c>
      <c r="K2551" s="85">
        <v>0</v>
      </c>
      <c r="L2551" s="36">
        <v>719.55</v>
      </c>
      <c r="M2551" s="36">
        <v>0</v>
      </c>
      <c r="N2551" s="36">
        <v>169.52</v>
      </c>
      <c r="O2551" s="36">
        <v>550.03</v>
      </c>
      <c r="P2551" t="s">
        <v>165</v>
      </c>
      <c r="Q2551" t="s">
        <v>166</v>
      </c>
      <c r="R2551" t="s">
        <v>166</v>
      </c>
      <c r="S2551" s="1">
        <v>46104</v>
      </c>
      <c r="T2551" s="1">
        <v>46104</v>
      </c>
      <c r="U2551" s="1">
        <v>46104</v>
      </c>
      <c r="V2551" s="1">
        <v>46469</v>
      </c>
      <c r="W2551" t="s">
        <v>38</v>
      </c>
      <c r="X2551">
        <v>12</v>
      </c>
      <c r="Y2551" t="s">
        <v>49</v>
      </c>
      <c r="Z2551" t="s">
        <v>81</v>
      </c>
      <c r="AA2551" t="s">
        <v>122</v>
      </c>
      <c r="AB2551">
        <v>12</v>
      </c>
      <c r="AC2551" t="s">
        <v>166</v>
      </c>
      <c r="AD2551" t="s">
        <v>131</v>
      </c>
      <c r="AE2551" t="s">
        <v>46</v>
      </c>
      <c r="AF2551" t="s">
        <v>96</v>
      </c>
      <c r="AG2551" t="str">
        <f t="shared" si="42"/>
        <v>Recorrente</v>
      </c>
      <c r="AH2551" t="str">
        <f>IF(AND(SUMIF(E:E,E2551,I:I)&gt;=400000,Q2551="B2G"),"n","")</f>
        <v/>
      </c>
    </row>
    <row r="2552" spans="1:34">
      <c r="A2552">
        <v>2026</v>
      </c>
      <c r="B2552">
        <v>3</v>
      </c>
      <c r="C2552" s="83">
        <v>209346714197</v>
      </c>
      <c r="D2552" t="s">
        <v>2325</v>
      </c>
      <c r="E2552">
        <v>58030634638</v>
      </c>
      <c r="F2552">
        <v>636776</v>
      </c>
      <c r="G2552">
        <v>53747808598</v>
      </c>
      <c r="H2552" t="s">
        <v>35</v>
      </c>
      <c r="I2552" s="36">
        <v>2586.6</v>
      </c>
      <c r="J2552" s="36">
        <v>2586.6</v>
      </c>
      <c r="K2552" s="85">
        <v>0</v>
      </c>
      <c r="L2552" s="36">
        <v>215.55</v>
      </c>
      <c r="M2552" s="36">
        <v>215.55</v>
      </c>
      <c r="N2552" s="36">
        <v>0</v>
      </c>
      <c r="O2552" s="36">
        <v>0</v>
      </c>
      <c r="P2552" t="s">
        <v>829</v>
      </c>
      <c r="Q2552" t="s">
        <v>300</v>
      </c>
      <c r="R2552" t="s">
        <v>300</v>
      </c>
      <c r="S2552" s="1">
        <v>46111</v>
      </c>
      <c r="T2552" s="1">
        <v>46111</v>
      </c>
      <c r="U2552" s="1"/>
      <c r="V2552" s="1">
        <v>46476</v>
      </c>
      <c r="W2552" t="s">
        <v>38</v>
      </c>
      <c r="X2552">
        <v>12</v>
      </c>
      <c r="Y2552" t="s">
        <v>49</v>
      </c>
      <c r="AA2552" t="s">
        <v>112</v>
      </c>
      <c r="AB2552">
        <v>1</v>
      </c>
      <c r="AC2552" t="s">
        <v>301</v>
      </c>
      <c r="AD2552" t="s">
        <v>118</v>
      </c>
      <c r="AE2552" t="s">
        <v>43</v>
      </c>
      <c r="AF2552" t="s">
        <v>119</v>
      </c>
      <c r="AG2552" t="str">
        <f t="shared" si="42"/>
        <v>À Vista</v>
      </c>
      <c r="AH2552" t="str">
        <f>IF(AND(SUMIF(E:E,E2552,I:I)&gt;=400000,Q2552="B2G"),"n","")</f>
        <v/>
      </c>
    </row>
    <row r="2553" spans="1:34">
      <c r="A2553">
        <v>2026</v>
      </c>
      <c r="B2553">
        <v>3</v>
      </c>
      <c r="C2553" s="83">
        <v>209420344597</v>
      </c>
      <c r="D2553" t="s">
        <v>2326</v>
      </c>
      <c r="E2553">
        <v>58062875512</v>
      </c>
      <c r="F2553">
        <v>636547</v>
      </c>
      <c r="G2553">
        <v>53241679501</v>
      </c>
      <c r="H2553" t="s">
        <v>35</v>
      </c>
      <c r="I2553" s="36">
        <v>2299.1999999999998</v>
      </c>
      <c r="J2553" s="36">
        <v>2299.1999999999998</v>
      </c>
      <c r="K2553" s="85">
        <v>0</v>
      </c>
      <c r="L2553" s="36">
        <v>191.6</v>
      </c>
      <c r="M2553" s="36">
        <v>191.6</v>
      </c>
      <c r="N2553" s="36">
        <v>0</v>
      </c>
      <c r="O2553" s="36">
        <v>0</v>
      </c>
      <c r="P2553" t="s">
        <v>829</v>
      </c>
      <c r="Q2553" t="s">
        <v>300</v>
      </c>
      <c r="R2553" t="s">
        <v>300</v>
      </c>
      <c r="S2553" s="1">
        <v>46097</v>
      </c>
      <c r="T2553" s="1">
        <v>46097</v>
      </c>
      <c r="V2553" s="1">
        <v>46462</v>
      </c>
      <c r="W2553" t="s">
        <v>38</v>
      </c>
      <c r="X2553">
        <v>12</v>
      </c>
      <c r="Y2553" t="s">
        <v>49</v>
      </c>
      <c r="AA2553" t="s">
        <v>122</v>
      </c>
      <c r="AB2553">
        <v>12</v>
      </c>
      <c r="AC2553" t="s">
        <v>301</v>
      </c>
      <c r="AD2553" t="s">
        <v>118</v>
      </c>
      <c r="AE2553" t="s">
        <v>43</v>
      </c>
      <c r="AF2553" t="s">
        <v>119</v>
      </c>
      <c r="AG2553" t="str">
        <f t="shared" si="42"/>
        <v>Recorrente</v>
      </c>
      <c r="AH2553" t="str">
        <f>IF(AND(SUMIF(E:E,E2553,I:I)&gt;=400000,Q2553="B2G"),"n","")</f>
        <v/>
      </c>
    </row>
    <row r="2554" spans="1:34">
      <c r="A2554">
        <v>2026</v>
      </c>
      <c r="B2554">
        <v>3</v>
      </c>
      <c r="C2554" s="83">
        <v>2094418</v>
      </c>
      <c r="D2554" t="s">
        <v>2327</v>
      </c>
      <c r="E2554">
        <v>58224105493</v>
      </c>
      <c r="F2554">
        <v>279074</v>
      </c>
      <c r="G2554">
        <v>53455302196</v>
      </c>
      <c r="H2554" t="s">
        <v>35</v>
      </c>
      <c r="I2554" s="36">
        <v>6664.68</v>
      </c>
      <c r="J2554" s="36">
        <v>6664.68</v>
      </c>
      <c r="K2554" s="85">
        <v>0</v>
      </c>
      <c r="L2554" s="36">
        <v>555.39</v>
      </c>
      <c r="M2554" s="36">
        <v>0</v>
      </c>
      <c r="N2554" s="36">
        <v>179.99</v>
      </c>
      <c r="O2554" s="36">
        <v>375.4</v>
      </c>
      <c r="P2554" t="s">
        <v>162</v>
      </c>
      <c r="Q2554" t="s">
        <v>111</v>
      </c>
      <c r="R2554" t="s">
        <v>111</v>
      </c>
      <c r="S2554" s="1">
        <v>46105</v>
      </c>
      <c r="T2554" s="1">
        <v>46105</v>
      </c>
      <c r="U2554" s="1">
        <v>46102</v>
      </c>
      <c r="V2554" s="1">
        <v>46470</v>
      </c>
      <c r="W2554" t="s">
        <v>38</v>
      </c>
      <c r="X2554">
        <v>12</v>
      </c>
      <c r="Y2554" t="s">
        <v>49</v>
      </c>
      <c r="Z2554" t="s">
        <v>81</v>
      </c>
      <c r="AA2554" t="s">
        <v>122</v>
      </c>
      <c r="AB2554">
        <v>12</v>
      </c>
      <c r="AC2554" t="s">
        <v>113</v>
      </c>
      <c r="AD2554" t="s">
        <v>134</v>
      </c>
      <c r="AE2554" t="s">
        <v>135</v>
      </c>
      <c r="AF2554" t="s">
        <v>44</v>
      </c>
      <c r="AG2554" t="str">
        <f t="shared" si="42"/>
        <v>Recorrente</v>
      </c>
      <c r="AH2554" t="str">
        <f>IF(AND(SUMIF(E:E,E2554,I:I)&gt;=400000,Q2554="B2G"),"n","")</f>
        <v/>
      </c>
    </row>
    <row r="2555" spans="1:34">
      <c r="A2555">
        <v>2026</v>
      </c>
      <c r="B2555">
        <v>3</v>
      </c>
      <c r="C2555" s="83">
        <v>20944967780</v>
      </c>
      <c r="D2555" t="s">
        <v>2328</v>
      </c>
      <c r="E2555">
        <v>58450778370</v>
      </c>
      <c r="F2555">
        <v>636728</v>
      </c>
      <c r="G2555">
        <v>53649285389</v>
      </c>
      <c r="H2555" t="s">
        <v>104</v>
      </c>
      <c r="I2555" s="36">
        <v>718.8</v>
      </c>
      <c r="J2555" s="36">
        <v>718.8</v>
      </c>
      <c r="K2555" s="85">
        <v>0</v>
      </c>
      <c r="L2555" s="36">
        <v>59.9</v>
      </c>
      <c r="M2555" s="36">
        <v>59.9</v>
      </c>
      <c r="N2555" s="36">
        <v>0</v>
      </c>
      <c r="O2555" s="36">
        <v>0</v>
      </c>
      <c r="P2555" t="s">
        <v>497</v>
      </c>
      <c r="Q2555" t="s">
        <v>498</v>
      </c>
      <c r="R2555" t="s">
        <v>498</v>
      </c>
      <c r="S2555" s="1">
        <v>46108</v>
      </c>
      <c r="T2555" s="1">
        <v>46108</v>
      </c>
      <c r="U2555" s="1"/>
      <c r="V2555" s="1">
        <v>46473</v>
      </c>
      <c r="W2555" t="s">
        <v>38</v>
      </c>
      <c r="X2555">
        <v>12</v>
      </c>
      <c r="Y2555" t="s">
        <v>49</v>
      </c>
      <c r="AA2555" t="s">
        <v>112</v>
      </c>
      <c r="AB2555">
        <v>12</v>
      </c>
      <c r="AC2555" t="s">
        <v>499</v>
      </c>
      <c r="AD2555" t="s">
        <v>105</v>
      </c>
      <c r="AE2555" t="s">
        <v>106</v>
      </c>
      <c r="AF2555" t="s">
        <v>59</v>
      </c>
      <c r="AG2555" t="str">
        <f t="shared" si="42"/>
        <v>CC 12x</v>
      </c>
      <c r="AH2555" t="str">
        <f>IF(AND(SUMIF(E:E,E2555,I:I)&gt;=400000,Q2555="B2G"),"n","")</f>
        <v/>
      </c>
    </row>
    <row r="2556" spans="1:34">
      <c r="A2556">
        <v>2026</v>
      </c>
      <c r="B2556">
        <v>3</v>
      </c>
      <c r="C2556" s="83">
        <v>20945251456</v>
      </c>
      <c r="D2556" t="s">
        <v>2329</v>
      </c>
      <c r="E2556">
        <v>57949220504</v>
      </c>
      <c r="F2556">
        <v>636497</v>
      </c>
      <c r="G2556">
        <v>53206195365</v>
      </c>
      <c r="H2556" t="s">
        <v>35</v>
      </c>
      <c r="I2556" s="36">
        <v>2874</v>
      </c>
      <c r="J2556" s="36">
        <v>2874</v>
      </c>
      <c r="K2556" s="85">
        <v>0</v>
      </c>
      <c r="L2556" s="36">
        <v>239.5</v>
      </c>
      <c r="M2556" s="36">
        <v>239.5</v>
      </c>
      <c r="N2556" s="36">
        <v>0</v>
      </c>
      <c r="O2556" s="36">
        <v>0</v>
      </c>
      <c r="P2556" t="s">
        <v>348</v>
      </c>
      <c r="Q2556" t="s">
        <v>349</v>
      </c>
      <c r="R2556" t="s">
        <v>349</v>
      </c>
      <c r="S2556" s="1">
        <v>46094</v>
      </c>
      <c r="T2556" s="1">
        <v>46094</v>
      </c>
      <c r="U2556" s="1"/>
      <c r="V2556" s="1">
        <v>46459</v>
      </c>
      <c r="W2556" t="s">
        <v>38</v>
      </c>
      <c r="X2556">
        <v>12</v>
      </c>
      <c r="Y2556" t="s">
        <v>49</v>
      </c>
      <c r="AA2556" t="s">
        <v>117</v>
      </c>
      <c r="AB2556">
        <v>1</v>
      </c>
      <c r="AC2556" t="s">
        <v>350</v>
      </c>
      <c r="AD2556" t="s">
        <v>140</v>
      </c>
      <c r="AE2556" t="s">
        <v>46</v>
      </c>
      <c r="AF2556" t="s">
        <v>119</v>
      </c>
      <c r="AG2556" t="str">
        <f t="shared" ref="AG2556:AG2619" si="43">IF(IFERROR(SEARCH("Recorrente",AA2556),0)&gt;0,"Recorrente",IF(AB2556=1,"À Vista",IF(AB2556&lt;=3,"CC 3x",IF(AB2556&lt;=12,"CC 12x",IF(AB2556&gt;12,"Recorrente","")))))</f>
        <v>À Vista</v>
      </c>
      <c r="AH2556" t="str">
        <f>IF(AND(SUMIF(E:E,E2556,I:I)&gt;=400000,Q2556="B2G"),"n","")</f>
        <v/>
      </c>
    </row>
    <row r="2557" spans="1:34">
      <c r="A2557">
        <v>2026</v>
      </c>
      <c r="B2557">
        <v>3</v>
      </c>
      <c r="C2557" s="83">
        <v>20945406284</v>
      </c>
      <c r="D2557" t="s">
        <v>2330</v>
      </c>
      <c r="E2557">
        <v>56150175258</v>
      </c>
      <c r="F2557">
        <v>530480</v>
      </c>
      <c r="G2557">
        <v>51445253000</v>
      </c>
      <c r="H2557" t="s">
        <v>35</v>
      </c>
      <c r="I2557" s="36">
        <v>8634.6</v>
      </c>
      <c r="J2557" s="36">
        <v>8634.6</v>
      </c>
      <c r="K2557" s="85">
        <v>0</v>
      </c>
      <c r="L2557" s="36">
        <v>719.55</v>
      </c>
      <c r="M2557" s="36">
        <v>0</v>
      </c>
      <c r="N2557" s="36">
        <v>0</v>
      </c>
      <c r="O2557" s="36">
        <v>719.55</v>
      </c>
      <c r="P2557" t="s">
        <v>165</v>
      </c>
      <c r="Q2557" t="s">
        <v>166</v>
      </c>
      <c r="R2557" t="s">
        <v>166</v>
      </c>
      <c r="S2557" s="1">
        <v>46107</v>
      </c>
      <c r="T2557" s="1">
        <v>46107</v>
      </c>
      <c r="U2557" s="1">
        <v>46110</v>
      </c>
      <c r="V2557" s="1">
        <v>46475</v>
      </c>
      <c r="W2557" t="s">
        <v>38</v>
      </c>
      <c r="X2557">
        <v>12</v>
      </c>
      <c r="Y2557" t="s">
        <v>49</v>
      </c>
      <c r="Z2557" t="s">
        <v>81</v>
      </c>
      <c r="AA2557" t="s">
        <v>122</v>
      </c>
      <c r="AB2557">
        <v>12</v>
      </c>
      <c r="AC2557" t="s">
        <v>166</v>
      </c>
      <c r="AD2557" t="s">
        <v>131</v>
      </c>
      <c r="AE2557" t="s">
        <v>46</v>
      </c>
      <c r="AF2557" t="s">
        <v>96</v>
      </c>
      <c r="AG2557" t="str">
        <f t="shared" si="43"/>
        <v>Recorrente</v>
      </c>
      <c r="AH2557" t="str">
        <f>IF(AND(SUMIF(E:E,E2557,I:I)&gt;=400000,Q2557="B2G"),"n","")</f>
        <v/>
      </c>
    </row>
    <row r="2558" spans="1:34">
      <c r="A2558">
        <v>2026</v>
      </c>
      <c r="B2558">
        <v>3</v>
      </c>
      <c r="C2558" s="83">
        <v>2094774</v>
      </c>
      <c r="D2558" t="s">
        <v>2331</v>
      </c>
      <c r="E2558">
        <v>55050345342</v>
      </c>
      <c r="F2558">
        <v>325869</v>
      </c>
      <c r="G2558">
        <v>50357548211</v>
      </c>
      <c r="H2558" t="s">
        <v>35</v>
      </c>
      <c r="I2558" s="36">
        <v>6288.8</v>
      </c>
      <c r="J2558" s="36">
        <v>3144.4</v>
      </c>
      <c r="K2558" s="85">
        <v>3144.4</v>
      </c>
      <c r="L2558" s="36">
        <v>262.03333329999998</v>
      </c>
      <c r="M2558" s="36">
        <v>0</v>
      </c>
      <c r="N2558" s="36">
        <v>148.31111110000001</v>
      </c>
      <c r="O2558" s="36">
        <v>113.7222222</v>
      </c>
      <c r="P2558" t="s">
        <v>165</v>
      </c>
      <c r="Q2558" t="s">
        <v>166</v>
      </c>
      <c r="R2558" t="s">
        <v>166</v>
      </c>
      <c r="S2558" s="1">
        <v>46097</v>
      </c>
      <c r="T2558" s="1">
        <v>46097</v>
      </c>
      <c r="U2558" s="1">
        <v>46097</v>
      </c>
      <c r="V2558" s="1">
        <v>46828</v>
      </c>
      <c r="W2558" t="s">
        <v>56</v>
      </c>
      <c r="X2558">
        <v>24</v>
      </c>
      <c r="Y2558" t="s">
        <v>49</v>
      </c>
      <c r="Z2558" t="s">
        <v>81</v>
      </c>
      <c r="AA2558" t="s">
        <v>112</v>
      </c>
      <c r="AB2558">
        <v>12</v>
      </c>
      <c r="AC2558" t="s">
        <v>166</v>
      </c>
      <c r="AD2558" t="s">
        <v>134</v>
      </c>
      <c r="AE2558" t="s">
        <v>135</v>
      </c>
      <c r="AF2558" t="s">
        <v>44</v>
      </c>
      <c r="AG2558" t="str">
        <f t="shared" si="43"/>
        <v>CC 12x</v>
      </c>
      <c r="AH2558" t="str">
        <f>IF(AND(SUMIF(E:E,E2558,I:I)&gt;=400000,Q2558="B2G"),"n","")</f>
        <v/>
      </c>
    </row>
    <row r="2559" spans="1:34">
      <c r="A2559">
        <v>2026</v>
      </c>
      <c r="B2559">
        <v>3</v>
      </c>
      <c r="C2559" s="83">
        <v>2094774</v>
      </c>
      <c r="D2559" t="s">
        <v>2331</v>
      </c>
      <c r="E2559">
        <v>55050345342</v>
      </c>
      <c r="F2559">
        <v>325869</v>
      </c>
      <c r="G2559">
        <v>50358631297</v>
      </c>
      <c r="H2559" t="s">
        <v>35</v>
      </c>
      <c r="I2559" s="36">
        <v>6288.8</v>
      </c>
      <c r="J2559" s="36">
        <v>3144.4</v>
      </c>
      <c r="K2559" s="85">
        <v>3144.4</v>
      </c>
      <c r="L2559" s="36">
        <v>262.03333329999998</v>
      </c>
      <c r="M2559" s="36">
        <v>0</v>
      </c>
      <c r="N2559" s="36">
        <v>148.31111110000001</v>
      </c>
      <c r="O2559" s="36">
        <v>113.7222222</v>
      </c>
      <c r="P2559" t="s">
        <v>165</v>
      </c>
      <c r="Q2559" t="s">
        <v>166</v>
      </c>
      <c r="R2559" t="s">
        <v>166</v>
      </c>
      <c r="S2559" s="1">
        <v>46097</v>
      </c>
      <c r="T2559" s="1">
        <v>46097</v>
      </c>
      <c r="U2559" s="1">
        <v>46097</v>
      </c>
      <c r="V2559" s="1">
        <v>46828</v>
      </c>
      <c r="W2559" t="s">
        <v>56</v>
      </c>
      <c r="X2559">
        <v>24</v>
      </c>
      <c r="Y2559" t="s">
        <v>49</v>
      </c>
      <c r="Z2559" t="s">
        <v>81</v>
      </c>
      <c r="AA2559" t="s">
        <v>112</v>
      </c>
      <c r="AB2559">
        <v>12</v>
      </c>
      <c r="AC2559" t="s">
        <v>166</v>
      </c>
      <c r="AD2559" t="s">
        <v>1270</v>
      </c>
      <c r="AE2559" t="s">
        <v>95</v>
      </c>
      <c r="AF2559" t="s">
        <v>244</v>
      </c>
      <c r="AG2559" t="str">
        <f t="shared" si="43"/>
        <v>CC 12x</v>
      </c>
      <c r="AH2559" t="str">
        <f>IF(AND(SUMIF(E:E,E2559,I:I)&gt;=400000,Q2559="B2G"),"n","")</f>
        <v/>
      </c>
    </row>
    <row r="2560" spans="1:34">
      <c r="A2560">
        <v>2026</v>
      </c>
      <c r="B2560">
        <v>3</v>
      </c>
      <c r="C2560" s="83">
        <v>2094774</v>
      </c>
      <c r="D2560" t="s">
        <v>2331</v>
      </c>
      <c r="E2560">
        <v>55050345342</v>
      </c>
      <c r="F2560">
        <v>325869</v>
      </c>
      <c r="G2560">
        <v>50397767200</v>
      </c>
      <c r="H2560" t="s">
        <v>35</v>
      </c>
      <c r="I2560" s="36">
        <v>6288.8</v>
      </c>
      <c r="J2560" s="36">
        <v>3144.4</v>
      </c>
      <c r="K2560" s="85">
        <v>3144.4</v>
      </c>
      <c r="L2560" s="36">
        <v>262.03333329999998</v>
      </c>
      <c r="M2560" s="36">
        <v>0</v>
      </c>
      <c r="N2560" s="36">
        <v>148.31111110000001</v>
      </c>
      <c r="O2560" s="36">
        <v>113.7222222</v>
      </c>
      <c r="P2560" t="s">
        <v>165</v>
      </c>
      <c r="Q2560" t="s">
        <v>166</v>
      </c>
      <c r="R2560" t="s">
        <v>166</v>
      </c>
      <c r="S2560" s="1">
        <v>46097</v>
      </c>
      <c r="T2560" s="1">
        <v>46097</v>
      </c>
      <c r="U2560" s="1">
        <v>46097</v>
      </c>
      <c r="V2560" s="1">
        <v>46828</v>
      </c>
      <c r="W2560" t="s">
        <v>56</v>
      </c>
      <c r="X2560">
        <v>24</v>
      </c>
      <c r="Y2560" t="s">
        <v>49</v>
      </c>
      <c r="Z2560" t="s">
        <v>81</v>
      </c>
      <c r="AA2560" t="s">
        <v>112</v>
      </c>
      <c r="AB2560">
        <v>12</v>
      </c>
      <c r="AC2560" t="s">
        <v>166</v>
      </c>
      <c r="AD2560" t="s">
        <v>256</v>
      </c>
      <c r="AE2560" t="s">
        <v>257</v>
      </c>
      <c r="AF2560" t="s">
        <v>59</v>
      </c>
      <c r="AG2560" t="str">
        <f t="shared" si="43"/>
        <v>CC 12x</v>
      </c>
      <c r="AH2560" t="str">
        <f>IF(AND(SUMIF(E:E,E2560,I:I)&gt;=400000,Q2560="B2G"),"n","")</f>
        <v/>
      </c>
    </row>
    <row r="2561" spans="1:34">
      <c r="A2561">
        <v>2026</v>
      </c>
      <c r="B2561">
        <v>3</v>
      </c>
      <c r="C2561" s="83">
        <v>209489434502</v>
      </c>
      <c r="D2561" t="s">
        <v>1524</v>
      </c>
      <c r="E2561">
        <v>58020864543</v>
      </c>
      <c r="F2561">
        <v>636524</v>
      </c>
      <c r="G2561">
        <v>53231418176</v>
      </c>
      <c r="H2561" t="s">
        <v>35</v>
      </c>
      <c r="I2561" s="36">
        <v>5718.6</v>
      </c>
      <c r="J2561" s="36">
        <v>5718.6</v>
      </c>
      <c r="K2561" s="85">
        <v>0</v>
      </c>
      <c r="L2561" s="36">
        <v>476.55</v>
      </c>
      <c r="M2561" s="36">
        <v>476.55</v>
      </c>
      <c r="N2561" s="36">
        <v>0</v>
      </c>
      <c r="O2561" s="36">
        <v>0</v>
      </c>
      <c r="P2561" t="s">
        <v>497</v>
      </c>
      <c r="Q2561" t="s">
        <v>498</v>
      </c>
      <c r="R2561" t="s">
        <v>498</v>
      </c>
      <c r="S2561" s="1">
        <v>46097</v>
      </c>
      <c r="T2561" s="1">
        <v>46097</v>
      </c>
      <c r="V2561" s="1">
        <v>46462</v>
      </c>
      <c r="W2561" t="s">
        <v>38</v>
      </c>
      <c r="X2561">
        <v>12</v>
      </c>
      <c r="Y2561" t="s">
        <v>49</v>
      </c>
      <c r="AA2561" t="s">
        <v>117</v>
      </c>
      <c r="AB2561">
        <v>1</v>
      </c>
      <c r="AC2561" t="s">
        <v>499</v>
      </c>
      <c r="AD2561" t="s">
        <v>146</v>
      </c>
      <c r="AE2561" t="s">
        <v>135</v>
      </c>
      <c r="AF2561" t="s">
        <v>96</v>
      </c>
      <c r="AG2561" t="str">
        <f t="shared" si="43"/>
        <v>À Vista</v>
      </c>
      <c r="AH2561" t="str">
        <f>IF(AND(SUMIF(E:E,E2561,I:I)&gt;=400000,Q2561="B2G"),"n","")</f>
        <v/>
      </c>
    </row>
    <row r="2562" spans="1:34">
      <c r="A2562">
        <v>2026</v>
      </c>
      <c r="B2562">
        <v>3</v>
      </c>
      <c r="C2562" s="83">
        <v>209496993603</v>
      </c>
      <c r="D2562" t="s">
        <v>2332</v>
      </c>
      <c r="E2562">
        <v>57960561561</v>
      </c>
      <c r="F2562">
        <v>636493</v>
      </c>
      <c r="G2562">
        <v>53206271252</v>
      </c>
      <c r="H2562" t="s">
        <v>35</v>
      </c>
      <c r="I2562" s="36">
        <v>4962.6000000000004</v>
      </c>
      <c r="J2562" s="36">
        <v>4962.6000000000004</v>
      </c>
      <c r="K2562" s="85">
        <v>0</v>
      </c>
      <c r="L2562" s="36">
        <v>413.55</v>
      </c>
      <c r="M2562" s="36">
        <v>413.55</v>
      </c>
      <c r="N2562" s="36">
        <v>0</v>
      </c>
      <c r="O2562" s="36">
        <v>0</v>
      </c>
      <c r="P2562" t="s">
        <v>506</v>
      </c>
      <c r="Q2562" t="s">
        <v>300</v>
      </c>
      <c r="R2562" t="s">
        <v>300</v>
      </c>
      <c r="S2562" s="1">
        <v>46093</v>
      </c>
      <c r="T2562" s="1">
        <v>46093</v>
      </c>
      <c r="U2562" s="1"/>
      <c r="V2562" s="1">
        <v>46458</v>
      </c>
      <c r="W2562" t="s">
        <v>38</v>
      </c>
      <c r="X2562">
        <v>12</v>
      </c>
      <c r="Y2562" t="s">
        <v>49</v>
      </c>
      <c r="AA2562" t="s">
        <v>112</v>
      </c>
      <c r="AB2562">
        <v>12</v>
      </c>
      <c r="AC2562" t="s">
        <v>301</v>
      </c>
      <c r="AD2562" t="s">
        <v>138</v>
      </c>
      <c r="AE2562" t="s">
        <v>135</v>
      </c>
      <c r="AF2562" t="s">
        <v>119</v>
      </c>
      <c r="AG2562" t="str">
        <f t="shared" si="43"/>
        <v>CC 12x</v>
      </c>
      <c r="AH2562" t="str">
        <f>IF(AND(SUMIF(E:E,E2562,I:I)&gt;=400000,Q2562="B2G"),"n","")</f>
        <v/>
      </c>
    </row>
    <row r="2563" spans="1:34">
      <c r="A2563">
        <v>2026</v>
      </c>
      <c r="B2563">
        <v>3</v>
      </c>
      <c r="C2563" s="83">
        <v>209501467680</v>
      </c>
      <c r="D2563" t="s">
        <v>2333</v>
      </c>
      <c r="E2563">
        <v>58443268766</v>
      </c>
      <c r="F2563">
        <v>636718</v>
      </c>
      <c r="G2563">
        <v>53640360888</v>
      </c>
      <c r="H2563" t="s">
        <v>35</v>
      </c>
      <c r="I2563" s="36">
        <v>3885.12</v>
      </c>
      <c r="J2563" s="36">
        <v>3885.1644000000001</v>
      </c>
      <c r="K2563" s="85">
        <v>0</v>
      </c>
      <c r="L2563" s="36">
        <v>323.76369999999997</v>
      </c>
      <c r="M2563" s="36">
        <v>323.76369999999997</v>
      </c>
      <c r="N2563" s="36">
        <v>0</v>
      </c>
      <c r="O2563" s="36">
        <v>0</v>
      </c>
      <c r="P2563" t="s">
        <v>506</v>
      </c>
      <c r="Q2563" t="s">
        <v>300</v>
      </c>
      <c r="R2563" t="s">
        <v>300</v>
      </c>
      <c r="S2563" s="1">
        <v>46107</v>
      </c>
      <c r="T2563" s="1">
        <v>46107</v>
      </c>
      <c r="U2563" s="1"/>
      <c r="V2563" s="1">
        <v>46472</v>
      </c>
      <c r="W2563" t="s">
        <v>38</v>
      </c>
      <c r="X2563">
        <v>12</v>
      </c>
      <c r="Y2563" t="s">
        <v>49</v>
      </c>
      <c r="AA2563" t="s">
        <v>117</v>
      </c>
      <c r="AB2563">
        <v>1</v>
      </c>
      <c r="AC2563" t="s">
        <v>301</v>
      </c>
      <c r="AD2563" t="s">
        <v>138</v>
      </c>
      <c r="AE2563" t="s">
        <v>135</v>
      </c>
      <c r="AF2563" t="s">
        <v>119</v>
      </c>
      <c r="AG2563" t="str">
        <f t="shared" si="43"/>
        <v>À Vista</v>
      </c>
      <c r="AH2563" t="str">
        <f>IF(AND(SUMIF(E:E,E2563,I:I)&gt;=400000,Q2563="B2G"),"n","")</f>
        <v/>
      </c>
    </row>
    <row r="2564" spans="1:34">
      <c r="A2564">
        <v>2026</v>
      </c>
      <c r="B2564">
        <v>3</v>
      </c>
      <c r="C2564" s="83">
        <v>209505756190</v>
      </c>
      <c r="D2564" t="s">
        <v>2334</v>
      </c>
      <c r="E2564">
        <v>58047567999</v>
      </c>
      <c r="F2564">
        <v>636545</v>
      </c>
      <c r="G2564">
        <v>53241737737</v>
      </c>
      <c r="H2564" t="s">
        <v>35</v>
      </c>
      <c r="I2564" s="36">
        <v>5612.4</v>
      </c>
      <c r="J2564" s="36">
        <v>5612.4</v>
      </c>
      <c r="K2564" s="85">
        <v>0</v>
      </c>
      <c r="L2564" s="36">
        <v>467.7</v>
      </c>
      <c r="M2564" s="36">
        <v>467.7</v>
      </c>
      <c r="N2564" s="36">
        <v>0</v>
      </c>
      <c r="O2564" s="36">
        <v>0</v>
      </c>
      <c r="P2564" t="s">
        <v>829</v>
      </c>
      <c r="Q2564" t="s">
        <v>300</v>
      </c>
      <c r="R2564" t="s">
        <v>80</v>
      </c>
      <c r="S2564" s="1">
        <v>46097</v>
      </c>
      <c r="T2564" s="1">
        <v>46097</v>
      </c>
      <c r="U2564" s="1"/>
      <c r="V2564" s="1">
        <v>46462</v>
      </c>
      <c r="W2564" t="s">
        <v>38</v>
      </c>
      <c r="X2564">
        <v>12</v>
      </c>
      <c r="Y2564" t="s">
        <v>49</v>
      </c>
      <c r="AA2564" t="s">
        <v>122</v>
      </c>
      <c r="AB2564">
        <v>12</v>
      </c>
      <c r="AC2564" t="s">
        <v>495</v>
      </c>
      <c r="AD2564" t="s">
        <v>134</v>
      </c>
      <c r="AE2564" t="s">
        <v>135</v>
      </c>
      <c r="AF2564" t="s">
        <v>44</v>
      </c>
      <c r="AG2564" t="str">
        <f t="shared" si="43"/>
        <v>Recorrente</v>
      </c>
      <c r="AH2564" t="str">
        <f>IF(AND(SUMIF(E:E,E2564,I:I)&gt;=400000,Q2564="B2G"),"n","")</f>
        <v/>
      </c>
    </row>
    <row r="2565" spans="1:34">
      <c r="A2565">
        <v>2026</v>
      </c>
      <c r="B2565">
        <v>3</v>
      </c>
      <c r="C2565" s="83">
        <v>209508229702</v>
      </c>
      <c r="D2565" t="s">
        <v>2335</v>
      </c>
      <c r="E2565">
        <v>56128610858</v>
      </c>
      <c r="F2565">
        <v>507538</v>
      </c>
      <c r="G2565">
        <v>53239611178</v>
      </c>
      <c r="H2565" t="s">
        <v>35</v>
      </c>
      <c r="I2565" s="36">
        <v>4315.4399999999996</v>
      </c>
      <c r="J2565" s="36">
        <v>4315.4399999999996</v>
      </c>
      <c r="K2565" s="85">
        <v>0</v>
      </c>
      <c r="L2565" s="36">
        <v>359.62</v>
      </c>
      <c r="M2565" s="36">
        <v>359.62</v>
      </c>
      <c r="N2565" s="36">
        <v>0</v>
      </c>
      <c r="O2565" s="36">
        <v>0</v>
      </c>
      <c r="P2565" t="s">
        <v>121</v>
      </c>
      <c r="Q2565" t="s">
        <v>111</v>
      </c>
      <c r="R2565" t="s">
        <v>111</v>
      </c>
      <c r="S2565" s="1">
        <v>46098</v>
      </c>
      <c r="T2565" s="1">
        <v>46098</v>
      </c>
      <c r="U2565" s="1">
        <v>46095</v>
      </c>
      <c r="V2565" s="1">
        <v>46463</v>
      </c>
      <c r="W2565" t="s">
        <v>38</v>
      </c>
      <c r="X2565">
        <v>12</v>
      </c>
      <c r="Y2565" t="s">
        <v>49</v>
      </c>
      <c r="Z2565" t="s">
        <v>81</v>
      </c>
      <c r="AA2565" t="s">
        <v>122</v>
      </c>
      <c r="AB2565">
        <v>12</v>
      </c>
      <c r="AC2565" t="s">
        <v>113</v>
      </c>
      <c r="AD2565" t="s">
        <v>85</v>
      </c>
      <c r="AE2565" t="s">
        <v>46</v>
      </c>
      <c r="AF2565" t="s">
        <v>44</v>
      </c>
      <c r="AG2565" t="str">
        <f t="shared" si="43"/>
        <v>Recorrente</v>
      </c>
      <c r="AH2565" t="str">
        <f>IF(AND(SUMIF(E:E,E2565,I:I)&gt;=400000,Q2565="B2G"),"n","")</f>
        <v/>
      </c>
    </row>
    <row r="2566" spans="1:34">
      <c r="A2566">
        <v>2026</v>
      </c>
      <c r="B2566">
        <v>3</v>
      </c>
      <c r="C2566" s="83">
        <v>209517014793</v>
      </c>
      <c r="D2566" t="s">
        <v>2336</v>
      </c>
      <c r="E2566">
        <v>58022513954</v>
      </c>
      <c r="F2566">
        <v>636528</v>
      </c>
      <c r="G2566">
        <v>53239113555</v>
      </c>
      <c r="H2566" t="s">
        <v>35</v>
      </c>
      <c r="I2566" s="36">
        <v>2748</v>
      </c>
      <c r="J2566" s="36">
        <v>2748</v>
      </c>
      <c r="K2566" s="85">
        <v>0</v>
      </c>
      <c r="L2566" s="36">
        <v>229</v>
      </c>
      <c r="M2566" s="36">
        <v>229</v>
      </c>
      <c r="N2566" s="36">
        <v>0</v>
      </c>
      <c r="O2566" s="36">
        <v>0</v>
      </c>
      <c r="P2566" t="s">
        <v>511</v>
      </c>
      <c r="Q2566" t="s">
        <v>300</v>
      </c>
      <c r="R2566" t="s">
        <v>300</v>
      </c>
      <c r="S2566" s="1">
        <v>46097</v>
      </c>
      <c r="T2566" s="1">
        <v>46097</v>
      </c>
      <c r="U2566" s="1"/>
      <c r="V2566" s="1">
        <v>46462</v>
      </c>
      <c r="W2566" t="s">
        <v>38</v>
      </c>
      <c r="X2566">
        <v>12</v>
      </c>
      <c r="Y2566" t="s">
        <v>49</v>
      </c>
      <c r="AA2566" t="s">
        <v>112</v>
      </c>
      <c r="AB2566">
        <v>12</v>
      </c>
      <c r="AC2566" t="s">
        <v>301</v>
      </c>
      <c r="AD2566" t="s">
        <v>118</v>
      </c>
      <c r="AE2566" t="s">
        <v>43</v>
      </c>
      <c r="AF2566" t="s">
        <v>119</v>
      </c>
      <c r="AG2566" t="str">
        <f t="shared" si="43"/>
        <v>CC 12x</v>
      </c>
      <c r="AH2566" t="str">
        <f>IF(AND(SUMIF(E:E,E2566,I:I)&gt;=400000,Q2566="B2G"),"n","")</f>
        <v/>
      </c>
    </row>
    <row r="2567" spans="1:34">
      <c r="A2567">
        <v>2026</v>
      </c>
      <c r="B2567">
        <v>3</v>
      </c>
      <c r="C2567" s="83">
        <v>209531888773</v>
      </c>
      <c r="D2567" t="s">
        <v>2337</v>
      </c>
      <c r="E2567">
        <v>54830429288</v>
      </c>
      <c r="F2567">
        <v>627405</v>
      </c>
      <c r="G2567">
        <v>50155889027</v>
      </c>
      <c r="H2567" t="s">
        <v>35</v>
      </c>
      <c r="I2567" s="36">
        <v>5754</v>
      </c>
      <c r="J2567" s="36">
        <v>5754</v>
      </c>
      <c r="K2567" s="85">
        <v>0</v>
      </c>
      <c r="L2567" s="36">
        <v>479.5</v>
      </c>
      <c r="M2567" s="36">
        <v>0</v>
      </c>
      <c r="N2567" s="36">
        <v>94.45</v>
      </c>
      <c r="O2567" s="36">
        <v>385.05</v>
      </c>
      <c r="P2567" t="s">
        <v>165</v>
      </c>
      <c r="Q2567" t="s">
        <v>166</v>
      </c>
      <c r="R2567" t="s">
        <v>166</v>
      </c>
      <c r="S2567" s="1">
        <v>46095</v>
      </c>
      <c r="T2567" s="1">
        <v>46095</v>
      </c>
      <c r="U2567" s="1">
        <v>46095</v>
      </c>
      <c r="V2567" s="1">
        <v>46460</v>
      </c>
      <c r="W2567" t="s">
        <v>38</v>
      </c>
      <c r="X2567">
        <v>12</v>
      </c>
      <c r="Y2567" t="s">
        <v>49</v>
      </c>
      <c r="Z2567" t="s">
        <v>81</v>
      </c>
      <c r="AA2567" t="s">
        <v>122</v>
      </c>
      <c r="AB2567">
        <v>12</v>
      </c>
      <c r="AC2567" t="s">
        <v>166</v>
      </c>
      <c r="AD2567" t="s">
        <v>85</v>
      </c>
      <c r="AE2567" t="s">
        <v>46</v>
      </c>
      <c r="AF2567" t="s">
        <v>44</v>
      </c>
      <c r="AG2567" t="str">
        <f t="shared" si="43"/>
        <v>Recorrente</v>
      </c>
      <c r="AH2567" t="str">
        <f>IF(AND(SUMIF(E:E,E2567,I:I)&gt;=400000,Q2567="B2G"),"n","")</f>
        <v/>
      </c>
    </row>
    <row r="2568" spans="1:34">
      <c r="A2568">
        <v>2026</v>
      </c>
      <c r="B2568">
        <v>3</v>
      </c>
      <c r="C2568" s="83">
        <v>209542869278</v>
      </c>
      <c r="D2568" t="s">
        <v>2338</v>
      </c>
      <c r="E2568">
        <v>58228324098</v>
      </c>
      <c r="F2568">
        <v>612062</v>
      </c>
      <c r="G2568">
        <v>53409945127</v>
      </c>
      <c r="H2568" t="s">
        <v>35</v>
      </c>
      <c r="I2568" s="36">
        <v>2586.6</v>
      </c>
      <c r="J2568" s="36">
        <v>2586.6</v>
      </c>
      <c r="K2568" s="85">
        <v>0</v>
      </c>
      <c r="L2568" s="36">
        <v>215.55</v>
      </c>
      <c r="M2568" s="36">
        <v>0</v>
      </c>
      <c r="N2568" s="36">
        <v>11.21</v>
      </c>
      <c r="O2568" s="36">
        <v>204.34</v>
      </c>
      <c r="P2568" t="s">
        <v>121</v>
      </c>
      <c r="Q2568" t="s">
        <v>111</v>
      </c>
      <c r="R2568" t="s">
        <v>111</v>
      </c>
      <c r="S2568" s="1">
        <v>46102</v>
      </c>
      <c r="T2568" s="1">
        <v>46102</v>
      </c>
      <c r="U2568" s="1">
        <v>46103</v>
      </c>
      <c r="V2568" s="1">
        <v>46468</v>
      </c>
      <c r="W2568" t="s">
        <v>38</v>
      </c>
      <c r="X2568">
        <v>12</v>
      </c>
      <c r="Y2568" t="s">
        <v>49</v>
      </c>
      <c r="Z2568" t="s">
        <v>81</v>
      </c>
      <c r="AA2568" t="s">
        <v>112</v>
      </c>
      <c r="AB2568">
        <v>12</v>
      </c>
      <c r="AC2568" t="s">
        <v>113</v>
      </c>
      <c r="AD2568" t="s">
        <v>118</v>
      </c>
      <c r="AE2568" t="s">
        <v>43</v>
      </c>
      <c r="AF2568" t="s">
        <v>119</v>
      </c>
      <c r="AG2568" t="str">
        <f t="shared" si="43"/>
        <v>CC 12x</v>
      </c>
      <c r="AH2568" t="str">
        <f>IF(AND(SUMIF(E:E,E2568,I:I)&gt;=400000,Q2568="B2G"),"n","")</f>
        <v/>
      </c>
    </row>
    <row r="2569" spans="1:34">
      <c r="A2569">
        <v>2026</v>
      </c>
      <c r="B2569">
        <v>3</v>
      </c>
      <c r="C2569" s="83">
        <v>209562091627</v>
      </c>
      <c r="D2569" t="s">
        <v>2339</v>
      </c>
      <c r="E2569">
        <v>54559485985</v>
      </c>
      <c r="F2569">
        <v>627316</v>
      </c>
      <c r="G2569">
        <v>49859162241</v>
      </c>
      <c r="H2569" t="s">
        <v>35</v>
      </c>
      <c r="I2569" s="36">
        <v>2874</v>
      </c>
      <c r="J2569" s="36">
        <v>2874</v>
      </c>
      <c r="K2569" s="85">
        <v>0</v>
      </c>
      <c r="L2569" s="36">
        <v>239.5</v>
      </c>
      <c r="M2569" s="36">
        <v>0</v>
      </c>
      <c r="N2569" s="36">
        <v>36.35</v>
      </c>
      <c r="O2569" s="36">
        <v>203.15</v>
      </c>
      <c r="P2569" t="s">
        <v>165</v>
      </c>
      <c r="Q2569" t="s">
        <v>166</v>
      </c>
      <c r="R2569" t="s">
        <v>166</v>
      </c>
      <c r="S2569" s="1">
        <v>46093</v>
      </c>
      <c r="T2569" s="1">
        <v>46093</v>
      </c>
      <c r="U2569" s="1">
        <v>46093</v>
      </c>
      <c r="V2569" s="1">
        <v>46458</v>
      </c>
      <c r="W2569" t="s">
        <v>38</v>
      </c>
      <c r="X2569">
        <v>12</v>
      </c>
      <c r="Y2569" t="s">
        <v>49</v>
      </c>
      <c r="Z2569" t="s">
        <v>81</v>
      </c>
      <c r="AA2569" t="s">
        <v>122</v>
      </c>
      <c r="AB2569">
        <v>12</v>
      </c>
      <c r="AC2569" t="s">
        <v>166</v>
      </c>
      <c r="AD2569" t="s">
        <v>140</v>
      </c>
      <c r="AE2569" t="s">
        <v>46</v>
      </c>
      <c r="AF2569" t="s">
        <v>119</v>
      </c>
      <c r="AG2569" t="str">
        <f t="shared" si="43"/>
        <v>Recorrente</v>
      </c>
      <c r="AH2569" t="str">
        <f>IF(AND(SUMIF(E:E,E2569,I:I)&gt;=400000,Q2569="B2G"),"n","")</f>
        <v/>
      </c>
    </row>
    <row r="2570" spans="1:34">
      <c r="A2570">
        <v>2026</v>
      </c>
      <c r="B2570">
        <v>3</v>
      </c>
      <c r="C2570" s="83">
        <v>209567033982</v>
      </c>
      <c r="D2570" t="s">
        <v>2340</v>
      </c>
      <c r="E2570">
        <v>58059078237</v>
      </c>
      <c r="F2570">
        <v>507586</v>
      </c>
      <c r="G2570">
        <v>53330558291</v>
      </c>
      <c r="H2570" t="s">
        <v>35</v>
      </c>
      <c r="I2570" s="36">
        <v>6547.8</v>
      </c>
      <c r="J2570" s="36">
        <v>6547.8</v>
      </c>
      <c r="K2570" s="85">
        <v>9.0949500000000005E-13</v>
      </c>
      <c r="L2570" s="36">
        <v>545.65</v>
      </c>
      <c r="M2570" s="36">
        <v>545.65</v>
      </c>
      <c r="N2570" s="36">
        <v>0</v>
      </c>
      <c r="O2570" s="36">
        <v>0</v>
      </c>
      <c r="P2570" t="s">
        <v>121</v>
      </c>
      <c r="Q2570" t="s">
        <v>111</v>
      </c>
      <c r="R2570" t="s">
        <v>111</v>
      </c>
      <c r="S2570" s="1">
        <v>46099</v>
      </c>
      <c r="T2570" s="1">
        <v>46099</v>
      </c>
      <c r="U2570" s="1">
        <v>46096</v>
      </c>
      <c r="V2570" s="1">
        <v>46464</v>
      </c>
      <c r="W2570" t="s">
        <v>38</v>
      </c>
      <c r="X2570">
        <v>12</v>
      </c>
      <c r="Y2570" t="s">
        <v>49</v>
      </c>
      <c r="Z2570" t="s">
        <v>81</v>
      </c>
      <c r="AA2570" t="s">
        <v>122</v>
      </c>
      <c r="AB2570">
        <v>12</v>
      </c>
      <c r="AC2570" t="s">
        <v>113</v>
      </c>
      <c r="AD2570" t="s">
        <v>134</v>
      </c>
      <c r="AE2570" t="s">
        <v>135</v>
      </c>
      <c r="AF2570" t="s">
        <v>44</v>
      </c>
      <c r="AG2570" t="str">
        <f t="shared" si="43"/>
        <v>Recorrente</v>
      </c>
      <c r="AH2570" t="str">
        <f>IF(AND(SUMIF(E:E,E2570,I:I)&gt;=400000,Q2570="B2G"),"n","")</f>
        <v/>
      </c>
    </row>
    <row r="2571" spans="1:34">
      <c r="A2571">
        <v>2026</v>
      </c>
      <c r="B2571">
        <v>3</v>
      </c>
      <c r="C2571" s="83">
        <v>209571925904</v>
      </c>
      <c r="D2571" t="s">
        <v>2341</v>
      </c>
      <c r="E2571">
        <v>58002456065</v>
      </c>
      <c r="F2571">
        <v>611189</v>
      </c>
      <c r="G2571">
        <v>53239369244</v>
      </c>
      <c r="H2571" t="s">
        <v>35</v>
      </c>
      <c r="I2571" s="36">
        <v>4660.8</v>
      </c>
      <c r="J2571" s="36">
        <v>4660.8</v>
      </c>
      <c r="K2571" s="85">
        <v>0</v>
      </c>
      <c r="L2571" s="36">
        <v>388.4</v>
      </c>
      <c r="M2571" s="36">
        <v>0</v>
      </c>
      <c r="N2571" s="36">
        <v>0</v>
      </c>
      <c r="O2571" s="36">
        <v>388.40458999999998</v>
      </c>
      <c r="P2571" t="s">
        <v>116</v>
      </c>
      <c r="Q2571" t="s">
        <v>111</v>
      </c>
      <c r="R2571" t="s">
        <v>111</v>
      </c>
      <c r="S2571" s="1">
        <v>46097</v>
      </c>
      <c r="T2571" s="1">
        <v>46097</v>
      </c>
      <c r="U2571" s="1">
        <v>46094</v>
      </c>
      <c r="V2571" s="1">
        <v>46462</v>
      </c>
      <c r="W2571" t="s">
        <v>38</v>
      </c>
      <c r="X2571">
        <v>12</v>
      </c>
      <c r="Y2571" t="s">
        <v>49</v>
      </c>
      <c r="Z2571" t="s">
        <v>81</v>
      </c>
      <c r="AA2571" t="s">
        <v>112</v>
      </c>
      <c r="AB2571">
        <v>12</v>
      </c>
      <c r="AC2571" t="s">
        <v>113</v>
      </c>
      <c r="AD2571" t="s">
        <v>85</v>
      </c>
      <c r="AE2571" t="s">
        <v>46</v>
      </c>
      <c r="AF2571" t="s">
        <v>44</v>
      </c>
      <c r="AG2571" t="str">
        <f t="shared" si="43"/>
        <v>CC 12x</v>
      </c>
      <c r="AH2571" t="str">
        <f>IF(AND(SUMIF(E:E,E2571,I:I)&gt;=400000,Q2571="B2G"),"n","")</f>
        <v/>
      </c>
    </row>
    <row r="2572" spans="1:34">
      <c r="A2572">
        <v>2026</v>
      </c>
      <c r="B2572">
        <v>3</v>
      </c>
      <c r="C2572" s="83">
        <v>209585275247</v>
      </c>
      <c r="D2572" t="s">
        <v>2342</v>
      </c>
      <c r="E2572">
        <v>55609501982</v>
      </c>
      <c r="F2572">
        <v>529049</v>
      </c>
      <c r="G2572">
        <v>53206770705</v>
      </c>
      <c r="H2572" t="s">
        <v>35</v>
      </c>
      <c r="I2572" s="36">
        <v>3843.24</v>
      </c>
      <c r="J2572" s="36">
        <v>3843.24</v>
      </c>
      <c r="K2572" s="85">
        <v>0</v>
      </c>
      <c r="L2572" s="36">
        <v>320.27</v>
      </c>
      <c r="M2572" s="36">
        <v>0</v>
      </c>
      <c r="N2572" s="36">
        <v>78.872226650000002</v>
      </c>
      <c r="O2572" s="36">
        <v>241.39583339999999</v>
      </c>
      <c r="P2572" t="s">
        <v>116</v>
      </c>
      <c r="Q2572" t="s">
        <v>111</v>
      </c>
      <c r="R2572" t="s">
        <v>111</v>
      </c>
      <c r="S2572" s="1">
        <v>46097</v>
      </c>
      <c r="T2572" s="1">
        <v>46097</v>
      </c>
      <c r="U2572" s="1">
        <v>46087</v>
      </c>
      <c r="V2572" s="1">
        <v>46462</v>
      </c>
      <c r="W2572" t="s">
        <v>38</v>
      </c>
      <c r="X2572">
        <v>12</v>
      </c>
      <c r="Y2572" t="s">
        <v>49</v>
      </c>
      <c r="Z2572" t="s">
        <v>81</v>
      </c>
      <c r="AA2572" t="s">
        <v>122</v>
      </c>
      <c r="AB2572">
        <v>12</v>
      </c>
      <c r="AC2572" t="s">
        <v>113</v>
      </c>
      <c r="AD2572" t="s">
        <v>84</v>
      </c>
      <c r="AE2572" t="s">
        <v>43</v>
      </c>
      <c r="AF2572" t="s">
        <v>44</v>
      </c>
      <c r="AG2572" t="str">
        <f t="shared" si="43"/>
        <v>Recorrente</v>
      </c>
      <c r="AH2572" t="str">
        <f>IF(AND(SUMIF(E:E,E2572,I:I)&gt;=400000,Q2572="B2G"),"n","")</f>
        <v/>
      </c>
    </row>
    <row r="2573" spans="1:34">
      <c r="A2573">
        <v>2026</v>
      </c>
      <c r="B2573">
        <v>3</v>
      </c>
      <c r="C2573" s="83">
        <v>209585275247</v>
      </c>
      <c r="D2573" t="s">
        <v>2342</v>
      </c>
      <c r="E2573">
        <v>55609501982</v>
      </c>
      <c r="F2573">
        <v>529049</v>
      </c>
      <c r="G2573">
        <v>53206770706</v>
      </c>
      <c r="H2573" t="s">
        <v>35</v>
      </c>
      <c r="I2573" s="36">
        <v>3843.24</v>
      </c>
      <c r="J2573" s="36">
        <v>3843.24</v>
      </c>
      <c r="K2573" s="85">
        <v>0</v>
      </c>
      <c r="L2573" s="36">
        <v>320.27</v>
      </c>
      <c r="M2573" s="36">
        <v>0</v>
      </c>
      <c r="N2573" s="36">
        <v>78.872226650000002</v>
      </c>
      <c r="O2573" s="36">
        <v>241.39583339999999</v>
      </c>
      <c r="P2573" t="s">
        <v>116</v>
      </c>
      <c r="Q2573" t="s">
        <v>111</v>
      </c>
      <c r="R2573" t="s">
        <v>111</v>
      </c>
      <c r="S2573" s="1">
        <v>46097</v>
      </c>
      <c r="T2573" s="1">
        <v>46097</v>
      </c>
      <c r="U2573" s="1">
        <v>46087</v>
      </c>
      <c r="V2573" s="1">
        <v>46462</v>
      </c>
      <c r="W2573" t="s">
        <v>38</v>
      </c>
      <c r="X2573">
        <v>12</v>
      </c>
      <c r="Y2573" t="s">
        <v>49</v>
      </c>
      <c r="Z2573" t="s">
        <v>81</v>
      </c>
      <c r="AA2573" t="s">
        <v>122</v>
      </c>
      <c r="AB2573">
        <v>12</v>
      </c>
      <c r="AC2573" t="s">
        <v>113</v>
      </c>
      <c r="AD2573" t="s">
        <v>85</v>
      </c>
      <c r="AE2573" t="s">
        <v>46</v>
      </c>
      <c r="AF2573" t="s">
        <v>44</v>
      </c>
      <c r="AG2573" t="str">
        <f t="shared" si="43"/>
        <v>Recorrente</v>
      </c>
      <c r="AH2573" t="str">
        <f>IF(AND(SUMIF(E:E,E2573,I:I)&gt;=400000,Q2573="B2G"),"n","")</f>
        <v/>
      </c>
    </row>
    <row r="2574" spans="1:34">
      <c r="A2574">
        <v>2026</v>
      </c>
      <c r="B2574">
        <v>3</v>
      </c>
      <c r="C2574" s="83">
        <v>209591791390</v>
      </c>
      <c r="D2574" t="s">
        <v>723</v>
      </c>
      <c r="E2574">
        <v>57979953958</v>
      </c>
      <c r="F2574">
        <v>635645</v>
      </c>
      <c r="G2574">
        <v>53237545399</v>
      </c>
      <c r="H2574" t="s">
        <v>35</v>
      </c>
      <c r="I2574" s="36">
        <v>361</v>
      </c>
      <c r="J2574" s="36">
        <v>4332</v>
      </c>
      <c r="K2574" s="85">
        <v>0</v>
      </c>
      <c r="L2574" s="36">
        <v>361</v>
      </c>
      <c r="M2574" s="36">
        <v>361</v>
      </c>
      <c r="N2574" s="36">
        <v>0</v>
      </c>
      <c r="O2574" s="36">
        <v>0</v>
      </c>
      <c r="P2574" t="s">
        <v>116</v>
      </c>
      <c r="Q2574" t="s">
        <v>111</v>
      </c>
      <c r="R2574" t="s">
        <v>111</v>
      </c>
      <c r="S2574" s="1">
        <v>46097</v>
      </c>
      <c r="T2574" s="1">
        <v>46097</v>
      </c>
      <c r="U2574" s="1">
        <v>46073</v>
      </c>
      <c r="V2574" s="1">
        <v>46128</v>
      </c>
      <c r="W2574" t="s">
        <v>679</v>
      </c>
      <c r="X2574">
        <v>2</v>
      </c>
      <c r="Y2574" t="s">
        <v>49</v>
      </c>
      <c r="Z2574" t="s">
        <v>76</v>
      </c>
      <c r="AA2574" t="s">
        <v>112</v>
      </c>
      <c r="AB2574">
        <v>1</v>
      </c>
      <c r="AC2574" t="s">
        <v>113</v>
      </c>
      <c r="AD2574" t="s">
        <v>118</v>
      </c>
      <c r="AE2574" t="s">
        <v>43</v>
      </c>
      <c r="AF2574" t="s">
        <v>119</v>
      </c>
      <c r="AG2574" t="str">
        <f t="shared" si="43"/>
        <v>À Vista</v>
      </c>
      <c r="AH2574" t="str">
        <f>IF(AND(SUMIF(E:E,E2574,I:I)&gt;=400000,Q2574="B2G"),"n","")</f>
        <v/>
      </c>
    </row>
    <row r="2575" spans="1:34">
      <c r="A2575">
        <v>2026</v>
      </c>
      <c r="B2575">
        <v>3</v>
      </c>
      <c r="C2575" s="83">
        <v>209593154074</v>
      </c>
      <c r="D2575" t="s">
        <v>2343</v>
      </c>
      <c r="E2575">
        <v>58062291569</v>
      </c>
      <c r="F2575">
        <v>636567</v>
      </c>
      <c r="G2575">
        <v>53317412668</v>
      </c>
      <c r="H2575" t="s">
        <v>35</v>
      </c>
      <c r="I2575" s="36">
        <v>2586.6</v>
      </c>
      <c r="J2575" s="36">
        <v>2586.6</v>
      </c>
      <c r="K2575" s="85">
        <v>0</v>
      </c>
      <c r="L2575" s="36">
        <v>215.55</v>
      </c>
      <c r="M2575" s="36">
        <v>215.55</v>
      </c>
      <c r="N2575" s="36">
        <v>0</v>
      </c>
      <c r="O2575" s="36">
        <v>0</v>
      </c>
      <c r="P2575" t="s">
        <v>506</v>
      </c>
      <c r="Q2575" t="s">
        <v>300</v>
      </c>
      <c r="R2575" t="s">
        <v>300</v>
      </c>
      <c r="S2575" s="1">
        <v>46098</v>
      </c>
      <c r="T2575" s="1">
        <v>46098</v>
      </c>
      <c r="V2575" s="1">
        <v>46463</v>
      </c>
      <c r="W2575" t="s">
        <v>38</v>
      </c>
      <c r="X2575">
        <v>12</v>
      </c>
      <c r="Y2575" t="s">
        <v>49</v>
      </c>
      <c r="AA2575" t="s">
        <v>112</v>
      </c>
      <c r="AB2575">
        <v>12</v>
      </c>
      <c r="AC2575" t="s">
        <v>301</v>
      </c>
      <c r="AD2575" t="s">
        <v>140</v>
      </c>
      <c r="AE2575" t="s">
        <v>46</v>
      </c>
      <c r="AF2575" t="s">
        <v>119</v>
      </c>
      <c r="AG2575" t="str">
        <f t="shared" si="43"/>
        <v>CC 12x</v>
      </c>
      <c r="AH2575" t="str">
        <f>IF(AND(SUMIF(E:E,E2575,I:I)&gt;=400000,Q2575="B2G"),"n","")</f>
        <v/>
      </c>
    </row>
    <row r="2576" spans="1:34">
      <c r="A2576">
        <v>2026</v>
      </c>
      <c r="B2576">
        <v>3</v>
      </c>
      <c r="C2576" s="83">
        <v>2096560</v>
      </c>
      <c r="D2576" t="s">
        <v>2344</v>
      </c>
      <c r="E2576">
        <v>58168128268</v>
      </c>
      <c r="F2576">
        <v>636617</v>
      </c>
      <c r="G2576">
        <v>53407465117</v>
      </c>
      <c r="H2576" t="s">
        <v>35</v>
      </c>
      <c r="I2576" s="36">
        <v>5069.28</v>
      </c>
      <c r="J2576" s="36">
        <v>5069.2740000000003</v>
      </c>
      <c r="K2576" s="85">
        <v>6.0000000000000001E-3</v>
      </c>
      <c r="L2576" s="36">
        <v>422.43950000000001</v>
      </c>
      <c r="M2576" s="36">
        <v>422.43950000000001</v>
      </c>
      <c r="N2576" s="36">
        <v>0</v>
      </c>
      <c r="O2576" s="36">
        <v>0</v>
      </c>
      <c r="P2576" t="s">
        <v>506</v>
      </c>
      <c r="Q2576" t="s">
        <v>300</v>
      </c>
      <c r="R2576" t="s">
        <v>300</v>
      </c>
      <c r="S2576" s="1">
        <v>46101</v>
      </c>
      <c r="T2576" s="1">
        <v>46101</v>
      </c>
      <c r="V2576" s="1">
        <v>46466</v>
      </c>
      <c r="W2576" t="s">
        <v>38</v>
      </c>
      <c r="X2576">
        <v>12</v>
      </c>
      <c r="Y2576" t="s">
        <v>49</v>
      </c>
      <c r="AA2576" t="s">
        <v>112</v>
      </c>
      <c r="AB2576">
        <v>12</v>
      </c>
      <c r="AC2576" t="s">
        <v>301</v>
      </c>
      <c r="AD2576" t="s">
        <v>85</v>
      </c>
      <c r="AE2576" t="s">
        <v>46</v>
      </c>
      <c r="AF2576" t="s">
        <v>44</v>
      </c>
      <c r="AG2576" t="str">
        <f t="shared" si="43"/>
        <v>CC 12x</v>
      </c>
      <c r="AH2576" t="str">
        <f>IF(AND(SUMIF(E:E,E2576,I:I)&gt;=400000,Q2576="B2G"),"n","")</f>
        <v/>
      </c>
    </row>
    <row r="2577" spans="1:34">
      <c r="A2577">
        <v>2026</v>
      </c>
      <c r="B2577">
        <v>3</v>
      </c>
      <c r="C2577" s="83">
        <v>209663822690</v>
      </c>
      <c r="D2577" t="s">
        <v>2345</v>
      </c>
      <c r="E2577">
        <v>58179698720</v>
      </c>
      <c r="F2577">
        <v>636625</v>
      </c>
      <c r="G2577">
        <v>53409184611</v>
      </c>
      <c r="H2577" t="s">
        <v>35</v>
      </c>
      <c r="I2577" s="36">
        <v>3259.2</v>
      </c>
      <c r="J2577" s="36">
        <v>3259.2</v>
      </c>
      <c r="K2577" s="85">
        <v>0</v>
      </c>
      <c r="L2577" s="36">
        <v>271.60000000000002</v>
      </c>
      <c r="M2577" s="36">
        <v>271.60000000000002</v>
      </c>
      <c r="N2577" s="36">
        <v>0</v>
      </c>
      <c r="O2577" s="36">
        <v>0</v>
      </c>
      <c r="P2577" t="s">
        <v>506</v>
      </c>
      <c r="Q2577" t="s">
        <v>300</v>
      </c>
      <c r="R2577" t="s">
        <v>300</v>
      </c>
      <c r="S2577" s="1">
        <v>46101</v>
      </c>
      <c r="T2577" s="1">
        <v>46101</v>
      </c>
      <c r="V2577" s="1">
        <v>46466</v>
      </c>
      <c r="W2577" t="s">
        <v>38</v>
      </c>
      <c r="X2577">
        <v>12</v>
      </c>
      <c r="Y2577" t="s">
        <v>49</v>
      </c>
      <c r="AA2577" t="s">
        <v>122</v>
      </c>
      <c r="AB2577">
        <v>12</v>
      </c>
      <c r="AC2577" t="s">
        <v>301</v>
      </c>
      <c r="AD2577" t="s">
        <v>160</v>
      </c>
      <c r="AE2577" t="s">
        <v>43</v>
      </c>
      <c r="AF2577" t="s">
        <v>44</v>
      </c>
      <c r="AG2577" t="str">
        <f t="shared" si="43"/>
        <v>Recorrente</v>
      </c>
      <c r="AH2577" t="str">
        <f>IF(AND(SUMIF(E:E,E2577,I:I)&gt;=400000,Q2577="B2G"),"n","")</f>
        <v/>
      </c>
    </row>
    <row r="2578" spans="1:34">
      <c r="A2578">
        <v>2026</v>
      </c>
      <c r="B2578">
        <v>3</v>
      </c>
      <c r="C2578" s="83">
        <v>2097346</v>
      </c>
      <c r="D2578" t="s">
        <v>2346</v>
      </c>
      <c r="E2578">
        <v>58653696034</v>
      </c>
      <c r="F2578">
        <v>636830</v>
      </c>
      <c r="G2578">
        <v>53808657764</v>
      </c>
      <c r="H2578" t="s">
        <v>35</v>
      </c>
      <c r="I2578" s="36">
        <v>9354</v>
      </c>
      <c r="J2578" s="36">
        <v>9354</v>
      </c>
      <c r="K2578" s="85">
        <v>0</v>
      </c>
      <c r="L2578" s="36">
        <v>779.5</v>
      </c>
      <c r="M2578" s="36">
        <v>779.5</v>
      </c>
      <c r="N2578" s="36">
        <v>0</v>
      </c>
      <c r="O2578" s="36">
        <v>0</v>
      </c>
      <c r="P2578" t="s">
        <v>2004</v>
      </c>
      <c r="Q2578" t="s">
        <v>300</v>
      </c>
      <c r="R2578" t="s">
        <v>300</v>
      </c>
      <c r="S2578" s="1">
        <v>46112</v>
      </c>
      <c r="T2578" s="1">
        <v>46112</v>
      </c>
      <c r="U2578" s="1"/>
      <c r="V2578" s="1">
        <v>46477</v>
      </c>
      <c r="W2578" t="s">
        <v>38</v>
      </c>
      <c r="X2578">
        <v>12</v>
      </c>
      <c r="Y2578" t="s">
        <v>49</v>
      </c>
      <c r="AA2578" t="s">
        <v>122</v>
      </c>
      <c r="AB2578">
        <v>12</v>
      </c>
      <c r="AC2578" t="s">
        <v>301</v>
      </c>
      <c r="AD2578" t="s">
        <v>134</v>
      </c>
      <c r="AE2578" t="s">
        <v>135</v>
      </c>
      <c r="AF2578" t="s">
        <v>44</v>
      </c>
      <c r="AG2578" t="str">
        <f t="shared" si="43"/>
        <v>Recorrente</v>
      </c>
      <c r="AH2578" t="str">
        <f>IF(AND(SUMIF(E:E,E2578,I:I)&gt;=400000,Q2578="B2G"),"n","")</f>
        <v/>
      </c>
    </row>
    <row r="2579" spans="1:34">
      <c r="A2579">
        <v>2026</v>
      </c>
      <c r="B2579">
        <v>3</v>
      </c>
      <c r="C2579" s="83">
        <v>209756208258</v>
      </c>
      <c r="D2579" t="s">
        <v>2347</v>
      </c>
      <c r="E2579">
        <v>58061765400</v>
      </c>
      <c r="F2579">
        <v>636554</v>
      </c>
      <c r="G2579">
        <v>53241769006</v>
      </c>
      <c r="H2579" t="s">
        <v>35</v>
      </c>
      <c r="I2579" s="36">
        <v>4638.6000000000004</v>
      </c>
      <c r="J2579" s="36">
        <v>4638.6000000000004</v>
      </c>
      <c r="K2579" s="85">
        <v>0</v>
      </c>
      <c r="L2579" s="36">
        <v>386.55</v>
      </c>
      <c r="M2579" s="36">
        <v>386.55</v>
      </c>
      <c r="N2579" s="36">
        <v>0</v>
      </c>
      <c r="O2579" s="36">
        <v>0</v>
      </c>
      <c r="P2579" t="s">
        <v>506</v>
      </c>
      <c r="Q2579" t="s">
        <v>300</v>
      </c>
      <c r="R2579" t="s">
        <v>300</v>
      </c>
      <c r="S2579" s="1">
        <v>46098</v>
      </c>
      <c r="T2579" s="1">
        <v>46098</v>
      </c>
      <c r="U2579" s="1"/>
      <c r="V2579" s="1">
        <v>46463</v>
      </c>
      <c r="W2579" t="s">
        <v>38</v>
      </c>
      <c r="X2579">
        <v>12</v>
      </c>
      <c r="Y2579" t="s">
        <v>49</v>
      </c>
      <c r="AA2579" t="s">
        <v>112</v>
      </c>
      <c r="AB2579">
        <v>12</v>
      </c>
      <c r="AC2579" t="s">
        <v>301</v>
      </c>
      <c r="AD2579" t="s">
        <v>229</v>
      </c>
      <c r="AE2579" t="s">
        <v>43</v>
      </c>
      <c r="AF2579" t="s">
        <v>96</v>
      </c>
      <c r="AG2579" t="str">
        <f t="shared" si="43"/>
        <v>CC 12x</v>
      </c>
      <c r="AH2579" t="str">
        <f>IF(AND(SUMIF(E:E,E2579,I:I)&gt;=400000,Q2579="B2G"),"n","")</f>
        <v/>
      </c>
    </row>
    <row r="2580" spans="1:34">
      <c r="A2580">
        <v>2026</v>
      </c>
      <c r="B2580">
        <v>3</v>
      </c>
      <c r="C2580" s="83">
        <v>209789213779</v>
      </c>
      <c r="D2580" t="s">
        <v>2348</v>
      </c>
      <c r="E2580">
        <v>58061326388</v>
      </c>
      <c r="F2580">
        <v>636555</v>
      </c>
      <c r="G2580">
        <v>53241893434</v>
      </c>
      <c r="H2580" t="s">
        <v>35</v>
      </c>
      <c r="I2580" s="36">
        <v>2759.04</v>
      </c>
      <c r="J2580" s="36">
        <v>2759.04</v>
      </c>
      <c r="K2580" s="85">
        <v>0</v>
      </c>
      <c r="L2580" s="36">
        <v>229.92</v>
      </c>
      <c r="M2580" s="36">
        <v>229.92</v>
      </c>
      <c r="N2580" s="36">
        <v>0</v>
      </c>
      <c r="O2580" s="36">
        <v>0</v>
      </c>
      <c r="P2580" t="s">
        <v>829</v>
      </c>
      <c r="Q2580" t="s">
        <v>300</v>
      </c>
      <c r="R2580" t="s">
        <v>300</v>
      </c>
      <c r="S2580" s="1">
        <v>46098</v>
      </c>
      <c r="T2580" s="1">
        <v>46098</v>
      </c>
      <c r="V2580" s="1">
        <v>46463</v>
      </c>
      <c r="W2580" t="s">
        <v>38</v>
      </c>
      <c r="X2580">
        <v>12</v>
      </c>
      <c r="Y2580" t="s">
        <v>49</v>
      </c>
      <c r="AA2580" t="s">
        <v>112</v>
      </c>
      <c r="AB2580">
        <v>12</v>
      </c>
      <c r="AC2580" t="s">
        <v>301</v>
      </c>
      <c r="AD2580" t="s">
        <v>118</v>
      </c>
      <c r="AE2580" t="s">
        <v>43</v>
      </c>
      <c r="AF2580" t="s">
        <v>119</v>
      </c>
      <c r="AG2580" t="str">
        <f t="shared" si="43"/>
        <v>CC 12x</v>
      </c>
      <c r="AH2580" t="str">
        <f>IF(AND(SUMIF(E:E,E2580,I:I)&gt;=400000,Q2580="B2G"),"n","")</f>
        <v/>
      </c>
    </row>
    <row r="2581" spans="1:34">
      <c r="A2581">
        <v>2026</v>
      </c>
      <c r="B2581">
        <v>3</v>
      </c>
      <c r="C2581" s="83">
        <v>2098728</v>
      </c>
      <c r="D2581" t="s">
        <v>2349</v>
      </c>
      <c r="E2581">
        <v>53855154329</v>
      </c>
      <c r="F2581">
        <v>506744</v>
      </c>
      <c r="G2581">
        <v>49305683777</v>
      </c>
      <c r="H2581" t="s">
        <v>35</v>
      </c>
      <c r="I2581" s="36">
        <v>2874</v>
      </c>
      <c r="J2581" s="36">
        <v>2874</v>
      </c>
      <c r="K2581" s="85">
        <v>0</v>
      </c>
      <c r="L2581" s="36">
        <v>239.5</v>
      </c>
      <c r="M2581" s="36">
        <v>0</v>
      </c>
      <c r="N2581" s="36">
        <v>0.5</v>
      </c>
      <c r="O2581" s="36">
        <v>239</v>
      </c>
      <c r="P2581" t="s">
        <v>165</v>
      </c>
      <c r="Q2581" t="s">
        <v>166</v>
      </c>
      <c r="R2581" t="s">
        <v>166</v>
      </c>
      <c r="S2581" s="1">
        <v>46083</v>
      </c>
      <c r="T2581" s="1">
        <v>46083</v>
      </c>
      <c r="U2581" s="1">
        <v>46083</v>
      </c>
      <c r="V2581" s="1">
        <v>46448</v>
      </c>
      <c r="W2581" t="s">
        <v>38</v>
      </c>
      <c r="X2581">
        <v>12</v>
      </c>
      <c r="Y2581" t="s">
        <v>49</v>
      </c>
      <c r="Z2581" t="s">
        <v>81</v>
      </c>
      <c r="AA2581" t="s">
        <v>112</v>
      </c>
      <c r="AB2581">
        <v>1</v>
      </c>
      <c r="AC2581" t="s">
        <v>166</v>
      </c>
      <c r="AD2581" t="s">
        <v>140</v>
      </c>
      <c r="AE2581" t="s">
        <v>46</v>
      </c>
      <c r="AF2581" t="s">
        <v>119</v>
      </c>
      <c r="AG2581" t="str">
        <f t="shared" si="43"/>
        <v>À Vista</v>
      </c>
      <c r="AH2581" t="str">
        <f>IF(AND(SUMIF(E:E,E2581,I:I)&gt;=400000,Q2581="B2G"),"n","")</f>
        <v/>
      </c>
    </row>
    <row r="2582" spans="1:34">
      <c r="A2582">
        <v>2026</v>
      </c>
      <c r="B2582">
        <v>3</v>
      </c>
      <c r="C2582" s="83">
        <v>209873826934</v>
      </c>
      <c r="D2582" t="s">
        <v>2350</v>
      </c>
      <c r="E2582">
        <v>58108113706</v>
      </c>
      <c r="F2582">
        <v>636569</v>
      </c>
      <c r="G2582">
        <v>53336896075</v>
      </c>
      <c r="H2582" t="s">
        <v>35</v>
      </c>
      <c r="I2582" s="36">
        <v>3020.4</v>
      </c>
      <c r="J2582" s="36">
        <v>3020.4</v>
      </c>
      <c r="K2582" s="85">
        <v>4.5474699999999999E-13</v>
      </c>
      <c r="L2582" s="36">
        <v>251.7</v>
      </c>
      <c r="M2582" s="36">
        <v>251.7</v>
      </c>
      <c r="N2582" s="36">
        <v>0</v>
      </c>
      <c r="O2582" s="36">
        <v>0</v>
      </c>
      <c r="P2582" t="s">
        <v>829</v>
      </c>
      <c r="Q2582" t="s">
        <v>300</v>
      </c>
      <c r="R2582" t="s">
        <v>80</v>
      </c>
      <c r="S2582" s="1">
        <v>46099</v>
      </c>
      <c r="T2582" s="1">
        <v>46099</v>
      </c>
      <c r="U2582" s="1"/>
      <c r="V2582" s="1">
        <v>46464</v>
      </c>
      <c r="W2582" t="s">
        <v>38</v>
      </c>
      <c r="X2582">
        <v>12</v>
      </c>
      <c r="Y2582" t="s">
        <v>49</v>
      </c>
      <c r="AA2582" t="s">
        <v>122</v>
      </c>
      <c r="AB2582">
        <v>12</v>
      </c>
      <c r="AC2582" t="s">
        <v>495</v>
      </c>
      <c r="AD2582" t="s">
        <v>84</v>
      </c>
      <c r="AE2582" t="s">
        <v>43</v>
      </c>
      <c r="AF2582" t="s">
        <v>44</v>
      </c>
      <c r="AG2582" t="str">
        <f t="shared" si="43"/>
        <v>Recorrente</v>
      </c>
      <c r="AH2582" t="str">
        <f>IF(AND(SUMIF(E:E,E2582,I:I)&gt;=400000,Q2582="B2G"),"n","")</f>
        <v/>
      </c>
    </row>
    <row r="2583" spans="1:34">
      <c r="A2583">
        <v>2026</v>
      </c>
      <c r="B2583">
        <v>3</v>
      </c>
      <c r="C2583" s="83">
        <v>209898999612</v>
      </c>
      <c r="D2583" t="s">
        <v>2351</v>
      </c>
      <c r="E2583">
        <v>58205044099</v>
      </c>
      <c r="F2583">
        <v>636704</v>
      </c>
      <c r="G2583">
        <v>53571210756</v>
      </c>
      <c r="H2583" t="s">
        <v>35</v>
      </c>
      <c r="I2583" s="36">
        <v>2529.12</v>
      </c>
      <c r="J2583" s="36">
        <v>2529.12</v>
      </c>
      <c r="K2583" s="85">
        <v>0</v>
      </c>
      <c r="L2583" s="36">
        <v>210.76</v>
      </c>
      <c r="M2583" s="36">
        <v>210.76</v>
      </c>
      <c r="N2583" s="36">
        <v>0</v>
      </c>
      <c r="O2583" s="36">
        <v>0</v>
      </c>
      <c r="P2583" t="s">
        <v>829</v>
      </c>
      <c r="Q2583" t="s">
        <v>300</v>
      </c>
      <c r="R2583" t="s">
        <v>300</v>
      </c>
      <c r="S2583" s="1">
        <v>46106</v>
      </c>
      <c r="T2583" s="1">
        <v>46106</v>
      </c>
      <c r="U2583" s="1"/>
      <c r="V2583" s="1">
        <v>46471</v>
      </c>
      <c r="W2583" t="s">
        <v>38</v>
      </c>
      <c r="X2583">
        <v>12</v>
      </c>
      <c r="Y2583" t="s">
        <v>49</v>
      </c>
      <c r="AA2583" t="s">
        <v>112</v>
      </c>
      <c r="AB2583">
        <v>12</v>
      </c>
      <c r="AC2583" t="s">
        <v>301</v>
      </c>
      <c r="AD2583" t="s">
        <v>140</v>
      </c>
      <c r="AE2583" t="s">
        <v>46</v>
      </c>
      <c r="AF2583" t="s">
        <v>119</v>
      </c>
      <c r="AG2583" t="str">
        <f t="shared" si="43"/>
        <v>CC 12x</v>
      </c>
      <c r="AH2583" t="str">
        <f>IF(AND(SUMIF(E:E,E2583,I:I)&gt;=400000,Q2583="B2G"),"n","")</f>
        <v/>
      </c>
    </row>
    <row r="2584" spans="1:34">
      <c r="A2584">
        <v>2026</v>
      </c>
      <c r="B2584">
        <v>3</v>
      </c>
      <c r="C2584" s="83">
        <v>2099165</v>
      </c>
      <c r="D2584" t="s">
        <v>2352</v>
      </c>
      <c r="E2584">
        <v>57347085739</v>
      </c>
      <c r="F2584">
        <v>328038</v>
      </c>
      <c r="G2584">
        <v>52599360358</v>
      </c>
      <c r="H2584" t="s">
        <v>35</v>
      </c>
      <c r="I2584" s="36">
        <v>3749.52</v>
      </c>
      <c r="J2584" s="36">
        <v>3749.52</v>
      </c>
      <c r="K2584" s="85">
        <v>4.5474699999999999E-13</v>
      </c>
      <c r="L2584" s="36">
        <v>312.45999999999998</v>
      </c>
      <c r="M2584" s="36">
        <v>312.45999999999998</v>
      </c>
      <c r="N2584" s="36">
        <v>0</v>
      </c>
      <c r="O2584" s="36">
        <v>0</v>
      </c>
      <c r="P2584" t="s">
        <v>162</v>
      </c>
      <c r="Q2584" t="s">
        <v>111</v>
      </c>
      <c r="R2584" t="s">
        <v>111</v>
      </c>
      <c r="S2584" s="1">
        <v>46083</v>
      </c>
      <c r="T2584" s="1">
        <v>46083</v>
      </c>
      <c r="U2584" s="1">
        <v>46042</v>
      </c>
      <c r="V2584" s="1">
        <v>46448</v>
      </c>
      <c r="W2584" t="s">
        <v>38</v>
      </c>
      <c r="X2584">
        <v>14</v>
      </c>
      <c r="Y2584" t="s">
        <v>49</v>
      </c>
      <c r="Z2584" t="s">
        <v>81</v>
      </c>
      <c r="AA2584" t="s">
        <v>112</v>
      </c>
      <c r="AB2584">
        <v>1</v>
      </c>
      <c r="AC2584" t="s">
        <v>113</v>
      </c>
      <c r="AD2584" t="s">
        <v>138</v>
      </c>
      <c r="AE2584" t="s">
        <v>135</v>
      </c>
      <c r="AF2584" t="s">
        <v>119</v>
      </c>
      <c r="AG2584" t="str">
        <f t="shared" si="43"/>
        <v>À Vista</v>
      </c>
      <c r="AH2584" t="str">
        <f>IF(AND(SUMIF(E:E,E2584,I:I)&gt;=400000,Q2584="B2G"),"n","")</f>
        <v/>
      </c>
    </row>
    <row r="2585" spans="1:34">
      <c r="A2585">
        <v>2026</v>
      </c>
      <c r="B2585">
        <v>3</v>
      </c>
      <c r="C2585" s="83">
        <v>2100120</v>
      </c>
      <c r="D2585" t="s">
        <v>2353</v>
      </c>
      <c r="E2585">
        <v>55399114405</v>
      </c>
      <c r="F2585">
        <v>507968</v>
      </c>
      <c r="G2585">
        <v>50715652393</v>
      </c>
      <c r="H2585" t="s">
        <v>35</v>
      </c>
      <c r="I2585" s="36">
        <v>8418.6</v>
      </c>
      <c r="J2585" s="36">
        <v>8418.6</v>
      </c>
      <c r="K2585" s="85">
        <v>0</v>
      </c>
      <c r="L2585" s="36">
        <v>701.55</v>
      </c>
      <c r="M2585" s="36">
        <v>0</v>
      </c>
      <c r="N2585" s="36">
        <v>175.01</v>
      </c>
      <c r="O2585" s="36">
        <v>526.54</v>
      </c>
      <c r="P2585" t="s">
        <v>165</v>
      </c>
      <c r="Q2585" t="s">
        <v>166</v>
      </c>
      <c r="R2585" t="s">
        <v>166</v>
      </c>
      <c r="S2585" s="1">
        <v>46101</v>
      </c>
      <c r="T2585" s="1">
        <v>46101</v>
      </c>
      <c r="U2585" s="1">
        <v>46101</v>
      </c>
      <c r="V2585" s="1">
        <v>46466</v>
      </c>
      <c r="W2585" t="s">
        <v>38</v>
      </c>
      <c r="X2585">
        <v>12</v>
      </c>
      <c r="Y2585" t="s">
        <v>49</v>
      </c>
      <c r="Z2585" t="s">
        <v>81</v>
      </c>
      <c r="AA2585" t="s">
        <v>122</v>
      </c>
      <c r="AB2585">
        <v>12</v>
      </c>
      <c r="AC2585" t="s">
        <v>166</v>
      </c>
      <c r="AD2585" t="s">
        <v>134</v>
      </c>
      <c r="AE2585" t="s">
        <v>135</v>
      </c>
      <c r="AF2585" t="s">
        <v>44</v>
      </c>
      <c r="AG2585" t="str">
        <f t="shared" si="43"/>
        <v>Recorrente</v>
      </c>
      <c r="AH2585" t="str">
        <f>IF(AND(SUMIF(E:E,E2585,I:I)&gt;=400000,Q2585="B2G"),"n","")</f>
        <v/>
      </c>
    </row>
    <row r="2586" spans="1:34">
      <c r="A2586">
        <v>2026</v>
      </c>
      <c r="B2586">
        <v>3</v>
      </c>
      <c r="C2586" s="83">
        <v>2100206</v>
      </c>
      <c r="D2586" t="s">
        <v>2354</v>
      </c>
      <c r="E2586">
        <v>58048207504</v>
      </c>
      <c r="F2586">
        <v>636574</v>
      </c>
      <c r="G2586">
        <v>53342624173</v>
      </c>
      <c r="H2586" t="s">
        <v>35</v>
      </c>
      <c r="I2586" s="36">
        <v>6064.2</v>
      </c>
      <c r="J2586" s="36">
        <v>6064.2575999999999</v>
      </c>
      <c r="K2586" s="85">
        <v>0</v>
      </c>
      <c r="L2586" s="36">
        <v>505.35480000000001</v>
      </c>
      <c r="M2586" s="36">
        <v>505.35480000000001</v>
      </c>
      <c r="N2586" s="36">
        <v>0</v>
      </c>
      <c r="O2586" s="36">
        <v>0</v>
      </c>
      <c r="P2586" t="s">
        <v>506</v>
      </c>
      <c r="Q2586" t="s">
        <v>300</v>
      </c>
      <c r="R2586" t="s">
        <v>300</v>
      </c>
      <c r="S2586" s="1">
        <v>46099</v>
      </c>
      <c r="T2586" s="1">
        <v>46099</v>
      </c>
      <c r="U2586" s="1"/>
      <c r="V2586" s="1">
        <v>46464</v>
      </c>
      <c r="W2586" t="s">
        <v>38</v>
      </c>
      <c r="X2586">
        <v>12</v>
      </c>
      <c r="Y2586" t="s">
        <v>49</v>
      </c>
      <c r="AA2586" t="s">
        <v>122</v>
      </c>
      <c r="AB2586">
        <v>12</v>
      </c>
      <c r="AC2586" t="s">
        <v>301</v>
      </c>
      <c r="AD2586" t="s">
        <v>149</v>
      </c>
      <c r="AE2586" t="s">
        <v>43</v>
      </c>
      <c r="AF2586" t="s">
        <v>96</v>
      </c>
      <c r="AG2586" t="str">
        <f t="shared" si="43"/>
        <v>Recorrente</v>
      </c>
      <c r="AH2586" t="str">
        <f>IF(AND(SUMIF(E:E,E2586,I:I)&gt;=400000,Q2586="B2G"),"n","")</f>
        <v/>
      </c>
    </row>
    <row r="2587" spans="1:34">
      <c r="A2587">
        <v>2026</v>
      </c>
      <c r="B2587">
        <v>3</v>
      </c>
      <c r="C2587" s="83">
        <v>210033286465</v>
      </c>
      <c r="D2587" t="s">
        <v>2355</v>
      </c>
      <c r="E2587">
        <v>54216115631</v>
      </c>
      <c r="F2587">
        <v>610724</v>
      </c>
      <c r="G2587">
        <v>49599163492</v>
      </c>
      <c r="H2587" t="s">
        <v>35</v>
      </c>
      <c r="I2587" s="36">
        <v>2874</v>
      </c>
      <c r="J2587" s="36">
        <v>2874</v>
      </c>
      <c r="K2587" s="85">
        <v>0</v>
      </c>
      <c r="L2587" s="36">
        <v>239.5</v>
      </c>
      <c r="M2587" s="36">
        <v>0</v>
      </c>
      <c r="N2587" s="36">
        <v>24.4</v>
      </c>
      <c r="O2587" s="36">
        <v>215.1</v>
      </c>
      <c r="P2587" t="s">
        <v>165</v>
      </c>
      <c r="Q2587" t="s">
        <v>166</v>
      </c>
      <c r="R2587" t="s">
        <v>166</v>
      </c>
      <c r="S2587" s="1">
        <v>46087</v>
      </c>
      <c r="T2587" s="1">
        <v>46087</v>
      </c>
      <c r="U2587" s="1">
        <v>46087</v>
      </c>
      <c r="V2587" s="1">
        <v>46452</v>
      </c>
      <c r="W2587" t="s">
        <v>38</v>
      </c>
      <c r="X2587">
        <v>12</v>
      </c>
      <c r="Y2587" t="s">
        <v>49</v>
      </c>
      <c r="Z2587" t="s">
        <v>81</v>
      </c>
      <c r="AA2587" t="s">
        <v>112</v>
      </c>
      <c r="AB2587">
        <v>12</v>
      </c>
      <c r="AC2587" t="s">
        <v>166</v>
      </c>
      <c r="AD2587" t="s">
        <v>118</v>
      </c>
      <c r="AE2587" t="s">
        <v>43</v>
      </c>
      <c r="AF2587" t="s">
        <v>119</v>
      </c>
      <c r="AG2587" t="str">
        <f t="shared" si="43"/>
        <v>CC 12x</v>
      </c>
      <c r="AH2587" t="str">
        <f>IF(AND(SUMIF(E:E,E2587,I:I)&gt;=400000,Q2587="B2G"),"n","")</f>
        <v/>
      </c>
    </row>
    <row r="2588" spans="1:34">
      <c r="A2588">
        <v>2026</v>
      </c>
      <c r="B2588">
        <v>3</v>
      </c>
      <c r="C2588" s="83">
        <v>2101127</v>
      </c>
      <c r="D2588" t="s">
        <v>2356</v>
      </c>
      <c r="E2588">
        <v>56007390738</v>
      </c>
      <c r="F2588">
        <v>507855</v>
      </c>
      <c r="G2588">
        <v>51319399534</v>
      </c>
      <c r="H2588" t="s">
        <v>35</v>
      </c>
      <c r="I2588" s="36">
        <v>4530.6000000000004</v>
      </c>
      <c r="J2588" s="36">
        <v>4530.6000000000004</v>
      </c>
      <c r="K2588" s="85">
        <v>0</v>
      </c>
      <c r="L2588" s="36">
        <v>377.55</v>
      </c>
      <c r="M2588" s="36">
        <v>0</v>
      </c>
      <c r="N2588" s="36">
        <v>99.45</v>
      </c>
      <c r="O2588" s="36">
        <v>278.10000000000002</v>
      </c>
      <c r="P2588" t="s">
        <v>165</v>
      </c>
      <c r="Q2588" t="s">
        <v>166</v>
      </c>
      <c r="R2588" t="s">
        <v>166</v>
      </c>
      <c r="S2588" s="1">
        <v>46107</v>
      </c>
      <c r="T2588" s="1">
        <v>46107</v>
      </c>
      <c r="U2588" s="1">
        <v>46109</v>
      </c>
      <c r="V2588" s="1">
        <v>46474</v>
      </c>
      <c r="W2588" t="s">
        <v>38</v>
      </c>
      <c r="X2588">
        <v>12</v>
      </c>
      <c r="Y2588" t="s">
        <v>49</v>
      </c>
      <c r="Z2588" t="s">
        <v>81</v>
      </c>
      <c r="AA2588" t="s">
        <v>122</v>
      </c>
      <c r="AB2588">
        <v>12</v>
      </c>
      <c r="AC2588" t="s">
        <v>166</v>
      </c>
      <c r="AD2588" t="s">
        <v>84</v>
      </c>
      <c r="AE2588" t="s">
        <v>43</v>
      </c>
      <c r="AF2588" t="s">
        <v>44</v>
      </c>
      <c r="AG2588" t="str">
        <f t="shared" si="43"/>
        <v>Recorrente</v>
      </c>
      <c r="AH2588" t="str">
        <f>IF(AND(SUMIF(E:E,E2588,I:I)&gt;=400000,Q2588="B2G"),"n","")</f>
        <v/>
      </c>
    </row>
    <row r="2589" spans="1:34">
      <c r="A2589">
        <v>2026</v>
      </c>
      <c r="B2589">
        <v>3</v>
      </c>
      <c r="C2589" s="83">
        <v>210118140684</v>
      </c>
      <c r="D2589" t="s">
        <v>2357</v>
      </c>
      <c r="E2589">
        <v>58213680788</v>
      </c>
      <c r="F2589">
        <v>636640</v>
      </c>
      <c r="G2589">
        <v>53451825680</v>
      </c>
      <c r="H2589" t="s">
        <v>35</v>
      </c>
      <c r="I2589" s="36">
        <v>2874</v>
      </c>
      <c r="J2589" s="36">
        <v>2874</v>
      </c>
      <c r="K2589" s="85">
        <v>0</v>
      </c>
      <c r="L2589" s="36">
        <v>239.5</v>
      </c>
      <c r="M2589" s="36">
        <v>239.5</v>
      </c>
      <c r="N2589" s="36">
        <v>0</v>
      </c>
      <c r="O2589" s="36">
        <v>0</v>
      </c>
      <c r="P2589" t="s">
        <v>511</v>
      </c>
      <c r="Q2589" t="s">
        <v>300</v>
      </c>
      <c r="R2589" t="s">
        <v>300</v>
      </c>
      <c r="S2589" s="1">
        <v>46104</v>
      </c>
      <c r="T2589" s="1">
        <v>46104</v>
      </c>
      <c r="V2589" s="1">
        <v>46469</v>
      </c>
      <c r="W2589" t="s">
        <v>38</v>
      </c>
      <c r="X2589">
        <v>12</v>
      </c>
      <c r="Y2589" t="s">
        <v>49</v>
      </c>
      <c r="AA2589" t="s">
        <v>122</v>
      </c>
      <c r="AB2589">
        <v>12</v>
      </c>
      <c r="AC2589" t="s">
        <v>301</v>
      </c>
      <c r="AD2589" t="s">
        <v>118</v>
      </c>
      <c r="AE2589" t="s">
        <v>43</v>
      </c>
      <c r="AF2589" t="s">
        <v>119</v>
      </c>
      <c r="AG2589" t="str">
        <f t="shared" si="43"/>
        <v>Recorrente</v>
      </c>
      <c r="AH2589" t="str">
        <f>IF(AND(SUMIF(E:E,E2589,I:I)&gt;=400000,Q2589="B2G"),"n","")</f>
        <v/>
      </c>
    </row>
    <row r="2590" spans="1:34">
      <c r="A2590">
        <v>2026</v>
      </c>
      <c r="B2590">
        <v>3</v>
      </c>
      <c r="C2590" s="83">
        <v>210172764974</v>
      </c>
      <c r="D2590" t="s">
        <v>2358</v>
      </c>
      <c r="E2590">
        <v>58025028193</v>
      </c>
      <c r="F2590">
        <v>636548</v>
      </c>
      <c r="G2590">
        <v>53239565841</v>
      </c>
      <c r="H2590" t="s">
        <v>35</v>
      </c>
      <c r="I2590" s="36">
        <v>361</v>
      </c>
      <c r="J2590" s="36">
        <v>4332</v>
      </c>
      <c r="K2590" s="85">
        <v>0</v>
      </c>
      <c r="L2590" s="36">
        <v>361</v>
      </c>
      <c r="M2590" s="36">
        <v>361</v>
      </c>
      <c r="N2590" s="36">
        <v>0</v>
      </c>
      <c r="O2590" s="36">
        <v>0</v>
      </c>
      <c r="P2590" t="s">
        <v>127</v>
      </c>
      <c r="Q2590" t="s">
        <v>111</v>
      </c>
      <c r="R2590" t="s">
        <v>111</v>
      </c>
      <c r="S2590" s="1">
        <v>46097</v>
      </c>
      <c r="T2590" s="1">
        <v>46097</v>
      </c>
      <c r="U2590" s="1"/>
      <c r="V2590" s="1">
        <v>46128</v>
      </c>
      <c r="W2590" t="s">
        <v>679</v>
      </c>
      <c r="X2590">
        <v>1</v>
      </c>
      <c r="Y2590" t="s">
        <v>49</v>
      </c>
      <c r="AA2590" t="s">
        <v>117</v>
      </c>
      <c r="AB2590">
        <v>1</v>
      </c>
      <c r="AC2590" t="s">
        <v>113</v>
      </c>
      <c r="AD2590" t="s">
        <v>118</v>
      </c>
      <c r="AE2590" t="s">
        <v>43</v>
      </c>
      <c r="AF2590" t="s">
        <v>119</v>
      </c>
      <c r="AG2590" t="str">
        <f t="shared" si="43"/>
        <v>À Vista</v>
      </c>
      <c r="AH2590" t="str">
        <f>IF(AND(SUMIF(E:E,E2590,I:I)&gt;=400000,Q2590="B2G"),"n","")</f>
        <v/>
      </c>
    </row>
    <row r="2591" spans="1:34">
      <c r="A2591">
        <v>2026</v>
      </c>
      <c r="B2591">
        <v>3</v>
      </c>
      <c r="C2591" s="83">
        <v>210191772795</v>
      </c>
      <c r="D2591" t="s">
        <v>2359</v>
      </c>
      <c r="E2591">
        <v>58157067119</v>
      </c>
      <c r="F2591">
        <v>636624</v>
      </c>
      <c r="G2591">
        <v>53409948283</v>
      </c>
      <c r="H2591" t="s">
        <v>35</v>
      </c>
      <c r="I2591" s="36">
        <v>2483.04</v>
      </c>
      <c r="J2591" s="36">
        <v>2483.04</v>
      </c>
      <c r="K2591" s="85">
        <v>0</v>
      </c>
      <c r="L2591" s="36">
        <v>206.92</v>
      </c>
      <c r="M2591" s="36">
        <v>206.92</v>
      </c>
      <c r="N2591" s="36">
        <v>0</v>
      </c>
      <c r="O2591" s="36">
        <v>0</v>
      </c>
      <c r="P2591" t="s">
        <v>1073</v>
      </c>
      <c r="Q2591" t="s">
        <v>314</v>
      </c>
      <c r="R2591" t="s">
        <v>314</v>
      </c>
      <c r="S2591" s="1">
        <v>46101</v>
      </c>
      <c r="T2591" s="1">
        <v>46101</v>
      </c>
      <c r="U2591" s="1"/>
      <c r="V2591" s="1">
        <v>46466</v>
      </c>
      <c r="W2591" t="s">
        <v>38</v>
      </c>
      <c r="X2591">
        <v>12</v>
      </c>
      <c r="Y2591" t="s">
        <v>49</v>
      </c>
      <c r="AA2591" t="s">
        <v>112</v>
      </c>
      <c r="AB2591">
        <v>12</v>
      </c>
      <c r="AC2591" t="s">
        <v>315</v>
      </c>
      <c r="AD2591" t="s">
        <v>140</v>
      </c>
      <c r="AE2591" t="s">
        <v>46</v>
      </c>
      <c r="AF2591" t="s">
        <v>119</v>
      </c>
      <c r="AG2591" t="str">
        <f t="shared" si="43"/>
        <v>CC 12x</v>
      </c>
      <c r="AH2591" t="str">
        <f>IF(AND(SUMIF(E:E,E2591,I:I)&gt;=400000,Q2591="B2G"),"n","")</f>
        <v/>
      </c>
    </row>
    <row r="2592" spans="1:34">
      <c r="A2592">
        <v>2026</v>
      </c>
      <c r="B2592">
        <v>3</v>
      </c>
      <c r="C2592" s="83">
        <v>2102739</v>
      </c>
      <c r="D2592" t="s">
        <v>2360</v>
      </c>
      <c r="E2592">
        <v>58010304678</v>
      </c>
      <c r="F2592">
        <v>636522</v>
      </c>
      <c r="G2592">
        <v>53213214844</v>
      </c>
      <c r="H2592" t="s">
        <v>35</v>
      </c>
      <c r="I2592" s="36">
        <v>2874</v>
      </c>
      <c r="J2592" s="36">
        <v>2874</v>
      </c>
      <c r="K2592" s="85">
        <v>0</v>
      </c>
      <c r="L2592" s="36">
        <v>239.5</v>
      </c>
      <c r="M2592" s="36">
        <v>239.5</v>
      </c>
      <c r="N2592" s="36">
        <v>0</v>
      </c>
      <c r="O2592" s="36">
        <v>0</v>
      </c>
      <c r="P2592" t="s">
        <v>497</v>
      </c>
      <c r="Q2592" t="s">
        <v>498</v>
      </c>
      <c r="R2592" t="s">
        <v>498</v>
      </c>
      <c r="S2592" s="1">
        <v>46096</v>
      </c>
      <c r="T2592" s="1">
        <v>46096</v>
      </c>
      <c r="U2592" s="1"/>
      <c r="V2592" s="1">
        <v>46461</v>
      </c>
      <c r="W2592" t="s">
        <v>38</v>
      </c>
      <c r="X2592">
        <v>12</v>
      </c>
      <c r="Y2592" t="s">
        <v>49</v>
      </c>
      <c r="AA2592" t="s">
        <v>112</v>
      </c>
      <c r="AB2592">
        <v>12</v>
      </c>
      <c r="AC2592" t="s">
        <v>499</v>
      </c>
      <c r="AD2592" t="s">
        <v>118</v>
      </c>
      <c r="AE2592" t="s">
        <v>43</v>
      </c>
      <c r="AF2592" t="s">
        <v>119</v>
      </c>
      <c r="AG2592" t="str">
        <f t="shared" si="43"/>
        <v>CC 12x</v>
      </c>
      <c r="AH2592" t="str">
        <f>IF(AND(SUMIF(E:E,E2592,I:I)&gt;=400000,Q2592="B2G"),"n","")</f>
        <v/>
      </c>
    </row>
    <row r="2593" spans="1:34">
      <c r="A2593">
        <v>2026</v>
      </c>
      <c r="B2593">
        <v>3</v>
      </c>
      <c r="C2593" s="83">
        <v>2102763</v>
      </c>
      <c r="D2593" t="s">
        <v>2361</v>
      </c>
      <c r="E2593">
        <v>54793052325</v>
      </c>
      <c r="F2593">
        <v>627406</v>
      </c>
      <c r="G2593">
        <v>50110277527</v>
      </c>
      <c r="H2593" t="s">
        <v>35</v>
      </c>
      <c r="I2593" s="36">
        <v>12954.6</v>
      </c>
      <c r="J2593" s="36">
        <v>12954.6</v>
      </c>
      <c r="K2593" s="85">
        <v>1.8189900000000001E-12</v>
      </c>
      <c r="L2593" s="36">
        <v>1079.55</v>
      </c>
      <c r="M2593" s="36">
        <v>0</v>
      </c>
      <c r="N2593" s="36">
        <v>132.65</v>
      </c>
      <c r="O2593" s="36">
        <v>946.9</v>
      </c>
      <c r="P2593" t="s">
        <v>165</v>
      </c>
      <c r="Q2593" t="s">
        <v>166</v>
      </c>
      <c r="R2593" t="s">
        <v>166</v>
      </c>
      <c r="S2593" s="1">
        <v>46095</v>
      </c>
      <c r="T2593" s="1">
        <v>46095</v>
      </c>
      <c r="U2593" s="1">
        <v>46095</v>
      </c>
      <c r="V2593" s="1">
        <v>46460</v>
      </c>
      <c r="W2593" t="s">
        <v>38</v>
      </c>
      <c r="X2593">
        <v>12</v>
      </c>
      <c r="Y2593" t="s">
        <v>49</v>
      </c>
      <c r="Z2593" t="s">
        <v>81</v>
      </c>
      <c r="AA2593" t="s">
        <v>122</v>
      </c>
      <c r="AB2593">
        <v>12</v>
      </c>
      <c r="AC2593" t="s">
        <v>166</v>
      </c>
      <c r="AD2593" t="s">
        <v>154</v>
      </c>
      <c r="AE2593" t="s">
        <v>46</v>
      </c>
      <c r="AF2593" t="s">
        <v>47</v>
      </c>
      <c r="AG2593" t="str">
        <f t="shared" si="43"/>
        <v>Recorrente</v>
      </c>
      <c r="AH2593" t="str">
        <f>IF(AND(SUMIF(E:E,E2593,I:I)&gt;=400000,Q2593="B2G"),"n","")</f>
        <v/>
      </c>
    </row>
    <row r="2594" spans="1:34">
      <c r="A2594">
        <v>2026</v>
      </c>
      <c r="B2594">
        <v>3</v>
      </c>
      <c r="C2594" s="83">
        <v>210339808359</v>
      </c>
      <c r="D2594" t="s">
        <v>2362</v>
      </c>
      <c r="E2594">
        <v>58169961791</v>
      </c>
      <c r="F2594">
        <v>636609</v>
      </c>
      <c r="G2594">
        <v>53405151149</v>
      </c>
      <c r="H2594" t="s">
        <v>35</v>
      </c>
      <c r="I2594" s="36">
        <v>2759.04</v>
      </c>
      <c r="J2594" s="36">
        <v>2759.04</v>
      </c>
      <c r="K2594" s="85">
        <v>0</v>
      </c>
      <c r="L2594" s="36">
        <v>229.92</v>
      </c>
      <c r="M2594" s="36">
        <v>229.92</v>
      </c>
      <c r="N2594" s="36">
        <v>0</v>
      </c>
      <c r="O2594" s="36">
        <v>0</v>
      </c>
      <c r="P2594" t="s">
        <v>2004</v>
      </c>
      <c r="Q2594" t="s">
        <v>300</v>
      </c>
      <c r="R2594" t="s">
        <v>300</v>
      </c>
      <c r="S2594" s="1">
        <v>46100</v>
      </c>
      <c r="T2594" s="1">
        <v>46100</v>
      </c>
      <c r="U2594" s="1"/>
      <c r="V2594" s="1">
        <v>46465</v>
      </c>
      <c r="W2594" t="s">
        <v>38</v>
      </c>
      <c r="X2594">
        <v>12</v>
      </c>
      <c r="Y2594" t="s">
        <v>49</v>
      </c>
      <c r="AA2594" t="s">
        <v>112</v>
      </c>
      <c r="AB2594">
        <v>12</v>
      </c>
      <c r="AC2594" t="s">
        <v>301</v>
      </c>
      <c r="AD2594" t="s">
        <v>118</v>
      </c>
      <c r="AE2594" t="s">
        <v>43</v>
      </c>
      <c r="AF2594" t="s">
        <v>119</v>
      </c>
      <c r="AG2594" t="str">
        <f t="shared" si="43"/>
        <v>CC 12x</v>
      </c>
      <c r="AH2594" t="str">
        <f>IF(AND(SUMIF(E:E,E2594,I:I)&gt;=400000,Q2594="B2G"),"n","")</f>
        <v/>
      </c>
    </row>
    <row r="2595" spans="1:34">
      <c r="A2595">
        <v>2026</v>
      </c>
      <c r="B2595">
        <v>3</v>
      </c>
      <c r="C2595" s="83">
        <v>2103510</v>
      </c>
      <c r="D2595" t="s">
        <v>2363</v>
      </c>
      <c r="E2595">
        <v>57278265740</v>
      </c>
      <c r="F2595">
        <v>514724</v>
      </c>
      <c r="G2595">
        <v>52952178067</v>
      </c>
      <c r="H2595" t="s">
        <v>35</v>
      </c>
      <c r="I2595" s="36">
        <v>3865.44</v>
      </c>
      <c r="J2595" s="36">
        <v>3865.44</v>
      </c>
      <c r="K2595" s="85">
        <v>0</v>
      </c>
      <c r="L2595" s="36">
        <v>322.12</v>
      </c>
      <c r="M2595" s="36">
        <v>0</v>
      </c>
      <c r="N2595" s="36">
        <v>27.204999999999998</v>
      </c>
      <c r="O2595" s="36">
        <v>294.92</v>
      </c>
      <c r="P2595" t="s">
        <v>110</v>
      </c>
      <c r="Q2595" t="s">
        <v>111</v>
      </c>
      <c r="R2595" t="s">
        <v>111</v>
      </c>
      <c r="S2595" s="1">
        <v>46101</v>
      </c>
      <c r="T2595" s="1">
        <v>46101</v>
      </c>
      <c r="U2595" s="1">
        <v>46110</v>
      </c>
      <c r="V2595" s="1">
        <v>46475</v>
      </c>
      <c r="W2595" t="s">
        <v>38</v>
      </c>
      <c r="X2595">
        <v>12</v>
      </c>
      <c r="Y2595" t="s">
        <v>49</v>
      </c>
      <c r="Z2595" t="s">
        <v>81</v>
      </c>
      <c r="AA2595" t="s">
        <v>117</v>
      </c>
      <c r="AB2595">
        <v>1</v>
      </c>
      <c r="AC2595" t="s">
        <v>113</v>
      </c>
      <c r="AD2595" t="s">
        <v>229</v>
      </c>
      <c r="AE2595" t="s">
        <v>43</v>
      </c>
      <c r="AF2595" t="s">
        <v>96</v>
      </c>
      <c r="AG2595" t="str">
        <f t="shared" si="43"/>
        <v>À Vista</v>
      </c>
      <c r="AH2595" t="str">
        <f>IF(AND(SUMIF(E:E,E2595,I:I)&gt;=400000,Q2595="B2G"),"n","")</f>
        <v/>
      </c>
    </row>
    <row r="2596" spans="1:34">
      <c r="A2596">
        <v>2026</v>
      </c>
      <c r="B2596">
        <v>3</v>
      </c>
      <c r="C2596" s="83">
        <v>2103625</v>
      </c>
      <c r="D2596" t="s">
        <v>2364</v>
      </c>
      <c r="E2596">
        <v>55694647463</v>
      </c>
      <c r="F2596">
        <v>508317</v>
      </c>
      <c r="G2596">
        <v>52798680596</v>
      </c>
      <c r="H2596" t="s">
        <v>35</v>
      </c>
      <c r="I2596" s="36">
        <v>3883.92</v>
      </c>
      <c r="J2596" s="36">
        <v>3883.92</v>
      </c>
      <c r="K2596" s="85">
        <v>0</v>
      </c>
      <c r="L2596" s="36">
        <v>323.66000000000003</v>
      </c>
      <c r="M2596" s="36">
        <v>0</v>
      </c>
      <c r="N2596" s="36">
        <v>46.162500000000001</v>
      </c>
      <c r="O2596" s="36">
        <v>277.5</v>
      </c>
      <c r="P2596" t="s">
        <v>137</v>
      </c>
      <c r="Q2596" t="s">
        <v>111</v>
      </c>
      <c r="R2596" t="s">
        <v>111</v>
      </c>
      <c r="S2596" s="1">
        <v>46085</v>
      </c>
      <c r="T2596" s="1">
        <v>46085</v>
      </c>
      <c r="U2596" s="1">
        <v>46104</v>
      </c>
      <c r="V2596" s="1">
        <v>46469</v>
      </c>
      <c r="W2596" t="s">
        <v>38</v>
      </c>
      <c r="X2596">
        <v>12</v>
      </c>
      <c r="Y2596" t="s">
        <v>49</v>
      </c>
      <c r="Z2596" t="s">
        <v>81</v>
      </c>
      <c r="AA2596" t="s">
        <v>112</v>
      </c>
      <c r="AB2596">
        <v>12</v>
      </c>
      <c r="AC2596" t="s">
        <v>113</v>
      </c>
      <c r="AD2596" t="s">
        <v>85</v>
      </c>
      <c r="AE2596" t="s">
        <v>46</v>
      </c>
      <c r="AF2596" t="s">
        <v>44</v>
      </c>
      <c r="AG2596" t="str">
        <f t="shared" si="43"/>
        <v>CC 12x</v>
      </c>
      <c r="AH2596" t="str">
        <f>IF(AND(SUMIF(E:E,E2596,I:I)&gt;=400000,Q2596="B2G"),"n","")</f>
        <v/>
      </c>
    </row>
    <row r="2597" spans="1:34">
      <c r="A2597">
        <v>2026</v>
      </c>
      <c r="B2597">
        <v>3</v>
      </c>
      <c r="C2597" s="83">
        <v>210426085557</v>
      </c>
      <c r="D2597" t="s">
        <v>2365</v>
      </c>
      <c r="E2597">
        <v>58101687479</v>
      </c>
      <c r="F2597">
        <v>636612</v>
      </c>
      <c r="G2597">
        <v>53405060924</v>
      </c>
      <c r="H2597" t="s">
        <v>35</v>
      </c>
      <c r="I2597" s="36">
        <v>2100.84</v>
      </c>
      <c r="J2597" s="36">
        <v>2100.9</v>
      </c>
      <c r="K2597" s="85">
        <v>0</v>
      </c>
      <c r="L2597" s="36">
        <v>175.07499999999999</v>
      </c>
      <c r="M2597" s="36">
        <v>175.07499999999999</v>
      </c>
      <c r="N2597" s="36">
        <v>0</v>
      </c>
      <c r="O2597" s="36">
        <v>0</v>
      </c>
      <c r="P2597" t="s">
        <v>1073</v>
      </c>
      <c r="Q2597" t="s">
        <v>314</v>
      </c>
      <c r="R2597" t="s">
        <v>314</v>
      </c>
      <c r="S2597" s="1">
        <v>46101</v>
      </c>
      <c r="T2597" s="1">
        <v>46101</v>
      </c>
      <c r="U2597" s="1"/>
      <c r="V2597" s="1">
        <v>46466</v>
      </c>
      <c r="W2597" t="s">
        <v>38</v>
      </c>
      <c r="X2597">
        <v>12</v>
      </c>
      <c r="Y2597" t="s">
        <v>49</v>
      </c>
      <c r="AA2597" t="s">
        <v>117</v>
      </c>
      <c r="AB2597">
        <v>1</v>
      </c>
      <c r="AC2597" t="s">
        <v>315</v>
      </c>
      <c r="AD2597" t="s">
        <v>140</v>
      </c>
      <c r="AE2597" t="s">
        <v>46</v>
      </c>
      <c r="AF2597" t="s">
        <v>119</v>
      </c>
      <c r="AG2597" t="str">
        <f t="shared" si="43"/>
        <v>À Vista</v>
      </c>
      <c r="AH2597" t="str">
        <f>IF(AND(SUMIF(E:E,E2597,I:I)&gt;=400000,Q2597="B2G"),"n","")</f>
        <v/>
      </c>
    </row>
    <row r="2598" spans="1:34">
      <c r="A2598">
        <v>2026</v>
      </c>
      <c r="B2598">
        <v>3</v>
      </c>
      <c r="C2598" s="83">
        <v>2104555</v>
      </c>
      <c r="D2598" t="s">
        <v>2366</v>
      </c>
      <c r="E2598">
        <v>54695670571</v>
      </c>
      <c r="F2598">
        <v>505819</v>
      </c>
      <c r="G2598">
        <v>53094529605</v>
      </c>
      <c r="H2598" t="s">
        <v>35</v>
      </c>
      <c r="I2598" s="36">
        <v>3584.04</v>
      </c>
      <c r="J2598" s="36">
        <v>3584.04</v>
      </c>
      <c r="K2598" s="85">
        <v>0</v>
      </c>
      <c r="L2598" s="36">
        <v>298.67</v>
      </c>
      <c r="M2598" s="36">
        <v>0</v>
      </c>
      <c r="N2598" s="36">
        <v>0</v>
      </c>
      <c r="O2598" s="36">
        <v>298.67500000000001</v>
      </c>
      <c r="P2598" t="s">
        <v>133</v>
      </c>
      <c r="Q2598" t="s">
        <v>111</v>
      </c>
      <c r="R2598" t="s">
        <v>111</v>
      </c>
      <c r="S2598" s="1">
        <v>46092</v>
      </c>
      <c r="T2598" s="1">
        <v>46092</v>
      </c>
      <c r="U2598" s="1">
        <v>46068</v>
      </c>
      <c r="V2598" s="1">
        <v>46457</v>
      </c>
      <c r="W2598" t="s">
        <v>38</v>
      </c>
      <c r="X2598">
        <v>13</v>
      </c>
      <c r="Y2598" t="s">
        <v>49</v>
      </c>
      <c r="Z2598" t="s">
        <v>81</v>
      </c>
      <c r="AA2598" t="s">
        <v>117</v>
      </c>
      <c r="AB2598">
        <v>1</v>
      </c>
      <c r="AC2598" t="s">
        <v>113</v>
      </c>
      <c r="AD2598" t="s">
        <v>138</v>
      </c>
      <c r="AE2598" t="s">
        <v>135</v>
      </c>
      <c r="AF2598" t="s">
        <v>119</v>
      </c>
      <c r="AG2598" t="str">
        <f t="shared" si="43"/>
        <v>À Vista</v>
      </c>
      <c r="AH2598" t="str">
        <f>IF(AND(SUMIF(E:E,E2598,I:I)&gt;=400000,Q2598="B2G"),"n","")</f>
        <v/>
      </c>
    </row>
    <row r="2599" spans="1:34">
      <c r="A2599">
        <v>2026</v>
      </c>
      <c r="B2599">
        <v>3</v>
      </c>
      <c r="C2599" s="83">
        <v>210527198500</v>
      </c>
      <c r="D2599" t="s">
        <v>2367</v>
      </c>
      <c r="E2599">
        <v>56017110318</v>
      </c>
      <c r="F2599">
        <v>612105</v>
      </c>
      <c r="G2599">
        <v>51320527137</v>
      </c>
      <c r="H2599" t="s">
        <v>35</v>
      </c>
      <c r="I2599" s="36">
        <v>2874</v>
      </c>
      <c r="J2599" s="36">
        <v>2874</v>
      </c>
      <c r="K2599" s="85">
        <v>0</v>
      </c>
      <c r="L2599" s="36">
        <v>239.5</v>
      </c>
      <c r="M2599" s="36">
        <v>0</v>
      </c>
      <c r="N2599" s="36">
        <v>12.45</v>
      </c>
      <c r="O2599" s="36">
        <v>227.05</v>
      </c>
      <c r="P2599" t="s">
        <v>165</v>
      </c>
      <c r="Q2599" t="s">
        <v>166</v>
      </c>
      <c r="R2599" t="s">
        <v>166</v>
      </c>
      <c r="S2599" s="1">
        <v>46107</v>
      </c>
      <c r="T2599" s="1">
        <v>46107</v>
      </c>
      <c r="U2599" s="1">
        <v>46109</v>
      </c>
      <c r="V2599" s="1">
        <v>46474</v>
      </c>
      <c r="W2599" t="s">
        <v>38</v>
      </c>
      <c r="X2599">
        <v>12</v>
      </c>
      <c r="Y2599" t="s">
        <v>49</v>
      </c>
      <c r="Z2599" t="s">
        <v>81</v>
      </c>
      <c r="AA2599" t="s">
        <v>112</v>
      </c>
      <c r="AB2599">
        <v>12</v>
      </c>
      <c r="AC2599" t="s">
        <v>166</v>
      </c>
      <c r="AD2599" t="s">
        <v>140</v>
      </c>
      <c r="AE2599" t="s">
        <v>46</v>
      </c>
      <c r="AF2599" t="s">
        <v>119</v>
      </c>
      <c r="AG2599" t="str">
        <f t="shared" si="43"/>
        <v>CC 12x</v>
      </c>
      <c r="AH2599" t="str">
        <f>IF(AND(SUMIF(E:E,E2599,I:I)&gt;=400000,Q2599="B2G"),"n","")</f>
        <v/>
      </c>
    </row>
    <row r="2600" spans="1:34">
      <c r="A2600">
        <v>2026</v>
      </c>
      <c r="B2600">
        <v>3</v>
      </c>
      <c r="C2600" s="83">
        <v>210529917870</v>
      </c>
      <c r="D2600" t="s">
        <v>2368</v>
      </c>
      <c r="E2600">
        <v>58206505734</v>
      </c>
      <c r="F2600">
        <v>636643</v>
      </c>
      <c r="G2600">
        <v>53409251220</v>
      </c>
      <c r="H2600" t="s">
        <v>35</v>
      </c>
      <c r="I2600" s="36">
        <v>2874</v>
      </c>
      <c r="J2600" s="36">
        <v>2874</v>
      </c>
      <c r="K2600" s="85">
        <v>0</v>
      </c>
      <c r="L2600" s="36">
        <v>239.5</v>
      </c>
      <c r="M2600" s="36">
        <v>239.5</v>
      </c>
      <c r="N2600" s="36">
        <v>0</v>
      </c>
      <c r="O2600" s="36">
        <v>0</v>
      </c>
      <c r="P2600" t="s">
        <v>2004</v>
      </c>
      <c r="Q2600" t="s">
        <v>300</v>
      </c>
      <c r="R2600" t="s">
        <v>300</v>
      </c>
      <c r="S2600" s="1">
        <v>46104</v>
      </c>
      <c r="T2600" s="1">
        <v>46104</v>
      </c>
      <c r="V2600" s="1">
        <v>46469</v>
      </c>
      <c r="W2600" t="s">
        <v>38</v>
      </c>
      <c r="X2600">
        <v>12</v>
      </c>
      <c r="Y2600" t="s">
        <v>49</v>
      </c>
      <c r="AA2600" t="s">
        <v>122</v>
      </c>
      <c r="AB2600">
        <v>12</v>
      </c>
      <c r="AC2600" t="s">
        <v>301</v>
      </c>
      <c r="AD2600" t="s">
        <v>118</v>
      </c>
      <c r="AE2600" t="s">
        <v>43</v>
      </c>
      <c r="AF2600" t="s">
        <v>119</v>
      </c>
      <c r="AG2600" t="str">
        <f t="shared" si="43"/>
        <v>Recorrente</v>
      </c>
      <c r="AH2600" t="str">
        <f>IF(AND(SUMIF(E:E,E2600,I:I)&gt;=400000,Q2600="B2G"),"n","")</f>
        <v/>
      </c>
    </row>
    <row r="2601" spans="1:34">
      <c r="A2601">
        <v>2026</v>
      </c>
      <c r="B2601">
        <v>3</v>
      </c>
      <c r="C2601" s="83">
        <v>210537634412</v>
      </c>
      <c r="D2601" t="s">
        <v>2369</v>
      </c>
      <c r="E2601">
        <v>58051252889</v>
      </c>
      <c r="F2601">
        <v>636557</v>
      </c>
      <c r="G2601">
        <v>53239668326</v>
      </c>
      <c r="H2601" t="s">
        <v>35</v>
      </c>
      <c r="I2601" s="36">
        <v>2874</v>
      </c>
      <c r="J2601" s="36">
        <v>2874</v>
      </c>
      <c r="K2601" s="85">
        <v>0</v>
      </c>
      <c r="L2601" s="36">
        <v>239.5</v>
      </c>
      <c r="M2601" s="36">
        <v>239.5</v>
      </c>
      <c r="N2601" s="36">
        <v>0</v>
      </c>
      <c r="O2601" s="36">
        <v>0</v>
      </c>
      <c r="P2601" t="s">
        <v>2004</v>
      </c>
      <c r="Q2601" t="s">
        <v>300</v>
      </c>
      <c r="R2601" t="s">
        <v>300</v>
      </c>
      <c r="S2601" s="1">
        <v>46098</v>
      </c>
      <c r="T2601" s="1">
        <v>46098</v>
      </c>
      <c r="U2601" s="1"/>
      <c r="V2601" s="1">
        <v>46463</v>
      </c>
      <c r="W2601" t="s">
        <v>38</v>
      </c>
      <c r="X2601">
        <v>12</v>
      </c>
      <c r="Y2601" t="s">
        <v>49</v>
      </c>
      <c r="AA2601" t="s">
        <v>122</v>
      </c>
      <c r="AB2601">
        <v>12</v>
      </c>
      <c r="AC2601" t="s">
        <v>301</v>
      </c>
      <c r="AD2601" t="s">
        <v>140</v>
      </c>
      <c r="AE2601" t="s">
        <v>46</v>
      </c>
      <c r="AF2601" t="s">
        <v>119</v>
      </c>
      <c r="AG2601" t="str">
        <f t="shared" si="43"/>
        <v>Recorrente</v>
      </c>
      <c r="AH2601" t="str">
        <f>IF(AND(SUMIF(E:E,E2601,I:I)&gt;=400000,Q2601="B2G"),"n","")</f>
        <v/>
      </c>
    </row>
    <row r="2602" spans="1:34">
      <c r="A2602">
        <v>2026</v>
      </c>
      <c r="B2602">
        <v>3</v>
      </c>
      <c r="C2602" s="83">
        <v>210549895252</v>
      </c>
      <c r="D2602" t="s">
        <v>2370</v>
      </c>
      <c r="E2602">
        <v>57595020688</v>
      </c>
      <c r="F2602">
        <v>636408</v>
      </c>
      <c r="G2602">
        <v>52952459809</v>
      </c>
      <c r="H2602" t="s">
        <v>35</v>
      </c>
      <c r="I2602" s="36">
        <v>2224.44</v>
      </c>
      <c r="J2602" s="36">
        <v>2224.44</v>
      </c>
      <c r="K2602" s="85">
        <v>0</v>
      </c>
      <c r="L2602" s="36">
        <v>185.37</v>
      </c>
      <c r="M2602" s="36">
        <v>185.37</v>
      </c>
      <c r="N2602" s="36">
        <v>0</v>
      </c>
      <c r="O2602" s="36">
        <v>0</v>
      </c>
      <c r="P2602" t="s">
        <v>1073</v>
      </c>
      <c r="Q2602" t="s">
        <v>314</v>
      </c>
      <c r="R2602" t="s">
        <v>314</v>
      </c>
      <c r="S2602" s="1">
        <v>46090</v>
      </c>
      <c r="T2602" s="1">
        <v>46090</v>
      </c>
      <c r="U2602" s="1"/>
      <c r="V2602" s="1">
        <v>46455</v>
      </c>
      <c r="W2602" t="s">
        <v>38</v>
      </c>
      <c r="X2602">
        <v>12</v>
      </c>
      <c r="Y2602" t="s">
        <v>49</v>
      </c>
      <c r="AA2602" t="s">
        <v>117</v>
      </c>
      <c r="AB2602">
        <v>1</v>
      </c>
      <c r="AC2602" t="s">
        <v>315</v>
      </c>
      <c r="AD2602" t="s">
        <v>140</v>
      </c>
      <c r="AE2602" t="s">
        <v>46</v>
      </c>
      <c r="AF2602" t="s">
        <v>119</v>
      </c>
      <c r="AG2602" t="str">
        <f t="shared" si="43"/>
        <v>À Vista</v>
      </c>
      <c r="AH2602" t="str">
        <f>IF(AND(SUMIF(E:E,E2602,I:I)&gt;=400000,Q2602="B2G"),"n","")</f>
        <v/>
      </c>
    </row>
    <row r="2603" spans="1:34">
      <c r="A2603">
        <v>2026</v>
      </c>
      <c r="B2603">
        <v>3</v>
      </c>
      <c r="C2603" s="83">
        <v>2106620</v>
      </c>
      <c r="D2603" t="s">
        <v>2371</v>
      </c>
      <c r="E2603">
        <v>55662498930</v>
      </c>
      <c r="F2603">
        <v>508081</v>
      </c>
      <c r="G2603">
        <v>51101024015</v>
      </c>
      <c r="H2603" t="s">
        <v>35</v>
      </c>
      <c r="I2603" s="36">
        <v>2874</v>
      </c>
      <c r="J2603" s="36">
        <v>2874</v>
      </c>
      <c r="K2603" s="85">
        <v>0</v>
      </c>
      <c r="L2603" s="36">
        <v>239.5</v>
      </c>
      <c r="M2603" s="36">
        <v>0</v>
      </c>
      <c r="N2603" s="36">
        <v>30.85</v>
      </c>
      <c r="O2603" s="36">
        <v>208.65</v>
      </c>
      <c r="P2603" t="s">
        <v>127</v>
      </c>
      <c r="Q2603" t="s">
        <v>111</v>
      </c>
      <c r="R2603" t="s">
        <v>111</v>
      </c>
      <c r="S2603" s="1">
        <v>46064</v>
      </c>
      <c r="T2603" s="1">
        <v>46082</v>
      </c>
      <c r="U2603" s="1">
        <v>46104</v>
      </c>
      <c r="V2603" s="1">
        <v>46469</v>
      </c>
      <c r="W2603" t="s">
        <v>38</v>
      </c>
      <c r="X2603">
        <v>12</v>
      </c>
      <c r="Y2603" t="s">
        <v>49</v>
      </c>
      <c r="Z2603" t="s">
        <v>81</v>
      </c>
      <c r="AA2603" t="s">
        <v>112</v>
      </c>
      <c r="AB2603">
        <v>12</v>
      </c>
      <c r="AC2603" t="s">
        <v>113</v>
      </c>
      <c r="AD2603" t="s">
        <v>140</v>
      </c>
      <c r="AE2603" t="s">
        <v>46</v>
      </c>
      <c r="AF2603" t="s">
        <v>119</v>
      </c>
      <c r="AG2603" t="str">
        <f t="shared" si="43"/>
        <v>CC 12x</v>
      </c>
      <c r="AH2603" t="str">
        <f>IF(AND(SUMIF(E:E,E2603,I:I)&gt;=400000,Q2603="B2G"),"n","")</f>
        <v/>
      </c>
    </row>
    <row r="2604" spans="1:34">
      <c r="A2604">
        <v>2026</v>
      </c>
      <c r="B2604">
        <v>3</v>
      </c>
      <c r="C2604" s="83">
        <v>210703810117</v>
      </c>
      <c r="D2604" t="s">
        <v>2372</v>
      </c>
      <c r="E2604">
        <v>55942496614</v>
      </c>
      <c r="F2604">
        <v>627664</v>
      </c>
      <c r="G2604">
        <v>51236028182</v>
      </c>
      <c r="H2604" t="s">
        <v>35</v>
      </c>
      <c r="I2604" s="36">
        <v>2874</v>
      </c>
      <c r="J2604" s="36">
        <v>2874</v>
      </c>
      <c r="K2604" s="85">
        <v>0</v>
      </c>
      <c r="L2604" s="36">
        <v>239.5</v>
      </c>
      <c r="M2604" s="36">
        <v>0</v>
      </c>
      <c r="N2604" s="36">
        <v>46.51</v>
      </c>
      <c r="O2604" s="36">
        <v>192.99</v>
      </c>
      <c r="P2604" t="s">
        <v>165</v>
      </c>
      <c r="Q2604" t="s">
        <v>166</v>
      </c>
      <c r="R2604" t="s">
        <v>166</v>
      </c>
      <c r="S2604" s="1">
        <v>46102</v>
      </c>
      <c r="T2604" s="1">
        <v>46102</v>
      </c>
      <c r="U2604" s="1">
        <v>46102</v>
      </c>
      <c r="V2604" s="1">
        <v>46467</v>
      </c>
      <c r="W2604" t="s">
        <v>38</v>
      </c>
      <c r="X2604">
        <v>12</v>
      </c>
      <c r="Y2604" t="s">
        <v>49</v>
      </c>
      <c r="Z2604" t="s">
        <v>81</v>
      </c>
      <c r="AA2604" t="s">
        <v>112</v>
      </c>
      <c r="AB2604">
        <v>12</v>
      </c>
      <c r="AC2604" t="s">
        <v>166</v>
      </c>
      <c r="AD2604" t="s">
        <v>140</v>
      </c>
      <c r="AE2604" t="s">
        <v>46</v>
      </c>
      <c r="AF2604" t="s">
        <v>119</v>
      </c>
      <c r="AG2604" t="str">
        <f t="shared" si="43"/>
        <v>CC 12x</v>
      </c>
      <c r="AH2604" t="str">
        <f>IF(AND(SUMIF(E:E,E2604,I:I)&gt;=400000,Q2604="B2G"),"n","")</f>
        <v/>
      </c>
    </row>
    <row r="2605" spans="1:34">
      <c r="A2605">
        <v>2026</v>
      </c>
      <c r="B2605">
        <v>3</v>
      </c>
      <c r="C2605" s="83">
        <v>210744707858</v>
      </c>
      <c r="D2605" t="s">
        <v>2373</v>
      </c>
      <c r="E2605">
        <v>55936048016</v>
      </c>
      <c r="F2605">
        <v>627165</v>
      </c>
      <c r="G2605">
        <v>51256362406</v>
      </c>
      <c r="H2605" t="s">
        <v>35</v>
      </c>
      <c r="I2605" s="36">
        <v>4962.6000000000004</v>
      </c>
      <c r="J2605" s="36">
        <v>4962.6000000000004</v>
      </c>
      <c r="K2605" s="85">
        <v>0</v>
      </c>
      <c r="L2605" s="36">
        <v>413.55</v>
      </c>
      <c r="M2605" s="36">
        <v>0</v>
      </c>
      <c r="N2605" s="36">
        <v>48.9</v>
      </c>
      <c r="O2605" s="36">
        <v>364.65</v>
      </c>
      <c r="P2605" t="s">
        <v>165</v>
      </c>
      <c r="Q2605" t="s">
        <v>166</v>
      </c>
      <c r="R2605" t="s">
        <v>166</v>
      </c>
      <c r="S2605" s="1">
        <v>46087</v>
      </c>
      <c r="T2605" s="1">
        <v>46087</v>
      </c>
      <c r="U2605" s="1">
        <v>46087</v>
      </c>
      <c r="V2605" s="1">
        <v>46452</v>
      </c>
      <c r="W2605" t="s">
        <v>38</v>
      </c>
      <c r="X2605">
        <v>12</v>
      </c>
      <c r="Y2605" t="s">
        <v>49</v>
      </c>
      <c r="Z2605" t="s">
        <v>81</v>
      </c>
      <c r="AA2605" t="s">
        <v>112</v>
      </c>
      <c r="AB2605">
        <v>12</v>
      </c>
      <c r="AC2605" t="s">
        <v>166</v>
      </c>
      <c r="AD2605" t="s">
        <v>138</v>
      </c>
      <c r="AE2605" t="s">
        <v>135</v>
      </c>
      <c r="AF2605" t="s">
        <v>119</v>
      </c>
      <c r="AG2605" t="str">
        <f t="shared" si="43"/>
        <v>CC 12x</v>
      </c>
      <c r="AH2605" t="str">
        <f>IF(AND(SUMIF(E:E,E2605,I:I)&gt;=400000,Q2605="B2G"),"n","")</f>
        <v/>
      </c>
    </row>
    <row r="2606" spans="1:34">
      <c r="A2606">
        <v>2026</v>
      </c>
      <c r="B2606">
        <v>3</v>
      </c>
      <c r="C2606" s="83">
        <v>2107571</v>
      </c>
      <c r="D2606" t="s">
        <v>2374</v>
      </c>
      <c r="E2606">
        <v>58322734192</v>
      </c>
      <c r="F2606">
        <v>636727</v>
      </c>
      <c r="G2606">
        <v>53608319270</v>
      </c>
      <c r="H2606" t="s">
        <v>35</v>
      </c>
      <c r="I2606" s="36">
        <v>4560</v>
      </c>
      <c r="J2606" s="36">
        <v>4560</v>
      </c>
      <c r="K2606" s="85">
        <v>0</v>
      </c>
      <c r="L2606" s="36">
        <v>380</v>
      </c>
      <c r="M2606" s="36">
        <v>380</v>
      </c>
      <c r="N2606" s="36">
        <v>0</v>
      </c>
      <c r="O2606" s="36">
        <v>0</v>
      </c>
      <c r="P2606" t="s">
        <v>313</v>
      </c>
      <c r="Q2606" t="s">
        <v>314</v>
      </c>
      <c r="R2606" t="s">
        <v>314</v>
      </c>
      <c r="S2606" s="1">
        <v>46108</v>
      </c>
      <c r="T2606" s="1">
        <v>46108</v>
      </c>
      <c r="V2606" s="1">
        <v>46473</v>
      </c>
      <c r="W2606" t="s">
        <v>38</v>
      </c>
      <c r="X2606">
        <v>12</v>
      </c>
      <c r="Y2606" t="s">
        <v>49</v>
      </c>
      <c r="AA2606" t="s">
        <v>117</v>
      </c>
      <c r="AB2606">
        <v>1</v>
      </c>
      <c r="AC2606" t="s">
        <v>315</v>
      </c>
      <c r="AD2606" t="s">
        <v>85</v>
      </c>
      <c r="AE2606" t="s">
        <v>46</v>
      </c>
      <c r="AF2606" t="s">
        <v>44</v>
      </c>
      <c r="AG2606" t="str">
        <f t="shared" si="43"/>
        <v>À Vista</v>
      </c>
      <c r="AH2606" t="str">
        <f>IF(AND(SUMIF(E:E,E2606,I:I)&gt;=400000,Q2606="B2G"),"n","")</f>
        <v/>
      </c>
    </row>
    <row r="2607" spans="1:34">
      <c r="A2607">
        <v>2026</v>
      </c>
      <c r="B2607">
        <v>3</v>
      </c>
      <c r="C2607" s="83">
        <v>2107731</v>
      </c>
      <c r="D2607" t="s">
        <v>2375</v>
      </c>
      <c r="E2607">
        <v>56941293230</v>
      </c>
      <c r="F2607">
        <v>527426</v>
      </c>
      <c r="G2607">
        <v>52698145642</v>
      </c>
      <c r="H2607" t="s">
        <v>35</v>
      </c>
      <c r="I2607" s="36">
        <v>2874</v>
      </c>
      <c r="J2607" s="36">
        <v>2874</v>
      </c>
      <c r="K2607" s="85">
        <v>0</v>
      </c>
      <c r="L2607" s="36">
        <v>239.5</v>
      </c>
      <c r="M2607" s="36">
        <v>0</v>
      </c>
      <c r="N2607" s="36">
        <v>0</v>
      </c>
      <c r="O2607" s="36">
        <v>239.5</v>
      </c>
      <c r="P2607" t="s">
        <v>190</v>
      </c>
      <c r="Q2607" t="s">
        <v>111</v>
      </c>
      <c r="R2607" t="s">
        <v>111</v>
      </c>
      <c r="S2607" s="1">
        <v>46084</v>
      </c>
      <c r="T2607" s="1">
        <v>46084</v>
      </c>
      <c r="U2607" s="1">
        <v>46081</v>
      </c>
      <c r="V2607" s="1">
        <v>46449</v>
      </c>
      <c r="W2607" t="s">
        <v>38</v>
      </c>
      <c r="X2607">
        <v>13</v>
      </c>
      <c r="Y2607" t="s">
        <v>49</v>
      </c>
      <c r="Z2607" t="s">
        <v>76</v>
      </c>
      <c r="AA2607" t="s">
        <v>122</v>
      </c>
      <c r="AB2607">
        <v>12</v>
      </c>
      <c r="AC2607" t="s">
        <v>113</v>
      </c>
      <c r="AD2607" t="s">
        <v>140</v>
      </c>
      <c r="AE2607" t="s">
        <v>46</v>
      </c>
      <c r="AF2607" t="s">
        <v>119</v>
      </c>
      <c r="AG2607" t="str">
        <f t="shared" si="43"/>
        <v>Recorrente</v>
      </c>
      <c r="AH2607" t="str">
        <f>IF(AND(SUMIF(E:E,E2607,I:I)&gt;=400000,Q2607="B2G"),"n","")</f>
        <v/>
      </c>
    </row>
    <row r="2608" spans="1:34">
      <c r="A2608">
        <v>2026</v>
      </c>
      <c r="B2608">
        <v>3</v>
      </c>
      <c r="C2608" s="83">
        <v>2108753</v>
      </c>
      <c r="D2608" t="s">
        <v>2376</v>
      </c>
      <c r="E2608">
        <v>57596383341</v>
      </c>
      <c r="F2608">
        <v>636404</v>
      </c>
      <c r="G2608">
        <v>52952593250</v>
      </c>
      <c r="H2608" t="s">
        <v>35</v>
      </c>
      <c r="I2608" s="36">
        <v>2586.6</v>
      </c>
      <c r="J2608" s="36">
        <v>2586.6</v>
      </c>
      <c r="K2608" s="85">
        <v>0</v>
      </c>
      <c r="L2608" s="36">
        <v>215.55</v>
      </c>
      <c r="M2608" s="36">
        <v>215.55</v>
      </c>
      <c r="N2608" s="36">
        <v>0</v>
      </c>
      <c r="O2608" s="36">
        <v>0</v>
      </c>
      <c r="P2608" t="s">
        <v>313</v>
      </c>
      <c r="Q2608" t="s">
        <v>314</v>
      </c>
      <c r="R2608" t="s">
        <v>314</v>
      </c>
      <c r="S2608" s="1">
        <v>46088</v>
      </c>
      <c r="T2608" s="1">
        <v>46088</v>
      </c>
      <c r="V2608" s="1">
        <v>46453</v>
      </c>
      <c r="W2608" t="s">
        <v>38</v>
      </c>
      <c r="X2608">
        <v>12</v>
      </c>
      <c r="Y2608" t="s">
        <v>49</v>
      </c>
      <c r="AA2608" t="s">
        <v>117</v>
      </c>
      <c r="AB2608">
        <v>1</v>
      </c>
      <c r="AC2608" t="s">
        <v>315</v>
      </c>
      <c r="AD2608" t="s">
        <v>140</v>
      </c>
      <c r="AE2608" t="s">
        <v>46</v>
      </c>
      <c r="AF2608" t="s">
        <v>119</v>
      </c>
      <c r="AG2608" t="str">
        <f t="shared" si="43"/>
        <v>À Vista</v>
      </c>
      <c r="AH2608" t="str">
        <f>IF(AND(SUMIF(E:E,E2608,I:I)&gt;=400000,Q2608="B2G"),"n","")</f>
        <v/>
      </c>
    </row>
    <row r="2609" spans="1:34">
      <c r="A2609">
        <v>2026</v>
      </c>
      <c r="B2609">
        <v>3</v>
      </c>
      <c r="C2609" s="83">
        <v>2108800</v>
      </c>
      <c r="D2609" t="s">
        <v>2377</v>
      </c>
      <c r="E2609">
        <v>58448073494</v>
      </c>
      <c r="F2609">
        <v>327557</v>
      </c>
      <c r="G2609">
        <v>53640500289</v>
      </c>
      <c r="H2609" t="s">
        <v>35</v>
      </c>
      <c r="I2609" s="36">
        <v>4686.84</v>
      </c>
      <c r="J2609" s="36">
        <v>4686.84</v>
      </c>
      <c r="K2609" s="85">
        <v>0</v>
      </c>
      <c r="L2609" s="36">
        <v>390.57</v>
      </c>
      <c r="M2609" s="36">
        <v>390.57</v>
      </c>
      <c r="N2609" s="36">
        <v>0</v>
      </c>
      <c r="O2609" s="36">
        <v>0</v>
      </c>
      <c r="P2609" t="s">
        <v>162</v>
      </c>
      <c r="Q2609" t="s">
        <v>111</v>
      </c>
      <c r="R2609" t="s">
        <v>111</v>
      </c>
      <c r="S2609" s="1">
        <v>46108</v>
      </c>
      <c r="T2609" s="1">
        <v>46108</v>
      </c>
      <c r="U2609" s="1">
        <v>46019</v>
      </c>
      <c r="V2609" s="1">
        <v>46472</v>
      </c>
      <c r="W2609" t="s">
        <v>38</v>
      </c>
      <c r="X2609">
        <v>15</v>
      </c>
      <c r="Y2609" t="s">
        <v>49</v>
      </c>
      <c r="Z2609" t="s">
        <v>81</v>
      </c>
      <c r="AA2609" t="s">
        <v>112</v>
      </c>
      <c r="AB2609">
        <v>12</v>
      </c>
      <c r="AC2609" t="s">
        <v>113</v>
      </c>
      <c r="AD2609" t="s">
        <v>138</v>
      </c>
      <c r="AE2609" t="s">
        <v>135</v>
      </c>
      <c r="AF2609" t="s">
        <v>119</v>
      </c>
      <c r="AG2609" t="str">
        <f t="shared" si="43"/>
        <v>CC 12x</v>
      </c>
      <c r="AH2609" t="str">
        <f>IF(AND(SUMIF(E:E,E2609,I:I)&gt;=400000,Q2609="B2G"),"n","")</f>
        <v/>
      </c>
    </row>
    <row r="2610" spans="1:34">
      <c r="A2610">
        <v>2026</v>
      </c>
      <c r="B2610">
        <v>3</v>
      </c>
      <c r="C2610" s="83">
        <v>2109391</v>
      </c>
      <c r="D2610" t="s">
        <v>2378</v>
      </c>
      <c r="E2610">
        <v>57562241705</v>
      </c>
      <c r="F2610">
        <v>636373</v>
      </c>
      <c r="G2610">
        <v>52811644802</v>
      </c>
      <c r="H2610" t="s">
        <v>35</v>
      </c>
      <c r="I2610" s="36">
        <v>5293.44</v>
      </c>
      <c r="J2610" s="36">
        <v>5293.44</v>
      </c>
      <c r="K2610" s="85">
        <v>0</v>
      </c>
      <c r="L2610" s="36">
        <v>441.12</v>
      </c>
      <c r="M2610" s="36">
        <v>441.12</v>
      </c>
      <c r="N2610" s="36">
        <v>0</v>
      </c>
      <c r="O2610" s="36">
        <v>0</v>
      </c>
      <c r="P2610" t="s">
        <v>829</v>
      </c>
      <c r="Q2610" t="s">
        <v>300</v>
      </c>
      <c r="R2610" t="s">
        <v>300</v>
      </c>
      <c r="S2610" s="1">
        <v>46086</v>
      </c>
      <c r="T2610" s="1">
        <v>46086</v>
      </c>
      <c r="U2610" s="1"/>
      <c r="V2610" s="1">
        <v>46451</v>
      </c>
      <c r="W2610" t="s">
        <v>38</v>
      </c>
      <c r="X2610">
        <v>12</v>
      </c>
      <c r="Y2610" t="s">
        <v>49</v>
      </c>
      <c r="AA2610" t="s">
        <v>112</v>
      </c>
      <c r="AB2610">
        <v>12</v>
      </c>
      <c r="AC2610" t="s">
        <v>301</v>
      </c>
      <c r="AD2610" t="s">
        <v>138</v>
      </c>
      <c r="AE2610" t="s">
        <v>135</v>
      </c>
      <c r="AF2610" t="s">
        <v>119</v>
      </c>
      <c r="AG2610" t="str">
        <f t="shared" si="43"/>
        <v>CC 12x</v>
      </c>
      <c r="AH2610" t="str">
        <f>IF(AND(SUMIF(E:E,E2610,I:I)&gt;=400000,Q2610="B2G"),"n","")</f>
        <v/>
      </c>
    </row>
    <row r="2611" spans="1:34">
      <c r="A2611">
        <v>2026</v>
      </c>
      <c r="B2611">
        <v>3</v>
      </c>
      <c r="C2611" s="83">
        <v>2109610</v>
      </c>
      <c r="D2611" t="s">
        <v>1503</v>
      </c>
      <c r="E2611">
        <v>54365411628</v>
      </c>
      <c r="F2611">
        <v>507254</v>
      </c>
      <c r="G2611">
        <v>49725748011</v>
      </c>
      <c r="H2611" t="s">
        <v>35</v>
      </c>
      <c r="I2611" s="36">
        <v>5034</v>
      </c>
      <c r="J2611" s="36">
        <v>5034</v>
      </c>
      <c r="K2611" s="85">
        <v>0</v>
      </c>
      <c r="L2611" s="36">
        <v>419.5</v>
      </c>
      <c r="M2611" s="36">
        <v>0</v>
      </c>
      <c r="N2611" s="36">
        <v>32.5</v>
      </c>
      <c r="O2611" s="36">
        <v>387</v>
      </c>
      <c r="P2611" t="s">
        <v>165</v>
      </c>
      <c r="Q2611" t="s">
        <v>166</v>
      </c>
      <c r="R2611" t="s">
        <v>166</v>
      </c>
      <c r="S2611" s="1">
        <v>46090</v>
      </c>
      <c r="T2611" s="1">
        <v>46090</v>
      </c>
      <c r="U2611" s="1">
        <v>46090</v>
      </c>
      <c r="V2611" s="1">
        <v>46455</v>
      </c>
      <c r="W2611" t="s">
        <v>38</v>
      </c>
      <c r="X2611">
        <v>12</v>
      </c>
      <c r="Y2611" t="s">
        <v>49</v>
      </c>
      <c r="Z2611" t="s">
        <v>81</v>
      </c>
      <c r="AA2611" t="s">
        <v>122</v>
      </c>
      <c r="AB2611">
        <v>12</v>
      </c>
      <c r="AC2611" t="s">
        <v>166</v>
      </c>
      <c r="AD2611" t="s">
        <v>84</v>
      </c>
      <c r="AE2611" t="s">
        <v>43</v>
      </c>
      <c r="AF2611" t="s">
        <v>44</v>
      </c>
      <c r="AG2611" t="str">
        <f t="shared" si="43"/>
        <v>Recorrente</v>
      </c>
      <c r="AH2611" t="str">
        <f>IF(AND(SUMIF(E:E,E2611,I:I)&gt;=400000,Q2611="B2G"),"n","")</f>
        <v/>
      </c>
    </row>
    <row r="2612" spans="1:34">
      <c r="A2612">
        <v>2026</v>
      </c>
      <c r="B2612">
        <v>3</v>
      </c>
      <c r="C2612" s="83">
        <v>210970365466</v>
      </c>
      <c r="D2612" t="s">
        <v>2379</v>
      </c>
      <c r="E2612">
        <v>58214452008</v>
      </c>
      <c r="F2612">
        <v>508153</v>
      </c>
      <c r="G2612">
        <v>53451857246</v>
      </c>
      <c r="H2612" t="s">
        <v>35</v>
      </c>
      <c r="I2612" s="36">
        <v>3883.92</v>
      </c>
      <c r="J2612" s="36">
        <v>3883.92</v>
      </c>
      <c r="K2612" s="85">
        <v>0</v>
      </c>
      <c r="L2612" s="36">
        <v>323.66000000000003</v>
      </c>
      <c r="M2612" s="36">
        <v>0</v>
      </c>
      <c r="N2612" s="36">
        <v>111.0889</v>
      </c>
      <c r="O2612" s="36">
        <v>212.5736</v>
      </c>
      <c r="P2612" t="s">
        <v>116</v>
      </c>
      <c r="Q2612" t="s">
        <v>111</v>
      </c>
      <c r="R2612" t="s">
        <v>111</v>
      </c>
      <c r="S2612" s="1">
        <v>46104</v>
      </c>
      <c r="T2612" s="1">
        <v>46104</v>
      </c>
      <c r="U2612" s="1">
        <v>46102</v>
      </c>
      <c r="V2612" s="1">
        <v>46469</v>
      </c>
      <c r="W2612" t="s">
        <v>38</v>
      </c>
      <c r="X2612">
        <v>12</v>
      </c>
      <c r="Y2612" t="s">
        <v>49</v>
      </c>
      <c r="Z2612" t="s">
        <v>81</v>
      </c>
      <c r="AA2612" t="s">
        <v>112</v>
      </c>
      <c r="AB2612">
        <v>12</v>
      </c>
      <c r="AC2612" t="s">
        <v>113</v>
      </c>
      <c r="AD2612" t="s">
        <v>85</v>
      </c>
      <c r="AE2612" t="s">
        <v>46</v>
      </c>
      <c r="AF2612" t="s">
        <v>44</v>
      </c>
      <c r="AG2612" t="str">
        <f t="shared" si="43"/>
        <v>CC 12x</v>
      </c>
      <c r="AH2612" t="str">
        <f>IF(AND(SUMIF(E:E,E2612,I:I)&gt;=400000,Q2612="B2G"),"n","")</f>
        <v/>
      </c>
    </row>
    <row r="2613" spans="1:34">
      <c r="A2613">
        <v>2026</v>
      </c>
      <c r="B2613">
        <v>3</v>
      </c>
      <c r="C2613" s="83">
        <v>2109764</v>
      </c>
      <c r="D2613" t="s">
        <v>2380</v>
      </c>
      <c r="E2613">
        <v>57993085200</v>
      </c>
      <c r="F2613">
        <v>636514</v>
      </c>
      <c r="G2613">
        <v>53208768304</v>
      </c>
      <c r="H2613" t="s">
        <v>35</v>
      </c>
      <c r="I2613" s="36">
        <v>4800.4799999999996</v>
      </c>
      <c r="J2613" s="36">
        <v>4800.4884000000002</v>
      </c>
      <c r="K2613" s="85">
        <v>0</v>
      </c>
      <c r="L2613" s="36">
        <v>400.04070000000002</v>
      </c>
      <c r="M2613" s="36">
        <v>400.04070000000002</v>
      </c>
      <c r="N2613" s="36">
        <v>0</v>
      </c>
      <c r="O2613" s="36">
        <v>0</v>
      </c>
      <c r="P2613" t="s">
        <v>829</v>
      </c>
      <c r="Q2613" t="s">
        <v>300</v>
      </c>
      <c r="R2613" t="s">
        <v>300</v>
      </c>
      <c r="S2613" s="1">
        <v>46094</v>
      </c>
      <c r="T2613" s="1">
        <v>46094</v>
      </c>
      <c r="V2613" s="1">
        <v>46459</v>
      </c>
      <c r="W2613" t="s">
        <v>38</v>
      </c>
      <c r="X2613">
        <v>12</v>
      </c>
      <c r="Y2613" t="s">
        <v>49</v>
      </c>
      <c r="AA2613" t="s">
        <v>112</v>
      </c>
      <c r="AB2613">
        <v>12</v>
      </c>
      <c r="AC2613" t="s">
        <v>301</v>
      </c>
      <c r="AD2613" t="s">
        <v>138</v>
      </c>
      <c r="AE2613" t="s">
        <v>135</v>
      </c>
      <c r="AF2613" t="s">
        <v>119</v>
      </c>
      <c r="AG2613" t="str">
        <f t="shared" si="43"/>
        <v>CC 12x</v>
      </c>
      <c r="AH2613" t="str">
        <f>IF(AND(SUMIF(E:E,E2613,I:I)&gt;=400000,Q2613="B2G"),"n","")</f>
        <v/>
      </c>
    </row>
    <row r="2614" spans="1:34">
      <c r="A2614">
        <v>2026</v>
      </c>
      <c r="B2614">
        <v>3</v>
      </c>
      <c r="C2614" s="83">
        <v>211020900368</v>
      </c>
      <c r="D2614" t="s">
        <v>2381</v>
      </c>
      <c r="E2614">
        <v>58255313686</v>
      </c>
      <c r="F2614">
        <v>636649</v>
      </c>
      <c r="G2614">
        <v>53455470748</v>
      </c>
      <c r="H2614" t="s">
        <v>35</v>
      </c>
      <c r="I2614" s="36">
        <v>2586.6</v>
      </c>
      <c r="J2614" s="36">
        <v>2586.6</v>
      </c>
      <c r="K2614" s="85">
        <v>0</v>
      </c>
      <c r="L2614" s="36">
        <v>215.55</v>
      </c>
      <c r="M2614" s="36">
        <v>215.55</v>
      </c>
      <c r="N2614" s="36">
        <v>0</v>
      </c>
      <c r="O2614" s="36">
        <v>0</v>
      </c>
      <c r="P2614" t="s">
        <v>506</v>
      </c>
      <c r="Q2614" t="s">
        <v>300</v>
      </c>
      <c r="R2614" t="s">
        <v>300</v>
      </c>
      <c r="S2614" s="1">
        <v>46104</v>
      </c>
      <c r="T2614" s="1">
        <v>46104</v>
      </c>
      <c r="V2614" s="1">
        <v>46469</v>
      </c>
      <c r="W2614" t="s">
        <v>38</v>
      </c>
      <c r="X2614">
        <v>12</v>
      </c>
      <c r="Y2614" t="s">
        <v>49</v>
      </c>
      <c r="AA2614" t="s">
        <v>112</v>
      </c>
      <c r="AB2614">
        <v>12</v>
      </c>
      <c r="AC2614" t="s">
        <v>301</v>
      </c>
      <c r="AD2614" t="s">
        <v>140</v>
      </c>
      <c r="AE2614" t="s">
        <v>46</v>
      </c>
      <c r="AF2614" t="s">
        <v>119</v>
      </c>
      <c r="AG2614" t="str">
        <f t="shared" si="43"/>
        <v>CC 12x</v>
      </c>
      <c r="AH2614" t="str">
        <f>IF(AND(SUMIF(E:E,E2614,I:I)&gt;=400000,Q2614="B2G"),"n","")</f>
        <v/>
      </c>
    </row>
    <row r="2615" spans="1:34">
      <c r="A2615">
        <v>2026</v>
      </c>
      <c r="B2615">
        <v>3</v>
      </c>
      <c r="C2615" s="83">
        <v>2110217</v>
      </c>
      <c r="D2615" t="s">
        <v>2382</v>
      </c>
      <c r="E2615">
        <v>51511821832</v>
      </c>
      <c r="F2615">
        <v>636825</v>
      </c>
      <c r="G2615">
        <v>53808837430</v>
      </c>
      <c r="H2615" t="s">
        <v>35</v>
      </c>
      <c r="I2615" s="36">
        <v>2442.84</v>
      </c>
      <c r="J2615" s="36">
        <v>2442.9</v>
      </c>
      <c r="K2615" s="85">
        <v>0</v>
      </c>
      <c r="L2615" s="36">
        <v>203.57499999999999</v>
      </c>
      <c r="M2615" s="36">
        <v>203.57499999999999</v>
      </c>
      <c r="N2615" s="36">
        <v>0</v>
      </c>
      <c r="O2615" s="36">
        <v>0</v>
      </c>
      <c r="P2615" t="s">
        <v>313</v>
      </c>
      <c r="Q2615" t="s">
        <v>314</v>
      </c>
      <c r="R2615" t="s">
        <v>314</v>
      </c>
      <c r="S2615" s="1">
        <v>46112</v>
      </c>
      <c r="T2615" s="1">
        <v>46112</v>
      </c>
      <c r="V2615" s="1">
        <v>46477</v>
      </c>
      <c r="W2615" t="s">
        <v>38</v>
      </c>
      <c r="X2615">
        <v>12</v>
      </c>
      <c r="Y2615" t="s">
        <v>49</v>
      </c>
      <c r="AA2615" t="s">
        <v>112</v>
      </c>
      <c r="AB2615">
        <v>12</v>
      </c>
      <c r="AC2615" t="s">
        <v>315</v>
      </c>
      <c r="AD2615" t="s">
        <v>140</v>
      </c>
      <c r="AE2615" t="s">
        <v>46</v>
      </c>
      <c r="AF2615" t="s">
        <v>119</v>
      </c>
      <c r="AG2615" t="str">
        <f t="shared" si="43"/>
        <v>CC 12x</v>
      </c>
      <c r="AH2615" t="str">
        <f>IF(AND(SUMIF(E:E,E2615,I:I)&gt;=400000,Q2615="B2G"),"n","")</f>
        <v/>
      </c>
    </row>
    <row r="2616" spans="1:34">
      <c r="A2616">
        <v>2026</v>
      </c>
      <c r="B2616">
        <v>3</v>
      </c>
      <c r="C2616" s="83">
        <v>211042337441</v>
      </c>
      <c r="D2616" t="s">
        <v>2383</v>
      </c>
      <c r="E2616">
        <v>58249352963</v>
      </c>
      <c r="F2616">
        <v>636637</v>
      </c>
      <c r="G2616">
        <v>53451050001</v>
      </c>
      <c r="H2616" t="s">
        <v>104</v>
      </c>
      <c r="I2616" s="36">
        <v>718.8</v>
      </c>
      <c r="J2616" s="36">
        <v>718.8</v>
      </c>
      <c r="K2616" s="85">
        <v>0</v>
      </c>
      <c r="L2616" s="36">
        <v>59.9</v>
      </c>
      <c r="M2616" s="36">
        <v>59.9</v>
      </c>
      <c r="N2616" s="36">
        <v>0</v>
      </c>
      <c r="O2616" s="36">
        <v>0</v>
      </c>
      <c r="P2616" t="s">
        <v>497</v>
      </c>
      <c r="Q2616" t="s">
        <v>498</v>
      </c>
      <c r="R2616" t="s">
        <v>498</v>
      </c>
      <c r="S2616" s="1">
        <v>46104</v>
      </c>
      <c r="T2616" s="1">
        <v>46104</v>
      </c>
      <c r="V2616" s="1">
        <v>46469</v>
      </c>
      <c r="W2616" t="s">
        <v>38</v>
      </c>
      <c r="X2616">
        <v>12</v>
      </c>
      <c r="Y2616" t="s">
        <v>49</v>
      </c>
      <c r="AA2616" t="s">
        <v>112</v>
      </c>
      <c r="AB2616">
        <v>12</v>
      </c>
      <c r="AC2616" t="s">
        <v>499</v>
      </c>
      <c r="AD2616" t="s">
        <v>105</v>
      </c>
      <c r="AE2616" t="s">
        <v>106</v>
      </c>
      <c r="AF2616" t="s">
        <v>59</v>
      </c>
      <c r="AG2616" t="str">
        <f t="shared" si="43"/>
        <v>CC 12x</v>
      </c>
      <c r="AH2616" t="str">
        <f>IF(AND(SUMIF(E:E,E2616,I:I)&gt;=400000,Q2616="B2G"),"n","")</f>
        <v/>
      </c>
    </row>
    <row r="2617" spans="1:34">
      <c r="A2617">
        <v>2026</v>
      </c>
      <c r="B2617">
        <v>3</v>
      </c>
      <c r="C2617" s="83">
        <v>211065949229</v>
      </c>
      <c r="D2617" t="s">
        <v>2384</v>
      </c>
      <c r="E2617">
        <v>58163613197</v>
      </c>
      <c r="F2617">
        <v>636627</v>
      </c>
      <c r="G2617">
        <v>53409400166</v>
      </c>
      <c r="H2617" t="s">
        <v>35</v>
      </c>
      <c r="I2617" s="36">
        <v>900</v>
      </c>
      <c r="J2617" s="36">
        <v>900</v>
      </c>
      <c r="K2617" s="85">
        <v>0</v>
      </c>
      <c r="L2617" s="36">
        <v>75</v>
      </c>
      <c r="M2617" s="36">
        <v>75</v>
      </c>
      <c r="N2617" s="36">
        <v>0</v>
      </c>
      <c r="O2617" s="36">
        <v>0</v>
      </c>
      <c r="P2617" t="s">
        <v>511</v>
      </c>
      <c r="Q2617" t="s">
        <v>300</v>
      </c>
      <c r="R2617" t="s">
        <v>300</v>
      </c>
      <c r="S2617" s="1">
        <v>46101</v>
      </c>
      <c r="T2617" s="1">
        <v>46101</v>
      </c>
      <c r="V2617" s="1">
        <v>46466</v>
      </c>
      <c r="W2617" t="s">
        <v>38</v>
      </c>
      <c r="X2617">
        <v>12</v>
      </c>
      <c r="Y2617" t="s">
        <v>49</v>
      </c>
      <c r="AA2617" t="s">
        <v>112</v>
      </c>
      <c r="AB2617">
        <v>12</v>
      </c>
      <c r="AC2617" t="s">
        <v>301</v>
      </c>
      <c r="AD2617" t="s">
        <v>243</v>
      </c>
      <c r="AE2617" t="s">
        <v>95</v>
      </c>
      <c r="AF2617" t="s">
        <v>244</v>
      </c>
      <c r="AG2617" t="str">
        <f t="shared" si="43"/>
        <v>CC 12x</v>
      </c>
      <c r="AH2617" t="str">
        <f>IF(AND(SUMIF(E:E,E2617,I:I)&gt;=400000,Q2617="B2G"),"n","")</f>
        <v/>
      </c>
    </row>
    <row r="2618" spans="1:34">
      <c r="A2618">
        <v>2026</v>
      </c>
      <c r="B2618">
        <v>3</v>
      </c>
      <c r="C2618" s="83">
        <v>211065949229</v>
      </c>
      <c r="D2618" t="s">
        <v>2384</v>
      </c>
      <c r="E2618">
        <v>58163613197</v>
      </c>
      <c r="F2618">
        <v>636627</v>
      </c>
      <c r="G2618">
        <v>53409400168</v>
      </c>
      <c r="H2618" t="s">
        <v>35</v>
      </c>
      <c r="I2618" s="36">
        <v>2874</v>
      </c>
      <c r="J2618" s="36">
        <v>2874</v>
      </c>
      <c r="K2618" s="85">
        <v>0</v>
      </c>
      <c r="L2618" s="36">
        <v>239.5</v>
      </c>
      <c r="M2618" s="36">
        <v>239.5</v>
      </c>
      <c r="N2618" s="36">
        <v>0</v>
      </c>
      <c r="O2618" s="36">
        <v>0</v>
      </c>
      <c r="P2618" t="s">
        <v>511</v>
      </c>
      <c r="Q2618" t="s">
        <v>300</v>
      </c>
      <c r="R2618" t="s">
        <v>300</v>
      </c>
      <c r="S2618" s="1">
        <v>46101</v>
      </c>
      <c r="T2618" s="1">
        <v>46101</v>
      </c>
      <c r="V2618" s="1">
        <v>46466</v>
      </c>
      <c r="W2618" t="s">
        <v>38</v>
      </c>
      <c r="X2618">
        <v>12</v>
      </c>
      <c r="Y2618" t="s">
        <v>49</v>
      </c>
      <c r="AA2618" t="s">
        <v>112</v>
      </c>
      <c r="AB2618">
        <v>12</v>
      </c>
      <c r="AC2618" t="s">
        <v>301</v>
      </c>
      <c r="AD2618" t="s">
        <v>118</v>
      </c>
      <c r="AE2618" t="s">
        <v>43</v>
      </c>
      <c r="AF2618" t="s">
        <v>119</v>
      </c>
      <c r="AG2618" t="str">
        <f t="shared" si="43"/>
        <v>CC 12x</v>
      </c>
      <c r="AH2618" t="str">
        <f>IF(AND(SUMIF(E:E,E2618,I:I)&gt;=400000,Q2618="B2G"),"n","")</f>
        <v/>
      </c>
    </row>
    <row r="2619" spans="1:34">
      <c r="A2619">
        <v>2026</v>
      </c>
      <c r="B2619">
        <v>3</v>
      </c>
      <c r="C2619" s="83">
        <v>211066798627</v>
      </c>
      <c r="D2619" t="s">
        <v>2385</v>
      </c>
      <c r="E2619">
        <v>58250859636</v>
      </c>
      <c r="F2619">
        <v>636646</v>
      </c>
      <c r="G2619">
        <v>53452846194</v>
      </c>
      <c r="H2619" t="s">
        <v>35</v>
      </c>
      <c r="I2619" s="36">
        <v>900</v>
      </c>
      <c r="J2619" s="36">
        <v>900</v>
      </c>
      <c r="K2619" s="85">
        <v>0</v>
      </c>
      <c r="L2619" s="36">
        <v>75</v>
      </c>
      <c r="M2619" s="36">
        <v>75</v>
      </c>
      <c r="N2619" s="36">
        <v>0</v>
      </c>
      <c r="O2619" s="36">
        <v>0</v>
      </c>
      <c r="P2619" t="s">
        <v>511</v>
      </c>
      <c r="Q2619" t="s">
        <v>300</v>
      </c>
      <c r="R2619" t="s">
        <v>300</v>
      </c>
      <c r="S2619" s="1">
        <v>46104</v>
      </c>
      <c r="T2619" s="1">
        <v>46104</v>
      </c>
      <c r="V2619" s="1">
        <v>46469</v>
      </c>
      <c r="W2619" t="s">
        <v>38</v>
      </c>
      <c r="X2619">
        <v>12</v>
      </c>
      <c r="Y2619" t="s">
        <v>49</v>
      </c>
      <c r="AA2619" t="s">
        <v>122</v>
      </c>
      <c r="AB2619">
        <v>12</v>
      </c>
      <c r="AC2619" t="s">
        <v>301</v>
      </c>
      <c r="AD2619" t="s">
        <v>243</v>
      </c>
      <c r="AE2619" t="s">
        <v>95</v>
      </c>
      <c r="AF2619" t="s">
        <v>244</v>
      </c>
      <c r="AG2619" t="str">
        <f t="shared" si="43"/>
        <v>Recorrente</v>
      </c>
      <c r="AH2619" t="str">
        <f>IF(AND(SUMIF(E:E,E2619,I:I)&gt;=400000,Q2619="B2G"),"n","")</f>
        <v/>
      </c>
    </row>
    <row r="2620" spans="1:34">
      <c r="A2620">
        <v>2026</v>
      </c>
      <c r="B2620">
        <v>3</v>
      </c>
      <c r="C2620" s="83">
        <v>211066798627</v>
      </c>
      <c r="D2620" t="s">
        <v>2385</v>
      </c>
      <c r="E2620">
        <v>58250859636</v>
      </c>
      <c r="F2620">
        <v>636646</v>
      </c>
      <c r="G2620">
        <v>53452846196</v>
      </c>
      <c r="H2620" t="s">
        <v>35</v>
      </c>
      <c r="I2620" s="36">
        <v>2874</v>
      </c>
      <c r="J2620" s="36">
        <v>2874</v>
      </c>
      <c r="K2620" s="85">
        <v>0</v>
      </c>
      <c r="L2620" s="36">
        <v>239.5</v>
      </c>
      <c r="M2620" s="36">
        <v>239.5</v>
      </c>
      <c r="N2620" s="36">
        <v>0</v>
      </c>
      <c r="O2620" s="36">
        <v>0</v>
      </c>
      <c r="P2620" t="s">
        <v>511</v>
      </c>
      <c r="Q2620" t="s">
        <v>300</v>
      </c>
      <c r="R2620" t="s">
        <v>300</v>
      </c>
      <c r="S2620" s="1">
        <v>46104</v>
      </c>
      <c r="T2620" s="1">
        <v>46104</v>
      </c>
      <c r="U2620" s="1"/>
      <c r="V2620" s="1">
        <v>46469</v>
      </c>
      <c r="W2620" t="s">
        <v>38</v>
      </c>
      <c r="X2620">
        <v>12</v>
      </c>
      <c r="Y2620" t="s">
        <v>49</v>
      </c>
      <c r="AA2620" t="s">
        <v>122</v>
      </c>
      <c r="AB2620">
        <v>12</v>
      </c>
      <c r="AC2620" t="s">
        <v>301</v>
      </c>
      <c r="AD2620" t="s">
        <v>140</v>
      </c>
      <c r="AE2620" t="s">
        <v>46</v>
      </c>
      <c r="AF2620" t="s">
        <v>119</v>
      </c>
      <c r="AG2620" t="str">
        <f t="shared" ref="AG2620:AG2683" si="44">IF(IFERROR(SEARCH("Recorrente",AA2620),0)&gt;0,"Recorrente",IF(AB2620=1,"À Vista",IF(AB2620&lt;=3,"CC 3x",IF(AB2620&lt;=12,"CC 12x",IF(AB2620&gt;12,"Recorrente","")))))</f>
        <v>Recorrente</v>
      </c>
      <c r="AH2620" t="str">
        <f>IF(AND(SUMIF(E:E,E2620,I:I)&gt;=400000,Q2620="B2G"),"n","")</f>
        <v/>
      </c>
    </row>
    <row r="2621" spans="1:34">
      <c r="A2621">
        <v>2026</v>
      </c>
      <c r="B2621">
        <v>3</v>
      </c>
      <c r="C2621" s="83">
        <v>2111601</v>
      </c>
      <c r="D2621" t="s">
        <v>2386</v>
      </c>
      <c r="E2621">
        <v>57401201711</v>
      </c>
      <c r="F2621">
        <v>636414</v>
      </c>
      <c r="G2621">
        <v>52952441117</v>
      </c>
      <c r="H2621" t="s">
        <v>35</v>
      </c>
      <c r="I2621" s="36">
        <v>4638.6000000000004</v>
      </c>
      <c r="J2621" s="36">
        <v>4638.6000000000004</v>
      </c>
      <c r="K2621" s="85">
        <v>0</v>
      </c>
      <c r="L2621" s="36">
        <v>386.55</v>
      </c>
      <c r="M2621" s="36">
        <v>386.55</v>
      </c>
      <c r="N2621" s="36">
        <v>0</v>
      </c>
      <c r="O2621" s="36">
        <v>0</v>
      </c>
      <c r="P2621" t="s">
        <v>313</v>
      </c>
      <c r="Q2621" t="s">
        <v>314</v>
      </c>
      <c r="R2621" t="s">
        <v>314</v>
      </c>
      <c r="S2621" s="1">
        <v>46090</v>
      </c>
      <c r="T2621" s="1">
        <v>46090</v>
      </c>
      <c r="U2621" s="1"/>
      <c r="V2621" s="1">
        <v>46455</v>
      </c>
      <c r="W2621" t="s">
        <v>38</v>
      </c>
      <c r="X2621">
        <v>12</v>
      </c>
      <c r="Y2621" t="s">
        <v>49</v>
      </c>
      <c r="AA2621" t="s">
        <v>112</v>
      </c>
      <c r="AB2621">
        <v>12</v>
      </c>
      <c r="AC2621" t="s">
        <v>315</v>
      </c>
      <c r="AD2621" t="s">
        <v>229</v>
      </c>
      <c r="AE2621" t="s">
        <v>43</v>
      </c>
      <c r="AF2621" t="s">
        <v>96</v>
      </c>
      <c r="AG2621" t="str">
        <f t="shared" si="44"/>
        <v>CC 12x</v>
      </c>
      <c r="AH2621" t="str">
        <f>IF(AND(SUMIF(E:E,E2621,I:I)&gt;=400000,Q2621="B2G"),"n","")</f>
        <v/>
      </c>
    </row>
    <row r="2622" spans="1:34">
      <c r="A2622">
        <v>2026</v>
      </c>
      <c r="B2622">
        <v>3</v>
      </c>
      <c r="C2622" s="83">
        <v>2112581</v>
      </c>
      <c r="D2622" t="s">
        <v>2387</v>
      </c>
      <c r="E2622">
        <v>58366969118</v>
      </c>
      <c r="F2622">
        <v>531426</v>
      </c>
      <c r="G2622">
        <v>53664285100</v>
      </c>
      <c r="H2622" t="s">
        <v>35</v>
      </c>
      <c r="I2622" s="36">
        <v>2460</v>
      </c>
      <c r="J2622" s="36">
        <v>2460</v>
      </c>
      <c r="K2622" s="85">
        <v>0</v>
      </c>
      <c r="L2622" s="36">
        <v>205</v>
      </c>
      <c r="M2622" s="36">
        <v>0</v>
      </c>
      <c r="N2622" s="36">
        <v>1.85</v>
      </c>
      <c r="O2622" s="36">
        <v>203.15</v>
      </c>
      <c r="P2622" t="s">
        <v>127</v>
      </c>
      <c r="Q2622" t="s">
        <v>111</v>
      </c>
      <c r="R2622" t="s">
        <v>111</v>
      </c>
      <c r="S2622" s="1">
        <v>46108</v>
      </c>
      <c r="T2622" s="1">
        <v>46108</v>
      </c>
      <c r="U2622" s="1">
        <v>46111</v>
      </c>
      <c r="V2622" s="1">
        <v>46476</v>
      </c>
      <c r="W2622" t="s">
        <v>38</v>
      </c>
      <c r="X2622">
        <v>12</v>
      </c>
      <c r="Y2622" t="s">
        <v>49</v>
      </c>
      <c r="Z2622" t="s">
        <v>81</v>
      </c>
      <c r="AA2622" t="s">
        <v>112</v>
      </c>
      <c r="AB2622">
        <v>12</v>
      </c>
      <c r="AC2622" t="s">
        <v>113</v>
      </c>
      <c r="AD2622" t="s">
        <v>140</v>
      </c>
      <c r="AE2622" t="s">
        <v>46</v>
      </c>
      <c r="AF2622" t="s">
        <v>119</v>
      </c>
      <c r="AG2622" t="str">
        <f t="shared" si="44"/>
        <v>CC 12x</v>
      </c>
      <c r="AH2622" t="str">
        <f>IF(AND(SUMIF(E:E,E2622,I:I)&gt;=400000,Q2622="B2G"),"n","")</f>
        <v/>
      </c>
    </row>
    <row r="2623" spans="1:34">
      <c r="A2623">
        <v>2026</v>
      </c>
      <c r="B2623">
        <v>3</v>
      </c>
      <c r="C2623" s="83">
        <v>211268385177</v>
      </c>
      <c r="D2623" t="s">
        <v>2388</v>
      </c>
      <c r="E2623">
        <v>58103101247</v>
      </c>
      <c r="F2623">
        <v>627465</v>
      </c>
      <c r="G2623">
        <v>53530657608</v>
      </c>
      <c r="H2623" t="s">
        <v>35</v>
      </c>
      <c r="I2623" s="36">
        <v>7950.84</v>
      </c>
      <c r="J2623" s="36">
        <v>7950.84</v>
      </c>
      <c r="K2623" s="85">
        <v>0</v>
      </c>
      <c r="L2623" s="36">
        <v>662.57</v>
      </c>
      <c r="M2623" s="36">
        <v>0</v>
      </c>
      <c r="N2623" s="36">
        <v>297.92500000000001</v>
      </c>
      <c r="O2623" s="36">
        <v>364.65</v>
      </c>
      <c r="P2623" t="s">
        <v>121</v>
      </c>
      <c r="Q2623" t="s">
        <v>111</v>
      </c>
      <c r="R2623" t="s">
        <v>111</v>
      </c>
      <c r="S2623" s="1">
        <v>46106</v>
      </c>
      <c r="T2623" s="1">
        <v>46106</v>
      </c>
      <c r="U2623" s="1">
        <v>46098</v>
      </c>
      <c r="V2623" s="1">
        <v>46471</v>
      </c>
      <c r="W2623" t="s">
        <v>38</v>
      </c>
      <c r="X2623">
        <v>12</v>
      </c>
      <c r="Y2623" t="s">
        <v>49</v>
      </c>
      <c r="Z2623" t="s">
        <v>76</v>
      </c>
      <c r="AA2623" t="s">
        <v>122</v>
      </c>
      <c r="AB2623">
        <v>12</v>
      </c>
      <c r="AC2623" t="s">
        <v>113</v>
      </c>
      <c r="AD2623" t="s">
        <v>134</v>
      </c>
      <c r="AE2623" t="s">
        <v>135</v>
      </c>
      <c r="AF2623" t="s">
        <v>44</v>
      </c>
      <c r="AG2623" t="str">
        <f t="shared" si="44"/>
        <v>Recorrente</v>
      </c>
      <c r="AH2623" t="str">
        <f>IF(AND(SUMIF(E:E,E2623,I:I)&gt;=400000,Q2623="B2G"),"n","")</f>
        <v/>
      </c>
    </row>
    <row r="2624" spans="1:34">
      <c r="A2624">
        <v>2026</v>
      </c>
      <c r="B2624">
        <v>3</v>
      </c>
      <c r="C2624" s="83">
        <v>211295847450</v>
      </c>
      <c r="D2624" t="s">
        <v>2389</v>
      </c>
      <c r="E2624">
        <v>58239708805</v>
      </c>
      <c r="F2624">
        <v>636631</v>
      </c>
      <c r="G2624">
        <v>53427009578</v>
      </c>
      <c r="H2624" t="s">
        <v>104</v>
      </c>
      <c r="I2624" s="36">
        <v>718.8</v>
      </c>
      <c r="J2624" s="36">
        <v>718.8</v>
      </c>
      <c r="K2624" s="85">
        <v>0</v>
      </c>
      <c r="L2624" s="36">
        <v>59.9</v>
      </c>
      <c r="M2624" s="36">
        <v>59.9</v>
      </c>
      <c r="N2624" s="36">
        <v>0</v>
      </c>
      <c r="O2624" s="36">
        <v>0</v>
      </c>
      <c r="P2624" t="s">
        <v>497</v>
      </c>
      <c r="Q2624" t="s">
        <v>498</v>
      </c>
      <c r="R2624" t="s">
        <v>498</v>
      </c>
      <c r="S2624" s="1">
        <v>46103</v>
      </c>
      <c r="T2624" s="1">
        <v>46103</v>
      </c>
      <c r="U2624" s="1"/>
      <c r="V2624" s="1">
        <v>46468</v>
      </c>
      <c r="W2624" t="s">
        <v>38</v>
      </c>
      <c r="X2624">
        <v>12</v>
      </c>
      <c r="Y2624" t="s">
        <v>49</v>
      </c>
      <c r="AA2624" t="s">
        <v>112</v>
      </c>
      <c r="AB2624">
        <v>12</v>
      </c>
      <c r="AC2624" t="s">
        <v>499</v>
      </c>
      <c r="AD2624" t="s">
        <v>105</v>
      </c>
      <c r="AE2624" t="s">
        <v>106</v>
      </c>
      <c r="AF2624" t="s">
        <v>59</v>
      </c>
      <c r="AG2624" t="str">
        <f t="shared" si="44"/>
        <v>CC 12x</v>
      </c>
      <c r="AH2624" t="str">
        <f>IF(AND(SUMIF(E:E,E2624,I:I)&gt;=400000,Q2624="B2G"),"n","")</f>
        <v/>
      </c>
    </row>
    <row r="2625" spans="1:34">
      <c r="A2625">
        <v>2026</v>
      </c>
      <c r="B2625">
        <v>3</v>
      </c>
      <c r="C2625" s="83">
        <v>2113063</v>
      </c>
      <c r="D2625" t="s">
        <v>2390</v>
      </c>
      <c r="E2625">
        <v>57657912221</v>
      </c>
      <c r="F2625">
        <v>309298</v>
      </c>
      <c r="G2625">
        <v>52912549646</v>
      </c>
      <c r="H2625" t="s">
        <v>35</v>
      </c>
      <c r="I2625" s="36">
        <v>4447.8</v>
      </c>
      <c r="J2625" s="36">
        <v>4447.8</v>
      </c>
      <c r="K2625" s="85">
        <v>0</v>
      </c>
      <c r="L2625" s="36">
        <v>370.65</v>
      </c>
      <c r="M2625" s="36">
        <v>0</v>
      </c>
      <c r="N2625" s="36">
        <v>52.4</v>
      </c>
      <c r="O2625" s="36">
        <v>318.25</v>
      </c>
      <c r="P2625" t="s">
        <v>133</v>
      </c>
      <c r="Q2625" t="s">
        <v>111</v>
      </c>
      <c r="R2625" t="s">
        <v>111</v>
      </c>
      <c r="S2625" s="1">
        <v>46090</v>
      </c>
      <c r="T2625" s="1">
        <v>46090</v>
      </c>
      <c r="U2625" s="1">
        <v>46091</v>
      </c>
      <c r="V2625" s="1">
        <v>46456</v>
      </c>
      <c r="W2625" t="s">
        <v>38</v>
      </c>
      <c r="X2625">
        <v>12</v>
      </c>
      <c r="Y2625" t="s">
        <v>49</v>
      </c>
      <c r="Z2625" t="s">
        <v>81</v>
      </c>
      <c r="AA2625" t="s">
        <v>122</v>
      </c>
      <c r="AB2625">
        <v>12</v>
      </c>
      <c r="AC2625" t="s">
        <v>113</v>
      </c>
      <c r="AD2625" t="s">
        <v>158</v>
      </c>
      <c r="AE2625" t="s">
        <v>43</v>
      </c>
      <c r="AF2625" t="s">
        <v>47</v>
      </c>
      <c r="AG2625" t="str">
        <f t="shared" si="44"/>
        <v>Recorrente</v>
      </c>
      <c r="AH2625" t="str">
        <f>IF(AND(SUMIF(E:E,E2625,I:I)&gt;=400000,Q2625="B2G"),"n","")</f>
        <v/>
      </c>
    </row>
    <row r="2626" spans="1:34">
      <c r="A2626">
        <v>2026</v>
      </c>
      <c r="B2626">
        <v>3</v>
      </c>
      <c r="C2626" s="83">
        <v>2113063</v>
      </c>
      <c r="D2626" t="s">
        <v>2390</v>
      </c>
      <c r="E2626">
        <v>57657912221</v>
      </c>
      <c r="F2626">
        <v>309298</v>
      </c>
      <c r="G2626">
        <v>52912549647</v>
      </c>
      <c r="H2626" t="s">
        <v>35</v>
      </c>
      <c r="I2626" s="36">
        <v>4447.8</v>
      </c>
      <c r="J2626" s="36">
        <v>4447.8</v>
      </c>
      <c r="K2626" s="85">
        <v>0</v>
      </c>
      <c r="L2626" s="36">
        <v>370.65</v>
      </c>
      <c r="M2626" s="36">
        <v>0</v>
      </c>
      <c r="N2626" s="36">
        <v>52.4</v>
      </c>
      <c r="O2626" s="36">
        <v>318.25</v>
      </c>
      <c r="P2626" t="s">
        <v>133</v>
      </c>
      <c r="Q2626" t="s">
        <v>111</v>
      </c>
      <c r="R2626" t="s">
        <v>111</v>
      </c>
      <c r="S2626" s="1">
        <v>46090</v>
      </c>
      <c r="T2626" s="1">
        <v>46090</v>
      </c>
      <c r="U2626" s="1">
        <v>46091</v>
      </c>
      <c r="V2626" s="1">
        <v>46456</v>
      </c>
      <c r="W2626" t="s">
        <v>38</v>
      </c>
      <c r="X2626">
        <v>12</v>
      </c>
      <c r="Y2626" t="s">
        <v>49</v>
      </c>
      <c r="Z2626" t="s">
        <v>81</v>
      </c>
      <c r="AA2626" t="s">
        <v>122</v>
      </c>
      <c r="AB2626">
        <v>12</v>
      </c>
      <c r="AC2626" t="s">
        <v>113</v>
      </c>
      <c r="AD2626" t="s">
        <v>174</v>
      </c>
      <c r="AE2626" t="s">
        <v>43</v>
      </c>
      <c r="AF2626" t="s">
        <v>47</v>
      </c>
      <c r="AG2626" t="str">
        <f t="shared" si="44"/>
        <v>Recorrente</v>
      </c>
      <c r="AH2626" t="str">
        <f>IF(AND(SUMIF(E:E,E2626,I:I)&gt;=400000,Q2626="B2G"),"n","")</f>
        <v/>
      </c>
    </row>
    <row r="2627" spans="1:34">
      <c r="A2627">
        <v>2026</v>
      </c>
      <c r="B2627">
        <v>3</v>
      </c>
      <c r="C2627" s="83">
        <v>211307261989</v>
      </c>
      <c r="D2627" t="s">
        <v>2391</v>
      </c>
      <c r="E2627">
        <v>57954853160</v>
      </c>
      <c r="F2627">
        <v>636477</v>
      </c>
      <c r="G2627">
        <v>53174795264</v>
      </c>
      <c r="H2627" t="s">
        <v>104</v>
      </c>
      <c r="I2627" s="36">
        <v>718.8</v>
      </c>
      <c r="J2627" s="36">
        <v>718.8</v>
      </c>
      <c r="K2627" s="85">
        <v>0</v>
      </c>
      <c r="L2627" s="36">
        <v>59.9</v>
      </c>
      <c r="M2627" s="36">
        <v>59.9</v>
      </c>
      <c r="N2627" s="36">
        <v>0</v>
      </c>
      <c r="O2627" s="36">
        <v>0</v>
      </c>
      <c r="P2627" t="s">
        <v>497</v>
      </c>
      <c r="Q2627" t="s">
        <v>498</v>
      </c>
      <c r="R2627" t="s">
        <v>498</v>
      </c>
      <c r="S2627" s="1">
        <v>46093</v>
      </c>
      <c r="T2627" s="1">
        <v>46093</v>
      </c>
      <c r="V2627" s="1">
        <v>46458</v>
      </c>
      <c r="W2627" t="s">
        <v>38</v>
      </c>
      <c r="X2627">
        <v>12</v>
      </c>
      <c r="Y2627" t="s">
        <v>49</v>
      </c>
      <c r="AA2627" t="s">
        <v>112</v>
      </c>
      <c r="AB2627">
        <v>12</v>
      </c>
      <c r="AC2627" t="s">
        <v>499</v>
      </c>
      <c r="AD2627" t="s">
        <v>105</v>
      </c>
      <c r="AE2627" t="s">
        <v>106</v>
      </c>
      <c r="AF2627" t="s">
        <v>59</v>
      </c>
      <c r="AG2627" t="str">
        <f t="shared" si="44"/>
        <v>CC 12x</v>
      </c>
      <c r="AH2627" t="str">
        <f>IF(AND(SUMIF(E:E,E2627,I:I)&gt;=400000,Q2627="B2G"),"n","")</f>
        <v/>
      </c>
    </row>
    <row r="2628" spans="1:34">
      <c r="A2628">
        <v>2026</v>
      </c>
      <c r="B2628">
        <v>3</v>
      </c>
      <c r="C2628" s="83">
        <v>211311081819</v>
      </c>
      <c r="D2628" t="s">
        <v>2392</v>
      </c>
      <c r="E2628">
        <v>58182074398</v>
      </c>
      <c r="F2628">
        <v>636610</v>
      </c>
      <c r="G2628">
        <v>53390272535</v>
      </c>
      <c r="H2628" t="s">
        <v>104</v>
      </c>
      <c r="I2628" s="36">
        <v>718.8</v>
      </c>
      <c r="J2628" s="36">
        <v>718.8</v>
      </c>
      <c r="K2628" s="85">
        <v>0</v>
      </c>
      <c r="L2628" s="36">
        <v>59.9</v>
      </c>
      <c r="M2628" s="36">
        <v>59.9</v>
      </c>
      <c r="N2628" s="36">
        <v>0</v>
      </c>
      <c r="O2628" s="36">
        <v>0</v>
      </c>
      <c r="P2628" t="s">
        <v>497</v>
      </c>
      <c r="Q2628" t="s">
        <v>498</v>
      </c>
      <c r="R2628" t="s">
        <v>498</v>
      </c>
      <c r="S2628" s="1">
        <v>46100</v>
      </c>
      <c r="T2628" s="1">
        <v>46100</v>
      </c>
      <c r="U2628" s="1"/>
      <c r="V2628" s="1">
        <v>46465</v>
      </c>
      <c r="W2628" t="s">
        <v>38</v>
      </c>
      <c r="X2628">
        <v>12</v>
      </c>
      <c r="Y2628" t="s">
        <v>49</v>
      </c>
      <c r="AA2628" t="s">
        <v>112</v>
      </c>
      <c r="AB2628">
        <v>12</v>
      </c>
      <c r="AC2628" t="s">
        <v>499</v>
      </c>
      <c r="AD2628" t="s">
        <v>105</v>
      </c>
      <c r="AE2628" t="s">
        <v>106</v>
      </c>
      <c r="AF2628" t="s">
        <v>59</v>
      </c>
      <c r="AG2628" t="str">
        <f t="shared" si="44"/>
        <v>CC 12x</v>
      </c>
      <c r="AH2628" t="str">
        <f>IF(AND(SUMIF(E:E,E2628,I:I)&gt;=400000,Q2628="B2G"),"n","")</f>
        <v/>
      </c>
    </row>
    <row r="2629" spans="1:34">
      <c r="A2629">
        <v>2026</v>
      </c>
      <c r="B2629">
        <v>3</v>
      </c>
      <c r="C2629" s="83">
        <v>2113477</v>
      </c>
      <c r="D2629" t="s">
        <v>2393</v>
      </c>
      <c r="E2629">
        <v>57827666273</v>
      </c>
      <c r="F2629">
        <v>636420</v>
      </c>
      <c r="G2629">
        <v>53072631730</v>
      </c>
      <c r="H2629" t="s">
        <v>35</v>
      </c>
      <c r="I2629" s="36">
        <v>2874</v>
      </c>
      <c r="J2629" s="36">
        <v>2874</v>
      </c>
      <c r="K2629" s="85">
        <v>0</v>
      </c>
      <c r="L2629" s="36">
        <v>239.5</v>
      </c>
      <c r="M2629" s="36">
        <v>239.5</v>
      </c>
      <c r="N2629" s="36">
        <v>0</v>
      </c>
      <c r="O2629" s="36">
        <v>0</v>
      </c>
      <c r="P2629" t="s">
        <v>829</v>
      </c>
      <c r="Q2629" t="s">
        <v>300</v>
      </c>
      <c r="R2629" t="s">
        <v>300</v>
      </c>
      <c r="S2629" s="1">
        <v>46090</v>
      </c>
      <c r="T2629" s="1">
        <v>46090</v>
      </c>
      <c r="U2629" s="1"/>
      <c r="V2629" s="1">
        <v>46455</v>
      </c>
      <c r="W2629" t="s">
        <v>38</v>
      </c>
      <c r="X2629">
        <v>12</v>
      </c>
      <c r="Y2629" t="s">
        <v>49</v>
      </c>
      <c r="AA2629" t="s">
        <v>112</v>
      </c>
      <c r="AB2629">
        <v>12</v>
      </c>
      <c r="AC2629" t="s">
        <v>301</v>
      </c>
      <c r="AD2629" t="s">
        <v>118</v>
      </c>
      <c r="AE2629" t="s">
        <v>43</v>
      </c>
      <c r="AF2629" t="s">
        <v>119</v>
      </c>
      <c r="AG2629" t="str">
        <f t="shared" si="44"/>
        <v>CC 12x</v>
      </c>
      <c r="AH2629" t="str">
        <f>IF(AND(SUMIF(E:E,E2629,I:I)&gt;=400000,Q2629="B2G"),"n","")</f>
        <v/>
      </c>
    </row>
    <row r="2630" spans="1:34">
      <c r="A2630">
        <v>2026</v>
      </c>
      <c r="B2630">
        <v>3</v>
      </c>
      <c r="C2630" s="83">
        <v>2113660</v>
      </c>
      <c r="D2630" t="s">
        <v>2394</v>
      </c>
      <c r="E2630">
        <v>57832852780</v>
      </c>
      <c r="F2630">
        <v>309258</v>
      </c>
      <c r="G2630">
        <v>53530394893</v>
      </c>
      <c r="H2630" t="s">
        <v>35</v>
      </c>
      <c r="I2630" s="36">
        <v>5514</v>
      </c>
      <c r="J2630" s="36">
        <v>5514</v>
      </c>
      <c r="K2630" s="85">
        <v>0</v>
      </c>
      <c r="L2630" s="36">
        <v>459.5</v>
      </c>
      <c r="M2630" s="36">
        <v>0</v>
      </c>
      <c r="N2630" s="36">
        <v>0</v>
      </c>
      <c r="O2630" s="36">
        <v>459.5</v>
      </c>
      <c r="P2630" t="s">
        <v>137</v>
      </c>
      <c r="Q2630" t="s">
        <v>111</v>
      </c>
      <c r="R2630" t="s">
        <v>111</v>
      </c>
      <c r="S2630" s="1">
        <v>46105</v>
      </c>
      <c r="T2630" s="1">
        <v>46105</v>
      </c>
      <c r="U2630" s="1">
        <v>46090</v>
      </c>
      <c r="V2630" s="1">
        <v>46470</v>
      </c>
      <c r="W2630" t="s">
        <v>38</v>
      </c>
      <c r="X2630">
        <v>12</v>
      </c>
      <c r="Y2630" t="s">
        <v>49</v>
      </c>
      <c r="Z2630" t="s">
        <v>76</v>
      </c>
      <c r="AA2630" t="s">
        <v>112</v>
      </c>
      <c r="AB2630">
        <v>12</v>
      </c>
      <c r="AC2630" t="s">
        <v>113</v>
      </c>
      <c r="AD2630" t="s">
        <v>138</v>
      </c>
      <c r="AE2630" t="s">
        <v>135</v>
      </c>
      <c r="AF2630" t="s">
        <v>119</v>
      </c>
      <c r="AG2630" t="str">
        <f t="shared" si="44"/>
        <v>CC 12x</v>
      </c>
      <c r="AH2630" t="str">
        <f>IF(AND(SUMIF(E:E,E2630,I:I)&gt;=400000,Q2630="B2G"),"n","")</f>
        <v/>
      </c>
    </row>
    <row r="2631" spans="1:34">
      <c r="A2631">
        <v>2026</v>
      </c>
      <c r="B2631">
        <v>3</v>
      </c>
      <c r="C2631" s="83">
        <v>2113769</v>
      </c>
      <c r="D2631" t="s">
        <v>2395</v>
      </c>
      <c r="E2631">
        <v>55201804953</v>
      </c>
      <c r="F2631">
        <v>628083</v>
      </c>
      <c r="G2631">
        <v>50510187284</v>
      </c>
      <c r="H2631" t="s">
        <v>35</v>
      </c>
      <c r="I2631" s="36">
        <v>5178.6000000000004</v>
      </c>
      <c r="J2631" s="36">
        <v>5178.6000000000004</v>
      </c>
      <c r="K2631" s="85">
        <v>0</v>
      </c>
      <c r="L2631" s="36">
        <v>431.55</v>
      </c>
      <c r="M2631" s="36">
        <v>0</v>
      </c>
      <c r="N2631" s="36">
        <v>69.150000000000006</v>
      </c>
      <c r="O2631" s="36">
        <v>362.4</v>
      </c>
      <c r="P2631" t="s">
        <v>165</v>
      </c>
      <c r="Q2631" t="s">
        <v>166</v>
      </c>
      <c r="R2631" t="s">
        <v>166</v>
      </c>
      <c r="S2631" s="1">
        <v>46099</v>
      </c>
      <c r="T2631" s="1">
        <v>46099</v>
      </c>
      <c r="U2631" s="1">
        <v>46099</v>
      </c>
      <c r="V2631" s="1">
        <v>46464</v>
      </c>
      <c r="W2631" t="s">
        <v>38</v>
      </c>
      <c r="X2631">
        <v>12</v>
      </c>
      <c r="Y2631" t="s">
        <v>49</v>
      </c>
      <c r="Z2631" t="s">
        <v>81</v>
      </c>
      <c r="AA2631" t="s">
        <v>122</v>
      </c>
      <c r="AB2631">
        <v>12</v>
      </c>
      <c r="AC2631" t="s">
        <v>166</v>
      </c>
      <c r="AD2631" t="s">
        <v>85</v>
      </c>
      <c r="AE2631" t="s">
        <v>46</v>
      </c>
      <c r="AF2631" t="s">
        <v>44</v>
      </c>
      <c r="AG2631" t="str">
        <f t="shared" si="44"/>
        <v>Recorrente</v>
      </c>
      <c r="AH2631" t="str">
        <f>IF(AND(SUMIF(E:E,E2631,I:I)&gt;=400000,Q2631="B2G"),"n","")</f>
        <v/>
      </c>
    </row>
    <row r="2632" spans="1:34">
      <c r="A2632">
        <v>2026</v>
      </c>
      <c r="B2632">
        <v>3</v>
      </c>
      <c r="C2632" s="83">
        <v>2113876</v>
      </c>
      <c r="D2632" t="s">
        <v>2396</v>
      </c>
      <c r="E2632">
        <v>58011648182</v>
      </c>
      <c r="F2632">
        <v>514628</v>
      </c>
      <c r="G2632">
        <v>53239678867</v>
      </c>
      <c r="H2632" t="s">
        <v>35</v>
      </c>
      <c r="I2632" s="36">
        <v>2730.24</v>
      </c>
      <c r="J2632" s="36">
        <v>2730.24</v>
      </c>
      <c r="K2632" s="85">
        <v>0</v>
      </c>
      <c r="L2632" s="36">
        <v>227.52</v>
      </c>
      <c r="M2632" s="36">
        <v>0</v>
      </c>
      <c r="N2632" s="36">
        <v>0</v>
      </c>
      <c r="O2632" s="36">
        <v>227.52500000000001</v>
      </c>
      <c r="P2632" t="s">
        <v>110</v>
      </c>
      <c r="Q2632" t="s">
        <v>111</v>
      </c>
      <c r="R2632" t="s">
        <v>111</v>
      </c>
      <c r="S2632" s="1">
        <v>46097</v>
      </c>
      <c r="T2632" s="1">
        <v>46097</v>
      </c>
      <c r="U2632" s="1">
        <v>46096</v>
      </c>
      <c r="V2632" s="1">
        <v>46462</v>
      </c>
      <c r="W2632" t="s">
        <v>38</v>
      </c>
      <c r="X2632">
        <v>12</v>
      </c>
      <c r="Y2632" t="s">
        <v>49</v>
      </c>
      <c r="Z2632" t="s">
        <v>81</v>
      </c>
      <c r="AA2632" t="s">
        <v>112</v>
      </c>
      <c r="AB2632">
        <v>12</v>
      </c>
      <c r="AC2632" t="s">
        <v>113</v>
      </c>
      <c r="AD2632" t="s">
        <v>140</v>
      </c>
      <c r="AE2632" t="s">
        <v>46</v>
      </c>
      <c r="AF2632" t="s">
        <v>119</v>
      </c>
      <c r="AG2632" t="str">
        <f t="shared" si="44"/>
        <v>CC 12x</v>
      </c>
      <c r="AH2632" t="str">
        <f>IF(AND(SUMIF(E:E,E2632,I:I)&gt;=400000,Q2632="B2G"),"n","")</f>
        <v/>
      </c>
    </row>
    <row r="2633" spans="1:34">
      <c r="A2633">
        <v>2026</v>
      </c>
      <c r="B2633">
        <v>3</v>
      </c>
      <c r="C2633" s="83">
        <v>2113876</v>
      </c>
      <c r="D2633" t="s">
        <v>2396</v>
      </c>
      <c r="E2633">
        <v>58011648182</v>
      </c>
      <c r="F2633">
        <v>514628</v>
      </c>
      <c r="G2633">
        <v>53239678868</v>
      </c>
      <c r="H2633" t="s">
        <v>35</v>
      </c>
      <c r="I2633" s="36">
        <v>2730.24</v>
      </c>
      <c r="J2633" s="36">
        <v>2730.24</v>
      </c>
      <c r="K2633" s="85">
        <v>0</v>
      </c>
      <c r="L2633" s="36">
        <v>227.52</v>
      </c>
      <c r="M2633" s="36">
        <v>0</v>
      </c>
      <c r="N2633" s="36">
        <v>0</v>
      </c>
      <c r="O2633" s="36">
        <v>227.52500000000001</v>
      </c>
      <c r="P2633" t="s">
        <v>110</v>
      </c>
      <c r="Q2633" t="s">
        <v>111</v>
      </c>
      <c r="R2633" t="s">
        <v>111</v>
      </c>
      <c r="S2633" s="1">
        <v>46097</v>
      </c>
      <c r="T2633" s="1">
        <v>46097</v>
      </c>
      <c r="U2633" s="1">
        <v>46096</v>
      </c>
      <c r="V2633" s="1">
        <v>46462</v>
      </c>
      <c r="W2633" t="s">
        <v>38</v>
      </c>
      <c r="X2633">
        <v>12</v>
      </c>
      <c r="Y2633" t="s">
        <v>49</v>
      </c>
      <c r="Z2633" t="s">
        <v>81</v>
      </c>
      <c r="AA2633" t="s">
        <v>112</v>
      </c>
      <c r="AB2633">
        <v>12</v>
      </c>
      <c r="AC2633" t="s">
        <v>113</v>
      </c>
      <c r="AD2633" t="s">
        <v>118</v>
      </c>
      <c r="AE2633" t="s">
        <v>43</v>
      </c>
      <c r="AF2633" t="s">
        <v>119</v>
      </c>
      <c r="AG2633" t="str">
        <f t="shared" si="44"/>
        <v>CC 12x</v>
      </c>
      <c r="AH2633" t="str">
        <f>IF(AND(SUMIF(E:E,E2633,I:I)&gt;=400000,Q2633="B2G"),"n","")</f>
        <v/>
      </c>
    </row>
    <row r="2634" spans="1:34">
      <c r="A2634">
        <v>2026</v>
      </c>
      <c r="B2634">
        <v>3</v>
      </c>
      <c r="C2634" s="83">
        <v>2114209</v>
      </c>
      <c r="D2634" t="s">
        <v>2397</v>
      </c>
      <c r="E2634">
        <v>56015408954</v>
      </c>
      <c r="F2634">
        <v>271318</v>
      </c>
      <c r="G2634">
        <v>51322385922</v>
      </c>
      <c r="H2634" t="s">
        <v>35</v>
      </c>
      <c r="I2634" s="36">
        <v>7015.44</v>
      </c>
      <c r="J2634" s="36">
        <v>7015.44</v>
      </c>
      <c r="K2634" s="85">
        <v>0</v>
      </c>
      <c r="L2634" s="36">
        <v>584.62</v>
      </c>
      <c r="M2634" s="36">
        <v>0</v>
      </c>
      <c r="N2634" s="36">
        <v>119.05500000000001</v>
      </c>
      <c r="O2634" s="36">
        <v>465.57</v>
      </c>
      <c r="P2634" t="s">
        <v>165</v>
      </c>
      <c r="Q2634" t="s">
        <v>166</v>
      </c>
      <c r="R2634" t="s">
        <v>166</v>
      </c>
      <c r="S2634" s="1">
        <v>46107</v>
      </c>
      <c r="T2634" s="1">
        <v>46107</v>
      </c>
      <c r="U2634" s="1">
        <v>46109</v>
      </c>
      <c r="V2634" s="1">
        <v>46474</v>
      </c>
      <c r="W2634" t="s">
        <v>38</v>
      </c>
      <c r="X2634">
        <v>12</v>
      </c>
      <c r="Y2634" t="s">
        <v>49</v>
      </c>
      <c r="Z2634" t="s">
        <v>81</v>
      </c>
      <c r="AA2634" t="s">
        <v>122</v>
      </c>
      <c r="AB2634">
        <v>12</v>
      </c>
      <c r="AC2634" t="s">
        <v>166</v>
      </c>
      <c r="AD2634" t="s">
        <v>134</v>
      </c>
      <c r="AE2634" t="s">
        <v>135</v>
      </c>
      <c r="AF2634" t="s">
        <v>44</v>
      </c>
      <c r="AG2634" t="str">
        <f t="shared" si="44"/>
        <v>Recorrente</v>
      </c>
      <c r="AH2634" t="str">
        <f>IF(AND(SUMIF(E:E,E2634,I:I)&gt;=400000,Q2634="B2G"),"n","")</f>
        <v/>
      </c>
    </row>
    <row r="2635" spans="1:34">
      <c r="A2635">
        <v>2026</v>
      </c>
      <c r="B2635">
        <v>3</v>
      </c>
      <c r="C2635" s="83">
        <v>2114759</v>
      </c>
      <c r="D2635" t="s">
        <v>2398</v>
      </c>
      <c r="E2635">
        <v>58522284944</v>
      </c>
      <c r="F2635">
        <v>636747</v>
      </c>
      <c r="G2635">
        <v>53666766191</v>
      </c>
      <c r="H2635" t="s">
        <v>35</v>
      </c>
      <c r="I2635" s="36">
        <v>2586.6</v>
      </c>
      <c r="J2635" s="36">
        <v>2586.6</v>
      </c>
      <c r="K2635" s="85">
        <v>0</v>
      </c>
      <c r="L2635" s="36">
        <v>215.55</v>
      </c>
      <c r="M2635" s="36">
        <v>215.55</v>
      </c>
      <c r="N2635" s="36">
        <v>0</v>
      </c>
      <c r="O2635" s="36">
        <v>0</v>
      </c>
      <c r="P2635" t="s">
        <v>313</v>
      </c>
      <c r="Q2635" t="s">
        <v>314</v>
      </c>
      <c r="R2635" t="s">
        <v>314</v>
      </c>
      <c r="S2635" s="1">
        <v>46108</v>
      </c>
      <c r="T2635" s="1">
        <v>46108</v>
      </c>
      <c r="V2635" s="1">
        <v>46473</v>
      </c>
      <c r="W2635" t="s">
        <v>38</v>
      </c>
      <c r="X2635">
        <v>12</v>
      </c>
      <c r="Y2635" t="s">
        <v>49</v>
      </c>
      <c r="AA2635" t="s">
        <v>112</v>
      </c>
      <c r="AB2635">
        <v>12</v>
      </c>
      <c r="AC2635" t="s">
        <v>315</v>
      </c>
      <c r="AD2635" t="s">
        <v>140</v>
      </c>
      <c r="AE2635" t="s">
        <v>46</v>
      </c>
      <c r="AF2635" t="s">
        <v>119</v>
      </c>
      <c r="AG2635" t="str">
        <f t="shared" si="44"/>
        <v>CC 12x</v>
      </c>
      <c r="AH2635" t="str">
        <f>IF(AND(SUMIF(E:E,E2635,I:I)&gt;=400000,Q2635="B2G"),"n","")</f>
        <v/>
      </c>
    </row>
    <row r="2636" spans="1:34">
      <c r="A2636">
        <v>2026</v>
      </c>
      <c r="B2636">
        <v>3</v>
      </c>
      <c r="C2636" s="83">
        <v>2114792</v>
      </c>
      <c r="D2636" t="s">
        <v>2399</v>
      </c>
      <c r="E2636">
        <v>58217581880</v>
      </c>
      <c r="F2636">
        <v>530402</v>
      </c>
      <c r="G2636">
        <v>53666592629</v>
      </c>
      <c r="H2636" t="s">
        <v>35</v>
      </c>
      <c r="I2636" s="36">
        <v>4530.6000000000004</v>
      </c>
      <c r="J2636" s="36">
        <v>4530.6000000000004</v>
      </c>
      <c r="K2636" s="85">
        <v>0</v>
      </c>
      <c r="L2636" s="36">
        <v>377.55</v>
      </c>
      <c r="M2636" s="36">
        <v>0</v>
      </c>
      <c r="N2636" s="36">
        <v>54.2</v>
      </c>
      <c r="O2636" s="36">
        <v>323.35000000000002</v>
      </c>
      <c r="P2636" t="s">
        <v>110</v>
      </c>
      <c r="Q2636" t="s">
        <v>111</v>
      </c>
      <c r="R2636" t="s">
        <v>111</v>
      </c>
      <c r="S2636" s="1">
        <v>46108</v>
      </c>
      <c r="T2636" s="1">
        <v>46108</v>
      </c>
      <c r="U2636" s="1">
        <v>46102</v>
      </c>
      <c r="V2636" s="1">
        <v>46473</v>
      </c>
      <c r="W2636" t="s">
        <v>38</v>
      </c>
      <c r="X2636">
        <v>12</v>
      </c>
      <c r="Y2636" t="s">
        <v>49</v>
      </c>
      <c r="Z2636" t="s">
        <v>76</v>
      </c>
      <c r="AA2636" t="s">
        <v>122</v>
      </c>
      <c r="AB2636">
        <v>12</v>
      </c>
      <c r="AC2636" t="s">
        <v>113</v>
      </c>
      <c r="AD2636" t="s">
        <v>84</v>
      </c>
      <c r="AE2636" t="s">
        <v>43</v>
      </c>
      <c r="AF2636" t="s">
        <v>44</v>
      </c>
      <c r="AG2636" t="str">
        <f t="shared" si="44"/>
        <v>Recorrente</v>
      </c>
      <c r="AH2636" t="str">
        <f>IF(AND(SUMIF(E:E,E2636,I:I)&gt;=400000,Q2636="B2G"),"n","")</f>
        <v/>
      </c>
    </row>
    <row r="2637" spans="1:34">
      <c r="A2637">
        <v>2026</v>
      </c>
      <c r="B2637">
        <v>3</v>
      </c>
      <c r="C2637" s="83">
        <v>211501754015</v>
      </c>
      <c r="D2637" t="s">
        <v>2400</v>
      </c>
      <c r="E2637">
        <v>58163265594</v>
      </c>
      <c r="F2637">
        <v>636593</v>
      </c>
      <c r="G2637">
        <v>53373097509</v>
      </c>
      <c r="H2637" t="s">
        <v>104</v>
      </c>
      <c r="I2637" s="36">
        <v>718.8</v>
      </c>
      <c r="J2637" s="36">
        <v>718.8</v>
      </c>
      <c r="K2637" s="85">
        <v>0</v>
      </c>
      <c r="L2637" s="36">
        <v>59.9</v>
      </c>
      <c r="M2637" s="36">
        <v>59.9</v>
      </c>
      <c r="N2637" s="36">
        <v>0</v>
      </c>
      <c r="O2637" s="36">
        <v>0</v>
      </c>
      <c r="P2637" t="s">
        <v>497</v>
      </c>
      <c r="Q2637" t="s">
        <v>498</v>
      </c>
      <c r="R2637" t="s">
        <v>498</v>
      </c>
      <c r="S2637" s="1">
        <v>46100</v>
      </c>
      <c r="T2637" s="1">
        <v>46100</v>
      </c>
      <c r="V2637" s="1">
        <v>46465</v>
      </c>
      <c r="W2637" t="s">
        <v>38</v>
      </c>
      <c r="X2637">
        <v>12</v>
      </c>
      <c r="Y2637" t="s">
        <v>49</v>
      </c>
      <c r="AA2637" t="s">
        <v>117</v>
      </c>
      <c r="AB2637">
        <v>1</v>
      </c>
      <c r="AC2637" t="s">
        <v>499</v>
      </c>
      <c r="AD2637" t="s">
        <v>105</v>
      </c>
      <c r="AE2637" t="s">
        <v>106</v>
      </c>
      <c r="AF2637" t="s">
        <v>59</v>
      </c>
      <c r="AG2637" t="str">
        <f t="shared" si="44"/>
        <v>À Vista</v>
      </c>
      <c r="AH2637" t="str">
        <f>IF(AND(SUMIF(E:E,E2637,I:I)&gt;=400000,Q2637="B2G"),"n","")</f>
        <v/>
      </c>
    </row>
    <row r="2638" spans="1:34">
      <c r="A2638">
        <v>2026</v>
      </c>
      <c r="B2638">
        <v>3</v>
      </c>
      <c r="C2638" s="83">
        <v>211533991578</v>
      </c>
      <c r="D2638" t="s">
        <v>2401</v>
      </c>
      <c r="E2638">
        <v>58329338162</v>
      </c>
      <c r="F2638">
        <v>636687</v>
      </c>
      <c r="G2638">
        <v>53525317902</v>
      </c>
      <c r="H2638" t="s">
        <v>104</v>
      </c>
      <c r="I2638" s="36">
        <v>718.8</v>
      </c>
      <c r="J2638" s="36">
        <v>718.8</v>
      </c>
      <c r="K2638" s="85">
        <v>0</v>
      </c>
      <c r="L2638" s="36">
        <v>59.9</v>
      </c>
      <c r="M2638" s="36">
        <v>59.9</v>
      </c>
      <c r="N2638" s="36">
        <v>0</v>
      </c>
      <c r="O2638" s="36">
        <v>0</v>
      </c>
      <c r="P2638" t="s">
        <v>497</v>
      </c>
      <c r="Q2638" t="s">
        <v>498</v>
      </c>
      <c r="R2638" t="s">
        <v>498</v>
      </c>
      <c r="S2638" s="1">
        <v>46106</v>
      </c>
      <c r="T2638" s="1">
        <v>46106</v>
      </c>
      <c r="U2638" s="1"/>
      <c r="V2638" s="1">
        <v>46471</v>
      </c>
      <c r="W2638" t="s">
        <v>38</v>
      </c>
      <c r="X2638">
        <v>12</v>
      </c>
      <c r="Y2638" t="s">
        <v>49</v>
      </c>
      <c r="AA2638" t="s">
        <v>112</v>
      </c>
      <c r="AB2638">
        <v>4</v>
      </c>
      <c r="AC2638" t="s">
        <v>499</v>
      </c>
      <c r="AD2638" t="s">
        <v>105</v>
      </c>
      <c r="AE2638" t="s">
        <v>106</v>
      </c>
      <c r="AF2638" t="s">
        <v>59</v>
      </c>
      <c r="AG2638" t="str">
        <f t="shared" si="44"/>
        <v>CC 12x</v>
      </c>
      <c r="AH2638" t="str">
        <f>IF(AND(SUMIF(E:E,E2638,I:I)&gt;=400000,Q2638="B2G"),"n","")</f>
        <v/>
      </c>
    </row>
    <row r="2639" spans="1:34">
      <c r="A2639">
        <v>2026</v>
      </c>
      <c r="B2639">
        <v>3</v>
      </c>
      <c r="C2639" s="83">
        <v>211542698382</v>
      </c>
      <c r="D2639" t="s">
        <v>2402</v>
      </c>
      <c r="E2639">
        <v>58359361706</v>
      </c>
      <c r="F2639">
        <v>636695</v>
      </c>
      <c r="G2639">
        <v>53548199082</v>
      </c>
      <c r="H2639" t="s">
        <v>35</v>
      </c>
      <c r="I2639" s="36">
        <v>2874</v>
      </c>
      <c r="J2639" s="36">
        <v>2874</v>
      </c>
      <c r="K2639" s="85">
        <v>0</v>
      </c>
      <c r="L2639" s="36">
        <v>239.5</v>
      </c>
      <c r="M2639" s="36">
        <v>239.5</v>
      </c>
      <c r="N2639" s="36">
        <v>0</v>
      </c>
      <c r="O2639" s="36">
        <v>0</v>
      </c>
      <c r="P2639" t="s">
        <v>497</v>
      </c>
      <c r="Q2639" t="s">
        <v>498</v>
      </c>
      <c r="R2639" t="s">
        <v>498</v>
      </c>
      <c r="S2639" s="1">
        <v>46106</v>
      </c>
      <c r="T2639" s="1">
        <v>46106</v>
      </c>
      <c r="V2639" s="1">
        <v>46471</v>
      </c>
      <c r="W2639" t="s">
        <v>38</v>
      </c>
      <c r="X2639">
        <v>12</v>
      </c>
      <c r="Y2639" t="s">
        <v>49</v>
      </c>
      <c r="AA2639" t="s">
        <v>117</v>
      </c>
      <c r="AB2639">
        <v>1</v>
      </c>
      <c r="AC2639" t="s">
        <v>499</v>
      </c>
      <c r="AD2639" t="s">
        <v>118</v>
      </c>
      <c r="AE2639" t="s">
        <v>43</v>
      </c>
      <c r="AF2639" t="s">
        <v>119</v>
      </c>
      <c r="AG2639" t="str">
        <f t="shared" si="44"/>
        <v>À Vista</v>
      </c>
      <c r="AH2639" t="str">
        <f>IF(AND(SUMIF(E:E,E2639,I:I)&gt;=400000,Q2639="B2G"),"n","")</f>
        <v/>
      </c>
    </row>
    <row r="2640" spans="1:34">
      <c r="A2640">
        <v>2026</v>
      </c>
      <c r="B2640">
        <v>3</v>
      </c>
      <c r="C2640" s="83">
        <v>2115676</v>
      </c>
      <c r="D2640" t="s">
        <v>2403</v>
      </c>
      <c r="E2640">
        <v>54830917893</v>
      </c>
      <c r="F2640">
        <v>626774</v>
      </c>
      <c r="G2640">
        <v>52557453182</v>
      </c>
      <c r="H2640" t="s">
        <v>35</v>
      </c>
      <c r="I2640" s="36">
        <v>4919.76</v>
      </c>
      <c r="J2640" s="36">
        <v>4919.76</v>
      </c>
      <c r="K2640" s="85">
        <v>0</v>
      </c>
      <c r="L2640" s="36">
        <v>409.98</v>
      </c>
      <c r="M2640" s="36">
        <v>0</v>
      </c>
      <c r="N2640" s="36">
        <v>0</v>
      </c>
      <c r="O2640" s="36">
        <v>409.97729500000003</v>
      </c>
      <c r="P2640" t="s">
        <v>116</v>
      </c>
      <c r="Q2640" t="s">
        <v>111</v>
      </c>
      <c r="R2640" t="s">
        <v>111</v>
      </c>
      <c r="S2640" s="1">
        <v>46083</v>
      </c>
      <c r="T2640" s="1">
        <v>46083</v>
      </c>
      <c r="U2640" s="1">
        <v>46073</v>
      </c>
      <c r="V2640" s="1">
        <v>46448</v>
      </c>
      <c r="W2640" t="s">
        <v>38</v>
      </c>
      <c r="X2640">
        <v>13</v>
      </c>
      <c r="Y2640" t="s">
        <v>49</v>
      </c>
      <c r="Z2640" t="s">
        <v>81</v>
      </c>
      <c r="AA2640" t="s">
        <v>122</v>
      </c>
      <c r="AB2640">
        <v>12</v>
      </c>
      <c r="AC2640" t="s">
        <v>113</v>
      </c>
      <c r="AD2640" t="s">
        <v>85</v>
      </c>
      <c r="AE2640" t="s">
        <v>46</v>
      </c>
      <c r="AF2640" t="s">
        <v>44</v>
      </c>
      <c r="AG2640" t="str">
        <f t="shared" si="44"/>
        <v>Recorrente</v>
      </c>
      <c r="AH2640" t="str">
        <f>IF(AND(SUMIF(E:E,E2640,I:I)&gt;=400000,Q2640="B2G"),"n","")</f>
        <v/>
      </c>
    </row>
    <row r="2641" spans="1:34">
      <c r="A2641">
        <v>2026</v>
      </c>
      <c r="B2641">
        <v>3</v>
      </c>
      <c r="C2641" s="83">
        <v>211600213772</v>
      </c>
      <c r="D2641" t="s">
        <v>2404</v>
      </c>
      <c r="E2641">
        <v>57962421080</v>
      </c>
      <c r="F2641">
        <v>636647</v>
      </c>
      <c r="G2641">
        <v>53409334830</v>
      </c>
      <c r="H2641" t="s">
        <v>35</v>
      </c>
      <c r="I2641" s="36">
        <v>9531</v>
      </c>
      <c r="J2641" s="36">
        <v>9531</v>
      </c>
      <c r="K2641" s="85">
        <v>0</v>
      </c>
      <c r="L2641" s="36">
        <v>794.25</v>
      </c>
      <c r="M2641" s="36">
        <v>794.25</v>
      </c>
      <c r="N2641" s="36">
        <v>0</v>
      </c>
      <c r="O2641" s="36">
        <v>0</v>
      </c>
      <c r="P2641" t="s">
        <v>1073</v>
      </c>
      <c r="Q2641" t="s">
        <v>314</v>
      </c>
      <c r="R2641" t="s">
        <v>314</v>
      </c>
      <c r="S2641" s="1">
        <v>46104</v>
      </c>
      <c r="T2641" s="1">
        <v>46104</v>
      </c>
      <c r="V2641" s="1">
        <v>46469</v>
      </c>
      <c r="W2641" t="s">
        <v>38</v>
      </c>
      <c r="X2641">
        <v>12</v>
      </c>
      <c r="Y2641" t="s">
        <v>49</v>
      </c>
      <c r="AA2641" t="s">
        <v>122</v>
      </c>
      <c r="AB2641">
        <v>12</v>
      </c>
      <c r="AC2641" t="s">
        <v>315</v>
      </c>
      <c r="AD2641" t="s">
        <v>1167</v>
      </c>
      <c r="AE2641" t="s">
        <v>95</v>
      </c>
      <c r="AF2641" t="s">
        <v>96</v>
      </c>
      <c r="AG2641" t="str">
        <f t="shared" si="44"/>
        <v>Recorrente</v>
      </c>
      <c r="AH2641" t="str">
        <f>IF(AND(SUMIF(E:E,E2641,I:I)&gt;=400000,Q2641="B2G"),"n","")</f>
        <v/>
      </c>
    </row>
    <row r="2642" spans="1:34">
      <c r="A2642">
        <v>2026</v>
      </c>
      <c r="B2642">
        <v>3</v>
      </c>
      <c r="C2642" s="83">
        <v>211600213772</v>
      </c>
      <c r="D2642" t="s">
        <v>2404</v>
      </c>
      <c r="E2642">
        <v>57962421080</v>
      </c>
      <c r="F2642">
        <v>636647</v>
      </c>
      <c r="G2642">
        <v>53409334831</v>
      </c>
      <c r="H2642" t="s">
        <v>35</v>
      </c>
      <c r="I2642" s="36">
        <v>8055</v>
      </c>
      <c r="J2642" s="36">
        <v>8055</v>
      </c>
      <c r="K2642" s="85">
        <v>0</v>
      </c>
      <c r="L2642" s="36">
        <v>671.25</v>
      </c>
      <c r="M2642" s="36">
        <v>671.25</v>
      </c>
      <c r="N2642" s="36">
        <v>0</v>
      </c>
      <c r="O2642" s="36">
        <v>0</v>
      </c>
      <c r="P2642" t="s">
        <v>1073</v>
      </c>
      <c r="Q2642" t="s">
        <v>314</v>
      </c>
      <c r="R2642" t="s">
        <v>314</v>
      </c>
      <c r="S2642" s="1">
        <v>46104</v>
      </c>
      <c r="T2642" s="1">
        <v>46104</v>
      </c>
      <c r="V2642" s="1">
        <v>46469</v>
      </c>
      <c r="W2642" t="s">
        <v>38</v>
      </c>
      <c r="X2642">
        <v>12</v>
      </c>
      <c r="Y2642" t="s">
        <v>49</v>
      </c>
      <c r="AA2642" t="s">
        <v>122</v>
      </c>
      <c r="AB2642">
        <v>12</v>
      </c>
      <c r="AC2642" t="s">
        <v>315</v>
      </c>
      <c r="AD2642" t="s">
        <v>256</v>
      </c>
      <c r="AE2642" t="s">
        <v>257</v>
      </c>
      <c r="AF2642" t="s">
        <v>59</v>
      </c>
      <c r="AG2642" t="str">
        <f t="shared" si="44"/>
        <v>Recorrente</v>
      </c>
      <c r="AH2642" t="str">
        <f>IF(AND(SUMIF(E:E,E2642,I:I)&gt;=400000,Q2642="B2G"),"n","")</f>
        <v/>
      </c>
    </row>
    <row r="2643" spans="1:34">
      <c r="A2643">
        <v>2026</v>
      </c>
      <c r="B2643">
        <v>3</v>
      </c>
      <c r="C2643" s="83">
        <v>211600213772</v>
      </c>
      <c r="D2643" t="s">
        <v>2404</v>
      </c>
      <c r="E2643">
        <v>57962421080</v>
      </c>
      <c r="F2643">
        <v>636647</v>
      </c>
      <c r="G2643">
        <v>53409334832</v>
      </c>
      <c r="H2643" t="s">
        <v>35</v>
      </c>
      <c r="I2643" s="36">
        <v>8055</v>
      </c>
      <c r="J2643" s="36">
        <v>8055</v>
      </c>
      <c r="K2643" s="85">
        <v>0</v>
      </c>
      <c r="L2643" s="36">
        <v>671.25</v>
      </c>
      <c r="M2643" s="36">
        <v>671.25</v>
      </c>
      <c r="N2643" s="36">
        <v>0</v>
      </c>
      <c r="O2643" s="36">
        <v>0</v>
      </c>
      <c r="P2643" t="s">
        <v>1073</v>
      </c>
      <c r="Q2643" t="s">
        <v>314</v>
      </c>
      <c r="R2643" t="s">
        <v>314</v>
      </c>
      <c r="S2643" s="1">
        <v>46104</v>
      </c>
      <c r="T2643" s="1">
        <v>46104</v>
      </c>
      <c r="V2643" s="1">
        <v>46469</v>
      </c>
      <c r="W2643" t="s">
        <v>38</v>
      </c>
      <c r="X2643">
        <v>12</v>
      </c>
      <c r="Y2643" t="s">
        <v>49</v>
      </c>
      <c r="AA2643" t="s">
        <v>122</v>
      </c>
      <c r="AB2643">
        <v>12</v>
      </c>
      <c r="AC2643" t="s">
        <v>315</v>
      </c>
      <c r="AD2643" t="s">
        <v>1026</v>
      </c>
      <c r="AE2643" t="s">
        <v>363</v>
      </c>
      <c r="AF2643" t="s">
        <v>59</v>
      </c>
      <c r="AG2643" t="str">
        <f t="shared" si="44"/>
        <v>Recorrente</v>
      </c>
      <c r="AH2643" t="str">
        <f>IF(AND(SUMIF(E:E,E2643,I:I)&gt;=400000,Q2643="B2G"),"n","")</f>
        <v/>
      </c>
    </row>
    <row r="2644" spans="1:34">
      <c r="A2644">
        <v>2026</v>
      </c>
      <c r="B2644">
        <v>3</v>
      </c>
      <c r="C2644" s="83">
        <v>211600213772</v>
      </c>
      <c r="D2644" t="s">
        <v>2404</v>
      </c>
      <c r="E2644">
        <v>57962421080</v>
      </c>
      <c r="F2644">
        <v>636647</v>
      </c>
      <c r="G2644">
        <v>53409334833</v>
      </c>
      <c r="H2644" t="s">
        <v>35</v>
      </c>
      <c r="I2644" s="36">
        <v>3285</v>
      </c>
      <c r="J2644" s="36">
        <v>3285</v>
      </c>
      <c r="K2644" s="85">
        <v>0</v>
      </c>
      <c r="L2644" s="36">
        <v>273.75</v>
      </c>
      <c r="M2644" s="36">
        <v>273.75</v>
      </c>
      <c r="N2644" s="36">
        <v>0</v>
      </c>
      <c r="O2644" s="36">
        <v>0</v>
      </c>
      <c r="P2644" t="s">
        <v>1073</v>
      </c>
      <c r="Q2644" t="s">
        <v>314</v>
      </c>
      <c r="R2644" t="s">
        <v>314</v>
      </c>
      <c r="S2644" s="1">
        <v>46104</v>
      </c>
      <c r="T2644" s="1">
        <v>46104</v>
      </c>
      <c r="U2644" s="1"/>
      <c r="V2644" s="1">
        <v>46469</v>
      </c>
      <c r="W2644" t="s">
        <v>38</v>
      </c>
      <c r="X2644">
        <v>12</v>
      </c>
      <c r="Y2644" t="s">
        <v>49</v>
      </c>
      <c r="AA2644" t="s">
        <v>122</v>
      </c>
      <c r="AB2644">
        <v>12</v>
      </c>
      <c r="AC2644" t="s">
        <v>315</v>
      </c>
      <c r="AD2644" t="s">
        <v>2405</v>
      </c>
      <c r="AE2644" t="s">
        <v>257</v>
      </c>
      <c r="AF2644" t="s">
        <v>59</v>
      </c>
      <c r="AG2644" t="str">
        <f t="shared" si="44"/>
        <v>Recorrente</v>
      </c>
      <c r="AH2644" t="str">
        <f>IF(AND(SUMIF(E:E,E2644,I:I)&gt;=400000,Q2644="B2G"),"n","")</f>
        <v/>
      </c>
    </row>
    <row r="2645" spans="1:34">
      <c r="A2645">
        <v>2026</v>
      </c>
      <c r="B2645">
        <v>3</v>
      </c>
      <c r="C2645" s="83">
        <v>2116608</v>
      </c>
      <c r="D2645" t="s">
        <v>2406</v>
      </c>
      <c r="E2645">
        <v>57828823462</v>
      </c>
      <c r="F2645">
        <v>636439</v>
      </c>
      <c r="G2645">
        <v>53094115974</v>
      </c>
      <c r="H2645" t="s">
        <v>35</v>
      </c>
      <c r="I2645" s="36">
        <v>3480</v>
      </c>
      <c r="J2645" s="36">
        <v>3480</v>
      </c>
      <c r="K2645" s="85">
        <v>0</v>
      </c>
      <c r="L2645" s="36">
        <v>290</v>
      </c>
      <c r="M2645" s="36">
        <v>290</v>
      </c>
      <c r="N2645" s="36">
        <v>0</v>
      </c>
      <c r="O2645" s="36">
        <v>0</v>
      </c>
      <c r="P2645" t="s">
        <v>313</v>
      </c>
      <c r="Q2645" t="s">
        <v>314</v>
      </c>
      <c r="R2645" t="s">
        <v>314</v>
      </c>
      <c r="S2645" s="1">
        <v>46091</v>
      </c>
      <c r="T2645" s="1">
        <v>46091</v>
      </c>
      <c r="U2645" s="1"/>
      <c r="V2645" s="1">
        <v>46456</v>
      </c>
      <c r="W2645" t="s">
        <v>38</v>
      </c>
      <c r="X2645">
        <v>12</v>
      </c>
      <c r="Y2645" t="s">
        <v>49</v>
      </c>
      <c r="AA2645" t="s">
        <v>112</v>
      </c>
      <c r="AB2645">
        <v>12</v>
      </c>
      <c r="AC2645" t="s">
        <v>315</v>
      </c>
      <c r="AD2645" t="s">
        <v>160</v>
      </c>
      <c r="AE2645" t="s">
        <v>43</v>
      </c>
      <c r="AF2645" t="s">
        <v>44</v>
      </c>
      <c r="AG2645" t="str">
        <f t="shared" si="44"/>
        <v>CC 12x</v>
      </c>
      <c r="AH2645" t="str">
        <f>IF(AND(SUMIF(E:E,E2645,I:I)&gt;=400000,Q2645="B2G"),"n","")</f>
        <v/>
      </c>
    </row>
    <row r="2646" spans="1:34">
      <c r="A2646">
        <v>2026</v>
      </c>
      <c r="B2646">
        <v>3</v>
      </c>
      <c r="C2646" s="83">
        <v>2117023</v>
      </c>
      <c r="D2646" t="s">
        <v>2407</v>
      </c>
      <c r="E2646">
        <v>58362219380</v>
      </c>
      <c r="F2646">
        <v>310114</v>
      </c>
      <c r="G2646">
        <v>53640366179</v>
      </c>
      <c r="H2646" t="s">
        <v>35</v>
      </c>
      <c r="I2646" s="36">
        <v>7560</v>
      </c>
      <c r="J2646" s="36">
        <v>7560</v>
      </c>
      <c r="K2646" s="85">
        <v>0</v>
      </c>
      <c r="L2646" s="36">
        <v>630</v>
      </c>
      <c r="M2646" s="36">
        <v>0</v>
      </c>
      <c r="N2646" s="36">
        <v>33.26</v>
      </c>
      <c r="O2646" s="36">
        <v>596.74</v>
      </c>
      <c r="P2646" t="s">
        <v>127</v>
      </c>
      <c r="Q2646" t="s">
        <v>111</v>
      </c>
      <c r="R2646" t="s">
        <v>111</v>
      </c>
      <c r="S2646" s="1">
        <v>46107</v>
      </c>
      <c r="T2646" s="1">
        <v>46107</v>
      </c>
      <c r="U2646" s="1">
        <v>46108</v>
      </c>
      <c r="V2646" s="1">
        <v>46473</v>
      </c>
      <c r="W2646" t="s">
        <v>38</v>
      </c>
      <c r="X2646">
        <v>12</v>
      </c>
      <c r="Y2646" t="s">
        <v>49</v>
      </c>
      <c r="Z2646" t="s">
        <v>81</v>
      </c>
      <c r="AA2646" t="s">
        <v>112</v>
      </c>
      <c r="AB2646">
        <v>12</v>
      </c>
      <c r="AC2646" t="s">
        <v>113</v>
      </c>
      <c r="AD2646" t="s">
        <v>134</v>
      </c>
      <c r="AE2646" t="s">
        <v>135</v>
      </c>
      <c r="AF2646" t="s">
        <v>44</v>
      </c>
      <c r="AG2646" t="str">
        <f t="shared" si="44"/>
        <v>CC 12x</v>
      </c>
      <c r="AH2646" t="str">
        <f>IF(AND(SUMIF(E:E,E2646,I:I)&gt;=400000,Q2646="B2G"),"n","")</f>
        <v/>
      </c>
    </row>
    <row r="2647" spans="1:34">
      <c r="A2647">
        <v>2026</v>
      </c>
      <c r="B2647">
        <v>3</v>
      </c>
      <c r="C2647" s="83">
        <v>2117242</v>
      </c>
      <c r="D2647" t="s">
        <v>2408</v>
      </c>
      <c r="E2647">
        <v>57836196656</v>
      </c>
      <c r="F2647">
        <v>310969</v>
      </c>
      <c r="G2647">
        <v>53664290974</v>
      </c>
      <c r="H2647" t="s">
        <v>35</v>
      </c>
      <c r="I2647" s="36">
        <v>6664.68</v>
      </c>
      <c r="J2647" s="36">
        <v>6664.68</v>
      </c>
      <c r="K2647" s="85">
        <v>0</v>
      </c>
      <c r="L2647" s="36">
        <v>555.39</v>
      </c>
      <c r="M2647" s="36">
        <v>0</v>
      </c>
      <c r="N2647" s="36">
        <v>89.553749999999994</v>
      </c>
      <c r="O2647" s="36">
        <v>465.84</v>
      </c>
      <c r="P2647" t="s">
        <v>116</v>
      </c>
      <c r="Q2647" t="s">
        <v>111</v>
      </c>
      <c r="R2647" t="s">
        <v>111</v>
      </c>
      <c r="S2647" s="1">
        <v>46108</v>
      </c>
      <c r="T2647" s="1">
        <v>46108</v>
      </c>
      <c r="U2647" s="1">
        <v>46112</v>
      </c>
      <c r="V2647" s="1">
        <v>46477</v>
      </c>
      <c r="W2647" t="s">
        <v>38</v>
      </c>
      <c r="X2647">
        <v>12</v>
      </c>
      <c r="Y2647" t="s">
        <v>49</v>
      </c>
      <c r="Z2647" t="s">
        <v>81</v>
      </c>
      <c r="AA2647" t="s">
        <v>122</v>
      </c>
      <c r="AB2647">
        <v>12</v>
      </c>
      <c r="AC2647" t="s">
        <v>113</v>
      </c>
      <c r="AD2647" t="s">
        <v>134</v>
      </c>
      <c r="AE2647" t="s">
        <v>135</v>
      </c>
      <c r="AF2647" t="s">
        <v>44</v>
      </c>
      <c r="AG2647" t="str">
        <f t="shared" si="44"/>
        <v>Recorrente</v>
      </c>
      <c r="AH2647" t="str">
        <f>IF(AND(SUMIF(E:E,E2647,I:I)&gt;=400000,Q2647="B2G"),"n","")</f>
        <v/>
      </c>
    </row>
    <row r="2648" spans="1:34">
      <c r="A2648">
        <v>2026</v>
      </c>
      <c r="B2648">
        <v>3</v>
      </c>
      <c r="C2648" s="83">
        <v>211731524997</v>
      </c>
      <c r="D2648" t="s">
        <v>2409</v>
      </c>
      <c r="E2648">
        <v>55513283760</v>
      </c>
      <c r="F2648">
        <v>611914</v>
      </c>
      <c r="G2648">
        <v>50811603594</v>
      </c>
      <c r="H2648" t="s">
        <v>35</v>
      </c>
      <c r="I2648" s="36">
        <v>5514</v>
      </c>
      <c r="J2648" s="36">
        <v>5514</v>
      </c>
      <c r="K2648" s="85">
        <v>0</v>
      </c>
      <c r="L2648" s="36">
        <v>459.5</v>
      </c>
      <c r="M2648" s="36">
        <v>0</v>
      </c>
      <c r="N2648" s="36">
        <v>30.5</v>
      </c>
      <c r="O2648" s="36">
        <v>429</v>
      </c>
      <c r="P2648" t="s">
        <v>165</v>
      </c>
      <c r="Q2648" t="s">
        <v>166</v>
      </c>
      <c r="R2648" t="s">
        <v>166</v>
      </c>
      <c r="S2648" s="1">
        <v>46102</v>
      </c>
      <c r="T2648" s="1">
        <v>46102</v>
      </c>
      <c r="U2648" s="1">
        <v>46102</v>
      </c>
      <c r="V2648" s="1">
        <v>46467</v>
      </c>
      <c r="W2648" t="s">
        <v>38</v>
      </c>
      <c r="X2648">
        <v>12</v>
      </c>
      <c r="Y2648" t="s">
        <v>49</v>
      </c>
      <c r="Z2648" t="s">
        <v>81</v>
      </c>
      <c r="AA2648" t="s">
        <v>112</v>
      </c>
      <c r="AB2648">
        <v>12</v>
      </c>
      <c r="AC2648" t="s">
        <v>166</v>
      </c>
      <c r="AD2648" t="s">
        <v>138</v>
      </c>
      <c r="AE2648" t="s">
        <v>135</v>
      </c>
      <c r="AF2648" t="s">
        <v>119</v>
      </c>
      <c r="AG2648" t="str">
        <f t="shared" si="44"/>
        <v>CC 12x</v>
      </c>
      <c r="AH2648" t="str">
        <f>IF(AND(SUMIF(E:E,E2648,I:I)&gt;=400000,Q2648="B2G"),"n","")</f>
        <v/>
      </c>
    </row>
    <row r="2649" spans="1:34">
      <c r="A2649">
        <v>2026</v>
      </c>
      <c r="B2649">
        <v>3</v>
      </c>
      <c r="C2649" s="83">
        <v>2117444</v>
      </c>
      <c r="D2649" t="s">
        <v>2410</v>
      </c>
      <c r="E2649">
        <v>57487246193</v>
      </c>
      <c r="F2649">
        <v>278227</v>
      </c>
      <c r="G2649">
        <v>53530782392</v>
      </c>
      <c r="H2649" t="s">
        <v>35</v>
      </c>
      <c r="I2649" s="36">
        <v>3462.84</v>
      </c>
      <c r="J2649" s="36">
        <v>3462.84</v>
      </c>
      <c r="K2649" s="85">
        <v>0</v>
      </c>
      <c r="L2649" s="36">
        <v>288.57</v>
      </c>
      <c r="M2649" s="36">
        <v>0</v>
      </c>
      <c r="N2649" s="36">
        <v>24.375</v>
      </c>
      <c r="O2649" s="36">
        <v>264.2</v>
      </c>
      <c r="P2649" t="s">
        <v>110</v>
      </c>
      <c r="Q2649" t="s">
        <v>111</v>
      </c>
      <c r="R2649" t="s">
        <v>111</v>
      </c>
      <c r="S2649" s="1">
        <v>46111</v>
      </c>
      <c r="T2649" s="1">
        <v>46111</v>
      </c>
      <c r="U2649" s="1">
        <v>46084</v>
      </c>
      <c r="V2649" s="1">
        <v>46476</v>
      </c>
      <c r="W2649" t="s">
        <v>38</v>
      </c>
      <c r="X2649">
        <v>12</v>
      </c>
      <c r="Y2649" t="s">
        <v>49</v>
      </c>
      <c r="Z2649" t="s">
        <v>81</v>
      </c>
      <c r="AA2649" t="s">
        <v>122</v>
      </c>
      <c r="AB2649">
        <v>12</v>
      </c>
      <c r="AC2649" t="s">
        <v>113</v>
      </c>
      <c r="AD2649" t="s">
        <v>160</v>
      </c>
      <c r="AE2649" t="s">
        <v>43</v>
      </c>
      <c r="AF2649" t="s">
        <v>44</v>
      </c>
      <c r="AG2649" t="str">
        <f t="shared" si="44"/>
        <v>Recorrente</v>
      </c>
      <c r="AH2649" t="str">
        <f>IF(AND(SUMIF(E:E,E2649,I:I)&gt;=400000,Q2649="B2G"),"n","")</f>
        <v/>
      </c>
    </row>
    <row r="2650" spans="1:34">
      <c r="A2650">
        <v>2026</v>
      </c>
      <c r="B2650">
        <v>3</v>
      </c>
      <c r="C2650" s="83">
        <v>211758250339</v>
      </c>
      <c r="D2650" t="s">
        <v>2411</v>
      </c>
      <c r="E2650">
        <v>58654436644</v>
      </c>
      <c r="F2650">
        <v>611294</v>
      </c>
      <c r="G2650">
        <v>53808872960</v>
      </c>
      <c r="H2650" t="s">
        <v>35</v>
      </c>
      <c r="I2650" s="36">
        <v>4311.96</v>
      </c>
      <c r="J2650" s="36">
        <v>4311.96</v>
      </c>
      <c r="K2650" s="85">
        <v>0</v>
      </c>
      <c r="L2650" s="36">
        <v>359.33</v>
      </c>
      <c r="M2650" s="36">
        <v>0</v>
      </c>
      <c r="N2650" s="36">
        <v>0</v>
      </c>
      <c r="O2650" s="36">
        <v>359.33</v>
      </c>
      <c r="P2650" t="s">
        <v>121</v>
      </c>
      <c r="Q2650" t="s">
        <v>111</v>
      </c>
      <c r="R2650" t="s">
        <v>111</v>
      </c>
      <c r="S2650" s="1">
        <v>46112</v>
      </c>
      <c r="T2650" s="1">
        <v>46112</v>
      </c>
      <c r="U2650" s="1">
        <v>46112</v>
      </c>
      <c r="V2650" s="1">
        <v>46477</v>
      </c>
      <c r="W2650" t="s">
        <v>38</v>
      </c>
      <c r="X2650">
        <v>12</v>
      </c>
      <c r="Y2650" t="s">
        <v>49</v>
      </c>
      <c r="Z2650" t="s">
        <v>81</v>
      </c>
      <c r="AA2650" t="s">
        <v>122</v>
      </c>
      <c r="AB2650">
        <v>12</v>
      </c>
      <c r="AC2650" t="s">
        <v>113</v>
      </c>
      <c r="AD2650" t="s">
        <v>138</v>
      </c>
      <c r="AE2650" t="s">
        <v>135</v>
      </c>
      <c r="AF2650" t="s">
        <v>119</v>
      </c>
      <c r="AG2650" t="str">
        <f t="shared" si="44"/>
        <v>Recorrente</v>
      </c>
      <c r="AH2650" t="str">
        <f>IF(AND(SUMIF(E:E,E2650,I:I)&gt;=400000,Q2650="B2G"),"n","")</f>
        <v/>
      </c>
    </row>
    <row r="2651" spans="1:34">
      <c r="A2651">
        <v>2026</v>
      </c>
      <c r="B2651">
        <v>3</v>
      </c>
      <c r="C2651" s="83">
        <v>2118277</v>
      </c>
      <c r="D2651" t="s">
        <v>2412</v>
      </c>
      <c r="E2651">
        <v>55206690651</v>
      </c>
      <c r="F2651">
        <v>507873</v>
      </c>
      <c r="G2651">
        <v>50509346622</v>
      </c>
      <c r="H2651" t="s">
        <v>35</v>
      </c>
      <c r="I2651" s="36">
        <v>8418.6</v>
      </c>
      <c r="J2651" s="36">
        <v>8418.6</v>
      </c>
      <c r="K2651" s="85">
        <v>0</v>
      </c>
      <c r="L2651" s="36">
        <v>701.55</v>
      </c>
      <c r="M2651" s="36">
        <v>0</v>
      </c>
      <c r="N2651" s="36">
        <v>136.19999999999999</v>
      </c>
      <c r="O2651" s="36">
        <v>565.35</v>
      </c>
      <c r="P2651" t="s">
        <v>165</v>
      </c>
      <c r="Q2651" t="s">
        <v>166</v>
      </c>
      <c r="R2651" t="s">
        <v>166</v>
      </c>
      <c r="S2651" s="1">
        <v>46098</v>
      </c>
      <c r="T2651" s="1">
        <v>46098</v>
      </c>
      <c r="U2651" s="1">
        <v>46098</v>
      </c>
      <c r="V2651" s="1">
        <v>46463</v>
      </c>
      <c r="W2651" t="s">
        <v>38</v>
      </c>
      <c r="X2651">
        <v>12</v>
      </c>
      <c r="Y2651" t="s">
        <v>49</v>
      </c>
      <c r="Z2651" t="s">
        <v>81</v>
      </c>
      <c r="AA2651" t="s">
        <v>122</v>
      </c>
      <c r="AB2651">
        <v>12</v>
      </c>
      <c r="AC2651" t="s">
        <v>166</v>
      </c>
      <c r="AD2651" t="s">
        <v>134</v>
      </c>
      <c r="AE2651" t="s">
        <v>135</v>
      </c>
      <c r="AF2651" t="s">
        <v>44</v>
      </c>
      <c r="AG2651" t="str">
        <f t="shared" si="44"/>
        <v>Recorrente</v>
      </c>
      <c r="AH2651" t="str">
        <f>IF(AND(SUMIF(E:E,E2651,I:I)&gt;=400000,Q2651="B2G"),"n","")</f>
        <v/>
      </c>
    </row>
    <row r="2652" spans="1:34">
      <c r="A2652">
        <v>2026</v>
      </c>
      <c r="B2652">
        <v>3</v>
      </c>
      <c r="C2652" s="83">
        <v>211833646888</v>
      </c>
      <c r="D2652" t="s">
        <v>2413</v>
      </c>
      <c r="E2652">
        <v>58380623018</v>
      </c>
      <c r="F2652">
        <v>628047</v>
      </c>
      <c r="G2652">
        <v>53640435717</v>
      </c>
      <c r="H2652" t="s">
        <v>35</v>
      </c>
      <c r="I2652" s="36">
        <v>2586.6</v>
      </c>
      <c r="J2652" s="36">
        <v>2586.6</v>
      </c>
      <c r="K2652" s="85">
        <v>0</v>
      </c>
      <c r="L2652" s="36">
        <v>215.55</v>
      </c>
      <c r="M2652" s="36">
        <v>0</v>
      </c>
      <c r="N2652" s="36">
        <v>32.22</v>
      </c>
      <c r="O2652" s="36">
        <v>183.33</v>
      </c>
      <c r="P2652" t="s">
        <v>162</v>
      </c>
      <c r="Q2652" t="s">
        <v>111</v>
      </c>
      <c r="R2652" t="s">
        <v>111</v>
      </c>
      <c r="S2652" s="1">
        <v>46107</v>
      </c>
      <c r="T2652" s="1">
        <v>46107</v>
      </c>
      <c r="U2652" s="1">
        <v>46112</v>
      </c>
      <c r="V2652" s="1">
        <v>46477</v>
      </c>
      <c r="W2652" t="s">
        <v>38</v>
      </c>
      <c r="X2652">
        <v>12</v>
      </c>
      <c r="Y2652" t="s">
        <v>49</v>
      </c>
      <c r="Z2652" t="s">
        <v>81</v>
      </c>
      <c r="AA2652" t="s">
        <v>122</v>
      </c>
      <c r="AB2652">
        <v>12</v>
      </c>
      <c r="AC2652" t="s">
        <v>113</v>
      </c>
      <c r="AD2652" t="s">
        <v>118</v>
      </c>
      <c r="AE2652" t="s">
        <v>43</v>
      </c>
      <c r="AF2652" t="s">
        <v>119</v>
      </c>
      <c r="AG2652" t="str">
        <f t="shared" si="44"/>
        <v>Recorrente</v>
      </c>
      <c r="AH2652" t="str">
        <f>IF(AND(SUMIF(E:E,E2652,I:I)&gt;=400000,Q2652="B2G"),"n","")</f>
        <v/>
      </c>
    </row>
    <row r="2653" spans="1:34">
      <c r="A2653">
        <v>2026</v>
      </c>
      <c r="B2653">
        <v>3</v>
      </c>
      <c r="C2653" s="83">
        <v>211840330529</v>
      </c>
      <c r="D2653" t="s">
        <v>2414</v>
      </c>
      <c r="E2653">
        <v>57153603380</v>
      </c>
      <c r="F2653">
        <v>636591</v>
      </c>
      <c r="G2653">
        <v>53339421522</v>
      </c>
      <c r="H2653" t="s">
        <v>35</v>
      </c>
      <c r="I2653" s="36">
        <v>3702</v>
      </c>
      <c r="J2653" s="36">
        <v>3702</v>
      </c>
      <c r="K2653" s="85">
        <v>0</v>
      </c>
      <c r="L2653" s="36">
        <v>308.5</v>
      </c>
      <c r="M2653" s="36">
        <v>308.5</v>
      </c>
      <c r="N2653" s="36">
        <v>0</v>
      </c>
      <c r="O2653" s="36">
        <v>0</v>
      </c>
      <c r="P2653" t="s">
        <v>313</v>
      </c>
      <c r="Q2653" t="s">
        <v>314</v>
      </c>
      <c r="R2653" t="s">
        <v>314</v>
      </c>
      <c r="S2653" s="1">
        <v>46100</v>
      </c>
      <c r="T2653" s="1">
        <v>46100</v>
      </c>
      <c r="V2653" s="1">
        <v>46465</v>
      </c>
      <c r="W2653" t="s">
        <v>38</v>
      </c>
      <c r="X2653">
        <v>12</v>
      </c>
      <c r="Y2653" t="s">
        <v>49</v>
      </c>
      <c r="AA2653" t="s">
        <v>117</v>
      </c>
      <c r="AB2653">
        <v>1</v>
      </c>
      <c r="AC2653" t="s">
        <v>315</v>
      </c>
      <c r="AD2653" t="s">
        <v>84</v>
      </c>
      <c r="AE2653" t="s">
        <v>43</v>
      </c>
      <c r="AF2653" t="s">
        <v>44</v>
      </c>
      <c r="AG2653" t="str">
        <f t="shared" si="44"/>
        <v>À Vista</v>
      </c>
      <c r="AH2653" t="str">
        <f>IF(AND(SUMIF(E:E,E2653,I:I)&gt;=400000,Q2653="B2G"),"n","")</f>
        <v/>
      </c>
    </row>
    <row r="2654" spans="1:34">
      <c r="A2654">
        <v>2026</v>
      </c>
      <c r="B2654">
        <v>3</v>
      </c>
      <c r="C2654" s="83">
        <v>211840977314</v>
      </c>
      <c r="D2654" t="s">
        <v>2415</v>
      </c>
      <c r="E2654">
        <v>58349148998</v>
      </c>
      <c r="F2654">
        <v>636698</v>
      </c>
      <c r="G2654">
        <v>53539111253</v>
      </c>
      <c r="H2654" t="s">
        <v>35</v>
      </c>
      <c r="I2654" s="36">
        <v>5754</v>
      </c>
      <c r="J2654" s="36">
        <v>5754</v>
      </c>
      <c r="K2654" s="85">
        <v>0</v>
      </c>
      <c r="L2654" s="36">
        <v>479.5</v>
      </c>
      <c r="M2654" s="36">
        <v>479.5</v>
      </c>
      <c r="N2654" s="36">
        <v>0</v>
      </c>
      <c r="O2654" s="36">
        <v>0</v>
      </c>
      <c r="P2654" t="s">
        <v>497</v>
      </c>
      <c r="Q2654" t="s">
        <v>498</v>
      </c>
      <c r="R2654" t="s">
        <v>498</v>
      </c>
      <c r="S2654" s="1">
        <v>46106</v>
      </c>
      <c r="T2654" s="1">
        <v>46106</v>
      </c>
      <c r="U2654" s="1"/>
      <c r="V2654" s="1">
        <v>46471</v>
      </c>
      <c r="W2654" t="s">
        <v>38</v>
      </c>
      <c r="X2654">
        <v>12</v>
      </c>
      <c r="Y2654" t="s">
        <v>49</v>
      </c>
      <c r="AA2654" t="s">
        <v>112</v>
      </c>
      <c r="AB2654">
        <v>12</v>
      </c>
      <c r="AC2654" t="s">
        <v>499</v>
      </c>
      <c r="AD2654" t="s">
        <v>85</v>
      </c>
      <c r="AE2654" t="s">
        <v>46</v>
      </c>
      <c r="AF2654" t="s">
        <v>44</v>
      </c>
      <c r="AG2654" t="str">
        <f t="shared" si="44"/>
        <v>CC 12x</v>
      </c>
      <c r="AH2654" t="str">
        <f>IF(AND(SUMIF(E:E,E2654,I:I)&gt;=400000,Q2654="B2G"),"n","")</f>
        <v/>
      </c>
    </row>
    <row r="2655" spans="1:34">
      <c r="A2655">
        <v>2026</v>
      </c>
      <c r="B2655">
        <v>3</v>
      </c>
      <c r="C2655" s="83">
        <v>211869879897</v>
      </c>
      <c r="D2655" t="s">
        <v>2416</v>
      </c>
      <c r="E2655">
        <v>58520731669</v>
      </c>
      <c r="F2655">
        <v>636737</v>
      </c>
      <c r="G2655">
        <v>53666576662</v>
      </c>
      <c r="H2655" t="s">
        <v>35</v>
      </c>
      <c r="I2655" s="36">
        <v>5034</v>
      </c>
      <c r="J2655" s="36">
        <v>5034</v>
      </c>
      <c r="K2655" s="85">
        <v>0</v>
      </c>
      <c r="L2655" s="36">
        <v>419.5</v>
      </c>
      <c r="M2655" s="36">
        <v>419.5</v>
      </c>
      <c r="N2655" s="36">
        <v>0</v>
      </c>
      <c r="O2655" s="36">
        <v>0</v>
      </c>
      <c r="P2655" t="s">
        <v>511</v>
      </c>
      <c r="Q2655" t="s">
        <v>300</v>
      </c>
      <c r="R2655" t="s">
        <v>300</v>
      </c>
      <c r="S2655" s="1">
        <v>46108</v>
      </c>
      <c r="T2655" s="1">
        <v>46108</v>
      </c>
      <c r="U2655" s="1"/>
      <c r="V2655" s="1">
        <v>46473</v>
      </c>
      <c r="W2655" t="s">
        <v>38</v>
      </c>
      <c r="X2655">
        <v>12</v>
      </c>
      <c r="Y2655" t="s">
        <v>49</v>
      </c>
      <c r="AA2655" t="s">
        <v>122</v>
      </c>
      <c r="AB2655">
        <v>12</v>
      </c>
      <c r="AC2655" t="s">
        <v>301</v>
      </c>
      <c r="AD2655" t="s">
        <v>84</v>
      </c>
      <c r="AE2655" t="s">
        <v>43</v>
      </c>
      <c r="AF2655" t="s">
        <v>44</v>
      </c>
      <c r="AG2655" t="str">
        <f t="shared" si="44"/>
        <v>Recorrente</v>
      </c>
      <c r="AH2655" t="str">
        <f>IF(AND(SUMIF(E:E,E2655,I:I)&gt;=400000,Q2655="B2G"),"n","")</f>
        <v/>
      </c>
    </row>
    <row r="2656" spans="1:34">
      <c r="A2656">
        <v>2026</v>
      </c>
      <c r="B2656">
        <v>3</v>
      </c>
      <c r="C2656" s="83">
        <v>212010015845</v>
      </c>
      <c r="D2656" t="s">
        <v>2417</v>
      </c>
      <c r="E2656">
        <v>57638032733</v>
      </c>
      <c r="F2656">
        <v>627122</v>
      </c>
      <c r="G2656">
        <v>53140728423</v>
      </c>
      <c r="H2656" t="s">
        <v>35</v>
      </c>
      <c r="I2656" s="36">
        <v>2442.84</v>
      </c>
      <c r="J2656" s="36">
        <v>2442.84</v>
      </c>
      <c r="K2656" s="85">
        <v>0</v>
      </c>
      <c r="L2656" s="36">
        <v>203.57</v>
      </c>
      <c r="M2656" s="36">
        <v>0</v>
      </c>
      <c r="N2656" s="36">
        <v>2.5750000000000002</v>
      </c>
      <c r="O2656" s="36">
        <v>201</v>
      </c>
      <c r="P2656" t="s">
        <v>110</v>
      </c>
      <c r="Q2656" t="s">
        <v>111</v>
      </c>
      <c r="R2656" t="s">
        <v>111</v>
      </c>
      <c r="S2656" s="1">
        <v>46092</v>
      </c>
      <c r="T2656" s="1">
        <v>46092</v>
      </c>
      <c r="U2656" s="1">
        <v>46086</v>
      </c>
      <c r="V2656" s="1">
        <v>46457</v>
      </c>
      <c r="W2656" t="s">
        <v>38</v>
      </c>
      <c r="X2656">
        <v>12</v>
      </c>
      <c r="Y2656" t="s">
        <v>49</v>
      </c>
      <c r="Z2656" t="s">
        <v>81</v>
      </c>
      <c r="AA2656" t="s">
        <v>112</v>
      </c>
      <c r="AB2656">
        <v>12</v>
      </c>
      <c r="AC2656" t="s">
        <v>113</v>
      </c>
      <c r="AD2656" t="s">
        <v>140</v>
      </c>
      <c r="AE2656" t="s">
        <v>46</v>
      </c>
      <c r="AF2656" t="s">
        <v>119</v>
      </c>
      <c r="AG2656" t="str">
        <f t="shared" si="44"/>
        <v>CC 12x</v>
      </c>
      <c r="AH2656" t="str">
        <f>IF(AND(SUMIF(E:E,E2656,I:I)&gt;=400000,Q2656="B2G"),"n","")</f>
        <v/>
      </c>
    </row>
    <row r="2657" spans="1:34">
      <c r="A2657">
        <v>2026</v>
      </c>
      <c r="B2657">
        <v>3</v>
      </c>
      <c r="C2657" s="83">
        <v>212017331069</v>
      </c>
      <c r="D2657" t="s">
        <v>2418</v>
      </c>
      <c r="E2657">
        <v>57656333642</v>
      </c>
      <c r="F2657">
        <v>636392</v>
      </c>
      <c r="G2657">
        <v>52912676984</v>
      </c>
      <c r="H2657" t="s">
        <v>35</v>
      </c>
      <c r="I2657" s="36">
        <v>2759.04</v>
      </c>
      <c r="J2657" s="36">
        <v>2759.04</v>
      </c>
      <c r="K2657" s="85">
        <v>0</v>
      </c>
      <c r="L2657" s="36">
        <v>229.92</v>
      </c>
      <c r="M2657" s="36">
        <v>229.92</v>
      </c>
      <c r="N2657" s="36">
        <v>0</v>
      </c>
      <c r="O2657" s="36">
        <v>0</v>
      </c>
      <c r="P2657" t="s">
        <v>2004</v>
      </c>
      <c r="Q2657" t="s">
        <v>300</v>
      </c>
      <c r="R2657" t="s">
        <v>300</v>
      </c>
      <c r="S2657" s="1">
        <v>46087</v>
      </c>
      <c r="T2657" s="1">
        <v>46087</v>
      </c>
      <c r="U2657" s="1"/>
      <c r="V2657" s="1">
        <v>46452</v>
      </c>
      <c r="W2657" t="s">
        <v>38</v>
      </c>
      <c r="X2657">
        <v>12</v>
      </c>
      <c r="Y2657" t="s">
        <v>49</v>
      </c>
      <c r="AA2657" t="s">
        <v>112</v>
      </c>
      <c r="AB2657">
        <v>12</v>
      </c>
      <c r="AC2657" t="s">
        <v>301</v>
      </c>
      <c r="AD2657" t="s">
        <v>118</v>
      </c>
      <c r="AE2657" t="s">
        <v>43</v>
      </c>
      <c r="AF2657" t="s">
        <v>119</v>
      </c>
      <c r="AG2657" t="str">
        <f t="shared" si="44"/>
        <v>CC 12x</v>
      </c>
      <c r="AH2657" t="str">
        <f>IF(AND(SUMIF(E:E,E2657,I:I)&gt;=400000,Q2657="B2G"),"n","")</f>
        <v/>
      </c>
    </row>
    <row r="2658" spans="1:34">
      <c r="A2658">
        <v>2026</v>
      </c>
      <c r="B2658">
        <v>3</v>
      </c>
      <c r="C2658" s="83">
        <v>212018892694</v>
      </c>
      <c r="D2658" t="s">
        <v>2419</v>
      </c>
      <c r="E2658">
        <v>58253700865</v>
      </c>
      <c r="F2658">
        <v>508427</v>
      </c>
      <c r="G2658">
        <v>53664281121</v>
      </c>
      <c r="H2658" t="s">
        <v>35</v>
      </c>
      <c r="I2658" s="36">
        <v>5238.24</v>
      </c>
      <c r="J2658" s="36">
        <v>5238.24</v>
      </c>
      <c r="K2658" s="85">
        <v>0</v>
      </c>
      <c r="L2658" s="36">
        <v>436.52</v>
      </c>
      <c r="M2658" s="36">
        <v>0</v>
      </c>
      <c r="N2658" s="36">
        <v>0</v>
      </c>
      <c r="O2658" s="36">
        <v>436.52499999999998</v>
      </c>
      <c r="P2658" t="s">
        <v>162</v>
      </c>
      <c r="Q2658" t="s">
        <v>111</v>
      </c>
      <c r="R2658" t="s">
        <v>111</v>
      </c>
      <c r="S2658" s="1">
        <v>46108</v>
      </c>
      <c r="T2658" s="1">
        <v>46108</v>
      </c>
      <c r="U2658" s="1">
        <v>46104</v>
      </c>
      <c r="V2658" s="1">
        <v>46473</v>
      </c>
      <c r="W2658" t="s">
        <v>38</v>
      </c>
      <c r="X2658">
        <v>12</v>
      </c>
      <c r="Y2658" t="s">
        <v>49</v>
      </c>
      <c r="Z2658" t="s">
        <v>76</v>
      </c>
      <c r="AA2658" t="s">
        <v>112</v>
      </c>
      <c r="AB2658">
        <v>12</v>
      </c>
      <c r="AC2658" t="s">
        <v>113</v>
      </c>
      <c r="AD2658" t="s">
        <v>138</v>
      </c>
      <c r="AE2658" t="s">
        <v>135</v>
      </c>
      <c r="AF2658" t="s">
        <v>119</v>
      </c>
      <c r="AG2658" t="str">
        <f t="shared" si="44"/>
        <v>CC 12x</v>
      </c>
      <c r="AH2658" t="str">
        <f>IF(AND(SUMIF(E:E,E2658,I:I)&gt;=400000,Q2658="B2G"),"n","")</f>
        <v/>
      </c>
    </row>
    <row r="2659" spans="1:34">
      <c r="A2659">
        <v>2026</v>
      </c>
      <c r="B2659">
        <v>3</v>
      </c>
      <c r="C2659" s="83">
        <v>2120598</v>
      </c>
      <c r="D2659" t="s">
        <v>2420</v>
      </c>
      <c r="E2659">
        <v>55882496103</v>
      </c>
      <c r="F2659">
        <v>507370</v>
      </c>
      <c r="G2659">
        <v>53034562479</v>
      </c>
      <c r="H2659" t="s">
        <v>35</v>
      </c>
      <c r="I2659" s="36">
        <v>6664.68</v>
      </c>
      <c r="J2659" s="36">
        <v>6664.68</v>
      </c>
      <c r="K2659" s="85">
        <v>0</v>
      </c>
      <c r="L2659" s="36">
        <v>555.39</v>
      </c>
      <c r="M2659" s="36">
        <v>0</v>
      </c>
      <c r="N2659" s="36">
        <v>89.82</v>
      </c>
      <c r="O2659" s="36">
        <v>465.57</v>
      </c>
      <c r="P2659" t="s">
        <v>127</v>
      </c>
      <c r="Q2659" t="s">
        <v>111</v>
      </c>
      <c r="R2659" t="s">
        <v>111</v>
      </c>
      <c r="S2659" s="1">
        <v>46109</v>
      </c>
      <c r="T2659" s="1">
        <v>46109</v>
      </c>
      <c r="U2659" s="1">
        <v>46093</v>
      </c>
      <c r="V2659" s="1">
        <v>46459</v>
      </c>
      <c r="W2659" t="s">
        <v>38</v>
      </c>
      <c r="X2659">
        <v>12</v>
      </c>
      <c r="Y2659" t="s">
        <v>49</v>
      </c>
      <c r="Z2659" t="s">
        <v>81</v>
      </c>
      <c r="AA2659" t="s">
        <v>122</v>
      </c>
      <c r="AB2659">
        <v>12</v>
      </c>
      <c r="AC2659" t="s">
        <v>113</v>
      </c>
      <c r="AD2659" t="s">
        <v>134</v>
      </c>
      <c r="AE2659" t="s">
        <v>135</v>
      </c>
      <c r="AF2659" t="s">
        <v>44</v>
      </c>
      <c r="AG2659" t="str">
        <f t="shared" si="44"/>
        <v>Recorrente</v>
      </c>
      <c r="AH2659" t="str">
        <f>IF(AND(SUMIF(E:E,E2659,I:I)&gt;=400000,Q2659="B2G"),"n","")</f>
        <v/>
      </c>
    </row>
    <row r="2660" spans="1:34">
      <c r="A2660">
        <v>2026</v>
      </c>
      <c r="B2660">
        <v>3</v>
      </c>
      <c r="C2660" s="83">
        <v>212080160081</v>
      </c>
      <c r="D2660" t="s">
        <v>2421</v>
      </c>
      <c r="E2660">
        <v>58365879670</v>
      </c>
      <c r="F2660">
        <v>627843</v>
      </c>
      <c r="G2660">
        <v>53602000300</v>
      </c>
      <c r="H2660" t="s">
        <v>35</v>
      </c>
      <c r="I2660" s="36">
        <v>4010.52</v>
      </c>
      <c r="J2660" s="36">
        <v>4010.52</v>
      </c>
      <c r="K2660" s="85">
        <v>4.5474699999999999E-13</v>
      </c>
      <c r="L2660" s="36">
        <v>334.21</v>
      </c>
      <c r="M2660" s="36">
        <v>0</v>
      </c>
      <c r="N2660" s="36">
        <v>6.92</v>
      </c>
      <c r="O2660" s="36">
        <v>327.29000000000002</v>
      </c>
      <c r="P2660" t="s">
        <v>133</v>
      </c>
      <c r="Q2660" t="s">
        <v>111</v>
      </c>
      <c r="R2660" t="s">
        <v>111</v>
      </c>
      <c r="S2660" s="1">
        <v>46108</v>
      </c>
      <c r="T2660" s="1">
        <v>46108</v>
      </c>
      <c r="U2660" s="1">
        <v>46107</v>
      </c>
      <c r="V2660" s="1">
        <v>46473</v>
      </c>
      <c r="W2660" t="s">
        <v>38</v>
      </c>
      <c r="X2660">
        <v>12</v>
      </c>
      <c r="Y2660" t="s">
        <v>49</v>
      </c>
      <c r="Z2660" t="s">
        <v>81</v>
      </c>
      <c r="AA2660" t="s">
        <v>112</v>
      </c>
      <c r="AB2660">
        <v>1</v>
      </c>
      <c r="AC2660" t="s">
        <v>113</v>
      </c>
      <c r="AD2660" t="s">
        <v>85</v>
      </c>
      <c r="AE2660" t="s">
        <v>46</v>
      </c>
      <c r="AF2660" t="s">
        <v>44</v>
      </c>
      <c r="AG2660" t="str">
        <f t="shared" si="44"/>
        <v>À Vista</v>
      </c>
      <c r="AH2660" t="str">
        <f>IF(AND(SUMIF(E:E,E2660,I:I)&gt;=400000,Q2660="B2G"),"n","")</f>
        <v/>
      </c>
    </row>
    <row r="2661" spans="1:34">
      <c r="A2661">
        <v>2026</v>
      </c>
      <c r="B2661">
        <v>3</v>
      </c>
      <c r="C2661" s="83">
        <v>212094259332</v>
      </c>
      <c r="D2661" t="s">
        <v>2422</v>
      </c>
      <c r="E2661">
        <v>58524305302</v>
      </c>
      <c r="F2661">
        <v>636748</v>
      </c>
      <c r="G2661">
        <v>53666711714</v>
      </c>
      <c r="H2661" t="s">
        <v>35</v>
      </c>
      <c r="I2661" s="36">
        <v>2644.08</v>
      </c>
      <c r="J2661" s="36">
        <v>2644.08</v>
      </c>
      <c r="K2661" s="85">
        <v>0</v>
      </c>
      <c r="L2661" s="36">
        <v>220.34</v>
      </c>
      <c r="M2661" s="36">
        <v>220.34</v>
      </c>
      <c r="N2661" s="36">
        <v>0</v>
      </c>
      <c r="O2661" s="36">
        <v>0</v>
      </c>
      <c r="P2661" t="s">
        <v>506</v>
      </c>
      <c r="Q2661" t="s">
        <v>300</v>
      </c>
      <c r="R2661" t="s">
        <v>300</v>
      </c>
      <c r="S2661" s="1">
        <v>46108</v>
      </c>
      <c r="T2661" s="1">
        <v>46108</v>
      </c>
      <c r="U2661" s="1"/>
      <c r="V2661" s="1">
        <v>46473</v>
      </c>
      <c r="W2661" t="s">
        <v>38</v>
      </c>
      <c r="X2661">
        <v>12</v>
      </c>
      <c r="Y2661" t="s">
        <v>49</v>
      </c>
      <c r="AA2661" t="s">
        <v>112</v>
      </c>
      <c r="AB2661">
        <v>12</v>
      </c>
      <c r="AC2661" t="s">
        <v>301</v>
      </c>
      <c r="AD2661" t="s">
        <v>118</v>
      </c>
      <c r="AE2661" t="s">
        <v>43</v>
      </c>
      <c r="AF2661" t="s">
        <v>119</v>
      </c>
      <c r="AG2661" t="str">
        <f t="shared" si="44"/>
        <v>CC 12x</v>
      </c>
      <c r="AH2661" t="str">
        <f>IF(AND(SUMIF(E:E,E2661,I:I)&gt;=400000,Q2661="B2G"),"n","")</f>
        <v/>
      </c>
    </row>
    <row r="2662" spans="1:34">
      <c r="A2662">
        <v>2026</v>
      </c>
      <c r="B2662">
        <v>3</v>
      </c>
      <c r="C2662" s="83">
        <v>2121813</v>
      </c>
      <c r="D2662" t="s">
        <v>2423</v>
      </c>
      <c r="E2662">
        <v>55687665020</v>
      </c>
      <c r="F2662">
        <v>627837</v>
      </c>
      <c r="G2662">
        <v>51025890059</v>
      </c>
      <c r="H2662" t="s">
        <v>35</v>
      </c>
      <c r="I2662" s="36">
        <v>8634.6</v>
      </c>
      <c r="J2662" s="36">
        <v>8634.6</v>
      </c>
      <c r="K2662" s="85">
        <v>0</v>
      </c>
      <c r="L2662" s="36">
        <v>719.55</v>
      </c>
      <c r="M2662" s="36">
        <v>0</v>
      </c>
      <c r="N2662" s="36">
        <v>138.96</v>
      </c>
      <c r="O2662" s="36">
        <v>580.59</v>
      </c>
      <c r="P2662" t="s">
        <v>165</v>
      </c>
      <c r="Q2662" t="s">
        <v>166</v>
      </c>
      <c r="R2662" t="s">
        <v>166</v>
      </c>
      <c r="S2662" s="1">
        <v>46106</v>
      </c>
      <c r="T2662" s="1">
        <v>46106</v>
      </c>
      <c r="U2662" s="1">
        <v>46106</v>
      </c>
      <c r="V2662" s="1">
        <v>46471</v>
      </c>
      <c r="W2662" t="s">
        <v>38</v>
      </c>
      <c r="X2662">
        <v>12</v>
      </c>
      <c r="Y2662" t="s">
        <v>49</v>
      </c>
      <c r="Z2662" t="s">
        <v>81</v>
      </c>
      <c r="AA2662" t="s">
        <v>112</v>
      </c>
      <c r="AB2662">
        <v>12</v>
      </c>
      <c r="AC2662" t="s">
        <v>166</v>
      </c>
      <c r="AD2662" t="s">
        <v>131</v>
      </c>
      <c r="AE2662" t="s">
        <v>46</v>
      </c>
      <c r="AF2662" t="s">
        <v>96</v>
      </c>
      <c r="AG2662" t="str">
        <f t="shared" si="44"/>
        <v>CC 12x</v>
      </c>
      <c r="AH2662" t="str">
        <f>IF(AND(SUMIF(E:E,E2662,I:I)&gt;=400000,Q2662="B2G"),"n","")</f>
        <v/>
      </c>
    </row>
    <row r="2663" spans="1:34">
      <c r="A2663">
        <v>2026</v>
      </c>
      <c r="B2663">
        <v>3</v>
      </c>
      <c r="C2663" s="83">
        <v>2122672</v>
      </c>
      <c r="D2663" t="s">
        <v>2424</v>
      </c>
      <c r="E2663">
        <v>55362032301</v>
      </c>
      <c r="F2663">
        <v>636705</v>
      </c>
      <c r="G2663">
        <v>53491115086</v>
      </c>
      <c r="H2663" t="s">
        <v>35</v>
      </c>
      <c r="I2663" s="36">
        <v>900</v>
      </c>
      <c r="J2663" s="36">
        <v>900</v>
      </c>
      <c r="K2663" s="85">
        <v>0</v>
      </c>
      <c r="L2663" s="36">
        <v>75</v>
      </c>
      <c r="M2663" s="36">
        <v>75</v>
      </c>
      <c r="N2663" s="36">
        <v>0</v>
      </c>
      <c r="O2663" s="36">
        <v>0</v>
      </c>
      <c r="P2663" t="s">
        <v>511</v>
      </c>
      <c r="Q2663" t="s">
        <v>314</v>
      </c>
      <c r="R2663" t="s">
        <v>314</v>
      </c>
      <c r="S2663" s="1">
        <v>46106</v>
      </c>
      <c r="T2663" s="1">
        <v>46106</v>
      </c>
      <c r="V2663" s="1">
        <v>46471</v>
      </c>
      <c r="W2663" t="s">
        <v>38</v>
      </c>
      <c r="X2663">
        <v>12</v>
      </c>
      <c r="Y2663" t="s">
        <v>49</v>
      </c>
      <c r="AA2663" t="s">
        <v>112</v>
      </c>
      <c r="AB2663">
        <v>12</v>
      </c>
      <c r="AC2663" t="s">
        <v>315</v>
      </c>
      <c r="AD2663" t="s">
        <v>243</v>
      </c>
      <c r="AE2663" t="s">
        <v>95</v>
      </c>
      <c r="AF2663" t="s">
        <v>244</v>
      </c>
      <c r="AG2663" t="str">
        <f t="shared" si="44"/>
        <v>CC 12x</v>
      </c>
      <c r="AH2663" t="str">
        <f>IF(AND(SUMIF(E:E,E2663,I:I)&gt;=400000,Q2663="B2G"),"n","")</f>
        <v/>
      </c>
    </row>
    <row r="2664" spans="1:34">
      <c r="A2664">
        <v>2026</v>
      </c>
      <c r="B2664">
        <v>3</v>
      </c>
      <c r="C2664" s="83">
        <v>2122672</v>
      </c>
      <c r="D2664" t="s">
        <v>2424</v>
      </c>
      <c r="E2664">
        <v>55362032301</v>
      </c>
      <c r="F2664">
        <v>636705</v>
      </c>
      <c r="G2664">
        <v>53491115088</v>
      </c>
      <c r="H2664" t="s">
        <v>35</v>
      </c>
      <c r="I2664" s="36">
        <v>4962.6000000000004</v>
      </c>
      <c r="J2664" s="36">
        <v>4962.6000000000004</v>
      </c>
      <c r="K2664" s="85">
        <v>0</v>
      </c>
      <c r="L2664" s="36">
        <v>413.55</v>
      </c>
      <c r="M2664" s="36">
        <v>413.55</v>
      </c>
      <c r="N2664" s="36">
        <v>0</v>
      </c>
      <c r="O2664" s="36">
        <v>0</v>
      </c>
      <c r="P2664" t="s">
        <v>511</v>
      </c>
      <c r="Q2664" t="s">
        <v>314</v>
      </c>
      <c r="R2664" t="s">
        <v>314</v>
      </c>
      <c r="S2664" s="1">
        <v>46106</v>
      </c>
      <c r="T2664" s="1">
        <v>46106</v>
      </c>
      <c r="U2664" s="1"/>
      <c r="V2664" s="1">
        <v>46471</v>
      </c>
      <c r="W2664" t="s">
        <v>38</v>
      </c>
      <c r="X2664">
        <v>12</v>
      </c>
      <c r="Y2664" t="s">
        <v>49</v>
      </c>
      <c r="AA2664" t="s">
        <v>112</v>
      </c>
      <c r="AB2664">
        <v>12</v>
      </c>
      <c r="AC2664" t="s">
        <v>315</v>
      </c>
      <c r="AD2664" t="s">
        <v>138</v>
      </c>
      <c r="AE2664" t="s">
        <v>135</v>
      </c>
      <c r="AF2664" t="s">
        <v>119</v>
      </c>
      <c r="AG2664" t="str">
        <f t="shared" si="44"/>
        <v>CC 12x</v>
      </c>
      <c r="AH2664" t="str">
        <f>IF(AND(SUMIF(E:E,E2664,I:I)&gt;=400000,Q2664="B2G"),"n","")</f>
        <v/>
      </c>
    </row>
    <row r="2665" spans="1:34">
      <c r="A2665">
        <v>2026</v>
      </c>
      <c r="B2665">
        <v>3</v>
      </c>
      <c r="C2665" s="83">
        <v>2122738</v>
      </c>
      <c r="D2665" t="s">
        <v>2425</v>
      </c>
      <c r="E2665">
        <v>58247787929</v>
      </c>
      <c r="F2665">
        <v>619965</v>
      </c>
      <c r="G2665">
        <v>53455467613</v>
      </c>
      <c r="H2665" t="s">
        <v>35</v>
      </c>
      <c r="I2665" s="36">
        <v>1128.3599999999999</v>
      </c>
      <c r="J2665" s="36">
        <v>2882.16</v>
      </c>
      <c r="K2665" s="85">
        <v>0</v>
      </c>
      <c r="L2665" s="36">
        <v>240.18</v>
      </c>
      <c r="M2665" s="36">
        <v>0</v>
      </c>
      <c r="N2665" s="36">
        <v>240.18</v>
      </c>
      <c r="O2665" s="36">
        <v>0</v>
      </c>
      <c r="P2665" t="s">
        <v>367</v>
      </c>
      <c r="Q2665" t="s">
        <v>191</v>
      </c>
      <c r="R2665" t="s">
        <v>191</v>
      </c>
      <c r="S2665" s="1">
        <v>46104</v>
      </c>
      <c r="T2665" s="1">
        <v>46104</v>
      </c>
      <c r="U2665" s="1">
        <v>46247</v>
      </c>
      <c r="V2665" s="1">
        <v>46247</v>
      </c>
      <c r="W2665" t="s">
        <v>38</v>
      </c>
      <c r="X2665">
        <v>5</v>
      </c>
      <c r="Y2665" t="s">
        <v>49</v>
      </c>
      <c r="Z2665" t="s">
        <v>324</v>
      </c>
      <c r="AA2665" t="s">
        <v>112</v>
      </c>
      <c r="AB2665">
        <v>5</v>
      </c>
      <c r="AC2665" t="s">
        <v>192</v>
      </c>
      <c r="AD2665" t="s">
        <v>85</v>
      </c>
      <c r="AE2665" t="s">
        <v>46</v>
      </c>
      <c r="AF2665" t="s">
        <v>44</v>
      </c>
      <c r="AG2665" t="str">
        <f t="shared" si="44"/>
        <v>CC 12x</v>
      </c>
      <c r="AH2665" t="str">
        <f>IF(AND(SUMIF(E:E,E2665,I:I)&gt;=400000,Q2665="B2G"),"n","")</f>
        <v/>
      </c>
    </row>
    <row r="2666" spans="1:34">
      <c r="A2666">
        <v>2026</v>
      </c>
      <c r="B2666">
        <v>3</v>
      </c>
      <c r="C2666" s="83">
        <v>2123033</v>
      </c>
      <c r="D2666" t="s">
        <v>2426</v>
      </c>
      <c r="E2666">
        <v>58642366373</v>
      </c>
      <c r="F2666">
        <v>636813</v>
      </c>
      <c r="G2666">
        <v>53808640393</v>
      </c>
      <c r="H2666" t="s">
        <v>35</v>
      </c>
      <c r="I2666" s="36">
        <v>2356.6799999999998</v>
      </c>
      <c r="J2666" s="36">
        <v>2356.6799999999998</v>
      </c>
      <c r="K2666" s="85">
        <v>0</v>
      </c>
      <c r="L2666" s="36">
        <v>196.39</v>
      </c>
      <c r="M2666" s="36">
        <v>0</v>
      </c>
      <c r="N2666" s="36">
        <v>196.39</v>
      </c>
      <c r="O2666" s="36">
        <v>0</v>
      </c>
      <c r="P2666" t="s">
        <v>323</v>
      </c>
      <c r="Q2666" t="s">
        <v>191</v>
      </c>
      <c r="R2666" t="s">
        <v>191</v>
      </c>
      <c r="S2666" s="1">
        <v>46112</v>
      </c>
      <c r="T2666" s="1">
        <v>46112</v>
      </c>
      <c r="U2666" s="1"/>
      <c r="V2666" s="1">
        <v>46477</v>
      </c>
      <c r="W2666" t="s">
        <v>38</v>
      </c>
      <c r="X2666">
        <v>12</v>
      </c>
      <c r="Y2666" t="s">
        <v>49</v>
      </c>
      <c r="AA2666" t="s">
        <v>112</v>
      </c>
      <c r="AB2666">
        <v>12</v>
      </c>
      <c r="AC2666" t="s">
        <v>192</v>
      </c>
      <c r="AD2666" t="s">
        <v>140</v>
      </c>
      <c r="AE2666" t="s">
        <v>46</v>
      </c>
      <c r="AF2666" t="s">
        <v>119</v>
      </c>
      <c r="AG2666" t="str">
        <f t="shared" si="44"/>
        <v>CC 12x</v>
      </c>
      <c r="AH2666" t="str">
        <f>IF(AND(SUMIF(E:E,E2666,I:I)&gt;=400000,Q2666="B2G"),"n","")</f>
        <v/>
      </c>
    </row>
    <row r="2667" spans="1:34">
      <c r="A2667">
        <v>2026</v>
      </c>
      <c r="B2667">
        <v>3</v>
      </c>
      <c r="C2667" s="83">
        <v>2124939</v>
      </c>
      <c r="D2667" t="s">
        <v>2427</v>
      </c>
      <c r="E2667">
        <v>58609582474</v>
      </c>
      <c r="F2667">
        <v>524114</v>
      </c>
      <c r="G2667">
        <v>53812358953</v>
      </c>
      <c r="H2667" t="s">
        <v>35</v>
      </c>
      <c r="I2667" s="36">
        <v>2317.92</v>
      </c>
      <c r="J2667" s="36">
        <v>3112.8</v>
      </c>
      <c r="K2667" s="85">
        <v>0</v>
      </c>
      <c r="L2667" s="36">
        <v>259.39999999999998</v>
      </c>
      <c r="M2667" s="36">
        <v>0</v>
      </c>
      <c r="N2667" s="36">
        <v>259.39999999999998</v>
      </c>
      <c r="O2667" s="36">
        <v>0</v>
      </c>
      <c r="P2667" t="s">
        <v>804</v>
      </c>
      <c r="Q2667" t="s">
        <v>191</v>
      </c>
      <c r="R2667" t="s">
        <v>191</v>
      </c>
      <c r="S2667" s="1">
        <v>46112</v>
      </c>
      <c r="T2667" s="1">
        <v>46112</v>
      </c>
      <c r="U2667" s="1">
        <v>46384</v>
      </c>
      <c r="V2667" s="1">
        <v>46384</v>
      </c>
      <c r="W2667" t="s">
        <v>38</v>
      </c>
      <c r="X2667">
        <v>9</v>
      </c>
      <c r="Y2667" t="s">
        <v>49</v>
      </c>
      <c r="Z2667" t="s">
        <v>324</v>
      </c>
      <c r="AA2667" t="s">
        <v>122</v>
      </c>
      <c r="AB2667">
        <v>8</v>
      </c>
      <c r="AC2667" t="s">
        <v>192</v>
      </c>
      <c r="AD2667" t="s">
        <v>146</v>
      </c>
      <c r="AE2667" t="s">
        <v>135</v>
      </c>
      <c r="AF2667" t="s">
        <v>96</v>
      </c>
      <c r="AG2667" t="str">
        <f t="shared" si="44"/>
        <v>Recorrente</v>
      </c>
      <c r="AH2667" t="str">
        <f>IF(AND(SUMIF(E:E,E2667,I:I)&gt;=400000,Q2667="B2G"),"n","")</f>
        <v/>
      </c>
    </row>
    <row r="2668" spans="1:34">
      <c r="A2668">
        <v>2026</v>
      </c>
      <c r="B2668">
        <v>3</v>
      </c>
      <c r="C2668" s="83">
        <v>2124995</v>
      </c>
      <c r="D2668" t="s">
        <v>2428</v>
      </c>
      <c r="E2668">
        <v>56926377782</v>
      </c>
      <c r="F2668">
        <v>636671</v>
      </c>
      <c r="G2668">
        <v>53530452337</v>
      </c>
      <c r="H2668" t="s">
        <v>35</v>
      </c>
      <c r="I2668" s="36">
        <v>2874</v>
      </c>
      <c r="J2668" s="36">
        <v>2874</v>
      </c>
      <c r="K2668" s="85">
        <v>0</v>
      </c>
      <c r="L2668" s="36">
        <v>239.5</v>
      </c>
      <c r="M2668" s="36">
        <v>239.5</v>
      </c>
      <c r="N2668" s="36">
        <v>0</v>
      </c>
      <c r="O2668" s="36">
        <v>0</v>
      </c>
      <c r="P2668" t="s">
        <v>506</v>
      </c>
      <c r="Q2668" t="s">
        <v>300</v>
      </c>
      <c r="R2668" t="s">
        <v>300</v>
      </c>
      <c r="S2668" s="1">
        <v>46105</v>
      </c>
      <c r="T2668" s="1">
        <v>46105</v>
      </c>
      <c r="V2668" s="1">
        <v>46470</v>
      </c>
      <c r="W2668" t="s">
        <v>38</v>
      </c>
      <c r="X2668">
        <v>12</v>
      </c>
      <c r="Y2668" t="s">
        <v>49</v>
      </c>
      <c r="AA2668" t="s">
        <v>122</v>
      </c>
      <c r="AB2668">
        <v>12</v>
      </c>
      <c r="AC2668" t="s">
        <v>301</v>
      </c>
      <c r="AD2668" t="s">
        <v>140</v>
      </c>
      <c r="AE2668" t="s">
        <v>46</v>
      </c>
      <c r="AF2668" t="s">
        <v>119</v>
      </c>
      <c r="AG2668" t="str">
        <f t="shared" si="44"/>
        <v>Recorrente</v>
      </c>
      <c r="AH2668" t="str">
        <f>IF(AND(SUMIF(E:E,E2668,I:I)&gt;=400000,Q2668="B2G"),"n","")</f>
        <v/>
      </c>
    </row>
    <row r="2669" spans="1:34">
      <c r="A2669">
        <v>2026</v>
      </c>
      <c r="B2669">
        <v>3</v>
      </c>
      <c r="C2669" s="83">
        <v>212523422120</v>
      </c>
      <c r="D2669" t="s">
        <v>2429</v>
      </c>
      <c r="E2669">
        <v>58561630027</v>
      </c>
      <c r="F2669">
        <v>636786</v>
      </c>
      <c r="G2669">
        <v>53747758222</v>
      </c>
      <c r="H2669" t="s">
        <v>35</v>
      </c>
      <c r="I2669" s="36">
        <v>2328</v>
      </c>
      <c r="J2669" s="36">
        <v>2328</v>
      </c>
      <c r="K2669" s="85">
        <v>0</v>
      </c>
      <c r="L2669" s="36">
        <v>194</v>
      </c>
      <c r="M2669" s="36">
        <v>194</v>
      </c>
      <c r="N2669" s="36">
        <v>0</v>
      </c>
      <c r="O2669" s="36">
        <v>0</v>
      </c>
      <c r="P2669" t="s">
        <v>313</v>
      </c>
      <c r="Q2669" t="s">
        <v>314</v>
      </c>
      <c r="R2669" t="s">
        <v>314</v>
      </c>
      <c r="S2669" s="1">
        <v>46111</v>
      </c>
      <c r="T2669" s="1">
        <v>46111</v>
      </c>
      <c r="U2669" s="1"/>
      <c r="V2669" s="1">
        <v>46476</v>
      </c>
      <c r="W2669" t="s">
        <v>38</v>
      </c>
      <c r="X2669">
        <v>12</v>
      </c>
      <c r="Y2669" t="s">
        <v>49</v>
      </c>
      <c r="AA2669" t="s">
        <v>117</v>
      </c>
      <c r="AB2669">
        <v>1</v>
      </c>
      <c r="AC2669" t="s">
        <v>315</v>
      </c>
      <c r="AD2669" t="s">
        <v>140</v>
      </c>
      <c r="AE2669" t="s">
        <v>46</v>
      </c>
      <c r="AF2669" t="s">
        <v>119</v>
      </c>
      <c r="AG2669" t="str">
        <f t="shared" si="44"/>
        <v>À Vista</v>
      </c>
      <c r="AH2669" t="str">
        <f>IF(AND(SUMIF(E:E,E2669,I:I)&gt;=400000,Q2669="B2G"),"n","")</f>
        <v/>
      </c>
    </row>
    <row r="2670" spans="1:34">
      <c r="A2670">
        <v>2026</v>
      </c>
      <c r="B2670">
        <v>3</v>
      </c>
      <c r="C2670" s="83">
        <v>212523489054</v>
      </c>
      <c r="D2670" t="s">
        <v>2430</v>
      </c>
      <c r="E2670">
        <v>54322745494</v>
      </c>
      <c r="F2670">
        <v>611050</v>
      </c>
      <c r="G2670">
        <v>49685729815</v>
      </c>
      <c r="H2670" t="s">
        <v>35</v>
      </c>
      <c r="I2670" s="36">
        <v>5754</v>
      </c>
      <c r="J2670" s="36">
        <v>5754</v>
      </c>
      <c r="K2670" s="85">
        <v>0</v>
      </c>
      <c r="L2670" s="36">
        <v>479.5</v>
      </c>
      <c r="M2670" s="36">
        <v>0</v>
      </c>
      <c r="N2670" s="36">
        <v>49.15</v>
      </c>
      <c r="O2670" s="36">
        <v>430.35</v>
      </c>
      <c r="P2670" t="s">
        <v>165</v>
      </c>
      <c r="Q2670" t="s">
        <v>166</v>
      </c>
      <c r="R2670" t="s">
        <v>166</v>
      </c>
      <c r="S2670" s="1">
        <v>46089</v>
      </c>
      <c r="T2670" s="1">
        <v>46089</v>
      </c>
      <c r="U2670" s="1">
        <v>46089</v>
      </c>
      <c r="V2670" s="1">
        <v>46454</v>
      </c>
      <c r="W2670" t="s">
        <v>38</v>
      </c>
      <c r="X2670">
        <v>12</v>
      </c>
      <c r="Y2670" t="s">
        <v>49</v>
      </c>
      <c r="Z2670" t="s">
        <v>81</v>
      </c>
      <c r="AA2670" t="s">
        <v>122</v>
      </c>
      <c r="AB2670">
        <v>12</v>
      </c>
      <c r="AC2670" t="s">
        <v>166</v>
      </c>
      <c r="AD2670" t="s">
        <v>85</v>
      </c>
      <c r="AE2670" t="s">
        <v>46</v>
      </c>
      <c r="AF2670" t="s">
        <v>44</v>
      </c>
      <c r="AG2670" t="str">
        <f t="shared" si="44"/>
        <v>Recorrente</v>
      </c>
      <c r="AH2670" t="str">
        <f>IF(AND(SUMIF(E:E,E2670,I:I)&gt;=400000,Q2670="B2G"),"n","")</f>
        <v/>
      </c>
    </row>
    <row r="2671" spans="1:34">
      <c r="A2671">
        <v>2026</v>
      </c>
      <c r="B2671">
        <v>3</v>
      </c>
      <c r="C2671" s="83">
        <v>212527733797</v>
      </c>
      <c r="D2671" t="s">
        <v>2431</v>
      </c>
      <c r="E2671">
        <v>54975908252</v>
      </c>
      <c r="F2671">
        <v>507623</v>
      </c>
      <c r="G2671">
        <v>50293253682</v>
      </c>
      <c r="H2671" t="s">
        <v>35</v>
      </c>
      <c r="I2671" s="36">
        <v>3666.6</v>
      </c>
      <c r="J2671" s="36">
        <v>3666.6</v>
      </c>
      <c r="K2671" s="85">
        <v>0</v>
      </c>
      <c r="L2671" s="36">
        <v>305.55</v>
      </c>
      <c r="M2671" s="36">
        <v>0</v>
      </c>
      <c r="N2671" s="36">
        <v>41.35</v>
      </c>
      <c r="O2671" s="36">
        <v>264.2</v>
      </c>
      <c r="P2671" t="s">
        <v>165</v>
      </c>
      <c r="Q2671" t="s">
        <v>166</v>
      </c>
      <c r="R2671" t="s">
        <v>166</v>
      </c>
      <c r="S2671" s="1">
        <v>46096</v>
      </c>
      <c r="T2671" s="1">
        <v>46096</v>
      </c>
      <c r="U2671" s="1">
        <v>46096</v>
      </c>
      <c r="V2671" s="1">
        <v>46461</v>
      </c>
      <c r="W2671" t="s">
        <v>38</v>
      </c>
      <c r="X2671">
        <v>12</v>
      </c>
      <c r="Y2671" t="s">
        <v>49</v>
      </c>
      <c r="Z2671" t="s">
        <v>81</v>
      </c>
      <c r="AA2671" t="s">
        <v>112</v>
      </c>
      <c r="AB2671">
        <v>12</v>
      </c>
      <c r="AC2671" t="s">
        <v>166</v>
      </c>
      <c r="AD2671" t="s">
        <v>160</v>
      </c>
      <c r="AE2671" t="s">
        <v>43</v>
      </c>
      <c r="AF2671" t="s">
        <v>44</v>
      </c>
      <c r="AG2671" t="str">
        <f t="shared" si="44"/>
        <v>CC 12x</v>
      </c>
      <c r="AH2671" t="str">
        <f>IF(AND(SUMIF(E:E,E2671,I:I)&gt;=400000,Q2671="B2G"),"n","")</f>
        <v/>
      </c>
    </row>
    <row r="2672" spans="1:34">
      <c r="A2672">
        <v>2026</v>
      </c>
      <c r="B2672">
        <v>3</v>
      </c>
      <c r="C2672" s="83">
        <v>2125679</v>
      </c>
      <c r="D2672" t="s">
        <v>2432</v>
      </c>
      <c r="E2672">
        <v>57611103804</v>
      </c>
      <c r="F2672">
        <v>605897</v>
      </c>
      <c r="G2672">
        <v>52873280921</v>
      </c>
      <c r="H2672" t="s">
        <v>35</v>
      </c>
      <c r="I2672" s="36">
        <v>2874</v>
      </c>
      <c r="J2672" s="36">
        <v>2874</v>
      </c>
      <c r="K2672" s="85">
        <v>0</v>
      </c>
      <c r="L2672" s="36">
        <v>239.5</v>
      </c>
      <c r="M2672" s="36">
        <v>239.5</v>
      </c>
      <c r="N2672" s="36">
        <v>0</v>
      </c>
      <c r="O2672" s="36">
        <v>0</v>
      </c>
      <c r="P2672" t="s">
        <v>137</v>
      </c>
      <c r="Q2672" t="s">
        <v>111</v>
      </c>
      <c r="R2672" t="s">
        <v>111</v>
      </c>
      <c r="S2672" s="1">
        <v>46086</v>
      </c>
      <c r="T2672" s="1">
        <v>46086</v>
      </c>
      <c r="U2672" s="1">
        <v>46009</v>
      </c>
      <c r="V2672" s="1">
        <v>46451</v>
      </c>
      <c r="W2672" t="s">
        <v>38</v>
      </c>
      <c r="X2672">
        <v>15</v>
      </c>
      <c r="Y2672" t="s">
        <v>49</v>
      </c>
      <c r="Z2672" t="s">
        <v>81</v>
      </c>
      <c r="AA2672" t="s">
        <v>122</v>
      </c>
      <c r="AB2672">
        <v>12</v>
      </c>
      <c r="AC2672" t="s">
        <v>113</v>
      </c>
      <c r="AD2672" t="s">
        <v>140</v>
      </c>
      <c r="AE2672" t="s">
        <v>46</v>
      </c>
      <c r="AF2672" t="s">
        <v>119</v>
      </c>
      <c r="AG2672" t="str">
        <f t="shared" si="44"/>
        <v>Recorrente</v>
      </c>
      <c r="AH2672" t="str">
        <f>IF(AND(SUMIF(E:E,E2672,I:I)&gt;=400000,Q2672="B2G"),"n","")</f>
        <v/>
      </c>
    </row>
    <row r="2673" spans="1:34">
      <c r="A2673">
        <v>2026</v>
      </c>
      <c r="B2673">
        <v>3</v>
      </c>
      <c r="C2673" s="83">
        <v>212572645783</v>
      </c>
      <c r="D2673" t="s">
        <v>2433</v>
      </c>
      <c r="E2673">
        <v>58617083536</v>
      </c>
      <c r="F2673">
        <v>636788</v>
      </c>
      <c r="G2673">
        <v>53754803896</v>
      </c>
      <c r="H2673" t="s">
        <v>35</v>
      </c>
      <c r="I2673" s="36">
        <v>5154</v>
      </c>
      <c r="J2673" s="36">
        <v>5154</v>
      </c>
      <c r="K2673" s="85">
        <v>0</v>
      </c>
      <c r="L2673" s="36">
        <v>429.5</v>
      </c>
      <c r="M2673" s="36">
        <v>429.5</v>
      </c>
      <c r="N2673" s="36">
        <v>0</v>
      </c>
      <c r="O2673" s="36">
        <v>0</v>
      </c>
      <c r="P2673" t="s">
        <v>511</v>
      </c>
      <c r="Q2673" t="s">
        <v>300</v>
      </c>
      <c r="R2673" t="s">
        <v>300</v>
      </c>
      <c r="S2673" s="1">
        <v>46111</v>
      </c>
      <c r="T2673" s="1">
        <v>46111</v>
      </c>
      <c r="V2673" s="1">
        <v>46476</v>
      </c>
      <c r="W2673" t="s">
        <v>38</v>
      </c>
      <c r="X2673">
        <v>12</v>
      </c>
      <c r="Y2673" t="s">
        <v>49</v>
      </c>
      <c r="AA2673" t="s">
        <v>122</v>
      </c>
      <c r="AB2673">
        <v>12</v>
      </c>
      <c r="AC2673" t="s">
        <v>301</v>
      </c>
      <c r="AD2673" t="s">
        <v>163</v>
      </c>
      <c r="AE2673" t="s">
        <v>43</v>
      </c>
      <c r="AF2673" t="s">
        <v>96</v>
      </c>
      <c r="AG2673" t="str">
        <f t="shared" si="44"/>
        <v>Recorrente</v>
      </c>
      <c r="AH2673" t="str">
        <f>IF(AND(SUMIF(E:E,E2673,I:I)&gt;=400000,Q2673="B2G"),"n","")</f>
        <v/>
      </c>
    </row>
    <row r="2674" spans="1:34">
      <c r="A2674">
        <v>2026</v>
      </c>
      <c r="B2674">
        <v>3</v>
      </c>
      <c r="C2674" s="83">
        <v>212612943628</v>
      </c>
      <c r="D2674" t="s">
        <v>2434</v>
      </c>
      <c r="E2674">
        <v>58603042099</v>
      </c>
      <c r="F2674">
        <v>636805</v>
      </c>
      <c r="G2674">
        <v>53812292096</v>
      </c>
      <c r="H2674" t="s">
        <v>35</v>
      </c>
      <c r="I2674" s="36">
        <v>2586.6</v>
      </c>
      <c r="J2674" s="36">
        <v>2586.6</v>
      </c>
      <c r="K2674" s="85">
        <v>0</v>
      </c>
      <c r="L2674" s="36">
        <v>215.55</v>
      </c>
      <c r="M2674" s="36">
        <v>215.55</v>
      </c>
      <c r="N2674" s="36">
        <v>0</v>
      </c>
      <c r="O2674" s="36">
        <v>0</v>
      </c>
      <c r="P2674" t="s">
        <v>506</v>
      </c>
      <c r="Q2674" t="s">
        <v>300</v>
      </c>
      <c r="R2674" t="s">
        <v>300</v>
      </c>
      <c r="S2674" s="1">
        <v>46112</v>
      </c>
      <c r="T2674" s="1">
        <v>46112</v>
      </c>
      <c r="V2674" s="1">
        <v>46477</v>
      </c>
      <c r="W2674" t="s">
        <v>38</v>
      </c>
      <c r="X2674">
        <v>12</v>
      </c>
      <c r="Y2674" t="s">
        <v>49</v>
      </c>
      <c r="AA2674" t="s">
        <v>112</v>
      </c>
      <c r="AB2674">
        <v>12</v>
      </c>
      <c r="AC2674" t="s">
        <v>301</v>
      </c>
      <c r="AD2674" t="s">
        <v>140</v>
      </c>
      <c r="AE2674" t="s">
        <v>46</v>
      </c>
      <c r="AF2674" t="s">
        <v>119</v>
      </c>
      <c r="AG2674" t="str">
        <f t="shared" si="44"/>
        <v>CC 12x</v>
      </c>
      <c r="AH2674" t="str">
        <f>IF(AND(SUMIF(E:E,E2674,I:I)&gt;=400000,Q2674="B2G"),"n","")</f>
        <v/>
      </c>
    </row>
    <row r="2675" spans="1:34">
      <c r="A2675">
        <v>2026</v>
      </c>
      <c r="B2675">
        <v>3</v>
      </c>
      <c r="C2675" s="83">
        <v>2127658</v>
      </c>
      <c r="D2675" t="s">
        <v>2435</v>
      </c>
      <c r="E2675">
        <v>55514566841</v>
      </c>
      <c r="F2675">
        <v>636530</v>
      </c>
      <c r="G2675">
        <v>52868693274</v>
      </c>
      <c r="H2675" t="s">
        <v>35</v>
      </c>
      <c r="I2675" s="36">
        <v>5184</v>
      </c>
      <c r="J2675" s="36">
        <v>5184</v>
      </c>
      <c r="K2675" s="85">
        <v>0</v>
      </c>
      <c r="L2675" s="36">
        <v>432</v>
      </c>
      <c r="M2675" s="36">
        <v>432</v>
      </c>
      <c r="N2675" s="36">
        <v>0</v>
      </c>
      <c r="O2675" s="36">
        <v>0</v>
      </c>
      <c r="P2675" t="s">
        <v>511</v>
      </c>
      <c r="Q2675" t="s">
        <v>300</v>
      </c>
      <c r="R2675" t="s">
        <v>300</v>
      </c>
      <c r="S2675" s="1">
        <v>46097</v>
      </c>
      <c r="T2675" s="1">
        <v>46097</v>
      </c>
      <c r="V2675" s="1">
        <v>46462</v>
      </c>
      <c r="W2675" t="s">
        <v>38</v>
      </c>
      <c r="X2675">
        <v>12</v>
      </c>
      <c r="Y2675" t="s">
        <v>49</v>
      </c>
      <c r="AA2675" t="s">
        <v>112</v>
      </c>
      <c r="AB2675">
        <v>12</v>
      </c>
      <c r="AC2675" t="s">
        <v>301</v>
      </c>
      <c r="AD2675" t="s">
        <v>85</v>
      </c>
      <c r="AE2675" t="s">
        <v>46</v>
      </c>
      <c r="AF2675" t="s">
        <v>44</v>
      </c>
      <c r="AG2675" t="str">
        <f t="shared" si="44"/>
        <v>CC 12x</v>
      </c>
      <c r="AH2675" t="str">
        <f>IF(AND(SUMIF(E:E,E2675,I:I)&gt;=400000,Q2675="B2G"),"n","")</f>
        <v/>
      </c>
    </row>
    <row r="2676" spans="1:34">
      <c r="A2676">
        <v>2026</v>
      </c>
      <c r="B2676">
        <v>3</v>
      </c>
      <c r="C2676" s="83">
        <v>2129260</v>
      </c>
      <c r="D2676" t="s">
        <v>2436</v>
      </c>
      <c r="E2676">
        <v>58367274788</v>
      </c>
      <c r="F2676">
        <v>310612</v>
      </c>
      <c r="G2676">
        <v>53747870230</v>
      </c>
      <c r="H2676" t="s">
        <v>35</v>
      </c>
      <c r="I2676" s="36">
        <v>3624.48</v>
      </c>
      <c r="J2676" s="36">
        <v>3624.48</v>
      </c>
      <c r="K2676" s="85">
        <v>0</v>
      </c>
      <c r="L2676" s="36">
        <v>302.04000000000002</v>
      </c>
      <c r="M2676" s="36">
        <v>0</v>
      </c>
      <c r="N2676" s="36">
        <v>47.78</v>
      </c>
      <c r="O2676" s="36">
        <v>254.26</v>
      </c>
      <c r="P2676" t="s">
        <v>116</v>
      </c>
      <c r="Q2676" t="s">
        <v>111</v>
      </c>
      <c r="R2676" t="s">
        <v>111</v>
      </c>
      <c r="S2676" s="1">
        <v>46111</v>
      </c>
      <c r="T2676" s="1">
        <v>46111</v>
      </c>
      <c r="U2676" s="1">
        <v>46111</v>
      </c>
      <c r="V2676" s="1">
        <v>46476</v>
      </c>
      <c r="W2676" t="s">
        <v>38</v>
      </c>
      <c r="X2676">
        <v>12</v>
      </c>
      <c r="Y2676" t="s">
        <v>49</v>
      </c>
      <c r="Z2676" t="s">
        <v>81</v>
      </c>
      <c r="AA2676" t="s">
        <v>112</v>
      </c>
      <c r="AB2676">
        <v>12</v>
      </c>
      <c r="AC2676" t="s">
        <v>113</v>
      </c>
      <c r="AD2676" t="s">
        <v>84</v>
      </c>
      <c r="AE2676" t="s">
        <v>43</v>
      </c>
      <c r="AF2676" t="s">
        <v>44</v>
      </c>
      <c r="AG2676" t="str">
        <f t="shared" si="44"/>
        <v>CC 12x</v>
      </c>
      <c r="AH2676" t="str">
        <f>IF(AND(SUMIF(E:E,E2676,I:I)&gt;=400000,Q2676="B2G"),"n","")</f>
        <v/>
      </c>
    </row>
    <row r="2677" spans="1:34">
      <c r="A2677">
        <v>2026</v>
      </c>
      <c r="B2677">
        <v>3</v>
      </c>
      <c r="C2677" s="83">
        <v>2129305</v>
      </c>
      <c r="D2677" t="s">
        <v>2437</v>
      </c>
      <c r="E2677">
        <v>54415830597</v>
      </c>
      <c r="F2677">
        <v>611223</v>
      </c>
      <c r="G2677">
        <v>49781512038</v>
      </c>
      <c r="H2677" t="s">
        <v>35</v>
      </c>
      <c r="I2677" s="36">
        <v>14394</v>
      </c>
      <c r="J2677" s="36">
        <v>14394</v>
      </c>
      <c r="K2677" s="85">
        <v>0</v>
      </c>
      <c r="L2677" s="36">
        <v>1199.5</v>
      </c>
      <c r="M2677" s="36">
        <v>0</v>
      </c>
      <c r="N2677" s="36">
        <v>164.06</v>
      </c>
      <c r="O2677" s="36">
        <v>1035.44</v>
      </c>
      <c r="P2677" t="s">
        <v>165</v>
      </c>
      <c r="Q2677" t="s">
        <v>166</v>
      </c>
      <c r="R2677" t="s">
        <v>166</v>
      </c>
      <c r="S2677" s="1">
        <v>46093</v>
      </c>
      <c r="T2677" s="1">
        <v>46093</v>
      </c>
      <c r="U2677" s="1">
        <v>46093</v>
      </c>
      <c r="V2677" s="1">
        <v>46458</v>
      </c>
      <c r="W2677" t="s">
        <v>38</v>
      </c>
      <c r="X2677">
        <v>12</v>
      </c>
      <c r="Y2677" t="s">
        <v>49</v>
      </c>
      <c r="Z2677" t="s">
        <v>81</v>
      </c>
      <c r="AA2677" t="s">
        <v>122</v>
      </c>
      <c r="AB2677">
        <v>8</v>
      </c>
      <c r="AC2677" t="s">
        <v>166</v>
      </c>
      <c r="AD2677" t="s">
        <v>154</v>
      </c>
      <c r="AE2677" t="s">
        <v>46</v>
      </c>
      <c r="AF2677" t="s">
        <v>47</v>
      </c>
      <c r="AG2677" t="str">
        <f t="shared" si="44"/>
        <v>Recorrente</v>
      </c>
      <c r="AH2677" t="str">
        <f>IF(AND(SUMIF(E:E,E2677,I:I)&gt;=400000,Q2677="B2G"),"n","")</f>
        <v/>
      </c>
    </row>
    <row r="2678" spans="1:34">
      <c r="A2678">
        <v>2026</v>
      </c>
      <c r="B2678">
        <v>3</v>
      </c>
      <c r="C2678" s="83">
        <v>212984041986</v>
      </c>
      <c r="D2678" t="s">
        <v>2438</v>
      </c>
      <c r="E2678">
        <v>54414313762</v>
      </c>
      <c r="F2678">
        <v>627248</v>
      </c>
      <c r="G2678">
        <v>49770623054</v>
      </c>
      <c r="H2678" t="s">
        <v>35</v>
      </c>
      <c r="I2678" s="36">
        <v>2874</v>
      </c>
      <c r="J2678" s="36">
        <v>2874</v>
      </c>
      <c r="K2678" s="85">
        <v>0</v>
      </c>
      <c r="L2678" s="36">
        <v>239.5</v>
      </c>
      <c r="M2678" s="36">
        <v>0</v>
      </c>
      <c r="N2678" s="36">
        <v>36.35</v>
      </c>
      <c r="O2678" s="36">
        <v>203.15</v>
      </c>
      <c r="P2678" t="s">
        <v>165</v>
      </c>
      <c r="Q2678" t="s">
        <v>166</v>
      </c>
      <c r="R2678" t="s">
        <v>166</v>
      </c>
      <c r="S2678" s="1">
        <v>46091</v>
      </c>
      <c r="T2678" s="1">
        <v>46091</v>
      </c>
      <c r="U2678" s="1">
        <v>46091</v>
      </c>
      <c r="V2678" s="1">
        <v>46456</v>
      </c>
      <c r="W2678" t="s">
        <v>38</v>
      </c>
      <c r="X2678">
        <v>12</v>
      </c>
      <c r="Y2678" t="s">
        <v>49</v>
      </c>
      <c r="Z2678" t="s">
        <v>81</v>
      </c>
      <c r="AA2678" t="s">
        <v>122</v>
      </c>
      <c r="AB2678">
        <v>12</v>
      </c>
      <c r="AC2678" t="s">
        <v>166</v>
      </c>
      <c r="AD2678" t="s">
        <v>118</v>
      </c>
      <c r="AE2678" t="s">
        <v>43</v>
      </c>
      <c r="AF2678" t="s">
        <v>119</v>
      </c>
      <c r="AG2678" t="str">
        <f t="shared" si="44"/>
        <v>Recorrente</v>
      </c>
      <c r="AH2678" t="str">
        <f>IF(AND(SUMIF(E:E,E2678,I:I)&gt;=400000,Q2678="B2G"),"n","")</f>
        <v/>
      </c>
    </row>
    <row r="2679" spans="1:34">
      <c r="A2679">
        <v>2026</v>
      </c>
      <c r="B2679">
        <v>3</v>
      </c>
      <c r="C2679" s="83">
        <v>213008664085</v>
      </c>
      <c r="D2679" t="s">
        <v>2439</v>
      </c>
      <c r="E2679">
        <v>58170000178</v>
      </c>
      <c r="F2679">
        <v>636607</v>
      </c>
      <c r="G2679">
        <v>53405098034</v>
      </c>
      <c r="H2679" t="s">
        <v>35</v>
      </c>
      <c r="I2679" s="36">
        <v>6354</v>
      </c>
      <c r="J2679" s="36">
        <v>6354</v>
      </c>
      <c r="K2679" s="85">
        <v>0</v>
      </c>
      <c r="L2679" s="36">
        <v>529.5</v>
      </c>
      <c r="M2679" s="36">
        <v>529.5</v>
      </c>
      <c r="N2679" s="36">
        <v>0</v>
      </c>
      <c r="O2679" s="36">
        <v>0</v>
      </c>
      <c r="P2679" t="s">
        <v>2004</v>
      </c>
      <c r="Q2679" t="s">
        <v>300</v>
      </c>
      <c r="R2679" t="s">
        <v>300</v>
      </c>
      <c r="S2679" s="1">
        <v>46100</v>
      </c>
      <c r="T2679" s="1">
        <v>46100</v>
      </c>
      <c r="U2679" s="1"/>
      <c r="V2679" s="1">
        <v>46465</v>
      </c>
      <c r="W2679" t="s">
        <v>38</v>
      </c>
      <c r="X2679">
        <v>12</v>
      </c>
      <c r="Y2679" t="s">
        <v>49</v>
      </c>
      <c r="AA2679" t="s">
        <v>122</v>
      </c>
      <c r="AB2679">
        <v>12</v>
      </c>
      <c r="AC2679" t="s">
        <v>301</v>
      </c>
      <c r="AD2679" t="s">
        <v>149</v>
      </c>
      <c r="AE2679" t="s">
        <v>43</v>
      </c>
      <c r="AF2679" t="s">
        <v>96</v>
      </c>
      <c r="AG2679" t="str">
        <f t="shared" si="44"/>
        <v>Recorrente</v>
      </c>
      <c r="AH2679" t="str">
        <f>IF(AND(SUMIF(E:E,E2679,I:I)&gt;=400000,Q2679="B2G"),"n","")</f>
        <v/>
      </c>
    </row>
    <row r="2680" spans="1:34">
      <c r="A2680">
        <v>2026</v>
      </c>
      <c r="B2680">
        <v>3</v>
      </c>
      <c r="C2680" s="83">
        <v>213019425094</v>
      </c>
      <c r="D2680" t="s">
        <v>2440</v>
      </c>
      <c r="E2680">
        <v>55925351324</v>
      </c>
      <c r="F2680">
        <v>627199</v>
      </c>
      <c r="G2680">
        <v>51245286159</v>
      </c>
      <c r="H2680" t="s">
        <v>35</v>
      </c>
      <c r="I2680" s="36">
        <v>5754</v>
      </c>
      <c r="J2680" s="36">
        <v>5754</v>
      </c>
      <c r="K2680" s="85">
        <v>0</v>
      </c>
      <c r="L2680" s="36">
        <v>479.5</v>
      </c>
      <c r="M2680" s="36">
        <v>0</v>
      </c>
      <c r="N2680" s="36">
        <v>94.45</v>
      </c>
      <c r="O2680" s="36">
        <v>385.05</v>
      </c>
      <c r="P2680" t="s">
        <v>165</v>
      </c>
      <c r="Q2680" t="s">
        <v>166</v>
      </c>
      <c r="R2680" t="s">
        <v>166</v>
      </c>
      <c r="S2680" s="1">
        <v>46088</v>
      </c>
      <c r="T2680" s="1">
        <v>46088</v>
      </c>
      <c r="U2680" s="1">
        <v>46088</v>
      </c>
      <c r="V2680" s="1">
        <v>46453</v>
      </c>
      <c r="W2680" t="s">
        <v>38</v>
      </c>
      <c r="X2680">
        <v>12</v>
      </c>
      <c r="Y2680" t="s">
        <v>49</v>
      </c>
      <c r="Z2680" t="s">
        <v>81</v>
      </c>
      <c r="AA2680" t="s">
        <v>112</v>
      </c>
      <c r="AB2680">
        <v>12</v>
      </c>
      <c r="AC2680" t="s">
        <v>166</v>
      </c>
      <c r="AD2680" t="s">
        <v>85</v>
      </c>
      <c r="AE2680" t="s">
        <v>46</v>
      </c>
      <c r="AF2680" t="s">
        <v>44</v>
      </c>
      <c r="AG2680" t="str">
        <f t="shared" si="44"/>
        <v>CC 12x</v>
      </c>
      <c r="AH2680" t="str">
        <f>IF(AND(SUMIF(E:E,E2680,I:I)&gt;=400000,Q2680="B2G"),"n","")</f>
        <v/>
      </c>
    </row>
    <row r="2681" spans="1:34">
      <c r="A2681">
        <v>2026</v>
      </c>
      <c r="B2681">
        <v>3</v>
      </c>
      <c r="C2681" s="83">
        <v>2130346</v>
      </c>
      <c r="D2681" t="s">
        <v>2441</v>
      </c>
      <c r="E2681">
        <v>57894312630</v>
      </c>
      <c r="F2681">
        <v>636453</v>
      </c>
      <c r="G2681">
        <v>53094472575</v>
      </c>
      <c r="H2681" t="s">
        <v>35</v>
      </c>
      <c r="I2681" s="36">
        <v>4962.6000000000004</v>
      </c>
      <c r="J2681" s="36">
        <v>4962.6000000000004</v>
      </c>
      <c r="K2681" s="85">
        <v>0</v>
      </c>
      <c r="L2681" s="36">
        <v>413.55</v>
      </c>
      <c r="M2681" s="36">
        <v>413.55</v>
      </c>
      <c r="N2681" s="36">
        <v>0</v>
      </c>
      <c r="O2681" s="36">
        <v>0</v>
      </c>
      <c r="P2681" t="s">
        <v>506</v>
      </c>
      <c r="Q2681" t="s">
        <v>300</v>
      </c>
      <c r="R2681" t="s">
        <v>300</v>
      </c>
      <c r="S2681" s="1">
        <v>46092</v>
      </c>
      <c r="T2681" s="1">
        <v>46092</v>
      </c>
      <c r="U2681" s="1"/>
      <c r="V2681" s="1">
        <v>46457</v>
      </c>
      <c r="W2681" t="s">
        <v>38</v>
      </c>
      <c r="X2681">
        <v>12</v>
      </c>
      <c r="Y2681" t="s">
        <v>49</v>
      </c>
      <c r="AA2681" t="s">
        <v>112</v>
      </c>
      <c r="AB2681">
        <v>12</v>
      </c>
      <c r="AC2681" t="s">
        <v>301</v>
      </c>
      <c r="AD2681" t="s">
        <v>138</v>
      </c>
      <c r="AE2681" t="s">
        <v>135</v>
      </c>
      <c r="AF2681" t="s">
        <v>119</v>
      </c>
      <c r="AG2681" t="str">
        <f t="shared" si="44"/>
        <v>CC 12x</v>
      </c>
      <c r="AH2681" t="str">
        <f>IF(AND(SUMIF(E:E,E2681,I:I)&gt;=400000,Q2681="B2G"),"n","")</f>
        <v/>
      </c>
    </row>
    <row r="2682" spans="1:34">
      <c r="A2682">
        <v>2026</v>
      </c>
      <c r="B2682">
        <v>3</v>
      </c>
      <c r="C2682" s="83">
        <v>2130442</v>
      </c>
      <c r="D2682" t="s">
        <v>2442</v>
      </c>
      <c r="E2682">
        <v>54509787708</v>
      </c>
      <c r="F2682">
        <v>627267</v>
      </c>
      <c r="G2682">
        <v>49836798757</v>
      </c>
      <c r="H2682" t="s">
        <v>35</v>
      </c>
      <c r="I2682" s="36">
        <v>4962.6000000000004</v>
      </c>
      <c r="J2682" s="36">
        <v>4962.6000000000004</v>
      </c>
      <c r="K2682" s="85">
        <v>0</v>
      </c>
      <c r="L2682" s="36">
        <v>413.55</v>
      </c>
      <c r="M2682" s="36">
        <v>0</v>
      </c>
      <c r="N2682" s="36">
        <v>48.9</v>
      </c>
      <c r="O2682" s="36">
        <v>364.65</v>
      </c>
      <c r="P2682" t="s">
        <v>165</v>
      </c>
      <c r="Q2682" t="s">
        <v>166</v>
      </c>
      <c r="R2682" t="s">
        <v>166</v>
      </c>
      <c r="S2682" s="1">
        <v>46092</v>
      </c>
      <c r="T2682" s="1">
        <v>46092</v>
      </c>
      <c r="U2682" s="1">
        <v>46092</v>
      </c>
      <c r="V2682" s="1">
        <v>46457</v>
      </c>
      <c r="W2682" t="s">
        <v>38</v>
      </c>
      <c r="X2682">
        <v>12</v>
      </c>
      <c r="Y2682" t="s">
        <v>49</v>
      </c>
      <c r="Z2682" t="s">
        <v>81</v>
      </c>
      <c r="AA2682" t="s">
        <v>122</v>
      </c>
      <c r="AB2682">
        <v>12</v>
      </c>
      <c r="AC2682" t="s">
        <v>166</v>
      </c>
      <c r="AD2682" t="s">
        <v>138</v>
      </c>
      <c r="AE2682" t="s">
        <v>135</v>
      </c>
      <c r="AF2682" t="s">
        <v>119</v>
      </c>
      <c r="AG2682" t="str">
        <f t="shared" si="44"/>
        <v>Recorrente</v>
      </c>
      <c r="AH2682" t="str">
        <f>IF(AND(SUMIF(E:E,E2682,I:I)&gt;=400000,Q2682="B2G"),"n","")</f>
        <v/>
      </c>
    </row>
    <row r="2683" spans="1:34">
      <c r="A2683">
        <v>2026</v>
      </c>
      <c r="B2683">
        <v>3</v>
      </c>
      <c r="C2683" s="83">
        <v>2130960</v>
      </c>
      <c r="D2683" t="s">
        <v>2443</v>
      </c>
      <c r="E2683">
        <v>58474859886</v>
      </c>
      <c r="F2683">
        <v>317711</v>
      </c>
      <c r="G2683">
        <v>53666781508</v>
      </c>
      <c r="H2683" t="s">
        <v>35</v>
      </c>
      <c r="I2683" s="36">
        <v>5130.84</v>
      </c>
      <c r="J2683" s="36">
        <v>5130.84</v>
      </c>
      <c r="K2683" s="85">
        <v>0</v>
      </c>
      <c r="L2683" s="36">
        <v>427.57</v>
      </c>
      <c r="M2683" s="36">
        <v>427.57</v>
      </c>
      <c r="N2683" s="36">
        <v>0</v>
      </c>
      <c r="O2683" s="36">
        <v>0</v>
      </c>
      <c r="P2683" t="s">
        <v>162</v>
      </c>
      <c r="Q2683" t="s">
        <v>111</v>
      </c>
      <c r="R2683" t="s">
        <v>111</v>
      </c>
      <c r="S2683" s="1">
        <v>46109</v>
      </c>
      <c r="T2683" s="1">
        <v>46109</v>
      </c>
      <c r="U2683" s="1">
        <v>46108</v>
      </c>
      <c r="V2683" s="1">
        <v>46474</v>
      </c>
      <c r="W2683" t="s">
        <v>38</v>
      </c>
      <c r="X2683">
        <v>12</v>
      </c>
      <c r="Y2683" t="s">
        <v>49</v>
      </c>
      <c r="Z2683" t="s">
        <v>81</v>
      </c>
      <c r="AA2683" t="s">
        <v>122</v>
      </c>
      <c r="AB2683">
        <v>12</v>
      </c>
      <c r="AC2683" t="s">
        <v>113</v>
      </c>
      <c r="AD2683" t="s">
        <v>174</v>
      </c>
      <c r="AE2683" t="s">
        <v>43</v>
      </c>
      <c r="AF2683" t="s">
        <v>47</v>
      </c>
      <c r="AG2683" t="str">
        <f t="shared" si="44"/>
        <v>Recorrente</v>
      </c>
      <c r="AH2683" t="str">
        <f>IF(AND(SUMIF(E:E,E2683,I:I)&gt;=400000,Q2683="B2G"),"n","")</f>
        <v/>
      </c>
    </row>
    <row r="2684" spans="1:34">
      <c r="A2684">
        <v>2026</v>
      </c>
      <c r="B2684">
        <v>3</v>
      </c>
      <c r="C2684" s="83">
        <v>2131068</v>
      </c>
      <c r="D2684" t="s">
        <v>2444</v>
      </c>
      <c r="E2684">
        <v>54020877862</v>
      </c>
      <c r="F2684">
        <v>303727</v>
      </c>
      <c r="G2684">
        <v>49464624730</v>
      </c>
      <c r="H2684" t="s">
        <v>35</v>
      </c>
      <c r="I2684" s="36">
        <v>7015.44</v>
      </c>
      <c r="J2684" s="36">
        <v>7015.44</v>
      </c>
      <c r="K2684" s="85">
        <v>0</v>
      </c>
      <c r="L2684" s="36">
        <v>584.62</v>
      </c>
      <c r="M2684" s="36">
        <v>0</v>
      </c>
      <c r="N2684" s="36">
        <v>119.05500000000001</v>
      </c>
      <c r="O2684" s="36">
        <v>465.57</v>
      </c>
      <c r="P2684" t="s">
        <v>165</v>
      </c>
      <c r="Q2684" t="s">
        <v>166</v>
      </c>
      <c r="R2684" t="s">
        <v>166</v>
      </c>
      <c r="S2684" s="1">
        <v>46085</v>
      </c>
      <c r="T2684" s="1">
        <v>46085</v>
      </c>
      <c r="U2684" s="1">
        <v>46085</v>
      </c>
      <c r="V2684" s="1">
        <v>46450</v>
      </c>
      <c r="W2684" t="s">
        <v>38</v>
      </c>
      <c r="X2684">
        <v>12</v>
      </c>
      <c r="Y2684" t="s">
        <v>49</v>
      </c>
      <c r="Z2684" t="s">
        <v>81</v>
      </c>
      <c r="AA2684" t="s">
        <v>112</v>
      </c>
      <c r="AB2684">
        <v>12</v>
      </c>
      <c r="AC2684" t="s">
        <v>166</v>
      </c>
      <c r="AD2684" t="s">
        <v>134</v>
      </c>
      <c r="AE2684" t="s">
        <v>135</v>
      </c>
      <c r="AF2684" t="s">
        <v>44</v>
      </c>
      <c r="AG2684" t="str">
        <f t="shared" ref="AG2684:AG2747" si="45">IF(IFERROR(SEARCH("Recorrente",AA2684),0)&gt;0,"Recorrente",IF(AB2684=1,"À Vista",IF(AB2684&lt;=3,"CC 3x",IF(AB2684&lt;=12,"CC 12x",IF(AB2684&gt;12,"Recorrente","")))))</f>
        <v>CC 12x</v>
      </c>
      <c r="AH2684" t="str">
        <f>IF(AND(SUMIF(E:E,E2684,I:I)&gt;=400000,Q2684="B2G"),"n","")</f>
        <v/>
      </c>
    </row>
    <row r="2685" spans="1:34">
      <c r="A2685">
        <v>2026</v>
      </c>
      <c r="B2685">
        <v>3</v>
      </c>
      <c r="C2685" s="83">
        <v>2131688</v>
      </c>
      <c r="D2685" t="s">
        <v>2445</v>
      </c>
      <c r="E2685">
        <v>56876783747</v>
      </c>
      <c r="F2685">
        <v>310607</v>
      </c>
      <c r="G2685">
        <v>52704283179</v>
      </c>
      <c r="H2685" t="s">
        <v>35</v>
      </c>
      <c r="I2685" s="36">
        <v>3870</v>
      </c>
      <c r="J2685" s="36">
        <v>3870</v>
      </c>
      <c r="K2685" s="85">
        <v>0</v>
      </c>
      <c r="L2685" s="36">
        <v>322.5</v>
      </c>
      <c r="M2685" s="36">
        <v>0</v>
      </c>
      <c r="N2685" s="36">
        <v>31.04</v>
      </c>
      <c r="O2685" s="36">
        <v>291.45999999999998</v>
      </c>
      <c r="P2685" t="s">
        <v>127</v>
      </c>
      <c r="Q2685" t="s">
        <v>111</v>
      </c>
      <c r="R2685" t="s">
        <v>111</v>
      </c>
      <c r="S2685" s="1">
        <v>46084</v>
      </c>
      <c r="T2685" s="1">
        <v>46084</v>
      </c>
      <c r="U2685" s="1">
        <v>46110</v>
      </c>
      <c r="V2685" s="1">
        <v>46475</v>
      </c>
      <c r="W2685" t="s">
        <v>38</v>
      </c>
      <c r="X2685">
        <v>12</v>
      </c>
      <c r="Y2685" t="s">
        <v>49</v>
      </c>
      <c r="Z2685" t="s">
        <v>81</v>
      </c>
      <c r="AA2685" t="s">
        <v>112</v>
      </c>
      <c r="AB2685">
        <v>12</v>
      </c>
      <c r="AC2685" t="s">
        <v>113</v>
      </c>
      <c r="AD2685" t="s">
        <v>114</v>
      </c>
      <c r="AE2685" t="s">
        <v>43</v>
      </c>
      <c r="AF2685" t="s">
        <v>44</v>
      </c>
      <c r="AG2685" t="str">
        <f t="shared" si="45"/>
        <v>CC 12x</v>
      </c>
      <c r="AH2685" t="str">
        <f>IF(AND(SUMIF(E:E,E2685,I:I)&gt;=400000,Q2685="B2G"),"n","")</f>
        <v/>
      </c>
    </row>
    <row r="2686" spans="1:34">
      <c r="A2686">
        <v>2026</v>
      </c>
      <c r="B2686">
        <v>3</v>
      </c>
      <c r="C2686" s="83">
        <v>2131688</v>
      </c>
      <c r="D2686" t="s">
        <v>2445</v>
      </c>
      <c r="E2686">
        <v>56876783747</v>
      </c>
      <c r="F2686">
        <v>310607</v>
      </c>
      <c r="G2686">
        <v>52704283180</v>
      </c>
      <c r="H2686" t="s">
        <v>35</v>
      </c>
      <c r="I2686" s="36">
        <v>3870</v>
      </c>
      <c r="J2686" s="36">
        <v>3870</v>
      </c>
      <c r="K2686" s="85">
        <v>0</v>
      </c>
      <c r="L2686" s="36">
        <v>322.5</v>
      </c>
      <c r="M2686" s="36">
        <v>0</v>
      </c>
      <c r="N2686" s="36">
        <v>31.04</v>
      </c>
      <c r="O2686" s="36">
        <v>291.45999999999998</v>
      </c>
      <c r="P2686" t="s">
        <v>127</v>
      </c>
      <c r="Q2686" t="s">
        <v>111</v>
      </c>
      <c r="R2686" t="s">
        <v>111</v>
      </c>
      <c r="S2686" s="1">
        <v>46084</v>
      </c>
      <c r="T2686" s="1">
        <v>46084</v>
      </c>
      <c r="U2686" s="1">
        <v>46110</v>
      </c>
      <c r="V2686" s="1">
        <v>46475</v>
      </c>
      <c r="W2686" t="s">
        <v>38</v>
      </c>
      <c r="X2686">
        <v>12</v>
      </c>
      <c r="Y2686" t="s">
        <v>49</v>
      </c>
      <c r="Z2686" t="s">
        <v>81</v>
      </c>
      <c r="AA2686" t="s">
        <v>112</v>
      </c>
      <c r="AB2686">
        <v>12</v>
      </c>
      <c r="AC2686" t="s">
        <v>113</v>
      </c>
      <c r="AD2686" t="s">
        <v>85</v>
      </c>
      <c r="AE2686" t="s">
        <v>46</v>
      </c>
      <c r="AF2686" t="s">
        <v>44</v>
      </c>
      <c r="AG2686" t="str">
        <f t="shared" si="45"/>
        <v>CC 12x</v>
      </c>
      <c r="AH2686" t="str">
        <f>IF(AND(SUMIF(E:E,E2686,I:I)&gt;=400000,Q2686="B2G"),"n","")</f>
        <v/>
      </c>
    </row>
    <row r="2687" spans="1:34">
      <c r="A2687">
        <v>2026</v>
      </c>
      <c r="B2687">
        <v>3</v>
      </c>
      <c r="C2687" s="83">
        <v>2131725</v>
      </c>
      <c r="D2687" t="s">
        <v>2446</v>
      </c>
      <c r="E2687">
        <v>55620055866</v>
      </c>
      <c r="F2687">
        <v>508293</v>
      </c>
      <c r="G2687">
        <v>52704329298</v>
      </c>
      <c r="H2687" t="s">
        <v>35</v>
      </c>
      <c r="I2687" s="36">
        <v>9456.84</v>
      </c>
      <c r="J2687" s="36">
        <v>9456.84</v>
      </c>
      <c r="K2687" s="85">
        <v>0</v>
      </c>
      <c r="L2687" s="36">
        <v>788.07</v>
      </c>
      <c r="M2687" s="36">
        <v>0</v>
      </c>
      <c r="N2687" s="36">
        <v>0</v>
      </c>
      <c r="O2687" s="36">
        <v>788.07150000000001</v>
      </c>
      <c r="P2687" t="s">
        <v>133</v>
      </c>
      <c r="Q2687" t="s">
        <v>111</v>
      </c>
      <c r="R2687" t="s">
        <v>111</v>
      </c>
      <c r="S2687" s="1">
        <v>46085</v>
      </c>
      <c r="T2687" s="1">
        <v>46085</v>
      </c>
      <c r="U2687" s="1">
        <v>46103</v>
      </c>
      <c r="V2687" s="1">
        <v>46468</v>
      </c>
      <c r="W2687" t="s">
        <v>38</v>
      </c>
      <c r="X2687">
        <v>12</v>
      </c>
      <c r="Y2687" t="s">
        <v>49</v>
      </c>
      <c r="Z2687" t="s">
        <v>81</v>
      </c>
      <c r="AA2687" t="s">
        <v>122</v>
      </c>
      <c r="AB2687">
        <v>12</v>
      </c>
      <c r="AC2687" t="s">
        <v>113</v>
      </c>
      <c r="AD2687" t="s">
        <v>154</v>
      </c>
      <c r="AE2687" t="s">
        <v>46</v>
      </c>
      <c r="AF2687" t="s">
        <v>47</v>
      </c>
      <c r="AG2687" t="str">
        <f t="shared" si="45"/>
        <v>Recorrente</v>
      </c>
      <c r="AH2687" t="str">
        <f>IF(AND(SUMIF(E:E,E2687,I:I)&gt;=400000,Q2687="B2G"),"n","")</f>
        <v/>
      </c>
    </row>
    <row r="2688" spans="1:34">
      <c r="A2688">
        <v>2026</v>
      </c>
      <c r="B2688">
        <v>3</v>
      </c>
      <c r="C2688" s="83">
        <v>2131997</v>
      </c>
      <c r="D2688" t="s">
        <v>2447</v>
      </c>
      <c r="E2688">
        <v>57461584508</v>
      </c>
      <c r="F2688">
        <v>636386</v>
      </c>
      <c r="G2688">
        <v>52873369675</v>
      </c>
      <c r="H2688" t="s">
        <v>35</v>
      </c>
      <c r="I2688" s="36">
        <v>1402.32</v>
      </c>
      <c r="J2688" s="36">
        <v>701.22</v>
      </c>
      <c r="K2688" s="85">
        <v>701.1</v>
      </c>
      <c r="L2688" s="36">
        <v>58.435000000000002</v>
      </c>
      <c r="M2688" s="36">
        <v>0</v>
      </c>
      <c r="N2688" s="36">
        <v>58.435000000000002</v>
      </c>
      <c r="O2688" s="36">
        <v>0</v>
      </c>
      <c r="P2688" t="s">
        <v>367</v>
      </c>
      <c r="Q2688" t="s">
        <v>191</v>
      </c>
      <c r="R2688" t="s">
        <v>191</v>
      </c>
      <c r="S2688" s="1">
        <v>46087</v>
      </c>
      <c r="T2688" s="1">
        <v>46087</v>
      </c>
      <c r="U2688" s="1"/>
      <c r="V2688" s="1">
        <v>46818</v>
      </c>
      <c r="W2688" t="s">
        <v>56</v>
      </c>
      <c r="X2688">
        <v>24</v>
      </c>
      <c r="Y2688" t="s">
        <v>49</v>
      </c>
      <c r="AA2688" t="s">
        <v>122</v>
      </c>
      <c r="AB2688">
        <v>24</v>
      </c>
      <c r="AC2688" t="s">
        <v>192</v>
      </c>
      <c r="AD2688" t="s">
        <v>368</v>
      </c>
      <c r="AE2688" t="s">
        <v>95</v>
      </c>
      <c r="AF2688" t="s">
        <v>59</v>
      </c>
      <c r="AG2688" t="str">
        <f t="shared" si="45"/>
        <v>Recorrente</v>
      </c>
      <c r="AH2688" t="str">
        <f>IF(AND(SUMIF(E:E,E2688,I:I)&gt;=400000,Q2688="B2G"),"n","")</f>
        <v/>
      </c>
    </row>
    <row r="2689" spans="1:34">
      <c r="A2689">
        <v>2026</v>
      </c>
      <c r="B2689">
        <v>3</v>
      </c>
      <c r="C2689" s="83">
        <v>2131997</v>
      </c>
      <c r="D2689" t="s">
        <v>2447</v>
      </c>
      <c r="E2689">
        <v>57461584508</v>
      </c>
      <c r="F2689">
        <v>636386</v>
      </c>
      <c r="G2689">
        <v>52873369676</v>
      </c>
      <c r="H2689" t="s">
        <v>35</v>
      </c>
      <c r="I2689" s="36">
        <v>5608.08</v>
      </c>
      <c r="J2689" s="36">
        <v>2804.1</v>
      </c>
      <c r="K2689" s="85">
        <v>2803.98</v>
      </c>
      <c r="L2689" s="36">
        <v>233.67500000000001</v>
      </c>
      <c r="M2689" s="36">
        <v>0</v>
      </c>
      <c r="N2689" s="36">
        <v>233.67500000000001</v>
      </c>
      <c r="O2689" s="36">
        <v>0</v>
      </c>
      <c r="P2689" t="s">
        <v>367</v>
      </c>
      <c r="Q2689" t="s">
        <v>191</v>
      </c>
      <c r="R2689" t="s">
        <v>191</v>
      </c>
      <c r="S2689" s="1">
        <v>46087</v>
      </c>
      <c r="T2689" s="1">
        <v>46087</v>
      </c>
      <c r="V2689" s="1">
        <v>46818</v>
      </c>
      <c r="W2689" t="s">
        <v>56</v>
      </c>
      <c r="X2689">
        <v>24</v>
      </c>
      <c r="Y2689" t="s">
        <v>49</v>
      </c>
      <c r="AA2689" t="s">
        <v>122</v>
      </c>
      <c r="AB2689">
        <v>24</v>
      </c>
      <c r="AC2689" t="s">
        <v>192</v>
      </c>
      <c r="AD2689" t="s">
        <v>1715</v>
      </c>
      <c r="AE2689" t="s">
        <v>289</v>
      </c>
      <c r="AF2689" t="s">
        <v>59</v>
      </c>
      <c r="AG2689" t="str">
        <f t="shared" si="45"/>
        <v>Recorrente</v>
      </c>
      <c r="AH2689" t="str">
        <f>IF(AND(SUMIF(E:E,E2689,I:I)&gt;=400000,Q2689="B2G"),"n","")</f>
        <v/>
      </c>
    </row>
    <row r="2690" spans="1:34">
      <c r="A2690">
        <v>2026</v>
      </c>
      <c r="B2690">
        <v>3</v>
      </c>
      <c r="C2690" s="83">
        <v>2131997</v>
      </c>
      <c r="D2690" t="s">
        <v>2447</v>
      </c>
      <c r="E2690">
        <v>57461584508</v>
      </c>
      <c r="F2690">
        <v>636386</v>
      </c>
      <c r="G2690">
        <v>52873369677</v>
      </c>
      <c r="H2690" t="s">
        <v>35</v>
      </c>
      <c r="I2690" s="36">
        <v>10912.08</v>
      </c>
      <c r="J2690" s="36">
        <v>5456.1</v>
      </c>
      <c r="K2690" s="85">
        <v>5455.98</v>
      </c>
      <c r="L2690" s="36">
        <v>454.67500000000001</v>
      </c>
      <c r="M2690" s="36">
        <v>0</v>
      </c>
      <c r="N2690" s="36">
        <v>454.67500000000001</v>
      </c>
      <c r="O2690" s="36">
        <v>0</v>
      </c>
      <c r="P2690" t="s">
        <v>367</v>
      </c>
      <c r="Q2690" t="s">
        <v>191</v>
      </c>
      <c r="R2690" t="s">
        <v>191</v>
      </c>
      <c r="S2690" s="1">
        <v>46087</v>
      </c>
      <c r="T2690" s="1">
        <v>46087</v>
      </c>
      <c r="V2690" s="1">
        <v>46818</v>
      </c>
      <c r="W2690" t="s">
        <v>56</v>
      </c>
      <c r="X2690">
        <v>24</v>
      </c>
      <c r="Y2690" t="s">
        <v>49</v>
      </c>
      <c r="AA2690" t="s">
        <v>122</v>
      </c>
      <c r="AB2690">
        <v>24</v>
      </c>
      <c r="AC2690" t="s">
        <v>192</v>
      </c>
      <c r="AD2690" t="s">
        <v>94</v>
      </c>
      <c r="AE2690" t="s">
        <v>95</v>
      </c>
      <c r="AF2690" t="s">
        <v>96</v>
      </c>
      <c r="AG2690" t="str">
        <f t="shared" si="45"/>
        <v>Recorrente</v>
      </c>
      <c r="AH2690" t="str">
        <f>IF(AND(SUMIF(E:E,E2690,I:I)&gt;=400000,Q2690="B2G"),"n","")</f>
        <v/>
      </c>
    </row>
    <row r="2691" spans="1:34">
      <c r="A2691">
        <v>2026</v>
      </c>
      <c r="B2691">
        <v>3</v>
      </c>
      <c r="C2691" s="83">
        <v>213200388742</v>
      </c>
      <c r="D2691" t="s">
        <v>2448</v>
      </c>
      <c r="E2691">
        <v>55950067837</v>
      </c>
      <c r="F2691">
        <v>627526</v>
      </c>
      <c r="G2691">
        <v>51258060594</v>
      </c>
      <c r="H2691" t="s">
        <v>35</v>
      </c>
      <c r="I2691" s="36">
        <v>2874</v>
      </c>
      <c r="J2691" s="36">
        <v>2874</v>
      </c>
      <c r="K2691" s="85">
        <v>0</v>
      </c>
      <c r="L2691" s="36">
        <v>239.5</v>
      </c>
      <c r="M2691" s="36">
        <v>0</v>
      </c>
      <c r="N2691" s="36">
        <v>36.35</v>
      </c>
      <c r="O2691" s="36">
        <v>203.15</v>
      </c>
      <c r="P2691" t="s">
        <v>165</v>
      </c>
      <c r="Q2691" t="s">
        <v>166</v>
      </c>
      <c r="R2691" t="s">
        <v>166</v>
      </c>
      <c r="S2691" s="1">
        <v>46100</v>
      </c>
      <c r="T2691" s="1">
        <v>46100</v>
      </c>
      <c r="U2691" s="1">
        <v>46100</v>
      </c>
      <c r="V2691" s="1">
        <v>46465</v>
      </c>
      <c r="W2691" t="s">
        <v>38</v>
      </c>
      <c r="X2691">
        <v>12</v>
      </c>
      <c r="Y2691" t="s">
        <v>49</v>
      </c>
      <c r="Z2691" t="s">
        <v>81</v>
      </c>
      <c r="AA2691" t="s">
        <v>112</v>
      </c>
      <c r="AB2691">
        <v>12</v>
      </c>
      <c r="AC2691" t="s">
        <v>166</v>
      </c>
      <c r="AD2691" t="s">
        <v>118</v>
      </c>
      <c r="AE2691" t="s">
        <v>43</v>
      </c>
      <c r="AF2691" t="s">
        <v>119</v>
      </c>
      <c r="AG2691" t="str">
        <f t="shared" si="45"/>
        <v>CC 12x</v>
      </c>
      <c r="AH2691" t="str">
        <f>IF(AND(SUMIF(E:E,E2691,I:I)&gt;=400000,Q2691="B2G"),"n","")</f>
        <v/>
      </c>
    </row>
    <row r="2692" spans="1:34">
      <c r="A2692">
        <v>2026</v>
      </c>
      <c r="B2692">
        <v>3</v>
      </c>
      <c r="C2692" s="83">
        <v>2132268</v>
      </c>
      <c r="D2692" t="s">
        <v>2449</v>
      </c>
      <c r="E2692">
        <v>56119207946</v>
      </c>
      <c r="F2692">
        <v>507233</v>
      </c>
      <c r="G2692">
        <v>51305829473</v>
      </c>
      <c r="H2692" t="s">
        <v>35</v>
      </c>
      <c r="I2692" s="36">
        <v>2874</v>
      </c>
      <c r="J2692" s="36">
        <v>2874</v>
      </c>
      <c r="K2692" s="85">
        <v>0</v>
      </c>
      <c r="L2692" s="36">
        <v>239.5</v>
      </c>
      <c r="M2692" s="36">
        <v>0</v>
      </c>
      <c r="N2692" s="36">
        <v>0.5</v>
      </c>
      <c r="O2692" s="36">
        <v>239</v>
      </c>
      <c r="P2692" t="s">
        <v>165</v>
      </c>
      <c r="Q2692" t="s">
        <v>166</v>
      </c>
      <c r="R2692" t="s">
        <v>166</v>
      </c>
      <c r="S2692" s="1">
        <v>46090</v>
      </c>
      <c r="T2692" s="1">
        <v>46090</v>
      </c>
      <c r="U2692" s="1">
        <v>46090</v>
      </c>
      <c r="V2692" s="1">
        <v>46455</v>
      </c>
      <c r="W2692" t="s">
        <v>38</v>
      </c>
      <c r="X2692">
        <v>12</v>
      </c>
      <c r="Y2692" t="s">
        <v>49</v>
      </c>
      <c r="Z2692" t="s">
        <v>81</v>
      </c>
      <c r="AA2692" t="s">
        <v>122</v>
      </c>
      <c r="AB2692">
        <v>12</v>
      </c>
      <c r="AC2692" t="s">
        <v>166</v>
      </c>
      <c r="AD2692" t="s">
        <v>140</v>
      </c>
      <c r="AE2692" t="s">
        <v>46</v>
      </c>
      <c r="AF2692" t="s">
        <v>119</v>
      </c>
      <c r="AG2692" t="str">
        <f t="shared" si="45"/>
        <v>Recorrente</v>
      </c>
      <c r="AH2692" t="str">
        <f>IF(AND(SUMIF(E:E,E2692,I:I)&gt;=400000,Q2692="B2G"),"n","")</f>
        <v/>
      </c>
    </row>
    <row r="2693" spans="1:34">
      <c r="A2693">
        <v>2026</v>
      </c>
      <c r="B2693">
        <v>3</v>
      </c>
      <c r="C2693" s="83">
        <v>2133723</v>
      </c>
      <c r="D2693" t="s">
        <v>2450</v>
      </c>
      <c r="E2693">
        <v>58650901850</v>
      </c>
      <c r="F2693">
        <v>636812</v>
      </c>
      <c r="G2693">
        <v>53812360370</v>
      </c>
      <c r="H2693" t="s">
        <v>35</v>
      </c>
      <c r="I2693" s="36">
        <v>4530.6000000000004</v>
      </c>
      <c r="J2693" s="36">
        <v>4530.6000000000004</v>
      </c>
      <c r="K2693" s="85">
        <v>0</v>
      </c>
      <c r="L2693" s="36">
        <v>377.55</v>
      </c>
      <c r="M2693" s="36">
        <v>377.55</v>
      </c>
      <c r="N2693" s="36">
        <v>0</v>
      </c>
      <c r="O2693" s="36">
        <v>0</v>
      </c>
      <c r="P2693" t="s">
        <v>511</v>
      </c>
      <c r="Q2693" t="s">
        <v>300</v>
      </c>
      <c r="R2693" t="s">
        <v>300</v>
      </c>
      <c r="S2693" s="1">
        <v>46112</v>
      </c>
      <c r="T2693" s="1">
        <v>46112</v>
      </c>
      <c r="U2693" s="1"/>
      <c r="V2693" s="1">
        <v>46477</v>
      </c>
      <c r="W2693" t="s">
        <v>38</v>
      </c>
      <c r="X2693">
        <v>12</v>
      </c>
      <c r="Y2693" t="s">
        <v>49</v>
      </c>
      <c r="AA2693" t="s">
        <v>112</v>
      </c>
      <c r="AB2693">
        <v>12</v>
      </c>
      <c r="AC2693" t="s">
        <v>301</v>
      </c>
      <c r="AD2693" t="s">
        <v>84</v>
      </c>
      <c r="AE2693" t="s">
        <v>43</v>
      </c>
      <c r="AF2693" t="s">
        <v>44</v>
      </c>
      <c r="AG2693" t="str">
        <f t="shared" si="45"/>
        <v>CC 12x</v>
      </c>
      <c r="AH2693" t="str">
        <f>IF(AND(SUMIF(E:E,E2693,I:I)&gt;=400000,Q2693="B2G"),"n","")</f>
        <v/>
      </c>
    </row>
    <row r="2694" spans="1:34">
      <c r="A2694">
        <v>2026</v>
      </c>
      <c r="B2694">
        <v>3</v>
      </c>
      <c r="C2694" s="83">
        <v>2135385</v>
      </c>
      <c r="D2694" t="s">
        <v>2451</v>
      </c>
      <c r="E2694">
        <v>55642622875</v>
      </c>
      <c r="F2694">
        <v>528535</v>
      </c>
      <c r="G2694">
        <v>50950226323</v>
      </c>
      <c r="H2694" t="s">
        <v>35</v>
      </c>
      <c r="I2694" s="36">
        <v>3775.44</v>
      </c>
      <c r="J2694" s="36">
        <v>3775.44</v>
      </c>
      <c r="K2694" s="85">
        <v>0</v>
      </c>
      <c r="L2694" s="36">
        <v>314.62</v>
      </c>
      <c r="M2694" s="36">
        <v>0</v>
      </c>
      <c r="N2694" s="36">
        <v>67.334999999999994</v>
      </c>
      <c r="O2694" s="36">
        <v>247.29</v>
      </c>
      <c r="P2694" t="s">
        <v>165</v>
      </c>
      <c r="Q2694" t="s">
        <v>166</v>
      </c>
      <c r="R2694" t="s">
        <v>166</v>
      </c>
      <c r="S2694" s="1">
        <v>46104</v>
      </c>
      <c r="T2694" s="1">
        <v>46104</v>
      </c>
      <c r="U2694" s="1">
        <v>46104</v>
      </c>
      <c r="V2694" s="1">
        <v>46469</v>
      </c>
      <c r="W2694" t="s">
        <v>38</v>
      </c>
      <c r="X2694">
        <v>12</v>
      </c>
      <c r="Y2694" t="s">
        <v>49</v>
      </c>
      <c r="Z2694" t="s">
        <v>81</v>
      </c>
      <c r="AA2694" t="s">
        <v>122</v>
      </c>
      <c r="AB2694">
        <v>12</v>
      </c>
      <c r="AC2694" t="s">
        <v>166</v>
      </c>
      <c r="AD2694" t="s">
        <v>84</v>
      </c>
      <c r="AE2694" t="s">
        <v>43</v>
      </c>
      <c r="AF2694" t="s">
        <v>44</v>
      </c>
      <c r="AG2694" t="str">
        <f t="shared" si="45"/>
        <v>Recorrente</v>
      </c>
      <c r="AH2694" t="str">
        <f>IF(AND(SUMIF(E:E,E2694,I:I)&gt;=400000,Q2694="B2G"),"n","")</f>
        <v/>
      </c>
    </row>
    <row r="2695" spans="1:34">
      <c r="A2695">
        <v>2026</v>
      </c>
      <c r="B2695">
        <v>3</v>
      </c>
      <c r="C2695" s="83">
        <v>2135950</v>
      </c>
      <c r="D2695" t="s">
        <v>2452</v>
      </c>
      <c r="E2695">
        <v>58172935552</v>
      </c>
      <c r="F2695">
        <v>636608</v>
      </c>
      <c r="G2695">
        <v>53405109829</v>
      </c>
      <c r="H2695" t="s">
        <v>35</v>
      </c>
      <c r="I2695" s="36">
        <v>9373.68</v>
      </c>
      <c r="J2695" s="36">
        <v>4686.8999999999996</v>
      </c>
      <c r="K2695" s="85">
        <v>4686.78</v>
      </c>
      <c r="L2695" s="36">
        <v>390.57499999999999</v>
      </c>
      <c r="M2695" s="36">
        <v>390.57499999999999</v>
      </c>
      <c r="N2695" s="36">
        <v>0</v>
      </c>
      <c r="O2695" s="36">
        <v>0</v>
      </c>
      <c r="P2695" t="s">
        <v>313</v>
      </c>
      <c r="Q2695" t="s">
        <v>314</v>
      </c>
      <c r="R2695" t="s">
        <v>314</v>
      </c>
      <c r="S2695" s="1">
        <v>46100</v>
      </c>
      <c r="T2695" s="1">
        <v>46100</v>
      </c>
      <c r="U2695" s="1"/>
      <c r="V2695" s="1">
        <v>46831</v>
      </c>
      <c r="W2695" t="s">
        <v>56</v>
      </c>
      <c r="X2695">
        <v>24</v>
      </c>
      <c r="Y2695" t="s">
        <v>49</v>
      </c>
      <c r="AA2695" t="s">
        <v>122</v>
      </c>
      <c r="AB2695">
        <v>24</v>
      </c>
      <c r="AC2695" t="s">
        <v>315</v>
      </c>
      <c r="AD2695" t="s">
        <v>138</v>
      </c>
      <c r="AE2695" t="s">
        <v>135</v>
      </c>
      <c r="AF2695" t="s">
        <v>119</v>
      </c>
      <c r="AG2695" t="str">
        <f t="shared" si="45"/>
        <v>Recorrente</v>
      </c>
      <c r="AH2695" t="str">
        <f>IF(AND(SUMIF(E:E,E2695,I:I)&gt;=400000,Q2695="B2G"),"n","")</f>
        <v/>
      </c>
    </row>
    <row r="2696" spans="1:34">
      <c r="A2696">
        <v>2026</v>
      </c>
      <c r="B2696">
        <v>3</v>
      </c>
      <c r="C2696" s="83">
        <v>2136118</v>
      </c>
      <c r="D2696" t="s">
        <v>2453</v>
      </c>
      <c r="E2696">
        <v>58069364109</v>
      </c>
      <c r="F2696">
        <v>636563</v>
      </c>
      <c r="G2696">
        <v>53317318663</v>
      </c>
      <c r="H2696" t="s">
        <v>35</v>
      </c>
      <c r="I2696" s="36">
        <v>16332</v>
      </c>
      <c r="J2696" s="36">
        <v>8166.0420000000004</v>
      </c>
      <c r="K2696" s="85">
        <v>8165.9579999999996</v>
      </c>
      <c r="L2696" s="36">
        <v>680.50350000000003</v>
      </c>
      <c r="M2696" s="36">
        <v>0</v>
      </c>
      <c r="N2696" s="36">
        <v>680.50350000000003</v>
      </c>
      <c r="O2696" s="36">
        <v>0</v>
      </c>
      <c r="P2696" t="s">
        <v>367</v>
      </c>
      <c r="Q2696" t="s">
        <v>191</v>
      </c>
      <c r="R2696" t="s">
        <v>191</v>
      </c>
      <c r="S2696" s="1">
        <v>46098</v>
      </c>
      <c r="T2696" s="1">
        <v>46098</v>
      </c>
      <c r="V2696" s="1">
        <v>46829</v>
      </c>
      <c r="W2696" t="s">
        <v>56</v>
      </c>
      <c r="X2696">
        <v>24</v>
      </c>
      <c r="Y2696" t="s">
        <v>49</v>
      </c>
      <c r="AA2696" t="s">
        <v>122</v>
      </c>
      <c r="AB2696">
        <v>24</v>
      </c>
      <c r="AC2696" t="s">
        <v>192</v>
      </c>
      <c r="AD2696" t="s">
        <v>134</v>
      </c>
      <c r="AE2696" t="s">
        <v>135</v>
      </c>
      <c r="AF2696" t="s">
        <v>44</v>
      </c>
      <c r="AG2696" t="str">
        <f t="shared" si="45"/>
        <v>Recorrente</v>
      </c>
      <c r="AH2696" t="str">
        <f>IF(AND(SUMIF(E:E,E2696,I:I)&gt;=400000,Q2696="B2G"),"n","")</f>
        <v/>
      </c>
    </row>
    <row r="2697" spans="1:34">
      <c r="A2697">
        <v>2026</v>
      </c>
      <c r="B2697">
        <v>3</v>
      </c>
      <c r="C2697" s="83">
        <v>2136119</v>
      </c>
      <c r="D2697" t="s">
        <v>2454</v>
      </c>
      <c r="E2697">
        <v>57912725869</v>
      </c>
      <c r="F2697">
        <v>636476</v>
      </c>
      <c r="G2697">
        <v>53170309303</v>
      </c>
      <c r="H2697" t="s">
        <v>35</v>
      </c>
      <c r="I2697" s="36">
        <v>5754</v>
      </c>
      <c r="J2697" s="36">
        <v>5754</v>
      </c>
      <c r="K2697" s="85">
        <v>0</v>
      </c>
      <c r="L2697" s="36">
        <v>479.5</v>
      </c>
      <c r="M2697" s="36">
        <v>479.5</v>
      </c>
      <c r="N2697" s="36">
        <v>0</v>
      </c>
      <c r="O2697" s="36">
        <v>0</v>
      </c>
      <c r="P2697" t="s">
        <v>511</v>
      </c>
      <c r="Q2697" t="s">
        <v>300</v>
      </c>
      <c r="R2697" t="s">
        <v>300</v>
      </c>
      <c r="S2697" s="1">
        <v>46092</v>
      </c>
      <c r="T2697" s="1">
        <v>46092</v>
      </c>
      <c r="V2697" s="1">
        <v>46457</v>
      </c>
      <c r="W2697" t="s">
        <v>38</v>
      </c>
      <c r="X2697">
        <v>12</v>
      </c>
      <c r="Y2697" t="s">
        <v>49</v>
      </c>
      <c r="AA2697" t="s">
        <v>122</v>
      </c>
      <c r="AB2697">
        <v>12</v>
      </c>
      <c r="AC2697" t="s">
        <v>301</v>
      </c>
      <c r="AD2697" t="s">
        <v>85</v>
      </c>
      <c r="AE2697" t="s">
        <v>46</v>
      </c>
      <c r="AF2697" t="s">
        <v>44</v>
      </c>
      <c r="AG2697" t="str">
        <f t="shared" si="45"/>
        <v>Recorrente</v>
      </c>
      <c r="AH2697" t="str">
        <f>IF(AND(SUMIF(E:E,E2697,I:I)&gt;=400000,Q2697="B2G"),"n","")</f>
        <v/>
      </c>
    </row>
    <row r="2698" spans="1:34">
      <c r="A2698">
        <v>2026</v>
      </c>
      <c r="B2698">
        <v>3</v>
      </c>
      <c r="C2698" s="83">
        <v>213673223184</v>
      </c>
      <c r="D2698" t="s">
        <v>2455</v>
      </c>
      <c r="E2698">
        <v>57383821317</v>
      </c>
      <c r="F2698">
        <v>636741</v>
      </c>
      <c r="G2698">
        <v>53710885988</v>
      </c>
      <c r="H2698" t="s">
        <v>35</v>
      </c>
      <c r="I2698" s="36">
        <v>2155.44</v>
      </c>
      <c r="J2698" s="36">
        <v>2155.5</v>
      </c>
      <c r="K2698" s="85">
        <v>0</v>
      </c>
      <c r="L2698" s="36">
        <v>179.625</v>
      </c>
      <c r="M2698" s="36">
        <v>0</v>
      </c>
      <c r="N2698" s="36">
        <v>179.625</v>
      </c>
      <c r="O2698" s="36">
        <v>0</v>
      </c>
      <c r="P2698" t="s">
        <v>323</v>
      </c>
      <c r="Q2698" t="s">
        <v>191</v>
      </c>
      <c r="R2698" t="s">
        <v>191</v>
      </c>
      <c r="S2698" s="1">
        <v>46109</v>
      </c>
      <c r="T2698" s="1">
        <v>46109</v>
      </c>
      <c r="U2698" s="1"/>
      <c r="V2698" s="1">
        <v>46474</v>
      </c>
      <c r="W2698" t="s">
        <v>38</v>
      </c>
      <c r="X2698">
        <v>12</v>
      </c>
      <c r="Y2698" t="s">
        <v>49</v>
      </c>
      <c r="AA2698" t="s">
        <v>112</v>
      </c>
      <c r="AB2698">
        <v>12</v>
      </c>
      <c r="AC2698" t="s">
        <v>192</v>
      </c>
      <c r="AD2698" t="s">
        <v>118</v>
      </c>
      <c r="AE2698" t="s">
        <v>43</v>
      </c>
      <c r="AF2698" t="s">
        <v>119</v>
      </c>
      <c r="AG2698" t="str">
        <f t="shared" si="45"/>
        <v>CC 12x</v>
      </c>
      <c r="AH2698" t="str">
        <f>IF(AND(SUMIF(E:E,E2698,I:I)&gt;=400000,Q2698="B2G"),"n","")</f>
        <v/>
      </c>
    </row>
    <row r="2699" spans="1:34">
      <c r="A2699">
        <v>2026</v>
      </c>
      <c r="B2699">
        <v>3</v>
      </c>
      <c r="C2699" s="83">
        <v>2136957</v>
      </c>
      <c r="D2699" t="s">
        <v>2456</v>
      </c>
      <c r="E2699">
        <v>58326032688</v>
      </c>
      <c r="F2699">
        <v>310169</v>
      </c>
      <c r="G2699">
        <v>53492938791</v>
      </c>
      <c r="H2699" t="s">
        <v>35</v>
      </c>
      <c r="I2699" s="36">
        <v>4315.4399999999996</v>
      </c>
      <c r="J2699" s="36">
        <v>4315.4399999999996</v>
      </c>
      <c r="K2699" s="85">
        <v>0</v>
      </c>
      <c r="L2699" s="36">
        <v>359.62</v>
      </c>
      <c r="M2699" s="36">
        <v>0</v>
      </c>
      <c r="N2699" s="36">
        <v>53.844999999999999</v>
      </c>
      <c r="O2699" s="36">
        <v>305.77999999999997</v>
      </c>
      <c r="P2699" t="s">
        <v>162</v>
      </c>
      <c r="Q2699" t="s">
        <v>111</v>
      </c>
      <c r="R2699" t="s">
        <v>111</v>
      </c>
      <c r="S2699" s="1">
        <v>46106</v>
      </c>
      <c r="T2699" s="1">
        <v>46106</v>
      </c>
      <c r="U2699" s="1">
        <v>46105</v>
      </c>
      <c r="V2699" s="1">
        <v>46471</v>
      </c>
      <c r="W2699" t="s">
        <v>38</v>
      </c>
      <c r="X2699">
        <v>12</v>
      </c>
      <c r="Y2699" t="s">
        <v>49</v>
      </c>
      <c r="Z2699" t="s">
        <v>81</v>
      </c>
      <c r="AA2699" t="s">
        <v>112</v>
      </c>
      <c r="AB2699">
        <v>12</v>
      </c>
      <c r="AC2699" t="s">
        <v>113</v>
      </c>
      <c r="AD2699" t="s">
        <v>85</v>
      </c>
      <c r="AE2699" t="s">
        <v>46</v>
      </c>
      <c r="AF2699" t="s">
        <v>44</v>
      </c>
      <c r="AG2699" t="str">
        <f t="shared" si="45"/>
        <v>CC 12x</v>
      </c>
      <c r="AH2699" t="str">
        <f>IF(AND(SUMIF(E:E,E2699,I:I)&gt;=400000,Q2699="B2G"),"n","")</f>
        <v/>
      </c>
    </row>
    <row r="2700" spans="1:34">
      <c r="A2700">
        <v>2026</v>
      </c>
      <c r="B2700">
        <v>3</v>
      </c>
      <c r="C2700" s="83">
        <v>2138312</v>
      </c>
      <c r="D2700" t="s">
        <v>2457</v>
      </c>
      <c r="E2700">
        <v>58056440684</v>
      </c>
      <c r="F2700">
        <v>503333</v>
      </c>
      <c r="G2700">
        <v>53342630169</v>
      </c>
      <c r="H2700" t="s">
        <v>35</v>
      </c>
      <c r="I2700" s="36">
        <v>2801.16</v>
      </c>
      <c r="J2700" s="36">
        <v>4076.52</v>
      </c>
      <c r="K2700" s="85">
        <v>0</v>
      </c>
      <c r="L2700" s="36">
        <v>339.71</v>
      </c>
      <c r="M2700" s="36">
        <v>0</v>
      </c>
      <c r="N2700" s="36">
        <v>339.71</v>
      </c>
      <c r="O2700" s="36">
        <v>0</v>
      </c>
      <c r="P2700" t="s">
        <v>367</v>
      </c>
      <c r="Q2700" t="s">
        <v>191</v>
      </c>
      <c r="R2700" t="s">
        <v>191</v>
      </c>
      <c r="S2700" s="1">
        <v>46099</v>
      </c>
      <c r="T2700" s="1">
        <v>46099</v>
      </c>
      <c r="U2700" s="1">
        <v>46350</v>
      </c>
      <c r="V2700" s="1">
        <v>46350</v>
      </c>
      <c r="W2700" t="s">
        <v>38</v>
      </c>
      <c r="X2700">
        <v>8</v>
      </c>
      <c r="Y2700" t="s">
        <v>49</v>
      </c>
      <c r="Z2700" t="s">
        <v>324</v>
      </c>
      <c r="AA2700" t="s">
        <v>122</v>
      </c>
      <c r="AB2700">
        <v>8</v>
      </c>
      <c r="AC2700" t="s">
        <v>192</v>
      </c>
      <c r="AD2700" t="s">
        <v>160</v>
      </c>
      <c r="AE2700" t="s">
        <v>43</v>
      </c>
      <c r="AF2700" t="s">
        <v>44</v>
      </c>
      <c r="AG2700" t="str">
        <f t="shared" si="45"/>
        <v>Recorrente</v>
      </c>
      <c r="AH2700" t="str">
        <f>IF(AND(SUMIF(E:E,E2700,I:I)&gt;=400000,Q2700="B2G"),"n","")</f>
        <v/>
      </c>
    </row>
    <row r="2701" spans="1:34">
      <c r="A2701">
        <v>2026</v>
      </c>
      <c r="B2701">
        <v>3</v>
      </c>
      <c r="C2701" s="83">
        <v>2138663</v>
      </c>
      <c r="D2701" t="s">
        <v>2458</v>
      </c>
      <c r="E2701">
        <v>54488186726</v>
      </c>
      <c r="F2701">
        <v>627303</v>
      </c>
      <c r="G2701">
        <v>49903190413</v>
      </c>
      <c r="H2701" t="s">
        <v>35</v>
      </c>
      <c r="I2701" s="36">
        <v>4962.6000000000004</v>
      </c>
      <c r="J2701" s="36">
        <v>4962.6000000000004</v>
      </c>
      <c r="K2701" s="85">
        <v>0</v>
      </c>
      <c r="L2701" s="36">
        <v>413.55</v>
      </c>
      <c r="M2701" s="36">
        <v>0</v>
      </c>
      <c r="N2701" s="36">
        <v>48.9</v>
      </c>
      <c r="O2701" s="36">
        <v>364.65</v>
      </c>
      <c r="P2701" t="s">
        <v>165</v>
      </c>
      <c r="Q2701" t="s">
        <v>166</v>
      </c>
      <c r="R2701" t="s">
        <v>166</v>
      </c>
      <c r="S2701" s="1">
        <v>46093</v>
      </c>
      <c r="T2701" s="1">
        <v>46093</v>
      </c>
      <c r="U2701" s="1">
        <v>46093</v>
      </c>
      <c r="V2701" s="1">
        <v>46458</v>
      </c>
      <c r="W2701" t="s">
        <v>38</v>
      </c>
      <c r="X2701">
        <v>12</v>
      </c>
      <c r="Y2701" t="s">
        <v>49</v>
      </c>
      <c r="Z2701" t="s">
        <v>81</v>
      </c>
      <c r="AA2701" t="s">
        <v>122</v>
      </c>
      <c r="AB2701">
        <v>12</v>
      </c>
      <c r="AC2701" t="s">
        <v>166</v>
      </c>
      <c r="AD2701" t="s">
        <v>138</v>
      </c>
      <c r="AE2701" t="s">
        <v>135</v>
      </c>
      <c r="AF2701" t="s">
        <v>119</v>
      </c>
      <c r="AG2701" t="str">
        <f t="shared" si="45"/>
        <v>Recorrente</v>
      </c>
      <c r="AH2701" t="str">
        <f>IF(AND(SUMIF(E:E,E2701,I:I)&gt;=400000,Q2701="B2G"),"n","")</f>
        <v/>
      </c>
    </row>
    <row r="2702" spans="1:34">
      <c r="A2702">
        <v>2026</v>
      </c>
      <c r="B2702">
        <v>3</v>
      </c>
      <c r="C2702" s="83">
        <v>213907787045</v>
      </c>
      <c r="D2702" t="s">
        <v>2459</v>
      </c>
      <c r="E2702">
        <v>56168754776</v>
      </c>
      <c r="F2702">
        <v>310192</v>
      </c>
      <c r="G2702">
        <v>51447933015</v>
      </c>
      <c r="H2702" t="s">
        <v>35</v>
      </c>
      <c r="I2702" s="36">
        <v>2874</v>
      </c>
      <c r="J2702" s="36">
        <v>2874</v>
      </c>
      <c r="K2702" s="85">
        <v>0</v>
      </c>
      <c r="L2702" s="36">
        <v>239.5</v>
      </c>
      <c r="M2702" s="36">
        <v>0</v>
      </c>
      <c r="N2702" s="36">
        <v>0.5</v>
      </c>
      <c r="O2702" s="36">
        <v>239</v>
      </c>
      <c r="P2702" t="s">
        <v>165</v>
      </c>
      <c r="Q2702" t="s">
        <v>166</v>
      </c>
      <c r="R2702" t="s">
        <v>166</v>
      </c>
      <c r="S2702" s="1">
        <v>46107</v>
      </c>
      <c r="T2702" s="1">
        <v>46107</v>
      </c>
      <c r="U2702" s="1">
        <v>46111</v>
      </c>
      <c r="V2702" s="1">
        <v>46476</v>
      </c>
      <c r="W2702" t="s">
        <v>38</v>
      </c>
      <c r="X2702">
        <v>12</v>
      </c>
      <c r="Y2702" t="s">
        <v>49</v>
      </c>
      <c r="Z2702" t="s">
        <v>81</v>
      </c>
      <c r="AA2702" t="s">
        <v>112</v>
      </c>
      <c r="AB2702">
        <v>12</v>
      </c>
      <c r="AC2702" t="s">
        <v>166</v>
      </c>
      <c r="AD2702" t="s">
        <v>140</v>
      </c>
      <c r="AE2702" t="s">
        <v>46</v>
      </c>
      <c r="AF2702" t="s">
        <v>119</v>
      </c>
      <c r="AG2702" t="str">
        <f t="shared" si="45"/>
        <v>CC 12x</v>
      </c>
      <c r="AH2702" t="str">
        <f>IF(AND(SUMIF(E:E,E2702,I:I)&gt;=400000,Q2702="B2G"),"n","")</f>
        <v/>
      </c>
    </row>
    <row r="2703" spans="1:34">
      <c r="A2703">
        <v>2026</v>
      </c>
      <c r="B2703">
        <v>3</v>
      </c>
      <c r="C2703" s="83">
        <v>213922454555</v>
      </c>
      <c r="D2703" t="s">
        <v>2460</v>
      </c>
      <c r="E2703">
        <v>58048137819</v>
      </c>
      <c r="F2703">
        <v>636558</v>
      </c>
      <c r="G2703">
        <v>53317136804</v>
      </c>
      <c r="H2703" t="s">
        <v>35</v>
      </c>
      <c r="I2703" s="36">
        <v>2471.64</v>
      </c>
      <c r="J2703" s="36">
        <v>2471.64</v>
      </c>
      <c r="K2703" s="85">
        <v>0</v>
      </c>
      <c r="L2703" s="36">
        <v>205.97</v>
      </c>
      <c r="M2703" s="36">
        <v>205.97</v>
      </c>
      <c r="N2703" s="36">
        <v>0</v>
      </c>
      <c r="O2703" s="36">
        <v>0</v>
      </c>
      <c r="P2703" t="s">
        <v>506</v>
      </c>
      <c r="Q2703" t="s">
        <v>300</v>
      </c>
      <c r="R2703" t="s">
        <v>300</v>
      </c>
      <c r="S2703" s="1">
        <v>46098</v>
      </c>
      <c r="T2703" s="1">
        <v>46098</v>
      </c>
      <c r="U2703" s="1"/>
      <c r="V2703" s="1">
        <v>46463</v>
      </c>
      <c r="W2703" t="s">
        <v>38</v>
      </c>
      <c r="X2703">
        <v>12</v>
      </c>
      <c r="Y2703" t="s">
        <v>49</v>
      </c>
      <c r="AA2703" t="s">
        <v>112</v>
      </c>
      <c r="AB2703">
        <v>1</v>
      </c>
      <c r="AC2703" t="s">
        <v>301</v>
      </c>
      <c r="AD2703" t="s">
        <v>140</v>
      </c>
      <c r="AE2703" t="s">
        <v>46</v>
      </c>
      <c r="AF2703" t="s">
        <v>119</v>
      </c>
      <c r="AG2703" t="str">
        <f t="shared" si="45"/>
        <v>À Vista</v>
      </c>
      <c r="AH2703" t="str">
        <f>IF(AND(SUMIF(E:E,E2703,I:I)&gt;=400000,Q2703="B2G"),"n","")</f>
        <v/>
      </c>
    </row>
    <row r="2704" spans="1:34">
      <c r="A2704">
        <v>2026</v>
      </c>
      <c r="B2704">
        <v>3</v>
      </c>
      <c r="C2704" s="83">
        <v>2139782</v>
      </c>
      <c r="D2704" t="s">
        <v>2461</v>
      </c>
      <c r="E2704">
        <v>58249288198</v>
      </c>
      <c r="F2704">
        <v>508385</v>
      </c>
      <c r="G2704">
        <v>53452833143</v>
      </c>
      <c r="H2704" t="s">
        <v>35</v>
      </c>
      <c r="I2704" s="36">
        <v>6313.92</v>
      </c>
      <c r="J2704" s="36">
        <v>6313.92</v>
      </c>
      <c r="K2704" s="85">
        <v>0</v>
      </c>
      <c r="L2704" s="36">
        <v>526.16</v>
      </c>
      <c r="M2704" s="36">
        <v>0</v>
      </c>
      <c r="N2704" s="36">
        <v>60.66</v>
      </c>
      <c r="O2704" s="36">
        <v>465.5</v>
      </c>
      <c r="P2704" t="s">
        <v>162</v>
      </c>
      <c r="Q2704" t="s">
        <v>111</v>
      </c>
      <c r="R2704" t="s">
        <v>111</v>
      </c>
      <c r="S2704" s="1">
        <v>46104</v>
      </c>
      <c r="T2704" s="1">
        <v>46104</v>
      </c>
      <c r="U2704" s="1">
        <v>46104</v>
      </c>
      <c r="V2704" s="1">
        <v>46469</v>
      </c>
      <c r="W2704" t="s">
        <v>38</v>
      </c>
      <c r="X2704">
        <v>12</v>
      </c>
      <c r="Y2704" t="s">
        <v>49</v>
      </c>
      <c r="Z2704" t="s">
        <v>81</v>
      </c>
      <c r="AA2704" t="s">
        <v>112</v>
      </c>
      <c r="AB2704">
        <v>12</v>
      </c>
      <c r="AC2704" t="s">
        <v>113</v>
      </c>
      <c r="AD2704" t="s">
        <v>134</v>
      </c>
      <c r="AE2704" t="s">
        <v>135</v>
      </c>
      <c r="AF2704" t="s">
        <v>44</v>
      </c>
      <c r="AG2704" t="str">
        <f t="shared" si="45"/>
        <v>CC 12x</v>
      </c>
      <c r="AH2704" t="str">
        <f>IF(AND(SUMIF(E:E,E2704,I:I)&gt;=400000,Q2704="B2G"),"n","")</f>
        <v/>
      </c>
    </row>
    <row r="2705" spans="1:34">
      <c r="A2705">
        <v>2026</v>
      </c>
      <c r="B2705">
        <v>3</v>
      </c>
      <c r="C2705" s="83">
        <v>2139836</v>
      </c>
      <c r="D2705" t="s">
        <v>2462</v>
      </c>
      <c r="E2705">
        <v>57858295583</v>
      </c>
      <c r="F2705">
        <v>636431</v>
      </c>
      <c r="G2705">
        <v>53073054127</v>
      </c>
      <c r="H2705" t="s">
        <v>35</v>
      </c>
      <c r="I2705" s="36">
        <v>1437</v>
      </c>
      <c r="J2705" s="36">
        <v>1437</v>
      </c>
      <c r="K2705" s="85">
        <v>0</v>
      </c>
      <c r="L2705" s="36">
        <v>119.75</v>
      </c>
      <c r="M2705" s="36">
        <v>119.75</v>
      </c>
      <c r="N2705" s="36">
        <v>0</v>
      </c>
      <c r="O2705" s="36">
        <v>0</v>
      </c>
      <c r="P2705" t="s">
        <v>506</v>
      </c>
      <c r="Q2705" t="s">
        <v>300</v>
      </c>
      <c r="R2705" t="s">
        <v>300</v>
      </c>
      <c r="S2705" s="1">
        <v>46091</v>
      </c>
      <c r="T2705" s="1">
        <v>46091</v>
      </c>
      <c r="U2705" s="1"/>
      <c r="V2705" s="1">
        <v>46456</v>
      </c>
      <c r="W2705" t="s">
        <v>38</v>
      </c>
      <c r="X2705">
        <v>12</v>
      </c>
      <c r="Y2705" t="s">
        <v>49</v>
      </c>
      <c r="AA2705" t="s">
        <v>117</v>
      </c>
      <c r="AB2705">
        <v>1</v>
      </c>
      <c r="AC2705" t="s">
        <v>301</v>
      </c>
      <c r="AD2705" t="s">
        <v>140</v>
      </c>
      <c r="AE2705" t="s">
        <v>46</v>
      </c>
      <c r="AF2705" t="s">
        <v>119</v>
      </c>
      <c r="AG2705" t="str">
        <f t="shared" si="45"/>
        <v>À Vista</v>
      </c>
      <c r="AH2705" t="str">
        <f>IF(AND(SUMIF(E:E,E2705,I:I)&gt;=400000,Q2705="B2G"),"n","")</f>
        <v/>
      </c>
    </row>
    <row r="2706" spans="1:34">
      <c r="A2706">
        <v>2026</v>
      </c>
      <c r="B2706">
        <v>3</v>
      </c>
      <c r="C2706" s="83">
        <v>213991492707</v>
      </c>
      <c r="D2706" t="s">
        <v>2463</v>
      </c>
      <c r="E2706">
        <v>58511018099</v>
      </c>
      <c r="F2706">
        <v>636758</v>
      </c>
      <c r="G2706">
        <v>53664335363</v>
      </c>
      <c r="H2706" t="s">
        <v>35</v>
      </c>
      <c r="I2706" s="36">
        <v>3666.6</v>
      </c>
      <c r="J2706" s="36">
        <v>3666.6</v>
      </c>
      <c r="K2706" s="85">
        <v>0</v>
      </c>
      <c r="L2706" s="36">
        <v>305.55</v>
      </c>
      <c r="M2706" s="36">
        <v>305.55</v>
      </c>
      <c r="N2706" s="36">
        <v>0</v>
      </c>
      <c r="O2706" s="36">
        <v>0</v>
      </c>
      <c r="P2706" t="s">
        <v>506</v>
      </c>
      <c r="Q2706" t="s">
        <v>300</v>
      </c>
      <c r="R2706" t="s">
        <v>300</v>
      </c>
      <c r="S2706" s="1">
        <v>46111</v>
      </c>
      <c r="T2706" s="1">
        <v>46111</v>
      </c>
      <c r="U2706" s="1"/>
      <c r="V2706" s="1">
        <v>46476</v>
      </c>
      <c r="W2706" t="s">
        <v>38</v>
      </c>
      <c r="X2706">
        <v>12</v>
      </c>
      <c r="Y2706" t="s">
        <v>49</v>
      </c>
      <c r="AA2706" t="s">
        <v>112</v>
      </c>
      <c r="AB2706">
        <v>12</v>
      </c>
      <c r="AC2706" t="s">
        <v>301</v>
      </c>
      <c r="AD2706" t="s">
        <v>160</v>
      </c>
      <c r="AE2706" t="s">
        <v>43</v>
      </c>
      <c r="AF2706" t="s">
        <v>44</v>
      </c>
      <c r="AG2706" t="str">
        <f t="shared" si="45"/>
        <v>CC 12x</v>
      </c>
      <c r="AH2706" t="str">
        <f>IF(AND(SUMIF(E:E,E2706,I:I)&gt;=400000,Q2706="B2G"),"n","")</f>
        <v/>
      </c>
    </row>
    <row r="2707" spans="1:34">
      <c r="A2707">
        <v>2026</v>
      </c>
      <c r="B2707">
        <v>3</v>
      </c>
      <c r="C2707" s="83">
        <v>21401839161</v>
      </c>
      <c r="D2707" t="s">
        <v>2464</v>
      </c>
      <c r="E2707">
        <v>57570828722</v>
      </c>
      <c r="F2707">
        <v>635055</v>
      </c>
      <c r="G2707">
        <v>52868699258</v>
      </c>
      <c r="H2707" t="s">
        <v>35</v>
      </c>
      <c r="I2707" s="36">
        <v>16748.64</v>
      </c>
      <c r="J2707" s="36">
        <v>9664.92</v>
      </c>
      <c r="K2707" s="85">
        <v>7083.72</v>
      </c>
      <c r="L2707" s="36">
        <v>805.41</v>
      </c>
      <c r="M2707" s="36">
        <v>0</v>
      </c>
      <c r="N2707" s="36">
        <v>805.41</v>
      </c>
      <c r="O2707" s="36">
        <v>0</v>
      </c>
      <c r="P2707" t="s">
        <v>190</v>
      </c>
      <c r="Q2707" t="s">
        <v>191</v>
      </c>
      <c r="R2707" t="s">
        <v>191</v>
      </c>
      <c r="S2707" s="1">
        <v>46086</v>
      </c>
      <c r="T2707" s="1">
        <v>46086</v>
      </c>
      <c r="U2707" s="1">
        <v>46719</v>
      </c>
      <c r="V2707" s="1">
        <v>46719</v>
      </c>
      <c r="W2707" t="s">
        <v>56</v>
      </c>
      <c r="X2707">
        <v>20</v>
      </c>
      <c r="Y2707" t="s">
        <v>49</v>
      </c>
      <c r="Z2707" t="s">
        <v>324</v>
      </c>
      <c r="AA2707" t="s">
        <v>122</v>
      </c>
      <c r="AB2707">
        <v>20</v>
      </c>
      <c r="AC2707" t="s">
        <v>192</v>
      </c>
      <c r="AD2707" t="s">
        <v>550</v>
      </c>
      <c r="AE2707" t="s">
        <v>363</v>
      </c>
      <c r="AF2707" t="s">
        <v>59</v>
      </c>
      <c r="AG2707" t="str">
        <f t="shared" si="45"/>
        <v>Recorrente</v>
      </c>
      <c r="AH2707" t="str">
        <f>IF(AND(SUMIF(E:E,E2707,I:I)&gt;=400000,Q2707="B2G"),"n","")</f>
        <v/>
      </c>
    </row>
    <row r="2708" spans="1:34">
      <c r="A2708">
        <v>2026</v>
      </c>
      <c r="B2708">
        <v>3</v>
      </c>
      <c r="C2708" s="83">
        <v>2140364</v>
      </c>
      <c r="D2708" t="s">
        <v>2465</v>
      </c>
      <c r="E2708">
        <v>58063935377</v>
      </c>
      <c r="F2708">
        <v>508308</v>
      </c>
      <c r="G2708">
        <v>53330561799</v>
      </c>
      <c r="H2708" t="s">
        <v>35</v>
      </c>
      <c r="I2708" s="36">
        <v>4686.96</v>
      </c>
      <c r="J2708" s="36">
        <v>4686.96</v>
      </c>
      <c r="K2708" s="85">
        <v>0</v>
      </c>
      <c r="L2708" s="36">
        <v>390.58</v>
      </c>
      <c r="M2708" s="36">
        <v>0</v>
      </c>
      <c r="N2708" s="36">
        <v>0</v>
      </c>
      <c r="O2708" s="36">
        <v>390.58</v>
      </c>
      <c r="P2708" t="s">
        <v>127</v>
      </c>
      <c r="Q2708" t="s">
        <v>111</v>
      </c>
      <c r="R2708" t="s">
        <v>111</v>
      </c>
      <c r="S2708" s="1">
        <v>46099</v>
      </c>
      <c r="T2708" s="1">
        <v>46099</v>
      </c>
      <c r="U2708" s="1">
        <v>46099</v>
      </c>
      <c r="V2708" s="1">
        <v>46464</v>
      </c>
      <c r="W2708" t="s">
        <v>38</v>
      </c>
      <c r="X2708">
        <v>12</v>
      </c>
      <c r="Y2708" t="s">
        <v>49</v>
      </c>
      <c r="Z2708" t="s">
        <v>81</v>
      </c>
      <c r="AA2708" t="s">
        <v>112</v>
      </c>
      <c r="AB2708">
        <v>12</v>
      </c>
      <c r="AC2708" t="s">
        <v>113</v>
      </c>
      <c r="AD2708" t="s">
        <v>138</v>
      </c>
      <c r="AE2708" t="s">
        <v>135</v>
      </c>
      <c r="AF2708" t="s">
        <v>119</v>
      </c>
      <c r="AG2708" t="str">
        <f t="shared" si="45"/>
        <v>CC 12x</v>
      </c>
      <c r="AH2708" t="str">
        <f>IF(AND(SUMIF(E:E,E2708,I:I)&gt;=400000,Q2708="B2G"),"n","")</f>
        <v/>
      </c>
    </row>
    <row r="2709" spans="1:34">
      <c r="A2709">
        <v>2026</v>
      </c>
      <c r="B2709">
        <v>3</v>
      </c>
      <c r="C2709" s="83">
        <v>214385183903</v>
      </c>
      <c r="D2709" t="s">
        <v>2466</v>
      </c>
      <c r="E2709">
        <v>56021120038</v>
      </c>
      <c r="F2709">
        <v>628004</v>
      </c>
      <c r="G2709">
        <v>52883087113</v>
      </c>
      <c r="H2709" t="s">
        <v>35</v>
      </c>
      <c r="I2709" s="36">
        <v>2457.2399999999998</v>
      </c>
      <c r="J2709" s="36">
        <v>2457.2399999999998</v>
      </c>
      <c r="K2709" s="85">
        <v>0</v>
      </c>
      <c r="L2709" s="36">
        <v>204.77</v>
      </c>
      <c r="M2709" s="36">
        <v>0</v>
      </c>
      <c r="N2709" s="36">
        <v>1.6225000000000001</v>
      </c>
      <c r="O2709" s="36">
        <v>203.15</v>
      </c>
      <c r="P2709" t="s">
        <v>137</v>
      </c>
      <c r="Q2709" t="s">
        <v>111</v>
      </c>
      <c r="R2709" t="s">
        <v>111</v>
      </c>
      <c r="S2709" s="1">
        <v>46086</v>
      </c>
      <c r="T2709" s="1">
        <v>46086</v>
      </c>
      <c r="U2709" s="1">
        <v>46109</v>
      </c>
      <c r="V2709" s="1">
        <v>46474</v>
      </c>
      <c r="W2709" t="s">
        <v>38</v>
      </c>
      <c r="X2709">
        <v>12</v>
      </c>
      <c r="Y2709" t="s">
        <v>49</v>
      </c>
      <c r="Z2709" t="s">
        <v>81</v>
      </c>
      <c r="AA2709" t="s">
        <v>122</v>
      </c>
      <c r="AB2709">
        <v>12</v>
      </c>
      <c r="AC2709" t="s">
        <v>113</v>
      </c>
      <c r="AD2709" t="s">
        <v>140</v>
      </c>
      <c r="AE2709" t="s">
        <v>46</v>
      </c>
      <c r="AF2709" t="s">
        <v>119</v>
      </c>
      <c r="AG2709" t="str">
        <f t="shared" si="45"/>
        <v>Recorrente</v>
      </c>
      <c r="AH2709" t="str">
        <f>IF(AND(SUMIF(E:E,E2709,I:I)&gt;=400000,Q2709="B2G"),"n","")</f>
        <v/>
      </c>
    </row>
    <row r="2710" spans="1:34">
      <c r="A2710">
        <v>2026</v>
      </c>
      <c r="B2710">
        <v>3</v>
      </c>
      <c r="C2710" s="83">
        <v>214437728333</v>
      </c>
      <c r="D2710" t="s">
        <v>2467</v>
      </c>
      <c r="E2710">
        <v>58327706528</v>
      </c>
      <c r="F2710">
        <v>636684</v>
      </c>
      <c r="G2710">
        <v>53492963185</v>
      </c>
      <c r="H2710" t="s">
        <v>35</v>
      </c>
      <c r="I2710" s="36">
        <v>2753.28</v>
      </c>
      <c r="J2710" s="36">
        <v>2753.2919999999999</v>
      </c>
      <c r="K2710" s="85">
        <v>0</v>
      </c>
      <c r="L2710" s="36">
        <v>229.441</v>
      </c>
      <c r="M2710" s="36">
        <v>229.441</v>
      </c>
      <c r="N2710" s="36">
        <v>0</v>
      </c>
      <c r="O2710" s="36">
        <v>0</v>
      </c>
      <c r="P2710" t="s">
        <v>506</v>
      </c>
      <c r="Q2710" t="s">
        <v>300</v>
      </c>
      <c r="R2710" t="s">
        <v>300</v>
      </c>
      <c r="S2710" s="1">
        <v>46105</v>
      </c>
      <c r="T2710" s="1">
        <v>46105</v>
      </c>
      <c r="U2710" s="1"/>
      <c r="V2710" s="1">
        <v>46470</v>
      </c>
      <c r="W2710" t="s">
        <v>38</v>
      </c>
      <c r="X2710">
        <v>12</v>
      </c>
      <c r="Y2710" t="s">
        <v>49</v>
      </c>
      <c r="AA2710" t="s">
        <v>112</v>
      </c>
      <c r="AB2710">
        <v>12</v>
      </c>
      <c r="AC2710" t="s">
        <v>301</v>
      </c>
      <c r="AD2710" t="s">
        <v>140</v>
      </c>
      <c r="AE2710" t="s">
        <v>46</v>
      </c>
      <c r="AF2710" t="s">
        <v>119</v>
      </c>
      <c r="AG2710" t="str">
        <f t="shared" si="45"/>
        <v>CC 12x</v>
      </c>
      <c r="AH2710" t="str">
        <f>IF(AND(SUMIF(E:E,E2710,I:I)&gt;=400000,Q2710="B2G"),"n","")</f>
        <v/>
      </c>
    </row>
    <row r="2711" spans="1:34">
      <c r="A2711">
        <v>2026</v>
      </c>
      <c r="B2711">
        <v>3</v>
      </c>
      <c r="C2711" s="83">
        <v>214619087726</v>
      </c>
      <c r="D2711" t="s">
        <v>2468</v>
      </c>
      <c r="E2711">
        <v>58228488497</v>
      </c>
      <c r="F2711">
        <v>636723</v>
      </c>
      <c r="G2711">
        <v>53640369575</v>
      </c>
      <c r="H2711" t="s">
        <v>35</v>
      </c>
      <c r="I2711" s="36">
        <v>10840.8</v>
      </c>
      <c r="J2711" s="36">
        <v>2314.8237810000001</v>
      </c>
      <c r="K2711" s="85">
        <v>8525.9762190000001</v>
      </c>
      <c r="L2711" s="36">
        <v>192.90198169999999</v>
      </c>
      <c r="M2711" s="36">
        <v>0</v>
      </c>
      <c r="N2711" s="36">
        <v>192.90198169999999</v>
      </c>
      <c r="O2711" s="36">
        <v>0</v>
      </c>
      <c r="P2711" t="s">
        <v>367</v>
      </c>
      <c r="Q2711" t="s">
        <v>191</v>
      </c>
      <c r="R2711" t="s">
        <v>191</v>
      </c>
      <c r="S2711" s="1">
        <v>46107</v>
      </c>
      <c r="T2711" s="1">
        <v>46107</v>
      </c>
      <c r="U2711" s="1"/>
      <c r="V2711" s="1">
        <v>46838</v>
      </c>
      <c r="W2711" t="s">
        <v>56</v>
      </c>
      <c r="Y2711" t="s">
        <v>49</v>
      </c>
      <c r="AA2711" t="s">
        <v>122</v>
      </c>
      <c r="AB2711">
        <v>24</v>
      </c>
      <c r="AC2711" t="s">
        <v>192</v>
      </c>
      <c r="AD2711" t="s">
        <v>149</v>
      </c>
      <c r="AE2711" t="s">
        <v>43</v>
      </c>
      <c r="AF2711" t="s">
        <v>96</v>
      </c>
      <c r="AG2711" t="str">
        <f t="shared" si="45"/>
        <v>Recorrente</v>
      </c>
      <c r="AH2711" t="str">
        <f>IF(AND(SUMIF(E:E,E2711,I:I)&gt;=400000,Q2711="B2G"),"n","")</f>
        <v/>
      </c>
    </row>
    <row r="2712" spans="1:34">
      <c r="A2712">
        <v>2026</v>
      </c>
      <c r="B2712">
        <v>3</v>
      </c>
      <c r="C2712" s="83">
        <v>214619087726</v>
      </c>
      <c r="D2712" t="s">
        <v>2468</v>
      </c>
      <c r="E2712">
        <v>58228488497</v>
      </c>
      <c r="F2712">
        <v>636723</v>
      </c>
      <c r="G2712">
        <v>53640369576</v>
      </c>
      <c r="H2712" t="s">
        <v>35</v>
      </c>
      <c r="I2712" s="36">
        <v>5750.88</v>
      </c>
      <c r="J2712" s="36">
        <v>1228.002999</v>
      </c>
      <c r="K2712" s="85">
        <v>4522.8770009999998</v>
      </c>
      <c r="L2712" s="36">
        <v>102.3335833</v>
      </c>
      <c r="M2712" s="36">
        <v>0</v>
      </c>
      <c r="N2712" s="36">
        <v>102.3335833</v>
      </c>
      <c r="O2712" s="36">
        <v>0</v>
      </c>
      <c r="P2712" t="s">
        <v>367</v>
      </c>
      <c r="Q2712" t="s">
        <v>191</v>
      </c>
      <c r="R2712" t="s">
        <v>191</v>
      </c>
      <c r="S2712" s="1">
        <v>46107</v>
      </c>
      <c r="T2712" s="1">
        <v>46107</v>
      </c>
      <c r="V2712" s="1">
        <v>46838</v>
      </c>
      <c r="W2712" t="s">
        <v>56</v>
      </c>
      <c r="Y2712" t="s">
        <v>49</v>
      </c>
      <c r="AA2712" t="s">
        <v>122</v>
      </c>
      <c r="AB2712">
        <v>24</v>
      </c>
      <c r="AC2712" t="s">
        <v>192</v>
      </c>
      <c r="AD2712" t="s">
        <v>142</v>
      </c>
      <c r="AE2712" t="s">
        <v>95</v>
      </c>
      <c r="AF2712" t="s">
        <v>44</v>
      </c>
      <c r="AG2712" t="str">
        <f t="shared" si="45"/>
        <v>Recorrente</v>
      </c>
      <c r="AH2712" t="str">
        <f>IF(AND(SUMIF(E:E,E2712,I:I)&gt;=400000,Q2712="B2G"),"n","")</f>
        <v/>
      </c>
    </row>
    <row r="2713" spans="1:34">
      <c r="A2713">
        <v>2026</v>
      </c>
      <c r="B2713">
        <v>3</v>
      </c>
      <c r="C2713" s="83">
        <v>214627647307</v>
      </c>
      <c r="D2713" t="s">
        <v>263</v>
      </c>
      <c r="E2713">
        <v>57887375913</v>
      </c>
      <c r="F2713">
        <v>636504</v>
      </c>
      <c r="G2713">
        <v>53206645408</v>
      </c>
      <c r="H2713" t="s">
        <v>35</v>
      </c>
      <c r="I2713" s="36">
        <v>5754</v>
      </c>
      <c r="J2713" s="36">
        <v>5754</v>
      </c>
      <c r="K2713" s="85">
        <v>0</v>
      </c>
      <c r="L2713" s="36">
        <v>479.5</v>
      </c>
      <c r="M2713" s="36">
        <v>0</v>
      </c>
      <c r="N2713" s="36">
        <v>479.5</v>
      </c>
      <c r="O2713" s="36">
        <v>0</v>
      </c>
      <c r="P2713" t="s">
        <v>367</v>
      </c>
      <c r="Q2713" t="s">
        <v>191</v>
      </c>
      <c r="R2713" t="s">
        <v>191</v>
      </c>
      <c r="S2713" s="1">
        <v>46094</v>
      </c>
      <c r="T2713" s="1">
        <v>46094</v>
      </c>
      <c r="U2713" s="1"/>
      <c r="V2713" s="1">
        <v>46459</v>
      </c>
      <c r="W2713" t="s">
        <v>38</v>
      </c>
      <c r="X2713">
        <v>12</v>
      </c>
      <c r="Y2713" t="s">
        <v>49</v>
      </c>
      <c r="AA2713" t="s">
        <v>112</v>
      </c>
      <c r="AB2713">
        <v>12</v>
      </c>
      <c r="AC2713" t="s">
        <v>192</v>
      </c>
      <c r="AD2713" t="s">
        <v>85</v>
      </c>
      <c r="AE2713" t="s">
        <v>46</v>
      </c>
      <c r="AF2713" t="s">
        <v>44</v>
      </c>
      <c r="AG2713" t="str">
        <f t="shared" si="45"/>
        <v>CC 12x</v>
      </c>
      <c r="AH2713" t="str">
        <f>IF(AND(SUMIF(E:E,E2713,I:I)&gt;=400000,Q2713="B2G"),"n","")</f>
        <v/>
      </c>
    </row>
    <row r="2714" spans="1:34">
      <c r="A2714">
        <v>2026</v>
      </c>
      <c r="B2714">
        <v>3</v>
      </c>
      <c r="C2714" s="83">
        <v>214644689306</v>
      </c>
      <c r="D2714" t="s">
        <v>1080</v>
      </c>
      <c r="E2714">
        <v>58056871014</v>
      </c>
      <c r="F2714">
        <v>533016</v>
      </c>
      <c r="G2714">
        <v>53343041832</v>
      </c>
      <c r="H2714" t="s">
        <v>35</v>
      </c>
      <c r="I2714" s="36">
        <v>8154.84</v>
      </c>
      <c r="J2714" s="36">
        <v>8154.84</v>
      </c>
      <c r="K2714" s="85">
        <v>0</v>
      </c>
      <c r="L2714" s="36">
        <v>679.57</v>
      </c>
      <c r="M2714" s="36">
        <v>0</v>
      </c>
      <c r="N2714" s="36">
        <v>294.52499999999998</v>
      </c>
      <c r="O2714" s="36">
        <v>385.05</v>
      </c>
      <c r="P2714" t="s">
        <v>323</v>
      </c>
      <c r="Q2714" t="s">
        <v>191</v>
      </c>
      <c r="R2714" t="s">
        <v>191</v>
      </c>
      <c r="S2714" s="1">
        <v>46100</v>
      </c>
      <c r="T2714" s="1">
        <v>46100</v>
      </c>
      <c r="U2714" s="1">
        <v>46129</v>
      </c>
      <c r="V2714" s="1">
        <v>46494</v>
      </c>
      <c r="W2714" t="s">
        <v>38</v>
      </c>
      <c r="X2714">
        <v>12</v>
      </c>
      <c r="Y2714" t="s">
        <v>49</v>
      </c>
      <c r="Z2714" t="s">
        <v>76</v>
      </c>
      <c r="AA2714" t="s">
        <v>122</v>
      </c>
      <c r="AB2714">
        <v>12</v>
      </c>
      <c r="AC2714" t="s">
        <v>192</v>
      </c>
      <c r="AD2714" t="s">
        <v>131</v>
      </c>
      <c r="AE2714" t="s">
        <v>46</v>
      </c>
      <c r="AF2714" t="s">
        <v>96</v>
      </c>
      <c r="AG2714" t="str">
        <f t="shared" si="45"/>
        <v>Recorrente</v>
      </c>
      <c r="AH2714" t="str">
        <f>IF(AND(SUMIF(E:E,E2714,I:I)&gt;=400000,Q2714="B2G"),"n","")</f>
        <v/>
      </c>
    </row>
    <row r="2715" spans="1:34">
      <c r="A2715">
        <v>2026</v>
      </c>
      <c r="B2715">
        <v>3</v>
      </c>
      <c r="C2715" s="83">
        <v>214656647290</v>
      </c>
      <c r="D2715" t="s">
        <v>2469</v>
      </c>
      <c r="E2715">
        <v>58249205827</v>
      </c>
      <c r="F2715">
        <v>636804</v>
      </c>
      <c r="G2715">
        <v>53808823481</v>
      </c>
      <c r="H2715" t="s">
        <v>35</v>
      </c>
      <c r="I2715" s="36">
        <v>4884</v>
      </c>
      <c r="J2715" s="36">
        <v>4884</v>
      </c>
      <c r="K2715" s="85">
        <v>0</v>
      </c>
      <c r="L2715" s="36">
        <v>407</v>
      </c>
      <c r="M2715" s="36">
        <v>407</v>
      </c>
      <c r="N2715" s="36">
        <v>0</v>
      </c>
      <c r="O2715" s="36">
        <v>0</v>
      </c>
      <c r="P2715" t="s">
        <v>313</v>
      </c>
      <c r="Q2715" t="s">
        <v>314</v>
      </c>
      <c r="R2715" t="s">
        <v>314</v>
      </c>
      <c r="S2715" s="1">
        <v>46112</v>
      </c>
      <c r="T2715" s="1">
        <v>46112</v>
      </c>
      <c r="U2715" s="1"/>
      <c r="V2715" s="1">
        <v>46477</v>
      </c>
      <c r="W2715" t="s">
        <v>38</v>
      </c>
      <c r="X2715">
        <v>12</v>
      </c>
      <c r="Y2715" t="s">
        <v>49</v>
      </c>
      <c r="AA2715" t="s">
        <v>122</v>
      </c>
      <c r="AB2715">
        <v>12</v>
      </c>
      <c r="AC2715" t="s">
        <v>315</v>
      </c>
      <c r="AD2715" t="s">
        <v>85</v>
      </c>
      <c r="AE2715" t="s">
        <v>46</v>
      </c>
      <c r="AF2715" t="s">
        <v>44</v>
      </c>
      <c r="AG2715" t="str">
        <f t="shared" si="45"/>
        <v>Recorrente</v>
      </c>
      <c r="AH2715" t="str">
        <f>IF(AND(SUMIF(E:E,E2715,I:I)&gt;=400000,Q2715="B2G"),"n","")</f>
        <v/>
      </c>
    </row>
    <row r="2716" spans="1:34">
      <c r="A2716">
        <v>2026</v>
      </c>
      <c r="B2716">
        <v>3</v>
      </c>
      <c r="C2716" s="83">
        <v>214923320373</v>
      </c>
      <c r="D2716" t="s">
        <v>2470</v>
      </c>
      <c r="E2716">
        <v>58648232266</v>
      </c>
      <c r="F2716">
        <v>636833</v>
      </c>
      <c r="G2716">
        <v>53808722996</v>
      </c>
      <c r="H2716" t="s">
        <v>35</v>
      </c>
      <c r="I2716" s="36">
        <v>4349.28</v>
      </c>
      <c r="J2716" s="36">
        <v>4349.28</v>
      </c>
      <c r="K2716" s="85">
        <v>0</v>
      </c>
      <c r="L2716" s="36">
        <v>362.44</v>
      </c>
      <c r="M2716" s="36">
        <v>362.44</v>
      </c>
      <c r="N2716" s="36">
        <v>0</v>
      </c>
      <c r="O2716" s="36">
        <v>0</v>
      </c>
      <c r="P2716" t="s">
        <v>1073</v>
      </c>
      <c r="Q2716" t="s">
        <v>314</v>
      </c>
      <c r="R2716" t="s">
        <v>314</v>
      </c>
      <c r="S2716" s="1">
        <v>46112</v>
      </c>
      <c r="T2716" s="1">
        <v>46112</v>
      </c>
      <c r="U2716" s="1"/>
      <c r="V2716" s="1">
        <v>46477</v>
      </c>
      <c r="W2716" t="s">
        <v>38</v>
      </c>
      <c r="X2716">
        <v>12</v>
      </c>
      <c r="Y2716" t="s">
        <v>49</v>
      </c>
      <c r="AA2716" t="s">
        <v>112</v>
      </c>
      <c r="AB2716">
        <v>12</v>
      </c>
      <c r="AC2716" t="s">
        <v>315</v>
      </c>
      <c r="AD2716" t="s">
        <v>84</v>
      </c>
      <c r="AE2716" t="s">
        <v>43</v>
      </c>
      <c r="AF2716" t="s">
        <v>44</v>
      </c>
      <c r="AG2716" t="str">
        <f t="shared" si="45"/>
        <v>CC 12x</v>
      </c>
      <c r="AH2716" t="str">
        <f>IF(AND(SUMIF(E:E,E2716,I:I)&gt;=400000,Q2716="B2G"),"n","")</f>
        <v/>
      </c>
    </row>
    <row r="2717" spans="1:34">
      <c r="A2717">
        <v>2026</v>
      </c>
      <c r="B2717">
        <v>3</v>
      </c>
      <c r="C2717" s="83">
        <v>215407475377</v>
      </c>
      <c r="D2717" t="s">
        <v>2471</v>
      </c>
      <c r="E2717">
        <v>58511254132</v>
      </c>
      <c r="F2717">
        <v>636750</v>
      </c>
      <c r="G2717">
        <v>53713362962</v>
      </c>
      <c r="H2717" t="s">
        <v>35</v>
      </c>
      <c r="I2717" s="36">
        <v>2874</v>
      </c>
      <c r="J2717" s="36">
        <v>2874</v>
      </c>
      <c r="K2717" s="85">
        <v>0</v>
      </c>
      <c r="L2717" s="36">
        <v>239.5</v>
      </c>
      <c r="M2717" s="36">
        <v>239.5</v>
      </c>
      <c r="N2717" s="36">
        <v>0</v>
      </c>
      <c r="O2717" s="36">
        <v>0</v>
      </c>
      <c r="P2717" t="s">
        <v>497</v>
      </c>
      <c r="Q2717" t="s">
        <v>498</v>
      </c>
      <c r="R2717" t="s">
        <v>498</v>
      </c>
      <c r="S2717" s="1">
        <v>46109</v>
      </c>
      <c r="T2717" s="1">
        <v>46109</v>
      </c>
      <c r="U2717" s="1"/>
      <c r="V2717" s="1">
        <v>46474</v>
      </c>
      <c r="W2717" t="s">
        <v>38</v>
      </c>
      <c r="X2717">
        <v>12</v>
      </c>
      <c r="Y2717" t="s">
        <v>49</v>
      </c>
      <c r="AA2717" t="s">
        <v>117</v>
      </c>
      <c r="AB2717">
        <v>1</v>
      </c>
      <c r="AC2717" t="s">
        <v>499</v>
      </c>
      <c r="AD2717" t="s">
        <v>118</v>
      </c>
      <c r="AE2717" t="s">
        <v>43</v>
      </c>
      <c r="AF2717" t="s">
        <v>119</v>
      </c>
      <c r="AG2717" t="str">
        <f t="shared" si="45"/>
        <v>À Vista</v>
      </c>
      <c r="AH2717" t="str">
        <f>IF(AND(SUMIF(E:E,E2717,I:I)&gt;=400000,Q2717="B2G"),"n","")</f>
        <v/>
      </c>
    </row>
    <row r="2718" spans="1:34">
      <c r="A2718">
        <v>2026</v>
      </c>
      <c r="B2718">
        <v>3</v>
      </c>
      <c r="C2718" s="83">
        <v>21544439355</v>
      </c>
      <c r="D2718" t="s">
        <v>2472</v>
      </c>
      <c r="E2718">
        <v>57368204574</v>
      </c>
      <c r="F2718">
        <v>628093</v>
      </c>
      <c r="G2718">
        <v>53812356692</v>
      </c>
      <c r="H2718" t="s">
        <v>35</v>
      </c>
      <c r="I2718" s="36">
        <v>20319.03</v>
      </c>
      <c r="J2718" s="36">
        <v>20319.03</v>
      </c>
      <c r="K2718" s="85">
        <v>0</v>
      </c>
      <c r="L2718" s="36">
        <v>1693.2525000000001</v>
      </c>
      <c r="M2718" s="36">
        <v>0</v>
      </c>
      <c r="N2718" s="36">
        <v>483.854375</v>
      </c>
      <c r="O2718" s="36">
        <v>1209.4000000000001</v>
      </c>
      <c r="P2718" t="s">
        <v>110</v>
      </c>
      <c r="Q2718" t="s">
        <v>111</v>
      </c>
      <c r="R2718" t="s">
        <v>111</v>
      </c>
      <c r="S2718" s="1">
        <v>46112</v>
      </c>
      <c r="T2718" s="1">
        <v>46112</v>
      </c>
      <c r="U2718" s="1">
        <v>46112</v>
      </c>
      <c r="V2718" s="1">
        <v>46477</v>
      </c>
      <c r="W2718" t="s">
        <v>38</v>
      </c>
      <c r="X2718">
        <v>12</v>
      </c>
      <c r="Y2718" t="s">
        <v>49</v>
      </c>
      <c r="Z2718" t="s">
        <v>81</v>
      </c>
      <c r="AA2718" t="s">
        <v>92</v>
      </c>
      <c r="AB2718">
        <v>12</v>
      </c>
      <c r="AC2718" t="s">
        <v>113</v>
      </c>
      <c r="AD2718" t="s">
        <v>1715</v>
      </c>
      <c r="AE2718" t="s">
        <v>289</v>
      </c>
      <c r="AF2718" t="s">
        <v>59</v>
      </c>
      <c r="AG2718" t="str">
        <f t="shared" si="45"/>
        <v>Recorrente</v>
      </c>
      <c r="AH2718" t="str">
        <f>IF(AND(SUMIF(E:E,E2718,I:I)&gt;=400000,Q2718="B2G"),"n","")</f>
        <v/>
      </c>
    </row>
    <row r="2719" spans="1:34">
      <c r="A2719">
        <v>2026</v>
      </c>
      <c r="B2719">
        <v>3</v>
      </c>
      <c r="C2719" s="83">
        <v>21544439355</v>
      </c>
      <c r="D2719" t="s">
        <v>2472</v>
      </c>
      <c r="E2719">
        <v>57368204574</v>
      </c>
      <c r="F2719">
        <v>628093</v>
      </c>
      <c r="G2719">
        <v>53812356693</v>
      </c>
      <c r="H2719" t="s">
        <v>35</v>
      </c>
      <c r="I2719" s="36">
        <v>20319.03</v>
      </c>
      <c r="J2719" s="36">
        <v>20319.03</v>
      </c>
      <c r="K2719" s="85">
        <v>0</v>
      </c>
      <c r="L2719" s="36">
        <v>1693.2525000000001</v>
      </c>
      <c r="M2719" s="36">
        <v>0</v>
      </c>
      <c r="N2719" s="36">
        <v>483.854375</v>
      </c>
      <c r="O2719" s="36">
        <v>1209.4000000000001</v>
      </c>
      <c r="P2719" t="s">
        <v>110</v>
      </c>
      <c r="Q2719" t="s">
        <v>111</v>
      </c>
      <c r="R2719" t="s">
        <v>111</v>
      </c>
      <c r="S2719" s="1">
        <v>46112</v>
      </c>
      <c r="T2719" s="1">
        <v>46112</v>
      </c>
      <c r="U2719" s="1">
        <v>46112</v>
      </c>
      <c r="V2719" s="1">
        <v>46477</v>
      </c>
      <c r="W2719" t="s">
        <v>38</v>
      </c>
      <c r="X2719">
        <v>12</v>
      </c>
      <c r="Y2719" t="s">
        <v>49</v>
      </c>
      <c r="Z2719" t="s">
        <v>81</v>
      </c>
      <c r="AA2719" t="s">
        <v>92</v>
      </c>
      <c r="AB2719">
        <v>12</v>
      </c>
      <c r="AC2719" t="s">
        <v>113</v>
      </c>
      <c r="AD2719" t="s">
        <v>2473</v>
      </c>
      <c r="AE2719" t="s">
        <v>257</v>
      </c>
      <c r="AF2719" t="s">
        <v>2474</v>
      </c>
      <c r="AG2719" t="str">
        <f t="shared" si="45"/>
        <v>Recorrente</v>
      </c>
      <c r="AH2719" t="str">
        <f>IF(AND(SUMIF(E:E,E2719,I:I)&gt;=400000,Q2719="B2G"),"n","")</f>
        <v/>
      </c>
    </row>
    <row r="2720" spans="1:34">
      <c r="A2720">
        <v>2026</v>
      </c>
      <c r="B2720">
        <v>3</v>
      </c>
      <c r="C2720" s="83">
        <v>21544439355</v>
      </c>
      <c r="D2720" t="s">
        <v>2472</v>
      </c>
      <c r="E2720">
        <v>57368204574</v>
      </c>
      <c r="F2720">
        <v>628093</v>
      </c>
      <c r="G2720">
        <v>53812356694</v>
      </c>
      <c r="H2720" t="s">
        <v>35</v>
      </c>
      <c r="I2720" s="36">
        <v>20319.03</v>
      </c>
      <c r="J2720" s="36">
        <v>20319.03</v>
      </c>
      <c r="K2720" s="85">
        <v>0</v>
      </c>
      <c r="L2720" s="36">
        <v>1693.2525000000001</v>
      </c>
      <c r="M2720" s="36">
        <v>0</v>
      </c>
      <c r="N2720" s="36">
        <v>483.854375</v>
      </c>
      <c r="O2720" s="36">
        <v>1209.4000000000001</v>
      </c>
      <c r="P2720" t="s">
        <v>110</v>
      </c>
      <c r="Q2720" t="s">
        <v>111</v>
      </c>
      <c r="R2720" t="s">
        <v>111</v>
      </c>
      <c r="S2720" s="1">
        <v>46112</v>
      </c>
      <c r="T2720" s="1">
        <v>46112</v>
      </c>
      <c r="U2720" s="1">
        <v>46112</v>
      </c>
      <c r="V2720" s="1">
        <v>46477</v>
      </c>
      <c r="W2720" t="s">
        <v>38</v>
      </c>
      <c r="X2720">
        <v>12</v>
      </c>
      <c r="Y2720" t="s">
        <v>49</v>
      </c>
      <c r="Z2720" t="s">
        <v>81</v>
      </c>
      <c r="AA2720" t="s">
        <v>92</v>
      </c>
      <c r="AB2720">
        <v>12</v>
      </c>
      <c r="AC2720" t="s">
        <v>113</v>
      </c>
      <c r="AD2720" t="s">
        <v>94</v>
      </c>
      <c r="AE2720" t="s">
        <v>95</v>
      </c>
      <c r="AF2720" t="s">
        <v>96</v>
      </c>
      <c r="AG2720" t="str">
        <f t="shared" si="45"/>
        <v>Recorrente</v>
      </c>
      <c r="AH2720" t="str">
        <f>IF(AND(SUMIF(E:E,E2720,I:I)&gt;=400000,Q2720="B2G"),"n","")</f>
        <v/>
      </c>
    </row>
    <row r="2721" spans="1:34">
      <c r="A2721">
        <v>2026</v>
      </c>
      <c r="B2721">
        <v>3</v>
      </c>
      <c r="C2721" s="83">
        <v>21544439355</v>
      </c>
      <c r="D2721" t="s">
        <v>2472</v>
      </c>
      <c r="E2721">
        <v>57368204574</v>
      </c>
      <c r="F2721">
        <v>628093</v>
      </c>
      <c r="G2721">
        <v>53812356695</v>
      </c>
      <c r="H2721" t="s">
        <v>35</v>
      </c>
      <c r="I2721" s="36">
        <v>20319.03</v>
      </c>
      <c r="J2721" s="36">
        <v>20319.03</v>
      </c>
      <c r="K2721" s="85">
        <v>0</v>
      </c>
      <c r="L2721" s="36">
        <v>1693.2525000000001</v>
      </c>
      <c r="M2721" s="36">
        <v>0</v>
      </c>
      <c r="N2721" s="36">
        <v>483.854375</v>
      </c>
      <c r="O2721" s="36">
        <v>1209.4000000000001</v>
      </c>
      <c r="P2721" t="s">
        <v>110</v>
      </c>
      <c r="Q2721" t="s">
        <v>111</v>
      </c>
      <c r="R2721" t="s">
        <v>111</v>
      </c>
      <c r="S2721" s="1">
        <v>46112</v>
      </c>
      <c r="T2721" s="1">
        <v>46112</v>
      </c>
      <c r="U2721" s="1">
        <v>46112</v>
      </c>
      <c r="V2721" s="1">
        <v>46477</v>
      </c>
      <c r="W2721" t="s">
        <v>38</v>
      </c>
      <c r="X2721">
        <v>12</v>
      </c>
      <c r="Y2721" t="s">
        <v>49</v>
      </c>
      <c r="Z2721" t="s">
        <v>81</v>
      </c>
      <c r="AA2721" t="s">
        <v>92</v>
      </c>
      <c r="AB2721">
        <v>12</v>
      </c>
      <c r="AC2721" t="s">
        <v>113</v>
      </c>
      <c r="AD2721" t="s">
        <v>1026</v>
      </c>
      <c r="AE2721" t="s">
        <v>363</v>
      </c>
      <c r="AF2721" t="s">
        <v>59</v>
      </c>
      <c r="AG2721" t="str">
        <f t="shared" si="45"/>
        <v>Recorrente</v>
      </c>
      <c r="AH2721" t="str">
        <f>IF(AND(SUMIF(E:E,E2721,I:I)&gt;=400000,Q2721="B2G"),"n","")</f>
        <v/>
      </c>
    </row>
    <row r="2722" spans="1:34">
      <c r="A2722">
        <v>2026</v>
      </c>
      <c r="B2722">
        <v>3</v>
      </c>
      <c r="C2722" s="83">
        <v>215838162862</v>
      </c>
      <c r="D2722" t="s">
        <v>2475</v>
      </c>
      <c r="E2722">
        <v>54456474714</v>
      </c>
      <c r="F2722">
        <v>610943</v>
      </c>
      <c r="G2722">
        <v>49832334160</v>
      </c>
      <c r="H2722" t="s">
        <v>35</v>
      </c>
      <c r="I2722" s="36">
        <v>4315.4399999999996</v>
      </c>
      <c r="J2722" s="36">
        <v>4315.4399999999996</v>
      </c>
      <c r="K2722" s="85">
        <v>0</v>
      </c>
      <c r="L2722" s="36">
        <v>359.62</v>
      </c>
      <c r="M2722" s="36">
        <v>0</v>
      </c>
      <c r="N2722" s="36">
        <v>67.025000000000006</v>
      </c>
      <c r="O2722" s="36">
        <v>292.60000000000002</v>
      </c>
      <c r="P2722" t="s">
        <v>165</v>
      </c>
      <c r="Q2722" t="s">
        <v>166</v>
      </c>
      <c r="R2722" t="s">
        <v>166</v>
      </c>
      <c r="S2722" s="1">
        <v>46093</v>
      </c>
      <c r="T2722" s="1">
        <v>46093</v>
      </c>
      <c r="U2722" s="1">
        <v>46093</v>
      </c>
      <c r="V2722" s="1">
        <v>46458</v>
      </c>
      <c r="W2722" t="s">
        <v>38</v>
      </c>
      <c r="X2722">
        <v>12</v>
      </c>
      <c r="Y2722" t="s">
        <v>49</v>
      </c>
      <c r="Z2722" t="s">
        <v>81</v>
      </c>
      <c r="AA2722" t="s">
        <v>122</v>
      </c>
      <c r="AB2722">
        <v>12</v>
      </c>
      <c r="AC2722" t="s">
        <v>166</v>
      </c>
      <c r="AD2722" t="s">
        <v>85</v>
      </c>
      <c r="AE2722" t="s">
        <v>46</v>
      </c>
      <c r="AF2722" t="s">
        <v>44</v>
      </c>
      <c r="AG2722" t="str">
        <f t="shared" si="45"/>
        <v>Recorrente</v>
      </c>
      <c r="AH2722" t="str">
        <f>IF(AND(SUMIF(E:E,E2722,I:I)&gt;=400000,Q2722="B2G"),"n","")</f>
        <v/>
      </c>
    </row>
    <row r="2723" spans="1:34">
      <c r="A2723">
        <v>2026</v>
      </c>
      <c r="B2723">
        <v>3</v>
      </c>
      <c r="C2723" s="83">
        <v>216501621853</v>
      </c>
      <c r="D2723" t="s">
        <v>2476</v>
      </c>
      <c r="E2723">
        <v>56021456791</v>
      </c>
      <c r="F2723">
        <v>627957</v>
      </c>
      <c r="G2723">
        <v>53746933827</v>
      </c>
      <c r="H2723" t="s">
        <v>35</v>
      </c>
      <c r="I2723" s="36">
        <v>2320.8000000000002</v>
      </c>
      <c r="J2723" s="36">
        <v>2320.8000000000002</v>
      </c>
      <c r="K2723" s="85">
        <v>0</v>
      </c>
      <c r="L2723" s="36">
        <v>193.4</v>
      </c>
      <c r="M2723" s="36">
        <v>0</v>
      </c>
      <c r="N2723" s="36">
        <v>0</v>
      </c>
      <c r="O2723" s="36">
        <v>193.4</v>
      </c>
      <c r="P2723" t="s">
        <v>133</v>
      </c>
      <c r="Q2723" t="s">
        <v>111</v>
      </c>
      <c r="R2723" t="s">
        <v>111</v>
      </c>
      <c r="S2723" s="1">
        <v>46112</v>
      </c>
      <c r="T2723" s="1">
        <v>46112</v>
      </c>
      <c r="U2723" s="1">
        <v>46108</v>
      </c>
      <c r="V2723" s="1">
        <v>46477</v>
      </c>
      <c r="W2723" t="s">
        <v>38</v>
      </c>
      <c r="X2723">
        <v>12</v>
      </c>
      <c r="Y2723" t="s">
        <v>49</v>
      </c>
      <c r="Z2723" t="s">
        <v>76</v>
      </c>
      <c r="AA2723" t="s">
        <v>112</v>
      </c>
      <c r="AB2723">
        <v>12</v>
      </c>
      <c r="AC2723" t="s">
        <v>113</v>
      </c>
      <c r="AD2723" t="s">
        <v>118</v>
      </c>
      <c r="AE2723" t="s">
        <v>43</v>
      </c>
      <c r="AF2723" t="s">
        <v>119</v>
      </c>
      <c r="AG2723" t="str">
        <f t="shared" si="45"/>
        <v>CC 12x</v>
      </c>
      <c r="AH2723" t="str">
        <f>IF(AND(SUMIF(E:E,E2723,I:I)&gt;=400000,Q2723="B2G"),"n","")</f>
        <v/>
      </c>
    </row>
    <row r="2724" spans="1:34">
      <c r="A2724">
        <v>2026</v>
      </c>
      <c r="B2724">
        <v>3</v>
      </c>
      <c r="C2724" s="83">
        <v>216664191153</v>
      </c>
      <c r="D2724" t="s">
        <v>2477</v>
      </c>
      <c r="E2724">
        <v>57611132196</v>
      </c>
      <c r="F2724">
        <v>627098</v>
      </c>
      <c r="G2724">
        <v>53172404587</v>
      </c>
      <c r="H2724" t="s">
        <v>35</v>
      </c>
      <c r="I2724" s="36">
        <v>4428</v>
      </c>
      <c r="J2724" s="36">
        <v>4428</v>
      </c>
      <c r="K2724" s="85">
        <v>0</v>
      </c>
      <c r="L2724" s="36">
        <v>369</v>
      </c>
      <c r="M2724" s="36">
        <v>0</v>
      </c>
      <c r="N2724" s="36">
        <v>3.2</v>
      </c>
      <c r="O2724" s="36">
        <v>365.8</v>
      </c>
      <c r="P2724" t="s">
        <v>127</v>
      </c>
      <c r="Q2724" t="s">
        <v>111</v>
      </c>
      <c r="R2724" t="s">
        <v>111</v>
      </c>
      <c r="S2724" s="1">
        <v>46092</v>
      </c>
      <c r="T2724" s="1">
        <v>46092</v>
      </c>
      <c r="U2724" s="1">
        <v>46086</v>
      </c>
      <c r="V2724" s="1">
        <v>46457</v>
      </c>
      <c r="W2724" t="s">
        <v>38</v>
      </c>
      <c r="X2724">
        <v>12</v>
      </c>
      <c r="Y2724" t="s">
        <v>49</v>
      </c>
      <c r="Z2724" t="s">
        <v>81</v>
      </c>
      <c r="AA2724" t="s">
        <v>112</v>
      </c>
      <c r="AB2724">
        <v>12</v>
      </c>
      <c r="AC2724" t="s">
        <v>113</v>
      </c>
      <c r="AD2724" t="s">
        <v>85</v>
      </c>
      <c r="AE2724" t="s">
        <v>46</v>
      </c>
      <c r="AF2724" t="s">
        <v>44</v>
      </c>
      <c r="AG2724" t="str">
        <f t="shared" si="45"/>
        <v>CC 12x</v>
      </c>
      <c r="AH2724" t="str">
        <f>IF(AND(SUMIF(E:E,E2724,I:I)&gt;=400000,Q2724="B2G"),"n","")</f>
        <v/>
      </c>
    </row>
    <row r="2725" spans="1:34">
      <c r="A2725">
        <v>2026</v>
      </c>
      <c r="B2725">
        <v>3</v>
      </c>
      <c r="C2725" s="83">
        <v>21746309004</v>
      </c>
      <c r="D2725" t="s">
        <v>2478</v>
      </c>
      <c r="E2725">
        <v>30166987654</v>
      </c>
      <c r="F2725">
        <v>636460</v>
      </c>
      <c r="G2725">
        <v>53170198682</v>
      </c>
      <c r="H2725" t="s">
        <v>35</v>
      </c>
      <c r="I2725" s="36">
        <v>16308</v>
      </c>
      <c r="J2725" s="36">
        <v>16308</v>
      </c>
      <c r="K2725" s="85">
        <v>0</v>
      </c>
      <c r="L2725" s="36">
        <v>1359</v>
      </c>
      <c r="M2725" s="36">
        <v>1359</v>
      </c>
      <c r="N2725" s="36">
        <v>0</v>
      </c>
      <c r="O2725" s="36">
        <v>0</v>
      </c>
      <c r="P2725" t="s">
        <v>87</v>
      </c>
      <c r="Q2725" t="s">
        <v>37</v>
      </c>
      <c r="R2725" t="s">
        <v>37</v>
      </c>
      <c r="S2725" s="1">
        <v>46092</v>
      </c>
      <c r="T2725" s="1">
        <v>46092</v>
      </c>
      <c r="U2725" s="1"/>
      <c r="V2725" s="1">
        <v>46494</v>
      </c>
      <c r="W2725" t="s">
        <v>38</v>
      </c>
      <c r="X2725">
        <v>13</v>
      </c>
      <c r="Y2725" t="s">
        <v>49</v>
      </c>
      <c r="AA2725" t="s">
        <v>40</v>
      </c>
      <c r="AB2725">
        <v>1</v>
      </c>
      <c r="AC2725" t="s">
        <v>41</v>
      </c>
      <c r="AD2725" t="s">
        <v>54</v>
      </c>
      <c r="AE2725" t="s">
        <v>46</v>
      </c>
      <c r="AF2725" t="s">
        <v>44</v>
      </c>
      <c r="AG2725" t="str">
        <f t="shared" si="45"/>
        <v>À Vista</v>
      </c>
      <c r="AH2725" t="str">
        <f>IF(AND(SUMIF(E:E,E2725,I:I)&gt;=400000,Q2725="B2G"),"n","")</f>
        <v/>
      </c>
    </row>
    <row r="2726" spans="1:34">
      <c r="A2726">
        <v>2026</v>
      </c>
      <c r="B2726">
        <v>3</v>
      </c>
      <c r="C2726" s="83">
        <v>21746309004</v>
      </c>
      <c r="D2726" t="s">
        <v>2478</v>
      </c>
      <c r="E2726">
        <v>30166987654</v>
      </c>
      <c r="F2726">
        <v>636460</v>
      </c>
      <c r="G2726">
        <v>53170198683</v>
      </c>
      <c r="H2726" t="s">
        <v>35</v>
      </c>
      <c r="I2726" s="36">
        <v>13932</v>
      </c>
      <c r="J2726" s="36">
        <v>13932</v>
      </c>
      <c r="K2726" s="85">
        <v>0</v>
      </c>
      <c r="L2726" s="36">
        <v>1161</v>
      </c>
      <c r="M2726" s="36">
        <v>1161</v>
      </c>
      <c r="N2726" s="36">
        <v>0</v>
      </c>
      <c r="O2726" s="36">
        <v>0</v>
      </c>
      <c r="P2726" t="s">
        <v>87</v>
      </c>
      <c r="Q2726" t="s">
        <v>37</v>
      </c>
      <c r="R2726" t="s">
        <v>37</v>
      </c>
      <c r="S2726" s="1">
        <v>46092</v>
      </c>
      <c r="T2726" s="1">
        <v>46092</v>
      </c>
      <c r="U2726" s="1"/>
      <c r="V2726" s="1">
        <v>46494</v>
      </c>
      <c r="W2726" t="s">
        <v>38</v>
      </c>
      <c r="X2726">
        <v>13</v>
      </c>
      <c r="Y2726" t="s">
        <v>49</v>
      </c>
      <c r="AA2726" t="s">
        <v>40</v>
      </c>
      <c r="AB2726">
        <v>1</v>
      </c>
      <c r="AC2726" t="s">
        <v>41</v>
      </c>
      <c r="AD2726" t="s">
        <v>53</v>
      </c>
      <c r="AE2726" t="s">
        <v>43</v>
      </c>
      <c r="AF2726" t="s">
        <v>44</v>
      </c>
      <c r="AG2726" t="str">
        <f t="shared" si="45"/>
        <v>À Vista</v>
      </c>
      <c r="AH2726" t="str">
        <f>IF(AND(SUMIF(E:E,E2726,I:I)&gt;=400000,Q2726="B2G"),"n","")</f>
        <v/>
      </c>
    </row>
    <row r="2727" spans="1:34">
      <c r="A2727">
        <v>2026</v>
      </c>
      <c r="B2727">
        <v>3</v>
      </c>
      <c r="C2727" s="83">
        <v>21804440895</v>
      </c>
      <c r="D2727" t="s">
        <v>2479</v>
      </c>
      <c r="E2727">
        <v>57490247330</v>
      </c>
      <c r="F2727">
        <v>630026</v>
      </c>
      <c r="G2727">
        <v>52859370318</v>
      </c>
      <c r="H2727" t="s">
        <v>35</v>
      </c>
      <c r="I2727" s="36">
        <v>7512.84</v>
      </c>
      <c r="J2727" s="36">
        <v>1294.5999999999999</v>
      </c>
      <c r="K2727" s="85">
        <v>6218.24</v>
      </c>
      <c r="L2727" s="36">
        <v>107.8833333</v>
      </c>
      <c r="M2727" s="36">
        <v>0</v>
      </c>
      <c r="N2727" s="36">
        <v>107.8833333</v>
      </c>
      <c r="O2727" s="36">
        <v>0</v>
      </c>
      <c r="P2727" t="s">
        <v>520</v>
      </c>
      <c r="Q2727" t="s">
        <v>191</v>
      </c>
      <c r="R2727" t="s">
        <v>191</v>
      </c>
      <c r="S2727" s="1">
        <v>46086</v>
      </c>
      <c r="T2727" s="1">
        <v>46086</v>
      </c>
      <c r="U2727" s="1">
        <v>46907</v>
      </c>
      <c r="V2727" s="1">
        <v>46907</v>
      </c>
      <c r="W2727" t="s">
        <v>102</v>
      </c>
      <c r="X2727">
        <v>27</v>
      </c>
      <c r="Y2727" t="s">
        <v>49</v>
      </c>
      <c r="Z2727" t="s">
        <v>324</v>
      </c>
      <c r="AA2727" t="s">
        <v>122</v>
      </c>
      <c r="AB2727">
        <v>26</v>
      </c>
      <c r="AC2727" t="s">
        <v>192</v>
      </c>
      <c r="AD2727" t="s">
        <v>125</v>
      </c>
      <c r="AE2727" t="s">
        <v>43</v>
      </c>
      <c r="AF2727" t="s">
        <v>47</v>
      </c>
      <c r="AG2727" t="str">
        <f t="shared" si="45"/>
        <v>Recorrente</v>
      </c>
      <c r="AH2727" t="str">
        <f>IF(AND(SUMIF(E:E,E2727,I:I)&gt;=400000,Q2727="B2G"),"n","")</f>
        <v/>
      </c>
    </row>
    <row r="2728" spans="1:34">
      <c r="A2728">
        <v>2026</v>
      </c>
      <c r="B2728">
        <v>3</v>
      </c>
      <c r="C2728" s="83">
        <v>21804440895</v>
      </c>
      <c r="D2728" t="s">
        <v>2479</v>
      </c>
      <c r="E2728">
        <v>57490247330</v>
      </c>
      <c r="F2728">
        <v>630026</v>
      </c>
      <c r="G2728">
        <v>52859370319</v>
      </c>
      <c r="H2728" t="s">
        <v>35</v>
      </c>
      <c r="I2728" s="36">
        <v>2069.2800000000002</v>
      </c>
      <c r="J2728" s="36">
        <v>1294.5999999999999</v>
      </c>
      <c r="K2728" s="85">
        <v>774.68</v>
      </c>
      <c r="L2728" s="36">
        <v>107.8833333</v>
      </c>
      <c r="M2728" s="36">
        <v>0</v>
      </c>
      <c r="N2728" s="36">
        <v>107.8833333</v>
      </c>
      <c r="O2728" s="36">
        <v>0</v>
      </c>
      <c r="P2728" t="s">
        <v>520</v>
      </c>
      <c r="Q2728" t="s">
        <v>191</v>
      </c>
      <c r="R2728" t="s">
        <v>191</v>
      </c>
      <c r="S2728" s="1">
        <v>46086</v>
      </c>
      <c r="T2728" s="1">
        <v>46086</v>
      </c>
      <c r="U2728" s="1">
        <v>46907</v>
      </c>
      <c r="V2728" s="1">
        <v>46907</v>
      </c>
      <c r="W2728" t="s">
        <v>102</v>
      </c>
      <c r="X2728">
        <v>27</v>
      </c>
      <c r="Y2728" t="s">
        <v>49</v>
      </c>
      <c r="Z2728" t="s">
        <v>324</v>
      </c>
      <c r="AA2728" t="s">
        <v>122</v>
      </c>
      <c r="AB2728">
        <v>26</v>
      </c>
      <c r="AC2728" t="s">
        <v>192</v>
      </c>
      <c r="AD2728" t="s">
        <v>527</v>
      </c>
      <c r="AE2728" t="s">
        <v>257</v>
      </c>
      <c r="AF2728" t="s">
        <v>59</v>
      </c>
      <c r="AG2728" t="str">
        <f t="shared" si="45"/>
        <v>Recorrente</v>
      </c>
      <c r="AH2728" t="str">
        <f>IF(AND(SUMIF(E:E,E2728,I:I)&gt;=400000,Q2728="B2G"),"n","")</f>
        <v/>
      </c>
    </row>
    <row r="2729" spans="1:34">
      <c r="A2729">
        <v>2026</v>
      </c>
      <c r="B2729">
        <v>3</v>
      </c>
      <c r="C2729" s="83">
        <v>21804440895</v>
      </c>
      <c r="D2729" t="s">
        <v>2479</v>
      </c>
      <c r="E2729">
        <v>57490247330</v>
      </c>
      <c r="F2729">
        <v>630026</v>
      </c>
      <c r="G2729">
        <v>52859370321</v>
      </c>
      <c r="H2729" t="s">
        <v>35</v>
      </c>
      <c r="I2729" s="36">
        <v>2069.2800000000002</v>
      </c>
      <c r="J2729" s="36">
        <v>1294.5999999999999</v>
      </c>
      <c r="K2729" s="85">
        <v>774.68</v>
      </c>
      <c r="L2729" s="36">
        <v>107.8833333</v>
      </c>
      <c r="M2729" s="36">
        <v>0</v>
      </c>
      <c r="N2729" s="36">
        <v>107.8833333</v>
      </c>
      <c r="O2729" s="36">
        <v>0</v>
      </c>
      <c r="P2729" t="s">
        <v>520</v>
      </c>
      <c r="Q2729" t="s">
        <v>191</v>
      </c>
      <c r="R2729" t="s">
        <v>191</v>
      </c>
      <c r="S2729" s="1">
        <v>46086</v>
      </c>
      <c r="T2729" s="1">
        <v>46086</v>
      </c>
      <c r="U2729" s="1">
        <v>46907</v>
      </c>
      <c r="V2729" s="1">
        <v>46907</v>
      </c>
      <c r="W2729" t="s">
        <v>102</v>
      </c>
      <c r="X2729">
        <v>27</v>
      </c>
      <c r="Y2729" t="s">
        <v>49</v>
      </c>
      <c r="Z2729" t="s">
        <v>324</v>
      </c>
      <c r="AA2729" t="s">
        <v>122</v>
      </c>
      <c r="AB2729">
        <v>26</v>
      </c>
      <c r="AC2729" t="s">
        <v>192</v>
      </c>
      <c r="AD2729" t="s">
        <v>550</v>
      </c>
      <c r="AE2729" t="s">
        <v>363</v>
      </c>
      <c r="AF2729" t="s">
        <v>59</v>
      </c>
      <c r="AG2729" t="str">
        <f t="shared" si="45"/>
        <v>Recorrente</v>
      </c>
      <c r="AH2729" t="str">
        <f>IF(AND(SUMIF(E:E,E2729,I:I)&gt;=400000,Q2729="B2G"),"n","")</f>
        <v/>
      </c>
    </row>
    <row r="2730" spans="1:34">
      <c r="A2730">
        <v>2026</v>
      </c>
      <c r="B2730">
        <v>3</v>
      </c>
      <c r="C2730" s="83">
        <v>2222161</v>
      </c>
      <c r="D2730" t="s">
        <v>2480</v>
      </c>
      <c r="E2730">
        <v>56288819821</v>
      </c>
      <c r="F2730">
        <v>628036</v>
      </c>
      <c r="G2730">
        <v>51601845071</v>
      </c>
      <c r="H2730" t="s">
        <v>35</v>
      </c>
      <c r="I2730" s="36">
        <v>2874</v>
      </c>
      <c r="J2730" s="36">
        <v>2874</v>
      </c>
      <c r="K2730" s="85">
        <v>0</v>
      </c>
      <c r="L2730" s="36">
        <v>239.5</v>
      </c>
      <c r="M2730" s="36">
        <v>0</v>
      </c>
      <c r="N2730" s="36">
        <v>12.45</v>
      </c>
      <c r="O2730" s="36">
        <v>227.05</v>
      </c>
      <c r="P2730" t="s">
        <v>165</v>
      </c>
      <c r="Q2730" t="s">
        <v>166</v>
      </c>
      <c r="R2730" t="s">
        <v>166</v>
      </c>
      <c r="S2730" s="1">
        <v>46107</v>
      </c>
      <c r="T2730" s="1">
        <v>46107</v>
      </c>
      <c r="U2730" s="1">
        <v>46112</v>
      </c>
      <c r="V2730" s="1">
        <v>46477</v>
      </c>
      <c r="W2730" t="s">
        <v>38</v>
      </c>
      <c r="X2730">
        <v>12</v>
      </c>
      <c r="Y2730" t="s">
        <v>49</v>
      </c>
      <c r="Z2730" t="s">
        <v>81</v>
      </c>
      <c r="AA2730" t="s">
        <v>122</v>
      </c>
      <c r="AB2730">
        <v>12</v>
      </c>
      <c r="AC2730" t="s">
        <v>166</v>
      </c>
      <c r="AD2730" t="s">
        <v>140</v>
      </c>
      <c r="AE2730" t="s">
        <v>46</v>
      </c>
      <c r="AF2730" t="s">
        <v>119</v>
      </c>
      <c r="AG2730" t="str">
        <f t="shared" si="45"/>
        <v>Recorrente</v>
      </c>
      <c r="AH2730" t="str">
        <f>IF(AND(SUMIF(E:E,E2730,I:I)&gt;=400000,Q2730="B2G"),"n","")</f>
        <v/>
      </c>
    </row>
    <row r="2731" spans="1:34">
      <c r="A2731">
        <v>2026</v>
      </c>
      <c r="B2731">
        <v>3</v>
      </c>
      <c r="C2731" s="83">
        <v>2225605</v>
      </c>
      <c r="D2731" t="s">
        <v>2481</v>
      </c>
      <c r="E2731">
        <v>54622426454</v>
      </c>
      <c r="F2731">
        <v>611284</v>
      </c>
      <c r="G2731">
        <v>49957976483</v>
      </c>
      <c r="H2731" t="s">
        <v>35</v>
      </c>
      <c r="I2731" s="36">
        <v>6354</v>
      </c>
      <c r="J2731" s="36">
        <v>6354</v>
      </c>
      <c r="K2731" s="85">
        <v>0</v>
      </c>
      <c r="L2731" s="36">
        <v>529.5</v>
      </c>
      <c r="M2731" s="36">
        <v>0</v>
      </c>
      <c r="N2731" s="36">
        <v>30.5</v>
      </c>
      <c r="O2731" s="36">
        <v>499</v>
      </c>
      <c r="P2731" t="s">
        <v>165</v>
      </c>
      <c r="Q2731" t="s">
        <v>166</v>
      </c>
      <c r="R2731" t="s">
        <v>166</v>
      </c>
      <c r="S2731" s="1">
        <v>46094</v>
      </c>
      <c r="T2731" s="1">
        <v>46094</v>
      </c>
      <c r="U2731" s="1">
        <v>46094</v>
      </c>
      <c r="V2731" s="1">
        <v>46459</v>
      </c>
      <c r="W2731" t="s">
        <v>38</v>
      </c>
      <c r="X2731">
        <v>12</v>
      </c>
      <c r="Y2731" t="s">
        <v>49</v>
      </c>
      <c r="Z2731" t="s">
        <v>81</v>
      </c>
      <c r="AA2731" t="s">
        <v>122</v>
      </c>
      <c r="AB2731">
        <v>12</v>
      </c>
      <c r="AC2731" t="s">
        <v>166</v>
      </c>
      <c r="AD2731" t="s">
        <v>149</v>
      </c>
      <c r="AE2731" t="s">
        <v>43</v>
      </c>
      <c r="AF2731" t="s">
        <v>96</v>
      </c>
      <c r="AG2731" t="str">
        <f t="shared" si="45"/>
        <v>Recorrente</v>
      </c>
      <c r="AH2731" t="str">
        <f>IF(AND(SUMIF(E:E,E2731,I:I)&gt;=400000,Q2731="B2G"),"n","")</f>
        <v/>
      </c>
    </row>
    <row r="2732" spans="1:34">
      <c r="A2732">
        <v>2026</v>
      </c>
      <c r="B2732">
        <v>3</v>
      </c>
      <c r="C2732" s="83">
        <v>22264049028</v>
      </c>
      <c r="D2732" t="s">
        <v>2482</v>
      </c>
      <c r="E2732">
        <v>58446428080</v>
      </c>
      <c r="F2732">
        <v>629747</v>
      </c>
      <c r="G2732">
        <v>53640460169</v>
      </c>
      <c r="H2732" t="s">
        <v>35</v>
      </c>
      <c r="I2732" s="36">
        <v>202.2</v>
      </c>
      <c r="J2732" s="36">
        <v>1318.92</v>
      </c>
      <c r="K2732" s="85">
        <v>0</v>
      </c>
      <c r="L2732" s="36">
        <v>109.91</v>
      </c>
      <c r="M2732" s="36">
        <v>0</v>
      </c>
      <c r="N2732" s="36">
        <v>109.91</v>
      </c>
      <c r="O2732" s="36">
        <v>0</v>
      </c>
      <c r="P2732" t="s">
        <v>190</v>
      </c>
      <c r="Q2732" t="s">
        <v>191</v>
      </c>
      <c r="R2732" t="s">
        <v>191</v>
      </c>
      <c r="S2732" s="1">
        <v>46108</v>
      </c>
      <c r="T2732" s="1">
        <v>46108</v>
      </c>
      <c r="U2732" s="1">
        <v>46164</v>
      </c>
      <c r="V2732" s="1">
        <v>46164</v>
      </c>
      <c r="W2732" t="s">
        <v>38</v>
      </c>
      <c r="X2732">
        <v>2</v>
      </c>
      <c r="Y2732" t="s">
        <v>49</v>
      </c>
      <c r="Z2732" t="s">
        <v>324</v>
      </c>
      <c r="AA2732" t="s">
        <v>112</v>
      </c>
      <c r="AB2732">
        <v>2</v>
      </c>
      <c r="AC2732" t="s">
        <v>192</v>
      </c>
      <c r="AD2732" t="s">
        <v>149</v>
      </c>
      <c r="AE2732" t="s">
        <v>43</v>
      </c>
      <c r="AF2732" t="s">
        <v>96</v>
      </c>
      <c r="AG2732" t="str">
        <f t="shared" si="45"/>
        <v>CC 3x</v>
      </c>
      <c r="AH2732" t="str">
        <f>IF(AND(SUMIF(E:E,E2732,I:I)&gt;=400000,Q2732="B2G"),"n","")</f>
        <v/>
      </c>
    </row>
    <row r="2733" spans="1:34">
      <c r="A2733">
        <v>2026</v>
      </c>
      <c r="B2733">
        <v>3</v>
      </c>
      <c r="C2733" s="83">
        <v>2229345</v>
      </c>
      <c r="D2733" t="s">
        <v>2483</v>
      </c>
      <c r="E2733">
        <v>58553836581</v>
      </c>
      <c r="F2733">
        <v>636756</v>
      </c>
      <c r="G2733">
        <v>53686919179</v>
      </c>
      <c r="H2733" t="s">
        <v>35</v>
      </c>
      <c r="I2733" s="36">
        <v>5754</v>
      </c>
      <c r="J2733" s="36">
        <v>5754</v>
      </c>
      <c r="K2733" s="85">
        <v>0</v>
      </c>
      <c r="L2733" s="36">
        <v>479.5</v>
      </c>
      <c r="M2733" s="36">
        <v>479.5</v>
      </c>
      <c r="N2733" s="36">
        <v>0</v>
      </c>
      <c r="O2733" s="36">
        <v>0</v>
      </c>
      <c r="P2733" t="s">
        <v>497</v>
      </c>
      <c r="Q2733" t="s">
        <v>498</v>
      </c>
      <c r="R2733" t="s">
        <v>498</v>
      </c>
      <c r="S2733" s="1">
        <v>46111</v>
      </c>
      <c r="T2733" s="1">
        <v>46111</v>
      </c>
      <c r="U2733" s="1"/>
      <c r="V2733" s="1">
        <v>46476</v>
      </c>
      <c r="W2733" t="s">
        <v>38</v>
      </c>
      <c r="X2733">
        <v>12</v>
      </c>
      <c r="Y2733" t="s">
        <v>49</v>
      </c>
      <c r="AA2733" t="s">
        <v>112</v>
      </c>
      <c r="AB2733">
        <v>12</v>
      </c>
      <c r="AC2733" t="s">
        <v>499</v>
      </c>
      <c r="AD2733" t="s">
        <v>85</v>
      </c>
      <c r="AE2733" t="s">
        <v>46</v>
      </c>
      <c r="AF2733" t="s">
        <v>44</v>
      </c>
      <c r="AG2733" t="str">
        <f t="shared" si="45"/>
        <v>CC 12x</v>
      </c>
      <c r="AH2733" t="str">
        <f>IF(AND(SUMIF(E:E,E2733,I:I)&gt;=400000,Q2733="B2G"),"n","")</f>
        <v/>
      </c>
    </row>
    <row r="2734" spans="1:34">
      <c r="A2734">
        <v>2026</v>
      </c>
      <c r="B2734">
        <v>3</v>
      </c>
      <c r="C2734" s="83">
        <v>2231558</v>
      </c>
      <c r="D2734" t="s">
        <v>2484</v>
      </c>
      <c r="E2734">
        <v>56678790455</v>
      </c>
      <c r="F2734">
        <v>611919</v>
      </c>
      <c r="G2734">
        <v>53072789642</v>
      </c>
      <c r="H2734" t="s">
        <v>35</v>
      </c>
      <c r="I2734" s="36">
        <v>2460</v>
      </c>
      <c r="J2734" s="36">
        <v>2460</v>
      </c>
      <c r="K2734" s="85">
        <v>0</v>
      </c>
      <c r="L2734" s="36">
        <v>205</v>
      </c>
      <c r="M2734" s="36">
        <v>205</v>
      </c>
      <c r="N2734" s="36">
        <v>0</v>
      </c>
      <c r="O2734" s="36">
        <v>0</v>
      </c>
      <c r="P2734" t="s">
        <v>127</v>
      </c>
      <c r="Q2734" t="s">
        <v>111</v>
      </c>
      <c r="R2734" t="s">
        <v>111</v>
      </c>
      <c r="S2734" s="1">
        <v>46097</v>
      </c>
      <c r="T2734" s="1">
        <v>46097</v>
      </c>
      <c r="U2734" s="1">
        <v>46103</v>
      </c>
      <c r="V2734" s="1">
        <v>46468</v>
      </c>
      <c r="W2734" t="s">
        <v>38</v>
      </c>
      <c r="X2734">
        <v>12</v>
      </c>
      <c r="Y2734" t="s">
        <v>49</v>
      </c>
      <c r="Z2734" t="s">
        <v>81</v>
      </c>
      <c r="AA2734" t="s">
        <v>122</v>
      </c>
      <c r="AB2734">
        <v>12</v>
      </c>
      <c r="AC2734" t="s">
        <v>113</v>
      </c>
      <c r="AD2734" t="s">
        <v>118</v>
      </c>
      <c r="AE2734" t="s">
        <v>43</v>
      </c>
      <c r="AF2734" t="s">
        <v>119</v>
      </c>
      <c r="AG2734" t="str">
        <f t="shared" si="45"/>
        <v>Recorrente</v>
      </c>
      <c r="AH2734" t="str">
        <f>IF(AND(SUMIF(E:E,E2734,I:I)&gt;=400000,Q2734="B2G"),"n","")</f>
        <v/>
      </c>
    </row>
    <row r="2735" spans="1:34">
      <c r="A2735">
        <v>2026</v>
      </c>
      <c r="B2735">
        <v>3</v>
      </c>
      <c r="C2735" s="83">
        <v>2232087</v>
      </c>
      <c r="D2735" t="s">
        <v>2485</v>
      </c>
      <c r="E2735">
        <v>56265966133</v>
      </c>
      <c r="F2735">
        <v>628034</v>
      </c>
      <c r="G2735">
        <v>51583909905</v>
      </c>
      <c r="H2735" t="s">
        <v>35</v>
      </c>
      <c r="I2735" s="36">
        <v>2874</v>
      </c>
      <c r="J2735" s="36">
        <v>2874</v>
      </c>
      <c r="K2735" s="85">
        <v>0</v>
      </c>
      <c r="L2735" s="36">
        <v>239.5</v>
      </c>
      <c r="M2735" s="36">
        <v>0</v>
      </c>
      <c r="N2735" s="36">
        <v>0.5</v>
      </c>
      <c r="O2735" s="36">
        <v>239</v>
      </c>
      <c r="P2735" t="s">
        <v>165</v>
      </c>
      <c r="Q2735" t="s">
        <v>166</v>
      </c>
      <c r="R2735" t="s">
        <v>166</v>
      </c>
      <c r="S2735" s="1">
        <v>46107</v>
      </c>
      <c r="T2735" s="1">
        <v>46107</v>
      </c>
      <c r="U2735" s="1">
        <v>46112</v>
      </c>
      <c r="V2735" s="1">
        <v>46477</v>
      </c>
      <c r="W2735" t="s">
        <v>38</v>
      </c>
      <c r="X2735">
        <v>12</v>
      </c>
      <c r="Y2735" t="s">
        <v>49</v>
      </c>
      <c r="Z2735" t="s">
        <v>81</v>
      </c>
      <c r="AA2735" t="s">
        <v>112</v>
      </c>
      <c r="AB2735">
        <v>12</v>
      </c>
      <c r="AC2735" t="s">
        <v>166</v>
      </c>
      <c r="AD2735" t="s">
        <v>140</v>
      </c>
      <c r="AE2735" t="s">
        <v>46</v>
      </c>
      <c r="AF2735" t="s">
        <v>119</v>
      </c>
      <c r="AG2735" t="str">
        <f t="shared" si="45"/>
        <v>CC 12x</v>
      </c>
      <c r="AH2735" t="str">
        <f>IF(AND(SUMIF(E:E,E2735,I:I)&gt;=400000,Q2735="B2G"),"n","")</f>
        <v/>
      </c>
    </row>
    <row r="2736" spans="1:34">
      <c r="A2736">
        <v>2026</v>
      </c>
      <c r="B2736">
        <v>3</v>
      </c>
      <c r="C2736" s="83">
        <v>22397079697</v>
      </c>
      <c r="D2736" t="s">
        <v>2486</v>
      </c>
      <c r="E2736">
        <v>57400170106</v>
      </c>
      <c r="F2736">
        <v>619996</v>
      </c>
      <c r="G2736">
        <v>52652901394</v>
      </c>
      <c r="H2736" t="s">
        <v>35</v>
      </c>
      <c r="I2736" s="36">
        <v>1666.44</v>
      </c>
      <c r="J2736" s="36">
        <v>3689.16</v>
      </c>
      <c r="K2736" s="85">
        <v>0</v>
      </c>
      <c r="L2736" s="36">
        <v>307.43</v>
      </c>
      <c r="M2736" s="36">
        <v>0</v>
      </c>
      <c r="N2736" s="36">
        <v>307.43</v>
      </c>
      <c r="O2736" s="36">
        <v>0</v>
      </c>
      <c r="P2736" t="s">
        <v>323</v>
      </c>
      <c r="Q2736" t="s">
        <v>191</v>
      </c>
      <c r="R2736" t="s">
        <v>191</v>
      </c>
      <c r="S2736" s="1">
        <v>46084</v>
      </c>
      <c r="T2736" s="1">
        <v>46084</v>
      </c>
      <c r="U2736" s="1">
        <v>46249</v>
      </c>
      <c r="V2736" s="1">
        <v>46249</v>
      </c>
      <c r="W2736" t="s">
        <v>38</v>
      </c>
      <c r="X2736">
        <v>5</v>
      </c>
      <c r="Y2736" t="s">
        <v>49</v>
      </c>
      <c r="Z2736" t="s">
        <v>324</v>
      </c>
      <c r="AA2736" t="s">
        <v>122</v>
      </c>
      <c r="AB2736">
        <v>5</v>
      </c>
      <c r="AC2736" t="s">
        <v>192</v>
      </c>
      <c r="AD2736" t="s">
        <v>131</v>
      </c>
      <c r="AE2736" t="s">
        <v>46</v>
      </c>
      <c r="AF2736" t="s">
        <v>96</v>
      </c>
      <c r="AG2736" t="str">
        <f t="shared" si="45"/>
        <v>Recorrente</v>
      </c>
      <c r="AH2736" t="str">
        <f>IF(AND(SUMIF(E:E,E2736,I:I)&gt;=400000,Q2736="B2G"),"n","")</f>
        <v/>
      </c>
    </row>
    <row r="2737" spans="1:34">
      <c r="A2737">
        <v>2026</v>
      </c>
      <c r="B2737">
        <v>3</v>
      </c>
      <c r="C2737" s="83">
        <v>2242788</v>
      </c>
      <c r="D2737" t="s">
        <v>2487</v>
      </c>
      <c r="E2737">
        <v>57687005084</v>
      </c>
      <c r="F2737">
        <v>636400</v>
      </c>
      <c r="G2737">
        <v>52909877777</v>
      </c>
      <c r="H2737" t="s">
        <v>35</v>
      </c>
      <c r="I2737" s="36">
        <v>2874</v>
      </c>
      <c r="J2737" s="36">
        <v>2874</v>
      </c>
      <c r="K2737" s="85">
        <v>0</v>
      </c>
      <c r="L2737" s="36">
        <v>239.5</v>
      </c>
      <c r="M2737" s="36">
        <v>239.5</v>
      </c>
      <c r="N2737" s="36">
        <v>0</v>
      </c>
      <c r="O2737" s="36">
        <v>0</v>
      </c>
      <c r="P2737" t="s">
        <v>829</v>
      </c>
      <c r="Q2737" t="s">
        <v>300</v>
      </c>
      <c r="R2737" t="s">
        <v>300</v>
      </c>
      <c r="S2737" s="1">
        <v>46087</v>
      </c>
      <c r="T2737" s="1">
        <v>46087</v>
      </c>
      <c r="U2737" s="1"/>
      <c r="V2737" s="1">
        <v>46452</v>
      </c>
      <c r="W2737" t="s">
        <v>38</v>
      </c>
      <c r="X2737">
        <v>12</v>
      </c>
      <c r="Y2737" t="s">
        <v>49</v>
      </c>
      <c r="AA2737" t="s">
        <v>112</v>
      </c>
      <c r="AB2737">
        <v>12</v>
      </c>
      <c r="AC2737" t="s">
        <v>301</v>
      </c>
      <c r="AD2737" t="s">
        <v>140</v>
      </c>
      <c r="AE2737" t="s">
        <v>46</v>
      </c>
      <c r="AF2737" t="s">
        <v>119</v>
      </c>
      <c r="AG2737" t="str">
        <f t="shared" si="45"/>
        <v>CC 12x</v>
      </c>
      <c r="AH2737" t="str">
        <f>IF(AND(SUMIF(E:E,E2737,I:I)&gt;=400000,Q2737="B2G"),"n","")</f>
        <v/>
      </c>
    </row>
    <row r="2738" spans="1:34">
      <c r="A2738">
        <v>2026</v>
      </c>
      <c r="B2738">
        <v>3</v>
      </c>
      <c r="C2738" s="83">
        <v>2252728</v>
      </c>
      <c r="D2738" t="s">
        <v>2488</v>
      </c>
      <c r="E2738">
        <v>55462206538</v>
      </c>
      <c r="F2738">
        <v>611795</v>
      </c>
      <c r="G2738">
        <v>50778396184</v>
      </c>
      <c r="H2738" t="s">
        <v>35</v>
      </c>
      <c r="I2738" s="36">
        <v>5514</v>
      </c>
      <c r="J2738" s="36">
        <v>5514</v>
      </c>
      <c r="K2738" s="85">
        <v>0</v>
      </c>
      <c r="L2738" s="36">
        <v>459.5</v>
      </c>
      <c r="M2738" s="36">
        <v>0</v>
      </c>
      <c r="N2738" s="36">
        <v>0</v>
      </c>
      <c r="O2738" s="36">
        <v>459.5</v>
      </c>
      <c r="P2738" t="s">
        <v>127</v>
      </c>
      <c r="Q2738" t="s">
        <v>111</v>
      </c>
      <c r="R2738" t="s">
        <v>111</v>
      </c>
      <c r="S2738" s="1">
        <v>46080</v>
      </c>
      <c r="T2738" s="1">
        <v>46082</v>
      </c>
      <c r="U2738" s="1">
        <v>46101</v>
      </c>
      <c r="V2738" s="1">
        <v>46466</v>
      </c>
      <c r="W2738" t="s">
        <v>38</v>
      </c>
      <c r="X2738">
        <v>12</v>
      </c>
      <c r="Y2738" t="s">
        <v>49</v>
      </c>
      <c r="Z2738" t="s">
        <v>81</v>
      </c>
      <c r="AA2738" t="s">
        <v>112</v>
      </c>
      <c r="AB2738">
        <v>12</v>
      </c>
      <c r="AC2738" t="s">
        <v>113</v>
      </c>
      <c r="AD2738" t="s">
        <v>134</v>
      </c>
      <c r="AE2738" t="s">
        <v>135</v>
      </c>
      <c r="AF2738" t="s">
        <v>44</v>
      </c>
      <c r="AG2738" t="str">
        <f t="shared" si="45"/>
        <v>CC 12x</v>
      </c>
      <c r="AH2738" t="str">
        <f>IF(AND(SUMIF(E:E,E2738,I:I)&gt;=400000,Q2738="B2G"),"n","")</f>
        <v/>
      </c>
    </row>
    <row r="2739" spans="1:34">
      <c r="A2739">
        <v>2026</v>
      </c>
      <c r="B2739">
        <v>3</v>
      </c>
      <c r="C2739" s="83">
        <v>2253203</v>
      </c>
      <c r="D2739" t="s">
        <v>2489</v>
      </c>
      <c r="E2739">
        <v>58068135330</v>
      </c>
      <c r="F2739">
        <v>636623</v>
      </c>
      <c r="G2739">
        <v>53409398592</v>
      </c>
      <c r="H2739" t="s">
        <v>35</v>
      </c>
      <c r="I2739" s="36">
        <v>3585.12</v>
      </c>
      <c r="J2739" s="36">
        <v>3585.12</v>
      </c>
      <c r="K2739" s="85">
        <v>0</v>
      </c>
      <c r="L2739" s="36">
        <v>298.76</v>
      </c>
      <c r="M2739" s="36">
        <v>298.76</v>
      </c>
      <c r="N2739" s="36">
        <v>0</v>
      </c>
      <c r="O2739" s="36">
        <v>0</v>
      </c>
      <c r="P2739" t="s">
        <v>829</v>
      </c>
      <c r="Q2739" t="s">
        <v>300</v>
      </c>
      <c r="R2739" t="s">
        <v>300</v>
      </c>
      <c r="S2739" s="1">
        <v>46101</v>
      </c>
      <c r="T2739" s="1">
        <v>46101</v>
      </c>
      <c r="U2739" s="1"/>
      <c r="V2739" s="1">
        <v>46466</v>
      </c>
      <c r="W2739" t="s">
        <v>38</v>
      </c>
      <c r="X2739">
        <v>12</v>
      </c>
      <c r="Y2739" t="s">
        <v>49</v>
      </c>
      <c r="AA2739" t="s">
        <v>112</v>
      </c>
      <c r="AB2739">
        <v>12</v>
      </c>
      <c r="AC2739" t="s">
        <v>301</v>
      </c>
      <c r="AD2739" t="s">
        <v>160</v>
      </c>
      <c r="AE2739" t="s">
        <v>43</v>
      </c>
      <c r="AF2739" t="s">
        <v>44</v>
      </c>
      <c r="AG2739" t="str">
        <f t="shared" si="45"/>
        <v>CC 12x</v>
      </c>
      <c r="AH2739" t="str">
        <f>IF(AND(SUMIF(E:E,E2739,I:I)&gt;=400000,Q2739="B2G"),"n","")</f>
        <v/>
      </c>
    </row>
    <row r="2740" spans="1:34">
      <c r="A2740">
        <v>2026</v>
      </c>
      <c r="B2740">
        <v>3</v>
      </c>
      <c r="C2740" s="83">
        <v>2260229</v>
      </c>
      <c r="D2740" t="s">
        <v>2490</v>
      </c>
      <c r="E2740">
        <v>57837089935</v>
      </c>
      <c r="F2740">
        <v>636423</v>
      </c>
      <c r="G2740">
        <v>53036147622</v>
      </c>
      <c r="H2740" t="s">
        <v>104</v>
      </c>
      <c r="I2740" s="36">
        <v>718.8</v>
      </c>
      <c r="J2740" s="36">
        <v>718.8</v>
      </c>
      <c r="K2740" s="85">
        <v>0</v>
      </c>
      <c r="L2740" s="36">
        <v>59.9</v>
      </c>
      <c r="M2740" s="36">
        <v>59.9</v>
      </c>
      <c r="N2740" s="36">
        <v>0</v>
      </c>
      <c r="O2740" s="36">
        <v>0</v>
      </c>
      <c r="P2740" t="s">
        <v>497</v>
      </c>
      <c r="Q2740" t="s">
        <v>498</v>
      </c>
      <c r="R2740" t="s">
        <v>498</v>
      </c>
      <c r="S2740" s="1">
        <v>46090</v>
      </c>
      <c r="T2740" s="1">
        <v>46090</v>
      </c>
      <c r="U2740" s="1"/>
      <c r="V2740" s="1">
        <v>46455</v>
      </c>
      <c r="W2740" t="s">
        <v>38</v>
      </c>
      <c r="X2740">
        <v>12</v>
      </c>
      <c r="Y2740" t="s">
        <v>49</v>
      </c>
      <c r="AA2740" t="s">
        <v>117</v>
      </c>
      <c r="AB2740">
        <v>1</v>
      </c>
      <c r="AC2740" t="s">
        <v>499</v>
      </c>
      <c r="AD2740" t="s">
        <v>105</v>
      </c>
      <c r="AE2740" t="s">
        <v>106</v>
      </c>
      <c r="AF2740" t="s">
        <v>59</v>
      </c>
      <c r="AG2740" t="str">
        <f t="shared" si="45"/>
        <v>À Vista</v>
      </c>
      <c r="AH2740" t="str">
        <f>IF(AND(SUMIF(E:E,E2740,I:I)&gt;=400000,Q2740="B2G"),"n","")</f>
        <v/>
      </c>
    </row>
    <row r="2741" spans="1:34">
      <c r="A2741">
        <v>2026</v>
      </c>
      <c r="B2741">
        <v>3</v>
      </c>
      <c r="C2741" s="83">
        <v>2261063</v>
      </c>
      <c r="D2741" t="s">
        <v>1570</v>
      </c>
      <c r="E2741">
        <v>57858067719</v>
      </c>
      <c r="F2741">
        <v>636024</v>
      </c>
      <c r="G2741">
        <v>53090633401</v>
      </c>
      <c r="H2741" t="s">
        <v>35</v>
      </c>
      <c r="I2741" s="36">
        <v>994.2</v>
      </c>
      <c r="J2741" s="36">
        <v>1077.5999999999999</v>
      </c>
      <c r="K2741" s="85">
        <v>0</v>
      </c>
      <c r="L2741" s="36">
        <v>89.8</v>
      </c>
      <c r="M2741" s="36">
        <v>0</v>
      </c>
      <c r="N2741" s="36">
        <v>89.8</v>
      </c>
      <c r="O2741" s="36">
        <v>0</v>
      </c>
      <c r="P2741" t="s">
        <v>323</v>
      </c>
      <c r="Q2741" t="s">
        <v>191</v>
      </c>
      <c r="R2741" t="s">
        <v>191</v>
      </c>
      <c r="S2741" s="1">
        <v>46091</v>
      </c>
      <c r="T2741" s="1">
        <v>46091</v>
      </c>
      <c r="U2741" s="1">
        <v>46428</v>
      </c>
      <c r="V2741" s="1">
        <v>46428</v>
      </c>
      <c r="W2741" t="s">
        <v>38</v>
      </c>
      <c r="X2741">
        <v>11</v>
      </c>
      <c r="Y2741" t="s">
        <v>49</v>
      </c>
      <c r="Z2741" t="s">
        <v>324</v>
      </c>
      <c r="AA2741" t="s">
        <v>112</v>
      </c>
      <c r="AB2741">
        <v>11</v>
      </c>
      <c r="AC2741" t="s">
        <v>192</v>
      </c>
      <c r="AD2741" t="s">
        <v>229</v>
      </c>
      <c r="AE2741" t="s">
        <v>43</v>
      </c>
      <c r="AF2741" t="s">
        <v>96</v>
      </c>
      <c r="AG2741" t="str">
        <f t="shared" si="45"/>
        <v>CC 12x</v>
      </c>
      <c r="AH2741" t="str">
        <f>IF(AND(SUMIF(E:E,E2741,I:I)&gt;=400000,Q2741="B2G"),"n","")</f>
        <v/>
      </c>
    </row>
    <row r="2742" spans="1:34">
      <c r="A2742">
        <v>2026</v>
      </c>
      <c r="B2742">
        <v>3</v>
      </c>
      <c r="C2742" s="83">
        <v>2262139</v>
      </c>
      <c r="D2742" t="s">
        <v>2491</v>
      </c>
      <c r="E2742">
        <v>55928361125</v>
      </c>
      <c r="F2742">
        <v>627448</v>
      </c>
      <c r="G2742">
        <v>51236031638</v>
      </c>
      <c r="H2742" t="s">
        <v>35</v>
      </c>
      <c r="I2742" s="36">
        <v>2874</v>
      </c>
      <c r="J2742" s="36">
        <v>2874</v>
      </c>
      <c r="K2742" s="85">
        <v>0</v>
      </c>
      <c r="L2742" s="36">
        <v>239.5</v>
      </c>
      <c r="M2742" s="36">
        <v>0</v>
      </c>
      <c r="N2742" s="36">
        <v>36.35</v>
      </c>
      <c r="O2742" s="36">
        <v>203.15</v>
      </c>
      <c r="P2742" t="s">
        <v>165</v>
      </c>
      <c r="Q2742" t="s">
        <v>166</v>
      </c>
      <c r="R2742" t="s">
        <v>166</v>
      </c>
      <c r="S2742" s="1">
        <v>46098</v>
      </c>
      <c r="T2742" s="1">
        <v>46098</v>
      </c>
      <c r="U2742" s="1">
        <v>46098</v>
      </c>
      <c r="V2742" s="1">
        <v>46463</v>
      </c>
      <c r="W2742" t="s">
        <v>38</v>
      </c>
      <c r="X2742">
        <v>12</v>
      </c>
      <c r="Y2742" t="s">
        <v>49</v>
      </c>
      <c r="Z2742" t="s">
        <v>81</v>
      </c>
      <c r="AA2742" t="s">
        <v>112</v>
      </c>
      <c r="AB2742">
        <v>12</v>
      </c>
      <c r="AC2742" t="s">
        <v>166</v>
      </c>
      <c r="AD2742" t="s">
        <v>140</v>
      </c>
      <c r="AE2742" t="s">
        <v>46</v>
      </c>
      <c r="AF2742" t="s">
        <v>119</v>
      </c>
      <c r="AG2742" t="str">
        <f t="shared" si="45"/>
        <v>CC 12x</v>
      </c>
      <c r="AH2742" t="str">
        <f>IF(AND(SUMIF(E:E,E2742,I:I)&gt;=400000,Q2742="B2G"),"n","")</f>
        <v/>
      </c>
    </row>
    <row r="2743" spans="1:34">
      <c r="A2743">
        <v>2026</v>
      </c>
      <c r="B2743">
        <v>3</v>
      </c>
      <c r="C2743" s="83">
        <v>2268021</v>
      </c>
      <c r="D2743" t="s">
        <v>2492</v>
      </c>
      <c r="E2743">
        <v>57816388109</v>
      </c>
      <c r="F2743">
        <v>636411</v>
      </c>
      <c r="G2743">
        <v>53066343961</v>
      </c>
      <c r="H2743" t="s">
        <v>35</v>
      </c>
      <c r="I2743" s="36">
        <v>5293.44</v>
      </c>
      <c r="J2743" s="36">
        <v>5293.44</v>
      </c>
      <c r="K2743" s="85">
        <v>0</v>
      </c>
      <c r="L2743" s="36">
        <v>441.12</v>
      </c>
      <c r="M2743" s="36">
        <v>441.12</v>
      </c>
      <c r="N2743" s="36">
        <v>0</v>
      </c>
      <c r="O2743" s="36">
        <v>0</v>
      </c>
      <c r="P2743" t="s">
        <v>829</v>
      </c>
      <c r="Q2743" t="s">
        <v>300</v>
      </c>
      <c r="R2743" t="s">
        <v>300</v>
      </c>
      <c r="S2743" s="1">
        <v>46090</v>
      </c>
      <c r="T2743" s="1">
        <v>46090</v>
      </c>
      <c r="U2743" s="1"/>
      <c r="V2743" s="1">
        <v>46455</v>
      </c>
      <c r="W2743" t="s">
        <v>38</v>
      </c>
      <c r="X2743">
        <v>12</v>
      </c>
      <c r="Y2743" t="s">
        <v>49</v>
      </c>
      <c r="AA2743" t="s">
        <v>112</v>
      </c>
      <c r="AB2743">
        <v>12</v>
      </c>
      <c r="AC2743" t="s">
        <v>301</v>
      </c>
      <c r="AD2743" t="s">
        <v>138</v>
      </c>
      <c r="AE2743" t="s">
        <v>135</v>
      </c>
      <c r="AF2743" t="s">
        <v>119</v>
      </c>
      <c r="AG2743" t="str">
        <f t="shared" si="45"/>
        <v>CC 12x</v>
      </c>
      <c r="AH2743" t="str">
        <f>IF(AND(SUMIF(E:E,E2743,I:I)&gt;=400000,Q2743="B2G"),"n","")</f>
        <v/>
      </c>
    </row>
    <row r="2744" spans="1:34">
      <c r="A2744">
        <v>2026</v>
      </c>
      <c r="B2744">
        <v>3</v>
      </c>
      <c r="C2744" s="83">
        <v>2268429</v>
      </c>
      <c r="D2744" t="s">
        <v>2493</v>
      </c>
      <c r="E2744">
        <v>55935274011</v>
      </c>
      <c r="F2744">
        <v>627272</v>
      </c>
      <c r="G2744">
        <v>51236342550</v>
      </c>
      <c r="H2744" t="s">
        <v>35</v>
      </c>
      <c r="I2744" s="36">
        <v>2874</v>
      </c>
      <c r="J2744" s="36">
        <v>2874</v>
      </c>
      <c r="K2744" s="85">
        <v>0</v>
      </c>
      <c r="L2744" s="36">
        <v>239.5</v>
      </c>
      <c r="M2744" s="36">
        <v>0</v>
      </c>
      <c r="N2744" s="36">
        <v>0.5</v>
      </c>
      <c r="O2744" s="36">
        <v>239</v>
      </c>
      <c r="P2744" t="s">
        <v>165</v>
      </c>
      <c r="Q2744" t="s">
        <v>166</v>
      </c>
      <c r="R2744" t="s">
        <v>166</v>
      </c>
      <c r="S2744" s="1">
        <v>46092</v>
      </c>
      <c r="T2744" s="1">
        <v>46092</v>
      </c>
      <c r="U2744" s="1">
        <v>46092</v>
      </c>
      <c r="V2744" s="1">
        <v>46457</v>
      </c>
      <c r="W2744" t="s">
        <v>38</v>
      </c>
      <c r="X2744">
        <v>12</v>
      </c>
      <c r="Y2744" t="s">
        <v>49</v>
      </c>
      <c r="Z2744" t="s">
        <v>81</v>
      </c>
      <c r="AA2744" t="s">
        <v>112</v>
      </c>
      <c r="AB2744">
        <v>12</v>
      </c>
      <c r="AC2744" t="s">
        <v>166</v>
      </c>
      <c r="AD2744" t="s">
        <v>118</v>
      </c>
      <c r="AE2744" t="s">
        <v>43</v>
      </c>
      <c r="AF2744" t="s">
        <v>119</v>
      </c>
      <c r="AG2744" t="str">
        <f t="shared" si="45"/>
        <v>CC 12x</v>
      </c>
      <c r="AH2744" t="str">
        <f>IF(AND(SUMIF(E:E,E2744,I:I)&gt;=400000,Q2744="B2G"),"n","")</f>
        <v/>
      </c>
    </row>
    <row r="2745" spans="1:34">
      <c r="A2745">
        <v>2026</v>
      </c>
      <c r="B2745">
        <v>3</v>
      </c>
      <c r="C2745" s="83">
        <v>2277873</v>
      </c>
      <c r="D2745" t="s">
        <v>2494</v>
      </c>
      <c r="E2745">
        <v>58339179644</v>
      </c>
      <c r="F2745">
        <v>636683</v>
      </c>
      <c r="G2745">
        <v>53492964694</v>
      </c>
      <c r="H2745" t="s">
        <v>35</v>
      </c>
      <c r="I2745" s="36">
        <v>2874</v>
      </c>
      <c r="J2745" s="36">
        <v>2874</v>
      </c>
      <c r="K2745" s="85">
        <v>0</v>
      </c>
      <c r="L2745" s="36">
        <v>239.5</v>
      </c>
      <c r="M2745" s="36">
        <v>239.5</v>
      </c>
      <c r="N2745" s="36">
        <v>0</v>
      </c>
      <c r="O2745" s="36">
        <v>0</v>
      </c>
      <c r="P2745" t="s">
        <v>829</v>
      </c>
      <c r="Q2745" t="s">
        <v>300</v>
      </c>
      <c r="R2745" t="s">
        <v>300</v>
      </c>
      <c r="S2745" s="1">
        <v>46105</v>
      </c>
      <c r="T2745" s="1">
        <v>46105</v>
      </c>
      <c r="U2745" s="1"/>
      <c r="V2745" s="1">
        <v>46470</v>
      </c>
      <c r="W2745" t="s">
        <v>38</v>
      </c>
      <c r="X2745">
        <v>12</v>
      </c>
      <c r="Y2745" t="s">
        <v>49</v>
      </c>
      <c r="AA2745" t="s">
        <v>112</v>
      </c>
      <c r="AB2745">
        <v>12</v>
      </c>
      <c r="AC2745" t="s">
        <v>301</v>
      </c>
      <c r="AD2745" t="s">
        <v>118</v>
      </c>
      <c r="AE2745" t="s">
        <v>43</v>
      </c>
      <c r="AF2745" t="s">
        <v>119</v>
      </c>
      <c r="AG2745" t="str">
        <f t="shared" si="45"/>
        <v>CC 12x</v>
      </c>
      <c r="AH2745" t="str">
        <f>IF(AND(SUMIF(E:E,E2745,I:I)&gt;=400000,Q2745="B2G"),"n","")</f>
        <v/>
      </c>
    </row>
    <row r="2746" spans="1:34">
      <c r="A2746">
        <v>2026</v>
      </c>
      <c r="B2746">
        <v>3</v>
      </c>
      <c r="C2746" s="83">
        <v>2286259</v>
      </c>
      <c r="D2746" t="s">
        <v>2495</v>
      </c>
      <c r="E2746">
        <v>55946971519</v>
      </c>
      <c r="F2746">
        <v>627435</v>
      </c>
      <c r="G2746">
        <v>51232044436</v>
      </c>
      <c r="H2746" t="s">
        <v>35</v>
      </c>
      <c r="I2746" s="36">
        <v>2874</v>
      </c>
      <c r="J2746" s="36">
        <v>2874</v>
      </c>
      <c r="K2746" s="85">
        <v>0</v>
      </c>
      <c r="L2746" s="36">
        <v>239.5</v>
      </c>
      <c r="M2746" s="36">
        <v>0</v>
      </c>
      <c r="N2746" s="36">
        <v>0.5</v>
      </c>
      <c r="O2746" s="36">
        <v>239</v>
      </c>
      <c r="P2746" t="s">
        <v>165</v>
      </c>
      <c r="Q2746" t="s">
        <v>166</v>
      </c>
      <c r="R2746" t="s">
        <v>166</v>
      </c>
      <c r="S2746" s="1">
        <v>46098</v>
      </c>
      <c r="T2746" s="1">
        <v>46098</v>
      </c>
      <c r="U2746" s="1">
        <v>46098</v>
      </c>
      <c r="V2746" s="1">
        <v>46463</v>
      </c>
      <c r="W2746" t="s">
        <v>38</v>
      </c>
      <c r="X2746">
        <v>12</v>
      </c>
      <c r="Y2746" t="s">
        <v>49</v>
      </c>
      <c r="Z2746" t="s">
        <v>81</v>
      </c>
      <c r="AA2746" t="s">
        <v>112</v>
      </c>
      <c r="AB2746">
        <v>12</v>
      </c>
      <c r="AC2746" t="s">
        <v>166</v>
      </c>
      <c r="AD2746" t="s">
        <v>140</v>
      </c>
      <c r="AE2746" t="s">
        <v>46</v>
      </c>
      <c r="AF2746" t="s">
        <v>119</v>
      </c>
      <c r="AG2746" t="str">
        <f t="shared" si="45"/>
        <v>CC 12x</v>
      </c>
      <c r="AH2746" t="str">
        <f>IF(AND(SUMIF(E:E,E2746,I:I)&gt;=400000,Q2746="B2G"),"n","")</f>
        <v/>
      </c>
    </row>
    <row r="2747" spans="1:34">
      <c r="A2747">
        <v>2026</v>
      </c>
      <c r="B2747">
        <v>3</v>
      </c>
      <c r="C2747" s="83">
        <v>23227063856</v>
      </c>
      <c r="D2747" t="s">
        <v>2496</v>
      </c>
      <c r="E2747">
        <v>57816619431</v>
      </c>
      <c r="F2747">
        <v>621175</v>
      </c>
      <c r="G2747">
        <v>53237560597</v>
      </c>
      <c r="H2747" t="s">
        <v>35</v>
      </c>
      <c r="I2747" s="36">
        <v>1180.44</v>
      </c>
      <c r="J2747" s="36">
        <v>1414.86</v>
      </c>
      <c r="K2747" s="85">
        <v>0</v>
      </c>
      <c r="L2747" s="36">
        <v>117.905</v>
      </c>
      <c r="M2747" s="36">
        <v>0</v>
      </c>
      <c r="N2747" s="36">
        <v>117.905</v>
      </c>
      <c r="O2747" s="36">
        <v>0</v>
      </c>
      <c r="P2747" t="s">
        <v>323</v>
      </c>
      <c r="Q2747" t="s">
        <v>191</v>
      </c>
      <c r="R2747" t="s">
        <v>191</v>
      </c>
      <c r="S2747" s="1">
        <v>46097</v>
      </c>
      <c r="T2747" s="1">
        <v>46097</v>
      </c>
      <c r="U2747" s="1">
        <v>46289</v>
      </c>
      <c r="V2747" s="1">
        <v>46289</v>
      </c>
      <c r="W2747" t="s">
        <v>38</v>
      </c>
      <c r="X2747">
        <v>6</v>
      </c>
      <c r="Y2747" t="s">
        <v>49</v>
      </c>
      <c r="Z2747" t="s">
        <v>324</v>
      </c>
      <c r="AA2747" t="s">
        <v>122</v>
      </c>
      <c r="AB2747">
        <v>6</v>
      </c>
      <c r="AC2747" t="s">
        <v>192</v>
      </c>
      <c r="AD2747" t="s">
        <v>138</v>
      </c>
      <c r="AE2747" t="s">
        <v>135</v>
      </c>
      <c r="AF2747" t="s">
        <v>119</v>
      </c>
      <c r="AG2747" t="str">
        <f t="shared" si="45"/>
        <v>Recorrente</v>
      </c>
      <c r="AH2747" t="str">
        <f>IF(AND(SUMIF(E:E,E2747,I:I)&gt;=400000,Q2747="B2G"),"n","")</f>
        <v/>
      </c>
    </row>
    <row r="2748" spans="1:34">
      <c r="A2748">
        <v>2026</v>
      </c>
      <c r="B2748">
        <v>3</v>
      </c>
      <c r="C2748" s="83">
        <v>23227063856</v>
      </c>
      <c r="D2748" t="s">
        <v>2496</v>
      </c>
      <c r="E2748">
        <v>57816619431</v>
      </c>
      <c r="F2748">
        <v>621175</v>
      </c>
      <c r="G2748">
        <v>53237560598</v>
      </c>
      <c r="H2748" t="s">
        <v>35</v>
      </c>
      <c r="I2748" s="36">
        <v>306.95999999999998</v>
      </c>
      <c r="J2748" s="36">
        <v>1414.86</v>
      </c>
      <c r="K2748" s="85">
        <v>0</v>
      </c>
      <c r="L2748" s="36">
        <v>117.905</v>
      </c>
      <c r="M2748" s="36">
        <v>0</v>
      </c>
      <c r="N2748" s="36">
        <v>117.905</v>
      </c>
      <c r="O2748" s="36">
        <v>0</v>
      </c>
      <c r="P2748" t="s">
        <v>323</v>
      </c>
      <c r="Q2748" t="s">
        <v>191</v>
      </c>
      <c r="R2748" t="s">
        <v>191</v>
      </c>
      <c r="S2748" s="1">
        <v>46097</v>
      </c>
      <c r="T2748" s="1">
        <v>46097</v>
      </c>
      <c r="U2748" s="1">
        <v>46289</v>
      </c>
      <c r="V2748" s="1">
        <v>46289</v>
      </c>
      <c r="W2748" t="s">
        <v>38</v>
      </c>
      <c r="X2748">
        <v>6</v>
      </c>
      <c r="Y2748" t="s">
        <v>49</v>
      </c>
      <c r="Z2748" t="s">
        <v>324</v>
      </c>
      <c r="AA2748" t="s">
        <v>122</v>
      </c>
      <c r="AB2748">
        <v>6</v>
      </c>
      <c r="AC2748" t="s">
        <v>192</v>
      </c>
      <c r="AD2748" t="s">
        <v>1270</v>
      </c>
      <c r="AE2748" t="s">
        <v>95</v>
      </c>
      <c r="AF2748" t="s">
        <v>244</v>
      </c>
      <c r="AG2748" t="str">
        <f t="shared" ref="AG2748:AG2811" si="46">IF(IFERROR(SEARCH("Recorrente",AA2748),0)&gt;0,"Recorrente",IF(AB2748=1,"À Vista",IF(AB2748&lt;=3,"CC 3x",IF(AB2748&lt;=12,"CC 12x",IF(AB2748&gt;12,"Recorrente","")))))</f>
        <v>Recorrente</v>
      </c>
      <c r="AH2748" t="str">
        <f>IF(AND(SUMIF(E:E,E2748,I:I)&gt;=400000,Q2748="B2G"),"n","")</f>
        <v/>
      </c>
    </row>
    <row r="2749" spans="1:34">
      <c r="A2749">
        <v>2026</v>
      </c>
      <c r="B2749">
        <v>3</v>
      </c>
      <c r="C2749" s="83">
        <v>23518478093</v>
      </c>
      <c r="D2749" t="s">
        <v>2497</v>
      </c>
      <c r="E2749">
        <v>58133738872</v>
      </c>
      <c r="F2749">
        <v>636570</v>
      </c>
      <c r="G2749">
        <v>53270285402</v>
      </c>
      <c r="H2749" t="s">
        <v>35</v>
      </c>
      <c r="I2749" s="36">
        <v>6354</v>
      </c>
      <c r="J2749" s="36">
        <v>6354</v>
      </c>
      <c r="K2749" s="85">
        <v>0</v>
      </c>
      <c r="L2749" s="36">
        <v>529.5</v>
      </c>
      <c r="M2749" s="36">
        <v>529.5</v>
      </c>
      <c r="N2749" s="36">
        <v>0</v>
      </c>
      <c r="O2749" s="36">
        <v>0</v>
      </c>
      <c r="P2749" t="s">
        <v>497</v>
      </c>
      <c r="Q2749" t="s">
        <v>498</v>
      </c>
      <c r="R2749" t="s">
        <v>498</v>
      </c>
      <c r="S2749" s="1">
        <v>46099</v>
      </c>
      <c r="T2749" s="1">
        <v>46099</v>
      </c>
      <c r="V2749" s="1">
        <v>46464</v>
      </c>
      <c r="W2749" t="s">
        <v>38</v>
      </c>
      <c r="X2749">
        <v>12</v>
      </c>
      <c r="Y2749" t="s">
        <v>49</v>
      </c>
      <c r="AA2749" t="s">
        <v>112</v>
      </c>
      <c r="AB2749">
        <v>12</v>
      </c>
      <c r="AC2749" t="s">
        <v>499</v>
      </c>
      <c r="AD2749" t="s">
        <v>146</v>
      </c>
      <c r="AE2749" t="s">
        <v>135</v>
      </c>
      <c r="AF2749" t="s">
        <v>96</v>
      </c>
      <c r="AG2749" t="str">
        <f t="shared" si="46"/>
        <v>CC 12x</v>
      </c>
      <c r="AH2749" t="str">
        <f>IF(AND(SUMIF(E:E,E2749,I:I)&gt;=400000,Q2749="B2G"),"n","")</f>
        <v/>
      </c>
    </row>
    <row r="2750" spans="1:34">
      <c r="A2750">
        <v>2026</v>
      </c>
      <c r="B2750">
        <v>3</v>
      </c>
      <c r="C2750" s="83">
        <v>23785543094</v>
      </c>
      <c r="D2750" t="s">
        <v>2498</v>
      </c>
      <c r="E2750">
        <v>58316305322</v>
      </c>
      <c r="F2750">
        <v>636682</v>
      </c>
      <c r="G2750">
        <v>53491104677</v>
      </c>
      <c r="H2750" t="s">
        <v>35</v>
      </c>
      <c r="I2750" s="36">
        <v>4447.8</v>
      </c>
      <c r="J2750" s="36">
        <v>4447.8</v>
      </c>
      <c r="K2750" s="85">
        <v>9.0949500000000005E-13</v>
      </c>
      <c r="L2750" s="36">
        <v>370.65</v>
      </c>
      <c r="M2750" s="36">
        <v>0</v>
      </c>
      <c r="N2750" s="36">
        <v>370.65</v>
      </c>
      <c r="O2750" s="36">
        <v>0</v>
      </c>
      <c r="P2750" t="s">
        <v>323</v>
      </c>
      <c r="Q2750" t="s">
        <v>191</v>
      </c>
      <c r="R2750" t="s">
        <v>191</v>
      </c>
      <c r="S2750" s="1">
        <v>46105</v>
      </c>
      <c r="T2750" s="1">
        <v>46105</v>
      </c>
      <c r="U2750" s="1"/>
      <c r="V2750" s="1">
        <v>46470</v>
      </c>
      <c r="W2750" t="s">
        <v>38</v>
      </c>
      <c r="X2750">
        <v>12</v>
      </c>
      <c r="Y2750" t="s">
        <v>49</v>
      </c>
      <c r="AA2750" t="s">
        <v>122</v>
      </c>
      <c r="AB2750">
        <v>12</v>
      </c>
      <c r="AC2750" t="s">
        <v>192</v>
      </c>
      <c r="AD2750" t="s">
        <v>149</v>
      </c>
      <c r="AE2750" t="s">
        <v>43</v>
      </c>
      <c r="AF2750" t="s">
        <v>96</v>
      </c>
      <c r="AG2750" t="str">
        <f t="shared" si="46"/>
        <v>Recorrente</v>
      </c>
      <c r="AH2750" t="str">
        <f>IF(AND(SUMIF(E:E,E2750,I:I)&gt;=400000,Q2750="B2G"),"n","")</f>
        <v/>
      </c>
    </row>
    <row r="2751" spans="1:34">
      <c r="A2751">
        <v>2026</v>
      </c>
      <c r="B2751">
        <v>3</v>
      </c>
      <c r="C2751" s="83">
        <v>23786036915</v>
      </c>
      <c r="D2751" t="s">
        <v>2499</v>
      </c>
      <c r="E2751">
        <v>58214667333</v>
      </c>
      <c r="F2751">
        <v>627609</v>
      </c>
      <c r="G2751">
        <v>53666768554</v>
      </c>
      <c r="H2751" t="s">
        <v>35</v>
      </c>
      <c r="I2751" s="36">
        <v>6664.68</v>
      </c>
      <c r="J2751" s="36">
        <v>6664.68</v>
      </c>
      <c r="K2751" s="85">
        <v>0</v>
      </c>
      <c r="L2751" s="36">
        <v>555.39</v>
      </c>
      <c r="M2751" s="36">
        <v>0</v>
      </c>
      <c r="N2751" s="36">
        <v>436.06375000000003</v>
      </c>
      <c r="O2751" s="36">
        <v>119.33</v>
      </c>
      <c r="P2751" t="s">
        <v>137</v>
      </c>
      <c r="Q2751" t="s">
        <v>111</v>
      </c>
      <c r="R2751" t="s">
        <v>111</v>
      </c>
      <c r="S2751" s="1">
        <v>46110</v>
      </c>
      <c r="T2751" s="1">
        <v>46110</v>
      </c>
      <c r="U2751" s="1">
        <v>46101</v>
      </c>
      <c r="V2751" s="1">
        <v>46476</v>
      </c>
      <c r="W2751" t="s">
        <v>38</v>
      </c>
      <c r="X2751">
        <v>12</v>
      </c>
      <c r="Y2751" t="s">
        <v>49</v>
      </c>
      <c r="Z2751" t="s">
        <v>81</v>
      </c>
      <c r="AA2751" t="s">
        <v>122</v>
      </c>
      <c r="AB2751">
        <v>12</v>
      </c>
      <c r="AC2751" t="s">
        <v>113</v>
      </c>
      <c r="AD2751" t="s">
        <v>134</v>
      </c>
      <c r="AE2751" t="s">
        <v>135</v>
      </c>
      <c r="AF2751" t="s">
        <v>44</v>
      </c>
      <c r="AG2751" t="str">
        <f t="shared" si="46"/>
        <v>Recorrente</v>
      </c>
      <c r="AH2751" t="str">
        <f>IF(AND(SUMIF(E:E,E2751,I:I)&gt;=400000,Q2751="B2G"),"n","")</f>
        <v/>
      </c>
    </row>
    <row r="2752" spans="1:34">
      <c r="A2752">
        <v>2026</v>
      </c>
      <c r="B2752">
        <v>3</v>
      </c>
      <c r="C2752" s="83">
        <v>23890568551</v>
      </c>
      <c r="D2752" t="s">
        <v>2500</v>
      </c>
      <c r="E2752">
        <v>58511582783</v>
      </c>
      <c r="F2752">
        <v>636753</v>
      </c>
      <c r="G2752">
        <v>53709595259</v>
      </c>
      <c r="H2752" t="s">
        <v>104</v>
      </c>
      <c r="I2752" s="36">
        <v>718.8</v>
      </c>
      <c r="J2752" s="36">
        <v>718.8</v>
      </c>
      <c r="K2752" s="85">
        <v>0</v>
      </c>
      <c r="L2752" s="36">
        <v>59.9</v>
      </c>
      <c r="M2752" s="36">
        <v>59.9</v>
      </c>
      <c r="N2752" s="36">
        <v>0</v>
      </c>
      <c r="O2752" s="36">
        <v>0</v>
      </c>
      <c r="P2752" t="s">
        <v>497</v>
      </c>
      <c r="Q2752" t="s">
        <v>498</v>
      </c>
      <c r="R2752" t="s">
        <v>498</v>
      </c>
      <c r="S2752" s="1">
        <v>46109</v>
      </c>
      <c r="T2752" s="1">
        <v>46109</v>
      </c>
      <c r="U2752" s="1"/>
      <c r="V2752" s="1">
        <v>46474</v>
      </c>
      <c r="W2752" t="s">
        <v>38</v>
      </c>
      <c r="X2752">
        <v>12</v>
      </c>
      <c r="Y2752" t="s">
        <v>49</v>
      </c>
      <c r="AA2752" t="s">
        <v>112</v>
      </c>
      <c r="AB2752">
        <v>12</v>
      </c>
      <c r="AC2752" t="s">
        <v>499</v>
      </c>
      <c r="AD2752" t="s">
        <v>105</v>
      </c>
      <c r="AE2752" t="s">
        <v>106</v>
      </c>
      <c r="AF2752" t="s">
        <v>59</v>
      </c>
      <c r="AG2752" t="str">
        <f t="shared" si="46"/>
        <v>CC 12x</v>
      </c>
      <c r="AH2752" t="str">
        <f>IF(AND(SUMIF(E:E,E2752,I:I)&gt;=400000,Q2752="B2G"),"n","")</f>
        <v/>
      </c>
    </row>
    <row r="2753" spans="1:34">
      <c r="A2753">
        <v>2026</v>
      </c>
      <c r="B2753">
        <v>3</v>
      </c>
      <c r="C2753" s="83">
        <v>26207196300</v>
      </c>
      <c r="D2753" t="s">
        <v>2501</v>
      </c>
      <c r="E2753">
        <v>57738664368</v>
      </c>
      <c r="F2753">
        <v>636515</v>
      </c>
      <c r="G2753">
        <v>53208833696</v>
      </c>
      <c r="H2753" t="s">
        <v>35</v>
      </c>
      <c r="I2753" s="36">
        <v>5034</v>
      </c>
      <c r="J2753" s="36">
        <v>5034</v>
      </c>
      <c r="K2753" s="85">
        <v>0</v>
      </c>
      <c r="L2753" s="36">
        <v>419.5</v>
      </c>
      <c r="M2753" s="36">
        <v>0</v>
      </c>
      <c r="N2753" s="36">
        <v>419.5</v>
      </c>
      <c r="O2753" s="36">
        <v>0</v>
      </c>
      <c r="P2753" t="s">
        <v>367</v>
      </c>
      <c r="Q2753" t="s">
        <v>191</v>
      </c>
      <c r="R2753" t="s">
        <v>191</v>
      </c>
      <c r="S2753" s="1">
        <v>46094</v>
      </c>
      <c r="T2753" s="1">
        <v>46094</v>
      </c>
      <c r="U2753" s="1"/>
      <c r="V2753" s="1">
        <v>46459</v>
      </c>
      <c r="W2753" t="s">
        <v>38</v>
      </c>
      <c r="X2753">
        <v>12</v>
      </c>
      <c r="Y2753" t="s">
        <v>49</v>
      </c>
      <c r="AA2753" t="s">
        <v>122</v>
      </c>
      <c r="AB2753">
        <v>12</v>
      </c>
      <c r="AC2753" t="s">
        <v>192</v>
      </c>
      <c r="AD2753" t="s">
        <v>84</v>
      </c>
      <c r="AE2753" t="s">
        <v>43</v>
      </c>
      <c r="AF2753" t="s">
        <v>44</v>
      </c>
      <c r="AG2753" t="str">
        <f t="shared" si="46"/>
        <v>Recorrente</v>
      </c>
      <c r="AH2753" t="str">
        <f>IF(AND(SUMIF(E:E,E2753,I:I)&gt;=400000,Q2753="B2G"),"n","")</f>
        <v/>
      </c>
    </row>
    <row r="2754" spans="1:34">
      <c r="A2754">
        <v>2026</v>
      </c>
      <c r="B2754">
        <v>3</v>
      </c>
      <c r="C2754" s="83">
        <v>26370883699</v>
      </c>
      <c r="D2754" t="s">
        <v>2502</v>
      </c>
      <c r="E2754">
        <v>57030891153</v>
      </c>
      <c r="F2754">
        <v>636367</v>
      </c>
      <c r="G2754">
        <v>52859359092</v>
      </c>
      <c r="H2754" t="s">
        <v>35</v>
      </c>
      <c r="I2754" s="36">
        <v>6032.52</v>
      </c>
      <c r="J2754" s="36">
        <v>6032.5559999999996</v>
      </c>
      <c r="K2754" s="85">
        <v>0</v>
      </c>
      <c r="L2754" s="36">
        <v>502.71300000000002</v>
      </c>
      <c r="M2754" s="36">
        <v>0</v>
      </c>
      <c r="N2754" s="36">
        <v>502.71300000000002</v>
      </c>
      <c r="O2754" s="36">
        <v>0</v>
      </c>
      <c r="P2754" t="s">
        <v>520</v>
      </c>
      <c r="Q2754" t="s">
        <v>191</v>
      </c>
      <c r="R2754" t="s">
        <v>191</v>
      </c>
      <c r="S2754" s="1">
        <v>46086</v>
      </c>
      <c r="T2754" s="1">
        <v>46086</v>
      </c>
      <c r="U2754" s="1"/>
      <c r="V2754" s="1">
        <v>46451</v>
      </c>
      <c r="W2754" t="s">
        <v>38</v>
      </c>
      <c r="X2754">
        <v>12</v>
      </c>
      <c r="Y2754" t="s">
        <v>49</v>
      </c>
      <c r="AA2754" t="s">
        <v>117</v>
      </c>
      <c r="AB2754">
        <v>1</v>
      </c>
      <c r="AC2754" t="s">
        <v>192</v>
      </c>
      <c r="AD2754" t="s">
        <v>125</v>
      </c>
      <c r="AE2754" t="s">
        <v>43</v>
      </c>
      <c r="AF2754" t="s">
        <v>47</v>
      </c>
      <c r="AG2754" t="str">
        <f t="shared" si="46"/>
        <v>À Vista</v>
      </c>
      <c r="AH2754" t="str">
        <f>IF(AND(SUMIF(E:E,E2754,I:I)&gt;=400000,Q2754="B2G"),"n","")</f>
        <v/>
      </c>
    </row>
    <row r="2755" spans="1:34">
      <c r="A2755">
        <v>2026</v>
      </c>
      <c r="B2755">
        <v>3</v>
      </c>
      <c r="C2755" s="83">
        <v>26381285399</v>
      </c>
      <c r="D2755" t="s">
        <v>2503</v>
      </c>
      <c r="E2755">
        <v>58158456477</v>
      </c>
      <c r="F2755">
        <v>624244</v>
      </c>
      <c r="G2755">
        <v>53409368465</v>
      </c>
      <c r="H2755" t="s">
        <v>35</v>
      </c>
      <c r="I2755" s="36">
        <v>2619.6</v>
      </c>
      <c r="J2755" s="36">
        <v>3842.88</v>
      </c>
      <c r="K2755" s="85">
        <v>0</v>
      </c>
      <c r="L2755" s="36">
        <v>320.24</v>
      </c>
      <c r="M2755" s="36">
        <v>0</v>
      </c>
      <c r="N2755" s="36">
        <v>320.24</v>
      </c>
      <c r="O2755" s="36">
        <v>0</v>
      </c>
      <c r="P2755" t="s">
        <v>367</v>
      </c>
      <c r="Q2755" t="s">
        <v>191</v>
      </c>
      <c r="R2755" t="s">
        <v>191</v>
      </c>
      <c r="S2755" s="1">
        <v>46104</v>
      </c>
      <c r="T2755" s="1">
        <v>46104</v>
      </c>
      <c r="U2755" s="1">
        <v>46353</v>
      </c>
      <c r="V2755" s="1">
        <v>46353</v>
      </c>
      <c r="W2755" t="s">
        <v>38</v>
      </c>
      <c r="X2755">
        <v>8</v>
      </c>
      <c r="Y2755" t="s">
        <v>49</v>
      </c>
      <c r="Z2755" t="s">
        <v>324</v>
      </c>
      <c r="AA2755" t="s">
        <v>122</v>
      </c>
      <c r="AB2755">
        <v>8</v>
      </c>
      <c r="AC2755" t="s">
        <v>192</v>
      </c>
      <c r="AD2755" t="s">
        <v>131</v>
      </c>
      <c r="AE2755" t="s">
        <v>46</v>
      </c>
      <c r="AF2755" t="s">
        <v>96</v>
      </c>
      <c r="AG2755" t="str">
        <f t="shared" si="46"/>
        <v>Recorrente</v>
      </c>
      <c r="AH2755" t="str">
        <f>IF(AND(SUMIF(E:E,E2755,I:I)&gt;=400000,Q2755="B2G"),"n","")</f>
        <v/>
      </c>
    </row>
    <row r="2756" spans="1:34">
      <c r="A2756">
        <v>2026</v>
      </c>
      <c r="B2756">
        <v>3</v>
      </c>
      <c r="C2756" s="83">
        <v>27449867088</v>
      </c>
      <c r="D2756" t="s">
        <v>2504</v>
      </c>
      <c r="E2756">
        <v>57823565330</v>
      </c>
      <c r="F2756">
        <v>636422</v>
      </c>
      <c r="G2756">
        <v>53072587323</v>
      </c>
      <c r="H2756" t="s">
        <v>35</v>
      </c>
      <c r="I2756" s="36">
        <v>2586.6</v>
      </c>
      <c r="J2756" s="36">
        <v>2586.6</v>
      </c>
      <c r="K2756" s="85">
        <v>0</v>
      </c>
      <c r="L2756" s="36">
        <v>215.55</v>
      </c>
      <c r="M2756" s="36">
        <v>0</v>
      </c>
      <c r="N2756" s="36">
        <v>215.55</v>
      </c>
      <c r="O2756" s="36">
        <v>0</v>
      </c>
      <c r="P2756" t="s">
        <v>520</v>
      </c>
      <c r="Q2756" t="s">
        <v>191</v>
      </c>
      <c r="R2756" t="s">
        <v>191</v>
      </c>
      <c r="S2756" s="1">
        <v>46090</v>
      </c>
      <c r="T2756" s="1">
        <v>46090</v>
      </c>
      <c r="U2756" s="1"/>
      <c r="V2756" s="1">
        <v>46455</v>
      </c>
      <c r="W2756" t="s">
        <v>38</v>
      </c>
      <c r="X2756">
        <v>12</v>
      </c>
      <c r="Y2756" t="s">
        <v>49</v>
      </c>
      <c r="AA2756" t="s">
        <v>112</v>
      </c>
      <c r="AB2756">
        <v>12</v>
      </c>
      <c r="AC2756" t="s">
        <v>192</v>
      </c>
      <c r="AD2756" t="s">
        <v>118</v>
      </c>
      <c r="AE2756" t="s">
        <v>43</v>
      </c>
      <c r="AF2756" t="s">
        <v>119</v>
      </c>
      <c r="AG2756" t="str">
        <f t="shared" si="46"/>
        <v>CC 12x</v>
      </c>
      <c r="AH2756" t="str">
        <f>IF(AND(SUMIF(E:E,E2756,I:I)&gt;=400000,Q2756="B2G"),"n","")</f>
        <v/>
      </c>
    </row>
    <row r="2757" spans="1:34">
      <c r="A2757">
        <v>2026</v>
      </c>
      <c r="B2757">
        <v>3</v>
      </c>
      <c r="C2757" s="83">
        <v>28018778781</v>
      </c>
      <c r="D2757" t="s">
        <v>2505</v>
      </c>
      <c r="E2757">
        <v>56877360429</v>
      </c>
      <c r="F2757">
        <v>627013</v>
      </c>
      <c r="G2757">
        <v>52811643043</v>
      </c>
      <c r="H2757" t="s">
        <v>35</v>
      </c>
      <c r="I2757" s="36">
        <v>5034</v>
      </c>
      <c r="J2757" s="36">
        <v>5034</v>
      </c>
      <c r="K2757" s="85">
        <v>0</v>
      </c>
      <c r="L2757" s="36">
        <v>419.5</v>
      </c>
      <c r="M2757" s="36">
        <v>0</v>
      </c>
      <c r="N2757" s="36">
        <v>32.5</v>
      </c>
      <c r="O2757" s="36">
        <v>387</v>
      </c>
      <c r="P2757" t="s">
        <v>469</v>
      </c>
      <c r="Q2757" t="s">
        <v>111</v>
      </c>
      <c r="R2757" t="s">
        <v>111</v>
      </c>
      <c r="S2757" s="1">
        <v>46087</v>
      </c>
      <c r="T2757" s="1">
        <v>46087</v>
      </c>
      <c r="U2757" s="1">
        <v>46080</v>
      </c>
      <c r="V2757" s="1">
        <v>46452</v>
      </c>
      <c r="W2757" t="s">
        <v>38</v>
      </c>
      <c r="X2757">
        <v>13</v>
      </c>
      <c r="Y2757" t="s">
        <v>49</v>
      </c>
      <c r="Z2757" t="s">
        <v>81</v>
      </c>
      <c r="AA2757" t="s">
        <v>92</v>
      </c>
      <c r="AB2757">
        <v>12</v>
      </c>
      <c r="AC2757" t="s">
        <v>113</v>
      </c>
      <c r="AD2757" t="s">
        <v>84</v>
      </c>
      <c r="AE2757" t="s">
        <v>43</v>
      </c>
      <c r="AF2757" t="s">
        <v>44</v>
      </c>
      <c r="AG2757" t="str">
        <f t="shared" si="46"/>
        <v>Recorrente</v>
      </c>
      <c r="AH2757" t="str">
        <f>IF(AND(SUMIF(E:E,E2757,I:I)&gt;=400000,Q2757="B2G"),"n","")</f>
        <v/>
      </c>
    </row>
    <row r="2758" spans="1:34">
      <c r="A2758">
        <v>2026</v>
      </c>
      <c r="B2758">
        <v>3</v>
      </c>
      <c r="C2758" s="83">
        <v>28259239244</v>
      </c>
      <c r="D2758" t="s">
        <v>2506</v>
      </c>
      <c r="E2758">
        <v>57498180622</v>
      </c>
      <c r="F2758">
        <v>625361</v>
      </c>
      <c r="G2758">
        <v>52758329178</v>
      </c>
      <c r="H2758" t="s">
        <v>35</v>
      </c>
      <c r="I2758" s="36">
        <v>4686.84</v>
      </c>
      <c r="J2758" s="36">
        <v>4686.84</v>
      </c>
      <c r="K2758" s="85">
        <v>0</v>
      </c>
      <c r="L2758" s="36">
        <v>390.57</v>
      </c>
      <c r="M2758" s="36">
        <v>390.57</v>
      </c>
      <c r="N2758" s="36">
        <v>0</v>
      </c>
      <c r="O2758" s="36">
        <v>0</v>
      </c>
      <c r="P2758" t="s">
        <v>133</v>
      </c>
      <c r="Q2758" t="s">
        <v>111</v>
      </c>
      <c r="R2758" t="s">
        <v>111</v>
      </c>
      <c r="S2758" s="1">
        <v>46085</v>
      </c>
      <c r="T2758" s="1">
        <v>46085</v>
      </c>
      <c r="U2758" s="1">
        <v>46031</v>
      </c>
      <c r="V2758" s="1">
        <v>46450</v>
      </c>
      <c r="W2758" t="s">
        <v>38</v>
      </c>
      <c r="X2758">
        <v>14</v>
      </c>
      <c r="Y2758" t="s">
        <v>49</v>
      </c>
      <c r="Z2758" t="s">
        <v>76</v>
      </c>
      <c r="AA2758" t="s">
        <v>122</v>
      </c>
      <c r="AB2758">
        <v>12</v>
      </c>
      <c r="AC2758" t="s">
        <v>113</v>
      </c>
      <c r="AD2758" t="s">
        <v>138</v>
      </c>
      <c r="AE2758" t="s">
        <v>135</v>
      </c>
      <c r="AF2758" t="s">
        <v>119</v>
      </c>
      <c r="AG2758" t="str">
        <f t="shared" si="46"/>
        <v>Recorrente</v>
      </c>
      <c r="AH2758" t="str">
        <f>IF(AND(SUMIF(E:E,E2758,I:I)&gt;=400000,Q2758="B2G"),"n","")</f>
        <v/>
      </c>
    </row>
    <row r="2759" spans="1:34">
      <c r="A2759">
        <v>2026</v>
      </c>
      <c r="B2759">
        <v>3</v>
      </c>
      <c r="C2759" s="83">
        <v>28268245777</v>
      </c>
      <c r="D2759" t="s">
        <v>2507</v>
      </c>
      <c r="E2759">
        <v>54395642202</v>
      </c>
      <c r="F2759">
        <v>627973</v>
      </c>
      <c r="G2759">
        <v>53409433183</v>
      </c>
      <c r="H2759" t="s">
        <v>35</v>
      </c>
      <c r="I2759" s="36">
        <v>7692</v>
      </c>
      <c r="J2759" s="36">
        <v>7692</v>
      </c>
      <c r="K2759" s="85">
        <v>0</v>
      </c>
      <c r="L2759" s="36">
        <v>641</v>
      </c>
      <c r="M2759" s="36">
        <v>0</v>
      </c>
      <c r="N2759" s="36">
        <v>0</v>
      </c>
      <c r="O2759" s="36">
        <v>641</v>
      </c>
      <c r="P2759" t="s">
        <v>1165</v>
      </c>
      <c r="Q2759" t="s">
        <v>37</v>
      </c>
      <c r="R2759" t="s">
        <v>37</v>
      </c>
      <c r="S2759" s="1">
        <v>46104</v>
      </c>
      <c r="T2759" s="1">
        <v>46104</v>
      </c>
      <c r="U2759" s="1">
        <v>46109</v>
      </c>
      <c r="V2759" s="1">
        <v>46474</v>
      </c>
      <c r="W2759" t="s">
        <v>38</v>
      </c>
      <c r="X2759">
        <v>12</v>
      </c>
      <c r="Y2759" t="s">
        <v>49</v>
      </c>
      <c r="Z2759" t="s">
        <v>81</v>
      </c>
      <c r="AA2759" t="s">
        <v>40</v>
      </c>
      <c r="AB2759">
        <v>1</v>
      </c>
      <c r="AC2759" t="s">
        <v>41</v>
      </c>
      <c r="AD2759" t="s">
        <v>70</v>
      </c>
      <c r="AE2759" t="s">
        <v>43</v>
      </c>
      <c r="AF2759" t="s">
        <v>47</v>
      </c>
      <c r="AG2759" t="str">
        <f t="shared" si="46"/>
        <v>À Vista</v>
      </c>
      <c r="AH2759" t="str">
        <f>IF(AND(SUMIF(E:E,E2759,I:I)&gt;=400000,Q2759="B2G"),"n","")</f>
        <v/>
      </c>
    </row>
    <row r="2760" spans="1:34">
      <c r="A2760">
        <v>2026</v>
      </c>
      <c r="B2760">
        <v>3</v>
      </c>
      <c r="C2760" s="83">
        <v>28643464992</v>
      </c>
      <c r="D2760" t="s">
        <v>2508</v>
      </c>
      <c r="E2760">
        <v>53855114367</v>
      </c>
      <c r="F2760">
        <v>636826</v>
      </c>
      <c r="G2760">
        <v>53812311479</v>
      </c>
      <c r="H2760" t="s">
        <v>35</v>
      </c>
      <c r="I2760" s="36">
        <v>10872</v>
      </c>
      <c r="J2760" s="36">
        <v>10872</v>
      </c>
      <c r="K2760" s="85">
        <v>0</v>
      </c>
      <c r="L2760" s="36">
        <v>906</v>
      </c>
      <c r="M2760" s="36">
        <v>906</v>
      </c>
      <c r="N2760" s="36">
        <v>0</v>
      </c>
      <c r="O2760" s="36">
        <v>0</v>
      </c>
      <c r="P2760" t="s">
        <v>75</v>
      </c>
      <c r="Q2760" t="s">
        <v>37</v>
      </c>
      <c r="R2760" t="s">
        <v>37</v>
      </c>
      <c r="S2760" s="1">
        <v>46112</v>
      </c>
      <c r="T2760" s="1">
        <v>46112</v>
      </c>
      <c r="U2760" s="1"/>
      <c r="V2760" s="1">
        <v>46477</v>
      </c>
      <c r="W2760" t="s">
        <v>38</v>
      </c>
      <c r="X2760">
        <v>12</v>
      </c>
      <c r="Y2760" t="s">
        <v>49</v>
      </c>
      <c r="AA2760" t="s">
        <v>40</v>
      </c>
      <c r="AB2760">
        <v>1</v>
      </c>
      <c r="AC2760" t="s">
        <v>41</v>
      </c>
      <c r="AD2760" t="s">
        <v>54</v>
      </c>
      <c r="AE2760" t="s">
        <v>46</v>
      </c>
      <c r="AF2760" t="s">
        <v>44</v>
      </c>
      <c r="AG2760" t="str">
        <f t="shared" si="46"/>
        <v>À Vista</v>
      </c>
      <c r="AH2760" t="str">
        <f>IF(AND(SUMIF(E:E,E2760,I:I)&gt;=400000,Q2760="B2G"),"n","")</f>
        <v/>
      </c>
    </row>
    <row r="2761" spans="1:34">
      <c r="A2761">
        <v>2026</v>
      </c>
      <c r="B2761">
        <v>3</v>
      </c>
      <c r="C2761" s="83">
        <v>28643464992</v>
      </c>
      <c r="D2761" t="s">
        <v>2508</v>
      </c>
      <c r="E2761">
        <v>53855114367</v>
      </c>
      <c r="F2761">
        <v>636826</v>
      </c>
      <c r="G2761">
        <v>53812311480</v>
      </c>
      <c r="H2761" t="s">
        <v>35</v>
      </c>
      <c r="I2761" s="36">
        <v>32508</v>
      </c>
      <c r="J2761" s="36">
        <v>32508</v>
      </c>
      <c r="K2761" s="85">
        <v>0</v>
      </c>
      <c r="L2761" s="36">
        <v>2709</v>
      </c>
      <c r="M2761" s="36">
        <v>2709</v>
      </c>
      <c r="N2761" s="36">
        <v>0</v>
      </c>
      <c r="O2761" s="36">
        <v>0</v>
      </c>
      <c r="P2761" t="s">
        <v>75</v>
      </c>
      <c r="Q2761" t="s">
        <v>37</v>
      </c>
      <c r="R2761" t="s">
        <v>37</v>
      </c>
      <c r="S2761" s="1">
        <v>46112</v>
      </c>
      <c r="T2761" s="1">
        <v>46112</v>
      </c>
      <c r="U2761" s="1"/>
      <c r="V2761" s="1">
        <v>46477</v>
      </c>
      <c r="W2761" t="s">
        <v>38</v>
      </c>
      <c r="X2761">
        <v>12</v>
      </c>
      <c r="Y2761" t="s">
        <v>49</v>
      </c>
      <c r="AA2761" t="s">
        <v>40</v>
      </c>
      <c r="AB2761">
        <v>1</v>
      </c>
      <c r="AC2761" t="s">
        <v>41</v>
      </c>
      <c r="AD2761" t="s">
        <v>53</v>
      </c>
      <c r="AE2761" t="s">
        <v>43</v>
      </c>
      <c r="AF2761" t="s">
        <v>44</v>
      </c>
      <c r="AG2761" t="str">
        <f t="shared" si="46"/>
        <v>À Vista</v>
      </c>
      <c r="AH2761" t="str">
        <f>IF(AND(SUMIF(E:E,E2761,I:I)&gt;=400000,Q2761="B2G"),"n","")</f>
        <v/>
      </c>
    </row>
    <row r="2762" spans="1:34">
      <c r="A2762">
        <v>2026</v>
      </c>
      <c r="B2762">
        <v>3</v>
      </c>
      <c r="C2762" s="83">
        <v>28683079716</v>
      </c>
      <c r="D2762" t="s">
        <v>2509</v>
      </c>
      <c r="E2762">
        <v>54005432853</v>
      </c>
      <c r="F2762">
        <v>626989</v>
      </c>
      <c r="G2762">
        <v>53342695496</v>
      </c>
      <c r="H2762" t="s">
        <v>35</v>
      </c>
      <c r="I2762" s="36">
        <v>4152.6000000000004</v>
      </c>
      <c r="J2762" s="36">
        <v>4152.6000000000004</v>
      </c>
      <c r="K2762" s="85">
        <v>0</v>
      </c>
      <c r="L2762" s="36">
        <v>346.05</v>
      </c>
      <c r="M2762" s="36">
        <v>0</v>
      </c>
      <c r="N2762" s="36">
        <v>0</v>
      </c>
      <c r="O2762" s="36">
        <v>346.05</v>
      </c>
      <c r="P2762" t="s">
        <v>110</v>
      </c>
      <c r="Q2762" t="s">
        <v>111</v>
      </c>
      <c r="R2762" t="s">
        <v>111</v>
      </c>
      <c r="S2762" s="1">
        <v>46099</v>
      </c>
      <c r="T2762" s="1">
        <v>46099</v>
      </c>
      <c r="U2762" s="1">
        <v>46079</v>
      </c>
      <c r="V2762" s="1">
        <v>46464</v>
      </c>
      <c r="W2762" t="s">
        <v>38</v>
      </c>
      <c r="X2762">
        <v>13</v>
      </c>
      <c r="Y2762" t="s">
        <v>49</v>
      </c>
      <c r="Z2762" t="s">
        <v>76</v>
      </c>
      <c r="AA2762" t="s">
        <v>40</v>
      </c>
      <c r="AB2762">
        <v>1</v>
      </c>
      <c r="AC2762" t="s">
        <v>113</v>
      </c>
      <c r="AD2762" t="s">
        <v>149</v>
      </c>
      <c r="AE2762" t="s">
        <v>43</v>
      </c>
      <c r="AF2762" t="s">
        <v>96</v>
      </c>
      <c r="AG2762" t="str">
        <f t="shared" si="46"/>
        <v>À Vista</v>
      </c>
      <c r="AH2762" t="str">
        <f>IF(AND(SUMIF(E:E,E2762,I:I)&gt;=400000,Q2762="B2G"),"n","")</f>
        <v/>
      </c>
    </row>
    <row r="2763" spans="1:34">
      <c r="A2763">
        <v>2026</v>
      </c>
      <c r="B2763">
        <v>3</v>
      </c>
      <c r="C2763" s="83">
        <v>28683079716</v>
      </c>
      <c r="D2763" t="s">
        <v>2509</v>
      </c>
      <c r="E2763">
        <v>54005432853</v>
      </c>
      <c r="F2763">
        <v>626989</v>
      </c>
      <c r="G2763">
        <v>53342695497</v>
      </c>
      <c r="H2763" t="s">
        <v>35</v>
      </c>
      <c r="I2763" s="36">
        <v>4152.6000000000004</v>
      </c>
      <c r="J2763" s="36">
        <v>4152.6000000000004</v>
      </c>
      <c r="K2763" s="85">
        <v>0</v>
      </c>
      <c r="L2763" s="36">
        <v>346.05</v>
      </c>
      <c r="M2763" s="36">
        <v>0</v>
      </c>
      <c r="N2763" s="36">
        <v>0</v>
      </c>
      <c r="O2763" s="36">
        <v>346.05</v>
      </c>
      <c r="P2763" t="s">
        <v>110</v>
      </c>
      <c r="Q2763" t="s">
        <v>111</v>
      </c>
      <c r="R2763" t="s">
        <v>111</v>
      </c>
      <c r="S2763" s="1">
        <v>46099</v>
      </c>
      <c r="T2763" s="1">
        <v>46099</v>
      </c>
      <c r="U2763" s="1">
        <v>46079</v>
      </c>
      <c r="V2763" s="1">
        <v>46464</v>
      </c>
      <c r="W2763" t="s">
        <v>38</v>
      </c>
      <c r="X2763">
        <v>13</v>
      </c>
      <c r="Y2763" t="s">
        <v>49</v>
      </c>
      <c r="Z2763" t="s">
        <v>76</v>
      </c>
      <c r="AA2763" t="s">
        <v>40</v>
      </c>
      <c r="AB2763">
        <v>1</v>
      </c>
      <c r="AC2763" t="s">
        <v>113</v>
      </c>
      <c r="AD2763" t="s">
        <v>140</v>
      </c>
      <c r="AE2763" t="s">
        <v>46</v>
      </c>
      <c r="AF2763" t="s">
        <v>119</v>
      </c>
      <c r="AG2763" t="str">
        <f t="shared" si="46"/>
        <v>À Vista</v>
      </c>
      <c r="AH2763" t="str">
        <f>IF(AND(SUMIF(E:E,E2763,I:I)&gt;=400000,Q2763="B2G"),"n","")</f>
        <v/>
      </c>
    </row>
    <row r="2764" spans="1:34">
      <c r="A2764">
        <v>2026</v>
      </c>
      <c r="B2764">
        <v>3</v>
      </c>
      <c r="C2764" s="83">
        <v>28886090613</v>
      </c>
      <c r="D2764" t="s">
        <v>2510</v>
      </c>
      <c r="E2764">
        <v>58146992460</v>
      </c>
      <c r="F2764">
        <v>636577</v>
      </c>
      <c r="G2764">
        <v>53339891241</v>
      </c>
      <c r="H2764" t="s">
        <v>35</v>
      </c>
      <c r="I2764" s="36">
        <v>2874</v>
      </c>
      <c r="J2764" s="36">
        <v>2874</v>
      </c>
      <c r="K2764" s="85">
        <v>0</v>
      </c>
      <c r="L2764" s="36">
        <v>239.5</v>
      </c>
      <c r="M2764" s="36">
        <v>239.5</v>
      </c>
      <c r="N2764" s="36">
        <v>0</v>
      </c>
      <c r="O2764" s="36">
        <v>0</v>
      </c>
      <c r="P2764" t="s">
        <v>497</v>
      </c>
      <c r="Q2764" t="s">
        <v>498</v>
      </c>
      <c r="R2764" t="s">
        <v>498</v>
      </c>
      <c r="S2764" s="1">
        <v>46099</v>
      </c>
      <c r="T2764" s="1">
        <v>46099</v>
      </c>
      <c r="U2764" s="1"/>
      <c r="V2764" s="1">
        <v>46464</v>
      </c>
      <c r="W2764" t="s">
        <v>38</v>
      </c>
      <c r="X2764">
        <v>12</v>
      </c>
      <c r="Y2764" t="s">
        <v>49</v>
      </c>
      <c r="AA2764" t="s">
        <v>112</v>
      </c>
      <c r="AB2764">
        <v>12</v>
      </c>
      <c r="AC2764" t="s">
        <v>499</v>
      </c>
      <c r="AD2764" t="s">
        <v>140</v>
      </c>
      <c r="AE2764" t="s">
        <v>46</v>
      </c>
      <c r="AF2764" t="s">
        <v>119</v>
      </c>
      <c r="AG2764" t="str">
        <f t="shared" si="46"/>
        <v>CC 12x</v>
      </c>
      <c r="AH2764" t="str">
        <f>IF(AND(SUMIF(E:E,E2764,I:I)&gt;=400000,Q2764="B2G"),"n","")</f>
        <v/>
      </c>
    </row>
    <row r="2765" spans="1:34">
      <c r="A2765">
        <v>2026</v>
      </c>
      <c r="B2765">
        <v>3</v>
      </c>
      <c r="C2765" s="83">
        <v>28896850361</v>
      </c>
      <c r="D2765" t="s">
        <v>2511</v>
      </c>
      <c r="E2765">
        <v>57829859239</v>
      </c>
      <c r="F2765">
        <v>636419</v>
      </c>
      <c r="G2765">
        <v>53072960122</v>
      </c>
      <c r="H2765" t="s">
        <v>35</v>
      </c>
      <c r="I2765" s="36">
        <v>4411.2</v>
      </c>
      <c r="J2765" s="36">
        <v>4411.2</v>
      </c>
      <c r="K2765" s="85">
        <v>0</v>
      </c>
      <c r="L2765" s="36">
        <v>367.6</v>
      </c>
      <c r="M2765" s="36">
        <v>367.6</v>
      </c>
      <c r="N2765" s="36">
        <v>0</v>
      </c>
      <c r="O2765" s="36">
        <v>0</v>
      </c>
      <c r="P2765" t="s">
        <v>506</v>
      </c>
      <c r="Q2765" t="s">
        <v>300</v>
      </c>
      <c r="R2765" t="s">
        <v>300</v>
      </c>
      <c r="S2765" s="1">
        <v>46090</v>
      </c>
      <c r="T2765" s="1">
        <v>46090</v>
      </c>
      <c r="U2765" s="1"/>
      <c r="V2765" s="1">
        <v>46455</v>
      </c>
      <c r="W2765" t="s">
        <v>38</v>
      </c>
      <c r="X2765">
        <v>12</v>
      </c>
      <c r="Y2765" t="s">
        <v>49</v>
      </c>
      <c r="AA2765" t="s">
        <v>117</v>
      </c>
      <c r="AB2765">
        <v>1</v>
      </c>
      <c r="AC2765" t="s">
        <v>301</v>
      </c>
      <c r="AD2765" t="s">
        <v>138</v>
      </c>
      <c r="AE2765" t="s">
        <v>135</v>
      </c>
      <c r="AF2765" t="s">
        <v>119</v>
      </c>
      <c r="AG2765" t="str">
        <f t="shared" si="46"/>
        <v>À Vista</v>
      </c>
      <c r="AH2765" t="str">
        <f>IF(AND(SUMIF(E:E,E2765,I:I)&gt;=400000,Q2765="B2G"),"n","")</f>
        <v/>
      </c>
    </row>
    <row r="2766" spans="1:34">
      <c r="A2766">
        <v>2026</v>
      </c>
      <c r="B2766">
        <v>3</v>
      </c>
      <c r="C2766" s="83">
        <v>28902019927</v>
      </c>
      <c r="D2766" t="s">
        <v>548</v>
      </c>
      <c r="E2766">
        <v>58172349296</v>
      </c>
      <c r="F2766">
        <v>625960</v>
      </c>
      <c r="G2766">
        <v>53343460274</v>
      </c>
      <c r="H2766" t="s">
        <v>35</v>
      </c>
      <c r="I2766" s="36">
        <v>10488.24</v>
      </c>
      <c r="J2766" s="36">
        <v>10539.4</v>
      </c>
      <c r="K2766" s="85">
        <v>0</v>
      </c>
      <c r="L2766" s="36">
        <v>878.28333329999998</v>
      </c>
      <c r="M2766" s="36">
        <v>0</v>
      </c>
      <c r="N2766" s="36">
        <v>878.28333329999998</v>
      </c>
      <c r="O2766" s="36">
        <v>0</v>
      </c>
      <c r="P2766" t="s">
        <v>520</v>
      </c>
      <c r="Q2766" t="s">
        <v>191</v>
      </c>
      <c r="R2766" t="s">
        <v>191</v>
      </c>
      <c r="S2766" s="1">
        <v>46100</v>
      </c>
      <c r="T2766" s="1">
        <v>46100</v>
      </c>
      <c r="U2766" s="1">
        <v>46781</v>
      </c>
      <c r="V2766" s="1">
        <v>46781</v>
      </c>
      <c r="W2766" t="s">
        <v>102</v>
      </c>
      <c r="X2766">
        <v>22</v>
      </c>
      <c r="Y2766" t="s">
        <v>49</v>
      </c>
      <c r="Z2766" t="s">
        <v>324</v>
      </c>
      <c r="AA2766" t="s">
        <v>92</v>
      </c>
      <c r="AB2766">
        <v>22</v>
      </c>
      <c r="AC2766" t="s">
        <v>192</v>
      </c>
      <c r="AD2766" t="s">
        <v>527</v>
      </c>
      <c r="AE2766" t="s">
        <v>257</v>
      </c>
      <c r="AF2766" t="s">
        <v>59</v>
      </c>
      <c r="AG2766" t="str">
        <f t="shared" si="46"/>
        <v>Recorrente</v>
      </c>
      <c r="AH2766" t="str">
        <f>IF(AND(SUMIF(E:E,E2766,I:I)&gt;=400000,Q2766="B2G"),"n","")</f>
        <v/>
      </c>
    </row>
    <row r="2767" spans="1:34">
      <c r="A2767">
        <v>2026</v>
      </c>
      <c r="B2767">
        <v>3</v>
      </c>
      <c r="C2767" s="83">
        <v>28902019927</v>
      </c>
      <c r="D2767" t="s">
        <v>548</v>
      </c>
      <c r="E2767">
        <v>58172349296</v>
      </c>
      <c r="F2767">
        <v>625960</v>
      </c>
      <c r="G2767">
        <v>53343460280</v>
      </c>
      <c r="H2767" t="s">
        <v>35</v>
      </c>
      <c r="I2767" s="36">
        <v>10488.24</v>
      </c>
      <c r="J2767" s="36">
        <v>10539.4</v>
      </c>
      <c r="K2767" s="85">
        <v>0</v>
      </c>
      <c r="L2767" s="36">
        <v>878.28333329999998</v>
      </c>
      <c r="M2767" s="36">
        <v>0</v>
      </c>
      <c r="N2767" s="36">
        <v>878.28333329999998</v>
      </c>
      <c r="O2767" s="36">
        <v>0</v>
      </c>
      <c r="P2767" t="s">
        <v>520</v>
      </c>
      <c r="Q2767" t="s">
        <v>191</v>
      </c>
      <c r="R2767" t="s">
        <v>191</v>
      </c>
      <c r="S2767" s="1">
        <v>46100</v>
      </c>
      <c r="T2767" s="1">
        <v>46100</v>
      </c>
      <c r="U2767" s="1">
        <v>46781</v>
      </c>
      <c r="V2767" s="1">
        <v>46781</v>
      </c>
      <c r="W2767" t="s">
        <v>102</v>
      </c>
      <c r="X2767">
        <v>22</v>
      </c>
      <c r="Y2767" t="s">
        <v>49</v>
      </c>
      <c r="Z2767" t="s">
        <v>324</v>
      </c>
      <c r="AA2767" t="s">
        <v>92</v>
      </c>
      <c r="AB2767">
        <v>22</v>
      </c>
      <c r="AC2767" t="s">
        <v>192</v>
      </c>
      <c r="AD2767" t="s">
        <v>550</v>
      </c>
      <c r="AE2767" t="s">
        <v>363</v>
      </c>
      <c r="AF2767" t="s">
        <v>59</v>
      </c>
      <c r="AG2767" t="str">
        <f t="shared" si="46"/>
        <v>Recorrente</v>
      </c>
      <c r="AH2767" t="str">
        <f>IF(AND(SUMIF(E:E,E2767,I:I)&gt;=400000,Q2767="B2G"),"n","")</f>
        <v/>
      </c>
    </row>
    <row r="2768" spans="1:34">
      <c r="A2768">
        <v>2026</v>
      </c>
      <c r="B2768">
        <v>3</v>
      </c>
      <c r="C2768" s="83">
        <v>28902019927</v>
      </c>
      <c r="D2768" t="s">
        <v>548</v>
      </c>
      <c r="E2768">
        <v>58172349296</v>
      </c>
      <c r="F2768">
        <v>625960</v>
      </c>
      <c r="G2768">
        <v>53343460355</v>
      </c>
      <c r="H2768" t="s">
        <v>35</v>
      </c>
      <c r="I2768" s="36">
        <v>38056.68</v>
      </c>
      <c r="J2768" s="36">
        <v>10539.4</v>
      </c>
      <c r="K2768" s="85">
        <v>27517.279999999999</v>
      </c>
      <c r="L2768" s="36">
        <v>878.28333329999998</v>
      </c>
      <c r="M2768" s="36">
        <v>0</v>
      </c>
      <c r="N2768" s="36">
        <v>878.28333329999998</v>
      </c>
      <c r="O2768" s="36">
        <v>0</v>
      </c>
      <c r="P2768" t="s">
        <v>520</v>
      </c>
      <c r="Q2768" t="s">
        <v>191</v>
      </c>
      <c r="R2768" t="s">
        <v>191</v>
      </c>
      <c r="S2768" s="1">
        <v>46100</v>
      </c>
      <c r="T2768" s="1">
        <v>46100</v>
      </c>
      <c r="U2768" s="1">
        <v>46781</v>
      </c>
      <c r="V2768" s="1">
        <v>46781</v>
      </c>
      <c r="W2768" t="s">
        <v>102</v>
      </c>
      <c r="X2768">
        <v>22</v>
      </c>
      <c r="Y2768" t="s">
        <v>49</v>
      </c>
      <c r="Z2768" t="s">
        <v>324</v>
      </c>
      <c r="AA2768" t="s">
        <v>92</v>
      </c>
      <c r="AB2768">
        <v>22</v>
      </c>
      <c r="AC2768" t="s">
        <v>192</v>
      </c>
      <c r="AD2768" t="s">
        <v>125</v>
      </c>
      <c r="AE2768" t="s">
        <v>43</v>
      </c>
      <c r="AF2768" t="s">
        <v>47</v>
      </c>
      <c r="AG2768" t="str">
        <f t="shared" si="46"/>
        <v>Recorrente</v>
      </c>
      <c r="AH2768" t="str">
        <f>IF(AND(SUMIF(E:E,E2768,I:I)&gt;=400000,Q2768="B2G"),"n","")</f>
        <v/>
      </c>
    </row>
    <row r="2769" spans="1:34">
      <c r="A2769">
        <v>2026</v>
      </c>
      <c r="B2769">
        <v>3</v>
      </c>
      <c r="C2769" s="83">
        <v>29340940642</v>
      </c>
      <c r="D2769" t="s">
        <v>2512</v>
      </c>
      <c r="E2769">
        <v>58021424261</v>
      </c>
      <c r="F2769">
        <v>636816</v>
      </c>
      <c r="G2769">
        <v>53808773199</v>
      </c>
      <c r="H2769" t="s">
        <v>35</v>
      </c>
      <c r="I2769" s="36">
        <v>4932</v>
      </c>
      <c r="J2769" s="36">
        <v>4932</v>
      </c>
      <c r="K2769" s="85">
        <v>0</v>
      </c>
      <c r="L2769" s="36">
        <v>411</v>
      </c>
      <c r="M2769" s="36">
        <v>411</v>
      </c>
      <c r="N2769" s="36">
        <v>0</v>
      </c>
      <c r="O2769" s="36">
        <v>0</v>
      </c>
      <c r="P2769" t="s">
        <v>36</v>
      </c>
      <c r="Q2769" t="s">
        <v>37</v>
      </c>
      <c r="R2769" t="s">
        <v>37</v>
      </c>
      <c r="S2769" s="1">
        <v>46112</v>
      </c>
      <c r="T2769" s="1">
        <v>46112</v>
      </c>
      <c r="U2769" s="1"/>
      <c r="V2769" s="1">
        <v>46477</v>
      </c>
      <c r="W2769" t="s">
        <v>38</v>
      </c>
      <c r="X2769">
        <v>12</v>
      </c>
      <c r="Y2769" t="s">
        <v>49</v>
      </c>
      <c r="AA2769" t="s">
        <v>40</v>
      </c>
      <c r="AB2769">
        <v>1</v>
      </c>
      <c r="AC2769" t="s">
        <v>41</v>
      </c>
      <c r="AD2769" t="s">
        <v>53</v>
      </c>
      <c r="AE2769" t="s">
        <v>43</v>
      </c>
      <c r="AF2769" t="s">
        <v>44</v>
      </c>
      <c r="AG2769" t="str">
        <f t="shared" si="46"/>
        <v>À Vista</v>
      </c>
      <c r="AH2769" t="str">
        <f>IF(AND(SUMIF(E:E,E2769,I:I)&gt;=400000,Q2769="B2G"),"n","")</f>
        <v/>
      </c>
    </row>
    <row r="2770" spans="1:34">
      <c r="A2770">
        <v>2026</v>
      </c>
      <c r="B2770">
        <v>3</v>
      </c>
      <c r="C2770" s="83">
        <v>29340940642</v>
      </c>
      <c r="D2770" t="s">
        <v>2512</v>
      </c>
      <c r="E2770">
        <v>58021424261</v>
      </c>
      <c r="F2770">
        <v>636816</v>
      </c>
      <c r="G2770">
        <v>53808773200</v>
      </c>
      <c r="H2770" t="s">
        <v>35</v>
      </c>
      <c r="I2770" s="36">
        <v>5772</v>
      </c>
      <c r="J2770" s="36">
        <v>5772</v>
      </c>
      <c r="K2770" s="85">
        <v>0</v>
      </c>
      <c r="L2770" s="36">
        <v>481</v>
      </c>
      <c r="M2770" s="36">
        <v>481</v>
      </c>
      <c r="N2770" s="36">
        <v>0</v>
      </c>
      <c r="O2770" s="36">
        <v>0</v>
      </c>
      <c r="P2770" t="s">
        <v>36</v>
      </c>
      <c r="Q2770" t="s">
        <v>37</v>
      </c>
      <c r="R2770" t="s">
        <v>37</v>
      </c>
      <c r="S2770" s="1">
        <v>46112</v>
      </c>
      <c r="T2770" s="1">
        <v>46112</v>
      </c>
      <c r="U2770" s="1"/>
      <c r="V2770" s="1">
        <v>46477</v>
      </c>
      <c r="W2770" t="s">
        <v>38</v>
      </c>
      <c r="X2770">
        <v>12</v>
      </c>
      <c r="Y2770" t="s">
        <v>49</v>
      </c>
      <c r="AA2770" t="s">
        <v>40</v>
      </c>
      <c r="AB2770">
        <v>1</v>
      </c>
      <c r="AC2770" t="s">
        <v>41</v>
      </c>
      <c r="AD2770" t="s">
        <v>54</v>
      </c>
      <c r="AE2770" t="s">
        <v>46</v>
      </c>
      <c r="AF2770" t="s">
        <v>44</v>
      </c>
      <c r="AG2770" t="str">
        <f t="shared" si="46"/>
        <v>À Vista</v>
      </c>
      <c r="AH2770" t="str">
        <f>IF(AND(SUMIF(E:E,E2770,I:I)&gt;=400000,Q2770="B2G"),"n","")</f>
        <v/>
      </c>
    </row>
    <row r="2771" spans="1:34">
      <c r="A2771">
        <v>2026</v>
      </c>
      <c r="B2771">
        <v>3</v>
      </c>
      <c r="C2771" s="83">
        <v>29358296202</v>
      </c>
      <c r="D2771" t="s">
        <v>2513</v>
      </c>
      <c r="E2771">
        <v>55681615197</v>
      </c>
      <c r="F2771">
        <v>627244</v>
      </c>
      <c r="G2771">
        <v>53072568637</v>
      </c>
      <c r="H2771" t="s">
        <v>35</v>
      </c>
      <c r="I2771" s="36">
        <v>5678.44</v>
      </c>
      <c r="J2771" s="36">
        <v>5678.44</v>
      </c>
      <c r="K2771" s="85">
        <v>0</v>
      </c>
      <c r="L2771" s="36">
        <v>473.2033333</v>
      </c>
      <c r="M2771" s="36">
        <v>0</v>
      </c>
      <c r="N2771" s="36">
        <v>26.875</v>
      </c>
      <c r="O2771" s="36">
        <v>446.33333329999999</v>
      </c>
      <c r="P2771" t="s">
        <v>116</v>
      </c>
      <c r="Q2771" t="s">
        <v>111</v>
      </c>
      <c r="R2771" t="s">
        <v>111</v>
      </c>
      <c r="S2771" s="1">
        <v>46091</v>
      </c>
      <c r="T2771" s="1">
        <v>46091</v>
      </c>
      <c r="U2771" s="1">
        <v>46091</v>
      </c>
      <c r="V2771" s="1">
        <v>46456</v>
      </c>
      <c r="W2771" t="s">
        <v>38</v>
      </c>
      <c r="X2771">
        <v>12</v>
      </c>
      <c r="Y2771" t="s">
        <v>49</v>
      </c>
      <c r="Z2771" t="s">
        <v>76</v>
      </c>
      <c r="AA2771" t="s">
        <v>92</v>
      </c>
      <c r="AB2771">
        <v>12</v>
      </c>
      <c r="AC2771" t="s">
        <v>113</v>
      </c>
      <c r="AD2771" t="s">
        <v>94</v>
      </c>
      <c r="AE2771" t="s">
        <v>95</v>
      </c>
      <c r="AF2771" t="s">
        <v>96</v>
      </c>
      <c r="AG2771" t="str">
        <f t="shared" si="46"/>
        <v>Recorrente</v>
      </c>
      <c r="AH2771" t="str">
        <f>IF(AND(SUMIF(E:E,E2771,I:I)&gt;=400000,Q2771="B2G"),"n","")</f>
        <v/>
      </c>
    </row>
    <row r="2772" spans="1:34">
      <c r="A2772">
        <v>2026</v>
      </c>
      <c r="B2772">
        <v>3</v>
      </c>
      <c r="C2772" s="83">
        <v>29358296202</v>
      </c>
      <c r="D2772" t="s">
        <v>2513</v>
      </c>
      <c r="E2772">
        <v>55681615197</v>
      </c>
      <c r="F2772">
        <v>627244</v>
      </c>
      <c r="G2772">
        <v>53072568638</v>
      </c>
      <c r="H2772" t="s">
        <v>35</v>
      </c>
      <c r="I2772" s="36">
        <v>5678.44</v>
      </c>
      <c r="J2772" s="36">
        <v>5678.44</v>
      </c>
      <c r="K2772" s="85">
        <v>0</v>
      </c>
      <c r="L2772" s="36">
        <v>473.2033333</v>
      </c>
      <c r="M2772" s="36">
        <v>0</v>
      </c>
      <c r="N2772" s="36">
        <v>26.875</v>
      </c>
      <c r="O2772" s="36">
        <v>446.33333329999999</v>
      </c>
      <c r="P2772" t="s">
        <v>116</v>
      </c>
      <c r="Q2772" t="s">
        <v>111</v>
      </c>
      <c r="R2772" t="s">
        <v>111</v>
      </c>
      <c r="S2772" s="1">
        <v>46091</v>
      </c>
      <c r="T2772" s="1">
        <v>46091</v>
      </c>
      <c r="U2772" s="1">
        <v>46091</v>
      </c>
      <c r="V2772" s="1">
        <v>46456</v>
      </c>
      <c r="W2772" t="s">
        <v>38</v>
      </c>
      <c r="X2772">
        <v>12</v>
      </c>
      <c r="Y2772" t="s">
        <v>49</v>
      </c>
      <c r="Z2772" t="s">
        <v>76</v>
      </c>
      <c r="AA2772" t="s">
        <v>92</v>
      </c>
      <c r="AB2772">
        <v>12</v>
      </c>
      <c r="AC2772" t="s">
        <v>113</v>
      </c>
      <c r="AD2772" t="s">
        <v>84</v>
      </c>
      <c r="AE2772" t="s">
        <v>43</v>
      </c>
      <c r="AF2772" t="s">
        <v>44</v>
      </c>
      <c r="AG2772" t="str">
        <f t="shared" si="46"/>
        <v>Recorrente</v>
      </c>
      <c r="AH2772" t="str">
        <f>IF(AND(SUMIF(E:E,E2772,I:I)&gt;=400000,Q2772="B2G"),"n","")</f>
        <v/>
      </c>
    </row>
    <row r="2773" spans="1:34">
      <c r="A2773">
        <v>2026</v>
      </c>
      <c r="B2773">
        <v>3</v>
      </c>
      <c r="C2773" s="83">
        <v>29358296202</v>
      </c>
      <c r="D2773" t="s">
        <v>2513</v>
      </c>
      <c r="E2773">
        <v>55681615197</v>
      </c>
      <c r="F2773">
        <v>627244</v>
      </c>
      <c r="G2773">
        <v>53072568639</v>
      </c>
      <c r="H2773" t="s">
        <v>35</v>
      </c>
      <c r="I2773" s="36">
        <v>5678.44</v>
      </c>
      <c r="J2773" s="36">
        <v>5678.44</v>
      </c>
      <c r="K2773" s="85">
        <v>0</v>
      </c>
      <c r="L2773" s="36">
        <v>473.2033333</v>
      </c>
      <c r="M2773" s="36">
        <v>0</v>
      </c>
      <c r="N2773" s="36">
        <v>26.875</v>
      </c>
      <c r="O2773" s="36">
        <v>446.33333329999999</v>
      </c>
      <c r="P2773" t="s">
        <v>116</v>
      </c>
      <c r="Q2773" t="s">
        <v>111</v>
      </c>
      <c r="R2773" t="s">
        <v>111</v>
      </c>
      <c r="S2773" s="1">
        <v>46091</v>
      </c>
      <c r="T2773" s="1">
        <v>46091</v>
      </c>
      <c r="U2773" s="1">
        <v>46091</v>
      </c>
      <c r="V2773" s="1">
        <v>46456</v>
      </c>
      <c r="W2773" t="s">
        <v>38</v>
      </c>
      <c r="X2773">
        <v>12</v>
      </c>
      <c r="Y2773" t="s">
        <v>49</v>
      </c>
      <c r="Z2773" t="s">
        <v>76</v>
      </c>
      <c r="AA2773" t="s">
        <v>92</v>
      </c>
      <c r="AB2773">
        <v>12</v>
      </c>
      <c r="AC2773" t="s">
        <v>113</v>
      </c>
      <c r="AD2773" t="s">
        <v>84</v>
      </c>
      <c r="AE2773" t="s">
        <v>43</v>
      </c>
      <c r="AF2773" t="s">
        <v>44</v>
      </c>
      <c r="AG2773" t="str">
        <f t="shared" si="46"/>
        <v>Recorrente</v>
      </c>
      <c r="AH2773" t="str">
        <f>IF(AND(SUMIF(E:E,E2773,I:I)&gt;=400000,Q2773="B2G"),"n","")</f>
        <v/>
      </c>
    </row>
    <row r="2774" spans="1:34">
      <c r="A2774">
        <v>2026</v>
      </c>
      <c r="B2774">
        <v>3</v>
      </c>
      <c r="C2774" s="83">
        <v>29648065618</v>
      </c>
      <c r="D2774" t="s">
        <v>2514</v>
      </c>
      <c r="E2774">
        <v>54403716536</v>
      </c>
      <c r="F2774">
        <v>529586</v>
      </c>
      <c r="G2774">
        <v>53140753464</v>
      </c>
      <c r="H2774" t="s">
        <v>35</v>
      </c>
      <c r="I2774" s="36">
        <v>11587.92</v>
      </c>
      <c r="J2774" s="36">
        <v>11587.92</v>
      </c>
      <c r="K2774" s="85">
        <v>0</v>
      </c>
      <c r="L2774" s="36">
        <v>965.66</v>
      </c>
      <c r="M2774" s="36">
        <v>0</v>
      </c>
      <c r="N2774" s="36">
        <v>0</v>
      </c>
      <c r="O2774" s="36">
        <v>965.66</v>
      </c>
      <c r="P2774" t="s">
        <v>1165</v>
      </c>
      <c r="Q2774" t="s">
        <v>79</v>
      </c>
      <c r="R2774" t="s">
        <v>80</v>
      </c>
      <c r="S2774" s="1">
        <v>46091</v>
      </c>
      <c r="T2774" s="1">
        <v>46091</v>
      </c>
      <c r="U2774" s="1">
        <v>46091</v>
      </c>
      <c r="V2774" s="1">
        <v>46456</v>
      </c>
      <c r="W2774" t="s">
        <v>38</v>
      </c>
      <c r="X2774">
        <v>12</v>
      </c>
      <c r="Y2774" t="s">
        <v>49</v>
      </c>
      <c r="Z2774" t="s">
        <v>76</v>
      </c>
      <c r="AA2774" t="s">
        <v>82</v>
      </c>
      <c r="AB2774">
        <v>5</v>
      </c>
      <c r="AC2774" t="s">
        <v>83</v>
      </c>
      <c r="AD2774" t="s">
        <v>100</v>
      </c>
      <c r="AE2774" t="s">
        <v>46</v>
      </c>
      <c r="AF2774" t="s">
        <v>47</v>
      </c>
      <c r="AG2774" t="str">
        <f t="shared" si="46"/>
        <v>CC 12x</v>
      </c>
      <c r="AH2774" t="str">
        <f>IF(AND(SUMIF(E:E,E2774,I:I)&gt;=400000,Q2774="B2G"),"n","")</f>
        <v/>
      </c>
    </row>
    <row r="2775" spans="1:34">
      <c r="A2775">
        <v>2026</v>
      </c>
      <c r="B2775">
        <v>3</v>
      </c>
      <c r="C2775" s="83">
        <v>29648065618</v>
      </c>
      <c r="D2775" t="s">
        <v>2514</v>
      </c>
      <c r="E2775">
        <v>54403716536</v>
      </c>
      <c r="F2775">
        <v>529586</v>
      </c>
      <c r="G2775">
        <v>53140753465</v>
      </c>
      <c r="H2775" t="s">
        <v>35</v>
      </c>
      <c r="I2775" s="36">
        <v>11587.92</v>
      </c>
      <c r="J2775" s="36">
        <v>11587.92</v>
      </c>
      <c r="K2775" s="85">
        <v>0</v>
      </c>
      <c r="L2775" s="36">
        <v>965.66</v>
      </c>
      <c r="M2775" s="36">
        <v>0</v>
      </c>
      <c r="N2775" s="36">
        <v>0</v>
      </c>
      <c r="O2775" s="36">
        <v>965.66</v>
      </c>
      <c r="P2775" t="s">
        <v>1165</v>
      </c>
      <c r="Q2775" t="s">
        <v>79</v>
      </c>
      <c r="R2775" t="s">
        <v>80</v>
      </c>
      <c r="S2775" s="1">
        <v>46091</v>
      </c>
      <c r="T2775" s="1">
        <v>46091</v>
      </c>
      <c r="U2775" s="1">
        <v>46091</v>
      </c>
      <c r="V2775" s="1">
        <v>46456</v>
      </c>
      <c r="W2775" t="s">
        <v>38</v>
      </c>
      <c r="X2775">
        <v>12</v>
      </c>
      <c r="Y2775" t="s">
        <v>49</v>
      </c>
      <c r="Z2775" t="s">
        <v>76</v>
      </c>
      <c r="AA2775" t="s">
        <v>82</v>
      </c>
      <c r="AB2775">
        <v>5</v>
      </c>
      <c r="AC2775" t="s">
        <v>83</v>
      </c>
      <c r="AD2775" t="s">
        <v>70</v>
      </c>
      <c r="AE2775" t="s">
        <v>43</v>
      </c>
      <c r="AF2775" t="s">
        <v>47</v>
      </c>
      <c r="AG2775" t="str">
        <f t="shared" si="46"/>
        <v>CC 12x</v>
      </c>
      <c r="AH2775" t="str">
        <f>IF(AND(SUMIF(E:E,E2775,I:I)&gt;=400000,Q2775="B2G"),"n","")</f>
        <v/>
      </c>
    </row>
    <row r="2776" spans="1:34">
      <c r="A2776">
        <v>2026</v>
      </c>
      <c r="B2776">
        <v>3</v>
      </c>
      <c r="C2776" s="83">
        <v>29666492553</v>
      </c>
      <c r="D2776" t="s">
        <v>2515</v>
      </c>
      <c r="E2776">
        <v>54213337885</v>
      </c>
      <c r="F2776">
        <v>627128</v>
      </c>
      <c r="G2776">
        <v>49555719304</v>
      </c>
      <c r="H2776" t="s">
        <v>35</v>
      </c>
      <c r="I2776" s="36">
        <v>3666.6</v>
      </c>
      <c r="J2776" s="36">
        <v>3666.6</v>
      </c>
      <c r="K2776" s="85">
        <v>0</v>
      </c>
      <c r="L2776" s="36">
        <v>305.55</v>
      </c>
      <c r="M2776" s="36">
        <v>0</v>
      </c>
      <c r="N2776" s="36">
        <v>42.9</v>
      </c>
      <c r="O2776" s="36">
        <v>262.64999999999998</v>
      </c>
      <c r="P2776" t="s">
        <v>165</v>
      </c>
      <c r="Q2776" t="s">
        <v>166</v>
      </c>
      <c r="R2776" t="s">
        <v>166</v>
      </c>
      <c r="S2776" s="1">
        <v>46087</v>
      </c>
      <c r="T2776" s="1">
        <v>46087</v>
      </c>
      <c r="U2776" s="1">
        <v>46087</v>
      </c>
      <c r="V2776" s="1">
        <v>46452</v>
      </c>
      <c r="W2776" t="s">
        <v>38</v>
      </c>
      <c r="X2776">
        <v>12</v>
      </c>
      <c r="Y2776" t="s">
        <v>49</v>
      </c>
      <c r="Z2776" t="s">
        <v>81</v>
      </c>
      <c r="AA2776" t="s">
        <v>122</v>
      </c>
      <c r="AB2776">
        <v>12</v>
      </c>
      <c r="AC2776" t="s">
        <v>166</v>
      </c>
      <c r="AD2776" t="s">
        <v>160</v>
      </c>
      <c r="AE2776" t="s">
        <v>43</v>
      </c>
      <c r="AF2776" t="s">
        <v>44</v>
      </c>
      <c r="AG2776" t="str">
        <f t="shared" si="46"/>
        <v>Recorrente</v>
      </c>
      <c r="AH2776" t="str">
        <f>IF(AND(SUMIF(E:E,E2776,I:I)&gt;=400000,Q2776="B2G"),"n","")</f>
        <v/>
      </c>
    </row>
    <row r="2777" spans="1:34">
      <c r="A2777">
        <v>2026</v>
      </c>
      <c r="B2777">
        <v>3</v>
      </c>
      <c r="C2777" s="83">
        <v>29667167122</v>
      </c>
      <c r="D2777" t="s">
        <v>2516</v>
      </c>
      <c r="E2777">
        <v>57307676577</v>
      </c>
      <c r="F2777">
        <v>626240</v>
      </c>
      <c r="G2777">
        <v>52473863080</v>
      </c>
      <c r="H2777" t="s">
        <v>35</v>
      </c>
      <c r="I2777" s="36">
        <v>3450.6</v>
      </c>
      <c r="J2777" s="36">
        <v>3450.6</v>
      </c>
      <c r="K2777" s="85">
        <v>0</v>
      </c>
      <c r="L2777" s="36">
        <v>287.55</v>
      </c>
      <c r="M2777" s="36">
        <v>287.55</v>
      </c>
      <c r="N2777" s="36">
        <v>0</v>
      </c>
      <c r="O2777" s="36">
        <v>0</v>
      </c>
      <c r="P2777" t="s">
        <v>121</v>
      </c>
      <c r="Q2777" t="s">
        <v>111</v>
      </c>
      <c r="R2777" t="s">
        <v>111</v>
      </c>
      <c r="S2777" s="1">
        <v>46083</v>
      </c>
      <c r="T2777" s="1">
        <v>46083</v>
      </c>
      <c r="U2777" s="1">
        <v>46060</v>
      </c>
      <c r="V2777" s="1">
        <v>46448</v>
      </c>
      <c r="W2777" t="s">
        <v>38</v>
      </c>
      <c r="X2777">
        <v>13</v>
      </c>
      <c r="Y2777" t="s">
        <v>49</v>
      </c>
      <c r="Z2777" t="s">
        <v>81</v>
      </c>
      <c r="AA2777" t="s">
        <v>122</v>
      </c>
      <c r="AB2777">
        <v>12</v>
      </c>
      <c r="AC2777" t="s">
        <v>113</v>
      </c>
      <c r="AD2777" t="s">
        <v>142</v>
      </c>
      <c r="AE2777" t="s">
        <v>95</v>
      </c>
      <c r="AF2777" t="s">
        <v>44</v>
      </c>
      <c r="AG2777" t="str">
        <f t="shared" si="46"/>
        <v>Recorrente</v>
      </c>
      <c r="AH2777" t="str">
        <f>IF(AND(SUMIF(E:E,E2777,I:I)&gt;=400000,Q2777="B2G"),"n","")</f>
        <v/>
      </c>
    </row>
    <row r="2778" spans="1:34">
      <c r="A2778">
        <v>2026</v>
      </c>
      <c r="B2778">
        <v>3</v>
      </c>
      <c r="C2778" s="83">
        <v>29688494348</v>
      </c>
      <c r="D2778" t="s">
        <v>2517</v>
      </c>
      <c r="E2778">
        <v>33166375534</v>
      </c>
      <c r="F2778">
        <v>636814</v>
      </c>
      <c r="G2778">
        <v>53808831612</v>
      </c>
      <c r="H2778" t="s">
        <v>35</v>
      </c>
      <c r="I2778" s="36">
        <v>27180</v>
      </c>
      <c r="J2778" s="36">
        <v>27180</v>
      </c>
      <c r="K2778" s="85">
        <v>0</v>
      </c>
      <c r="L2778" s="36">
        <v>2265</v>
      </c>
      <c r="M2778" s="36">
        <v>2265</v>
      </c>
      <c r="N2778" s="36">
        <v>0</v>
      </c>
      <c r="O2778" s="36">
        <v>0</v>
      </c>
      <c r="P2778" t="s">
        <v>87</v>
      </c>
      <c r="Q2778" t="s">
        <v>37</v>
      </c>
      <c r="R2778" t="s">
        <v>37</v>
      </c>
      <c r="S2778" s="1">
        <v>46112</v>
      </c>
      <c r="T2778" s="1">
        <v>46112</v>
      </c>
      <c r="U2778" s="1"/>
      <c r="V2778" s="1">
        <v>46477</v>
      </c>
      <c r="W2778" t="s">
        <v>38</v>
      </c>
      <c r="X2778">
        <v>12</v>
      </c>
      <c r="Y2778" t="s">
        <v>49</v>
      </c>
      <c r="AA2778" t="s">
        <v>40</v>
      </c>
      <c r="AB2778">
        <v>1</v>
      </c>
      <c r="AC2778" t="s">
        <v>41</v>
      </c>
      <c r="AD2778" t="s">
        <v>54</v>
      </c>
      <c r="AE2778" t="s">
        <v>46</v>
      </c>
      <c r="AF2778" t="s">
        <v>44</v>
      </c>
      <c r="AG2778" t="str">
        <f t="shared" si="46"/>
        <v>À Vista</v>
      </c>
      <c r="AH2778" t="str">
        <f>IF(AND(SUMIF(E:E,E2778,I:I)&gt;=400000,Q2778="B2G"),"n","")</f>
        <v/>
      </c>
    </row>
    <row r="2779" spans="1:34">
      <c r="A2779">
        <v>2026</v>
      </c>
      <c r="B2779">
        <v>3</v>
      </c>
      <c r="C2779" s="83">
        <v>29688494348</v>
      </c>
      <c r="D2779" t="s">
        <v>2517</v>
      </c>
      <c r="E2779">
        <v>33166375534</v>
      </c>
      <c r="F2779">
        <v>636814</v>
      </c>
      <c r="G2779">
        <v>53808831613</v>
      </c>
      <c r="H2779" t="s">
        <v>35</v>
      </c>
      <c r="I2779" s="36">
        <v>23220</v>
      </c>
      <c r="J2779" s="36">
        <v>23220</v>
      </c>
      <c r="K2779" s="85">
        <v>0</v>
      </c>
      <c r="L2779" s="36">
        <v>1935</v>
      </c>
      <c r="M2779" s="36">
        <v>1935</v>
      </c>
      <c r="N2779" s="36">
        <v>0</v>
      </c>
      <c r="O2779" s="36">
        <v>0</v>
      </c>
      <c r="P2779" t="s">
        <v>87</v>
      </c>
      <c r="Q2779" t="s">
        <v>37</v>
      </c>
      <c r="R2779" t="s">
        <v>37</v>
      </c>
      <c r="S2779" s="1">
        <v>46112</v>
      </c>
      <c r="T2779" s="1">
        <v>46112</v>
      </c>
      <c r="U2779" s="1"/>
      <c r="V2779" s="1">
        <v>46477</v>
      </c>
      <c r="W2779" t="s">
        <v>38</v>
      </c>
      <c r="X2779">
        <v>12</v>
      </c>
      <c r="Y2779" t="s">
        <v>49</v>
      </c>
      <c r="AA2779" t="s">
        <v>40</v>
      </c>
      <c r="AB2779">
        <v>1</v>
      </c>
      <c r="AC2779" t="s">
        <v>41</v>
      </c>
      <c r="AD2779" t="s">
        <v>53</v>
      </c>
      <c r="AE2779" t="s">
        <v>43</v>
      </c>
      <c r="AF2779" t="s">
        <v>44</v>
      </c>
      <c r="AG2779" t="str">
        <f t="shared" si="46"/>
        <v>À Vista</v>
      </c>
      <c r="AH2779" t="str">
        <f>IF(AND(SUMIF(E:E,E2779,I:I)&gt;=400000,Q2779="B2G"),"n","")</f>
        <v/>
      </c>
    </row>
    <row r="2780" spans="1:34">
      <c r="A2780">
        <v>2026</v>
      </c>
      <c r="B2780">
        <v>3</v>
      </c>
      <c r="C2780" s="83">
        <v>29688494348</v>
      </c>
      <c r="D2780" t="s">
        <v>2517</v>
      </c>
      <c r="E2780">
        <v>33166375534</v>
      </c>
      <c r="F2780">
        <v>636814</v>
      </c>
      <c r="G2780">
        <v>53808831614</v>
      </c>
      <c r="H2780" t="s">
        <v>35</v>
      </c>
      <c r="I2780" s="36">
        <v>15990</v>
      </c>
      <c r="J2780" s="36">
        <v>15990</v>
      </c>
      <c r="K2780" s="85">
        <v>0</v>
      </c>
      <c r="L2780" s="36">
        <v>1332.5</v>
      </c>
      <c r="M2780" s="36">
        <v>1332.5</v>
      </c>
      <c r="N2780" s="36">
        <v>0</v>
      </c>
      <c r="O2780" s="36">
        <v>0</v>
      </c>
      <c r="P2780" t="s">
        <v>87</v>
      </c>
      <c r="Q2780" t="s">
        <v>37</v>
      </c>
      <c r="R2780" t="s">
        <v>37</v>
      </c>
      <c r="S2780" s="1">
        <v>46112</v>
      </c>
      <c r="T2780" s="1">
        <v>46112</v>
      </c>
      <c r="U2780" s="1"/>
      <c r="V2780" s="1">
        <v>46477</v>
      </c>
      <c r="W2780" t="s">
        <v>38</v>
      </c>
      <c r="X2780">
        <v>12</v>
      </c>
      <c r="Y2780" t="s">
        <v>49</v>
      </c>
      <c r="AA2780" t="s">
        <v>40</v>
      </c>
      <c r="AB2780">
        <v>1</v>
      </c>
      <c r="AC2780" t="s">
        <v>41</v>
      </c>
      <c r="AD2780" t="s">
        <v>73</v>
      </c>
      <c r="AE2780" t="s">
        <v>51</v>
      </c>
      <c r="AF2780" t="s">
        <v>47</v>
      </c>
      <c r="AG2780" t="str">
        <f t="shared" si="46"/>
        <v>À Vista</v>
      </c>
      <c r="AH2780" t="str">
        <f>IF(AND(SUMIF(E:E,E2780,I:I)&gt;=400000,Q2780="B2G"),"n","")</f>
        <v/>
      </c>
    </row>
    <row r="2781" spans="1:34">
      <c r="A2781">
        <v>2026</v>
      </c>
      <c r="B2781">
        <v>3</v>
      </c>
      <c r="C2781" s="83">
        <v>29691927709</v>
      </c>
      <c r="D2781" t="s">
        <v>2518</v>
      </c>
      <c r="E2781">
        <v>43909724232</v>
      </c>
      <c r="F2781">
        <v>627504</v>
      </c>
      <c r="G2781">
        <v>53241771570</v>
      </c>
      <c r="H2781" t="s">
        <v>35</v>
      </c>
      <c r="I2781" s="36">
        <v>4700.16</v>
      </c>
      <c r="J2781" s="36">
        <v>4700.16</v>
      </c>
      <c r="K2781" s="85">
        <v>0</v>
      </c>
      <c r="L2781" s="36">
        <v>391.68</v>
      </c>
      <c r="M2781" s="36">
        <v>391.68</v>
      </c>
      <c r="N2781" s="36">
        <v>0</v>
      </c>
      <c r="O2781" s="36">
        <v>0</v>
      </c>
      <c r="P2781" t="s">
        <v>98</v>
      </c>
      <c r="Q2781" t="s">
        <v>37</v>
      </c>
      <c r="R2781" t="s">
        <v>37</v>
      </c>
      <c r="S2781" s="1">
        <v>46098</v>
      </c>
      <c r="T2781" s="1">
        <v>46098</v>
      </c>
      <c r="U2781" s="1"/>
      <c r="V2781" s="1">
        <v>46463</v>
      </c>
      <c r="W2781" t="s">
        <v>38</v>
      </c>
      <c r="X2781">
        <v>12</v>
      </c>
      <c r="Y2781" t="s">
        <v>49</v>
      </c>
      <c r="Z2781" t="s">
        <v>81</v>
      </c>
      <c r="AA2781" t="s">
        <v>40</v>
      </c>
      <c r="AB2781">
        <v>1</v>
      </c>
      <c r="AC2781" t="s">
        <v>41</v>
      </c>
      <c r="AD2781" t="s">
        <v>564</v>
      </c>
      <c r="AE2781" t="s">
        <v>257</v>
      </c>
      <c r="AF2781" t="s">
        <v>59</v>
      </c>
      <c r="AG2781" t="str">
        <f t="shared" si="46"/>
        <v>À Vista</v>
      </c>
      <c r="AH2781" t="str">
        <f>IF(AND(SUMIF(E:E,E2781,I:I)&gt;=400000,Q2781="B2G"),"n","")</f>
        <v/>
      </c>
    </row>
    <row r="2782" spans="1:34">
      <c r="A2782">
        <v>2026</v>
      </c>
      <c r="B2782">
        <v>3</v>
      </c>
      <c r="C2782" s="83">
        <v>29691927709</v>
      </c>
      <c r="D2782" t="s">
        <v>2518</v>
      </c>
      <c r="E2782">
        <v>43909724232</v>
      </c>
      <c r="F2782">
        <v>627504</v>
      </c>
      <c r="G2782">
        <v>53241771571</v>
      </c>
      <c r="H2782" t="s">
        <v>35</v>
      </c>
      <c r="I2782" s="36">
        <v>5436</v>
      </c>
      <c r="J2782" s="36">
        <v>5436</v>
      </c>
      <c r="K2782" s="85">
        <v>0</v>
      </c>
      <c r="L2782" s="36">
        <v>453</v>
      </c>
      <c r="M2782" s="36">
        <v>453</v>
      </c>
      <c r="N2782" s="36">
        <v>0</v>
      </c>
      <c r="O2782" s="36">
        <v>0</v>
      </c>
      <c r="P2782" t="s">
        <v>98</v>
      </c>
      <c r="Q2782" t="s">
        <v>37</v>
      </c>
      <c r="R2782" t="s">
        <v>37</v>
      </c>
      <c r="S2782" s="1">
        <v>46098</v>
      </c>
      <c r="T2782" s="1">
        <v>46098</v>
      </c>
      <c r="U2782" s="1"/>
      <c r="V2782" s="1">
        <v>46463</v>
      </c>
      <c r="W2782" t="s">
        <v>38</v>
      </c>
      <c r="X2782">
        <v>12</v>
      </c>
      <c r="Y2782" t="s">
        <v>49</v>
      </c>
      <c r="Z2782" t="s">
        <v>81</v>
      </c>
      <c r="AA2782" t="s">
        <v>40</v>
      </c>
      <c r="AB2782">
        <v>1</v>
      </c>
      <c r="AC2782" t="s">
        <v>41</v>
      </c>
      <c r="AD2782" t="s">
        <v>54</v>
      </c>
      <c r="AE2782" t="s">
        <v>46</v>
      </c>
      <c r="AF2782" t="s">
        <v>44</v>
      </c>
      <c r="AG2782" t="str">
        <f t="shared" si="46"/>
        <v>À Vista</v>
      </c>
      <c r="AH2782" t="str">
        <f>IF(AND(SUMIF(E:E,E2782,I:I)&gt;=400000,Q2782="B2G"),"n","")</f>
        <v/>
      </c>
    </row>
    <row r="2783" spans="1:34">
      <c r="A2783">
        <v>2026</v>
      </c>
      <c r="B2783">
        <v>3</v>
      </c>
      <c r="C2783" s="83">
        <v>29691927709</v>
      </c>
      <c r="D2783" t="s">
        <v>2518</v>
      </c>
      <c r="E2783">
        <v>43909724232</v>
      </c>
      <c r="F2783">
        <v>627504</v>
      </c>
      <c r="G2783">
        <v>53241771572</v>
      </c>
      <c r="H2783" t="s">
        <v>35</v>
      </c>
      <c r="I2783" s="36">
        <v>4644</v>
      </c>
      <c r="J2783" s="36">
        <v>4644</v>
      </c>
      <c r="K2783" s="85">
        <v>0</v>
      </c>
      <c r="L2783" s="36">
        <v>387</v>
      </c>
      <c r="M2783" s="36">
        <v>387</v>
      </c>
      <c r="N2783" s="36">
        <v>0</v>
      </c>
      <c r="O2783" s="36">
        <v>0</v>
      </c>
      <c r="P2783" t="s">
        <v>98</v>
      </c>
      <c r="Q2783" t="s">
        <v>37</v>
      </c>
      <c r="R2783" t="s">
        <v>37</v>
      </c>
      <c r="S2783" s="1">
        <v>46098</v>
      </c>
      <c r="T2783" s="1">
        <v>46098</v>
      </c>
      <c r="U2783" s="1"/>
      <c r="V2783" s="1">
        <v>46463</v>
      </c>
      <c r="W2783" t="s">
        <v>38</v>
      </c>
      <c r="X2783">
        <v>12</v>
      </c>
      <c r="Y2783" t="s">
        <v>49</v>
      </c>
      <c r="Z2783" t="s">
        <v>81</v>
      </c>
      <c r="AA2783" t="s">
        <v>40</v>
      </c>
      <c r="AB2783">
        <v>1</v>
      </c>
      <c r="AC2783" t="s">
        <v>41</v>
      </c>
      <c r="AD2783" t="s">
        <v>53</v>
      </c>
      <c r="AE2783" t="s">
        <v>43</v>
      </c>
      <c r="AF2783" t="s">
        <v>44</v>
      </c>
      <c r="AG2783" t="str">
        <f t="shared" si="46"/>
        <v>À Vista</v>
      </c>
      <c r="AH2783" t="str">
        <f>IF(AND(SUMIF(E:E,E2783,I:I)&gt;=400000,Q2783="B2G"),"n","")</f>
        <v/>
      </c>
    </row>
    <row r="2784" spans="1:34">
      <c r="A2784">
        <v>2026</v>
      </c>
      <c r="B2784">
        <v>3</v>
      </c>
      <c r="C2784" s="83">
        <v>29775054921</v>
      </c>
      <c r="D2784" t="s">
        <v>2519</v>
      </c>
      <c r="E2784">
        <v>54519364008</v>
      </c>
      <c r="F2784">
        <v>636355</v>
      </c>
      <c r="G2784">
        <v>52704611190</v>
      </c>
      <c r="H2784" t="s">
        <v>35</v>
      </c>
      <c r="I2784" s="36">
        <v>7309.8</v>
      </c>
      <c r="J2784" s="36">
        <v>7309.7999999999993</v>
      </c>
      <c r="K2784" s="85">
        <v>0</v>
      </c>
      <c r="L2784" s="36">
        <v>609.15</v>
      </c>
      <c r="M2784" s="36">
        <v>609.15</v>
      </c>
      <c r="N2784" s="36">
        <v>0</v>
      </c>
      <c r="O2784" s="36">
        <v>0</v>
      </c>
      <c r="P2784" t="s">
        <v>2068</v>
      </c>
      <c r="Q2784" t="s">
        <v>37</v>
      </c>
      <c r="R2784" t="s">
        <v>37</v>
      </c>
      <c r="S2784" s="1">
        <v>46085</v>
      </c>
      <c r="T2784" s="1">
        <v>46085</v>
      </c>
      <c r="U2784" s="1"/>
      <c r="V2784" s="1"/>
      <c r="W2784" t="s">
        <v>38</v>
      </c>
      <c r="X2784">
        <v>12</v>
      </c>
      <c r="Y2784" t="s">
        <v>49</v>
      </c>
      <c r="AA2784" t="s">
        <v>40</v>
      </c>
      <c r="AB2784">
        <v>1</v>
      </c>
      <c r="AC2784" t="s">
        <v>41</v>
      </c>
      <c r="AD2784" t="s">
        <v>48</v>
      </c>
      <c r="AE2784" t="s">
        <v>43</v>
      </c>
      <c r="AF2784" t="s">
        <v>47</v>
      </c>
      <c r="AG2784" t="str">
        <f t="shared" si="46"/>
        <v>À Vista</v>
      </c>
      <c r="AH2784" t="str">
        <f>IF(AND(SUMIF(E:E,E2784,I:I)&gt;=400000,Q2784="B2G"),"n","")</f>
        <v/>
      </c>
    </row>
    <row r="2785" spans="1:34">
      <c r="A2785">
        <v>2026</v>
      </c>
      <c r="B2785">
        <v>3</v>
      </c>
      <c r="C2785" s="83">
        <v>29859611014</v>
      </c>
      <c r="D2785" t="s">
        <v>2520</v>
      </c>
      <c r="E2785">
        <v>56261173856</v>
      </c>
      <c r="F2785">
        <v>628043</v>
      </c>
      <c r="G2785">
        <v>51566579518</v>
      </c>
      <c r="H2785" t="s">
        <v>35</v>
      </c>
      <c r="I2785" s="36">
        <v>4530.6000000000004</v>
      </c>
      <c r="J2785" s="36">
        <v>4530.6000000000004</v>
      </c>
      <c r="K2785" s="85">
        <v>0</v>
      </c>
      <c r="L2785" s="36">
        <v>377.55</v>
      </c>
      <c r="M2785" s="36">
        <v>0</v>
      </c>
      <c r="N2785" s="36">
        <v>65.05</v>
      </c>
      <c r="O2785" s="36">
        <v>312.5</v>
      </c>
      <c r="P2785" t="s">
        <v>165</v>
      </c>
      <c r="Q2785" t="s">
        <v>166</v>
      </c>
      <c r="R2785" t="s">
        <v>166</v>
      </c>
      <c r="S2785" s="1">
        <v>46107</v>
      </c>
      <c r="T2785" s="1">
        <v>46107</v>
      </c>
      <c r="U2785" s="1">
        <v>46112</v>
      </c>
      <c r="V2785" s="1">
        <v>46477</v>
      </c>
      <c r="W2785" t="s">
        <v>38</v>
      </c>
      <c r="X2785">
        <v>12</v>
      </c>
      <c r="Y2785" t="s">
        <v>49</v>
      </c>
      <c r="Z2785" t="s">
        <v>81</v>
      </c>
      <c r="AA2785" t="s">
        <v>112</v>
      </c>
      <c r="AB2785">
        <v>12</v>
      </c>
      <c r="AC2785" t="s">
        <v>166</v>
      </c>
      <c r="AD2785" t="s">
        <v>84</v>
      </c>
      <c r="AE2785" t="s">
        <v>43</v>
      </c>
      <c r="AF2785" t="s">
        <v>44</v>
      </c>
      <c r="AG2785" t="str">
        <f t="shared" si="46"/>
        <v>CC 12x</v>
      </c>
      <c r="AH2785" t="str">
        <f>IF(AND(SUMIF(E:E,E2785,I:I)&gt;=400000,Q2785="B2G"),"n","")</f>
        <v/>
      </c>
    </row>
    <row r="2786" spans="1:34">
      <c r="A2786">
        <v>2026</v>
      </c>
      <c r="B2786">
        <v>3</v>
      </c>
      <c r="C2786" s="83">
        <v>29928209153</v>
      </c>
      <c r="D2786" t="s">
        <v>2521</v>
      </c>
      <c r="E2786">
        <v>56878395717</v>
      </c>
      <c r="F2786">
        <v>608402</v>
      </c>
      <c r="G2786">
        <v>53060440395</v>
      </c>
      <c r="H2786" t="s">
        <v>35</v>
      </c>
      <c r="I2786" s="36">
        <v>11599.2</v>
      </c>
      <c r="J2786" s="36">
        <v>11599.2</v>
      </c>
      <c r="K2786" s="85">
        <v>0</v>
      </c>
      <c r="L2786" s="36">
        <v>966.6</v>
      </c>
      <c r="M2786" s="36">
        <v>0</v>
      </c>
      <c r="N2786" s="36">
        <v>46.2</v>
      </c>
      <c r="O2786" s="36">
        <v>920.4</v>
      </c>
      <c r="P2786" t="s">
        <v>137</v>
      </c>
      <c r="Q2786" t="s">
        <v>111</v>
      </c>
      <c r="R2786" t="s">
        <v>111</v>
      </c>
      <c r="S2786" s="1">
        <v>46097</v>
      </c>
      <c r="T2786" s="1">
        <v>46097</v>
      </c>
      <c r="U2786" s="1">
        <v>46094</v>
      </c>
      <c r="V2786" s="1">
        <v>46462</v>
      </c>
      <c r="W2786" t="s">
        <v>38</v>
      </c>
      <c r="X2786">
        <v>12</v>
      </c>
      <c r="Y2786" t="s">
        <v>49</v>
      </c>
      <c r="Z2786" t="s">
        <v>81</v>
      </c>
      <c r="AA2786" t="s">
        <v>117</v>
      </c>
      <c r="AB2786">
        <v>1</v>
      </c>
      <c r="AC2786" t="s">
        <v>113</v>
      </c>
      <c r="AD2786" t="s">
        <v>256</v>
      </c>
      <c r="AE2786" t="s">
        <v>257</v>
      </c>
      <c r="AF2786" t="s">
        <v>59</v>
      </c>
      <c r="AG2786" t="str">
        <f t="shared" si="46"/>
        <v>À Vista</v>
      </c>
      <c r="AH2786" t="str">
        <f>IF(AND(SUMIF(E:E,E2786,I:I)&gt;=400000,Q2786="B2G"),"n","")</f>
        <v/>
      </c>
    </row>
    <row r="2787" spans="1:34">
      <c r="A2787">
        <v>2026</v>
      </c>
      <c r="B2787">
        <v>3</v>
      </c>
      <c r="C2787" s="83">
        <v>29928424777</v>
      </c>
      <c r="D2787" t="s">
        <v>2522</v>
      </c>
      <c r="E2787">
        <v>58000269591</v>
      </c>
      <c r="F2787">
        <v>507423</v>
      </c>
      <c r="G2787">
        <v>53241847566</v>
      </c>
      <c r="H2787" t="s">
        <v>35</v>
      </c>
      <c r="I2787" s="36">
        <v>8060.64</v>
      </c>
      <c r="J2787" s="36">
        <v>8060.64</v>
      </c>
      <c r="K2787" s="85">
        <v>0</v>
      </c>
      <c r="L2787" s="36">
        <v>671.72</v>
      </c>
      <c r="M2787" s="36">
        <v>0</v>
      </c>
      <c r="N2787" s="36">
        <v>0</v>
      </c>
      <c r="O2787" s="36">
        <v>671.72</v>
      </c>
      <c r="P2787" t="s">
        <v>116</v>
      </c>
      <c r="Q2787" t="s">
        <v>111</v>
      </c>
      <c r="R2787" t="s">
        <v>111</v>
      </c>
      <c r="S2787" s="1">
        <v>46097</v>
      </c>
      <c r="T2787" s="1">
        <v>46097</v>
      </c>
      <c r="U2787" s="1">
        <v>46095</v>
      </c>
      <c r="V2787" s="1">
        <v>46462</v>
      </c>
      <c r="W2787" t="s">
        <v>38</v>
      </c>
      <c r="X2787">
        <v>12</v>
      </c>
      <c r="Y2787" t="s">
        <v>49</v>
      </c>
      <c r="Z2787" t="s">
        <v>81</v>
      </c>
      <c r="AA2787" t="s">
        <v>117</v>
      </c>
      <c r="AB2787">
        <v>1</v>
      </c>
      <c r="AC2787" t="s">
        <v>113</v>
      </c>
      <c r="AD2787" t="s">
        <v>154</v>
      </c>
      <c r="AE2787" t="s">
        <v>46</v>
      </c>
      <c r="AF2787" t="s">
        <v>47</v>
      </c>
      <c r="AG2787" t="str">
        <f t="shared" si="46"/>
        <v>À Vista</v>
      </c>
      <c r="AH2787" t="str">
        <f>IF(AND(SUMIF(E:E,E2787,I:I)&gt;=400000,Q2787="B2G"),"n","")</f>
        <v/>
      </c>
    </row>
    <row r="2788" spans="1:34">
      <c r="A2788">
        <v>2026</v>
      </c>
      <c r="B2788">
        <v>3</v>
      </c>
      <c r="C2788" s="83">
        <v>30002679148</v>
      </c>
      <c r="D2788" t="s">
        <v>2523</v>
      </c>
      <c r="E2788">
        <v>57972007570</v>
      </c>
      <c r="F2788">
        <v>627314</v>
      </c>
      <c r="G2788">
        <v>53342527917</v>
      </c>
      <c r="H2788" t="s">
        <v>35</v>
      </c>
      <c r="I2788" s="36">
        <v>5718.6</v>
      </c>
      <c r="J2788" s="36">
        <v>5718.6</v>
      </c>
      <c r="K2788" s="85">
        <v>0</v>
      </c>
      <c r="L2788" s="36">
        <v>476.55</v>
      </c>
      <c r="M2788" s="36">
        <v>0</v>
      </c>
      <c r="N2788" s="36">
        <v>0</v>
      </c>
      <c r="O2788" s="36">
        <v>476.55</v>
      </c>
      <c r="P2788" t="s">
        <v>116</v>
      </c>
      <c r="Q2788" t="s">
        <v>111</v>
      </c>
      <c r="R2788" t="s">
        <v>111</v>
      </c>
      <c r="S2788" s="1">
        <v>46099</v>
      </c>
      <c r="T2788" s="1">
        <v>46099</v>
      </c>
      <c r="U2788" s="1">
        <v>46093</v>
      </c>
      <c r="V2788" s="1">
        <v>46464</v>
      </c>
      <c r="W2788" t="s">
        <v>38</v>
      </c>
      <c r="X2788">
        <v>12</v>
      </c>
      <c r="Y2788" t="s">
        <v>49</v>
      </c>
      <c r="Z2788" t="s">
        <v>81</v>
      </c>
      <c r="AA2788" t="s">
        <v>122</v>
      </c>
      <c r="AB2788">
        <v>12</v>
      </c>
      <c r="AC2788" t="s">
        <v>113</v>
      </c>
      <c r="AD2788" t="s">
        <v>149</v>
      </c>
      <c r="AE2788" t="s">
        <v>43</v>
      </c>
      <c r="AF2788" t="s">
        <v>96</v>
      </c>
      <c r="AG2788" t="str">
        <f t="shared" si="46"/>
        <v>Recorrente</v>
      </c>
      <c r="AH2788" t="str">
        <f>IF(AND(SUMIF(E:E,E2788,I:I)&gt;=400000,Q2788="B2G"),"n","")</f>
        <v/>
      </c>
    </row>
    <row r="2789" spans="1:34">
      <c r="A2789">
        <v>2026</v>
      </c>
      <c r="B2789">
        <v>3</v>
      </c>
      <c r="C2789" s="83">
        <v>30104376226</v>
      </c>
      <c r="D2789" t="s">
        <v>2524</v>
      </c>
      <c r="E2789">
        <v>55806607766</v>
      </c>
      <c r="F2789">
        <v>508186</v>
      </c>
      <c r="G2789">
        <v>53172319386</v>
      </c>
      <c r="H2789" t="s">
        <v>35</v>
      </c>
      <c r="I2789" s="36">
        <v>5260.92</v>
      </c>
      <c r="J2789" s="36">
        <v>5260.92</v>
      </c>
      <c r="K2789" s="85">
        <v>0</v>
      </c>
      <c r="L2789" s="36">
        <v>438.41</v>
      </c>
      <c r="M2789" s="36">
        <v>0</v>
      </c>
      <c r="N2789" s="36">
        <v>50.947499999999998</v>
      </c>
      <c r="O2789" s="36">
        <v>387.46499999999997</v>
      </c>
      <c r="P2789" t="s">
        <v>137</v>
      </c>
      <c r="Q2789" t="s">
        <v>111</v>
      </c>
      <c r="R2789" t="s">
        <v>111</v>
      </c>
      <c r="S2789" s="1">
        <v>46107</v>
      </c>
      <c r="T2789" s="1">
        <v>46107</v>
      </c>
      <c r="U2789" s="1">
        <v>46111</v>
      </c>
      <c r="V2789" s="1">
        <v>46476</v>
      </c>
      <c r="W2789" t="s">
        <v>38</v>
      </c>
      <c r="X2789">
        <v>12</v>
      </c>
      <c r="Y2789" t="s">
        <v>49</v>
      </c>
      <c r="Z2789" t="s">
        <v>81</v>
      </c>
      <c r="AA2789" t="s">
        <v>112</v>
      </c>
      <c r="AB2789">
        <v>12</v>
      </c>
      <c r="AC2789" t="s">
        <v>113</v>
      </c>
      <c r="AD2789" t="s">
        <v>125</v>
      </c>
      <c r="AE2789" t="s">
        <v>43</v>
      </c>
      <c r="AF2789" t="s">
        <v>47</v>
      </c>
      <c r="AG2789" t="str">
        <f t="shared" si="46"/>
        <v>CC 12x</v>
      </c>
      <c r="AH2789" t="str">
        <f>IF(AND(SUMIF(E:E,E2789,I:I)&gt;=400000,Q2789="B2G"),"n","")</f>
        <v/>
      </c>
    </row>
    <row r="2790" spans="1:34">
      <c r="A2790">
        <v>2026</v>
      </c>
      <c r="B2790">
        <v>3</v>
      </c>
      <c r="C2790" s="83">
        <v>30104376226</v>
      </c>
      <c r="D2790" t="s">
        <v>2524</v>
      </c>
      <c r="E2790">
        <v>55806607766</v>
      </c>
      <c r="F2790">
        <v>508186</v>
      </c>
      <c r="G2790">
        <v>53172319387</v>
      </c>
      <c r="H2790" t="s">
        <v>35</v>
      </c>
      <c r="I2790" s="36">
        <v>5260.92</v>
      </c>
      <c r="J2790" s="36">
        <v>5260.92</v>
      </c>
      <c r="K2790" s="85">
        <v>0</v>
      </c>
      <c r="L2790" s="36">
        <v>438.41</v>
      </c>
      <c r="M2790" s="36">
        <v>0</v>
      </c>
      <c r="N2790" s="36">
        <v>50.947499999999998</v>
      </c>
      <c r="O2790" s="36">
        <v>387.46499999999997</v>
      </c>
      <c r="P2790" t="s">
        <v>137</v>
      </c>
      <c r="Q2790" t="s">
        <v>111</v>
      </c>
      <c r="R2790" t="s">
        <v>111</v>
      </c>
      <c r="S2790" s="1">
        <v>46107</v>
      </c>
      <c r="T2790" s="1">
        <v>46107</v>
      </c>
      <c r="U2790" s="1">
        <v>46111</v>
      </c>
      <c r="V2790" s="1">
        <v>46476</v>
      </c>
      <c r="W2790" t="s">
        <v>38</v>
      </c>
      <c r="X2790">
        <v>12</v>
      </c>
      <c r="Y2790" t="s">
        <v>49</v>
      </c>
      <c r="Z2790" t="s">
        <v>81</v>
      </c>
      <c r="AA2790" t="s">
        <v>112</v>
      </c>
      <c r="AB2790">
        <v>12</v>
      </c>
      <c r="AC2790" t="s">
        <v>113</v>
      </c>
      <c r="AD2790" t="s">
        <v>125</v>
      </c>
      <c r="AE2790" t="s">
        <v>43</v>
      </c>
      <c r="AF2790" t="s">
        <v>47</v>
      </c>
      <c r="AG2790" t="str">
        <f t="shared" si="46"/>
        <v>CC 12x</v>
      </c>
      <c r="AH2790" t="str">
        <f>IF(AND(SUMIF(E:E,E2790,I:I)&gt;=400000,Q2790="B2G"),"n","")</f>
        <v/>
      </c>
    </row>
    <row r="2791" spans="1:34">
      <c r="A2791">
        <v>2026</v>
      </c>
      <c r="B2791">
        <v>3</v>
      </c>
      <c r="C2791" s="83">
        <v>30250079289</v>
      </c>
      <c r="D2791" t="s">
        <v>2525</v>
      </c>
      <c r="E2791">
        <v>57713615462</v>
      </c>
      <c r="F2791">
        <v>531337</v>
      </c>
      <c r="G2791">
        <v>53601523552</v>
      </c>
      <c r="H2791" t="s">
        <v>35</v>
      </c>
      <c r="I2791" s="36">
        <v>3576</v>
      </c>
      <c r="J2791" s="36">
        <v>3576</v>
      </c>
      <c r="K2791" s="85">
        <v>0</v>
      </c>
      <c r="L2791" s="36">
        <v>298</v>
      </c>
      <c r="M2791" s="36">
        <v>298</v>
      </c>
      <c r="N2791" s="36">
        <v>0</v>
      </c>
      <c r="O2791" s="36">
        <v>0</v>
      </c>
      <c r="P2791" t="s">
        <v>127</v>
      </c>
      <c r="Q2791" t="s">
        <v>111</v>
      </c>
      <c r="R2791" t="s">
        <v>111</v>
      </c>
      <c r="S2791" s="1">
        <v>46107</v>
      </c>
      <c r="T2791" s="1">
        <v>46107</v>
      </c>
      <c r="U2791" s="1">
        <v>46111</v>
      </c>
      <c r="V2791" s="1">
        <v>46476</v>
      </c>
      <c r="W2791" t="s">
        <v>38</v>
      </c>
      <c r="X2791">
        <v>12</v>
      </c>
      <c r="Y2791" t="s">
        <v>49</v>
      </c>
      <c r="Z2791" t="s">
        <v>81</v>
      </c>
      <c r="AA2791" t="s">
        <v>92</v>
      </c>
      <c r="AB2791">
        <v>12</v>
      </c>
      <c r="AC2791" t="s">
        <v>113</v>
      </c>
      <c r="AD2791" t="s">
        <v>142</v>
      </c>
      <c r="AE2791" t="s">
        <v>95</v>
      </c>
      <c r="AF2791" t="s">
        <v>44</v>
      </c>
      <c r="AG2791" t="str">
        <f t="shared" si="46"/>
        <v>Recorrente</v>
      </c>
      <c r="AH2791" t="str">
        <f>IF(AND(SUMIF(E:E,E2791,I:I)&gt;=400000,Q2791="B2G"),"n","")</f>
        <v/>
      </c>
    </row>
    <row r="2792" spans="1:34">
      <c r="A2792">
        <v>2026</v>
      </c>
      <c r="B2792">
        <v>3</v>
      </c>
      <c r="C2792" s="83">
        <v>30294834209</v>
      </c>
      <c r="D2792" t="s">
        <v>2526</v>
      </c>
      <c r="E2792">
        <v>58015662508</v>
      </c>
      <c r="F2792">
        <v>607481</v>
      </c>
      <c r="G2792">
        <v>53241342337</v>
      </c>
      <c r="H2792" t="s">
        <v>35</v>
      </c>
      <c r="I2792" s="36">
        <v>7200</v>
      </c>
      <c r="J2792" s="36">
        <v>7200</v>
      </c>
      <c r="K2792" s="85">
        <v>0</v>
      </c>
      <c r="L2792" s="36">
        <v>600</v>
      </c>
      <c r="M2792" s="36">
        <v>0</v>
      </c>
      <c r="N2792" s="36">
        <v>0</v>
      </c>
      <c r="O2792" s="36">
        <v>600</v>
      </c>
      <c r="P2792" t="s">
        <v>133</v>
      </c>
      <c r="Q2792" t="s">
        <v>111</v>
      </c>
      <c r="R2792" t="s">
        <v>111</v>
      </c>
      <c r="S2792" s="1">
        <v>46111</v>
      </c>
      <c r="T2792" s="1">
        <v>46111</v>
      </c>
      <c r="U2792" s="1">
        <v>46103</v>
      </c>
      <c r="V2792" s="1">
        <v>46476</v>
      </c>
      <c r="W2792" t="s">
        <v>38</v>
      </c>
      <c r="X2792">
        <v>12</v>
      </c>
      <c r="Y2792" t="s">
        <v>49</v>
      </c>
      <c r="Z2792" t="s">
        <v>81</v>
      </c>
      <c r="AA2792" t="s">
        <v>92</v>
      </c>
      <c r="AB2792">
        <v>12</v>
      </c>
      <c r="AC2792" t="s">
        <v>113</v>
      </c>
      <c r="AD2792" t="s">
        <v>1208</v>
      </c>
      <c r="AE2792" t="s">
        <v>95</v>
      </c>
      <c r="AF2792" t="s">
        <v>96</v>
      </c>
      <c r="AG2792" t="str">
        <f t="shared" si="46"/>
        <v>Recorrente</v>
      </c>
      <c r="AH2792" t="str">
        <f>IF(AND(SUMIF(E:E,E2792,I:I)&gt;=400000,Q2792="B2G"),"n","")</f>
        <v/>
      </c>
    </row>
    <row r="2793" spans="1:34">
      <c r="A2793">
        <v>2026</v>
      </c>
      <c r="B2793">
        <v>3</v>
      </c>
      <c r="C2793" s="83">
        <v>30341837861</v>
      </c>
      <c r="D2793" t="s">
        <v>2527</v>
      </c>
      <c r="E2793">
        <v>44679884199</v>
      </c>
      <c r="F2793">
        <v>627936</v>
      </c>
      <c r="G2793">
        <v>53640483996</v>
      </c>
      <c r="H2793" t="s">
        <v>35</v>
      </c>
      <c r="I2793" s="36">
        <v>5040</v>
      </c>
      <c r="J2793" s="36">
        <v>5040</v>
      </c>
      <c r="K2793" s="85">
        <v>0</v>
      </c>
      <c r="L2793" s="36">
        <v>420</v>
      </c>
      <c r="M2793" s="36">
        <v>0</v>
      </c>
      <c r="N2793" s="36">
        <v>57</v>
      </c>
      <c r="O2793" s="36">
        <v>363</v>
      </c>
      <c r="P2793" t="s">
        <v>36</v>
      </c>
      <c r="Q2793" t="s">
        <v>37</v>
      </c>
      <c r="R2793" t="s">
        <v>37</v>
      </c>
      <c r="S2793" s="1">
        <v>46107</v>
      </c>
      <c r="T2793" s="1">
        <v>46107</v>
      </c>
      <c r="U2793" s="1">
        <v>46108</v>
      </c>
      <c r="V2793" s="1">
        <v>46473</v>
      </c>
      <c r="W2793" t="s">
        <v>38</v>
      </c>
      <c r="X2793">
        <v>12</v>
      </c>
      <c r="Y2793" t="s">
        <v>49</v>
      </c>
      <c r="Z2793" t="s">
        <v>76</v>
      </c>
      <c r="AA2793" t="s">
        <v>40</v>
      </c>
      <c r="AB2793">
        <v>1</v>
      </c>
      <c r="AC2793" t="s">
        <v>41</v>
      </c>
      <c r="AD2793" t="s">
        <v>53</v>
      </c>
      <c r="AE2793" t="s">
        <v>43</v>
      </c>
      <c r="AF2793" t="s">
        <v>44</v>
      </c>
      <c r="AG2793" t="str">
        <f t="shared" si="46"/>
        <v>À Vista</v>
      </c>
      <c r="AH2793" t="str">
        <f>IF(AND(SUMIF(E:E,E2793,I:I)&gt;=400000,Q2793="B2G"),"n","")</f>
        <v/>
      </c>
    </row>
    <row r="2794" spans="1:34">
      <c r="A2794">
        <v>2026</v>
      </c>
      <c r="B2794">
        <v>3</v>
      </c>
      <c r="C2794" s="83">
        <v>30341837861</v>
      </c>
      <c r="D2794" t="s">
        <v>2527</v>
      </c>
      <c r="E2794">
        <v>44679884199</v>
      </c>
      <c r="F2794">
        <v>627936</v>
      </c>
      <c r="G2794">
        <v>53640483997</v>
      </c>
      <c r="H2794" t="s">
        <v>35</v>
      </c>
      <c r="I2794" s="36">
        <v>5040</v>
      </c>
      <c r="J2794" s="36">
        <v>5040</v>
      </c>
      <c r="K2794" s="85">
        <v>0</v>
      </c>
      <c r="L2794" s="36">
        <v>420</v>
      </c>
      <c r="M2794" s="36">
        <v>0</v>
      </c>
      <c r="N2794" s="36">
        <v>57</v>
      </c>
      <c r="O2794" s="36">
        <v>363</v>
      </c>
      <c r="P2794" t="s">
        <v>36</v>
      </c>
      <c r="Q2794" t="s">
        <v>37</v>
      </c>
      <c r="R2794" t="s">
        <v>37</v>
      </c>
      <c r="S2794" s="1">
        <v>46107</v>
      </c>
      <c r="T2794" s="1">
        <v>46107</v>
      </c>
      <c r="U2794" s="1">
        <v>46108</v>
      </c>
      <c r="V2794" s="1">
        <v>46473</v>
      </c>
      <c r="W2794" t="s">
        <v>38</v>
      </c>
      <c r="X2794">
        <v>12</v>
      </c>
      <c r="Y2794" t="s">
        <v>49</v>
      </c>
      <c r="Z2794" t="s">
        <v>76</v>
      </c>
      <c r="AA2794" t="s">
        <v>40</v>
      </c>
      <c r="AB2794">
        <v>1</v>
      </c>
      <c r="AC2794" t="s">
        <v>41</v>
      </c>
      <c r="AD2794" t="s">
        <v>54</v>
      </c>
      <c r="AE2794" t="s">
        <v>46</v>
      </c>
      <c r="AF2794" t="s">
        <v>44</v>
      </c>
      <c r="AG2794" t="str">
        <f t="shared" si="46"/>
        <v>À Vista</v>
      </c>
      <c r="AH2794" t="str">
        <f>IF(AND(SUMIF(E:E,E2794,I:I)&gt;=400000,Q2794="B2G"),"n","")</f>
        <v/>
      </c>
    </row>
    <row r="2795" spans="1:34">
      <c r="A2795">
        <v>2026</v>
      </c>
      <c r="B2795">
        <v>3</v>
      </c>
      <c r="C2795" s="83">
        <v>30345675435</v>
      </c>
      <c r="D2795" t="s">
        <v>2528</v>
      </c>
      <c r="E2795">
        <v>43868558228</v>
      </c>
      <c r="F2795">
        <v>627442</v>
      </c>
      <c r="G2795">
        <v>53451858701</v>
      </c>
      <c r="H2795" t="s">
        <v>35</v>
      </c>
      <c r="I2795" s="36">
        <v>5352</v>
      </c>
      <c r="J2795" s="36">
        <v>5352</v>
      </c>
      <c r="K2795" s="85">
        <v>0</v>
      </c>
      <c r="L2795" s="36">
        <v>446</v>
      </c>
      <c r="M2795" s="36">
        <v>0</v>
      </c>
      <c r="N2795" s="36">
        <v>26</v>
      </c>
      <c r="O2795" s="36">
        <v>420</v>
      </c>
      <c r="P2795" t="s">
        <v>36</v>
      </c>
      <c r="Q2795" t="s">
        <v>37</v>
      </c>
      <c r="R2795" t="s">
        <v>37</v>
      </c>
      <c r="S2795" s="1">
        <v>46104</v>
      </c>
      <c r="T2795" s="1">
        <v>46104</v>
      </c>
      <c r="U2795" s="1">
        <v>46098</v>
      </c>
      <c r="V2795" s="1">
        <v>46469</v>
      </c>
      <c r="W2795" t="s">
        <v>38</v>
      </c>
      <c r="X2795">
        <v>12</v>
      </c>
      <c r="Y2795" t="s">
        <v>49</v>
      </c>
      <c r="Z2795" t="s">
        <v>76</v>
      </c>
      <c r="AA2795" t="s">
        <v>40</v>
      </c>
      <c r="AB2795">
        <v>1</v>
      </c>
      <c r="AC2795" t="s">
        <v>41</v>
      </c>
      <c r="AD2795" t="s">
        <v>54</v>
      </c>
      <c r="AE2795" t="s">
        <v>46</v>
      </c>
      <c r="AF2795" t="s">
        <v>44</v>
      </c>
      <c r="AG2795" t="str">
        <f t="shared" si="46"/>
        <v>À Vista</v>
      </c>
      <c r="AH2795" t="str">
        <f>IF(AND(SUMIF(E:E,E2795,I:I)&gt;=400000,Q2795="B2G"),"n","")</f>
        <v/>
      </c>
    </row>
    <row r="2796" spans="1:34">
      <c r="A2796">
        <v>2026</v>
      </c>
      <c r="B2796">
        <v>3</v>
      </c>
      <c r="C2796" s="83">
        <v>30345675435</v>
      </c>
      <c r="D2796" t="s">
        <v>2528</v>
      </c>
      <c r="E2796">
        <v>43868558228</v>
      </c>
      <c r="F2796">
        <v>627442</v>
      </c>
      <c r="G2796">
        <v>53451858702</v>
      </c>
      <c r="H2796" t="s">
        <v>35</v>
      </c>
      <c r="I2796" s="36">
        <v>5352</v>
      </c>
      <c r="J2796" s="36">
        <v>5352</v>
      </c>
      <c r="K2796" s="85">
        <v>0</v>
      </c>
      <c r="L2796" s="36">
        <v>446</v>
      </c>
      <c r="M2796" s="36">
        <v>0</v>
      </c>
      <c r="N2796" s="36">
        <v>26</v>
      </c>
      <c r="O2796" s="36">
        <v>420</v>
      </c>
      <c r="P2796" t="s">
        <v>36</v>
      </c>
      <c r="Q2796" t="s">
        <v>37</v>
      </c>
      <c r="R2796" t="s">
        <v>37</v>
      </c>
      <c r="S2796" s="1">
        <v>46104</v>
      </c>
      <c r="T2796" s="1">
        <v>46104</v>
      </c>
      <c r="U2796" s="1">
        <v>46098</v>
      </c>
      <c r="V2796" s="1">
        <v>46469</v>
      </c>
      <c r="W2796" t="s">
        <v>38</v>
      </c>
      <c r="X2796">
        <v>12</v>
      </c>
      <c r="Y2796" t="s">
        <v>49</v>
      </c>
      <c r="Z2796" t="s">
        <v>76</v>
      </c>
      <c r="AA2796" t="s">
        <v>40</v>
      </c>
      <c r="AB2796">
        <v>1</v>
      </c>
      <c r="AC2796" t="s">
        <v>41</v>
      </c>
      <c r="AD2796" t="s">
        <v>53</v>
      </c>
      <c r="AE2796" t="s">
        <v>43</v>
      </c>
      <c r="AF2796" t="s">
        <v>44</v>
      </c>
      <c r="AG2796" t="str">
        <f t="shared" si="46"/>
        <v>À Vista</v>
      </c>
      <c r="AH2796" t="str">
        <f>IF(AND(SUMIF(E:E,E2796,I:I)&gt;=400000,Q2796="B2G"),"n","")</f>
        <v/>
      </c>
    </row>
    <row r="2797" spans="1:34">
      <c r="A2797">
        <v>2026</v>
      </c>
      <c r="B2797">
        <v>3</v>
      </c>
      <c r="C2797" s="83">
        <v>30345727270</v>
      </c>
      <c r="D2797" t="s">
        <v>2529</v>
      </c>
      <c r="E2797">
        <v>56952050766</v>
      </c>
      <c r="F2797">
        <v>626961</v>
      </c>
      <c r="G2797">
        <v>52873406033</v>
      </c>
      <c r="H2797" t="s">
        <v>35</v>
      </c>
      <c r="I2797" s="36">
        <v>2874</v>
      </c>
      <c r="J2797" s="36">
        <v>2874</v>
      </c>
      <c r="K2797" s="85">
        <v>0</v>
      </c>
      <c r="L2797" s="36">
        <v>239.5</v>
      </c>
      <c r="M2797" s="36">
        <v>0</v>
      </c>
      <c r="N2797" s="36">
        <v>0.5</v>
      </c>
      <c r="O2797" s="36">
        <v>239</v>
      </c>
      <c r="P2797" t="s">
        <v>110</v>
      </c>
      <c r="Q2797" t="s">
        <v>111</v>
      </c>
      <c r="R2797" t="s">
        <v>111</v>
      </c>
      <c r="S2797" s="1">
        <v>46086</v>
      </c>
      <c r="T2797" s="1">
        <v>46086</v>
      </c>
      <c r="U2797" s="1">
        <v>46079</v>
      </c>
      <c r="V2797" s="1">
        <v>46451</v>
      </c>
      <c r="W2797" t="s">
        <v>38</v>
      </c>
      <c r="X2797">
        <v>13</v>
      </c>
      <c r="Y2797" t="s">
        <v>49</v>
      </c>
      <c r="Z2797" t="s">
        <v>81</v>
      </c>
      <c r="AA2797" t="s">
        <v>122</v>
      </c>
      <c r="AB2797">
        <v>12</v>
      </c>
      <c r="AC2797" t="s">
        <v>113</v>
      </c>
      <c r="AD2797" t="s">
        <v>140</v>
      </c>
      <c r="AE2797" t="s">
        <v>46</v>
      </c>
      <c r="AF2797" t="s">
        <v>119</v>
      </c>
      <c r="AG2797" t="str">
        <f t="shared" si="46"/>
        <v>Recorrente</v>
      </c>
      <c r="AH2797" t="str">
        <f>IF(AND(SUMIF(E:E,E2797,I:I)&gt;=400000,Q2797="B2G"),"n","")</f>
        <v/>
      </c>
    </row>
    <row r="2798" spans="1:34">
      <c r="A2798">
        <v>2026</v>
      </c>
      <c r="B2798">
        <v>3</v>
      </c>
      <c r="C2798" s="83">
        <v>30438806073</v>
      </c>
      <c r="D2798" t="s">
        <v>2530</v>
      </c>
      <c r="E2798">
        <v>55340723128</v>
      </c>
      <c r="F2798">
        <v>627572</v>
      </c>
      <c r="G2798">
        <v>50597789221</v>
      </c>
      <c r="H2798" t="s">
        <v>35</v>
      </c>
      <c r="I2798" s="36">
        <v>5754</v>
      </c>
      <c r="J2798" s="36">
        <v>5754</v>
      </c>
      <c r="K2798" s="85">
        <v>0</v>
      </c>
      <c r="L2798" s="36">
        <v>479.5</v>
      </c>
      <c r="M2798" s="36">
        <v>0</v>
      </c>
      <c r="N2798" s="36">
        <v>94.45</v>
      </c>
      <c r="O2798" s="36">
        <v>385.05</v>
      </c>
      <c r="P2798" t="s">
        <v>165</v>
      </c>
      <c r="Q2798" t="s">
        <v>166</v>
      </c>
      <c r="R2798" t="s">
        <v>166</v>
      </c>
      <c r="S2798" s="1">
        <v>46100</v>
      </c>
      <c r="T2798" s="1">
        <v>46100</v>
      </c>
      <c r="U2798" s="1">
        <v>46100</v>
      </c>
      <c r="V2798" s="1">
        <v>46465</v>
      </c>
      <c r="W2798" t="s">
        <v>38</v>
      </c>
      <c r="X2798">
        <v>12</v>
      </c>
      <c r="Y2798" t="s">
        <v>49</v>
      </c>
      <c r="Z2798" t="s">
        <v>81</v>
      </c>
      <c r="AA2798" t="s">
        <v>122</v>
      </c>
      <c r="AB2798">
        <v>12</v>
      </c>
      <c r="AC2798" t="s">
        <v>166</v>
      </c>
      <c r="AD2798" t="s">
        <v>85</v>
      </c>
      <c r="AE2798" t="s">
        <v>46</v>
      </c>
      <c r="AF2798" t="s">
        <v>44</v>
      </c>
      <c r="AG2798" t="str">
        <f t="shared" si="46"/>
        <v>Recorrente</v>
      </c>
      <c r="AH2798" t="str">
        <f>IF(AND(SUMIF(E:E,E2798,I:I)&gt;=400000,Q2798="B2G"),"n","")</f>
        <v/>
      </c>
    </row>
    <row r="2799" spans="1:34">
      <c r="A2799">
        <v>2026</v>
      </c>
      <c r="B2799">
        <v>3</v>
      </c>
      <c r="C2799" s="83">
        <v>30451817735</v>
      </c>
      <c r="D2799" t="s">
        <v>2531</v>
      </c>
      <c r="E2799">
        <v>56877652812</v>
      </c>
      <c r="F2799">
        <v>609828</v>
      </c>
      <c r="G2799">
        <v>52401627208</v>
      </c>
      <c r="H2799" t="s">
        <v>35</v>
      </c>
      <c r="I2799" s="36">
        <v>8040</v>
      </c>
      <c r="J2799" s="36">
        <v>8040</v>
      </c>
      <c r="K2799" s="85">
        <v>0</v>
      </c>
      <c r="L2799" s="36">
        <v>670</v>
      </c>
      <c r="M2799" s="36">
        <v>0</v>
      </c>
      <c r="N2799" s="36">
        <v>2.085E-3</v>
      </c>
      <c r="O2799" s="36">
        <v>670</v>
      </c>
      <c r="P2799" t="s">
        <v>804</v>
      </c>
      <c r="Q2799" t="s">
        <v>111</v>
      </c>
      <c r="R2799" t="s">
        <v>111</v>
      </c>
      <c r="S2799" s="1">
        <v>46086</v>
      </c>
      <c r="T2799" s="1">
        <v>46086</v>
      </c>
      <c r="U2799" s="1">
        <v>46079</v>
      </c>
      <c r="V2799" s="1">
        <v>46451</v>
      </c>
      <c r="W2799" t="s">
        <v>38</v>
      </c>
      <c r="X2799">
        <v>13</v>
      </c>
      <c r="Y2799" t="s">
        <v>49</v>
      </c>
      <c r="Z2799" t="s">
        <v>76</v>
      </c>
      <c r="AA2799" t="s">
        <v>40</v>
      </c>
      <c r="AB2799">
        <v>1</v>
      </c>
      <c r="AC2799" t="s">
        <v>113</v>
      </c>
      <c r="AD2799" t="s">
        <v>94</v>
      </c>
      <c r="AE2799" t="s">
        <v>95</v>
      </c>
      <c r="AF2799" t="s">
        <v>96</v>
      </c>
      <c r="AG2799" t="str">
        <f t="shared" si="46"/>
        <v>À Vista</v>
      </c>
      <c r="AH2799" t="str">
        <f>IF(AND(SUMIF(E:E,E2799,I:I)&gt;=400000,Q2799="B2G"),"n","")</f>
        <v/>
      </c>
    </row>
    <row r="2800" spans="1:34">
      <c r="A2800">
        <v>2026</v>
      </c>
      <c r="B2800">
        <v>3</v>
      </c>
      <c r="C2800" s="83">
        <v>30481772807</v>
      </c>
      <c r="D2800" t="s">
        <v>853</v>
      </c>
      <c r="E2800">
        <v>57107221140</v>
      </c>
      <c r="F2800">
        <v>636575</v>
      </c>
      <c r="G2800">
        <v>53317268029</v>
      </c>
      <c r="H2800" t="s">
        <v>35</v>
      </c>
      <c r="I2800" s="36">
        <v>15174.72</v>
      </c>
      <c r="J2800" s="36">
        <v>9712.3086060000005</v>
      </c>
      <c r="K2800" s="85">
        <v>5462.4113939999997</v>
      </c>
      <c r="L2800" s="36">
        <v>809.35905049999997</v>
      </c>
      <c r="M2800" s="36">
        <v>0</v>
      </c>
      <c r="N2800" s="36">
        <v>345.75511499999999</v>
      </c>
      <c r="O2800" s="36">
        <v>463.60393549999998</v>
      </c>
      <c r="P2800" t="s">
        <v>520</v>
      </c>
      <c r="Q2800" t="s">
        <v>191</v>
      </c>
      <c r="R2800" t="s">
        <v>191</v>
      </c>
      <c r="S2800" s="1">
        <v>46099</v>
      </c>
      <c r="T2800" s="1">
        <v>46099</v>
      </c>
      <c r="U2800" s="1"/>
      <c r="V2800" s="1">
        <v>46464</v>
      </c>
      <c r="W2800" t="s">
        <v>38</v>
      </c>
      <c r="Y2800" t="s">
        <v>49</v>
      </c>
      <c r="AA2800" t="s">
        <v>122</v>
      </c>
      <c r="AB2800">
        <v>12</v>
      </c>
      <c r="AC2800" t="s">
        <v>192</v>
      </c>
      <c r="AD2800" t="s">
        <v>140</v>
      </c>
      <c r="AE2800" t="s">
        <v>46</v>
      </c>
      <c r="AF2800" t="s">
        <v>119</v>
      </c>
      <c r="AG2800" t="str">
        <f t="shared" si="46"/>
        <v>Recorrente</v>
      </c>
      <c r="AH2800" t="str">
        <f>IF(AND(SUMIF(E:E,E2800,I:I)&gt;=400000,Q2800="B2G"),"n","")</f>
        <v/>
      </c>
    </row>
    <row r="2801" spans="1:34">
      <c r="A2801">
        <v>2026</v>
      </c>
      <c r="B2801">
        <v>3</v>
      </c>
      <c r="C2801" s="83">
        <v>30481772807</v>
      </c>
      <c r="D2801" t="s">
        <v>853</v>
      </c>
      <c r="E2801">
        <v>57107221140</v>
      </c>
      <c r="F2801">
        <v>636575</v>
      </c>
      <c r="G2801">
        <v>53317268030</v>
      </c>
      <c r="H2801" t="s">
        <v>35</v>
      </c>
      <c r="I2801" s="36">
        <v>35407.68</v>
      </c>
      <c r="J2801" s="36">
        <v>22662.05341</v>
      </c>
      <c r="K2801" s="85">
        <v>12745.62659</v>
      </c>
      <c r="L2801" s="36">
        <v>1888.504451</v>
      </c>
      <c r="M2801" s="36">
        <v>0</v>
      </c>
      <c r="N2801" s="36">
        <v>806.76193499999999</v>
      </c>
      <c r="O2801" s="36">
        <v>1081.742516</v>
      </c>
      <c r="P2801" t="s">
        <v>520</v>
      </c>
      <c r="Q2801" t="s">
        <v>191</v>
      </c>
      <c r="R2801" t="s">
        <v>191</v>
      </c>
      <c r="S2801" s="1">
        <v>46099</v>
      </c>
      <c r="T2801" s="1">
        <v>46099</v>
      </c>
      <c r="U2801" s="1"/>
      <c r="V2801" s="1">
        <v>46464</v>
      </c>
      <c r="W2801" t="s">
        <v>38</v>
      </c>
      <c r="Y2801" t="s">
        <v>49</v>
      </c>
      <c r="AA2801" t="s">
        <v>122</v>
      </c>
      <c r="AB2801">
        <v>12</v>
      </c>
      <c r="AC2801" t="s">
        <v>192</v>
      </c>
      <c r="AD2801" t="s">
        <v>118</v>
      </c>
      <c r="AE2801" t="s">
        <v>43</v>
      </c>
      <c r="AF2801" t="s">
        <v>119</v>
      </c>
      <c r="AG2801" t="str">
        <f t="shared" si="46"/>
        <v>Recorrente</v>
      </c>
      <c r="AH2801" t="str">
        <f>IF(AND(SUMIF(E:E,E2801,I:I)&gt;=400000,Q2801="B2G"),"n","")</f>
        <v/>
      </c>
    </row>
    <row r="2802" spans="1:34">
      <c r="A2802">
        <v>2026</v>
      </c>
      <c r="B2802">
        <v>3</v>
      </c>
      <c r="C2802" s="83">
        <v>30481772807</v>
      </c>
      <c r="D2802" t="s">
        <v>853</v>
      </c>
      <c r="E2802">
        <v>57107221140</v>
      </c>
      <c r="F2802">
        <v>636575</v>
      </c>
      <c r="G2802">
        <v>53317268031</v>
      </c>
      <c r="H2802" t="s">
        <v>35</v>
      </c>
      <c r="I2802" s="36">
        <v>5063.5200000000004</v>
      </c>
      <c r="J2802" s="36">
        <v>3240.815572</v>
      </c>
      <c r="K2802" s="85">
        <v>1822.704428</v>
      </c>
      <c r="L2802" s="36">
        <v>270.06796430000003</v>
      </c>
      <c r="M2802" s="36">
        <v>0</v>
      </c>
      <c r="N2802" s="36">
        <v>115.3720095</v>
      </c>
      <c r="O2802" s="36">
        <v>154.69595480000001</v>
      </c>
      <c r="P2802" t="s">
        <v>520</v>
      </c>
      <c r="Q2802" t="s">
        <v>191</v>
      </c>
      <c r="R2802" t="s">
        <v>191</v>
      </c>
      <c r="S2802" s="1">
        <v>46099</v>
      </c>
      <c r="T2802" s="1">
        <v>46099</v>
      </c>
      <c r="U2802" s="1"/>
      <c r="V2802" s="1">
        <v>46464</v>
      </c>
      <c r="W2802" t="s">
        <v>38</v>
      </c>
      <c r="Y2802" t="s">
        <v>49</v>
      </c>
      <c r="AA2802" t="s">
        <v>122</v>
      </c>
      <c r="AB2802">
        <v>12</v>
      </c>
      <c r="AC2802" t="s">
        <v>192</v>
      </c>
      <c r="AD2802" t="s">
        <v>85</v>
      </c>
      <c r="AE2802" t="s">
        <v>46</v>
      </c>
      <c r="AF2802" t="s">
        <v>44</v>
      </c>
      <c r="AG2802" t="str">
        <f t="shared" si="46"/>
        <v>Recorrente</v>
      </c>
      <c r="AH2802" t="str">
        <f>IF(AND(SUMIF(E:E,E2802,I:I)&gt;=400000,Q2802="B2G"),"n","")</f>
        <v/>
      </c>
    </row>
    <row r="2803" spans="1:34">
      <c r="A2803">
        <v>2026</v>
      </c>
      <c r="B2803">
        <v>3</v>
      </c>
      <c r="C2803" s="83">
        <v>30481772807</v>
      </c>
      <c r="D2803" t="s">
        <v>853</v>
      </c>
      <c r="E2803">
        <v>57107221140</v>
      </c>
      <c r="F2803">
        <v>636575</v>
      </c>
      <c r="G2803">
        <v>53317268032</v>
      </c>
      <c r="H2803" t="s">
        <v>35</v>
      </c>
      <c r="I2803" s="36">
        <v>8859.84</v>
      </c>
      <c r="J2803" s="36">
        <v>5670.5824080000002</v>
      </c>
      <c r="K2803" s="85">
        <v>3189.2575919999999</v>
      </c>
      <c r="L2803" s="36">
        <v>472.54853400000002</v>
      </c>
      <c r="M2803" s="36">
        <v>0</v>
      </c>
      <c r="N2803" s="36">
        <v>201.87094049999999</v>
      </c>
      <c r="O2803" s="36">
        <v>270.6775935</v>
      </c>
      <c r="P2803" t="s">
        <v>520</v>
      </c>
      <c r="Q2803" t="s">
        <v>191</v>
      </c>
      <c r="R2803" t="s">
        <v>191</v>
      </c>
      <c r="S2803" s="1">
        <v>46099</v>
      </c>
      <c r="T2803" s="1">
        <v>46099</v>
      </c>
      <c r="U2803" s="1"/>
      <c r="V2803" s="1">
        <v>46464</v>
      </c>
      <c r="W2803" t="s">
        <v>38</v>
      </c>
      <c r="Y2803" t="s">
        <v>49</v>
      </c>
      <c r="AA2803" t="s">
        <v>122</v>
      </c>
      <c r="AB2803">
        <v>12</v>
      </c>
      <c r="AC2803" t="s">
        <v>192</v>
      </c>
      <c r="AD2803" t="s">
        <v>84</v>
      </c>
      <c r="AE2803" t="s">
        <v>43</v>
      </c>
      <c r="AF2803" t="s">
        <v>44</v>
      </c>
      <c r="AG2803" t="str">
        <f t="shared" si="46"/>
        <v>Recorrente</v>
      </c>
      <c r="AH2803" t="str">
        <f>IF(AND(SUMIF(E:E,E2803,I:I)&gt;=400000,Q2803="B2G"),"n","")</f>
        <v/>
      </c>
    </row>
    <row r="2804" spans="1:34">
      <c r="A2804">
        <v>2026</v>
      </c>
      <c r="B2804">
        <v>3</v>
      </c>
      <c r="C2804" s="83">
        <v>30682056273</v>
      </c>
      <c r="D2804" t="s">
        <v>2532</v>
      </c>
      <c r="E2804">
        <v>58372286603</v>
      </c>
      <c r="F2804">
        <v>612076</v>
      </c>
      <c r="G2804">
        <v>53576335243</v>
      </c>
      <c r="H2804" t="s">
        <v>35</v>
      </c>
      <c r="I2804" s="36">
        <v>8044.44</v>
      </c>
      <c r="J2804" s="36">
        <v>8044.44</v>
      </c>
      <c r="K2804" s="85">
        <v>0</v>
      </c>
      <c r="L2804" s="36">
        <v>670.37</v>
      </c>
      <c r="M2804" s="36">
        <v>0</v>
      </c>
      <c r="N2804" s="36">
        <v>0</v>
      </c>
      <c r="O2804" s="36">
        <v>670.37</v>
      </c>
      <c r="P2804" t="s">
        <v>133</v>
      </c>
      <c r="Q2804" t="s">
        <v>111</v>
      </c>
      <c r="R2804" t="s">
        <v>111</v>
      </c>
      <c r="S2804" s="1">
        <v>46107</v>
      </c>
      <c r="T2804" s="1">
        <v>46107</v>
      </c>
      <c r="U2804" s="1">
        <v>46106</v>
      </c>
      <c r="V2804" s="1">
        <v>46472</v>
      </c>
      <c r="W2804" t="s">
        <v>38</v>
      </c>
      <c r="X2804">
        <v>12</v>
      </c>
      <c r="Y2804" t="s">
        <v>49</v>
      </c>
      <c r="Z2804" t="s">
        <v>81</v>
      </c>
      <c r="AA2804" t="s">
        <v>117</v>
      </c>
      <c r="AB2804">
        <v>1</v>
      </c>
      <c r="AC2804" t="s">
        <v>113</v>
      </c>
      <c r="AD2804" t="s">
        <v>134</v>
      </c>
      <c r="AE2804" t="s">
        <v>135</v>
      </c>
      <c r="AF2804" t="s">
        <v>44</v>
      </c>
      <c r="AG2804" t="str">
        <f t="shared" si="46"/>
        <v>À Vista</v>
      </c>
      <c r="AH2804" t="str">
        <f>IF(AND(SUMIF(E:E,E2804,I:I)&gt;=400000,Q2804="B2G"),"n","")</f>
        <v/>
      </c>
    </row>
    <row r="2805" spans="1:34">
      <c r="A2805">
        <v>2026</v>
      </c>
      <c r="B2805">
        <v>3</v>
      </c>
      <c r="C2805" s="83">
        <v>30700848940</v>
      </c>
      <c r="D2805" t="s">
        <v>2533</v>
      </c>
      <c r="E2805">
        <v>55952372658</v>
      </c>
      <c r="F2805">
        <v>627176</v>
      </c>
      <c r="G2805">
        <v>51253109523</v>
      </c>
      <c r="H2805" t="s">
        <v>35</v>
      </c>
      <c r="I2805" s="36">
        <v>5754</v>
      </c>
      <c r="J2805" s="36">
        <v>5754</v>
      </c>
      <c r="K2805" s="85">
        <v>0</v>
      </c>
      <c r="L2805" s="36">
        <v>479.5</v>
      </c>
      <c r="M2805" s="36">
        <v>0</v>
      </c>
      <c r="N2805" s="36">
        <v>94.45</v>
      </c>
      <c r="O2805" s="36">
        <v>385.05</v>
      </c>
      <c r="P2805" t="s">
        <v>165</v>
      </c>
      <c r="Q2805" t="s">
        <v>166</v>
      </c>
      <c r="R2805" t="s">
        <v>166</v>
      </c>
      <c r="S2805" s="1">
        <v>46088</v>
      </c>
      <c r="T2805" s="1">
        <v>46088</v>
      </c>
      <c r="U2805" s="1">
        <v>46088</v>
      </c>
      <c r="V2805" s="1">
        <v>46453</v>
      </c>
      <c r="W2805" t="s">
        <v>38</v>
      </c>
      <c r="X2805">
        <v>12</v>
      </c>
      <c r="Y2805" t="s">
        <v>49</v>
      </c>
      <c r="Z2805" t="s">
        <v>81</v>
      </c>
      <c r="AA2805" t="s">
        <v>112</v>
      </c>
      <c r="AB2805">
        <v>12</v>
      </c>
      <c r="AC2805" t="s">
        <v>166</v>
      </c>
      <c r="AD2805" t="s">
        <v>85</v>
      </c>
      <c r="AE2805" t="s">
        <v>46</v>
      </c>
      <c r="AF2805" t="s">
        <v>44</v>
      </c>
      <c r="AG2805" t="str">
        <f t="shared" si="46"/>
        <v>CC 12x</v>
      </c>
      <c r="AH2805" t="str">
        <f>IF(AND(SUMIF(E:E,E2805,I:I)&gt;=400000,Q2805="B2G"),"n","")</f>
        <v/>
      </c>
    </row>
    <row r="2806" spans="1:34">
      <c r="A2806">
        <v>2026</v>
      </c>
      <c r="B2806">
        <v>3</v>
      </c>
      <c r="C2806" s="83">
        <v>30750552642</v>
      </c>
      <c r="D2806" t="s">
        <v>2534</v>
      </c>
      <c r="E2806">
        <v>58222233098</v>
      </c>
      <c r="F2806">
        <v>627625</v>
      </c>
      <c r="G2806">
        <v>53493005690</v>
      </c>
      <c r="H2806" t="s">
        <v>35</v>
      </c>
      <c r="I2806" s="36">
        <v>4890.84</v>
      </c>
      <c r="J2806" s="36">
        <v>4890.84</v>
      </c>
      <c r="K2806" s="85">
        <v>0</v>
      </c>
      <c r="L2806" s="36">
        <v>407.57</v>
      </c>
      <c r="M2806" s="36">
        <v>0</v>
      </c>
      <c r="N2806" s="36">
        <v>41.774999999999999</v>
      </c>
      <c r="O2806" s="36">
        <v>365.8</v>
      </c>
      <c r="P2806" t="s">
        <v>162</v>
      </c>
      <c r="Q2806" t="s">
        <v>111</v>
      </c>
      <c r="R2806" t="s">
        <v>111</v>
      </c>
      <c r="S2806" s="1">
        <v>46106</v>
      </c>
      <c r="T2806" s="1">
        <v>46106</v>
      </c>
      <c r="U2806" s="1">
        <v>46102</v>
      </c>
      <c r="V2806" s="1">
        <v>46471</v>
      </c>
      <c r="W2806" t="s">
        <v>38</v>
      </c>
      <c r="X2806">
        <v>12</v>
      </c>
      <c r="Y2806" t="s">
        <v>49</v>
      </c>
      <c r="Z2806" t="s">
        <v>81</v>
      </c>
      <c r="AA2806" t="s">
        <v>117</v>
      </c>
      <c r="AB2806">
        <v>1</v>
      </c>
      <c r="AC2806" t="s">
        <v>113</v>
      </c>
      <c r="AD2806" t="s">
        <v>85</v>
      </c>
      <c r="AE2806" t="s">
        <v>46</v>
      </c>
      <c r="AF2806" t="s">
        <v>44</v>
      </c>
      <c r="AG2806" t="str">
        <f t="shared" si="46"/>
        <v>À Vista</v>
      </c>
      <c r="AH2806" t="str">
        <f>IF(AND(SUMIF(E:E,E2806,I:I)&gt;=400000,Q2806="B2G"),"n","")</f>
        <v/>
      </c>
    </row>
    <row r="2807" spans="1:34">
      <c r="A2807">
        <v>2026</v>
      </c>
      <c r="B2807">
        <v>3</v>
      </c>
      <c r="C2807" s="83">
        <v>30770144844</v>
      </c>
      <c r="D2807" t="s">
        <v>1618</v>
      </c>
      <c r="E2807">
        <v>55697997438</v>
      </c>
      <c r="F2807">
        <v>627212</v>
      </c>
      <c r="G2807">
        <v>53530398262</v>
      </c>
      <c r="H2807" t="s">
        <v>35</v>
      </c>
      <c r="I2807" s="36">
        <v>2457.2399999999998</v>
      </c>
      <c r="J2807" s="36">
        <v>2457.2399999999998</v>
      </c>
      <c r="K2807" s="85">
        <v>0</v>
      </c>
      <c r="L2807" s="36">
        <v>204.77</v>
      </c>
      <c r="M2807" s="36">
        <v>0</v>
      </c>
      <c r="N2807" s="36">
        <v>1.62</v>
      </c>
      <c r="O2807" s="36">
        <v>203.15</v>
      </c>
      <c r="P2807" t="s">
        <v>162</v>
      </c>
      <c r="Q2807" t="s">
        <v>111</v>
      </c>
      <c r="R2807" t="s">
        <v>111</v>
      </c>
      <c r="S2807" s="1">
        <v>46105</v>
      </c>
      <c r="T2807" s="1">
        <v>46105</v>
      </c>
      <c r="U2807" s="1">
        <v>46091</v>
      </c>
      <c r="V2807" s="1">
        <v>46470</v>
      </c>
      <c r="W2807" t="s">
        <v>38</v>
      </c>
      <c r="X2807">
        <v>12</v>
      </c>
      <c r="Y2807" t="s">
        <v>49</v>
      </c>
      <c r="Z2807" t="s">
        <v>81</v>
      </c>
      <c r="AA2807" t="s">
        <v>122</v>
      </c>
      <c r="AB2807">
        <v>12</v>
      </c>
      <c r="AC2807" t="s">
        <v>113</v>
      </c>
      <c r="AD2807" t="s">
        <v>140</v>
      </c>
      <c r="AE2807" t="s">
        <v>46</v>
      </c>
      <c r="AF2807" t="s">
        <v>119</v>
      </c>
      <c r="AG2807" t="str">
        <f t="shared" si="46"/>
        <v>Recorrente</v>
      </c>
      <c r="AH2807" t="str">
        <f>IF(AND(SUMIF(E:E,E2807,I:I)&gt;=400000,Q2807="B2G"),"n","")</f>
        <v/>
      </c>
    </row>
    <row r="2808" spans="1:34">
      <c r="A2808">
        <v>2026</v>
      </c>
      <c r="B2808">
        <v>3</v>
      </c>
      <c r="C2808" s="83">
        <v>30776738636</v>
      </c>
      <c r="D2808" t="s">
        <v>2535</v>
      </c>
      <c r="E2808">
        <v>57732590905</v>
      </c>
      <c r="F2808">
        <v>627201</v>
      </c>
      <c r="G2808">
        <v>53172280912</v>
      </c>
      <c r="H2808" t="s">
        <v>35</v>
      </c>
      <c r="I2808" s="36">
        <v>2682.36</v>
      </c>
      <c r="J2808" s="36">
        <v>2682.36</v>
      </c>
      <c r="K2808" s="85">
        <v>0</v>
      </c>
      <c r="L2808" s="36">
        <v>223.53</v>
      </c>
      <c r="M2808" s="36">
        <v>0</v>
      </c>
      <c r="N2808" s="36">
        <v>20.380140000000001</v>
      </c>
      <c r="O2808" s="36">
        <v>203.15</v>
      </c>
      <c r="P2808" t="s">
        <v>110</v>
      </c>
      <c r="Q2808" t="s">
        <v>111</v>
      </c>
      <c r="R2808" t="s">
        <v>111</v>
      </c>
      <c r="S2808" s="1">
        <v>46092</v>
      </c>
      <c r="T2808" s="1">
        <v>46092</v>
      </c>
      <c r="U2808" s="1">
        <v>46088</v>
      </c>
      <c r="V2808" s="1">
        <v>46457</v>
      </c>
      <c r="W2808" t="s">
        <v>38</v>
      </c>
      <c r="X2808">
        <v>12</v>
      </c>
      <c r="Y2808" t="s">
        <v>49</v>
      </c>
      <c r="Z2808" t="s">
        <v>81</v>
      </c>
      <c r="AA2808" t="s">
        <v>122</v>
      </c>
      <c r="AB2808">
        <v>12</v>
      </c>
      <c r="AC2808" t="s">
        <v>113</v>
      </c>
      <c r="AD2808" t="s">
        <v>118</v>
      </c>
      <c r="AE2808" t="s">
        <v>43</v>
      </c>
      <c r="AF2808" t="s">
        <v>119</v>
      </c>
      <c r="AG2808" t="str">
        <f t="shared" si="46"/>
        <v>Recorrente</v>
      </c>
      <c r="AH2808" t="str">
        <f>IF(AND(SUMIF(E:E,E2808,I:I)&gt;=400000,Q2808="B2G"),"n","")</f>
        <v/>
      </c>
    </row>
    <row r="2809" spans="1:34">
      <c r="A2809">
        <v>2026</v>
      </c>
      <c r="B2809">
        <v>3</v>
      </c>
      <c r="C2809" s="83">
        <v>30886499887</v>
      </c>
      <c r="D2809" t="s">
        <v>2536</v>
      </c>
      <c r="E2809">
        <v>58063808792</v>
      </c>
      <c r="F2809">
        <v>636536</v>
      </c>
      <c r="G2809">
        <v>53293998494</v>
      </c>
      <c r="H2809" t="s">
        <v>35</v>
      </c>
      <c r="I2809" s="36">
        <v>2874</v>
      </c>
      <c r="J2809" s="36">
        <v>2874</v>
      </c>
      <c r="K2809" s="85">
        <v>0</v>
      </c>
      <c r="L2809" s="36">
        <v>239.5</v>
      </c>
      <c r="M2809" s="36">
        <v>239.5</v>
      </c>
      <c r="N2809" s="36">
        <v>0</v>
      </c>
      <c r="O2809" s="36">
        <v>0</v>
      </c>
      <c r="P2809" t="s">
        <v>497</v>
      </c>
      <c r="Q2809" t="s">
        <v>498</v>
      </c>
      <c r="R2809" t="s">
        <v>498</v>
      </c>
      <c r="S2809" s="1">
        <v>46097</v>
      </c>
      <c r="T2809" s="1">
        <v>46097</v>
      </c>
      <c r="U2809" s="1"/>
      <c r="V2809" s="1">
        <v>46462</v>
      </c>
      <c r="W2809" t="s">
        <v>38</v>
      </c>
      <c r="X2809">
        <v>12</v>
      </c>
      <c r="Y2809" t="s">
        <v>49</v>
      </c>
      <c r="AA2809" t="s">
        <v>117</v>
      </c>
      <c r="AB2809">
        <v>1</v>
      </c>
      <c r="AC2809" t="s">
        <v>499</v>
      </c>
      <c r="AD2809" t="s">
        <v>118</v>
      </c>
      <c r="AE2809" t="s">
        <v>43</v>
      </c>
      <c r="AF2809" t="s">
        <v>119</v>
      </c>
      <c r="AG2809" t="str">
        <f t="shared" si="46"/>
        <v>À Vista</v>
      </c>
      <c r="AH2809" t="str">
        <f>IF(AND(SUMIF(E:E,E2809,I:I)&gt;=400000,Q2809="B2G"),"n","")</f>
        <v/>
      </c>
    </row>
    <row r="2810" spans="1:34">
      <c r="A2810">
        <v>2026</v>
      </c>
      <c r="B2810">
        <v>3</v>
      </c>
      <c r="C2810" s="83">
        <v>30899646781</v>
      </c>
      <c r="D2810" t="s">
        <v>2537</v>
      </c>
      <c r="E2810">
        <v>55967126663</v>
      </c>
      <c r="F2810">
        <v>627300</v>
      </c>
      <c r="G2810">
        <v>51256980897</v>
      </c>
      <c r="H2810" t="s">
        <v>35</v>
      </c>
      <c r="I2810" s="36">
        <v>2874</v>
      </c>
      <c r="J2810" s="36">
        <v>2874</v>
      </c>
      <c r="K2810" s="85">
        <v>0</v>
      </c>
      <c r="L2810" s="36">
        <v>239.5</v>
      </c>
      <c r="M2810" s="36">
        <v>0</v>
      </c>
      <c r="N2810" s="36">
        <v>31.33</v>
      </c>
      <c r="O2810" s="36">
        <v>208.17</v>
      </c>
      <c r="P2810" t="s">
        <v>165</v>
      </c>
      <c r="Q2810" t="s">
        <v>166</v>
      </c>
      <c r="R2810" t="s">
        <v>166</v>
      </c>
      <c r="S2810" s="1">
        <v>46093</v>
      </c>
      <c r="T2810" s="1">
        <v>46093</v>
      </c>
      <c r="U2810" s="1">
        <v>46093</v>
      </c>
      <c r="V2810" s="1">
        <v>46458</v>
      </c>
      <c r="W2810" t="s">
        <v>38</v>
      </c>
      <c r="X2810">
        <v>12</v>
      </c>
      <c r="Y2810" t="s">
        <v>49</v>
      </c>
      <c r="Z2810" t="s">
        <v>81</v>
      </c>
      <c r="AA2810" t="s">
        <v>112</v>
      </c>
      <c r="AB2810">
        <v>12</v>
      </c>
      <c r="AC2810" t="s">
        <v>166</v>
      </c>
      <c r="AD2810" t="s">
        <v>140</v>
      </c>
      <c r="AE2810" t="s">
        <v>46</v>
      </c>
      <c r="AF2810" t="s">
        <v>119</v>
      </c>
      <c r="AG2810" t="str">
        <f t="shared" si="46"/>
        <v>CC 12x</v>
      </c>
      <c r="AH2810" t="str">
        <f>IF(AND(SUMIF(E:E,E2810,I:I)&gt;=400000,Q2810="B2G"),"n","")</f>
        <v/>
      </c>
    </row>
    <row r="2811" spans="1:34">
      <c r="A2811">
        <v>2026</v>
      </c>
      <c r="B2811">
        <v>3</v>
      </c>
      <c r="C2811" s="83">
        <v>30918848425</v>
      </c>
      <c r="D2811" t="s">
        <v>2538</v>
      </c>
      <c r="E2811">
        <v>55944647752</v>
      </c>
      <c r="F2811">
        <v>627481</v>
      </c>
      <c r="G2811">
        <v>51243581703</v>
      </c>
      <c r="H2811" t="s">
        <v>35</v>
      </c>
      <c r="I2811" s="36">
        <v>2874</v>
      </c>
      <c r="J2811" s="36">
        <v>2874</v>
      </c>
      <c r="K2811" s="85">
        <v>0</v>
      </c>
      <c r="L2811" s="36">
        <v>239.5</v>
      </c>
      <c r="M2811" s="36">
        <v>0</v>
      </c>
      <c r="N2811" s="36">
        <v>36.35</v>
      </c>
      <c r="O2811" s="36">
        <v>203.15</v>
      </c>
      <c r="P2811" t="s">
        <v>165</v>
      </c>
      <c r="Q2811" t="s">
        <v>166</v>
      </c>
      <c r="R2811" t="s">
        <v>166</v>
      </c>
      <c r="S2811" s="1">
        <v>46099</v>
      </c>
      <c r="T2811" s="1">
        <v>46099</v>
      </c>
      <c r="U2811" s="1">
        <v>46099</v>
      </c>
      <c r="V2811" s="1">
        <v>46464</v>
      </c>
      <c r="W2811" t="s">
        <v>38</v>
      </c>
      <c r="X2811">
        <v>12</v>
      </c>
      <c r="Y2811" t="s">
        <v>49</v>
      </c>
      <c r="Z2811" t="s">
        <v>81</v>
      </c>
      <c r="AA2811" t="s">
        <v>112</v>
      </c>
      <c r="AB2811">
        <v>12</v>
      </c>
      <c r="AC2811" t="s">
        <v>166</v>
      </c>
      <c r="AD2811" t="s">
        <v>140</v>
      </c>
      <c r="AE2811" t="s">
        <v>46</v>
      </c>
      <c r="AF2811" t="s">
        <v>119</v>
      </c>
      <c r="AG2811" t="str">
        <f t="shared" si="46"/>
        <v>CC 12x</v>
      </c>
      <c r="AH2811" t="str">
        <f>IF(AND(SUMIF(E:E,E2811,I:I)&gt;=400000,Q2811="B2G"),"n","")</f>
        <v/>
      </c>
    </row>
    <row r="2812" spans="1:34">
      <c r="A2812">
        <v>2026</v>
      </c>
      <c r="B2812">
        <v>3</v>
      </c>
      <c r="C2812" s="83">
        <v>30954879847</v>
      </c>
      <c r="D2812" t="s">
        <v>2539</v>
      </c>
      <c r="E2812">
        <v>55963861303</v>
      </c>
      <c r="F2812">
        <v>627589</v>
      </c>
      <c r="G2812">
        <v>51219814032</v>
      </c>
      <c r="H2812" t="s">
        <v>35</v>
      </c>
      <c r="I2812" s="36">
        <v>2874</v>
      </c>
      <c r="J2812" s="36">
        <v>2874</v>
      </c>
      <c r="K2812" s="85">
        <v>0</v>
      </c>
      <c r="L2812" s="36">
        <v>239.5</v>
      </c>
      <c r="M2812" s="36">
        <v>0</v>
      </c>
      <c r="N2812" s="36">
        <v>36.35</v>
      </c>
      <c r="O2812" s="36">
        <v>203.15</v>
      </c>
      <c r="P2812" t="s">
        <v>165</v>
      </c>
      <c r="Q2812" t="s">
        <v>166</v>
      </c>
      <c r="R2812" t="s">
        <v>166</v>
      </c>
      <c r="S2812" s="1">
        <v>46101</v>
      </c>
      <c r="T2812" s="1">
        <v>46101</v>
      </c>
      <c r="U2812" s="1">
        <v>46101</v>
      </c>
      <c r="V2812" s="1">
        <v>46466</v>
      </c>
      <c r="W2812" t="s">
        <v>38</v>
      </c>
      <c r="X2812">
        <v>12</v>
      </c>
      <c r="Y2812" t="s">
        <v>49</v>
      </c>
      <c r="Z2812" t="s">
        <v>81</v>
      </c>
      <c r="AA2812" t="s">
        <v>112</v>
      </c>
      <c r="AB2812">
        <v>12</v>
      </c>
      <c r="AC2812" t="s">
        <v>166</v>
      </c>
      <c r="AD2812" t="s">
        <v>140</v>
      </c>
      <c r="AE2812" t="s">
        <v>46</v>
      </c>
      <c r="AF2812" t="s">
        <v>119</v>
      </c>
      <c r="AG2812" t="str">
        <f t="shared" ref="AG2812:AG2874" si="47">IF(IFERROR(SEARCH("Recorrente",AA2812),0)&gt;0,"Recorrente",IF(AB2812=1,"À Vista",IF(AB2812&lt;=3,"CC 3x",IF(AB2812&lt;=12,"CC 12x",IF(AB2812&gt;12,"Recorrente","")))))</f>
        <v>CC 12x</v>
      </c>
      <c r="AH2812" t="str">
        <f>IF(AND(SUMIF(E:E,E2812,I:I)&gt;=400000,Q2812="B2G"),"n","")</f>
        <v/>
      </c>
    </row>
    <row r="2813" spans="1:34">
      <c r="A2813">
        <v>2026</v>
      </c>
      <c r="B2813">
        <v>3</v>
      </c>
      <c r="C2813" s="83">
        <v>30954879847</v>
      </c>
      <c r="D2813" t="s">
        <v>2539</v>
      </c>
      <c r="E2813">
        <v>55963861303</v>
      </c>
      <c r="F2813">
        <v>627589</v>
      </c>
      <c r="G2813">
        <v>51234789227</v>
      </c>
      <c r="H2813" t="s">
        <v>35</v>
      </c>
      <c r="I2813" s="36">
        <v>2874</v>
      </c>
      <c r="J2813" s="36">
        <v>2874</v>
      </c>
      <c r="K2813" s="85">
        <v>0</v>
      </c>
      <c r="L2813" s="36">
        <v>239.5</v>
      </c>
      <c r="M2813" s="36">
        <v>0</v>
      </c>
      <c r="N2813" s="36">
        <v>36.35</v>
      </c>
      <c r="O2813" s="36">
        <v>203.15</v>
      </c>
      <c r="P2813" t="s">
        <v>165</v>
      </c>
      <c r="Q2813" t="s">
        <v>166</v>
      </c>
      <c r="R2813" t="s">
        <v>166</v>
      </c>
      <c r="S2813" s="1">
        <v>46101</v>
      </c>
      <c r="T2813" s="1">
        <v>46101</v>
      </c>
      <c r="U2813" s="1">
        <v>46101</v>
      </c>
      <c r="V2813" s="1">
        <v>46466</v>
      </c>
      <c r="W2813" t="s">
        <v>38</v>
      </c>
      <c r="X2813">
        <v>12</v>
      </c>
      <c r="Y2813" t="s">
        <v>49</v>
      </c>
      <c r="Z2813" t="s">
        <v>81</v>
      </c>
      <c r="AA2813" t="s">
        <v>112</v>
      </c>
      <c r="AB2813">
        <v>12</v>
      </c>
      <c r="AC2813" t="s">
        <v>166</v>
      </c>
      <c r="AD2813" t="s">
        <v>118</v>
      </c>
      <c r="AE2813" t="s">
        <v>43</v>
      </c>
      <c r="AF2813" t="s">
        <v>119</v>
      </c>
      <c r="AG2813" t="str">
        <f t="shared" si="47"/>
        <v>CC 12x</v>
      </c>
      <c r="AH2813" t="str">
        <f>IF(AND(SUMIF(E:E,E2813,I:I)&gt;=400000,Q2813="B2G"),"n","")</f>
        <v/>
      </c>
    </row>
    <row r="2814" spans="1:34">
      <c r="A2814">
        <v>2026</v>
      </c>
      <c r="B2814">
        <v>3</v>
      </c>
      <c r="C2814" s="83">
        <v>30975761161</v>
      </c>
      <c r="D2814" t="s">
        <v>2540</v>
      </c>
      <c r="E2814">
        <v>57950074977</v>
      </c>
      <c r="F2814">
        <v>627434</v>
      </c>
      <c r="G2814">
        <v>53172497978</v>
      </c>
      <c r="H2814" t="s">
        <v>35</v>
      </c>
      <c r="I2814" s="36">
        <v>3289.8</v>
      </c>
      <c r="J2814" s="36">
        <v>3289.8</v>
      </c>
      <c r="K2814" s="85">
        <v>0</v>
      </c>
      <c r="L2814" s="36">
        <v>274.14999999999998</v>
      </c>
      <c r="M2814" s="36">
        <v>0</v>
      </c>
      <c r="N2814" s="36">
        <v>42.396999999999998</v>
      </c>
      <c r="O2814" s="36">
        <v>231.75</v>
      </c>
      <c r="P2814" t="s">
        <v>162</v>
      </c>
      <c r="Q2814" t="s">
        <v>111</v>
      </c>
      <c r="R2814" t="s">
        <v>111</v>
      </c>
      <c r="S2814" s="1">
        <v>46093</v>
      </c>
      <c r="T2814" s="1">
        <v>46093</v>
      </c>
      <c r="U2814" s="1">
        <v>46098</v>
      </c>
      <c r="V2814" s="1">
        <v>46463</v>
      </c>
      <c r="W2814" t="s">
        <v>38</v>
      </c>
      <c r="X2814">
        <v>12</v>
      </c>
      <c r="Y2814" t="s">
        <v>49</v>
      </c>
      <c r="Z2814" t="s">
        <v>81</v>
      </c>
      <c r="AA2814" t="s">
        <v>117</v>
      </c>
      <c r="AB2814">
        <v>1</v>
      </c>
      <c r="AC2814" t="s">
        <v>113</v>
      </c>
      <c r="AD2814" t="s">
        <v>160</v>
      </c>
      <c r="AE2814" t="s">
        <v>43</v>
      </c>
      <c r="AF2814" t="s">
        <v>44</v>
      </c>
      <c r="AG2814" t="str">
        <f t="shared" si="47"/>
        <v>À Vista</v>
      </c>
      <c r="AH2814" t="str">
        <f>IF(AND(SUMIF(E:E,E2814,I:I)&gt;=400000,Q2814="B2G"),"n","")</f>
        <v/>
      </c>
    </row>
    <row r="2815" spans="1:34">
      <c r="A2815">
        <v>2026</v>
      </c>
      <c r="B2815">
        <v>3</v>
      </c>
      <c r="C2815" s="83">
        <v>30991819099</v>
      </c>
      <c r="D2815" t="s">
        <v>2541</v>
      </c>
      <c r="E2815">
        <v>45793395602</v>
      </c>
      <c r="F2815">
        <v>628521</v>
      </c>
      <c r="G2815">
        <v>53455372689</v>
      </c>
      <c r="H2815" t="s">
        <v>35</v>
      </c>
      <c r="I2815" s="36">
        <v>5352</v>
      </c>
      <c r="J2815" s="36">
        <v>5352</v>
      </c>
      <c r="K2815" s="85">
        <v>0</v>
      </c>
      <c r="L2815" s="36">
        <v>446</v>
      </c>
      <c r="M2815" s="36">
        <v>0</v>
      </c>
      <c r="N2815" s="36">
        <v>26</v>
      </c>
      <c r="O2815" s="36">
        <v>420</v>
      </c>
      <c r="P2815" t="s">
        <v>75</v>
      </c>
      <c r="Q2815" t="s">
        <v>37</v>
      </c>
      <c r="R2815" t="s">
        <v>37</v>
      </c>
      <c r="S2815" s="1">
        <v>46105</v>
      </c>
      <c r="T2815" s="1">
        <v>46105</v>
      </c>
      <c r="U2815" s="1">
        <v>46123</v>
      </c>
      <c r="V2815" s="1">
        <v>46488</v>
      </c>
      <c r="W2815" t="s">
        <v>38</v>
      </c>
      <c r="X2815">
        <v>12</v>
      </c>
      <c r="Y2815" t="s">
        <v>49</v>
      </c>
      <c r="Z2815" t="s">
        <v>81</v>
      </c>
      <c r="AA2815" t="s">
        <v>40</v>
      </c>
      <c r="AB2815">
        <v>1</v>
      </c>
      <c r="AC2815" t="s">
        <v>41</v>
      </c>
      <c r="AD2815" t="s">
        <v>53</v>
      </c>
      <c r="AE2815" t="s">
        <v>43</v>
      </c>
      <c r="AF2815" t="s">
        <v>44</v>
      </c>
      <c r="AG2815" t="str">
        <f t="shared" si="47"/>
        <v>À Vista</v>
      </c>
      <c r="AH2815" t="str">
        <f>IF(AND(SUMIF(E:E,E2815,I:I)&gt;=400000,Q2815="B2G"),"n","")</f>
        <v/>
      </c>
    </row>
    <row r="2816" spans="1:34">
      <c r="A2816">
        <v>2026</v>
      </c>
      <c r="B2816">
        <v>3</v>
      </c>
      <c r="C2816" s="83">
        <v>30991819099</v>
      </c>
      <c r="D2816" t="s">
        <v>2541</v>
      </c>
      <c r="E2816">
        <v>45793395602</v>
      </c>
      <c r="F2816">
        <v>628521</v>
      </c>
      <c r="G2816">
        <v>53455372690</v>
      </c>
      <c r="H2816" t="s">
        <v>35</v>
      </c>
      <c r="I2816" s="36">
        <v>5352</v>
      </c>
      <c r="J2816" s="36">
        <v>5352</v>
      </c>
      <c r="K2816" s="85">
        <v>0</v>
      </c>
      <c r="L2816" s="36">
        <v>446</v>
      </c>
      <c r="M2816" s="36">
        <v>0</v>
      </c>
      <c r="N2816" s="36">
        <v>26</v>
      </c>
      <c r="O2816" s="36">
        <v>420</v>
      </c>
      <c r="P2816" t="s">
        <v>75</v>
      </c>
      <c r="Q2816" t="s">
        <v>37</v>
      </c>
      <c r="R2816" t="s">
        <v>37</v>
      </c>
      <c r="S2816" s="1">
        <v>46105</v>
      </c>
      <c r="T2816" s="1">
        <v>46105</v>
      </c>
      <c r="U2816" s="1">
        <v>46123</v>
      </c>
      <c r="V2816" s="1">
        <v>46488</v>
      </c>
      <c r="W2816" t="s">
        <v>38</v>
      </c>
      <c r="X2816">
        <v>12</v>
      </c>
      <c r="Y2816" t="s">
        <v>49</v>
      </c>
      <c r="Z2816" t="s">
        <v>81</v>
      </c>
      <c r="AA2816" t="s">
        <v>40</v>
      </c>
      <c r="AB2816">
        <v>1</v>
      </c>
      <c r="AC2816" t="s">
        <v>41</v>
      </c>
      <c r="AD2816" t="s">
        <v>54</v>
      </c>
      <c r="AE2816" t="s">
        <v>46</v>
      </c>
      <c r="AF2816" t="s">
        <v>44</v>
      </c>
      <c r="AG2816" t="str">
        <f t="shared" si="47"/>
        <v>À Vista</v>
      </c>
      <c r="AH2816" t="str">
        <f>IF(AND(SUMIF(E:E,E2816,I:I)&gt;=400000,Q2816="B2G"),"n","")</f>
        <v/>
      </c>
    </row>
    <row r="2817" spans="1:34">
      <c r="A2817">
        <v>2026</v>
      </c>
      <c r="B2817">
        <v>3</v>
      </c>
      <c r="C2817" s="83">
        <v>31113722170</v>
      </c>
      <c r="D2817" t="s">
        <v>2542</v>
      </c>
      <c r="E2817">
        <v>57829909598</v>
      </c>
      <c r="F2817">
        <v>508010</v>
      </c>
      <c r="G2817">
        <v>53090256486</v>
      </c>
      <c r="H2817" t="s">
        <v>35</v>
      </c>
      <c r="I2817" s="36">
        <v>4065</v>
      </c>
      <c r="J2817" s="36">
        <v>4065</v>
      </c>
      <c r="K2817" s="85">
        <v>0</v>
      </c>
      <c r="L2817" s="36">
        <v>338.75</v>
      </c>
      <c r="M2817" s="36">
        <v>0</v>
      </c>
      <c r="N2817" s="36">
        <v>0</v>
      </c>
      <c r="O2817" s="36">
        <v>338.75</v>
      </c>
      <c r="P2817" t="s">
        <v>162</v>
      </c>
      <c r="Q2817" t="s">
        <v>111</v>
      </c>
      <c r="R2817" t="s">
        <v>111</v>
      </c>
      <c r="S2817" s="1">
        <v>46097</v>
      </c>
      <c r="T2817" s="1">
        <v>46097</v>
      </c>
      <c r="U2817" s="1">
        <v>46099</v>
      </c>
      <c r="V2817" s="1">
        <v>46464</v>
      </c>
      <c r="W2817" t="s">
        <v>38</v>
      </c>
      <c r="X2817">
        <v>12</v>
      </c>
      <c r="Y2817" t="s">
        <v>49</v>
      </c>
      <c r="Z2817" t="s">
        <v>81</v>
      </c>
      <c r="AA2817" t="s">
        <v>117</v>
      </c>
      <c r="AB2817">
        <v>1</v>
      </c>
      <c r="AC2817" t="s">
        <v>113</v>
      </c>
      <c r="AD2817" t="s">
        <v>84</v>
      </c>
      <c r="AE2817" t="s">
        <v>43</v>
      </c>
      <c r="AF2817" t="s">
        <v>44</v>
      </c>
      <c r="AG2817" t="str">
        <f t="shared" si="47"/>
        <v>À Vista</v>
      </c>
      <c r="AH2817" t="str">
        <f>IF(AND(SUMIF(E:E,E2817,I:I)&gt;=400000,Q2817="B2G"),"n","")</f>
        <v/>
      </c>
    </row>
    <row r="2818" spans="1:34">
      <c r="A2818">
        <v>2026</v>
      </c>
      <c r="B2818">
        <v>3</v>
      </c>
      <c r="C2818" s="83">
        <v>31127826269</v>
      </c>
      <c r="D2818" t="s">
        <v>2543</v>
      </c>
      <c r="E2818">
        <v>55272126213</v>
      </c>
      <c r="F2818">
        <v>627509</v>
      </c>
      <c r="G2818">
        <v>50573883721</v>
      </c>
      <c r="H2818" t="s">
        <v>35</v>
      </c>
      <c r="I2818" s="36">
        <v>6354</v>
      </c>
      <c r="J2818" s="36">
        <v>6354</v>
      </c>
      <c r="K2818" s="85">
        <v>0</v>
      </c>
      <c r="L2818" s="36">
        <v>529.5</v>
      </c>
      <c r="M2818" s="36">
        <v>0</v>
      </c>
      <c r="N2818" s="36">
        <v>80.400000000000006</v>
      </c>
      <c r="O2818" s="36">
        <v>449.1</v>
      </c>
      <c r="P2818" t="s">
        <v>165</v>
      </c>
      <c r="Q2818" t="s">
        <v>166</v>
      </c>
      <c r="R2818" t="s">
        <v>166</v>
      </c>
      <c r="S2818" s="1">
        <v>46099</v>
      </c>
      <c r="T2818" s="1">
        <v>46099</v>
      </c>
      <c r="U2818" s="1">
        <v>46099</v>
      </c>
      <c r="V2818" s="1">
        <v>46464</v>
      </c>
      <c r="W2818" t="s">
        <v>38</v>
      </c>
      <c r="X2818">
        <v>12</v>
      </c>
      <c r="Y2818" t="s">
        <v>49</v>
      </c>
      <c r="Z2818" t="s">
        <v>81</v>
      </c>
      <c r="AA2818" t="s">
        <v>122</v>
      </c>
      <c r="AB2818">
        <v>12</v>
      </c>
      <c r="AC2818" t="s">
        <v>166</v>
      </c>
      <c r="AD2818" t="s">
        <v>174</v>
      </c>
      <c r="AE2818" t="s">
        <v>43</v>
      </c>
      <c r="AF2818" t="s">
        <v>47</v>
      </c>
      <c r="AG2818" t="str">
        <f t="shared" si="47"/>
        <v>Recorrente</v>
      </c>
      <c r="AH2818" t="str">
        <f>IF(AND(SUMIF(E:E,E2818,I:I)&gt;=400000,Q2818="B2G"),"n","")</f>
        <v/>
      </c>
    </row>
    <row r="2819" spans="1:34">
      <c r="A2819">
        <v>2026</v>
      </c>
      <c r="B2819">
        <v>3</v>
      </c>
      <c r="C2819" s="83">
        <v>31185035057</v>
      </c>
      <c r="D2819" t="s">
        <v>2544</v>
      </c>
      <c r="E2819">
        <v>58331971182</v>
      </c>
      <c r="F2819">
        <v>636730</v>
      </c>
      <c r="G2819">
        <v>53493153604</v>
      </c>
      <c r="H2819" t="s">
        <v>35</v>
      </c>
      <c r="I2819" s="36">
        <v>361</v>
      </c>
      <c r="J2819" s="36">
        <v>4332</v>
      </c>
      <c r="K2819" s="85">
        <v>0</v>
      </c>
      <c r="L2819" s="36">
        <v>361</v>
      </c>
      <c r="M2819" s="36">
        <v>361</v>
      </c>
      <c r="N2819" s="36">
        <v>0</v>
      </c>
      <c r="O2819" s="36">
        <v>0</v>
      </c>
      <c r="P2819" t="s">
        <v>127</v>
      </c>
      <c r="Q2819" t="s">
        <v>111</v>
      </c>
      <c r="R2819" t="s">
        <v>111</v>
      </c>
      <c r="S2819" s="1">
        <v>46108</v>
      </c>
      <c r="T2819" s="1">
        <v>46108</v>
      </c>
      <c r="U2819" s="1"/>
      <c r="V2819" s="1">
        <v>46139</v>
      </c>
      <c r="W2819" t="s">
        <v>679</v>
      </c>
      <c r="X2819">
        <v>1</v>
      </c>
      <c r="Y2819" t="s">
        <v>49</v>
      </c>
      <c r="AA2819" t="s">
        <v>117</v>
      </c>
      <c r="AB2819">
        <v>1</v>
      </c>
      <c r="AC2819" t="s">
        <v>113</v>
      </c>
      <c r="AD2819" t="s">
        <v>118</v>
      </c>
      <c r="AE2819" t="s">
        <v>43</v>
      </c>
      <c r="AF2819" t="s">
        <v>119</v>
      </c>
      <c r="AG2819" t="str">
        <f t="shared" si="47"/>
        <v>À Vista</v>
      </c>
      <c r="AH2819" t="str">
        <f>IF(AND(SUMIF(E:E,E2819,I:I)&gt;=400000,Q2819="B2G"),"n","")</f>
        <v/>
      </c>
    </row>
    <row r="2820" spans="1:34">
      <c r="A2820">
        <v>2026</v>
      </c>
      <c r="B2820">
        <v>3</v>
      </c>
      <c r="C2820" s="83">
        <v>31209275785</v>
      </c>
      <c r="D2820" t="s">
        <v>2545</v>
      </c>
      <c r="E2820">
        <v>55931629940</v>
      </c>
      <c r="F2820">
        <v>275700</v>
      </c>
      <c r="G2820">
        <v>52952231533</v>
      </c>
      <c r="H2820" t="s">
        <v>35</v>
      </c>
      <c r="I2820" s="36">
        <v>10981.2</v>
      </c>
      <c r="J2820" s="36">
        <v>10981.2</v>
      </c>
      <c r="K2820" s="85">
        <v>0</v>
      </c>
      <c r="L2820" s="36">
        <v>915.1</v>
      </c>
      <c r="M2820" s="36">
        <v>0</v>
      </c>
      <c r="N2820" s="36">
        <v>0</v>
      </c>
      <c r="O2820" s="36">
        <v>915.09855000000005</v>
      </c>
      <c r="P2820" t="s">
        <v>133</v>
      </c>
      <c r="Q2820" t="s">
        <v>111</v>
      </c>
      <c r="R2820" t="s">
        <v>111</v>
      </c>
      <c r="S2820" s="1">
        <v>46094</v>
      </c>
      <c r="T2820" s="1">
        <v>46094</v>
      </c>
      <c r="U2820" s="1">
        <v>46096</v>
      </c>
      <c r="V2820" s="1">
        <v>46461</v>
      </c>
      <c r="W2820" t="s">
        <v>38</v>
      </c>
      <c r="X2820">
        <v>12</v>
      </c>
      <c r="Y2820" t="s">
        <v>49</v>
      </c>
      <c r="Z2820" t="s">
        <v>81</v>
      </c>
      <c r="AA2820" t="s">
        <v>122</v>
      </c>
      <c r="AB2820">
        <v>12</v>
      </c>
      <c r="AC2820" t="s">
        <v>113</v>
      </c>
      <c r="AD2820" t="s">
        <v>154</v>
      </c>
      <c r="AE2820" t="s">
        <v>46</v>
      </c>
      <c r="AF2820" t="s">
        <v>47</v>
      </c>
      <c r="AG2820" t="str">
        <f t="shared" si="47"/>
        <v>Recorrente</v>
      </c>
      <c r="AH2820" t="str">
        <f>IF(AND(SUMIF(E:E,E2820,I:I)&gt;=400000,Q2820="B2G"),"n","")</f>
        <v/>
      </c>
    </row>
    <row r="2821" spans="1:34">
      <c r="A2821">
        <v>2026</v>
      </c>
      <c r="B2821">
        <v>3</v>
      </c>
      <c r="C2821" s="83">
        <v>31275497478</v>
      </c>
      <c r="D2821" t="s">
        <v>2546</v>
      </c>
      <c r="E2821">
        <v>55929594275</v>
      </c>
      <c r="F2821">
        <v>627633</v>
      </c>
      <c r="G2821">
        <v>51243113491</v>
      </c>
      <c r="H2821" t="s">
        <v>35</v>
      </c>
      <c r="I2821" s="36">
        <v>2874</v>
      </c>
      <c r="J2821" s="36">
        <v>2874</v>
      </c>
      <c r="K2821" s="85">
        <v>0</v>
      </c>
      <c r="L2821" s="36">
        <v>239.5</v>
      </c>
      <c r="M2821" s="36">
        <v>0</v>
      </c>
      <c r="N2821" s="36">
        <v>36.35</v>
      </c>
      <c r="O2821" s="36">
        <v>203.15</v>
      </c>
      <c r="P2821" t="s">
        <v>165</v>
      </c>
      <c r="Q2821" t="s">
        <v>166</v>
      </c>
      <c r="R2821" t="s">
        <v>166</v>
      </c>
      <c r="S2821" s="1">
        <v>46102</v>
      </c>
      <c r="T2821" s="1">
        <v>46102</v>
      </c>
      <c r="U2821" s="1">
        <v>46102</v>
      </c>
      <c r="V2821" s="1">
        <v>46467</v>
      </c>
      <c r="W2821" t="s">
        <v>38</v>
      </c>
      <c r="X2821">
        <v>12</v>
      </c>
      <c r="Y2821" t="s">
        <v>49</v>
      </c>
      <c r="Z2821" t="s">
        <v>81</v>
      </c>
      <c r="AA2821" t="s">
        <v>112</v>
      </c>
      <c r="AB2821">
        <v>12</v>
      </c>
      <c r="AC2821" t="s">
        <v>166</v>
      </c>
      <c r="AD2821" t="s">
        <v>118</v>
      </c>
      <c r="AE2821" t="s">
        <v>43</v>
      </c>
      <c r="AF2821" t="s">
        <v>119</v>
      </c>
      <c r="AG2821" t="str">
        <f t="shared" si="47"/>
        <v>CC 12x</v>
      </c>
      <c r="AH2821" t="str">
        <f>IF(AND(SUMIF(E:E,E2821,I:I)&gt;=400000,Q2821="B2G"),"n","")</f>
        <v/>
      </c>
    </row>
    <row r="2822" spans="1:34">
      <c r="A2822">
        <v>2026</v>
      </c>
      <c r="B2822">
        <v>3</v>
      </c>
      <c r="C2822" s="83">
        <v>31277143415</v>
      </c>
      <c r="D2822" t="s">
        <v>2547</v>
      </c>
      <c r="E2822">
        <v>55945881649</v>
      </c>
      <c r="F2822">
        <v>627614</v>
      </c>
      <c r="G2822">
        <v>51234634319</v>
      </c>
      <c r="H2822" t="s">
        <v>35</v>
      </c>
      <c r="I2822" s="36">
        <v>4854.6000000000004</v>
      </c>
      <c r="J2822" s="36">
        <v>4854.6000000000004</v>
      </c>
      <c r="K2822" s="85">
        <v>0</v>
      </c>
      <c r="L2822" s="36">
        <v>404.55</v>
      </c>
      <c r="M2822" s="36">
        <v>0</v>
      </c>
      <c r="N2822" s="36">
        <v>47.55</v>
      </c>
      <c r="O2822" s="36">
        <v>357</v>
      </c>
      <c r="P2822" t="s">
        <v>165</v>
      </c>
      <c r="Q2822" t="s">
        <v>166</v>
      </c>
      <c r="R2822" t="s">
        <v>166</v>
      </c>
      <c r="S2822" s="1">
        <v>46101</v>
      </c>
      <c r="T2822" s="1">
        <v>46101</v>
      </c>
      <c r="U2822" s="1">
        <v>46101</v>
      </c>
      <c r="V2822" s="1">
        <v>46466</v>
      </c>
      <c r="W2822" t="s">
        <v>38</v>
      </c>
      <c r="X2822">
        <v>12</v>
      </c>
      <c r="Y2822" t="s">
        <v>49</v>
      </c>
      <c r="Z2822" t="s">
        <v>81</v>
      </c>
      <c r="AA2822" t="s">
        <v>112</v>
      </c>
      <c r="AB2822">
        <v>1</v>
      </c>
      <c r="AC2822" t="s">
        <v>166</v>
      </c>
      <c r="AD2822" t="s">
        <v>84</v>
      </c>
      <c r="AE2822" t="s">
        <v>43</v>
      </c>
      <c r="AF2822" t="s">
        <v>44</v>
      </c>
      <c r="AG2822" t="str">
        <f t="shared" si="47"/>
        <v>À Vista</v>
      </c>
      <c r="AH2822" t="str">
        <f>IF(AND(SUMIF(E:E,E2822,I:I)&gt;=400000,Q2822="B2G"),"n","")</f>
        <v/>
      </c>
    </row>
    <row r="2823" spans="1:34">
      <c r="A2823">
        <v>2026</v>
      </c>
      <c r="B2823">
        <v>3</v>
      </c>
      <c r="C2823" s="83">
        <v>31277143415</v>
      </c>
      <c r="D2823" t="s">
        <v>2547</v>
      </c>
      <c r="E2823">
        <v>55945881649</v>
      </c>
      <c r="F2823">
        <v>627614</v>
      </c>
      <c r="G2823">
        <v>51241258780</v>
      </c>
      <c r="H2823" t="s">
        <v>35</v>
      </c>
      <c r="I2823" s="36">
        <v>4854.6000000000004</v>
      </c>
      <c r="J2823" s="36">
        <v>4854.6000000000004</v>
      </c>
      <c r="K2823" s="85">
        <v>0</v>
      </c>
      <c r="L2823" s="36">
        <v>404.55</v>
      </c>
      <c r="M2823" s="36">
        <v>0</v>
      </c>
      <c r="N2823" s="36">
        <v>47.55</v>
      </c>
      <c r="O2823" s="36">
        <v>357</v>
      </c>
      <c r="P2823" t="s">
        <v>165</v>
      </c>
      <c r="Q2823" t="s">
        <v>166</v>
      </c>
      <c r="R2823" t="s">
        <v>166</v>
      </c>
      <c r="S2823" s="1">
        <v>46101</v>
      </c>
      <c r="T2823" s="1">
        <v>46101</v>
      </c>
      <c r="U2823" s="1">
        <v>46101</v>
      </c>
      <c r="V2823" s="1">
        <v>46466</v>
      </c>
      <c r="W2823" t="s">
        <v>38</v>
      </c>
      <c r="X2823">
        <v>12</v>
      </c>
      <c r="Y2823" t="s">
        <v>49</v>
      </c>
      <c r="Z2823" t="s">
        <v>81</v>
      </c>
      <c r="AA2823" t="s">
        <v>112</v>
      </c>
      <c r="AB2823">
        <v>1</v>
      </c>
      <c r="AC2823" t="s">
        <v>166</v>
      </c>
      <c r="AD2823" t="s">
        <v>85</v>
      </c>
      <c r="AE2823" t="s">
        <v>46</v>
      </c>
      <c r="AF2823" t="s">
        <v>44</v>
      </c>
      <c r="AG2823" t="str">
        <f t="shared" si="47"/>
        <v>À Vista</v>
      </c>
      <c r="AH2823" t="str">
        <f>IF(AND(SUMIF(E:E,E2823,I:I)&gt;=400000,Q2823="B2G"),"n","")</f>
        <v/>
      </c>
    </row>
    <row r="2824" spans="1:34">
      <c r="A2824">
        <v>2026</v>
      </c>
      <c r="B2824">
        <v>3</v>
      </c>
      <c r="C2824" s="83">
        <v>31378431541</v>
      </c>
      <c r="D2824" t="s">
        <v>2548</v>
      </c>
      <c r="E2824">
        <v>58318891047</v>
      </c>
      <c r="F2824">
        <v>627752</v>
      </c>
      <c r="G2824">
        <v>53747873709</v>
      </c>
      <c r="H2824" t="s">
        <v>35</v>
      </c>
      <c r="I2824" s="36">
        <v>4464</v>
      </c>
      <c r="J2824" s="36">
        <v>4464</v>
      </c>
      <c r="K2824" s="85">
        <v>0</v>
      </c>
      <c r="L2824" s="36">
        <v>372</v>
      </c>
      <c r="M2824" s="36">
        <v>0</v>
      </c>
      <c r="N2824" s="36">
        <v>7.35</v>
      </c>
      <c r="O2824" s="36">
        <v>364.65</v>
      </c>
      <c r="P2824" t="s">
        <v>127</v>
      </c>
      <c r="Q2824" t="s">
        <v>111</v>
      </c>
      <c r="R2824" t="s">
        <v>111</v>
      </c>
      <c r="S2824" s="1">
        <v>46111</v>
      </c>
      <c r="T2824" s="1">
        <v>46111</v>
      </c>
      <c r="U2824" s="1">
        <v>46105</v>
      </c>
      <c r="V2824" s="1">
        <v>46476</v>
      </c>
      <c r="W2824" t="s">
        <v>38</v>
      </c>
      <c r="X2824">
        <v>12</v>
      </c>
      <c r="Y2824" t="s">
        <v>49</v>
      </c>
      <c r="Z2824" t="s">
        <v>81</v>
      </c>
      <c r="AA2824" t="s">
        <v>112</v>
      </c>
      <c r="AB2824">
        <v>12</v>
      </c>
      <c r="AC2824" t="s">
        <v>113</v>
      </c>
      <c r="AD2824" t="s">
        <v>138</v>
      </c>
      <c r="AE2824" t="s">
        <v>135</v>
      </c>
      <c r="AF2824" t="s">
        <v>119</v>
      </c>
      <c r="AG2824" t="str">
        <f t="shared" si="47"/>
        <v>CC 12x</v>
      </c>
      <c r="AH2824" t="str">
        <f>IF(AND(SUMIF(E:E,E2824,I:I)&gt;=400000,Q2824="B2G"),"n","")</f>
        <v/>
      </c>
    </row>
    <row r="2825" spans="1:34">
      <c r="A2825">
        <v>2026</v>
      </c>
      <c r="B2825">
        <v>3</v>
      </c>
      <c r="C2825" s="83">
        <v>31463451227</v>
      </c>
      <c r="D2825" t="s">
        <v>2549</v>
      </c>
      <c r="E2825">
        <v>57563101973</v>
      </c>
      <c r="F2825">
        <v>636544</v>
      </c>
      <c r="G2825">
        <v>53239125859</v>
      </c>
      <c r="H2825" t="s">
        <v>35</v>
      </c>
      <c r="I2825" s="36">
        <v>28593</v>
      </c>
      <c r="J2825" s="36">
        <v>28593</v>
      </c>
      <c r="K2825" s="85">
        <v>0</v>
      </c>
      <c r="L2825" s="36">
        <v>2382.75</v>
      </c>
      <c r="M2825" s="36">
        <v>0</v>
      </c>
      <c r="N2825" s="36">
        <v>748.15524960000005</v>
      </c>
      <c r="O2825" s="36">
        <v>1634.59475</v>
      </c>
      <c r="P2825" t="s">
        <v>520</v>
      </c>
      <c r="Q2825" t="s">
        <v>191</v>
      </c>
      <c r="R2825" t="s">
        <v>191</v>
      </c>
      <c r="S2825" s="1">
        <v>46097</v>
      </c>
      <c r="T2825" s="1">
        <v>46097</v>
      </c>
      <c r="U2825" s="1"/>
      <c r="V2825" s="1">
        <v>46467</v>
      </c>
      <c r="W2825" t="s">
        <v>38</v>
      </c>
      <c r="Y2825" t="s">
        <v>49</v>
      </c>
      <c r="AA2825" t="s">
        <v>92</v>
      </c>
      <c r="AB2825">
        <v>12</v>
      </c>
      <c r="AC2825" t="s">
        <v>192</v>
      </c>
      <c r="AD2825" t="s">
        <v>149</v>
      </c>
      <c r="AE2825" t="s">
        <v>43</v>
      </c>
      <c r="AF2825" t="s">
        <v>96</v>
      </c>
      <c r="AG2825" t="str">
        <f t="shared" si="47"/>
        <v>Recorrente</v>
      </c>
      <c r="AH2825" t="str">
        <f>IF(AND(SUMIF(E:E,E2825,I:I)&gt;=400000,Q2825="B2G"),"n","")</f>
        <v/>
      </c>
    </row>
    <row r="2826" spans="1:34">
      <c r="A2826">
        <v>2026</v>
      </c>
      <c r="B2826">
        <v>3</v>
      </c>
      <c r="C2826" s="83">
        <v>31463451227</v>
      </c>
      <c r="D2826" t="s">
        <v>2549</v>
      </c>
      <c r="E2826">
        <v>57563101973</v>
      </c>
      <c r="F2826">
        <v>636544</v>
      </c>
      <c r="G2826">
        <v>53239125860</v>
      </c>
      <c r="H2826" t="s">
        <v>35</v>
      </c>
      <c r="I2826" s="36">
        <v>15535.8</v>
      </c>
      <c r="J2826" s="36">
        <v>15535.8</v>
      </c>
      <c r="K2826" s="85">
        <v>0</v>
      </c>
      <c r="L2826" s="36">
        <v>1294.6500000000001</v>
      </c>
      <c r="M2826" s="36">
        <v>0</v>
      </c>
      <c r="N2826" s="36">
        <v>406.50475039999998</v>
      </c>
      <c r="O2826" s="36">
        <v>888.14524960000006</v>
      </c>
      <c r="P2826" t="s">
        <v>520</v>
      </c>
      <c r="Q2826" t="s">
        <v>191</v>
      </c>
      <c r="R2826" t="s">
        <v>191</v>
      </c>
      <c r="S2826" s="1">
        <v>46097</v>
      </c>
      <c r="T2826" s="1">
        <v>46097</v>
      </c>
      <c r="U2826" s="1"/>
      <c r="V2826" s="1">
        <v>46467</v>
      </c>
      <c r="W2826" t="s">
        <v>38</v>
      </c>
      <c r="Y2826" t="s">
        <v>49</v>
      </c>
      <c r="AA2826" t="s">
        <v>92</v>
      </c>
      <c r="AB2826">
        <v>12</v>
      </c>
      <c r="AC2826" t="s">
        <v>192</v>
      </c>
      <c r="AD2826" t="s">
        <v>85</v>
      </c>
      <c r="AE2826" t="s">
        <v>46</v>
      </c>
      <c r="AF2826" t="s">
        <v>44</v>
      </c>
      <c r="AG2826" t="str">
        <f t="shared" si="47"/>
        <v>Recorrente</v>
      </c>
      <c r="AH2826" t="str">
        <f>IF(AND(SUMIF(E:E,E2826,I:I)&gt;=400000,Q2826="B2G"),"n","")</f>
        <v/>
      </c>
    </row>
    <row r="2827" spans="1:34">
      <c r="A2827">
        <v>2026</v>
      </c>
      <c r="B2827">
        <v>3</v>
      </c>
      <c r="C2827" s="83">
        <v>31505518663</v>
      </c>
      <c r="D2827" t="s">
        <v>2550</v>
      </c>
      <c r="E2827">
        <v>43288790796</v>
      </c>
      <c r="F2827">
        <v>636763</v>
      </c>
      <c r="G2827">
        <v>53744433519</v>
      </c>
      <c r="H2827" t="s">
        <v>35</v>
      </c>
      <c r="I2827" s="36">
        <v>8864.8799999999992</v>
      </c>
      <c r="J2827" s="36">
        <v>8864.8799999999992</v>
      </c>
      <c r="K2827" s="85">
        <v>0</v>
      </c>
      <c r="L2827" s="36">
        <v>738.74</v>
      </c>
      <c r="M2827" s="36">
        <v>738.74</v>
      </c>
      <c r="N2827" s="36">
        <v>0</v>
      </c>
      <c r="O2827" s="36">
        <v>0</v>
      </c>
      <c r="P2827" t="s">
        <v>348</v>
      </c>
      <c r="Q2827" t="s">
        <v>349</v>
      </c>
      <c r="R2827" t="s">
        <v>349</v>
      </c>
      <c r="S2827" s="1">
        <v>46111</v>
      </c>
      <c r="T2827" s="1">
        <v>46111</v>
      </c>
      <c r="V2827" s="1">
        <v>46476</v>
      </c>
      <c r="W2827" t="s">
        <v>38</v>
      </c>
      <c r="X2827">
        <v>12</v>
      </c>
      <c r="Y2827" t="s">
        <v>49</v>
      </c>
      <c r="AA2827" t="s">
        <v>117</v>
      </c>
      <c r="AB2827">
        <v>1</v>
      </c>
      <c r="AC2827" t="s">
        <v>350</v>
      </c>
      <c r="AD2827" t="s">
        <v>163</v>
      </c>
      <c r="AE2827" t="s">
        <v>43</v>
      </c>
      <c r="AF2827" t="s">
        <v>96</v>
      </c>
      <c r="AG2827" t="str">
        <f t="shared" si="47"/>
        <v>À Vista</v>
      </c>
      <c r="AH2827" t="str">
        <f>IF(AND(SUMIF(E:E,E2827,I:I)&gt;=400000,Q2827="B2G"),"n","")</f>
        <v/>
      </c>
    </row>
    <row r="2828" spans="1:34">
      <c r="A2828">
        <v>2026</v>
      </c>
      <c r="B2828">
        <v>3</v>
      </c>
      <c r="C2828" s="83">
        <v>31505518663</v>
      </c>
      <c r="D2828" t="s">
        <v>2550</v>
      </c>
      <c r="E2828">
        <v>43288790796</v>
      </c>
      <c r="F2828">
        <v>636763</v>
      </c>
      <c r="G2828">
        <v>53744433520</v>
      </c>
      <c r="H2828" t="s">
        <v>35</v>
      </c>
      <c r="I2828" s="36">
        <v>8864.8799999999992</v>
      </c>
      <c r="J2828" s="36">
        <v>8864.8799999999992</v>
      </c>
      <c r="K2828" s="85">
        <v>0</v>
      </c>
      <c r="L2828" s="36">
        <v>738.74</v>
      </c>
      <c r="M2828" s="36">
        <v>738.74</v>
      </c>
      <c r="N2828" s="36">
        <v>0</v>
      </c>
      <c r="O2828" s="36">
        <v>0</v>
      </c>
      <c r="P2828" t="s">
        <v>348</v>
      </c>
      <c r="Q2828" t="s">
        <v>349</v>
      </c>
      <c r="R2828" t="s">
        <v>349</v>
      </c>
      <c r="S2828" s="1">
        <v>46111</v>
      </c>
      <c r="T2828" s="1">
        <v>46111</v>
      </c>
      <c r="V2828" s="1">
        <v>46476</v>
      </c>
      <c r="W2828" t="s">
        <v>38</v>
      </c>
      <c r="X2828">
        <v>12</v>
      </c>
      <c r="Y2828" t="s">
        <v>49</v>
      </c>
      <c r="AA2828" t="s">
        <v>117</v>
      </c>
      <c r="AB2828">
        <v>1</v>
      </c>
      <c r="AC2828" t="s">
        <v>350</v>
      </c>
      <c r="AD2828" t="s">
        <v>229</v>
      </c>
      <c r="AE2828" t="s">
        <v>43</v>
      </c>
      <c r="AF2828" t="s">
        <v>96</v>
      </c>
      <c r="AG2828" t="str">
        <f t="shared" si="47"/>
        <v>À Vista</v>
      </c>
      <c r="AH2828" t="str">
        <f>IF(AND(SUMIF(E:E,E2828,I:I)&gt;=400000,Q2828="B2G"),"n","")</f>
        <v/>
      </c>
    </row>
    <row r="2829" spans="1:34">
      <c r="A2829">
        <v>2026</v>
      </c>
      <c r="B2829">
        <v>3</v>
      </c>
      <c r="C2829" s="83">
        <v>31833620311</v>
      </c>
      <c r="D2829" t="s">
        <v>2551</v>
      </c>
      <c r="E2829">
        <v>58134808233</v>
      </c>
      <c r="F2829">
        <v>627252</v>
      </c>
      <c r="G2829">
        <v>53405107894</v>
      </c>
      <c r="H2829" t="s">
        <v>35</v>
      </c>
      <c r="I2829" s="36">
        <v>6313.08</v>
      </c>
      <c r="J2829" s="36">
        <v>6313.08</v>
      </c>
      <c r="K2829" s="85">
        <v>0</v>
      </c>
      <c r="L2829" s="36">
        <v>526.09</v>
      </c>
      <c r="M2829" s="36">
        <v>526.09</v>
      </c>
      <c r="N2829" s="36">
        <v>0</v>
      </c>
      <c r="O2829" s="36">
        <v>0</v>
      </c>
      <c r="P2829" t="s">
        <v>110</v>
      </c>
      <c r="Q2829" t="s">
        <v>111</v>
      </c>
      <c r="R2829" t="s">
        <v>111</v>
      </c>
      <c r="S2829" s="1">
        <v>46101</v>
      </c>
      <c r="T2829" s="1">
        <v>46101</v>
      </c>
      <c r="U2829" s="1">
        <v>46092</v>
      </c>
      <c r="V2829" s="1">
        <v>46466</v>
      </c>
      <c r="W2829" t="s">
        <v>38</v>
      </c>
      <c r="X2829">
        <v>12</v>
      </c>
      <c r="Y2829" t="s">
        <v>49</v>
      </c>
      <c r="Z2829" t="s">
        <v>81</v>
      </c>
      <c r="AA2829" t="s">
        <v>92</v>
      </c>
      <c r="AB2829">
        <v>12</v>
      </c>
      <c r="AC2829" t="s">
        <v>113</v>
      </c>
      <c r="AD2829" t="s">
        <v>125</v>
      </c>
      <c r="AE2829" t="s">
        <v>43</v>
      </c>
      <c r="AF2829" t="s">
        <v>47</v>
      </c>
      <c r="AG2829" t="str">
        <f t="shared" si="47"/>
        <v>Recorrente</v>
      </c>
      <c r="AH2829" t="str">
        <f>IF(AND(SUMIF(E:E,E2829,I:I)&gt;=400000,Q2829="B2G"),"n","")</f>
        <v/>
      </c>
    </row>
    <row r="2830" spans="1:34">
      <c r="A2830">
        <v>2026</v>
      </c>
      <c r="B2830">
        <v>3</v>
      </c>
      <c r="C2830" s="83">
        <v>32027906151</v>
      </c>
      <c r="D2830" t="s">
        <v>2552</v>
      </c>
      <c r="E2830">
        <v>58025437311</v>
      </c>
      <c r="F2830">
        <v>628644</v>
      </c>
      <c r="G2830">
        <v>53317265563</v>
      </c>
      <c r="H2830" t="s">
        <v>35</v>
      </c>
      <c r="I2830" s="36">
        <v>4026.3</v>
      </c>
      <c r="J2830" s="36">
        <v>4026.3</v>
      </c>
      <c r="K2830" s="85">
        <v>0</v>
      </c>
      <c r="L2830" s="36">
        <v>335.52499999999998</v>
      </c>
      <c r="M2830" s="36">
        <v>0</v>
      </c>
      <c r="N2830" s="36">
        <v>135.345</v>
      </c>
      <c r="O2830" s="36">
        <v>200.18</v>
      </c>
      <c r="P2830" t="s">
        <v>469</v>
      </c>
      <c r="Q2830" t="s">
        <v>191</v>
      </c>
      <c r="R2830" t="s">
        <v>191</v>
      </c>
      <c r="S2830" s="1">
        <v>46099</v>
      </c>
      <c r="T2830" s="1">
        <v>46099</v>
      </c>
      <c r="U2830" s="1">
        <v>46126</v>
      </c>
      <c r="V2830" s="1">
        <v>46491</v>
      </c>
      <c r="W2830" t="s">
        <v>38</v>
      </c>
      <c r="X2830">
        <v>12</v>
      </c>
      <c r="Y2830" t="s">
        <v>49</v>
      </c>
      <c r="Z2830" t="s">
        <v>76</v>
      </c>
      <c r="AA2830" t="s">
        <v>112</v>
      </c>
      <c r="AB2830">
        <v>12</v>
      </c>
      <c r="AC2830" t="s">
        <v>192</v>
      </c>
      <c r="AD2830" t="s">
        <v>85</v>
      </c>
      <c r="AE2830" t="s">
        <v>46</v>
      </c>
      <c r="AF2830" t="s">
        <v>44</v>
      </c>
      <c r="AG2830" t="str">
        <f t="shared" si="47"/>
        <v>CC 12x</v>
      </c>
      <c r="AH2830" t="str">
        <f>IF(AND(SUMIF(E:E,E2830,I:I)&gt;=400000,Q2830="B2G"),"n","")</f>
        <v/>
      </c>
    </row>
    <row r="2831" spans="1:34">
      <c r="A2831">
        <v>2026</v>
      </c>
      <c r="B2831">
        <v>3</v>
      </c>
      <c r="C2831" s="83">
        <v>32027906151</v>
      </c>
      <c r="D2831" t="s">
        <v>2552</v>
      </c>
      <c r="E2831">
        <v>58025437311</v>
      </c>
      <c r="F2831">
        <v>628644</v>
      </c>
      <c r="G2831">
        <v>53317265564</v>
      </c>
      <c r="H2831" t="s">
        <v>35</v>
      </c>
      <c r="I2831" s="36">
        <v>4026.3</v>
      </c>
      <c r="J2831" s="36">
        <v>4026.3</v>
      </c>
      <c r="K2831" s="85">
        <v>0</v>
      </c>
      <c r="L2831" s="36">
        <v>335.52499999999998</v>
      </c>
      <c r="M2831" s="36">
        <v>0</v>
      </c>
      <c r="N2831" s="36">
        <v>135.345</v>
      </c>
      <c r="O2831" s="36">
        <v>200.18</v>
      </c>
      <c r="P2831" t="s">
        <v>469</v>
      </c>
      <c r="Q2831" t="s">
        <v>191</v>
      </c>
      <c r="R2831" t="s">
        <v>191</v>
      </c>
      <c r="S2831" s="1">
        <v>46099</v>
      </c>
      <c r="T2831" s="1">
        <v>46099</v>
      </c>
      <c r="U2831" s="1">
        <v>46126</v>
      </c>
      <c r="V2831" s="1">
        <v>46491</v>
      </c>
      <c r="W2831" t="s">
        <v>38</v>
      </c>
      <c r="X2831">
        <v>12</v>
      </c>
      <c r="Y2831" t="s">
        <v>49</v>
      </c>
      <c r="Z2831" t="s">
        <v>76</v>
      </c>
      <c r="AA2831" t="s">
        <v>112</v>
      </c>
      <c r="AB2831">
        <v>12</v>
      </c>
      <c r="AC2831" t="s">
        <v>192</v>
      </c>
      <c r="AD2831" t="s">
        <v>140</v>
      </c>
      <c r="AE2831" t="s">
        <v>46</v>
      </c>
      <c r="AF2831" t="s">
        <v>119</v>
      </c>
      <c r="AG2831" t="str">
        <f t="shared" si="47"/>
        <v>CC 12x</v>
      </c>
      <c r="AH2831" t="str">
        <f>IF(AND(SUMIF(E:E,E2831,I:I)&gt;=400000,Q2831="B2G"),"n","")</f>
        <v/>
      </c>
    </row>
    <row r="2832" spans="1:34">
      <c r="A2832">
        <v>2026</v>
      </c>
      <c r="B2832">
        <v>3</v>
      </c>
      <c r="C2832" s="83">
        <v>32860749394</v>
      </c>
      <c r="D2832" t="s">
        <v>2553</v>
      </c>
      <c r="E2832">
        <v>54609913987</v>
      </c>
      <c r="F2832">
        <v>636415</v>
      </c>
      <c r="G2832">
        <v>53060441001</v>
      </c>
      <c r="H2832" t="s">
        <v>35</v>
      </c>
      <c r="I2832" s="36">
        <v>21600</v>
      </c>
      <c r="J2832" s="36">
        <v>7200</v>
      </c>
      <c r="K2832" s="85">
        <v>14400</v>
      </c>
      <c r="L2832" s="36">
        <v>600</v>
      </c>
      <c r="M2832" s="36">
        <v>600</v>
      </c>
      <c r="N2832" s="36">
        <v>0</v>
      </c>
      <c r="O2832" s="36">
        <v>0</v>
      </c>
      <c r="P2832" t="s">
        <v>72</v>
      </c>
      <c r="Q2832" t="s">
        <v>37</v>
      </c>
      <c r="R2832" t="s">
        <v>37</v>
      </c>
      <c r="S2832" s="1">
        <v>46090</v>
      </c>
      <c r="T2832" s="1">
        <v>46090</v>
      </c>
      <c r="V2832" s="1">
        <v>47186</v>
      </c>
      <c r="W2832" t="s">
        <v>102</v>
      </c>
      <c r="X2832">
        <v>36</v>
      </c>
      <c r="Y2832" t="s">
        <v>49</v>
      </c>
      <c r="AA2832" t="s">
        <v>40</v>
      </c>
      <c r="AB2832">
        <v>1</v>
      </c>
      <c r="AC2832" t="s">
        <v>41</v>
      </c>
      <c r="AD2832" t="s">
        <v>73</v>
      </c>
      <c r="AE2832" t="s">
        <v>51</v>
      </c>
      <c r="AF2832" t="s">
        <v>47</v>
      </c>
      <c r="AG2832" t="str">
        <f t="shared" si="47"/>
        <v>À Vista</v>
      </c>
      <c r="AH2832" t="str">
        <f>IF(AND(SUMIF(E:E,E2832,I:I)&gt;=400000,Q2832="B2G"),"n","")</f>
        <v/>
      </c>
    </row>
    <row r="2833" spans="1:34">
      <c r="A2833">
        <v>2026</v>
      </c>
      <c r="B2833">
        <v>3</v>
      </c>
      <c r="C2833" s="83">
        <v>32860749394</v>
      </c>
      <c r="D2833" t="s">
        <v>2553</v>
      </c>
      <c r="E2833">
        <v>54609913987</v>
      </c>
      <c r="F2833">
        <v>636415</v>
      </c>
      <c r="G2833">
        <v>53060441001</v>
      </c>
      <c r="H2833" t="s">
        <v>35</v>
      </c>
      <c r="I2833" s="36">
        <v>21600</v>
      </c>
      <c r="J2833" s="36">
        <v>7200</v>
      </c>
      <c r="K2833" s="85">
        <v>14400</v>
      </c>
      <c r="L2833" s="36">
        <v>600</v>
      </c>
      <c r="M2833" s="36">
        <v>600</v>
      </c>
      <c r="N2833" s="36">
        <v>0</v>
      </c>
      <c r="O2833" s="36">
        <v>0</v>
      </c>
      <c r="P2833" t="s">
        <v>69</v>
      </c>
      <c r="Q2833" t="s">
        <v>37</v>
      </c>
      <c r="R2833" t="s">
        <v>37</v>
      </c>
      <c r="S2833" s="1">
        <v>46090</v>
      </c>
      <c r="T2833" s="1">
        <v>46090</v>
      </c>
      <c r="V2833" s="1">
        <v>47186</v>
      </c>
      <c r="W2833" t="s">
        <v>102</v>
      </c>
      <c r="X2833">
        <v>36</v>
      </c>
      <c r="Y2833" t="s">
        <v>49</v>
      </c>
      <c r="AA2833" t="s">
        <v>40</v>
      </c>
      <c r="AB2833">
        <v>1</v>
      </c>
      <c r="AC2833" t="s">
        <v>41</v>
      </c>
      <c r="AD2833" t="s">
        <v>73</v>
      </c>
      <c r="AE2833" t="s">
        <v>51</v>
      </c>
      <c r="AF2833" t="s">
        <v>47</v>
      </c>
      <c r="AG2833" t="str">
        <f t="shared" si="47"/>
        <v>À Vista</v>
      </c>
      <c r="AH2833" t="str">
        <f>IF(AND(SUMIF(E:E,E2833,I:I)&gt;=400000,Q2833="B2G"),"n","")</f>
        <v/>
      </c>
    </row>
    <row r="2834" spans="1:34">
      <c r="A2834">
        <v>2026</v>
      </c>
      <c r="B2834">
        <v>3</v>
      </c>
      <c r="C2834" s="83">
        <v>32860749394</v>
      </c>
      <c r="D2834" t="s">
        <v>2553</v>
      </c>
      <c r="E2834">
        <v>54609913987</v>
      </c>
      <c r="F2834">
        <v>636415</v>
      </c>
      <c r="G2834">
        <v>53060441002</v>
      </c>
      <c r="H2834" t="s">
        <v>35</v>
      </c>
      <c r="I2834" s="36">
        <v>62964</v>
      </c>
      <c r="J2834" s="36">
        <v>20988</v>
      </c>
      <c r="K2834" s="85">
        <v>41976</v>
      </c>
      <c r="L2834" s="36">
        <v>1749</v>
      </c>
      <c r="M2834" s="36">
        <v>1749</v>
      </c>
      <c r="N2834" s="36">
        <v>0</v>
      </c>
      <c r="O2834" s="36">
        <v>0</v>
      </c>
      <c r="P2834" t="s">
        <v>72</v>
      </c>
      <c r="Q2834" t="s">
        <v>37</v>
      </c>
      <c r="R2834" t="s">
        <v>37</v>
      </c>
      <c r="S2834" s="1">
        <v>46090</v>
      </c>
      <c r="T2834" s="1">
        <v>46090</v>
      </c>
      <c r="U2834" s="1"/>
      <c r="V2834" s="1">
        <v>47186</v>
      </c>
      <c r="W2834" t="s">
        <v>102</v>
      </c>
      <c r="X2834">
        <v>36</v>
      </c>
      <c r="Y2834" t="s">
        <v>49</v>
      </c>
      <c r="AA2834" t="s">
        <v>40</v>
      </c>
      <c r="AB2834">
        <v>1</v>
      </c>
      <c r="AC2834" t="s">
        <v>41</v>
      </c>
      <c r="AD2834" t="s">
        <v>100</v>
      </c>
      <c r="AE2834" t="s">
        <v>46</v>
      </c>
      <c r="AF2834" t="s">
        <v>47</v>
      </c>
      <c r="AG2834" t="str">
        <f t="shared" si="47"/>
        <v>À Vista</v>
      </c>
      <c r="AH2834" t="str">
        <f>IF(AND(SUMIF(E:E,E2834,I:I)&gt;=400000,Q2834="B2G"),"n","")</f>
        <v/>
      </c>
    </row>
    <row r="2835" spans="1:34">
      <c r="A2835">
        <v>2026</v>
      </c>
      <c r="B2835">
        <v>3</v>
      </c>
      <c r="C2835" s="83">
        <v>32860749394</v>
      </c>
      <c r="D2835" t="s">
        <v>2553</v>
      </c>
      <c r="E2835">
        <v>54609913987</v>
      </c>
      <c r="F2835">
        <v>636415</v>
      </c>
      <c r="G2835">
        <v>53060441002</v>
      </c>
      <c r="H2835" t="s">
        <v>35</v>
      </c>
      <c r="I2835" s="36">
        <v>62964</v>
      </c>
      <c r="J2835" s="36">
        <v>20988</v>
      </c>
      <c r="K2835" s="85">
        <v>41976</v>
      </c>
      <c r="L2835" s="36">
        <v>1749</v>
      </c>
      <c r="M2835" s="36">
        <v>1749</v>
      </c>
      <c r="N2835" s="36">
        <v>0</v>
      </c>
      <c r="O2835" s="36">
        <v>0</v>
      </c>
      <c r="P2835" t="s">
        <v>69</v>
      </c>
      <c r="Q2835" t="s">
        <v>37</v>
      </c>
      <c r="R2835" t="s">
        <v>37</v>
      </c>
      <c r="S2835" s="1">
        <v>46090</v>
      </c>
      <c r="T2835" s="1">
        <v>46090</v>
      </c>
      <c r="U2835" s="1"/>
      <c r="V2835" s="1">
        <v>47186</v>
      </c>
      <c r="W2835" t="s">
        <v>102</v>
      </c>
      <c r="X2835">
        <v>36</v>
      </c>
      <c r="Y2835" t="s">
        <v>49</v>
      </c>
      <c r="AA2835" t="s">
        <v>40</v>
      </c>
      <c r="AB2835">
        <v>1</v>
      </c>
      <c r="AC2835" t="s">
        <v>41</v>
      </c>
      <c r="AD2835" t="s">
        <v>100</v>
      </c>
      <c r="AE2835" t="s">
        <v>46</v>
      </c>
      <c r="AF2835" t="s">
        <v>47</v>
      </c>
      <c r="AG2835" t="str">
        <f t="shared" si="47"/>
        <v>À Vista</v>
      </c>
      <c r="AH2835" t="str">
        <f>IF(AND(SUMIF(E:E,E2835,I:I)&gt;=400000,Q2835="B2G"),"n","")</f>
        <v/>
      </c>
    </row>
    <row r="2836" spans="1:34">
      <c r="A2836">
        <v>2026</v>
      </c>
      <c r="B2836">
        <v>3</v>
      </c>
      <c r="C2836" s="83">
        <v>32860749394</v>
      </c>
      <c r="D2836" t="s">
        <v>2553</v>
      </c>
      <c r="E2836">
        <v>54609913987</v>
      </c>
      <c r="F2836">
        <v>636415</v>
      </c>
      <c r="G2836">
        <v>53060441003</v>
      </c>
      <c r="H2836" t="s">
        <v>35</v>
      </c>
      <c r="I2836" s="36">
        <v>17820</v>
      </c>
      <c r="J2836" s="36">
        <v>5940</v>
      </c>
      <c r="K2836" s="85">
        <v>11880</v>
      </c>
      <c r="L2836" s="36">
        <v>495</v>
      </c>
      <c r="M2836" s="36">
        <v>495</v>
      </c>
      <c r="N2836" s="36">
        <v>0</v>
      </c>
      <c r="O2836" s="36">
        <v>0</v>
      </c>
      <c r="P2836" t="s">
        <v>72</v>
      </c>
      <c r="Q2836" t="s">
        <v>37</v>
      </c>
      <c r="R2836" t="s">
        <v>37</v>
      </c>
      <c r="S2836" s="1">
        <v>46090</v>
      </c>
      <c r="T2836" s="1">
        <v>46090</v>
      </c>
      <c r="U2836" s="1"/>
      <c r="V2836" s="1">
        <v>47186</v>
      </c>
      <c r="W2836" t="s">
        <v>102</v>
      </c>
      <c r="X2836">
        <v>36</v>
      </c>
      <c r="Y2836" t="s">
        <v>49</v>
      </c>
      <c r="AA2836" t="s">
        <v>40</v>
      </c>
      <c r="AB2836">
        <v>1</v>
      </c>
      <c r="AC2836" t="s">
        <v>41</v>
      </c>
      <c r="AD2836" t="s">
        <v>70</v>
      </c>
      <c r="AE2836" t="s">
        <v>43</v>
      </c>
      <c r="AF2836" t="s">
        <v>47</v>
      </c>
      <c r="AG2836" t="str">
        <f t="shared" si="47"/>
        <v>À Vista</v>
      </c>
      <c r="AH2836" t="str">
        <f>IF(AND(SUMIF(E:E,E2836,I:I)&gt;=400000,Q2836="B2G"),"n","")</f>
        <v/>
      </c>
    </row>
    <row r="2837" spans="1:34">
      <c r="A2837">
        <v>2026</v>
      </c>
      <c r="B2837">
        <v>3</v>
      </c>
      <c r="C2837" s="83">
        <v>32860749394</v>
      </c>
      <c r="D2837" t="s">
        <v>2553</v>
      </c>
      <c r="E2837">
        <v>54609913987</v>
      </c>
      <c r="F2837">
        <v>636415</v>
      </c>
      <c r="G2837">
        <v>53060441003</v>
      </c>
      <c r="H2837" t="s">
        <v>35</v>
      </c>
      <c r="I2837" s="36">
        <v>17820</v>
      </c>
      <c r="J2837" s="36">
        <v>5940</v>
      </c>
      <c r="K2837" s="85">
        <v>11880</v>
      </c>
      <c r="L2837" s="36">
        <v>495</v>
      </c>
      <c r="M2837" s="36">
        <v>495</v>
      </c>
      <c r="N2837" s="36">
        <v>0</v>
      </c>
      <c r="O2837" s="36">
        <v>0</v>
      </c>
      <c r="P2837" t="s">
        <v>69</v>
      </c>
      <c r="Q2837" t="s">
        <v>37</v>
      </c>
      <c r="R2837" t="s">
        <v>37</v>
      </c>
      <c r="S2837" s="1">
        <v>46090</v>
      </c>
      <c r="T2837" s="1">
        <v>46090</v>
      </c>
      <c r="V2837" s="1">
        <v>47186</v>
      </c>
      <c r="W2837" t="s">
        <v>102</v>
      </c>
      <c r="X2837">
        <v>36</v>
      </c>
      <c r="Y2837" t="s">
        <v>49</v>
      </c>
      <c r="AA2837" t="s">
        <v>40</v>
      </c>
      <c r="AB2837">
        <v>1</v>
      </c>
      <c r="AC2837" t="s">
        <v>41</v>
      </c>
      <c r="AD2837" t="s">
        <v>70</v>
      </c>
      <c r="AE2837" t="s">
        <v>43</v>
      </c>
      <c r="AF2837" t="s">
        <v>47</v>
      </c>
      <c r="AG2837" t="str">
        <f t="shared" si="47"/>
        <v>À Vista</v>
      </c>
      <c r="AH2837" t="str">
        <f>IF(AND(SUMIF(E:E,E2837,I:I)&gt;=400000,Q2837="B2G"),"n","")</f>
        <v/>
      </c>
    </row>
    <row r="2838" spans="1:34">
      <c r="A2838">
        <v>2026</v>
      </c>
      <c r="B2838">
        <v>3</v>
      </c>
      <c r="C2838" s="83">
        <v>32860961292</v>
      </c>
      <c r="D2838" t="s">
        <v>2554</v>
      </c>
      <c r="E2838">
        <v>34647568169</v>
      </c>
      <c r="F2838">
        <v>636363</v>
      </c>
      <c r="G2838">
        <v>52859465484</v>
      </c>
      <c r="H2838" t="s">
        <v>35</v>
      </c>
      <c r="I2838" s="36">
        <v>80208</v>
      </c>
      <c r="J2838" s="36">
        <v>0</v>
      </c>
      <c r="K2838" s="85">
        <v>0</v>
      </c>
      <c r="L2838" s="36">
        <v>0</v>
      </c>
      <c r="M2838" s="36">
        <v>0</v>
      </c>
      <c r="N2838" s="36">
        <v>0</v>
      </c>
      <c r="O2838" s="36">
        <v>0</v>
      </c>
      <c r="P2838" t="s">
        <v>66</v>
      </c>
      <c r="Q2838" t="s">
        <v>37</v>
      </c>
      <c r="R2838" t="s">
        <v>37</v>
      </c>
      <c r="S2838" s="1">
        <v>46086</v>
      </c>
      <c r="T2838" s="1">
        <v>46086</v>
      </c>
      <c r="U2838" s="1"/>
      <c r="V2838" s="1"/>
      <c r="W2838" t="s">
        <v>39</v>
      </c>
      <c r="Y2838" t="s">
        <v>39</v>
      </c>
      <c r="AA2838" t="s">
        <v>40</v>
      </c>
      <c r="AB2838">
        <v>1</v>
      </c>
      <c r="AC2838" t="s">
        <v>41</v>
      </c>
      <c r="AD2838" t="s">
        <v>2555</v>
      </c>
      <c r="AE2838" t="s">
        <v>46</v>
      </c>
      <c r="AF2838" t="s">
        <v>47</v>
      </c>
      <c r="AG2838" t="str">
        <f t="shared" si="47"/>
        <v>À Vista</v>
      </c>
      <c r="AH2838" t="str">
        <f>IF(AND(SUMIF(E:E,E2838,I:I)&gt;=400000,Q2838="B2G"),"n","")</f>
        <v/>
      </c>
    </row>
    <row r="2839" spans="1:34">
      <c r="A2839">
        <v>2026</v>
      </c>
      <c r="B2839">
        <v>3</v>
      </c>
      <c r="C2839" s="83">
        <v>32860961292</v>
      </c>
      <c r="D2839" t="s">
        <v>2554</v>
      </c>
      <c r="E2839">
        <v>34647568169</v>
      </c>
      <c r="F2839">
        <v>636363</v>
      </c>
      <c r="G2839">
        <v>52859465485</v>
      </c>
      <c r="H2839" t="s">
        <v>35</v>
      </c>
      <c r="I2839" s="36">
        <v>53472</v>
      </c>
      <c r="J2839" s="36">
        <v>0</v>
      </c>
      <c r="K2839" s="85">
        <v>0</v>
      </c>
      <c r="L2839" s="36">
        <v>0</v>
      </c>
      <c r="M2839" s="36">
        <v>0</v>
      </c>
      <c r="N2839" s="36">
        <v>0</v>
      </c>
      <c r="O2839" s="36">
        <v>0</v>
      </c>
      <c r="P2839" t="s">
        <v>66</v>
      </c>
      <c r="Q2839" t="s">
        <v>37</v>
      </c>
      <c r="R2839" t="s">
        <v>37</v>
      </c>
      <c r="S2839" s="1">
        <v>46086</v>
      </c>
      <c r="T2839" s="1">
        <v>46086</v>
      </c>
      <c r="U2839" s="1"/>
      <c r="V2839" s="1"/>
      <c r="W2839" t="s">
        <v>39</v>
      </c>
      <c r="Y2839" t="s">
        <v>39</v>
      </c>
      <c r="AA2839" t="s">
        <v>40</v>
      </c>
      <c r="AB2839">
        <v>1</v>
      </c>
      <c r="AC2839" t="s">
        <v>41</v>
      </c>
      <c r="AD2839" t="s">
        <v>2556</v>
      </c>
      <c r="AE2839" t="s">
        <v>46</v>
      </c>
      <c r="AF2839" t="s">
        <v>47</v>
      </c>
      <c r="AG2839" t="str">
        <f t="shared" si="47"/>
        <v>À Vista</v>
      </c>
      <c r="AH2839" t="str">
        <f>IF(AND(SUMIF(E:E,E2839,I:I)&gt;=400000,Q2839="B2G"),"n","")</f>
        <v/>
      </c>
    </row>
    <row r="2840" spans="1:34">
      <c r="A2840">
        <v>2026</v>
      </c>
      <c r="B2840">
        <v>3</v>
      </c>
      <c r="C2840" s="83">
        <v>32860961292</v>
      </c>
      <c r="D2840" t="s">
        <v>2554</v>
      </c>
      <c r="E2840">
        <v>34647568169</v>
      </c>
      <c r="F2840">
        <v>636363</v>
      </c>
      <c r="G2840">
        <v>52859465486</v>
      </c>
      <c r="H2840" t="s">
        <v>35</v>
      </c>
      <c r="I2840" s="36">
        <v>28992</v>
      </c>
      <c r="J2840" s="36">
        <v>0</v>
      </c>
      <c r="K2840" s="85">
        <v>0</v>
      </c>
      <c r="L2840" s="36">
        <v>0</v>
      </c>
      <c r="M2840" s="36">
        <v>0</v>
      </c>
      <c r="N2840" s="36">
        <v>0</v>
      </c>
      <c r="O2840" s="36">
        <v>0</v>
      </c>
      <c r="P2840" t="s">
        <v>66</v>
      </c>
      <c r="Q2840" t="s">
        <v>37</v>
      </c>
      <c r="R2840" t="s">
        <v>37</v>
      </c>
      <c r="S2840" s="1">
        <v>46086</v>
      </c>
      <c r="T2840" s="1">
        <v>46086</v>
      </c>
      <c r="U2840" s="1"/>
      <c r="V2840" s="1"/>
      <c r="W2840" t="s">
        <v>39</v>
      </c>
      <c r="Y2840" t="s">
        <v>39</v>
      </c>
      <c r="AA2840" t="s">
        <v>40</v>
      </c>
      <c r="AB2840">
        <v>1</v>
      </c>
      <c r="AC2840" t="s">
        <v>41</v>
      </c>
      <c r="AD2840" t="s">
        <v>1635</v>
      </c>
      <c r="AE2840" t="s">
        <v>43</v>
      </c>
      <c r="AF2840" t="s">
        <v>47</v>
      </c>
      <c r="AG2840" t="str">
        <f t="shared" si="47"/>
        <v>À Vista</v>
      </c>
      <c r="AH2840" t="str">
        <f>IF(AND(SUMIF(E:E,E2840,I:I)&gt;=400000,Q2840="B2G"),"n","")</f>
        <v/>
      </c>
    </row>
    <row r="2841" spans="1:34">
      <c r="A2841">
        <v>2026</v>
      </c>
      <c r="B2841">
        <v>3</v>
      </c>
      <c r="C2841" s="83">
        <v>33427962287</v>
      </c>
      <c r="D2841" t="s">
        <v>1629</v>
      </c>
      <c r="E2841">
        <v>58022327582</v>
      </c>
      <c r="F2841">
        <v>610876</v>
      </c>
      <c r="G2841">
        <v>53239728751</v>
      </c>
      <c r="H2841" t="s">
        <v>35</v>
      </c>
      <c r="I2841" s="36">
        <v>7404.24</v>
      </c>
      <c r="J2841" s="36">
        <v>7404.3</v>
      </c>
      <c r="K2841" s="85">
        <v>0</v>
      </c>
      <c r="L2841" s="36">
        <v>617.02499999999998</v>
      </c>
      <c r="M2841" s="36">
        <v>0</v>
      </c>
      <c r="N2841" s="36">
        <v>617.02499999999998</v>
      </c>
      <c r="O2841" s="36">
        <v>0</v>
      </c>
      <c r="P2841" t="s">
        <v>520</v>
      </c>
      <c r="Q2841" t="s">
        <v>191</v>
      </c>
      <c r="R2841" t="s">
        <v>191</v>
      </c>
      <c r="S2841" s="1">
        <v>46098</v>
      </c>
      <c r="T2841" s="1">
        <v>46098</v>
      </c>
      <c r="U2841" s="1"/>
      <c r="V2841" s="1">
        <v>46463</v>
      </c>
      <c r="W2841" t="s">
        <v>38</v>
      </c>
      <c r="X2841">
        <v>12</v>
      </c>
      <c r="Y2841" t="s">
        <v>49</v>
      </c>
      <c r="Z2841" t="s">
        <v>81</v>
      </c>
      <c r="AA2841" t="s">
        <v>122</v>
      </c>
      <c r="AB2841">
        <v>12</v>
      </c>
      <c r="AC2841" t="s">
        <v>192</v>
      </c>
      <c r="AD2841" t="s">
        <v>125</v>
      </c>
      <c r="AE2841" t="s">
        <v>43</v>
      </c>
      <c r="AF2841" t="s">
        <v>47</v>
      </c>
      <c r="AG2841" t="str">
        <f t="shared" si="47"/>
        <v>Recorrente</v>
      </c>
      <c r="AH2841" t="str">
        <f>IF(AND(SUMIF(E:E,E2841,I:I)&gt;=400000,Q2841="B2G"),"n","")</f>
        <v/>
      </c>
    </row>
    <row r="2842" spans="1:34">
      <c r="A2842">
        <v>2026</v>
      </c>
      <c r="B2842">
        <v>3</v>
      </c>
      <c r="C2842" s="83">
        <v>34195069034</v>
      </c>
      <c r="D2842" t="s">
        <v>2557</v>
      </c>
      <c r="E2842">
        <v>57137606958</v>
      </c>
      <c r="F2842">
        <v>636520</v>
      </c>
      <c r="G2842">
        <v>53206605062</v>
      </c>
      <c r="H2842" t="s">
        <v>35</v>
      </c>
      <c r="I2842" s="36">
        <v>5178.6000000000004</v>
      </c>
      <c r="J2842" s="36">
        <v>5178.6000000000004</v>
      </c>
      <c r="K2842" s="85">
        <v>0</v>
      </c>
      <c r="L2842" s="36">
        <v>431.55</v>
      </c>
      <c r="M2842" s="36">
        <v>431.55</v>
      </c>
      <c r="N2842" s="36">
        <v>0</v>
      </c>
      <c r="O2842" s="36">
        <v>0</v>
      </c>
      <c r="P2842" t="s">
        <v>313</v>
      </c>
      <c r="Q2842" t="s">
        <v>314</v>
      </c>
      <c r="R2842" t="s">
        <v>314</v>
      </c>
      <c r="S2842" s="1">
        <v>46094</v>
      </c>
      <c r="T2842" s="1">
        <v>46094</v>
      </c>
      <c r="U2842" s="1"/>
      <c r="V2842" s="1">
        <v>46459</v>
      </c>
      <c r="W2842" t="s">
        <v>38</v>
      </c>
      <c r="X2842">
        <v>12</v>
      </c>
      <c r="Y2842" t="s">
        <v>49</v>
      </c>
      <c r="AA2842" t="s">
        <v>122</v>
      </c>
      <c r="AB2842">
        <v>12</v>
      </c>
      <c r="AC2842" t="s">
        <v>315</v>
      </c>
      <c r="AD2842" t="s">
        <v>85</v>
      </c>
      <c r="AE2842" t="s">
        <v>46</v>
      </c>
      <c r="AF2842" t="s">
        <v>44</v>
      </c>
      <c r="AG2842" t="str">
        <f t="shared" si="47"/>
        <v>Recorrente</v>
      </c>
      <c r="AH2842" t="str">
        <f>IF(AND(SUMIF(E:E,E2842,I:I)&gt;=400000,Q2842="B2G"),"n","")</f>
        <v/>
      </c>
    </row>
    <row r="2843" spans="1:34">
      <c r="A2843">
        <v>2026</v>
      </c>
      <c r="B2843">
        <v>3</v>
      </c>
      <c r="C2843" s="83">
        <v>34524411478</v>
      </c>
      <c r="D2843" t="s">
        <v>2558</v>
      </c>
      <c r="E2843">
        <v>55708711776</v>
      </c>
      <c r="F2843">
        <v>627709</v>
      </c>
      <c r="G2843">
        <v>51001726040</v>
      </c>
      <c r="H2843" t="s">
        <v>35</v>
      </c>
      <c r="I2843" s="36">
        <v>5034</v>
      </c>
      <c r="J2843" s="36">
        <v>5034</v>
      </c>
      <c r="K2843" s="85">
        <v>0</v>
      </c>
      <c r="L2843" s="36">
        <v>419.5</v>
      </c>
      <c r="M2843" s="36">
        <v>0</v>
      </c>
      <c r="N2843" s="36">
        <v>51.85</v>
      </c>
      <c r="O2843" s="36">
        <v>367.65</v>
      </c>
      <c r="P2843" t="s">
        <v>165</v>
      </c>
      <c r="Q2843" t="s">
        <v>166</v>
      </c>
      <c r="R2843" t="s">
        <v>166</v>
      </c>
      <c r="S2843" s="1">
        <v>46105</v>
      </c>
      <c r="T2843" s="1">
        <v>46105</v>
      </c>
      <c r="U2843" s="1">
        <v>46105</v>
      </c>
      <c r="V2843" s="1">
        <v>46470</v>
      </c>
      <c r="W2843" t="s">
        <v>38</v>
      </c>
      <c r="X2843">
        <v>12</v>
      </c>
      <c r="Y2843" t="s">
        <v>49</v>
      </c>
      <c r="Z2843" t="s">
        <v>81</v>
      </c>
      <c r="AA2843" t="s">
        <v>112</v>
      </c>
      <c r="AB2843">
        <v>12</v>
      </c>
      <c r="AC2843" t="s">
        <v>166</v>
      </c>
      <c r="AD2843" t="s">
        <v>84</v>
      </c>
      <c r="AE2843" t="s">
        <v>43</v>
      </c>
      <c r="AF2843" t="s">
        <v>44</v>
      </c>
      <c r="AG2843" t="str">
        <f t="shared" si="47"/>
        <v>CC 12x</v>
      </c>
      <c r="AH2843" t="str">
        <f>IF(AND(SUMIF(E:E,E2843,I:I)&gt;=400000,Q2843="B2G"),"n","")</f>
        <v/>
      </c>
    </row>
    <row r="2844" spans="1:34">
      <c r="A2844">
        <v>2026</v>
      </c>
      <c r="B2844">
        <v>3</v>
      </c>
      <c r="C2844" s="83">
        <v>35011706930</v>
      </c>
      <c r="D2844" t="s">
        <v>2559</v>
      </c>
      <c r="E2844">
        <v>38821278999</v>
      </c>
      <c r="F2844">
        <v>636807</v>
      </c>
      <c r="G2844">
        <v>53808826713</v>
      </c>
      <c r="H2844" t="s">
        <v>35</v>
      </c>
      <c r="I2844" s="36">
        <v>47970</v>
      </c>
      <c r="J2844" s="36">
        <v>15990</v>
      </c>
      <c r="K2844" s="85">
        <v>31980</v>
      </c>
      <c r="L2844" s="36">
        <v>1332.5</v>
      </c>
      <c r="M2844" s="36">
        <v>1332.5</v>
      </c>
      <c r="N2844" s="36">
        <v>0</v>
      </c>
      <c r="O2844" s="36">
        <v>0</v>
      </c>
      <c r="P2844" t="s">
        <v>2068</v>
      </c>
      <c r="Q2844" t="s">
        <v>37</v>
      </c>
      <c r="R2844" t="s">
        <v>37</v>
      </c>
      <c r="S2844" s="1">
        <v>46112</v>
      </c>
      <c r="T2844" s="1">
        <v>46112</v>
      </c>
      <c r="U2844" s="1"/>
      <c r="V2844" s="1">
        <v>47208</v>
      </c>
      <c r="W2844" t="s">
        <v>102</v>
      </c>
      <c r="X2844">
        <v>36</v>
      </c>
      <c r="Y2844" t="s">
        <v>49</v>
      </c>
      <c r="AA2844" t="s">
        <v>40</v>
      </c>
      <c r="AB2844">
        <v>1</v>
      </c>
      <c r="AC2844" t="s">
        <v>41</v>
      </c>
      <c r="AD2844" t="s">
        <v>73</v>
      </c>
      <c r="AE2844" t="s">
        <v>51</v>
      </c>
      <c r="AF2844" t="s">
        <v>47</v>
      </c>
      <c r="AG2844" t="str">
        <f t="shared" si="47"/>
        <v>À Vista</v>
      </c>
      <c r="AH2844" t="str">
        <f>IF(AND(SUMIF(E:E,E2844,I:I)&gt;=400000,Q2844="B2G"),"n","")</f>
        <v/>
      </c>
    </row>
    <row r="2845" spans="1:34">
      <c r="A2845">
        <v>2026</v>
      </c>
      <c r="B2845">
        <v>3</v>
      </c>
      <c r="C2845" s="83">
        <v>35011706930</v>
      </c>
      <c r="D2845" t="s">
        <v>2559</v>
      </c>
      <c r="E2845">
        <v>44543697763</v>
      </c>
      <c r="F2845">
        <v>636806</v>
      </c>
      <c r="G2845">
        <v>53808949352</v>
      </c>
      <c r="H2845" t="s">
        <v>35</v>
      </c>
      <c r="I2845" s="36">
        <v>86985</v>
      </c>
      <c r="J2845" s="36">
        <v>28995</v>
      </c>
      <c r="K2845" s="85">
        <v>57990</v>
      </c>
      <c r="L2845" s="36">
        <v>2416.25</v>
      </c>
      <c r="M2845" s="36">
        <v>2416.25</v>
      </c>
      <c r="N2845" s="36">
        <v>0</v>
      </c>
      <c r="O2845" s="36">
        <v>0</v>
      </c>
      <c r="P2845" t="s">
        <v>2068</v>
      </c>
      <c r="Q2845" t="s">
        <v>37</v>
      </c>
      <c r="R2845" t="s">
        <v>37</v>
      </c>
      <c r="S2845" s="1">
        <v>46112</v>
      </c>
      <c r="T2845" s="1">
        <v>46112</v>
      </c>
      <c r="U2845" s="1">
        <v>46106</v>
      </c>
      <c r="V2845" s="1">
        <v>46106</v>
      </c>
      <c r="W2845" t="s">
        <v>102</v>
      </c>
      <c r="X2845">
        <v>36</v>
      </c>
      <c r="Y2845" t="s">
        <v>49</v>
      </c>
      <c r="AA2845" t="s">
        <v>40</v>
      </c>
      <c r="AB2845">
        <v>1</v>
      </c>
      <c r="AC2845" t="s">
        <v>41</v>
      </c>
      <c r="AD2845" t="s">
        <v>1623</v>
      </c>
      <c r="AE2845" t="s">
        <v>43</v>
      </c>
      <c r="AF2845" t="s">
        <v>47</v>
      </c>
      <c r="AG2845" t="str">
        <f t="shared" si="47"/>
        <v>À Vista</v>
      </c>
      <c r="AH2845" t="str">
        <f>IF(AND(SUMIF(E:E,E2845,I:I)&gt;=400000,Q2845="B2G"),"n","")</f>
        <v/>
      </c>
    </row>
    <row r="2846" spans="1:34">
      <c r="A2846">
        <v>2026</v>
      </c>
      <c r="B2846">
        <v>3</v>
      </c>
      <c r="C2846" s="83">
        <v>35011706930</v>
      </c>
      <c r="D2846" t="s">
        <v>2559</v>
      </c>
      <c r="E2846">
        <v>44543697763</v>
      </c>
      <c r="F2846">
        <v>636806</v>
      </c>
      <c r="G2846">
        <v>53808949354</v>
      </c>
      <c r="H2846" t="s">
        <v>35</v>
      </c>
      <c r="I2846" s="36">
        <v>96255</v>
      </c>
      <c r="J2846" s="36">
        <v>32085</v>
      </c>
      <c r="K2846" s="85">
        <v>64170</v>
      </c>
      <c r="L2846" s="36">
        <v>2673.75</v>
      </c>
      <c r="M2846" s="36">
        <v>2673.75</v>
      </c>
      <c r="N2846" s="36">
        <v>0</v>
      </c>
      <c r="O2846" s="36">
        <v>0</v>
      </c>
      <c r="P2846" t="s">
        <v>2068</v>
      </c>
      <c r="Q2846" t="s">
        <v>37</v>
      </c>
      <c r="R2846" t="s">
        <v>37</v>
      </c>
      <c r="S2846" s="1">
        <v>46112</v>
      </c>
      <c r="T2846" s="1">
        <v>46112</v>
      </c>
      <c r="U2846" s="1">
        <v>46106</v>
      </c>
      <c r="V2846" s="1">
        <v>46106</v>
      </c>
      <c r="W2846" t="s">
        <v>102</v>
      </c>
      <c r="X2846">
        <v>36</v>
      </c>
      <c r="Y2846" t="s">
        <v>49</v>
      </c>
      <c r="AA2846" t="s">
        <v>40</v>
      </c>
      <c r="AB2846">
        <v>1</v>
      </c>
      <c r="AC2846" t="s">
        <v>41</v>
      </c>
      <c r="AD2846" t="s">
        <v>1622</v>
      </c>
      <c r="AE2846" t="s">
        <v>46</v>
      </c>
      <c r="AF2846" t="s">
        <v>47</v>
      </c>
      <c r="AG2846" t="str">
        <f t="shared" si="47"/>
        <v>À Vista</v>
      </c>
      <c r="AH2846" t="str">
        <f>IF(AND(SUMIF(E:E,E2846,I:I)&gt;=400000,Q2846="B2G"),"n","")</f>
        <v/>
      </c>
    </row>
    <row r="2847" spans="1:34">
      <c r="A2847">
        <v>2026</v>
      </c>
      <c r="B2847">
        <v>3</v>
      </c>
      <c r="C2847" s="83">
        <v>35581365317</v>
      </c>
      <c r="D2847" t="s">
        <v>2560</v>
      </c>
      <c r="E2847">
        <v>58229719389</v>
      </c>
      <c r="F2847">
        <v>636642</v>
      </c>
      <c r="G2847">
        <v>53450827542</v>
      </c>
      <c r="H2847" t="s">
        <v>35</v>
      </c>
      <c r="I2847" s="36">
        <v>2874</v>
      </c>
      <c r="J2847" s="36">
        <v>2874</v>
      </c>
      <c r="K2847" s="85">
        <v>0</v>
      </c>
      <c r="L2847" s="36">
        <v>239.5</v>
      </c>
      <c r="M2847" s="36">
        <v>239.5</v>
      </c>
      <c r="N2847" s="36">
        <v>0</v>
      </c>
      <c r="O2847" s="36">
        <v>0</v>
      </c>
      <c r="P2847" t="s">
        <v>2004</v>
      </c>
      <c r="Q2847" t="s">
        <v>300</v>
      </c>
      <c r="R2847" t="s">
        <v>300</v>
      </c>
      <c r="S2847" s="1">
        <v>46104</v>
      </c>
      <c r="T2847" s="1">
        <v>46104</v>
      </c>
      <c r="U2847" s="1"/>
      <c r="V2847" s="1">
        <v>46469</v>
      </c>
      <c r="W2847" t="s">
        <v>38</v>
      </c>
      <c r="X2847">
        <v>12</v>
      </c>
      <c r="Y2847" t="s">
        <v>49</v>
      </c>
      <c r="AA2847" t="s">
        <v>122</v>
      </c>
      <c r="AB2847">
        <v>12</v>
      </c>
      <c r="AC2847" t="s">
        <v>301</v>
      </c>
      <c r="AD2847" t="s">
        <v>118</v>
      </c>
      <c r="AE2847" t="s">
        <v>43</v>
      </c>
      <c r="AF2847" t="s">
        <v>119</v>
      </c>
      <c r="AG2847" t="str">
        <f t="shared" si="47"/>
        <v>Recorrente</v>
      </c>
      <c r="AH2847" t="str">
        <f>IF(AND(SUMIF(E:E,E2847,I:I)&gt;=400000,Q2847="B2G"),"n","")</f>
        <v/>
      </c>
    </row>
    <row r="2848" spans="1:34">
      <c r="A2848">
        <v>2026</v>
      </c>
      <c r="B2848">
        <v>3</v>
      </c>
      <c r="C2848" s="83">
        <v>35699511479</v>
      </c>
      <c r="D2848" t="s">
        <v>2561</v>
      </c>
      <c r="E2848">
        <v>58514249766</v>
      </c>
      <c r="F2848">
        <v>633140</v>
      </c>
      <c r="G2848">
        <v>53747564635</v>
      </c>
      <c r="H2848" t="s">
        <v>35</v>
      </c>
      <c r="I2848" s="36">
        <v>8134.56</v>
      </c>
      <c r="J2848" s="36">
        <v>5402.52</v>
      </c>
      <c r="K2848" s="85">
        <v>2732.04</v>
      </c>
      <c r="L2848" s="36">
        <v>450.21</v>
      </c>
      <c r="M2848" s="36">
        <v>0</v>
      </c>
      <c r="N2848" s="36">
        <v>450.21</v>
      </c>
      <c r="O2848" s="36">
        <v>0</v>
      </c>
      <c r="P2848" t="s">
        <v>520</v>
      </c>
      <c r="Q2848" t="s">
        <v>191</v>
      </c>
      <c r="R2848" t="s">
        <v>191</v>
      </c>
      <c r="S2848" s="1">
        <v>46111</v>
      </c>
      <c r="T2848" s="1">
        <v>46111</v>
      </c>
      <c r="U2848" s="1">
        <v>46661</v>
      </c>
      <c r="V2848" s="1">
        <v>46661</v>
      </c>
      <c r="W2848" t="s">
        <v>56</v>
      </c>
      <c r="X2848">
        <v>19</v>
      </c>
      <c r="Y2848" t="s">
        <v>49</v>
      </c>
      <c r="Z2848" t="s">
        <v>324</v>
      </c>
      <c r="AA2848" t="s">
        <v>122</v>
      </c>
      <c r="AB2848">
        <v>18</v>
      </c>
      <c r="AC2848" t="s">
        <v>192</v>
      </c>
      <c r="AD2848" t="s">
        <v>174</v>
      </c>
      <c r="AE2848" t="s">
        <v>43</v>
      </c>
      <c r="AF2848" t="s">
        <v>47</v>
      </c>
      <c r="AG2848" t="str">
        <f t="shared" si="47"/>
        <v>Recorrente</v>
      </c>
      <c r="AH2848" t="str">
        <f>IF(AND(SUMIF(E:E,E2848,I:I)&gt;=400000,Q2848="B2G"),"n","")</f>
        <v/>
      </c>
    </row>
    <row r="2849" spans="1:34">
      <c r="A2849">
        <v>2026</v>
      </c>
      <c r="B2849">
        <v>3</v>
      </c>
      <c r="C2849" s="83">
        <v>36615792137</v>
      </c>
      <c r="D2849" t="s">
        <v>2562</v>
      </c>
      <c r="E2849">
        <v>58387668081</v>
      </c>
      <c r="F2849">
        <v>636756</v>
      </c>
      <c r="G2849">
        <v>53666807303</v>
      </c>
      <c r="H2849" t="s">
        <v>35</v>
      </c>
      <c r="I2849" s="36">
        <v>8051.88</v>
      </c>
      <c r="J2849" s="36">
        <v>4366.9287430000004</v>
      </c>
      <c r="K2849" s="85">
        <v>3684.9512570000002</v>
      </c>
      <c r="L2849" s="36">
        <v>363.91072860000003</v>
      </c>
      <c r="M2849" s="36">
        <v>0</v>
      </c>
      <c r="N2849" s="36">
        <v>363.91072860000003</v>
      </c>
      <c r="O2849" s="36">
        <v>0</v>
      </c>
      <c r="P2849" t="s">
        <v>367</v>
      </c>
      <c r="Q2849" t="s">
        <v>191</v>
      </c>
      <c r="R2849" t="s">
        <v>191</v>
      </c>
      <c r="S2849" s="1">
        <v>46111</v>
      </c>
      <c r="T2849" s="1">
        <v>46111</v>
      </c>
      <c r="U2849" s="1"/>
      <c r="V2849" s="1">
        <v>46476</v>
      </c>
      <c r="W2849" t="s">
        <v>38</v>
      </c>
      <c r="Y2849" t="s">
        <v>49</v>
      </c>
      <c r="AA2849" t="s">
        <v>122</v>
      </c>
      <c r="AB2849">
        <v>12</v>
      </c>
      <c r="AC2849" t="s">
        <v>192</v>
      </c>
      <c r="AD2849" t="s">
        <v>134</v>
      </c>
      <c r="AE2849" t="s">
        <v>135</v>
      </c>
      <c r="AF2849" t="s">
        <v>44</v>
      </c>
      <c r="AG2849" t="str">
        <f t="shared" si="47"/>
        <v>Recorrente</v>
      </c>
      <c r="AH2849" t="str">
        <f>IF(AND(SUMIF(E:E,E2849,I:I)&gt;=400000,Q2849="B2G"),"n","")</f>
        <v/>
      </c>
    </row>
    <row r="2850" spans="1:34">
      <c r="A2850">
        <v>2026</v>
      </c>
      <c r="B2850">
        <v>3</v>
      </c>
      <c r="C2850" s="83">
        <v>36615792137</v>
      </c>
      <c r="D2850" t="s">
        <v>2562</v>
      </c>
      <c r="E2850">
        <v>58387668081</v>
      </c>
      <c r="F2850">
        <v>636756</v>
      </c>
      <c r="G2850">
        <v>53666807304</v>
      </c>
      <c r="H2850" t="s">
        <v>35</v>
      </c>
      <c r="I2850" s="36">
        <v>8418.6</v>
      </c>
      <c r="J2850" s="36">
        <v>4565.794457</v>
      </c>
      <c r="K2850" s="85">
        <v>3852.8055429999999</v>
      </c>
      <c r="L2850" s="36">
        <v>380.48287140000002</v>
      </c>
      <c r="M2850" s="36">
        <v>0</v>
      </c>
      <c r="N2850" s="36">
        <v>380.48287140000002</v>
      </c>
      <c r="O2850" s="36">
        <v>0</v>
      </c>
      <c r="P2850" t="s">
        <v>367</v>
      </c>
      <c r="Q2850" t="s">
        <v>191</v>
      </c>
      <c r="R2850" t="s">
        <v>191</v>
      </c>
      <c r="S2850" s="1">
        <v>46111</v>
      </c>
      <c r="T2850" s="1">
        <v>46111</v>
      </c>
      <c r="V2850" s="1">
        <v>46476</v>
      </c>
      <c r="W2850" t="s">
        <v>38</v>
      </c>
      <c r="Y2850" t="s">
        <v>49</v>
      </c>
      <c r="AA2850" t="s">
        <v>122</v>
      </c>
      <c r="AB2850">
        <v>12</v>
      </c>
      <c r="AC2850" t="s">
        <v>192</v>
      </c>
      <c r="AD2850" t="s">
        <v>134</v>
      </c>
      <c r="AE2850" t="s">
        <v>135</v>
      </c>
      <c r="AF2850" t="s">
        <v>44</v>
      </c>
      <c r="AG2850" t="str">
        <f t="shared" si="47"/>
        <v>Recorrente</v>
      </c>
      <c r="AH2850" t="str">
        <f>IF(AND(SUMIF(E:E,E2850,I:I)&gt;=400000,Q2850="B2G"),"n","")</f>
        <v/>
      </c>
    </row>
    <row r="2851" spans="1:34">
      <c r="A2851">
        <v>2026</v>
      </c>
      <c r="B2851">
        <v>3</v>
      </c>
      <c r="C2851" s="83">
        <v>36696533353</v>
      </c>
      <c r="D2851" t="s">
        <v>2563</v>
      </c>
      <c r="E2851">
        <v>40683122803</v>
      </c>
      <c r="F2851">
        <v>636498</v>
      </c>
      <c r="G2851">
        <v>53206438940</v>
      </c>
      <c r="H2851" t="s">
        <v>35</v>
      </c>
      <c r="I2851" s="36">
        <v>191367</v>
      </c>
      <c r="J2851" s="36">
        <v>63789</v>
      </c>
      <c r="K2851" s="85">
        <v>127578</v>
      </c>
      <c r="L2851" s="36">
        <v>5315.75</v>
      </c>
      <c r="M2851" s="36">
        <v>5315.75</v>
      </c>
      <c r="N2851" s="36">
        <v>0</v>
      </c>
      <c r="O2851" s="36">
        <v>0</v>
      </c>
      <c r="P2851" t="s">
        <v>66</v>
      </c>
      <c r="Q2851" t="s">
        <v>37</v>
      </c>
      <c r="R2851" t="s">
        <v>37</v>
      </c>
      <c r="S2851" s="1">
        <v>46094</v>
      </c>
      <c r="T2851" s="1">
        <v>46094</v>
      </c>
      <c r="U2851" s="1">
        <v>45991</v>
      </c>
      <c r="V2851" s="1">
        <v>46356</v>
      </c>
      <c r="W2851" t="s">
        <v>102</v>
      </c>
      <c r="X2851">
        <v>36</v>
      </c>
      <c r="Y2851" t="s">
        <v>49</v>
      </c>
      <c r="AA2851" t="s">
        <v>40</v>
      </c>
      <c r="AB2851">
        <v>1</v>
      </c>
      <c r="AC2851" t="s">
        <v>41</v>
      </c>
      <c r="AD2851" t="s">
        <v>1623</v>
      </c>
      <c r="AE2851" t="s">
        <v>43</v>
      </c>
      <c r="AF2851" t="s">
        <v>47</v>
      </c>
      <c r="AG2851" t="str">
        <f t="shared" si="47"/>
        <v>À Vista</v>
      </c>
      <c r="AH2851" t="str">
        <f>IF(AND(SUMIF(E:E,E2851,I:I)&gt;=400000,Q2851="B2G"),"n","")</f>
        <v/>
      </c>
    </row>
    <row r="2852" spans="1:34">
      <c r="A2852">
        <v>2026</v>
      </c>
      <c r="B2852">
        <v>3</v>
      </c>
      <c r="C2852" s="83">
        <v>36696533353</v>
      </c>
      <c r="D2852" t="s">
        <v>2563</v>
      </c>
      <c r="E2852">
        <v>40683122803</v>
      </c>
      <c r="F2852">
        <v>636498</v>
      </c>
      <c r="G2852">
        <v>53206438941</v>
      </c>
      <c r="H2852" t="s">
        <v>35</v>
      </c>
      <c r="I2852" s="36">
        <v>128340</v>
      </c>
      <c r="J2852" s="36">
        <v>42780</v>
      </c>
      <c r="K2852" s="85">
        <v>85560</v>
      </c>
      <c r="L2852" s="36">
        <v>3565</v>
      </c>
      <c r="M2852" s="36">
        <v>3565</v>
      </c>
      <c r="N2852" s="36">
        <v>0</v>
      </c>
      <c r="O2852" s="36">
        <v>0</v>
      </c>
      <c r="P2852" t="s">
        <v>66</v>
      </c>
      <c r="Q2852" t="s">
        <v>37</v>
      </c>
      <c r="R2852" t="s">
        <v>37</v>
      </c>
      <c r="S2852" s="1">
        <v>46094</v>
      </c>
      <c r="T2852" s="1">
        <v>46094</v>
      </c>
      <c r="U2852" s="1">
        <v>45991</v>
      </c>
      <c r="V2852" s="1">
        <v>46356</v>
      </c>
      <c r="W2852" t="s">
        <v>102</v>
      </c>
      <c r="X2852">
        <v>36</v>
      </c>
      <c r="Y2852" t="s">
        <v>49</v>
      </c>
      <c r="AA2852" t="s">
        <v>40</v>
      </c>
      <c r="AB2852">
        <v>1</v>
      </c>
      <c r="AC2852" t="s">
        <v>41</v>
      </c>
      <c r="AD2852" t="s">
        <v>1622</v>
      </c>
      <c r="AE2852" t="s">
        <v>46</v>
      </c>
      <c r="AF2852" t="s">
        <v>47</v>
      </c>
      <c r="AG2852" t="str">
        <f t="shared" si="47"/>
        <v>À Vista</v>
      </c>
      <c r="AH2852" t="str">
        <f>IF(AND(SUMIF(E:E,E2852,I:I)&gt;=400000,Q2852="B2G"),"n","")</f>
        <v/>
      </c>
    </row>
    <row r="2853" spans="1:34">
      <c r="A2853">
        <v>2026</v>
      </c>
      <c r="B2853">
        <v>3</v>
      </c>
      <c r="C2853" s="83">
        <v>36696533353</v>
      </c>
      <c r="D2853" t="s">
        <v>2563</v>
      </c>
      <c r="E2853">
        <v>47415905668</v>
      </c>
      <c r="F2853">
        <v>636499</v>
      </c>
      <c r="G2853">
        <v>53206443294</v>
      </c>
      <c r="H2853" t="s">
        <v>104</v>
      </c>
      <c r="I2853" s="36">
        <v>2875.2</v>
      </c>
      <c r="J2853" s="36">
        <v>2875.2</v>
      </c>
      <c r="K2853" s="85">
        <v>0</v>
      </c>
      <c r="L2853" s="36">
        <v>239.6</v>
      </c>
      <c r="M2853" s="36">
        <v>239.6</v>
      </c>
      <c r="N2853" s="36">
        <v>0</v>
      </c>
      <c r="O2853" s="36">
        <v>0</v>
      </c>
      <c r="P2853" t="s">
        <v>66</v>
      </c>
      <c r="Q2853" t="s">
        <v>37</v>
      </c>
      <c r="R2853" t="s">
        <v>37</v>
      </c>
      <c r="S2853" s="1">
        <v>46094</v>
      </c>
      <c r="T2853" s="1">
        <v>46094</v>
      </c>
      <c r="U2853" s="1"/>
      <c r="V2853" s="1">
        <v>46459</v>
      </c>
      <c r="W2853" t="s">
        <v>38</v>
      </c>
      <c r="X2853">
        <v>12</v>
      </c>
      <c r="Y2853" t="s">
        <v>104</v>
      </c>
      <c r="AA2853" t="s">
        <v>40</v>
      </c>
      <c r="AB2853">
        <v>1</v>
      </c>
      <c r="AC2853" t="s">
        <v>41</v>
      </c>
      <c r="AD2853" t="s">
        <v>105</v>
      </c>
      <c r="AE2853" t="s">
        <v>106</v>
      </c>
      <c r="AF2853" t="s">
        <v>59</v>
      </c>
      <c r="AG2853" t="str">
        <f t="shared" si="47"/>
        <v>À Vista</v>
      </c>
      <c r="AH2853" t="str">
        <f>IF(AND(SUMIF(E:E,E2853,I:I)&gt;=400000,Q2853="B2G"),"n","")</f>
        <v/>
      </c>
    </row>
    <row r="2854" spans="1:34">
      <c r="A2854">
        <v>2026</v>
      </c>
      <c r="B2854">
        <v>3</v>
      </c>
      <c r="C2854" s="83">
        <v>38656346432</v>
      </c>
      <c r="D2854" t="s">
        <v>2564</v>
      </c>
      <c r="E2854">
        <v>55489472134</v>
      </c>
      <c r="F2854">
        <v>530436</v>
      </c>
      <c r="G2854">
        <v>50794700065</v>
      </c>
      <c r="H2854" t="s">
        <v>35</v>
      </c>
      <c r="I2854" s="36">
        <v>7794</v>
      </c>
      <c r="J2854" s="36">
        <v>7794</v>
      </c>
      <c r="K2854" s="85">
        <v>0</v>
      </c>
      <c r="L2854" s="36">
        <v>649.5</v>
      </c>
      <c r="M2854" s="36">
        <v>0</v>
      </c>
      <c r="N2854" s="36">
        <v>104.39</v>
      </c>
      <c r="O2854" s="36">
        <v>545.11</v>
      </c>
      <c r="P2854" t="s">
        <v>165</v>
      </c>
      <c r="Q2854" t="s">
        <v>166</v>
      </c>
      <c r="R2854" t="s">
        <v>166</v>
      </c>
      <c r="S2854" s="1">
        <v>46102</v>
      </c>
      <c r="T2854" s="1">
        <v>46102</v>
      </c>
      <c r="U2854" s="1">
        <v>46102</v>
      </c>
      <c r="V2854" s="1">
        <v>46467</v>
      </c>
      <c r="W2854" t="s">
        <v>38</v>
      </c>
      <c r="X2854">
        <v>12</v>
      </c>
      <c r="Y2854" t="s">
        <v>49</v>
      </c>
      <c r="Z2854" t="s">
        <v>81</v>
      </c>
      <c r="AA2854" t="s">
        <v>112</v>
      </c>
      <c r="AB2854">
        <v>12</v>
      </c>
      <c r="AC2854" t="s">
        <v>166</v>
      </c>
      <c r="AD2854" t="s">
        <v>125</v>
      </c>
      <c r="AE2854" t="s">
        <v>43</v>
      </c>
      <c r="AF2854" t="s">
        <v>47</v>
      </c>
      <c r="AG2854" t="str">
        <f t="shared" si="47"/>
        <v>CC 12x</v>
      </c>
      <c r="AH2854" t="str">
        <f>IF(AND(SUMIF(E:E,E2854,I:I)&gt;=400000,Q2854="B2G"),"n","")</f>
        <v/>
      </c>
    </row>
    <row r="2855" spans="1:34">
      <c r="A2855">
        <v>2026</v>
      </c>
      <c r="B2855">
        <v>3</v>
      </c>
      <c r="C2855" s="83">
        <v>38746655240</v>
      </c>
      <c r="D2855" t="s">
        <v>2565</v>
      </c>
      <c r="E2855">
        <v>56645735965</v>
      </c>
      <c r="F2855">
        <v>636362</v>
      </c>
      <c r="G2855">
        <v>52811130536</v>
      </c>
      <c r="H2855" t="s">
        <v>35</v>
      </c>
      <c r="I2855" s="36">
        <v>7248</v>
      </c>
      <c r="J2855" s="36">
        <v>7248</v>
      </c>
      <c r="K2855" s="85">
        <v>0</v>
      </c>
      <c r="L2855" s="36">
        <v>604</v>
      </c>
      <c r="M2855" s="36">
        <v>604</v>
      </c>
      <c r="N2855" s="36">
        <v>0</v>
      </c>
      <c r="O2855" s="36">
        <v>0</v>
      </c>
      <c r="P2855" t="s">
        <v>1165</v>
      </c>
      <c r="Q2855" t="s">
        <v>37</v>
      </c>
      <c r="R2855" t="s">
        <v>37</v>
      </c>
      <c r="S2855" s="1">
        <v>46085</v>
      </c>
      <c r="T2855" s="1">
        <v>46085</v>
      </c>
      <c r="V2855" s="1">
        <v>46477</v>
      </c>
      <c r="W2855" t="s">
        <v>38</v>
      </c>
      <c r="X2855">
        <v>12</v>
      </c>
      <c r="Y2855" t="s">
        <v>49</v>
      </c>
      <c r="AA2855" t="s">
        <v>40</v>
      </c>
      <c r="AB2855">
        <v>1</v>
      </c>
      <c r="AC2855" t="s">
        <v>41</v>
      </c>
      <c r="AD2855" t="s">
        <v>70</v>
      </c>
      <c r="AE2855" t="s">
        <v>43</v>
      </c>
      <c r="AF2855" t="s">
        <v>47</v>
      </c>
      <c r="AG2855" t="str">
        <f t="shared" si="47"/>
        <v>À Vista</v>
      </c>
      <c r="AH2855" t="str">
        <f>IF(AND(SUMIF(E:E,E2855,I:I)&gt;=400000,Q2855="B2G"),"n","")</f>
        <v/>
      </c>
    </row>
    <row r="2856" spans="1:34">
      <c r="A2856">
        <v>2026</v>
      </c>
      <c r="B2856">
        <v>3</v>
      </c>
      <c r="C2856" s="83">
        <v>38997793943</v>
      </c>
      <c r="D2856" t="s">
        <v>2566</v>
      </c>
      <c r="E2856">
        <v>58258871919</v>
      </c>
      <c r="F2856">
        <v>636651</v>
      </c>
      <c r="G2856">
        <v>53455286594</v>
      </c>
      <c r="H2856" t="s">
        <v>35</v>
      </c>
      <c r="I2856" s="36">
        <v>4782.24</v>
      </c>
      <c r="J2856" s="36">
        <v>4782.3</v>
      </c>
      <c r="K2856" s="85">
        <v>0</v>
      </c>
      <c r="L2856" s="36">
        <v>398.52499999999998</v>
      </c>
      <c r="M2856" s="36">
        <v>0</v>
      </c>
      <c r="N2856" s="36">
        <v>398.52499999999998</v>
      </c>
      <c r="O2856" s="36">
        <v>0</v>
      </c>
      <c r="P2856" t="s">
        <v>520</v>
      </c>
      <c r="Q2856" t="s">
        <v>191</v>
      </c>
      <c r="R2856" t="s">
        <v>191</v>
      </c>
      <c r="S2856" s="1">
        <v>46105</v>
      </c>
      <c r="T2856" s="1">
        <v>46105</v>
      </c>
      <c r="U2856" s="1"/>
      <c r="V2856" s="1">
        <v>46470</v>
      </c>
      <c r="W2856" t="s">
        <v>38</v>
      </c>
      <c r="X2856">
        <v>12</v>
      </c>
      <c r="Y2856" t="s">
        <v>49</v>
      </c>
      <c r="AA2856" t="s">
        <v>122</v>
      </c>
      <c r="AB2856">
        <v>12</v>
      </c>
      <c r="AC2856" t="s">
        <v>192</v>
      </c>
      <c r="AD2856" t="s">
        <v>84</v>
      </c>
      <c r="AE2856" t="s">
        <v>43</v>
      </c>
      <c r="AF2856" t="s">
        <v>44</v>
      </c>
      <c r="AG2856" t="str">
        <f t="shared" si="47"/>
        <v>Recorrente</v>
      </c>
      <c r="AH2856" t="str">
        <f>IF(AND(SUMIF(E:E,E2856,I:I)&gt;=400000,Q2856="B2G"),"n","")</f>
        <v/>
      </c>
    </row>
    <row r="2857" spans="1:34">
      <c r="A2857">
        <v>2026</v>
      </c>
      <c r="B2857">
        <v>3</v>
      </c>
      <c r="C2857" s="83">
        <v>39314305890</v>
      </c>
      <c r="D2857" t="s">
        <v>2567</v>
      </c>
      <c r="E2857">
        <v>56698430081</v>
      </c>
      <c r="F2857">
        <v>636622</v>
      </c>
      <c r="G2857">
        <v>53409887844</v>
      </c>
      <c r="H2857" t="s">
        <v>35</v>
      </c>
      <c r="I2857" s="36">
        <v>8394</v>
      </c>
      <c r="J2857" s="36">
        <v>8394</v>
      </c>
      <c r="K2857" s="85">
        <v>0</v>
      </c>
      <c r="L2857" s="36">
        <v>699.5</v>
      </c>
      <c r="M2857" s="36">
        <v>699.5</v>
      </c>
      <c r="N2857" s="36">
        <v>0</v>
      </c>
      <c r="O2857" s="36">
        <v>0</v>
      </c>
      <c r="P2857" t="s">
        <v>90</v>
      </c>
      <c r="Q2857" t="s">
        <v>91</v>
      </c>
      <c r="R2857" t="s">
        <v>91</v>
      </c>
      <c r="S2857" s="1">
        <v>46101</v>
      </c>
      <c r="T2857" s="1">
        <v>46101</v>
      </c>
      <c r="U2857" s="1"/>
      <c r="V2857" s="1">
        <v>46470</v>
      </c>
      <c r="W2857" t="s">
        <v>38</v>
      </c>
      <c r="X2857">
        <v>12</v>
      </c>
      <c r="Y2857" t="s">
        <v>49</v>
      </c>
      <c r="AA2857" t="s">
        <v>122</v>
      </c>
      <c r="AB2857">
        <v>12</v>
      </c>
      <c r="AC2857" t="s">
        <v>93</v>
      </c>
      <c r="AD2857" t="s">
        <v>94</v>
      </c>
      <c r="AE2857" t="s">
        <v>95</v>
      </c>
      <c r="AF2857" t="s">
        <v>96</v>
      </c>
      <c r="AG2857" t="str">
        <f t="shared" si="47"/>
        <v>Recorrente</v>
      </c>
      <c r="AH2857" t="str">
        <f>IF(AND(SUMIF(E:E,E2857,I:I)&gt;=400000,Q2857="B2G"),"n","")</f>
        <v/>
      </c>
    </row>
    <row r="2858" spans="1:34">
      <c r="A2858">
        <v>2026</v>
      </c>
      <c r="B2858">
        <v>3</v>
      </c>
      <c r="C2858" s="83">
        <v>39616935267</v>
      </c>
      <c r="D2858" t="s">
        <v>1646</v>
      </c>
      <c r="E2858">
        <v>54116351096</v>
      </c>
      <c r="F2858">
        <v>610388</v>
      </c>
      <c r="G2858">
        <v>50778466150</v>
      </c>
      <c r="H2858" t="s">
        <v>35</v>
      </c>
      <c r="I2858" s="36">
        <v>3221.76</v>
      </c>
      <c r="J2858" s="36">
        <v>3221.76</v>
      </c>
      <c r="K2858" s="85">
        <v>0</v>
      </c>
      <c r="L2858" s="36">
        <v>268.48</v>
      </c>
      <c r="M2858" s="36">
        <v>0</v>
      </c>
      <c r="N2858" s="36">
        <v>0.52</v>
      </c>
      <c r="O2858" s="36">
        <v>267.95999999999998</v>
      </c>
      <c r="P2858" t="s">
        <v>116</v>
      </c>
      <c r="Q2858" t="s">
        <v>111</v>
      </c>
      <c r="R2858" t="s">
        <v>111</v>
      </c>
      <c r="S2858" s="1">
        <v>46057</v>
      </c>
      <c r="T2858" s="1">
        <v>46082</v>
      </c>
      <c r="U2858" s="1">
        <v>46085</v>
      </c>
      <c r="V2858" s="1">
        <v>46450</v>
      </c>
      <c r="W2858" t="s">
        <v>38</v>
      </c>
      <c r="X2858">
        <v>12</v>
      </c>
      <c r="Y2858" t="s">
        <v>49</v>
      </c>
      <c r="Z2858" t="s">
        <v>81</v>
      </c>
      <c r="AA2858" t="s">
        <v>82</v>
      </c>
      <c r="AB2858">
        <v>1</v>
      </c>
      <c r="AC2858" t="s">
        <v>113</v>
      </c>
      <c r="AD2858" t="s">
        <v>84</v>
      </c>
      <c r="AE2858" t="s">
        <v>43</v>
      </c>
      <c r="AF2858" t="s">
        <v>44</v>
      </c>
      <c r="AG2858" t="str">
        <f t="shared" si="47"/>
        <v>À Vista</v>
      </c>
      <c r="AH2858" t="str">
        <f>IF(AND(SUMIF(E:E,E2858,I:I)&gt;=400000,Q2858="B2G"),"n","")</f>
        <v/>
      </c>
    </row>
    <row r="2859" spans="1:34">
      <c r="A2859">
        <v>2026</v>
      </c>
      <c r="B2859">
        <v>3</v>
      </c>
      <c r="C2859" s="83">
        <v>40173710877</v>
      </c>
      <c r="D2859" t="s">
        <v>2568</v>
      </c>
      <c r="E2859">
        <v>47370901000</v>
      </c>
      <c r="F2859">
        <v>636822</v>
      </c>
      <c r="G2859">
        <v>53808714928</v>
      </c>
      <c r="H2859" t="s">
        <v>35</v>
      </c>
      <c r="I2859" s="36">
        <v>5178.6000000000004</v>
      </c>
      <c r="J2859" s="36">
        <v>5178.6000000000004</v>
      </c>
      <c r="K2859" s="85">
        <v>0</v>
      </c>
      <c r="L2859" s="36">
        <v>431.55</v>
      </c>
      <c r="M2859" s="36">
        <v>431.55</v>
      </c>
      <c r="N2859" s="36">
        <v>0</v>
      </c>
      <c r="O2859" s="36">
        <v>0</v>
      </c>
      <c r="P2859" t="s">
        <v>348</v>
      </c>
      <c r="Q2859" t="s">
        <v>349</v>
      </c>
      <c r="R2859" t="s">
        <v>349</v>
      </c>
      <c r="S2859" s="1">
        <v>46112</v>
      </c>
      <c r="T2859" s="1">
        <v>46112</v>
      </c>
      <c r="U2859" s="1"/>
      <c r="V2859" s="1">
        <v>46477</v>
      </c>
      <c r="W2859" t="s">
        <v>38</v>
      </c>
      <c r="X2859">
        <v>12</v>
      </c>
      <c r="Y2859" t="s">
        <v>49</v>
      </c>
      <c r="AA2859" t="s">
        <v>117</v>
      </c>
      <c r="AB2859">
        <v>1</v>
      </c>
      <c r="AC2859" t="s">
        <v>350</v>
      </c>
      <c r="AD2859" t="s">
        <v>85</v>
      </c>
      <c r="AE2859" t="s">
        <v>46</v>
      </c>
      <c r="AF2859" t="s">
        <v>44</v>
      </c>
      <c r="AG2859" t="str">
        <f t="shared" si="47"/>
        <v>À Vista</v>
      </c>
      <c r="AH2859" t="str">
        <f>IF(AND(SUMIF(E:E,E2859,I:I)&gt;=400000,Q2859="B2G"),"n","")</f>
        <v/>
      </c>
    </row>
    <row r="2860" spans="1:34">
      <c r="A2860">
        <v>2026</v>
      </c>
      <c r="B2860">
        <v>3</v>
      </c>
      <c r="C2860" s="83">
        <v>42400448578</v>
      </c>
      <c r="D2860" t="s">
        <v>2569</v>
      </c>
      <c r="E2860">
        <v>58141770623</v>
      </c>
      <c r="F2860">
        <v>636810</v>
      </c>
      <c r="G2860">
        <v>53808753262</v>
      </c>
      <c r="H2860" t="s">
        <v>35</v>
      </c>
      <c r="I2860" s="36">
        <v>8394</v>
      </c>
      <c r="J2860" s="36">
        <v>8394</v>
      </c>
      <c r="K2860" s="85">
        <v>0</v>
      </c>
      <c r="L2860" s="36">
        <v>699.5</v>
      </c>
      <c r="M2860" s="36">
        <v>699.5</v>
      </c>
      <c r="N2860" s="36">
        <v>0</v>
      </c>
      <c r="O2860" s="36">
        <v>0</v>
      </c>
      <c r="P2860" t="s">
        <v>90</v>
      </c>
      <c r="Q2860" t="s">
        <v>91</v>
      </c>
      <c r="R2860" t="s">
        <v>91</v>
      </c>
      <c r="S2860" s="1">
        <v>46112</v>
      </c>
      <c r="T2860" s="1">
        <v>46112</v>
      </c>
      <c r="U2860" s="1"/>
      <c r="V2860" s="1">
        <v>46477</v>
      </c>
      <c r="W2860" t="s">
        <v>38</v>
      </c>
      <c r="X2860">
        <v>12</v>
      </c>
      <c r="Y2860" t="s">
        <v>49</v>
      </c>
      <c r="AA2860" t="s">
        <v>92</v>
      </c>
      <c r="AB2860">
        <v>12</v>
      </c>
      <c r="AC2860" t="s">
        <v>93</v>
      </c>
      <c r="AD2860" t="s">
        <v>94</v>
      </c>
      <c r="AE2860" t="s">
        <v>95</v>
      </c>
      <c r="AF2860" t="s">
        <v>96</v>
      </c>
      <c r="AG2860" t="str">
        <f t="shared" si="47"/>
        <v>Recorrente</v>
      </c>
      <c r="AH2860" t="str">
        <f>IF(AND(SUMIF(E:E,E2860,I:I)&gt;=400000,Q2860="B2G"),"n","")</f>
        <v/>
      </c>
    </row>
    <row r="2861" spans="1:34">
      <c r="A2861">
        <v>2026</v>
      </c>
      <c r="B2861">
        <v>3</v>
      </c>
      <c r="C2861" s="83">
        <v>42400448578</v>
      </c>
      <c r="D2861" t="s">
        <v>2569</v>
      </c>
      <c r="E2861">
        <v>58567513134</v>
      </c>
      <c r="F2861">
        <v>636809</v>
      </c>
      <c r="G2861">
        <v>53808691112</v>
      </c>
      <c r="H2861" t="s">
        <v>673</v>
      </c>
      <c r="I2861" s="36">
        <v>13600</v>
      </c>
      <c r="J2861" s="36">
        <v>0</v>
      </c>
      <c r="K2861" s="85">
        <v>0</v>
      </c>
      <c r="L2861" s="36">
        <v>0</v>
      </c>
      <c r="M2861" s="36">
        <v>0</v>
      </c>
      <c r="N2861" s="36">
        <v>0</v>
      </c>
      <c r="O2861" s="36">
        <v>0</v>
      </c>
      <c r="P2861" t="s">
        <v>90</v>
      </c>
      <c r="Q2861" t="s">
        <v>91</v>
      </c>
      <c r="R2861" t="s">
        <v>91</v>
      </c>
      <c r="S2861" s="1">
        <v>46112</v>
      </c>
      <c r="T2861" s="1">
        <v>46112</v>
      </c>
      <c r="U2861" s="1"/>
      <c r="V2861" s="1">
        <v>46204</v>
      </c>
      <c r="W2861" t="s">
        <v>1228</v>
      </c>
      <c r="X2861">
        <v>4</v>
      </c>
      <c r="Y2861" t="s">
        <v>1229</v>
      </c>
      <c r="AA2861" t="s">
        <v>92</v>
      </c>
      <c r="AB2861">
        <v>6</v>
      </c>
      <c r="AC2861" t="s">
        <v>93</v>
      </c>
      <c r="AD2861" t="s">
        <v>2570</v>
      </c>
      <c r="AE2861" t="s">
        <v>95</v>
      </c>
      <c r="AF2861" t="s">
        <v>59</v>
      </c>
      <c r="AG2861" t="str">
        <f t="shared" si="47"/>
        <v>Recorrente</v>
      </c>
      <c r="AH2861" t="str">
        <f>IF(AND(SUMIF(E:E,E2861,I:I)&gt;=400000,Q2861="B2G"),"n","")</f>
        <v/>
      </c>
    </row>
    <row r="2862" spans="1:34">
      <c r="A2862">
        <v>2026</v>
      </c>
      <c r="B2862">
        <v>3</v>
      </c>
      <c r="C2862" s="83">
        <v>43010708294</v>
      </c>
      <c r="D2862" t="s">
        <v>2571</v>
      </c>
      <c r="E2862">
        <v>47479029382</v>
      </c>
      <c r="F2862">
        <v>636614</v>
      </c>
      <c r="G2862">
        <v>53409060135</v>
      </c>
      <c r="H2862" t="s">
        <v>35</v>
      </c>
      <c r="I2862" s="36">
        <v>5436</v>
      </c>
      <c r="J2862" s="36">
        <v>5436</v>
      </c>
      <c r="K2862" s="85">
        <v>0</v>
      </c>
      <c r="L2862" s="36">
        <v>453</v>
      </c>
      <c r="M2862" s="36">
        <v>453</v>
      </c>
      <c r="N2862" s="36">
        <v>0</v>
      </c>
      <c r="O2862" s="36">
        <v>0</v>
      </c>
      <c r="P2862" t="s">
        <v>98</v>
      </c>
      <c r="Q2862" t="s">
        <v>37</v>
      </c>
      <c r="R2862" t="s">
        <v>37</v>
      </c>
      <c r="S2862" s="1">
        <v>46101</v>
      </c>
      <c r="T2862" s="1">
        <v>46101</v>
      </c>
      <c r="U2862" s="1"/>
      <c r="V2862" s="1">
        <v>46494</v>
      </c>
      <c r="W2862" t="s">
        <v>38</v>
      </c>
      <c r="X2862">
        <v>13</v>
      </c>
      <c r="Y2862" t="s">
        <v>49</v>
      </c>
      <c r="AA2862" t="s">
        <v>40</v>
      </c>
      <c r="AB2862">
        <v>1</v>
      </c>
      <c r="AC2862" t="s">
        <v>41</v>
      </c>
      <c r="AD2862" t="s">
        <v>54</v>
      </c>
      <c r="AE2862" t="s">
        <v>46</v>
      </c>
      <c r="AF2862" t="s">
        <v>44</v>
      </c>
      <c r="AG2862" t="str">
        <f t="shared" si="47"/>
        <v>À Vista</v>
      </c>
      <c r="AH2862" t="str">
        <f>IF(AND(SUMIF(E:E,E2862,I:I)&gt;=400000,Q2862="B2G"),"n","")</f>
        <v/>
      </c>
    </row>
    <row r="2863" spans="1:34">
      <c r="A2863">
        <v>2026</v>
      </c>
      <c r="B2863">
        <v>3</v>
      </c>
      <c r="C2863" s="83">
        <v>43010708294</v>
      </c>
      <c r="D2863" t="s">
        <v>2571</v>
      </c>
      <c r="E2863">
        <v>47479029382</v>
      </c>
      <c r="F2863">
        <v>636614</v>
      </c>
      <c r="G2863">
        <v>53409060136</v>
      </c>
      <c r="H2863" t="s">
        <v>35</v>
      </c>
      <c r="I2863" s="36">
        <v>4644</v>
      </c>
      <c r="J2863" s="36">
        <v>4644</v>
      </c>
      <c r="K2863" s="85">
        <v>0</v>
      </c>
      <c r="L2863" s="36">
        <v>387</v>
      </c>
      <c r="M2863" s="36">
        <v>387</v>
      </c>
      <c r="N2863" s="36">
        <v>0</v>
      </c>
      <c r="O2863" s="36">
        <v>0</v>
      </c>
      <c r="P2863" t="s">
        <v>98</v>
      </c>
      <c r="Q2863" t="s">
        <v>37</v>
      </c>
      <c r="R2863" t="s">
        <v>37</v>
      </c>
      <c r="S2863" s="1">
        <v>46101</v>
      </c>
      <c r="T2863" s="1">
        <v>46101</v>
      </c>
      <c r="U2863" s="1"/>
      <c r="V2863" s="1">
        <v>46494</v>
      </c>
      <c r="W2863" t="s">
        <v>38</v>
      </c>
      <c r="X2863">
        <v>13</v>
      </c>
      <c r="Y2863" t="s">
        <v>49</v>
      </c>
      <c r="AA2863" t="s">
        <v>40</v>
      </c>
      <c r="AB2863">
        <v>1</v>
      </c>
      <c r="AC2863" t="s">
        <v>41</v>
      </c>
      <c r="AD2863" t="s">
        <v>53</v>
      </c>
      <c r="AE2863" t="s">
        <v>43</v>
      </c>
      <c r="AF2863" t="s">
        <v>44</v>
      </c>
      <c r="AG2863" t="str">
        <f t="shared" si="47"/>
        <v>À Vista</v>
      </c>
      <c r="AH2863" t="str">
        <f>IF(AND(SUMIF(E:E,E2863,I:I)&gt;=400000,Q2863="B2G"),"n","")</f>
        <v/>
      </c>
    </row>
    <row r="2864" spans="1:34">
      <c r="A2864">
        <v>2026</v>
      </c>
      <c r="B2864">
        <v>3</v>
      </c>
      <c r="C2864" s="83">
        <v>43388984860</v>
      </c>
      <c r="D2864" t="s">
        <v>2572</v>
      </c>
      <c r="E2864">
        <v>58155752981</v>
      </c>
      <c r="F2864">
        <v>634853</v>
      </c>
      <c r="G2864">
        <v>53383561042</v>
      </c>
      <c r="H2864" t="s">
        <v>35</v>
      </c>
      <c r="I2864" s="36">
        <v>681.6</v>
      </c>
      <c r="J2864" s="36">
        <v>987.96</v>
      </c>
      <c r="K2864" s="85">
        <v>0</v>
      </c>
      <c r="L2864" s="36">
        <v>82.33</v>
      </c>
      <c r="M2864" s="36">
        <v>0</v>
      </c>
      <c r="N2864" s="36">
        <v>82.33</v>
      </c>
      <c r="O2864" s="36">
        <v>0</v>
      </c>
      <c r="P2864" t="s">
        <v>520</v>
      </c>
      <c r="Q2864" t="s">
        <v>191</v>
      </c>
      <c r="R2864" t="s">
        <v>191</v>
      </c>
      <c r="S2864" s="1">
        <v>46101</v>
      </c>
      <c r="T2864" s="1">
        <v>46101</v>
      </c>
      <c r="U2864" s="1">
        <v>46351</v>
      </c>
      <c r="V2864" s="1">
        <v>46351</v>
      </c>
      <c r="W2864" t="s">
        <v>38</v>
      </c>
      <c r="X2864">
        <v>8</v>
      </c>
      <c r="Y2864" t="s">
        <v>49</v>
      </c>
      <c r="Z2864" t="s">
        <v>324</v>
      </c>
      <c r="AA2864" t="s">
        <v>112</v>
      </c>
      <c r="AB2864">
        <v>8</v>
      </c>
      <c r="AC2864" t="s">
        <v>192</v>
      </c>
      <c r="AD2864" t="s">
        <v>550</v>
      </c>
      <c r="AE2864" t="s">
        <v>363</v>
      </c>
      <c r="AF2864" t="s">
        <v>59</v>
      </c>
      <c r="AG2864" t="str">
        <f t="shared" si="47"/>
        <v>CC 12x</v>
      </c>
      <c r="AH2864" t="str">
        <f>IF(AND(SUMIF(E:E,E2864,I:I)&gt;=400000,Q2864="B2G"),"n","")</f>
        <v/>
      </c>
    </row>
    <row r="2865" spans="1:34">
      <c r="A2865">
        <v>2026</v>
      </c>
      <c r="B2865">
        <v>3</v>
      </c>
      <c r="C2865" s="83">
        <v>43460353947</v>
      </c>
      <c r="D2865" t="s">
        <v>2573</v>
      </c>
      <c r="E2865">
        <v>57017230342</v>
      </c>
      <c r="F2865">
        <v>636347</v>
      </c>
      <c r="G2865">
        <v>52704158281</v>
      </c>
      <c r="H2865" t="s">
        <v>35</v>
      </c>
      <c r="I2865" s="36">
        <v>5034</v>
      </c>
      <c r="J2865" s="36">
        <v>5034</v>
      </c>
      <c r="K2865" s="85">
        <v>0</v>
      </c>
      <c r="L2865" s="36">
        <v>419.5</v>
      </c>
      <c r="M2865" s="36">
        <v>419.5</v>
      </c>
      <c r="N2865" s="36">
        <v>0</v>
      </c>
      <c r="O2865" s="36">
        <v>0</v>
      </c>
      <c r="P2865" t="s">
        <v>348</v>
      </c>
      <c r="Q2865" t="s">
        <v>349</v>
      </c>
      <c r="R2865" t="s">
        <v>349</v>
      </c>
      <c r="S2865" s="1">
        <v>46084</v>
      </c>
      <c r="T2865" s="1">
        <v>46084</v>
      </c>
      <c r="U2865" s="1"/>
      <c r="V2865" s="1">
        <v>46449</v>
      </c>
      <c r="W2865" t="s">
        <v>38</v>
      </c>
      <c r="X2865">
        <v>12</v>
      </c>
      <c r="Y2865" t="s">
        <v>49</v>
      </c>
      <c r="AA2865" t="s">
        <v>122</v>
      </c>
      <c r="AB2865">
        <v>12</v>
      </c>
      <c r="AC2865" t="s">
        <v>350</v>
      </c>
      <c r="AD2865" t="s">
        <v>84</v>
      </c>
      <c r="AE2865" t="s">
        <v>43</v>
      </c>
      <c r="AF2865" t="s">
        <v>44</v>
      </c>
      <c r="AG2865" t="str">
        <f t="shared" si="47"/>
        <v>Recorrente</v>
      </c>
      <c r="AH2865" t="str">
        <f>IF(AND(SUMIF(E:E,E2865,I:I)&gt;=400000,Q2865="B2G"),"n","")</f>
        <v/>
      </c>
    </row>
    <row r="2866" spans="1:34">
      <c r="A2866">
        <v>2026</v>
      </c>
      <c r="B2866">
        <v>3</v>
      </c>
      <c r="C2866" s="83">
        <v>43460353947</v>
      </c>
      <c r="D2866" t="s">
        <v>2573</v>
      </c>
      <c r="E2866">
        <v>57833577015</v>
      </c>
      <c r="F2866">
        <v>636347</v>
      </c>
      <c r="G2866">
        <v>53072586844</v>
      </c>
      <c r="H2866" t="s">
        <v>35</v>
      </c>
      <c r="I2866" s="36">
        <v>1298.28</v>
      </c>
      <c r="J2866" s="36">
        <v>1320.96</v>
      </c>
      <c r="K2866" s="85">
        <v>0</v>
      </c>
      <c r="L2866" s="36">
        <v>110.08</v>
      </c>
      <c r="M2866" s="36">
        <v>0</v>
      </c>
      <c r="N2866" s="36">
        <v>110.08</v>
      </c>
      <c r="O2866" s="36">
        <v>0</v>
      </c>
      <c r="P2866" t="s">
        <v>348</v>
      </c>
      <c r="Q2866" t="s">
        <v>349</v>
      </c>
      <c r="R2866" t="s">
        <v>349</v>
      </c>
      <c r="S2866" s="1">
        <v>46090</v>
      </c>
      <c r="T2866" s="1">
        <v>46090</v>
      </c>
      <c r="U2866" s="1">
        <v>46449</v>
      </c>
      <c r="V2866" s="1">
        <v>46449</v>
      </c>
      <c r="W2866" t="s">
        <v>38</v>
      </c>
      <c r="X2866">
        <v>12</v>
      </c>
      <c r="Y2866" t="s">
        <v>49</v>
      </c>
      <c r="Z2866" t="s">
        <v>324</v>
      </c>
      <c r="AA2866" t="s">
        <v>122</v>
      </c>
      <c r="AB2866">
        <v>11</v>
      </c>
      <c r="AC2866" t="s">
        <v>350</v>
      </c>
      <c r="AD2866" t="s">
        <v>149</v>
      </c>
      <c r="AE2866" t="s">
        <v>43</v>
      </c>
      <c r="AF2866" t="s">
        <v>96</v>
      </c>
      <c r="AG2866" t="str">
        <f t="shared" si="47"/>
        <v>Recorrente</v>
      </c>
      <c r="AH2866" t="str">
        <f>IF(AND(SUMIF(E:E,E2866,I:I)&gt;=400000,Q2866="B2G"),"n","")</f>
        <v/>
      </c>
    </row>
    <row r="2867" spans="1:34">
      <c r="A2867">
        <v>2026</v>
      </c>
      <c r="B2867">
        <v>3</v>
      </c>
      <c r="C2867" s="83">
        <v>43715645022</v>
      </c>
      <c r="D2867" t="s">
        <v>2574</v>
      </c>
      <c r="E2867">
        <v>57823851341</v>
      </c>
      <c r="F2867">
        <v>636409</v>
      </c>
      <c r="G2867">
        <v>53067136697</v>
      </c>
      <c r="H2867" t="s">
        <v>35</v>
      </c>
      <c r="I2867" s="36">
        <v>5514</v>
      </c>
      <c r="J2867" s="36">
        <v>5514</v>
      </c>
      <c r="K2867" s="85">
        <v>0</v>
      </c>
      <c r="L2867" s="36">
        <v>459.5</v>
      </c>
      <c r="M2867" s="36">
        <v>459.5</v>
      </c>
      <c r="N2867" s="36">
        <v>0</v>
      </c>
      <c r="O2867" s="36">
        <v>0</v>
      </c>
      <c r="P2867" t="s">
        <v>497</v>
      </c>
      <c r="Q2867" t="s">
        <v>498</v>
      </c>
      <c r="R2867" t="s">
        <v>498</v>
      </c>
      <c r="S2867" s="1">
        <v>46090</v>
      </c>
      <c r="T2867" s="1">
        <v>46090</v>
      </c>
      <c r="U2867" s="1"/>
      <c r="V2867" s="1">
        <v>46455</v>
      </c>
      <c r="W2867" t="s">
        <v>38</v>
      </c>
      <c r="X2867">
        <v>12</v>
      </c>
      <c r="Y2867" t="s">
        <v>49</v>
      </c>
      <c r="AA2867" t="s">
        <v>112</v>
      </c>
      <c r="AB2867">
        <v>12</v>
      </c>
      <c r="AC2867" t="s">
        <v>499</v>
      </c>
      <c r="AD2867" t="s">
        <v>138</v>
      </c>
      <c r="AE2867" t="s">
        <v>135</v>
      </c>
      <c r="AF2867" t="s">
        <v>119</v>
      </c>
      <c r="AG2867" t="str">
        <f t="shared" si="47"/>
        <v>CC 12x</v>
      </c>
      <c r="AH2867" t="str">
        <f>IF(AND(SUMIF(E:E,E2867,I:I)&gt;=400000,Q2867="B2G"),"n","")</f>
        <v/>
      </c>
    </row>
    <row r="2868" spans="1:34">
      <c r="A2868">
        <v>2026</v>
      </c>
      <c r="B2868">
        <v>3</v>
      </c>
      <c r="C2868" s="83">
        <v>43739764246</v>
      </c>
      <c r="D2868" t="s">
        <v>2575</v>
      </c>
      <c r="E2868">
        <v>48143581368</v>
      </c>
      <c r="F2868">
        <v>636451</v>
      </c>
      <c r="G2868">
        <v>53140788642</v>
      </c>
      <c r="H2868" t="s">
        <v>35</v>
      </c>
      <c r="I2868" s="36">
        <v>69660</v>
      </c>
      <c r="J2868" s="36">
        <v>13932</v>
      </c>
      <c r="K2868" s="85">
        <v>55728</v>
      </c>
      <c r="L2868" s="36">
        <v>1161</v>
      </c>
      <c r="M2868" s="36">
        <v>1161</v>
      </c>
      <c r="N2868" s="36">
        <v>0</v>
      </c>
      <c r="O2868" s="36">
        <v>0</v>
      </c>
      <c r="P2868" t="s">
        <v>72</v>
      </c>
      <c r="Q2868" t="s">
        <v>37</v>
      </c>
      <c r="R2868" t="s">
        <v>37</v>
      </c>
      <c r="S2868" s="1">
        <v>46092</v>
      </c>
      <c r="T2868" s="1">
        <v>46092</v>
      </c>
      <c r="U2868" s="1"/>
      <c r="V2868" s="1">
        <v>47945</v>
      </c>
      <c r="W2868" t="s">
        <v>1633</v>
      </c>
      <c r="X2868">
        <v>61</v>
      </c>
      <c r="Y2868" t="s">
        <v>49</v>
      </c>
      <c r="AA2868" t="s">
        <v>40</v>
      </c>
      <c r="AB2868">
        <v>1</v>
      </c>
      <c r="AC2868" t="s">
        <v>41</v>
      </c>
      <c r="AD2868" t="s">
        <v>53</v>
      </c>
      <c r="AE2868" t="s">
        <v>43</v>
      </c>
      <c r="AF2868" t="s">
        <v>44</v>
      </c>
      <c r="AG2868" t="str">
        <f t="shared" si="47"/>
        <v>À Vista</v>
      </c>
      <c r="AH2868" t="str">
        <f>IF(AND(SUMIF(E:E,E2868,I:I)&gt;=400000,Q2868="B2G"),"n","")</f>
        <v/>
      </c>
    </row>
    <row r="2869" spans="1:34">
      <c r="A2869">
        <v>2026</v>
      </c>
      <c r="B2869">
        <v>3</v>
      </c>
      <c r="C2869" s="83">
        <v>43739957607</v>
      </c>
      <c r="D2869" t="s">
        <v>2576</v>
      </c>
      <c r="E2869">
        <v>57991678899</v>
      </c>
      <c r="F2869">
        <v>634516</v>
      </c>
      <c r="G2869">
        <v>53747185566</v>
      </c>
      <c r="H2869" t="s">
        <v>35</v>
      </c>
      <c r="I2869" s="36">
        <v>3036.84</v>
      </c>
      <c r="J2869" s="36">
        <v>3689.64</v>
      </c>
      <c r="K2869" s="85">
        <v>0</v>
      </c>
      <c r="L2869" s="36">
        <v>307.47000000000003</v>
      </c>
      <c r="M2869" s="36">
        <v>0</v>
      </c>
      <c r="N2869" s="36">
        <v>307.47000000000003</v>
      </c>
      <c r="O2869" s="36">
        <v>0</v>
      </c>
      <c r="P2869" t="s">
        <v>190</v>
      </c>
      <c r="Q2869" t="s">
        <v>191</v>
      </c>
      <c r="R2869" t="s">
        <v>191</v>
      </c>
      <c r="S2869" s="1">
        <v>46111</v>
      </c>
      <c r="T2869" s="1">
        <v>46111</v>
      </c>
      <c r="U2869" s="1">
        <v>46331</v>
      </c>
      <c r="V2869" s="1">
        <v>46331</v>
      </c>
      <c r="W2869" t="s">
        <v>38</v>
      </c>
      <c r="X2869">
        <v>8</v>
      </c>
      <c r="Y2869" t="s">
        <v>49</v>
      </c>
      <c r="Z2869" t="s">
        <v>324</v>
      </c>
      <c r="AA2869" t="s">
        <v>92</v>
      </c>
      <c r="AB2869">
        <v>7</v>
      </c>
      <c r="AC2869" t="s">
        <v>192</v>
      </c>
      <c r="AD2869" t="s">
        <v>833</v>
      </c>
      <c r="AE2869" t="s">
        <v>58</v>
      </c>
      <c r="AF2869" t="s">
        <v>59</v>
      </c>
      <c r="AG2869" t="str">
        <f t="shared" si="47"/>
        <v>Recorrente</v>
      </c>
      <c r="AH2869" t="str">
        <f>IF(AND(SUMIF(E:E,E2869,I:I)&gt;=400000,Q2869="B2G"),"n","")</f>
        <v/>
      </c>
    </row>
    <row r="2870" spans="1:34">
      <c r="A2870">
        <v>2026</v>
      </c>
      <c r="B2870">
        <v>3</v>
      </c>
      <c r="C2870" s="83">
        <v>43739957607</v>
      </c>
      <c r="D2870" t="s">
        <v>2576</v>
      </c>
      <c r="E2870">
        <v>57991678899</v>
      </c>
      <c r="F2870">
        <v>634516</v>
      </c>
      <c r="G2870">
        <v>53747185571</v>
      </c>
      <c r="H2870" t="s">
        <v>35</v>
      </c>
      <c r="I2870" s="36">
        <v>1818.72</v>
      </c>
      <c r="J2870" s="36">
        <v>3689.64</v>
      </c>
      <c r="K2870" s="85">
        <v>0</v>
      </c>
      <c r="L2870" s="36">
        <v>307.47000000000003</v>
      </c>
      <c r="M2870" s="36">
        <v>0</v>
      </c>
      <c r="N2870" s="36">
        <v>307.47000000000003</v>
      </c>
      <c r="O2870" s="36">
        <v>0</v>
      </c>
      <c r="P2870" t="s">
        <v>190</v>
      </c>
      <c r="Q2870" t="s">
        <v>191</v>
      </c>
      <c r="R2870" t="s">
        <v>191</v>
      </c>
      <c r="S2870" s="1">
        <v>46111</v>
      </c>
      <c r="T2870" s="1">
        <v>46111</v>
      </c>
      <c r="U2870" s="1">
        <v>46331</v>
      </c>
      <c r="V2870" s="1">
        <v>46331</v>
      </c>
      <c r="W2870" t="s">
        <v>38</v>
      </c>
      <c r="X2870">
        <v>8</v>
      </c>
      <c r="Y2870" t="s">
        <v>49</v>
      </c>
      <c r="Z2870" t="s">
        <v>324</v>
      </c>
      <c r="AA2870" t="s">
        <v>92</v>
      </c>
      <c r="AB2870">
        <v>7</v>
      </c>
      <c r="AC2870" t="s">
        <v>192</v>
      </c>
      <c r="AD2870" t="s">
        <v>288</v>
      </c>
      <c r="AE2870" t="s">
        <v>289</v>
      </c>
      <c r="AF2870" t="s">
        <v>59</v>
      </c>
      <c r="AG2870" t="str">
        <f t="shared" si="47"/>
        <v>Recorrente</v>
      </c>
      <c r="AH2870" t="str">
        <f>IF(AND(SUMIF(E:E,E2870,I:I)&gt;=400000,Q2870="B2G"),"n","")</f>
        <v/>
      </c>
    </row>
    <row r="2871" spans="1:34">
      <c r="A2871">
        <v>2026</v>
      </c>
      <c r="B2871">
        <v>3</v>
      </c>
      <c r="C2871" s="83">
        <v>43739957607</v>
      </c>
      <c r="D2871" t="s">
        <v>2576</v>
      </c>
      <c r="E2871">
        <v>57991678899</v>
      </c>
      <c r="F2871">
        <v>634516</v>
      </c>
      <c r="G2871">
        <v>53747185572</v>
      </c>
      <c r="H2871" t="s">
        <v>35</v>
      </c>
      <c r="I2871" s="36">
        <v>1811.04</v>
      </c>
      <c r="J2871" s="36">
        <v>3689.64</v>
      </c>
      <c r="K2871" s="85">
        <v>0</v>
      </c>
      <c r="L2871" s="36">
        <v>307.47000000000003</v>
      </c>
      <c r="M2871" s="36">
        <v>0</v>
      </c>
      <c r="N2871" s="36">
        <v>307.47000000000003</v>
      </c>
      <c r="O2871" s="36">
        <v>0</v>
      </c>
      <c r="P2871" t="s">
        <v>190</v>
      </c>
      <c r="Q2871" t="s">
        <v>191</v>
      </c>
      <c r="R2871" t="s">
        <v>191</v>
      </c>
      <c r="S2871" s="1">
        <v>46111</v>
      </c>
      <c r="T2871" s="1">
        <v>46111</v>
      </c>
      <c r="U2871" s="1">
        <v>46331</v>
      </c>
      <c r="V2871" s="1">
        <v>46331</v>
      </c>
      <c r="W2871" t="s">
        <v>38</v>
      </c>
      <c r="X2871">
        <v>8</v>
      </c>
      <c r="Y2871" t="s">
        <v>49</v>
      </c>
      <c r="Z2871" t="s">
        <v>324</v>
      </c>
      <c r="AA2871" t="s">
        <v>92</v>
      </c>
      <c r="AB2871">
        <v>7</v>
      </c>
      <c r="AC2871" t="s">
        <v>192</v>
      </c>
      <c r="AD2871" t="s">
        <v>256</v>
      </c>
      <c r="AE2871" t="s">
        <v>257</v>
      </c>
      <c r="AF2871" t="s">
        <v>59</v>
      </c>
      <c r="AG2871" t="str">
        <f t="shared" si="47"/>
        <v>Recorrente</v>
      </c>
      <c r="AH2871" t="str">
        <f>IF(AND(SUMIF(E:E,E2871,I:I)&gt;=400000,Q2871="B2G"),"n","")</f>
        <v/>
      </c>
    </row>
    <row r="2872" spans="1:34">
      <c r="A2872">
        <v>2026</v>
      </c>
      <c r="B2872">
        <v>3</v>
      </c>
      <c r="C2872" s="83">
        <v>44313951158</v>
      </c>
      <c r="D2872" t="s">
        <v>2577</v>
      </c>
      <c r="E2872">
        <v>54438500236</v>
      </c>
      <c r="F2872">
        <v>627298</v>
      </c>
      <c r="G2872">
        <v>49903181181</v>
      </c>
      <c r="H2872" t="s">
        <v>35</v>
      </c>
      <c r="I2872" s="36">
        <v>6354</v>
      </c>
      <c r="J2872" s="36">
        <v>6354</v>
      </c>
      <c r="K2872" s="85">
        <v>0</v>
      </c>
      <c r="L2872" s="36">
        <v>529.5</v>
      </c>
      <c r="M2872" s="36">
        <v>0</v>
      </c>
      <c r="N2872" s="36">
        <v>107.13</v>
      </c>
      <c r="O2872" s="36">
        <v>422.37</v>
      </c>
      <c r="P2872" t="s">
        <v>165</v>
      </c>
      <c r="Q2872" t="s">
        <v>166</v>
      </c>
      <c r="R2872" t="s">
        <v>166</v>
      </c>
      <c r="S2872" s="1">
        <v>46093</v>
      </c>
      <c r="T2872" s="1">
        <v>46093</v>
      </c>
      <c r="U2872" s="1">
        <v>46093</v>
      </c>
      <c r="V2872" s="1">
        <v>46458</v>
      </c>
      <c r="W2872" t="s">
        <v>38</v>
      </c>
      <c r="X2872">
        <v>12</v>
      </c>
      <c r="Y2872" t="s">
        <v>49</v>
      </c>
      <c r="Z2872" t="s">
        <v>81</v>
      </c>
      <c r="AA2872" t="s">
        <v>112</v>
      </c>
      <c r="AB2872">
        <v>2</v>
      </c>
      <c r="AC2872" t="s">
        <v>166</v>
      </c>
      <c r="AD2872" t="s">
        <v>149</v>
      </c>
      <c r="AE2872" t="s">
        <v>43</v>
      </c>
      <c r="AF2872" t="s">
        <v>96</v>
      </c>
      <c r="AG2872" t="str">
        <f t="shared" si="47"/>
        <v>CC 3x</v>
      </c>
      <c r="AH2872" t="str">
        <f>IF(AND(SUMIF(E:E,E2872,I:I)&gt;=400000,Q2872="B2G"),"n","")</f>
        <v/>
      </c>
    </row>
    <row r="2873" spans="1:34">
      <c r="A2873">
        <v>2026</v>
      </c>
      <c r="B2873">
        <v>3</v>
      </c>
      <c r="C2873" s="83">
        <v>44342204547</v>
      </c>
      <c r="D2873" t="s">
        <v>2578</v>
      </c>
      <c r="E2873">
        <v>58065701421</v>
      </c>
      <c r="F2873">
        <v>530053</v>
      </c>
      <c r="G2873">
        <v>53342819623</v>
      </c>
      <c r="H2873" t="s">
        <v>35</v>
      </c>
      <c r="I2873" s="36">
        <v>4450.4399999999996</v>
      </c>
      <c r="J2873" s="36">
        <v>4450.4399999999996</v>
      </c>
      <c r="K2873" s="85">
        <v>0</v>
      </c>
      <c r="L2873" s="36">
        <v>370.87</v>
      </c>
      <c r="M2873" s="36">
        <v>0</v>
      </c>
      <c r="N2873" s="36">
        <v>122.12</v>
      </c>
      <c r="O2873" s="36">
        <v>248.755</v>
      </c>
      <c r="P2873" t="s">
        <v>110</v>
      </c>
      <c r="Q2873" t="s">
        <v>111</v>
      </c>
      <c r="R2873" t="s">
        <v>111</v>
      </c>
      <c r="S2873" s="1">
        <v>46099</v>
      </c>
      <c r="T2873" s="1">
        <v>46099</v>
      </c>
      <c r="U2873" s="1">
        <v>46097</v>
      </c>
      <c r="V2873" s="1">
        <v>46464</v>
      </c>
      <c r="W2873" t="s">
        <v>38</v>
      </c>
      <c r="X2873">
        <v>12</v>
      </c>
      <c r="Y2873" t="s">
        <v>49</v>
      </c>
      <c r="Z2873" t="s">
        <v>81</v>
      </c>
      <c r="AA2873" t="s">
        <v>112</v>
      </c>
      <c r="AB2873">
        <v>12</v>
      </c>
      <c r="AC2873" t="s">
        <v>113</v>
      </c>
      <c r="AD2873" t="s">
        <v>125</v>
      </c>
      <c r="AE2873" t="s">
        <v>43</v>
      </c>
      <c r="AF2873" t="s">
        <v>47</v>
      </c>
      <c r="AG2873" t="str">
        <f t="shared" si="47"/>
        <v>CC 12x</v>
      </c>
      <c r="AH2873" t="str">
        <f>IF(AND(SUMIF(E:E,E2873,I:I)&gt;=400000,Q2873="B2G"),"n","")</f>
        <v/>
      </c>
    </row>
    <row r="2874" spans="1:34">
      <c r="A2874">
        <v>2026</v>
      </c>
      <c r="B2874">
        <v>3</v>
      </c>
      <c r="C2874" s="83">
        <v>44342204547</v>
      </c>
      <c r="D2874" t="s">
        <v>2578</v>
      </c>
      <c r="E2874">
        <v>58065701421</v>
      </c>
      <c r="F2874">
        <v>530053</v>
      </c>
      <c r="G2874">
        <v>53342819624</v>
      </c>
      <c r="H2874" t="s">
        <v>35</v>
      </c>
      <c r="I2874" s="36">
        <v>4450.4399999999996</v>
      </c>
      <c r="J2874" s="36">
        <v>4450.4399999999996</v>
      </c>
      <c r="K2874" s="85">
        <v>0</v>
      </c>
      <c r="L2874" s="36">
        <v>370.87</v>
      </c>
      <c r="M2874" s="36">
        <v>0</v>
      </c>
      <c r="N2874" s="36">
        <v>122.12</v>
      </c>
      <c r="O2874" s="36">
        <v>248.755</v>
      </c>
      <c r="P2874" t="s">
        <v>110</v>
      </c>
      <c r="Q2874" t="s">
        <v>111</v>
      </c>
      <c r="R2874" t="s">
        <v>111</v>
      </c>
      <c r="S2874" s="1">
        <v>46099</v>
      </c>
      <c r="T2874" s="1">
        <v>46099</v>
      </c>
      <c r="U2874" s="1">
        <v>46097</v>
      </c>
      <c r="V2874" s="1">
        <v>46464</v>
      </c>
      <c r="W2874" t="s">
        <v>38</v>
      </c>
      <c r="X2874">
        <v>12</v>
      </c>
      <c r="Y2874" t="s">
        <v>49</v>
      </c>
      <c r="Z2874" t="s">
        <v>81</v>
      </c>
      <c r="AA2874" t="s">
        <v>112</v>
      </c>
      <c r="AB2874">
        <v>12</v>
      </c>
      <c r="AC2874" t="s">
        <v>113</v>
      </c>
      <c r="AD2874" t="s">
        <v>160</v>
      </c>
      <c r="AE2874" t="s">
        <v>43</v>
      </c>
      <c r="AF2874" t="s">
        <v>44</v>
      </c>
      <c r="AG2874" t="str">
        <f t="shared" si="47"/>
        <v>CC 12x</v>
      </c>
      <c r="AH2874" t="str">
        <f>IF(AND(SUMIF(E:E,E2874,I:I)&gt;=400000,Q2874="B2G"),"n","")</f>
        <v/>
      </c>
    </row>
    <row r="2875" spans="1:34">
      <c r="A2875">
        <v>2026</v>
      </c>
      <c r="B2875">
        <v>3</v>
      </c>
      <c r="C2875" s="83">
        <v>44534530845</v>
      </c>
      <c r="D2875" t="s">
        <v>2579</v>
      </c>
      <c r="E2875">
        <v>57861455996</v>
      </c>
      <c r="F2875">
        <v>634681</v>
      </c>
      <c r="G2875">
        <v>53090695035</v>
      </c>
      <c r="H2875" t="s">
        <v>35</v>
      </c>
      <c r="I2875" s="36">
        <v>1471.56</v>
      </c>
      <c r="J2875" s="36">
        <v>2158.6799999999998</v>
      </c>
      <c r="K2875" s="85">
        <v>0</v>
      </c>
      <c r="L2875" s="36">
        <v>179.89</v>
      </c>
      <c r="M2875" s="36">
        <v>0</v>
      </c>
      <c r="N2875" s="36">
        <v>179.89</v>
      </c>
      <c r="O2875" s="36">
        <v>0</v>
      </c>
      <c r="P2875" t="s">
        <v>804</v>
      </c>
      <c r="Q2875" t="s">
        <v>191</v>
      </c>
      <c r="R2875" t="s">
        <v>191</v>
      </c>
      <c r="S2875" s="1">
        <v>46091</v>
      </c>
      <c r="T2875" s="1">
        <v>46091</v>
      </c>
      <c r="U2875" s="1">
        <v>46340</v>
      </c>
      <c r="V2875" s="1">
        <v>46340</v>
      </c>
      <c r="W2875" t="s">
        <v>38</v>
      </c>
      <c r="X2875">
        <v>8</v>
      </c>
      <c r="Y2875" t="s">
        <v>49</v>
      </c>
      <c r="Z2875" t="s">
        <v>324</v>
      </c>
      <c r="AA2875" t="s">
        <v>112</v>
      </c>
      <c r="AB2875">
        <v>8</v>
      </c>
      <c r="AC2875" t="s">
        <v>192</v>
      </c>
      <c r="AD2875" t="s">
        <v>84</v>
      </c>
      <c r="AE2875" t="s">
        <v>43</v>
      </c>
      <c r="AF2875" t="s">
        <v>44</v>
      </c>
      <c r="AG2875" t="str">
        <f t="shared" ref="AG2875:AG2938" si="48">IF(IFERROR(SEARCH("Recorrente",AA2875),0)&gt;0,"Recorrente",IF(AB2875=1,"À Vista",IF(AB2875&lt;=3,"CC 3x",IF(AB2875&lt;=12,"CC 12x",IF(AB2875&gt;12,"Recorrente","")))))</f>
        <v>CC 12x</v>
      </c>
      <c r="AH2875" t="str">
        <f>IF(AND(SUMIF(E:E,E2875,I:I)&gt;=400000,Q2875="B2G"),"n","")</f>
        <v/>
      </c>
    </row>
    <row r="2876" spans="1:34">
      <c r="A2876">
        <v>2026</v>
      </c>
      <c r="B2876">
        <v>3</v>
      </c>
      <c r="C2876" s="83">
        <v>45977868619</v>
      </c>
      <c r="D2876" t="s">
        <v>2580</v>
      </c>
      <c r="E2876">
        <v>51495821206</v>
      </c>
      <c r="F2876">
        <v>636899</v>
      </c>
      <c r="G2876">
        <v>53971380117</v>
      </c>
      <c r="H2876" t="s">
        <v>35</v>
      </c>
      <c r="I2876" s="36">
        <v>12600</v>
      </c>
      <c r="J2876" s="36">
        <v>12600</v>
      </c>
      <c r="K2876" s="85">
        <v>0</v>
      </c>
      <c r="L2876" s="36">
        <v>1050</v>
      </c>
      <c r="M2876" s="36">
        <v>1050</v>
      </c>
      <c r="N2876" s="36">
        <v>0</v>
      </c>
      <c r="O2876" s="36">
        <v>0</v>
      </c>
      <c r="P2876" t="s">
        <v>668</v>
      </c>
      <c r="Q2876" t="s">
        <v>91</v>
      </c>
      <c r="R2876" t="s">
        <v>91</v>
      </c>
      <c r="S2876" s="1">
        <v>46112</v>
      </c>
      <c r="T2876" s="1">
        <v>46112</v>
      </c>
      <c r="U2876" s="1"/>
      <c r="V2876" s="1">
        <v>46483</v>
      </c>
      <c r="W2876" t="s">
        <v>38</v>
      </c>
      <c r="X2876">
        <v>13</v>
      </c>
      <c r="Y2876" t="s">
        <v>49</v>
      </c>
      <c r="AA2876" t="s">
        <v>92</v>
      </c>
      <c r="AB2876">
        <v>12</v>
      </c>
      <c r="AC2876" t="s">
        <v>93</v>
      </c>
      <c r="AD2876" t="s">
        <v>351</v>
      </c>
      <c r="AE2876" t="s">
        <v>95</v>
      </c>
      <c r="AF2876" t="s">
        <v>96</v>
      </c>
      <c r="AG2876" t="str">
        <f t="shared" si="48"/>
        <v>Recorrente</v>
      </c>
      <c r="AH2876" t="str">
        <f>IF(AND(SUMIF(E:E,E2876,I:I)&gt;=400000,Q2876="B2G"),"n","")</f>
        <v/>
      </c>
    </row>
    <row r="2877" spans="1:34">
      <c r="A2877">
        <v>2026</v>
      </c>
      <c r="B2877">
        <v>3</v>
      </c>
      <c r="C2877" s="83">
        <v>45977868619</v>
      </c>
      <c r="D2877" t="s">
        <v>2580</v>
      </c>
      <c r="E2877">
        <v>51495821206</v>
      </c>
      <c r="F2877">
        <v>636899</v>
      </c>
      <c r="G2877">
        <v>53971380118</v>
      </c>
      <c r="H2877" t="s">
        <v>673</v>
      </c>
      <c r="I2877" s="36">
        <v>4800</v>
      </c>
      <c r="J2877" s="36">
        <v>0</v>
      </c>
      <c r="K2877" s="85">
        <v>0</v>
      </c>
      <c r="L2877" s="36">
        <v>0</v>
      </c>
      <c r="M2877" s="36">
        <v>0</v>
      </c>
      <c r="N2877" s="36">
        <v>0</v>
      </c>
      <c r="O2877" s="36">
        <v>0</v>
      </c>
      <c r="P2877" t="s">
        <v>668</v>
      </c>
      <c r="Q2877" t="s">
        <v>91</v>
      </c>
      <c r="R2877" t="s">
        <v>91</v>
      </c>
      <c r="S2877" s="1">
        <v>46112</v>
      </c>
      <c r="T2877" s="1">
        <v>46112</v>
      </c>
      <c r="U2877" s="1"/>
      <c r="V2877" s="1">
        <v>46483</v>
      </c>
      <c r="W2877" t="s">
        <v>38</v>
      </c>
      <c r="X2877">
        <v>13</v>
      </c>
      <c r="Y2877" t="s">
        <v>49</v>
      </c>
      <c r="AA2877" t="s">
        <v>92</v>
      </c>
      <c r="AB2877">
        <v>12</v>
      </c>
      <c r="AC2877" t="s">
        <v>93</v>
      </c>
      <c r="AD2877" t="s">
        <v>2581</v>
      </c>
      <c r="AE2877" t="s">
        <v>106</v>
      </c>
      <c r="AF2877" t="s">
        <v>59</v>
      </c>
      <c r="AG2877" t="str">
        <f t="shared" si="48"/>
        <v>Recorrente</v>
      </c>
      <c r="AH2877" t="str">
        <f>IF(AND(SUMIF(E:E,E2877,I:I)&gt;=400000,Q2877="B2G"),"n","")</f>
        <v/>
      </c>
    </row>
    <row r="2878" spans="1:34">
      <c r="A2878">
        <v>2026</v>
      </c>
      <c r="B2878">
        <v>3</v>
      </c>
      <c r="C2878" s="83">
        <v>46085555072</v>
      </c>
      <c r="D2878" t="s">
        <v>2582</v>
      </c>
      <c r="E2878">
        <v>55955779249</v>
      </c>
      <c r="F2878">
        <v>627367</v>
      </c>
      <c r="G2878">
        <v>51244976985</v>
      </c>
      <c r="H2878" t="s">
        <v>35</v>
      </c>
      <c r="I2878" s="36">
        <v>2874</v>
      </c>
      <c r="J2878" s="36">
        <v>2874</v>
      </c>
      <c r="K2878" s="85">
        <v>0</v>
      </c>
      <c r="L2878" s="36">
        <v>239.5</v>
      </c>
      <c r="M2878" s="36">
        <v>0</v>
      </c>
      <c r="N2878" s="36">
        <v>36.35</v>
      </c>
      <c r="O2878" s="36">
        <v>203.15</v>
      </c>
      <c r="P2878" t="s">
        <v>165</v>
      </c>
      <c r="Q2878" t="s">
        <v>166</v>
      </c>
      <c r="R2878" t="s">
        <v>166</v>
      </c>
      <c r="S2878" s="1">
        <v>46094</v>
      </c>
      <c r="T2878" s="1">
        <v>46094</v>
      </c>
      <c r="U2878" s="1">
        <v>46094</v>
      </c>
      <c r="V2878" s="1">
        <v>46459</v>
      </c>
      <c r="W2878" t="s">
        <v>38</v>
      </c>
      <c r="X2878">
        <v>12</v>
      </c>
      <c r="Y2878" t="s">
        <v>49</v>
      </c>
      <c r="Z2878" t="s">
        <v>81</v>
      </c>
      <c r="AA2878" t="s">
        <v>112</v>
      </c>
      <c r="AB2878">
        <v>12</v>
      </c>
      <c r="AC2878" t="s">
        <v>166</v>
      </c>
      <c r="AD2878" t="s">
        <v>118</v>
      </c>
      <c r="AE2878" t="s">
        <v>43</v>
      </c>
      <c r="AF2878" t="s">
        <v>119</v>
      </c>
      <c r="AG2878" t="str">
        <f t="shared" si="48"/>
        <v>CC 12x</v>
      </c>
      <c r="AH2878" t="str">
        <f>IF(AND(SUMIF(E:E,E2878,I:I)&gt;=400000,Q2878="B2G"),"n","")</f>
        <v/>
      </c>
    </row>
    <row r="2879" spans="1:34">
      <c r="A2879">
        <v>2026</v>
      </c>
      <c r="B2879">
        <v>3</v>
      </c>
      <c r="C2879" s="83">
        <v>46734813226</v>
      </c>
      <c r="D2879" t="s">
        <v>2583</v>
      </c>
      <c r="E2879">
        <v>58639593485</v>
      </c>
      <c r="F2879">
        <v>635178</v>
      </c>
      <c r="G2879">
        <v>53808904341</v>
      </c>
      <c r="H2879" t="s">
        <v>35</v>
      </c>
      <c r="I2879" s="36">
        <v>831.84</v>
      </c>
      <c r="J2879" s="36">
        <v>1200.96</v>
      </c>
      <c r="K2879" s="85">
        <v>0</v>
      </c>
      <c r="L2879" s="36">
        <v>100.08</v>
      </c>
      <c r="M2879" s="36">
        <v>0</v>
      </c>
      <c r="N2879" s="36">
        <v>100.08</v>
      </c>
      <c r="O2879" s="36">
        <v>0</v>
      </c>
      <c r="P2879" t="s">
        <v>323</v>
      </c>
      <c r="Q2879" t="s">
        <v>191</v>
      </c>
      <c r="R2879" t="s">
        <v>191</v>
      </c>
      <c r="S2879" s="1">
        <v>46112</v>
      </c>
      <c r="T2879" s="1">
        <v>46112</v>
      </c>
      <c r="U2879" s="1">
        <v>46365</v>
      </c>
      <c r="V2879" s="1">
        <v>46365</v>
      </c>
      <c r="W2879" t="s">
        <v>38</v>
      </c>
      <c r="X2879">
        <v>9</v>
      </c>
      <c r="Y2879" t="s">
        <v>49</v>
      </c>
      <c r="Z2879" t="s">
        <v>324</v>
      </c>
      <c r="AA2879" t="s">
        <v>122</v>
      </c>
      <c r="AB2879">
        <v>8</v>
      </c>
      <c r="AC2879" t="s">
        <v>192</v>
      </c>
      <c r="AD2879" t="s">
        <v>174</v>
      </c>
      <c r="AE2879" t="s">
        <v>43</v>
      </c>
      <c r="AF2879" t="s">
        <v>47</v>
      </c>
      <c r="AG2879" t="str">
        <f t="shared" si="48"/>
        <v>Recorrente</v>
      </c>
      <c r="AH2879" t="str">
        <f>IF(AND(SUMIF(E:E,E2879,I:I)&gt;=400000,Q2879="B2G"),"n","")</f>
        <v/>
      </c>
    </row>
    <row r="2880" spans="1:34">
      <c r="A2880">
        <v>2026</v>
      </c>
      <c r="B2880">
        <v>3</v>
      </c>
      <c r="C2880" s="83">
        <v>47281070345</v>
      </c>
      <c r="D2880" t="s">
        <v>2584</v>
      </c>
      <c r="E2880">
        <v>56561150790</v>
      </c>
      <c r="F2880">
        <v>311063</v>
      </c>
      <c r="G2880">
        <v>52811163961</v>
      </c>
      <c r="H2880" t="s">
        <v>35</v>
      </c>
      <c r="I2880" s="36">
        <v>11011.56</v>
      </c>
      <c r="J2880" s="36">
        <v>11011.56</v>
      </c>
      <c r="K2880" s="85">
        <v>0</v>
      </c>
      <c r="L2880" s="36">
        <v>917.63</v>
      </c>
      <c r="M2880" s="36">
        <v>0</v>
      </c>
      <c r="N2880" s="36">
        <v>26.429494999999999</v>
      </c>
      <c r="O2880" s="36">
        <v>891.2</v>
      </c>
      <c r="P2880" t="s">
        <v>116</v>
      </c>
      <c r="Q2880" t="s">
        <v>111</v>
      </c>
      <c r="R2880" t="s">
        <v>111</v>
      </c>
      <c r="S2880" s="1">
        <v>46086</v>
      </c>
      <c r="T2880" s="1">
        <v>46086</v>
      </c>
      <c r="U2880" s="1">
        <v>46112</v>
      </c>
      <c r="V2880" s="1">
        <v>46477</v>
      </c>
      <c r="W2880" t="s">
        <v>38</v>
      </c>
      <c r="X2880">
        <v>12</v>
      </c>
      <c r="Y2880" t="s">
        <v>49</v>
      </c>
      <c r="Z2880" t="s">
        <v>81</v>
      </c>
      <c r="AA2880" t="s">
        <v>112</v>
      </c>
      <c r="AB2880">
        <v>12</v>
      </c>
      <c r="AC2880" t="s">
        <v>113</v>
      </c>
      <c r="AD2880" t="s">
        <v>154</v>
      </c>
      <c r="AE2880" t="s">
        <v>46</v>
      </c>
      <c r="AF2880" t="s">
        <v>47</v>
      </c>
      <c r="AG2880" t="str">
        <f t="shared" si="48"/>
        <v>CC 12x</v>
      </c>
      <c r="AH2880" t="str">
        <f>IF(AND(SUMIF(E:E,E2880,I:I)&gt;=400000,Q2880="B2G"),"n","")</f>
        <v/>
      </c>
    </row>
    <row r="2881" spans="1:34">
      <c r="A2881">
        <v>2026</v>
      </c>
      <c r="B2881">
        <v>3</v>
      </c>
      <c r="C2881" s="83">
        <v>47547493664</v>
      </c>
      <c r="D2881" t="s">
        <v>2585</v>
      </c>
      <c r="E2881">
        <v>58514115961</v>
      </c>
      <c r="F2881">
        <v>635418</v>
      </c>
      <c r="G2881">
        <v>53664294239</v>
      </c>
      <c r="H2881" t="s">
        <v>35</v>
      </c>
      <c r="I2881" s="36">
        <v>1711.56</v>
      </c>
      <c r="J2881" s="36">
        <v>2281.6799999999998</v>
      </c>
      <c r="K2881" s="85">
        <v>0</v>
      </c>
      <c r="L2881" s="36">
        <v>190.14</v>
      </c>
      <c r="M2881" s="36">
        <v>0</v>
      </c>
      <c r="N2881" s="36">
        <v>190.14</v>
      </c>
      <c r="O2881" s="36">
        <v>0</v>
      </c>
      <c r="P2881" t="s">
        <v>190</v>
      </c>
      <c r="Q2881" t="s">
        <v>191</v>
      </c>
      <c r="R2881" t="s">
        <v>191</v>
      </c>
      <c r="S2881" s="1">
        <v>46108</v>
      </c>
      <c r="T2881" s="1">
        <v>46108</v>
      </c>
      <c r="U2881" s="1">
        <v>46382</v>
      </c>
      <c r="V2881" s="1">
        <v>46382</v>
      </c>
      <c r="W2881" t="s">
        <v>38</v>
      </c>
      <c r="X2881">
        <v>9</v>
      </c>
      <c r="Y2881" t="s">
        <v>49</v>
      </c>
      <c r="Z2881" t="s">
        <v>324</v>
      </c>
      <c r="AA2881" t="s">
        <v>92</v>
      </c>
      <c r="AB2881">
        <v>8</v>
      </c>
      <c r="AC2881" t="s">
        <v>192</v>
      </c>
      <c r="AD2881" t="s">
        <v>174</v>
      </c>
      <c r="AE2881" t="s">
        <v>43</v>
      </c>
      <c r="AF2881" t="s">
        <v>47</v>
      </c>
      <c r="AG2881" t="str">
        <f t="shared" si="48"/>
        <v>Recorrente</v>
      </c>
      <c r="AH2881" t="str">
        <f>IF(AND(SUMIF(E:E,E2881,I:I)&gt;=400000,Q2881="B2G"),"n","")</f>
        <v/>
      </c>
    </row>
    <row r="2882" spans="1:34">
      <c r="A2882">
        <v>2026</v>
      </c>
      <c r="B2882">
        <v>3</v>
      </c>
      <c r="C2882" s="83">
        <v>47547493664</v>
      </c>
      <c r="D2882" t="s">
        <v>2585</v>
      </c>
      <c r="E2882">
        <v>58575851582</v>
      </c>
      <c r="F2882">
        <v>635418</v>
      </c>
      <c r="G2882">
        <v>53747389266</v>
      </c>
      <c r="H2882" t="s">
        <v>35</v>
      </c>
      <c r="I2882" s="36">
        <v>1065.24</v>
      </c>
      <c r="J2882" s="36">
        <v>1441.08</v>
      </c>
      <c r="K2882" s="85">
        <v>0</v>
      </c>
      <c r="L2882" s="36">
        <v>120.09</v>
      </c>
      <c r="M2882" s="36">
        <v>0</v>
      </c>
      <c r="N2882" s="36">
        <v>120.09</v>
      </c>
      <c r="O2882" s="36">
        <v>0</v>
      </c>
      <c r="P2882" t="s">
        <v>190</v>
      </c>
      <c r="Q2882" t="s">
        <v>191</v>
      </c>
      <c r="R2882" t="s">
        <v>191</v>
      </c>
      <c r="S2882" s="1">
        <v>46112</v>
      </c>
      <c r="T2882" s="1">
        <v>46112</v>
      </c>
      <c r="U2882" s="1">
        <v>46382</v>
      </c>
      <c r="V2882" s="1">
        <v>46382</v>
      </c>
      <c r="W2882" t="s">
        <v>38</v>
      </c>
      <c r="X2882">
        <v>9</v>
      </c>
      <c r="Y2882" t="s">
        <v>49</v>
      </c>
      <c r="Z2882" t="s">
        <v>324</v>
      </c>
      <c r="AA2882" t="s">
        <v>92</v>
      </c>
      <c r="AB2882">
        <v>8</v>
      </c>
      <c r="AC2882" t="s">
        <v>192</v>
      </c>
      <c r="AD2882" t="s">
        <v>125</v>
      </c>
      <c r="AE2882" t="s">
        <v>43</v>
      </c>
      <c r="AF2882" t="s">
        <v>47</v>
      </c>
      <c r="AG2882" t="str">
        <f t="shared" si="48"/>
        <v>Recorrente</v>
      </c>
      <c r="AH2882" t="str">
        <f>IF(AND(SUMIF(E:E,E2882,I:I)&gt;=400000,Q2882="B2G"),"n","")</f>
        <v/>
      </c>
    </row>
    <row r="2883" spans="1:34">
      <c r="A2883">
        <v>2026</v>
      </c>
      <c r="B2883">
        <v>3</v>
      </c>
      <c r="C2883" s="83">
        <v>48447045214</v>
      </c>
      <c r="D2883" t="s">
        <v>2586</v>
      </c>
      <c r="E2883">
        <v>57816985134</v>
      </c>
      <c r="F2883">
        <v>636466</v>
      </c>
      <c r="G2883">
        <v>53034562341</v>
      </c>
      <c r="H2883" t="s">
        <v>35</v>
      </c>
      <c r="I2883" s="36">
        <v>5523.84</v>
      </c>
      <c r="J2883" s="36">
        <v>5523.84</v>
      </c>
      <c r="K2883" s="85">
        <v>0</v>
      </c>
      <c r="L2883" s="36">
        <v>460.32</v>
      </c>
      <c r="M2883" s="36">
        <v>460.32</v>
      </c>
      <c r="N2883" s="36">
        <v>0</v>
      </c>
      <c r="O2883" s="36">
        <v>0</v>
      </c>
      <c r="P2883" t="s">
        <v>506</v>
      </c>
      <c r="Q2883" t="s">
        <v>300</v>
      </c>
      <c r="R2883" t="s">
        <v>300</v>
      </c>
      <c r="S2883" s="1">
        <v>46092</v>
      </c>
      <c r="T2883" s="1">
        <v>46092</v>
      </c>
      <c r="V2883" s="1">
        <v>46457</v>
      </c>
      <c r="W2883" t="s">
        <v>38</v>
      </c>
      <c r="X2883">
        <v>12</v>
      </c>
      <c r="Y2883" t="s">
        <v>49</v>
      </c>
      <c r="AA2883" t="s">
        <v>122</v>
      </c>
      <c r="AB2883">
        <v>12</v>
      </c>
      <c r="AC2883" t="s">
        <v>301</v>
      </c>
      <c r="AD2883" t="s">
        <v>85</v>
      </c>
      <c r="AE2883" t="s">
        <v>46</v>
      </c>
      <c r="AF2883" t="s">
        <v>44</v>
      </c>
      <c r="AG2883" t="str">
        <f t="shared" si="48"/>
        <v>Recorrente</v>
      </c>
      <c r="AH2883" t="str">
        <f>IF(AND(SUMIF(E:E,E2883,I:I)&gt;=400000,Q2883="B2G"),"n","")</f>
        <v/>
      </c>
    </row>
    <row r="2884" spans="1:34">
      <c r="A2884">
        <v>2026</v>
      </c>
      <c r="B2884">
        <v>3</v>
      </c>
      <c r="C2884" s="83">
        <v>48918481849</v>
      </c>
      <c r="D2884" t="s">
        <v>2587</v>
      </c>
      <c r="E2884">
        <v>53805485444</v>
      </c>
      <c r="F2884">
        <v>636731</v>
      </c>
      <c r="G2884">
        <v>53666256497</v>
      </c>
      <c r="H2884" t="s">
        <v>35</v>
      </c>
      <c r="I2884" s="36">
        <v>48924</v>
      </c>
      <c r="J2884" s="36">
        <v>16308</v>
      </c>
      <c r="K2884" s="85">
        <v>32616</v>
      </c>
      <c r="L2884" s="36">
        <v>1359</v>
      </c>
      <c r="M2884" s="36">
        <v>1359</v>
      </c>
      <c r="N2884" s="36">
        <v>0</v>
      </c>
      <c r="O2884" s="36">
        <v>0</v>
      </c>
      <c r="P2884" t="s">
        <v>1243</v>
      </c>
      <c r="Q2884" t="s">
        <v>37</v>
      </c>
      <c r="R2884" t="s">
        <v>37</v>
      </c>
      <c r="S2884" s="1">
        <v>46108</v>
      </c>
      <c r="T2884" s="1">
        <v>46108</v>
      </c>
      <c r="V2884" s="1">
        <v>47204</v>
      </c>
      <c r="W2884" t="s">
        <v>102</v>
      </c>
      <c r="X2884">
        <v>36</v>
      </c>
      <c r="Y2884" t="s">
        <v>49</v>
      </c>
      <c r="AA2884" t="s">
        <v>40</v>
      </c>
      <c r="AB2884">
        <v>1</v>
      </c>
      <c r="AC2884" t="s">
        <v>41</v>
      </c>
      <c r="AD2884" t="s">
        <v>54</v>
      </c>
      <c r="AE2884" t="s">
        <v>46</v>
      </c>
      <c r="AF2884" t="s">
        <v>44</v>
      </c>
      <c r="AG2884" t="str">
        <f t="shared" si="48"/>
        <v>À Vista</v>
      </c>
      <c r="AH2884" t="str">
        <f>IF(AND(SUMIF(E:E,E2884,I:I)&gt;=400000,Q2884="B2G"),"n","")</f>
        <v/>
      </c>
    </row>
    <row r="2885" spans="1:34">
      <c r="A2885">
        <v>2026</v>
      </c>
      <c r="B2885">
        <v>3</v>
      </c>
      <c r="C2885" s="83">
        <v>48918481849</v>
      </c>
      <c r="D2885" t="s">
        <v>2587</v>
      </c>
      <c r="E2885">
        <v>53805485444</v>
      </c>
      <c r="F2885">
        <v>636731</v>
      </c>
      <c r="G2885">
        <v>53666256498</v>
      </c>
      <c r="H2885" t="s">
        <v>35</v>
      </c>
      <c r="I2885" s="36">
        <v>71910.720000000001</v>
      </c>
      <c r="J2885" s="36">
        <v>23970.240000000002</v>
      </c>
      <c r="K2885" s="85">
        <v>47940.480000000003</v>
      </c>
      <c r="L2885" s="36">
        <v>1997.52</v>
      </c>
      <c r="M2885" s="36">
        <v>1997.52</v>
      </c>
      <c r="N2885" s="36">
        <v>0</v>
      </c>
      <c r="O2885" s="36">
        <v>0</v>
      </c>
      <c r="P2885" t="s">
        <v>1243</v>
      </c>
      <c r="Q2885" t="s">
        <v>37</v>
      </c>
      <c r="R2885" t="s">
        <v>37</v>
      </c>
      <c r="S2885" s="1">
        <v>46108</v>
      </c>
      <c r="T2885" s="1">
        <v>46108</v>
      </c>
      <c r="U2885" s="1"/>
      <c r="V2885" s="1">
        <v>47204</v>
      </c>
      <c r="W2885" t="s">
        <v>102</v>
      </c>
      <c r="X2885">
        <v>36</v>
      </c>
      <c r="Y2885" t="s">
        <v>49</v>
      </c>
      <c r="AA2885" t="s">
        <v>40</v>
      </c>
      <c r="AB2885">
        <v>1</v>
      </c>
      <c r="AC2885" t="s">
        <v>41</v>
      </c>
      <c r="AD2885" t="s">
        <v>50</v>
      </c>
      <c r="AE2885" t="s">
        <v>51</v>
      </c>
      <c r="AF2885" t="s">
        <v>44</v>
      </c>
      <c r="AG2885" t="str">
        <f t="shared" si="48"/>
        <v>À Vista</v>
      </c>
      <c r="AH2885" t="str">
        <f>IF(AND(SUMIF(E:E,E2885,I:I)&gt;=400000,Q2885="B2G"),"n","")</f>
        <v/>
      </c>
    </row>
    <row r="2886" spans="1:34">
      <c r="A2886">
        <v>2026</v>
      </c>
      <c r="B2886">
        <v>3</v>
      </c>
      <c r="C2886" s="83">
        <v>48918481849</v>
      </c>
      <c r="D2886" t="s">
        <v>2587</v>
      </c>
      <c r="E2886">
        <v>53805485444</v>
      </c>
      <c r="F2886">
        <v>636731</v>
      </c>
      <c r="G2886">
        <v>53666256500</v>
      </c>
      <c r="H2886" t="s">
        <v>35</v>
      </c>
      <c r="I2886" s="36">
        <v>69660</v>
      </c>
      <c r="J2886" s="36">
        <v>23220</v>
      </c>
      <c r="K2886" s="85">
        <v>46440</v>
      </c>
      <c r="L2886" s="36">
        <v>1935</v>
      </c>
      <c r="M2886" s="36">
        <v>1935</v>
      </c>
      <c r="N2886" s="36">
        <v>0</v>
      </c>
      <c r="O2886" s="36">
        <v>0</v>
      </c>
      <c r="P2886" t="s">
        <v>1243</v>
      </c>
      <c r="Q2886" t="s">
        <v>37</v>
      </c>
      <c r="R2886" t="s">
        <v>37</v>
      </c>
      <c r="S2886" s="1">
        <v>46108</v>
      </c>
      <c r="T2886" s="1">
        <v>46108</v>
      </c>
      <c r="V2886" s="1">
        <v>47204</v>
      </c>
      <c r="W2886" t="s">
        <v>102</v>
      </c>
      <c r="X2886">
        <v>36</v>
      </c>
      <c r="Y2886" t="s">
        <v>49</v>
      </c>
      <c r="AA2886" t="s">
        <v>40</v>
      </c>
      <c r="AB2886">
        <v>1</v>
      </c>
      <c r="AC2886" t="s">
        <v>41</v>
      </c>
      <c r="AD2886" t="s">
        <v>53</v>
      </c>
      <c r="AE2886" t="s">
        <v>43</v>
      </c>
      <c r="AF2886" t="s">
        <v>44</v>
      </c>
      <c r="AG2886" t="str">
        <f t="shared" si="48"/>
        <v>À Vista</v>
      </c>
      <c r="AH2886" t="str">
        <f>IF(AND(SUMIF(E:E,E2886,I:I)&gt;=400000,Q2886="B2G"),"n","")</f>
        <v/>
      </c>
    </row>
    <row r="2887" spans="1:34">
      <c r="A2887">
        <v>2026</v>
      </c>
      <c r="B2887">
        <v>3</v>
      </c>
      <c r="C2887" s="83">
        <v>48918481849</v>
      </c>
      <c r="D2887" t="s">
        <v>2587</v>
      </c>
      <c r="E2887">
        <v>53805485444</v>
      </c>
      <c r="F2887">
        <v>636731</v>
      </c>
      <c r="G2887">
        <v>53666256501</v>
      </c>
      <c r="H2887" t="s">
        <v>673</v>
      </c>
      <c r="I2887" s="36">
        <v>10000</v>
      </c>
      <c r="J2887" s="36">
        <v>0</v>
      </c>
      <c r="K2887" s="85">
        <v>0</v>
      </c>
      <c r="L2887" s="36">
        <v>0</v>
      </c>
      <c r="M2887" s="36">
        <v>0</v>
      </c>
      <c r="N2887" s="36">
        <v>0</v>
      </c>
      <c r="O2887" s="36">
        <v>0</v>
      </c>
      <c r="P2887" t="s">
        <v>1243</v>
      </c>
      <c r="Q2887" t="s">
        <v>37</v>
      </c>
      <c r="R2887" t="s">
        <v>37</v>
      </c>
      <c r="S2887" s="1">
        <v>46108</v>
      </c>
      <c r="T2887" s="1">
        <v>46108</v>
      </c>
      <c r="V2887" s="1">
        <v>47204</v>
      </c>
      <c r="W2887" t="s">
        <v>102</v>
      </c>
      <c r="X2887">
        <v>36</v>
      </c>
      <c r="Y2887" t="s">
        <v>49</v>
      </c>
      <c r="AA2887" t="s">
        <v>40</v>
      </c>
      <c r="AB2887">
        <v>1</v>
      </c>
      <c r="AC2887" t="s">
        <v>41</v>
      </c>
      <c r="AD2887" t="s">
        <v>2087</v>
      </c>
      <c r="AE2887" t="s">
        <v>106</v>
      </c>
      <c r="AF2887" t="s">
        <v>59</v>
      </c>
      <c r="AG2887" t="str">
        <f t="shared" si="48"/>
        <v>À Vista</v>
      </c>
      <c r="AH2887" t="str">
        <f>IF(AND(SUMIF(E:E,E2887,I:I)&gt;=400000,Q2887="B2G"),"n","")</f>
        <v/>
      </c>
    </row>
    <row r="2888" spans="1:34">
      <c r="A2888">
        <v>2026</v>
      </c>
      <c r="B2888">
        <v>3</v>
      </c>
      <c r="C2888" s="83">
        <v>48949017503</v>
      </c>
      <c r="D2888" t="s">
        <v>1660</v>
      </c>
      <c r="E2888">
        <v>57958461751</v>
      </c>
      <c r="F2888">
        <v>636510</v>
      </c>
      <c r="G2888">
        <v>53206714795</v>
      </c>
      <c r="H2888" t="s">
        <v>35</v>
      </c>
      <c r="I2888" s="36">
        <v>4944</v>
      </c>
      <c r="J2888" s="36">
        <v>4943.9979000000003</v>
      </c>
      <c r="K2888" s="85">
        <v>2.0999999999999999E-3</v>
      </c>
      <c r="L2888" s="36">
        <v>411.99982499999999</v>
      </c>
      <c r="M2888" s="36">
        <v>411.99982499999999</v>
      </c>
      <c r="N2888" s="36">
        <v>0</v>
      </c>
      <c r="O2888" s="36">
        <v>0</v>
      </c>
      <c r="P2888" t="s">
        <v>90</v>
      </c>
      <c r="Q2888" t="s">
        <v>91</v>
      </c>
      <c r="R2888" t="s">
        <v>91</v>
      </c>
      <c r="S2888" s="1">
        <v>46094</v>
      </c>
      <c r="T2888" s="1">
        <v>46094</v>
      </c>
      <c r="U2888" s="1"/>
      <c r="V2888" s="1">
        <v>46479</v>
      </c>
      <c r="W2888" t="s">
        <v>38</v>
      </c>
      <c r="X2888">
        <v>13</v>
      </c>
      <c r="Y2888" t="s">
        <v>49</v>
      </c>
      <c r="AA2888" t="s">
        <v>92</v>
      </c>
      <c r="AB2888">
        <v>12</v>
      </c>
      <c r="AC2888" t="s">
        <v>93</v>
      </c>
      <c r="AD2888" t="s">
        <v>256</v>
      </c>
      <c r="AE2888" t="s">
        <v>257</v>
      </c>
      <c r="AF2888" t="s">
        <v>59</v>
      </c>
      <c r="AG2888" t="str">
        <f t="shared" si="48"/>
        <v>Recorrente</v>
      </c>
      <c r="AH2888" t="str">
        <f>IF(AND(SUMIF(E:E,E2888,I:I)&gt;=400000,Q2888="B2G"),"n","")</f>
        <v/>
      </c>
    </row>
    <row r="2889" spans="1:34">
      <c r="A2889">
        <v>2026</v>
      </c>
      <c r="B2889">
        <v>3</v>
      </c>
      <c r="C2889" s="83">
        <v>48977791835</v>
      </c>
      <c r="D2889" t="s">
        <v>2588</v>
      </c>
      <c r="E2889">
        <v>58014555452</v>
      </c>
      <c r="F2889">
        <v>636523</v>
      </c>
      <c r="G2889">
        <v>53220749348</v>
      </c>
      <c r="H2889" t="s">
        <v>104</v>
      </c>
      <c r="I2889" s="36">
        <v>718.8</v>
      </c>
      <c r="J2889" s="36">
        <v>718.8</v>
      </c>
      <c r="K2889" s="85">
        <v>0</v>
      </c>
      <c r="L2889" s="36">
        <v>59.9</v>
      </c>
      <c r="M2889" s="36">
        <v>59.9</v>
      </c>
      <c r="N2889" s="36">
        <v>0</v>
      </c>
      <c r="O2889" s="36">
        <v>0</v>
      </c>
      <c r="P2889" t="s">
        <v>497</v>
      </c>
      <c r="Q2889" t="s">
        <v>498</v>
      </c>
      <c r="R2889" t="s">
        <v>498</v>
      </c>
      <c r="S2889" s="1">
        <v>46096</v>
      </c>
      <c r="T2889" s="1">
        <v>46096</v>
      </c>
      <c r="V2889" s="1">
        <v>46461</v>
      </c>
      <c r="W2889" t="s">
        <v>38</v>
      </c>
      <c r="X2889">
        <v>12</v>
      </c>
      <c r="Y2889" t="s">
        <v>49</v>
      </c>
      <c r="AA2889" t="s">
        <v>112</v>
      </c>
      <c r="AB2889">
        <v>12</v>
      </c>
      <c r="AC2889" t="s">
        <v>499</v>
      </c>
      <c r="AD2889" t="s">
        <v>105</v>
      </c>
      <c r="AE2889" t="s">
        <v>106</v>
      </c>
      <c r="AF2889" t="s">
        <v>59</v>
      </c>
      <c r="AG2889" t="str">
        <f t="shared" si="48"/>
        <v>CC 12x</v>
      </c>
      <c r="AH2889" t="str">
        <f>IF(AND(SUMIF(E:E,E2889,I:I)&gt;=400000,Q2889="B2G"),"n","")</f>
        <v/>
      </c>
    </row>
    <row r="2890" spans="1:34">
      <c r="A2890">
        <v>2026</v>
      </c>
      <c r="B2890">
        <v>3</v>
      </c>
      <c r="C2890" s="83">
        <v>49014248499</v>
      </c>
      <c r="D2890" t="s">
        <v>2589</v>
      </c>
      <c r="E2890">
        <v>53890556175</v>
      </c>
      <c r="F2890">
        <v>636437</v>
      </c>
      <c r="G2890">
        <v>53090566708</v>
      </c>
      <c r="H2890" t="s">
        <v>35</v>
      </c>
      <c r="I2890" s="36">
        <v>5436</v>
      </c>
      <c r="J2890" s="36">
        <v>5436</v>
      </c>
      <c r="K2890" s="85">
        <v>0</v>
      </c>
      <c r="L2890" s="36">
        <v>453</v>
      </c>
      <c r="M2890" s="36">
        <v>453</v>
      </c>
      <c r="N2890" s="36">
        <v>0</v>
      </c>
      <c r="O2890" s="36">
        <v>0</v>
      </c>
      <c r="P2890" t="s">
        <v>98</v>
      </c>
      <c r="Q2890" t="s">
        <v>37</v>
      </c>
      <c r="R2890" t="s">
        <v>37</v>
      </c>
      <c r="S2890" s="1">
        <v>46091</v>
      </c>
      <c r="T2890" s="1">
        <v>46091</v>
      </c>
      <c r="U2890" s="1"/>
      <c r="V2890" s="1">
        <v>46476</v>
      </c>
      <c r="W2890" t="s">
        <v>38</v>
      </c>
      <c r="X2890">
        <v>12</v>
      </c>
      <c r="Y2890" t="s">
        <v>49</v>
      </c>
      <c r="AA2890" t="s">
        <v>40</v>
      </c>
      <c r="AB2890">
        <v>1</v>
      </c>
      <c r="AC2890" t="s">
        <v>41</v>
      </c>
      <c r="AD2890" t="s">
        <v>54</v>
      </c>
      <c r="AE2890" t="s">
        <v>46</v>
      </c>
      <c r="AF2890" t="s">
        <v>44</v>
      </c>
      <c r="AG2890" t="str">
        <f t="shared" si="48"/>
        <v>À Vista</v>
      </c>
      <c r="AH2890" t="str">
        <f>IF(AND(SUMIF(E:E,E2890,I:I)&gt;=400000,Q2890="B2G"),"n","")</f>
        <v/>
      </c>
    </row>
    <row r="2891" spans="1:34">
      <c r="A2891">
        <v>2026</v>
      </c>
      <c r="B2891">
        <v>3</v>
      </c>
      <c r="C2891" s="83">
        <v>49014372880</v>
      </c>
      <c r="D2891" t="s">
        <v>2590</v>
      </c>
      <c r="E2891">
        <v>53880925348</v>
      </c>
      <c r="F2891">
        <v>636766</v>
      </c>
      <c r="G2891">
        <v>53746880888</v>
      </c>
      <c r="H2891" t="s">
        <v>35</v>
      </c>
      <c r="I2891" s="36">
        <v>4074</v>
      </c>
      <c r="J2891" s="36">
        <v>4074</v>
      </c>
      <c r="K2891" s="85">
        <v>0</v>
      </c>
      <c r="L2891" s="36">
        <v>339.5</v>
      </c>
      <c r="M2891" s="36">
        <v>339.5</v>
      </c>
      <c r="N2891" s="36">
        <v>0</v>
      </c>
      <c r="O2891" s="36">
        <v>0</v>
      </c>
      <c r="P2891" t="s">
        <v>348</v>
      </c>
      <c r="Q2891" t="s">
        <v>349</v>
      </c>
      <c r="R2891" t="s">
        <v>349</v>
      </c>
      <c r="S2891" s="1">
        <v>46111</v>
      </c>
      <c r="T2891" s="1">
        <v>46111</v>
      </c>
      <c r="U2891" s="1"/>
      <c r="V2891" s="1">
        <v>46476</v>
      </c>
      <c r="W2891" t="s">
        <v>38</v>
      </c>
      <c r="X2891">
        <v>12</v>
      </c>
      <c r="Y2891" t="s">
        <v>49</v>
      </c>
      <c r="AA2891" t="s">
        <v>82</v>
      </c>
      <c r="AB2891">
        <v>1</v>
      </c>
      <c r="AC2891" t="s">
        <v>350</v>
      </c>
      <c r="AD2891" t="s">
        <v>160</v>
      </c>
      <c r="AE2891" t="s">
        <v>43</v>
      </c>
      <c r="AF2891" t="s">
        <v>44</v>
      </c>
      <c r="AG2891" t="str">
        <f t="shared" si="48"/>
        <v>À Vista</v>
      </c>
      <c r="AH2891" t="str">
        <f>IF(AND(SUMIF(E:E,E2891,I:I)&gt;=400000,Q2891="B2G"),"n","")</f>
        <v/>
      </c>
    </row>
    <row r="2892" spans="1:34">
      <c r="A2892">
        <v>2026</v>
      </c>
      <c r="B2892">
        <v>3</v>
      </c>
      <c r="C2892" s="83">
        <v>49014372880</v>
      </c>
      <c r="D2892" t="s">
        <v>2590</v>
      </c>
      <c r="E2892">
        <v>53880925348</v>
      </c>
      <c r="F2892">
        <v>636766</v>
      </c>
      <c r="G2892">
        <v>53746880889</v>
      </c>
      <c r="H2892" t="s">
        <v>35</v>
      </c>
      <c r="I2892" s="36">
        <v>4074</v>
      </c>
      <c r="J2892" s="36">
        <v>4074</v>
      </c>
      <c r="K2892" s="85">
        <v>0</v>
      </c>
      <c r="L2892" s="36">
        <v>339.5</v>
      </c>
      <c r="M2892" s="36">
        <v>339.5</v>
      </c>
      <c r="N2892" s="36">
        <v>0</v>
      </c>
      <c r="O2892" s="36">
        <v>0</v>
      </c>
      <c r="P2892" t="s">
        <v>348</v>
      </c>
      <c r="Q2892" t="s">
        <v>349</v>
      </c>
      <c r="R2892" t="s">
        <v>349</v>
      </c>
      <c r="S2892" s="1">
        <v>46111</v>
      </c>
      <c r="T2892" s="1">
        <v>46111</v>
      </c>
      <c r="V2892" s="1">
        <v>46476</v>
      </c>
      <c r="W2892" t="s">
        <v>38</v>
      </c>
      <c r="X2892">
        <v>12</v>
      </c>
      <c r="Y2892" t="s">
        <v>49</v>
      </c>
      <c r="AA2892" t="s">
        <v>82</v>
      </c>
      <c r="AB2892">
        <v>1</v>
      </c>
      <c r="AC2892" t="s">
        <v>350</v>
      </c>
      <c r="AD2892" t="s">
        <v>114</v>
      </c>
      <c r="AE2892" t="s">
        <v>43</v>
      </c>
      <c r="AF2892" t="s">
        <v>44</v>
      </c>
      <c r="AG2892" t="str">
        <f t="shared" si="48"/>
        <v>À Vista</v>
      </c>
      <c r="AH2892" t="str">
        <f>IF(AND(SUMIF(E:E,E2892,I:I)&gt;=400000,Q2892="B2G"),"n","")</f>
        <v/>
      </c>
    </row>
    <row r="2893" spans="1:34">
      <c r="A2893">
        <v>2026</v>
      </c>
      <c r="B2893">
        <v>3</v>
      </c>
      <c r="C2893" s="83">
        <v>49055937958</v>
      </c>
      <c r="D2893" t="s">
        <v>2591</v>
      </c>
      <c r="E2893">
        <v>53902838630</v>
      </c>
      <c r="F2893">
        <v>636395</v>
      </c>
      <c r="G2893">
        <v>52912683690</v>
      </c>
      <c r="H2893" t="s">
        <v>35</v>
      </c>
      <c r="I2893" s="36">
        <v>6354</v>
      </c>
      <c r="J2893" s="36">
        <v>6354</v>
      </c>
      <c r="K2893" s="85">
        <v>0</v>
      </c>
      <c r="L2893" s="36">
        <v>529.5</v>
      </c>
      <c r="M2893" s="36">
        <v>529.5</v>
      </c>
      <c r="N2893" s="36">
        <v>0</v>
      </c>
      <c r="O2893" s="36">
        <v>0</v>
      </c>
      <c r="P2893" t="s">
        <v>348</v>
      </c>
      <c r="Q2893" t="s">
        <v>349</v>
      </c>
      <c r="R2893" t="s">
        <v>349</v>
      </c>
      <c r="S2893" s="1">
        <v>46087</v>
      </c>
      <c r="T2893" s="1">
        <v>46087</v>
      </c>
      <c r="U2893" s="1"/>
      <c r="V2893" s="1">
        <v>46452</v>
      </c>
      <c r="W2893" t="s">
        <v>38</v>
      </c>
      <c r="X2893">
        <v>12</v>
      </c>
      <c r="Y2893" t="s">
        <v>49</v>
      </c>
      <c r="AA2893" t="s">
        <v>82</v>
      </c>
      <c r="AB2893">
        <v>12</v>
      </c>
      <c r="AC2893" t="s">
        <v>350</v>
      </c>
      <c r="AD2893" t="s">
        <v>158</v>
      </c>
      <c r="AE2893" t="s">
        <v>43</v>
      </c>
      <c r="AF2893" t="s">
        <v>47</v>
      </c>
      <c r="AG2893" t="str">
        <f t="shared" si="48"/>
        <v>CC 12x</v>
      </c>
      <c r="AH2893" t="str">
        <f>IF(AND(SUMIF(E:E,E2893,I:I)&gt;=400000,Q2893="B2G"),"n","")</f>
        <v/>
      </c>
    </row>
    <row r="2894" spans="1:34">
      <c r="A2894">
        <v>2026</v>
      </c>
      <c r="B2894">
        <v>3</v>
      </c>
      <c r="C2894" s="83">
        <v>49055937958</v>
      </c>
      <c r="D2894" t="s">
        <v>2591</v>
      </c>
      <c r="E2894">
        <v>53902838630</v>
      </c>
      <c r="F2894">
        <v>636395</v>
      </c>
      <c r="G2894">
        <v>52912683691</v>
      </c>
      <c r="H2894" t="s">
        <v>35</v>
      </c>
      <c r="I2894" s="36">
        <v>6354</v>
      </c>
      <c r="J2894" s="36">
        <v>6354</v>
      </c>
      <c r="K2894" s="85">
        <v>0</v>
      </c>
      <c r="L2894" s="36">
        <v>529.5</v>
      </c>
      <c r="M2894" s="36">
        <v>529.5</v>
      </c>
      <c r="N2894" s="36">
        <v>0</v>
      </c>
      <c r="O2894" s="36">
        <v>0</v>
      </c>
      <c r="P2894" t="s">
        <v>348</v>
      </c>
      <c r="Q2894" t="s">
        <v>349</v>
      </c>
      <c r="R2894" t="s">
        <v>349</v>
      </c>
      <c r="S2894" s="1">
        <v>46087</v>
      </c>
      <c r="T2894" s="1">
        <v>46087</v>
      </c>
      <c r="U2894" s="1"/>
      <c r="V2894" s="1">
        <v>46452</v>
      </c>
      <c r="W2894" t="s">
        <v>38</v>
      </c>
      <c r="X2894">
        <v>12</v>
      </c>
      <c r="Y2894" t="s">
        <v>49</v>
      </c>
      <c r="AA2894" t="s">
        <v>82</v>
      </c>
      <c r="AB2894">
        <v>12</v>
      </c>
      <c r="AC2894" t="s">
        <v>350</v>
      </c>
      <c r="AD2894" t="s">
        <v>174</v>
      </c>
      <c r="AE2894" t="s">
        <v>43</v>
      </c>
      <c r="AF2894" t="s">
        <v>47</v>
      </c>
      <c r="AG2894" t="str">
        <f t="shared" si="48"/>
        <v>CC 12x</v>
      </c>
      <c r="AH2894" t="str">
        <f>IF(AND(SUMIF(E:E,E2894,I:I)&gt;=400000,Q2894="B2G"),"n","")</f>
        <v/>
      </c>
    </row>
    <row r="2895" spans="1:34">
      <c r="A2895">
        <v>2026</v>
      </c>
      <c r="B2895">
        <v>3</v>
      </c>
      <c r="C2895" s="83">
        <v>49056000115</v>
      </c>
      <c r="D2895" t="s">
        <v>2592</v>
      </c>
      <c r="E2895">
        <v>57830692725</v>
      </c>
      <c r="F2895">
        <v>523413</v>
      </c>
      <c r="G2895">
        <v>53072673900</v>
      </c>
      <c r="H2895" t="s">
        <v>35</v>
      </c>
      <c r="I2895" s="36">
        <v>4406.6400000000003</v>
      </c>
      <c r="J2895" s="36">
        <v>4406.6400000000003</v>
      </c>
      <c r="K2895" s="85">
        <v>0</v>
      </c>
      <c r="L2895" s="36">
        <v>367.22</v>
      </c>
      <c r="M2895" s="36">
        <v>367.22</v>
      </c>
      <c r="N2895" s="36">
        <v>0</v>
      </c>
      <c r="O2895" s="36">
        <v>0</v>
      </c>
      <c r="P2895" t="s">
        <v>116</v>
      </c>
      <c r="Q2895" t="s">
        <v>111</v>
      </c>
      <c r="R2895" t="s">
        <v>111</v>
      </c>
      <c r="S2895" s="1">
        <v>46091</v>
      </c>
      <c r="T2895" s="1">
        <v>46091</v>
      </c>
      <c r="U2895" s="1">
        <v>46004</v>
      </c>
      <c r="V2895" s="1">
        <v>46456</v>
      </c>
      <c r="W2895" t="s">
        <v>38</v>
      </c>
      <c r="X2895">
        <v>15</v>
      </c>
      <c r="Y2895" t="s">
        <v>49</v>
      </c>
      <c r="Z2895" t="s">
        <v>76</v>
      </c>
      <c r="AA2895" t="s">
        <v>122</v>
      </c>
      <c r="AB2895">
        <v>12</v>
      </c>
      <c r="AC2895" t="s">
        <v>113</v>
      </c>
      <c r="AD2895" t="s">
        <v>229</v>
      </c>
      <c r="AE2895" t="s">
        <v>43</v>
      </c>
      <c r="AF2895" t="s">
        <v>96</v>
      </c>
      <c r="AG2895" t="str">
        <f t="shared" si="48"/>
        <v>Recorrente</v>
      </c>
      <c r="AH2895" t="str">
        <f>IF(AND(SUMIF(E:E,E2895,I:I)&gt;=400000,Q2895="B2G"),"n","")</f>
        <v/>
      </c>
    </row>
    <row r="2896" spans="1:34">
      <c r="A2896">
        <v>2026</v>
      </c>
      <c r="B2896">
        <v>3</v>
      </c>
      <c r="C2896" s="83">
        <v>49404756046</v>
      </c>
      <c r="D2896" t="s">
        <v>2593</v>
      </c>
      <c r="E2896">
        <v>54386766608</v>
      </c>
      <c r="F2896">
        <v>636796</v>
      </c>
      <c r="G2896">
        <v>53747393572</v>
      </c>
      <c r="H2896" t="s">
        <v>35</v>
      </c>
      <c r="I2896" s="36">
        <v>5436</v>
      </c>
      <c r="J2896" s="36">
        <v>5436</v>
      </c>
      <c r="K2896" s="85">
        <v>0</v>
      </c>
      <c r="L2896" s="36">
        <v>453</v>
      </c>
      <c r="M2896" s="36">
        <v>453</v>
      </c>
      <c r="N2896" s="36">
        <v>0</v>
      </c>
      <c r="O2896" s="36">
        <v>0</v>
      </c>
      <c r="P2896" t="s">
        <v>75</v>
      </c>
      <c r="Q2896" t="s">
        <v>37</v>
      </c>
      <c r="R2896" t="s">
        <v>37</v>
      </c>
      <c r="S2896" s="1">
        <v>46112</v>
      </c>
      <c r="T2896" s="1">
        <v>46112</v>
      </c>
      <c r="U2896" s="1"/>
      <c r="V2896" s="1">
        <v>46477</v>
      </c>
      <c r="W2896" t="s">
        <v>38</v>
      </c>
      <c r="X2896">
        <v>12</v>
      </c>
      <c r="Y2896" t="s">
        <v>49</v>
      </c>
      <c r="AA2896" t="s">
        <v>40</v>
      </c>
      <c r="AB2896">
        <v>1</v>
      </c>
      <c r="AC2896" t="s">
        <v>41</v>
      </c>
      <c r="AD2896" t="s">
        <v>54</v>
      </c>
      <c r="AE2896" t="s">
        <v>46</v>
      </c>
      <c r="AF2896" t="s">
        <v>44</v>
      </c>
      <c r="AG2896" t="str">
        <f t="shared" si="48"/>
        <v>À Vista</v>
      </c>
      <c r="AH2896" t="str">
        <f>IF(AND(SUMIF(E:E,E2896,I:I)&gt;=400000,Q2896="B2G"),"n","")</f>
        <v/>
      </c>
    </row>
    <row r="2897" spans="1:34">
      <c r="A2897">
        <v>2026</v>
      </c>
      <c r="B2897">
        <v>3</v>
      </c>
      <c r="C2897" s="83">
        <v>49404756046</v>
      </c>
      <c r="D2897" t="s">
        <v>2593</v>
      </c>
      <c r="E2897">
        <v>54386766608</v>
      </c>
      <c r="F2897">
        <v>636796</v>
      </c>
      <c r="G2897">
        <v>53747393573</v>
      </c>
      <c r="H2897" t="s">
        <v>35</v>
      </c>
      <c r="I2897" s="36">
        <v>4644</v>
      </c>
      <c r="J2897" s="36">
        <v>4644</v>
      </c>
      <c r="K2897" s="85">
        <v>0</v>
      </c>
      <c r="L2897" s="36">
        <v>387</v>
      </c>
      <c r="M2897" s="36">
        <v>387</v>
      </c>
      <c r="N2897" s="36">
        <v>0</v>
      </c>
      <c r="O2897" s="36">
        <v>0</v>
      </c>
      <c r="P2897" t="s">
        <v>75</v>
      </c>
      <c r="Q2897" t="s">
        <v>37</v>
      </c>
      <c r="R2897" t="s">
        <v>37</v>
      </c>
      <c r="S2897" s="1">
        <v>46112</v>
      </c>
      <c r="T2897" s="1">
        <v>46112</v>
      </c>
      <c r="U2897" s="1"/>
      <c r="V2897" s="1">
        <v>46477</v>
      </c>
      <c r="W2897" t="s">
        <v>38</v>
      </c>
      <c r="X2897">
        <v>12</v>
      </c>
      <c r="Y2897" t="s">
        <v>49</v>
      </c>
      <c r="AA2897" t="s">
        <v>40</v>
      </c>
      <c r="AB2897">
        <v>1</v>
      </c>
      <c r="AC2897" t="s">
        <v>41</v>
      </c>
      <c r="AD2897" t="s">
        <v>53</v>
      </c>
      <c r="AE2897" t="s">
        <v>43</v>
      </c>
      <c r="AF2897" t="s">
        <v>44</v>
      </c>
      <c r="AG2897" t="str">
        <f t="shared" si="48"/>
        <v>À Vista</v>
      </c>
      <c r="AH2897" t="str">
        <f>IF(AND(SUMIF(E:E,E2897,I:I)&gt;=400000,Q2897="B2G"),"n","")</f>
        <v/>
      </c>
    </row>
    <row r="2898" spans="1:34">
      <c r="A2898">
        <v>2026</v>
      </c>
      <c r="B2898">
        <v>3</v>
      </c>
      <c r="C2898" s="83">
        <v>49485491319</v>
      </c>
      <c r="D2898" t="s">
        <v>777</v>
      </c>
      <c r="E2898">
        <v>57341349211</v>
      </c>
      <c r="F2898">
        <v>635723</v>
      </c>
      <c r="G2898">
        <v>52460843011</v>
      </c>
      <c r="H2898" t="s">
        <v>35</v>
      </c>
      <c r="I2898" s="36">
        <v>1932.6</v>
      </c>
      <c r="J2898" s="36">
        <v>2158.8000000000002</v>
      </c>
      <c r="K2898" s="85">
        <v>0</v>
      </c>
      <c r="L2898" s="36">
        <v>179.9</v>
      </c>
      <c r="M2898" s="36">
        <v>0</v>
      </c>
      <c r="N2898" s="36">
        <v>179.9</v>
      </c>
      <c r="O2898" s="36">
        <v>0</v>
      </c>
      <c r="P2898" t="s">
        <v>804</v>
      </c>
      <c r="Q2898" t="s">
        <v>191</v>
      </c>
      <c r="R2898" t="s">
        <v>191</v>
      </c>
      <c r="S2898" s="1">
        <v>46083</v>
      </c>
      <c r="T2898" s="1">
        <v>46083</v>
      </c>
      <c r="U2898" s="1">
        <v>46410</v>
      </c>
      <c r="V2898" s="1">
        <v>46410</v>
      </c>
      <c r="W2898" t="s">
        <v>38</v>
      </c>
      <c r="X2898">
        <v>10</v>
      </c>
      <c r="Y2898" t="s">
        <v>49</v>
      </c>
      <c r="Z2898" t="s">
        <v>324</v>
      </c>
      <c r="AA2898" t="s">
        <v>112</v>
      </c>
      <c r="AB2898">
        <v>10</v>
      </c>
      <c r="AC2898" t="s">
        <v>192</v>
      </c>
      <c r="AD2898" t="s">
        <v>84</v>
      </c>
      <c r="AE2898" t="s">
        <v>43</v>
      </c>
      <c r="AF2898" t="s">
        <v>44</v>
      </c>
      <c r="AG2898" t="str">
        <f t="shared" si="48"/>
        <v>CC 12x</v>
      </c>
      <c r="AH2898" t="str">
        <f>IF(AND(SUMIF(E:E,E2898,I:I)&gt;=400000,Q2898="B2G"),"n","")</f>
        <v/>
      </c>
    </row>
    <row r="2899" spans="1:34">
      <c r="A2899">
        <v>2026</v>
      </c>
      <c r="B2899">
        <v>3</v>
      </c>
      <c r="C2899" s="83">
        <v>50164824845</v>
      </c>
      <c r="D2899" t="s">
        <v>2594</v>
      </c>
      <c r="E2899">
        <v>57149591873</v>
      </c>
      <c r="F2899">
        <v>636346</v>
      </c>
      <c r="G2899">
        <v>52401626164</v>
      </c>
      <c r="H2899" t="s">
        <v>35</v>
      </c>
      <c r="I2899" s="36">
        <v>4074</v>
      </c>
      <c r="J2899" s="36">
        <v>4074</v>
      </c>
      <c r="K2899" s="85">
        <v>0</v>
      </c>
      <c r="L2899" s="36">
        <v>339.5</v>
      </c>
      <c r="M2899" s="36">
        <v>339.5</v>
      </c>
      <c r="N2899" s="36">
        <v>0</v>
      </c>
      <c r="O2899" s="36">
        <v>0</v>
      </c>
      <c r="P2899" t="s">
        <v>506</v>
      </c>
      <c r="Q2899" t="s">
        <v>300</v>
      </c>
      <c r="R2899" t="s">
        <v>300</v>
      </c>
      <c r="S2899" s="1">
        <v>46084</v>
      </c>
      <c r="T2899" s="1">
        <v>46084</v>
      </c>
      <c r="U2899" s="1"/>
      <c r="V2899" s="1">
        <v>46449</v>
      </c>
      <c r="W2899" t="s">
        <v>38</v>
      </c>
      <c r="X2899">
        <v>12</v>
      </c>
      <c r="Y2899" t="s">
        <v>49</v>
      </c>
      <c r="AA2899" t="s">
        <v>122</v>
      </c>
      <c r="AB2899">
        <v>12</v>
      </c>
      <c r="AC2899" t="s">
        <v>301</v>
      </c>
      <c r="AD2899" t="s">
        <v>160</v>
      </c>
      <c r="AE2899" t="s">
        <v>43</v>
      </c>
      <c r="AF2899" t="s">
        <v>44</v>
      </c>
      <c r="AG2899" t="str">
        <f t="shared" si="48"/>
        <v>Recorrente</v>
      </c>
      <c r="AH2899" t="str">
        <f>IF(AND(SUMIF(E:E,E2899,I:I)&gt;=400000,Q2899="B2G"),"n","")</f>
        <v/>
      </c>
    </row>
    <row r="2900" spans="1:34">
      <c r="A2900">
        <v>2026</v>
      </c>
      <c r="B2900">
        <v>3</v>
      </c>
      <c r="C2900" s="83">
        <v>50164824845</v>
      </c>
      <c r="D2900" t="s">
        <v>2594</v>
      </c>
      <c r="E2900">
        <v>57149591873</v>
      </c>
      <c r="F2900">
        <v>636346</v>
      </c>
      <c r="G2900">
        <v>52401626165</v>
      </c>
      <c r="H2900" t="s">
        <v>35</v>
      </c>
      <c r="I2900" s="36">
        <v>4074</v>
      </c>
      <c r="J2900" s="36">
        <v>4074</v>
      </c>
      <c r="K2900" s="85">
        <v>0</v>
      </c>
      <c r="L2900" s="36">
        <v>339.5</v>
      </c>
      <c r="M2900" s="36">
        <v>339.5</v>
      </c>
      <c r="N2900" s="36">
        <v>0</v>
      </c>
      <c r="O2900" s="36">
        <v>0</v>
      </c>
      <c r="P2900" t="s">
        <v>506</v>
      </c>
      <c r="Q2900" t="s">
        <v>300</v>
      </c>
      <c r="R2900" t="s">
        <v>300</v>
      </c>
      <c r="S2900" s="1">
        <v>46084</v>
      </c>
      <c r="T2900" s="1">
        <v>46084</v>
      </c>
      <c r="V2900" s="1">
        <v>46449</v>
      </c>
      <c r="W2900" t="s">
        <v>38</v>
      </c>
      <c r="X2900">
        <v>12</v>
      </c>
      <c r="Y2900" t="s">
        <v>49</v>
      </c>
      <c r="AA2900" t="s">
        <v>122</v>
      </c>
      <c r="AB2900">
        <v>12</v>
      </c>
      <c r="AC2900" t="s">
        <v>301</v>
      </c>
      <c r="AD2900" t="s">
        <v>114</v>
      </c>
      <c r="AE2900" t="s">
        <v>43</v>
      </c>
      <c r="AF2900" t="s">
        <v>44</v>
      </c>
      <c r="AG2900" t="str">
        <f t="shared" si="48"/>
        <v>Recorrente</v>
      </c>
      <c r="AH2900" t="str">
        <f>IF(AND(SUMIF(E:E,E2900,I:I)&gt;=400000,Q2900="B2G"),"n","")</f>
        <v/>
      </c>
    </row>
    <row r="2901" spans="1:34">
      <c r="A2901">
        <v>2026</v>
      </c>
      <c r="B2901">
        <v>3</v>
      </c>
      <c r="C2901" s="83">
        <v>50593474465</v>
      </c>
      <c r="D2901" t="s">
        <v>1683</v>
      </c>
      <c r="E2901">
        <v>58247945520</v>
      </c>
      <c r="F2901">
        <v>636650</v>
      </c>
      <c r="G2901">
        <v>53455766161</v>
      </c>
      <c r="H2901" t="s">
        <v>35</v>
      </c>
      <c r="I2901" s="36">
        <v>15350.4</v>
      </c>
      <c r="J2901" s="36">
        <v>7675.2</v>
      </c>
      <c r="K2901" s="85">
        <v>7675.2</v>
      </c>
      <c r="L2901" s="36">
        <v>639.6</v>
      </c>
      <c r="M2901" s="36">
        <v>0</v>
      </c>
      <c r="N2901" s="36">
        <v>639.6</v>
      </c>
      <c r="O2901" s="36">
        <v>0</v>
      </c>
      <c r="P2901" t="s">
        <v>520</v>
      </c>
      <c r="Q2901" t="s">
        <v>191</v>
      </c>
      <c r="R2901" t="s">
        <v>191</v>
      </c>
      <c r="S2901" s="1">
        <v>46105</v>
      </c>
      <c r="T2901" s="1">
        <v>46105</v>
      </c>
      <c r="V2901" s="1">
        <v>46836</v>
      </c>
      <c r="W2901" t="s">
        <v>56</v>
      </c>
      <c r="X2901">
        <v>24</v>
      </c>
      <c r="Y2901" t="s">
        <v>49</v>
      </c>
      <c r="AA2901" t="s">
        <v>122</v>
      </c>
      <c r="AB2901">
        <v>24</v>
      </c>
      <c r="AC2901" t="s">
        <v>192</v>
      </c>
      <c r="AD2901" t="s">
        <v>131</v>
      </c>
      <c r="AE2901" t="s">
        <v>46</v>
      </c>
      <c r="AF2901" t="s">
        <v>96</v>
      </c>
      <c r="AG2901" t="str">
        <f t="shared" si="48"/>
        <v>Recorrente</v>
      </c>
      <c r="AH2901" t="str">
        <f>IF(AND(SUMIF(E:E,E2901,I:I)&gt;=400000,Q2901="B2G"),"n","")</f>
        <v/>
      </c>
    </row>
    <row r="2902" spans="1:34">
      <c r="A2902">
        <v>2026</v>
      </c>
      <c r="B2902">
        <v>3</v>
      </c>
      <c r="C2902" s="83">
        <v>50696588892</v>
      </c>
      <c r="D2902" t="s">
        <v>2595</v>
      </c>
      <c r="E2902">
        <v>57043801374</v>
      </c>
      <c r="F2902">
        <v>636832</v>
      </c>
      <c r="G2902">
        <v>53812310353</v>
      </c>
      <c r="H2902" t="s">
        <v>35</v>
      </c>
      <c r="I2902" s="36">
        <v>2730.24</v>
      </c>
      <c r="J2902" s="36">
        <v>2730.3</v>
      </c>
      <c r="K2902" s="85">
        <v>0</v>
      </c>
      <c r="L2902" s="36">
        <v>227.52500000000001</v>
      </c>
      <c r="M2902" s="36">
        <v>227.52500000000001</v>
      </c>
      <c r="N2902" s="36">
        <v>0</v>
      </c>
      <c r="O2902" s="36">
        <v>0</v>
      </c>
      <c r="P2902" t="s">
        <v>129</v>
      </c>
      <c r="Q2902" t="s">
        <v>91</v>
      </c>
      <c r="R2902" t="s">
        <v>91</v>
      </c>
      <c r="S2902" s="1">
        <v>46112</v>
      </c>
      <c r="T2902" s="1">
        <v>46112</v>
      </c>
      <c r="V2902" s="1">
        <v>46487</v>
      </c>
      <c r="W2902" t="s">
        <v>38</v>
      </c>
      <c r="X2902">
        <v>13</v>
      </c>
      <c r="Y2902" t="s">
        <v>49</v>
      </c>
      <c r="AA2902" t="s">
        <v>92</v>
      </c>
      <c r="AB2902">
        <v>12</v>
      </c>
      <c r="AC2902" t="s">
        <v>93</v>
      </c>
      <c r="AD2902" t="s">
        <v>140</v>
      </c>
      <c r="AE2902" t="s">
        <v>46</v>
      </c>
      <c r="AF2902" t="s">
        <v>119</v>
      </c>
      <c r="AG2902" t="str">
        <f t="shared" si="48"/>
        <v>Recorrente</v>
      </c>
      <c r="AH2902" t="str">
        <f>IF(AND(SUMIF(E:E,E2902,I:I)&gt;=400000,Q2902="B2G"),"n","")</f>
        <v/>
      </c>
    </row>
    <row r="2903" spans="1:34">
      <c r="A2903">
        <v>2026</v>
      </c>
      <c r="B2903">
        <v>3</v>
      </c>
      <c r="C2903" s="83">
        <v>51934479520</v>
      </c>
      <c r="D2903" t="s">
        <v>2596</v>
      </c>
      <c r="E2903">
        <v>45109216876</v>
      </c>
      <c r="F2903">
        <v>616040</v>
      </c>
      <c r="G2903">
        <v>53812399878</v>
      </c>
      <c r="H2903" t="s">
        <v>35</v>
      </c>
      <c r="I2903" s="36">
        <v>79728</v>
      </c>
      <c r="J2903" s="36">
        <v>79728</v>
      </c>
      <c r="K2903" s="85">
        <v>0</v>
      </c>
      <c r="L2903" s="36">
        <v>6644</v>
      </c>
      <c r="M2903" s="36">
        <v>0</v>
      </c>
      <c r="N2903" s="36">
        <v>1812</v>
      </c>
      <c r="O2903" s="36">
        <v>4832</v>
      </c>
      <c r="P2903" t="s">
        <v>72</v>
      </c>
      <c r="Q2903" t="s">
        <v>37</v>
      </c>
      <c r="R2903" t="s">
        <v>37</v>
      </c>
      <c r="S2903" s="1">
        <v>46111</v>
      </c>
      <c r="T2903" s="1">
        <v>46111</v>
      </c>
      <c r="U2903" s="1">
        <v>46166</v>
      </c>
      <c r="V2903" s="1">
        <v>46531</v>
      </c>
      <c r="W2903" t="s">
        <v>38</v>
      </c>
      <c r="X2903">
        <v>12</v>
      </c>
      <c r="Y2903" t="s">
        <v>49</v>
      </c>
      <c r="Z2903" t="s">
        <v>81</v>
      </c>
      <c r="AA2903" t="s">
        <v>82</v>
      </c>
      <c r="AB2903">
        <v>1</v>
      </c>
      <c r="AC2903" t="s">
        <v>41</v>
      </c>
      <c r="AD2903" t="s">
        <v>70</v>
      </c>
      <c r="AE2903" t="s">
        <v>43</v>
      </c>
      <c r="AF2903" t="s">
        <v>47</v>
      </c>
      <c r="AG2903" t="str">
        <f t="shared" si="48"/>
        <v>À Vista</v>
      </c>
      <c r="AH2903" t="str">
        <f>IF(AND(SUMIF(E:E,E2903,I:I)&gt;=400000,Q2903="B2G"),"n","")</f>
        <v/>
      </c>
    </row>
    <row r="2904" spans="1:34">
      <c r="A2904">
        <v>2026</v>
      </c>
      <c r="B2904">
        <v>3</v>
      </c>
      <c r="C2904" s="83">
        <v>51934479520</v>
      </c>
      <c r="D2904" t="s">
        <v>2596</v>
      </c>
      <c r="E2904">
        <v>46539659164</v>
      </c>
      <c r="F2904">
        <v>613818</v>
      </c>
      <c r="G2904">
        <v>53747806819</v>
      </c>
      <c r="H2904" t="s">
        <v>35</v>
      </c>
      <c r="I2904" s="36">
        <v>40104</v>
      </c>
      <c r="J2904" s="36">
        <v>40104</v>
      </c>
      <c r="K2904" s="85">
        <v>0</v>
      </c>
      <c r="L2904" s="36">
        <v>3342</v>
      </c>
      <c r="M2904" s="36">
        <v>0</v>
      </c>
      <c r="N2904" s="36">
        <v>1114</v>
      </c>
      <c r="O2904" s="36">
        <v>2228</v>
      </c>
      <c r="P2904" t="s">
        <v>72</v>
      </c>
      <c r="Q2904" t="s">
        <v>37</v>
      </c>
      <c r="R2904" t="s">
        <v>37</v>
      </c>
      <c r="S2904" s="1">
        <v>46111</v>
      </c>
      <c r="T2904" s="1">
        <v>46111</v>
      </c>
      <c r="U2904" s="1">
        <v>46130</v>
      </c>
      <c r="V2904" s="1">
        <v>46495</v>
      </c>
      <c r="W2904" t="s">
        <v>38</v>
      </c>
      <c r="X2904">
        <v>12</v>
      </c>
      <c r="Y2904" t="s">
        <v>49</v>
      </c>
      <c r="Z2904" t="s">
        <v>81</v>
      </c>
      <c r="AA2904" t="s">
        <v>82</v>
      </c>
      <c r="AB2904">
        <v>1</v>
      </c>
      <c r="AC2904" t="s">
        <v>41</v>
      </c>
      <c r="AD2904" t="s">
        <v>100</v>
      </c>
      <c r="AE2904" t="s">
        <v>46</v>
      </c>
      <c r="AF2904" t="s">
        <v>47</v>
      </c>
      <c r="AG2904" t="str">
        <f t="shared" si="48"/>
        <v>À Vista</v>
      </c>
      <c r="AH2904" t="str">
        <f>IF(AND(SUMIF(E:E,E2904,I:I)&gt;=400000,Q2904="B2G"),"n","")</f>
        <v/>
      </c>
    </row>
    <row r="2905" spans="1:34">
      <c r="A2905">
        <v>2026</v>
      </c>
      <c r="B2905">
        <v>3</v>
      </c>
      <c r="C2905" s="83">
        <v>52179229855</v>
      </c>
      <c r="D2905" t="s">
        <v>2597</v>
      </c>
      <c r="E2905">
        <v>57201304742</v>
      </c>
      <c r="F2905">
        <v>636341</v>
      </c>
      <c r="G2905">
        <v>52695032917</v>
      </c>
      <c r="H2905" t="s">
        <v>35</v>
      </c>
      <c r="I2905" s="36">
        <v>2874</v>
      </c>
      <c r="J2905" s="36">
        <v>2874</v>
      </c>
      <c r="K2905" s="85">
        <v>0</v>
      </c>
      <c r="L2905" s="36">
        <v>239.5</v>
      </c>
      <c r="M2905" s="36">
        <v>239.5</v>
      </c>
      <c r="N2905" s="36">
        <v>0</v>
      </c>
      <c r="O2905" s="36">
        <v>0</v>
      </c>
      <c r="P2905" t="s">
        <v>348</v>
      </c>
      <c r="Q2905" t="s">
        <v>349</v>
      </c>
      <c r="R2905" t="s">
        <v>349</v>
      </c>
      <c r="S2905" s="1">
        <v>46084</v>
      </c>
      <c r="T2905" s="1">
        <v>46084</v>
      </c>
      <c r="V2905" s="1">
        <v>46449</v>
      </c>
      <c r="W2905" t="s">
        <v>38</v>
      </c>
      <c r="X2905">
        <v>12</v>
      </c>
      <c r="Y2905" t="s">
        <v>49</v>
      </c>
      <c r="AA2905" t="s">
        <v>112</v>
      </c>
      <c r="AB2905">
        <v>12</v>
      </c>
      <c r="AC2905" t="s">
        <v>350</v>
      </c>
      <c r="AD2905" t="s">
        <v>140</v>
      </c>
      <c r="AE2905" t="s">
        <v>46</v>
      </c>
      <c r="AF2905" t="s">
        <v>119</v>
      </c>
      <c r="AG2905" t="str">
        <f t="shared" si="48"/>
        <v>CC 12x</v>
      </c>
      <c r="AH2905" t="str">
        <f>IF(AND(SUMIF(E:E,E2905,I:I)&gt;=400000,Q2905="B2G"),"n","")</f>
        <v/>
      </c>
    </row>
    <row r="2906" spans="1:34">
      <c r="A2906">
        <v>2026</v>
      </c>
      <c r="B2906">
        <v>3</v>
      </c>
      <c r="C2906" s="83">
        <v>52220304699</v>
      </c>
      <c r="D2906" t="s">
        <v>2598</v>
      </c>
      <c r="E2906">
        <v>57829495177</v>
      </c>
      <c r="F2906">
        <v>636765</v>
      </c>
      <c r="G2906">
        <v>53742262572</v>
      </c>
      <c r="H2906" t="s">
        <v>35</v>
      </c>
      <c r="I2906" s="36">
        <v>34003.800000000003</v>
      </c>
      <c r="J2906" s="36">
        <v>34003.800000000003</v>
      </c>
      <c r="K2906" s="85">
        <v>7.2759600000000004E-12</v>
      </c>
      <c r="L2906" s="36">
        <v>2833.65</v>
      </c>
      <c r="M2906" s="36">
        <v>2833.65</v>
      </c>
      <c r="N2906" s="36">
        <v>0</v>
      </c>
      <c r="O2906" s="36">
        <v>0</v>
      </c>
      <c r="P2906" t="s">
        <v>668</v>
      </c>
      <c r="Q2906" t="s">
        <v>91</v>
      </c>
      <c r="R2906" t="s">
        <v>91</v>
      </c>
      <c r="S2906" s="1">
        <v>46111</v>
      </c>
      <c r="T2906" s="1">
        <v>46111</v>
      </c>
      <c r="V2906" s="1">
        <v>46476</v>
      </c>
      <c r="W2906" t="s">
        <v>38</v>
      </c>
      <c r="X2906">
        <v>12</v>
      </c>
      <c r="Y2906" t="s">
        <v>49</v>
      </c>
      <c r="AA2906" t="s">
        <v>92</v>
      </c>
      <c r="AB2906">
        <v>12</v>
      </c>
      <c r="AC2906" t="s">
        <v>93</v>
      </c>
      <c r="AD2906" t="s">
        <v>351</v>
      </c>
      <c r="AE2906" t="s">
        <v>95</v>
      </c>
      <c r="AF2906" t="s">
        <v>96</v>
      </c>
      <c r="AG2906" t="str">
        <f t="shared" si="48"/>
        <v>Recorrente</v>
      </c>
      <c r="AH2906" t="str">
        <f>IF(AND(SUMIF(E:E,E2906,I:I)&gt;=400000,Q2906="B2G"),"n","")</f>
        <v/>
      </c>
    </row>
    <row r="2907" spans="1:34">
      <c r="A2907">
        <v>2026</v>
      </c>
      <c r="B2907">
        <v>3</v>
      </c>
      <c r="C2907" s="83">
        <v>52247220115</v>
      </c>
      <c r="D2907" t="s">
        <v>2599</v>
      </c>
      <c r="E2907">
        <v>56756961859</v>
      </c>
      <c r="F2907">
        <v>636397</v>
      </c>
      <c r="G2907">
        <v>52915616893</v>
      </c>
      <c r="H2907" t="s">
        <v>35</v>
      </c>
      <c r="I2907" s="36">
        <v>5692.56</v>
      </c>
      <c r="J2907" s="36">
        <v>851.70139370000004</v>
      </c>
      <c r="K2907" s="85">
        <v>4840.8586059999998</v>
      </c>
      <c r="L2907" s="36">
        <v>70.975116139999997</v>
      </c>
      <c r="M2907" s="36">
        <v>0</v>
      </c>
      <c r="N2907" s="36">
        <v>70.975116139999997</v>
      </c>
      <c r="O2907" s="36">
        <v>0</v>
      </c>
      <c r="P2907" t="s">
        <v>520</v>
      </c>
      <c r="Q2907" t="s">
        <v>191</v>
      </c>
      <c r="R2907" t="s">
        <v>191</v>
      </c>
      <c r="S2907" s="1">
        <v>46087</v>
      </c>
      <c r="T2907" s="1">
        <v>46087</v>
      </c>
      <c r="V2907" s="1">
        <v>46818</v>
      </c>
      <c r="W2907" t="s">
        <v>56</v>
      </c>
      <c r="Y2907" t="s">
        <v>549</v>
      </c>
      <c r="AA2907" t="s">
        <v>122</v>
      </c>
      <c r="AB2907">
        <v>24</v>
      </c>
      <c r="AC2907" t="s">
        <v>192</v>
      </c>
      <c r="AD2907" t="s">
        <v>550</v>
      </c>
      <c r="AE2907" t="s">
        <v>363</v>
      </c>
      <c r="AF2907" t="s">
        <v>59</v>
      </c>
      <c r="AG2907" t="str">
        <f t="shared" si="48"/>
        <v>Recorrente</v>
      </c>
      <c r="AH2907" t="str">
        <f>IF(AND(SUMIF(E:E,E2907,I:I)&gt;=400000,Q2907="B2G"),"n","")</f>
        <v/>
      </c>
    </row>
    <row r="2908" spans="1:34">
      <c r="A2908">
        <v>2026</v>
      </c>
      <c r="B2908">
        <v>3</v>
      </c>
      <c r="C2908" s="83">
        <v>52247220115</v>
      </c>
      <c r="D2908" t="s">
        <v>2599</v>
      </c>
      <c r="E2908">
        <v>56756961859</v>
      </c>
      <c r="F2908">
        <v>636397</v>
      </c>
      <c r="G2908">
        <v>52915616894</v>
      </c>
      <c r="H2908" t="s">
        <v>35</v>
      </c>
      <c r="I2908" s="36">
        <v>5692.56</v>
      </c>
      <c r="J2908" s="36">
        <v>851.70139370000004</v>
      </c>
      <c r="K2908" s="85">
        <v>4840.8586059999998</v>
      </c>
      <c r="L2908" s="36">
        <v>70.975116139999997</v>
      </c>
      <c r="M2908" s="36">
        <v>0</v>
      </c>
      <c r="N2908" s="36">
        <v>70.975116139999997</v>
      </c>
      <c r="O2908" s="36">
        <v>0</v>
      </c>
      <c r="P2908" t="s">
        <v>520</v>
      </c>
      <c r="Q2908" t="s">
        <v>191</v>
      </c>
      <c r="R2908" t="s">
        <v>191</v>
      </c>
      <c r="S2908" s="1">
        <v>46087</v>
      </c>
      <c r="T2908" s="1">
        <v>46087</v>
      </c>
      <c r="V2908" s="1">
        <v>46818</v>
      </c>
      <c r="W2908" t="s">
        <v>56</v>
      </c>
      <c r="Y2908" t="s">
        <v>549</v>
      </c>
      <c r="AA2908" t="s">
        <v>122</v>
      </c>
      <c r="AB2908">
        <v>24</v>
      </c>
      <c r="AC2908" t="s">
        <v>192</v>
      </c>
      <c r="AD2908" t="s">
        <v>527</v>
      </c>
      <c r="AE2908" t="s">
        <v>257</v>
      </c>
      <c r="AF2908" t="s">
        <v>59</v>
      </c>
      <c r="AG2908" t="str">
        <f t="shared" si="48"/>
        <v>Recorrente</v>
      </c>
      <c r="AH2908" t="str">
        <f>IF(AND(SUMIF(E:E,E2908,I:I)&gt;=400000,Q2908="B2G"),"n","")</f>
        <v/>
      </c>
    </row>
    <row r="2909" spans="1:34">
      <c r="A2909">
        <v>2026</v>
      </c>
      <c r="B2909">
        <v>3</v>
      </c>
      <c r="C2909" s="83">
        <v>52247220115</v>
      </c>
      <c r="D2909" t="s">
        <v>2599</v>
      </c>
      <c r="E2909">
        <v>56756961859</v>
      </c>
      <c r="F2909">
        <v>636397</v>
      </c>
      <c r="G2909">
        <v>52915616895</v>
      </c>
      <c r="H2909" t="s">
        <v>673</v>
      </c>
      <c r="I2909" s="36">
        <v>6000</v>
      </c>
      <c r="J2909" s="36">
        <v>0</v>
      </c>
      <c r="K2909" s="85">
        <v>0</v>
      </c>
      <c r="L2909" s="36">
        <v>0</v>
      </c>
      <c r="M2909" s="36">
        <v>0</v>
      </c>
      <c r="N2909" s="36">
        <v>0</v>
      </c>
      <c r="O2909" s="36">
        <v>0</v>
      </c>
      <c r="P2909" t="s">
        <v>520</v>
      </c>
      <c r="Q2909" t="s">
        <v>191</v>
      </c>
      <c r="R2909" t="s">
        <v>191</v>
      </c>
      <c r="S2909" s="1">
        <v>46087</v>
      </c>
      <c r="T2909" s="1">
        <v>46087</v>
      </c>
      <c r="V2909" s="1">
        <v>46818</v>
      </c>
      <c r="W2909" t="s">
        <v>56</v>
      </c>
      <c r="Y2909" t="s">
        <v>549</v>
      </c>
      <c r="AA2909" t="s">
        <v>122</v>
      </c>
      <c r="AB2909">
        <v>24</v>
      </c>
      <c r="AC2909" t="s">
        <v>192</v>
      </c>
      <c r="AD2909" t="s">
        <v>674</v>
      </c>
      <c r="AE2909" t="s">
        <v>106</v>
      </c>
      <c r="AF2909" t="s">
        <v>59</v>
      </c>
      <c r="AG2909" t="str">
        <f t="shared" si="48"/>
        <v>Recorrente</v>
      </c>
      <c r="AH2909" t="str">
        <f>IF(AND(SUMIF(E:E,E2909,I:I)&gt;=400000,Q2909="B2G"),"n","")</f>
        <v/>
      </c>
    </row>
    <row r="2910" spans="1:34">
      <c r="A2910">
        <v>2026</v>
      </c>
      <c r="B2910">
        <v>3</v>
      </c>
      <c r="C2910" s="83">
        <v>52247220115</v>
      </c>
      <c r="D2910" t="s">
        <v>2599</v>
      </c>
      <c r="E2910">
        <v>56756961859</v>
      </c>
      <c r="F2910">
        <v>636397</v>
      </c>
      <c r="G2910">
        <v>52915616896</v>
      </c>
      <c r="H2910" t="s">
        <v>35</v>
      </c>
      <c r="I2910" s="36">
        <v>46733.52</v>
      </c>
      <c r="J2910" s="36">
        <v>6992.0402130000002</v>
      </c>
      <c r="K2910" s="85">
        <v>39741.479789999998</v>
      </c>
      <c r="L2910" s="36">
        <v>582.67001770000002</v>
      </c>
      <c r="M2910" s="36">
        <v>0</v>
      </c>
      <c r="N2910" s="36">
        <v>582.67001770000002</v>
      </c>
      <c r="O2910" s="36">
        <v>0</v>
      </c>
      <c r="P2910" t="s">
        <v>520</v>
      </c>
      <c r="Q2910" t="s">
        <v>191</v>
      </c>
      <c r="R2910" t="s">
        <v>191</v>
      </c>
      <c r="S2910" s="1">
        <v>46087</v>
      </c>
      <c r="T2910" s="1">
        <v>46087</v>
      </c>
      <c r="U2910" s="1"/>
      <c r="V2910" s="1">
        <v>46818</v>
      </c>
      <c r="W2910" t="s">
        <v>56</v>
      </c>
      <c r="Y2910" t="s">
        <v>549</v>
      </c>
      <c r="AA2910" t="s">
        <v>122</v>
      </c>
      <c r="AB2910">
        <v>24</v>
      </c>
      <c r="AC2910" t="s">
        <v>192</v>
      </c>
      <c r="AD2910" t="s">
        <v>336</v>
      </c>
      <c r="AE2910" t="s">
        <v>135</v>
      </c>
      <c r="AF2910" t="s">
        <v>47</v>
      </c>
      <c r="AG2910" t="str">
        <f t="shared" si="48"/>
        <v>Recorrente</v>
      </c>
      <c r="AH2910" t="str">
        <f>IF(AND(SUMIF(E:E,E2910,I:I)&gt;=400000,Q2910="B2G"),"n","")</f>
        <v/>
      </c>
    </row>
    <row r="2911" spans="1:34">
      <c r="A2911">
        <v>2026</v>
      </c>
      <c r="B2911">
        <v>3</v>
      </c>
      <c r="C2911" s="83">
        <v>52247220531</v>
      </c>
      <c r="D2911" t="s">
        <v>2600</v>
      </c>
      <c r="E2911">
        <v>57212168238</v>
      </c>
      <c r="F2911">
        <v>636366</v>
      </c>
      <c r="G2911">
        <v>52873092928</v>
      </c>
      <c r="H2911" t="s">
        <v>35</v>
      </c>
      <c r="I2911" s="36">
        <v>7692</v>
      </c>
      <c r="J2911" s="36">
        <v>7692</v>
      </c>
      <c r="K2911" s="85">
        <v>0</v>
      </c>
      <c r="L2911" s="36">
        <v>641</v>
      </c>
      <c r="M2911" s="36">
        <v>641</v>
      </c>
      <c r="N2911" s="36">
        <v>0</v>
      </c>
      <c r="O2911" s="36">
        <v>0</v>
      </c>
      <c r="P2911" t="s">
        <v>1165</v>
      </c>
      <c r="Q2911" t="s">
        <v>37</v>
      </c>
      <c r="R2911" t="s">
        <v>37</v>
      </c>
      <c r="S2911" s="1">
        <v>46086</v>
      </c>
      <c r="T2911" s="1">
        <v>46086</v>
      </c>
      <c r="V2911" s="1">
        <v>46464</v>
      </c>
      <c r="W2911" t="s">
        <v>38</v>
      </c>
      <c r="X2911">
        <v>12</v>
      </c>
      <c r="Y2911" t="s">
        <v>49</v>
      </c>
      <c r="AA2911" t="s">
        <v>40</v>
      </c>
      <c r="AB2911">
        <v>1</v>
      </c>
      <c r="AC2911" t="s">
        <v>41</v>
      </c>
      <c r="AD2911" t="s">
        <v>70</v>
      </c>
      <c r="AE2911" t="s">
        <v>43</v>
      </c>
      <c r="AF2911" t="s">
        <v>47</v>
      </c>
      <c r="AG2911" t="str">
        <f t="shared" si="48"/>
        <v>À Vista</v>
      </c>
      <c r="AH2911" t="str">
        <f>IF(AND(SUMIF(E:E,E2911,I:I)&gt;=400000,Q2911="B2G"),"n","")</f>
        <v/>
      </c>
    </row>
    <row r="2912" spans="1:34">
      <c r="A2912">
        <v>2026</v>
      </c>
      <c r="B2912">
        <v>3</v>
      </c>
      <c r="C2912" s="83">
        <v>52320641698</v>
      </c>
      <c r="D2912" t="s">
        <v>2601</v>
      </c>
      <c r="E2912">
        <v>57344506265</v>
      </c>
      <c r="F2912">
        <v>636401</v>
      </c>
      <c r="G2912">
        <v>52909551249</v>
      </c>
      <c r="H2912" t="s">
        <v>35</v>
      </c>
      <c r="I2912" s="36">
        <v>2874</v>
      </c>
      <c r="J2912" s="36">
        <v>2874</v>
      </c>
      <c r="K2912" s="85">
        <v>0</v>
      </c>
      <c r="L2912" s="36">
        <v>239.5</v>
      </c>
      <c r="M2912" s="36">
        <v>239.5</v>
      </c>
      <c r="N2912" s="36">
        <v>0</v>
      </c>
      <c r="O2912" s="36">
        <v>0</v>
      </c>
      <c r="P2912" t="s">
        <v>348</v>
      </c>
      <c r="Q2912" t="s">
        <v>349</v>
      </c>
      <c r="R2912" t="s">
        <v>349</v>
      </c>
      <c r="S2912" s="1">
        <v>46087</v>
      </c>
      <c r="T2912" s="1">
        <v>46087</v>
      </c>
      <c r="V2912" s="1">
        <v>46456</v>
      </c>
      <c r="W2912" t="s">
        <v>38</v>
      </c>
      <c r="X2912">
        <v>12</v>
      </c>
      <c r="Y2912" t="s">
        <v>49</v>
      </c>
      <c r="AA2912" t="s">
        <v>112</v>
      </c>
      <c r="AB2912">
        <v>12</v>
      </c>
      <c r="AC2912" t="s">
        <v>350</v>
      </c>
      <c r="AD2912" t="s">
        <v>140</v>
      </c>
      <c r="AE2912" t="s">
        <v>46</v>
      </c>
      <c r="AF2912" t="s">
        <v>119</v>
      </c>
      <c r="AG2912" t="str">
        <f t="shared" si="48"/>
        <v>CC 12x</v>
      </c>
      <c r="AH2912" t="str">
        <f>IF(AND(SUMIF(E:E,E2912,I:I)&gt;=400000,Q2912="B2G"),"n","")</f>
        <v/>
      </c>
    </row>
    <row r="2913" spans="1:34">
      <c r="A2913">
        <v>2026</v>
      </c>
      <c r="B2913">
        <v>3</v>
      </c>
      <c r="C2913" s="83">
        <v>52359959589</v>
      </c>
      <c r="D2913" t="s">
        <v>2602</v>
      </c>
      <c r="E2913">
        <v>57402928992</v>
      </c>
      <c r="F2913">
        <v>636350</v>
      </c>
      <c r="G2913">
        <v>52704343386</v>
      </c>
      <c r="H2913" t="s">
        <v>35</v>
      </c>
      <c r="I2913" s="36">
        <v>5469.72</v>
      </c>
      <c r="J2913" s="36">
        <v>5469.7524000000003</v>
      </c>
      <c r="K2913" s="85">
        <v>0</v>
      </c>
      <c r="L2913" s="36">
        <v>455.81270000000001</v>
      </c>
      <c r="M2913" s="36">
        <v>455.81270000000001</v>
      </c>
      <c r="N2913" s="36">
        <v>0</v>
      </c>
      <c r="O2913" s="36">
        <v>0</v>
      </c>
      <c r="P2913" t="s">
        <v>90</v>
      </c>
      <c r="Q2913" t="s">
        <v>91</v>
      </c>
      <c r="R2913" t="s">
        <v>91</v>
      </c>
      <c r="S2913" s="1">
        <v>46084</v>
      </c>
      <c r="T2913" s="1">
        <v>46084</v>
      </c>
      <c r="U2913" s="1"/>
      <c r="V2913" s="1">
        <v>46457</v>
      </c>
      <c r="W2913" t="s">
        <v>38</v>
      </c>
      <c r="X2913">
        <v>12</v>
      </c>
      <c r="Y2913" t="s">
        <v>49</v>
      </c>
      <c r="AA2913" t="s">
        <v>112</v>
      </c>
      <c r="AB2913">
        <v>12</v>
      </c>
      <c r="AC2913" t="s">
        <v>93</v>
      </c>
      <c r="AD2913" t="s">
        <v>85</v>
      </c>
      <c r="AE2913" t="s">
        <v>46</v>
      </c>
      <c r="AF2913" t="s">
        <v>44</v>
      </c>
      <c r="AG2913" t="str">
        <f t="shared" si="48"/>
        <v>CC 12x</v>
      </c>
      <c r="AH2913" t="str">
        <f>IF(AND(SUMIF(E:E,E2913,I:I)&gt;=400000,Q2913="B2G"),"n","")</f>
        <v/>
      </c>
    </row>
    <row r="2914" spans="1:34">
      <c r="A2914">
        <v>2026</v>
      </c>
      <c r="B2914">
        <v>3</v>
      </c>
      <c r="C2914" s="83">
        <v>52360143734</v>
      </c>
      <c r="D2914" t="s">
        <v>2603</v>
      </c>
      <c r="E2914">
        <v>57402968342</v>
      </c>
      <c r="F2914">
        <v>636349</v>
      </c>
      <c r="G2914">
        <v>52704155679</v>
      </c>
      <c r="H2914" t="s">
        <v>35</v>
      </c>
      <c r="I2914" s="36">
        <v>2874</v>
      </c>
      <c r="J2914" s="36">
        <v>2874</v>
      </c>
      <c r="K2914" s="85">
        <v>0</v>
      </c>
      <c r="L2914" s="36">
        <v>239.5</v>
      </c>
      <c r="M2914" s="36">
        <v>239.5</v>
      </c>
      <c r="N2914" s="36">
        <v>0</v>
      </c>
      <c r="O2914" s="36">
        <v>0</v>
      </c>
      <c r="P2914" t="s">
        <v>90</v>
      </c>
      <c r="Q2914" t="s">
        <v>91</v>
      </c>
      <c r="R2914" t="s">
        <v>91</v>
      </c>
      <c r="S2914" s="1">
        <v>46084</v>
      </c>
      <c r="T2914" s="1">
        <v>46084</v>
      </c>
      <c r="V2914" s="1">
        <v>46463</v>
      </c>
      <c r="W2914" t="s">
        <v>38</v>
      </c>
      <c r="X2914">
        <v>12</v>
      </c>
      <c r="Y2914" t="s">
        <v>49</v>
      </c>
      <c r="AA2914" t="s">
        <v>92</v>
      </c>
      <c r="AB2914">
        <v>12</v>
      </c>
      <c r="AC2914" t="s">
        <v>93</v>
      </c>
      <c r="AD2914" t="s">
        <v>140</v>
      </c>
      <c r="AE2914" t="s">
        <v>46</v>
      </c>
      <c r="AF2914" t="s">
        <v>119</v>
      </c>
      <c r="AG2914" t="str">
        <f t="shared" si="48"/>
        <v>Recorrente</v>
      </c>
      <c r="AH2914" t="str">
        <f>IF(AND(SUMIF(E:E,E2914,I:I)&gt;=400000,Q2914="B2G"),"n","")</f>
        <v/>
      </c>
    </row>
    <row r="2915" spans="1:34">
      <c r="A2915">
        <v>2026</v>
      </c>
      <c r="B2915">
        <v>3</v>
      </c>
      <c r="C2915" s="83">
        <v>52450813297</v>
      </c>
      <c r="D2915" t="s">
        <v>2604</v>
      </c>
      <c r="E2915">
        <v>57148183587</v>
      </c>
      <c r="F2915">
        <v>636345</v>
      </c>
      <c r="G2915">
        <v>52697963849</v>
      </c>
      <c r="H2915" t="s">
        <v>35</v>
      </c>
      <c r="I2915" s="36">
        <v>4074</v>
      </c>
      <c r="J2915" s="36">
        <v>4074</v>
      </c>
      <c r="K2915" s="85">
        <v>0</v>
      </c>
      <c r="L2915" s="36">
        <v>339.5</v>
      </c>
      <c r="M2915" s="36">
        <v>339.5</v>
      </c>
      <c r="N2915" s="36">
        <v>0</v>
      </c>
      <c r="O2915" s="36">
        <v>0</v>
      </c>
      <c r="P2915" t="s">
        <v>829</v>
      </c>
      <c r="Q2915" t="s">
        <v>300</v>
      </c>
      <c r="R2915" t="s">
        <v>300</v>
      </c>
      <c r="S2915" s="1">
        <v>46084</v>
      </c>
      <c r="T2915" s="1">
        <v>46084</v>
      </c>
      <c r="U2915" s="1"/>
      <c r="V2915" s="1">
        <v>46449</v>
      </c>
      <c r="W2915" t="s">
        <v>38</v>
      </c>
      <c r="X2915">
        <v>12</v>
      </c>
      <c r="Y2915" t="s">
        <v>49</v>
      </c>
      <c r="AA2915" t="s">
        <v>122</v>
      </c>
      <c r="AB2915">
        <v>12</v>
      </c>
      <c r="AC2915" t="s">
        <v>301</v>
      </c>
      <c r="AD2915" t="s">
        <v>160</v>
      </c>
      <c r="AE2915" t="s">
        <v>43</v>
      </c>
      <c r="AF2915" t="s">
        <v>44</v>
      </c>
      <c r="AG2915" t="str">
        <f t="shared" si="48"/>
        <v>Recorrente</v>
      </c>
      <c r="AH2915" t="str">
        <f>IF(AND(SUMIF(E:E,E2915,I:I)&gt;=400000,Q2915="B2G"),"n","")</f>
        <v/>
      </c>
    </row>
    <row r="2916" spans="1:34">
      <c r="A2916">
        <v>2026</v>
      </c>
      <c r="B2916">
        <v>3</v>
      </c>
      <c r="C2916" s="83">
        <v>52450875463</v>
      </c>
      <c r="D2916" t="s">
        <v>2605</v>
      </c>
      <c r="E2916">
        <v>57939830046</v>
      </c>
      <c r="F2916">
        <v>636492</v>
      </c>
      <c r="G2916">
        <v>53170368545</v>
      </c>
      <c r="H2916" t="s">
        <v>35</v>
      </c>
      <c r="I2916" s="36">
        <v>2874</v>
      </c>
      <c r="J2916" s="36">
        <v>2874</v>
      </c>
      <c r="K2916" s="85">
        <v>0</v>
      </c>
      <c r="L2916" s="36">
        <v>239.5</v>
      </c>
      <c r="M2916" s="36">
        <v>239.5</v>
      </c>
      <c r="N2916" s="36">
        <v>0</v>
      </c>
      <c r="O2916" s="36">
        <v>0</v>
      </c>
      <c r="P2916" t="s">
        <v>90</v>
      </c>
      <c r="Q2916" t="s">
        <v>91</v>
      </c>
      <c r="R2916" t="s">
        <v>91</v>
      </c>
      <c r="S2916" s="1">
        <v>46093</v>
      </c>
      <c r="T2916" s="1">
        <v>46093</v>
      </c>
      <c r="V2916" s="1">
        <v>46476</v>
      </c>
      <c r="W2916" t="s">
        <v>38</v>
      </c>
      <c r="X2916">
        <v>12</v>
      </c>
      <c r="Y2916" t="s">
        <v>49</v>
      </c>
      <c r="AA2916" t="s">
        <v>92</v>
      </c>
      <c r="AB2916">
        <v>12</v>
      </c>
      <c r="AC2916" t="s">
        <v>93</v>
      </c>
      <c r="AD2916" t="s">
        <v>140</v>
      </c>
      <c r="AE2916" t="s">
        <v>46</v>
      </c>
      <c r="AF2916" t="s">
        <v>119</v>
      </c>
      <c r="AG2916" t="str">
        <f t="shared" si="48"/>
        <v>Recorrente</v>
      </c>
      <c r="AH2916" t="str">
        <f>IF(AND(SUMIF(E:E,E2916,I:I)&gt;=400000,Q2916="B2G"),"n","")</f>
        <v/>
      </c>
    </row>
    <row r="2917" spans="1:34">
      <c r="A2917">
        <v>2026</v>
      </c>
      <c r="B2917">
        <v>3</v>
      </c>
      <c r="C2917" s="83">
        <v>52456972384</v>
      </c>
      <c r="D2917" t="s">
        <v>2606</v>
      </c>
      <c r="E2917">
        <v>56696324958</v>
      </c>
      <c r="F2917">
        <v>636364</v>
      </c>
      <c r="G2917">
        <v>52704218715</v>
      </c>
      <c r="H2917" t="s">
        <v>35</v>
      </c>
      <c r="I2917" s="36">
        <v>3666.6</v>
      </c>
      <c r="J2917" s="36">
        <v>3666.6</v>
      </c>
      <c r="K2917" s="85">
        <v>0</v>
      </c>
      <c r="L2917" s="36">
        <v>305.55</v>
      </c>
      <c r="M2917" s="36">
        <v>0</v>
      </c>
      <c r="N2917" s="36">
        <v>305.55</v>
      </c>
      <c r="O2917" s="36">
        <v>0</v>
      </c>
      <c r="P2917" t="s">
        <v>469</v>
      </c>
      <c r="Q2917" t="s">
        <v>191</v>
      </c>
      <c r="R2917" t="s">
        <v>191</v>
      </c>
      <c r="S2917" s="1">
        <v>46086</v>
      </c>
      <c r="T2917" s="1">
        <v>46086</v>
      </c>
      <c r="V2917" s="1">
        <v>46451</v>
      </c>
      <c r="W2917" t="s">
        <v>38</v>
      </c>
      <c r="X2917">
        <v>12</v>
      </c>
      <c r="Y2917" t="s">
        <v>49</v>
      </c>
      <c r="AA2917" t="s">
        <v>122</v>
      </c>
      <c r="AB2917">
        <v>12</v>
      </c>
      <c r="AC2917" t="s">
        <v>192</v>
      </c>
      <c r="AD2917" t="s">
        <v>114</v>
      </c>
      <c r="AE2917" t="s">
        <v>43</v>
      </c>
      <c r="AF2917" t="s">
        <v>44</v>
      </c>
      <c r="AG2917" t="str">
        <f t="shared" si="48"/>
        <v>Recorrente</v>
      </c>
      <c r="AH2917" t="str">
        <f>IF(AND(SUMIF(E:E,E2917,I:I)&gt;=400000,Q2917="B2G"),"n","")</f>
        <v/>
      </c>
    </row>
    <row r="2918" spans="1:34">
      <c r="A2918">
        <v>2026</v>
      </c>
      <c r="B2918">
        <v>3</v>
      </c>
      <c r="C2918" s="83">
        <v>52511204483</v>
      </c>
      <c r="D2918" t="s">
        <v>2607</v>
      </c>
      <c r="E2918">
        <v>57402659747</v>
      </c>
      <c r="F2918">
        <v>636448</v>
      </c>
      <c r="G2918">
        <v>53094496839</v>
      </c>
      <c r="H2918" t="s">
        <v>35</v>
      </c>
      <c r="I2918" s="36">
        <v>2759.04</v>
      </c>
      <c r="J2918" s="36">
        <v>2759.04</v>
      </c>
      <c r="K2918" s="85">
        <v>0</v>
      </c>
      <c r="L2918" s="36">
        <v>229.92</v>
      </c>
      <c r="M2918" s="36">
        <v>229.92</v>
      </c>
      <c r="N2918" s="36">
        <v>0</v>
      </c>
      <c r="O2918" s="36">
        <v>0</v>
      </c>
      <c r="P2918" t="s">
        <v>2004</v>
      </c>
      <c r="Q2918" t="s">
        <v>300</v>
      </c>
      <c r="R2918" t="s">
        <v>300</v>
      </c>
      <c r="S2918" s="1">
        <v>46091</v>
      </c>
      <c r="T2918" s="1">
        <v>46091</v>
      </c>
      <c r="V2918" s="1">
        <v>46456</v>
      </c>
      <c r="W2918" t="s">
        <v>38</v>
      </c>
      <c r="X2918">
        <v>12</v>
      </c>
      <c r="Y2918" t="s">
        <v>49</v>
      </c>
      <c r="AA2918" t="s">
        <v>112</v>
      </c>
      <c r="AB2918">
        <v>12</v>
      </c>
      <c r="AC2918" t="s">
        <v>301</v>
      </c>
      <c r="AD2918" t="s">
        <v>118</v>
      </c>
      <c r="AE2918" t="s">
        <v>43</v>
      </c>
      <c r="AF2918" t="s">
        <v>119</v>
      </c>
      <c r="AG2918" t="str">
        <f t="shared" si="48"/>
        <v>CC 12x</v>
      </c>
      <c r="AH2918" t="str">
        <f>IF(AND(SUMIF(E:E,E2918,I:I)&gt;=400000,Q2918="B2G"),"n","")</f>
        <v/>
      </c>
    </row>
    <row r="2919" spans="1:34">
      <c r="A2919">
        <v>2026</v>
      </c>
      <c r="B2919">
        <v>3</v>
      </c>
      <c r="C2919" s="83">
        <v>52533251073</v>
      </c>
      <c r="D2919" t="s">
        <v>2608</v>
      </c>
      <c r="E2919">
        <v>57502892862</v>
      </c>
      <c r="F2919">
        <v>636354</v>
      </c>
      <c r="G2919">
        <v>52779325766</v>
      </c>
      <c r="H2919" t="s">
        <v>35</v>
      </c>
      <c r="I2919" s="36">
        <v>5754</v>
      </c>
      <c r="J2919" s="36">
        <v>5754</v>
      </c>
      <c r="K2919" s="85">
        <v>0</v>
      </c>
      <c r="L2919" s="36">
        <v>479.5</v>
      </c>
      <c r="M2919" s="36">
        <v>479.5</v>
      </c>
      <c r="N2919" s="36">
        <v>0</v>
      </c>
      <c r="O2919" s="36">
        <v>0</v>
      </c>
      <c r="P2919" t="s">
        <v>497</v>
      </c>
      <c r="Q2919" t="s">
        <v>498</v>
      </c>
      <c r="R2919" t="s">
        <v>498</v>
      </c>
      <c r="S2919" s="1">
        <v>46085</v>
      </c>
      <c r="T2919" s="1">
        <v>46085</v>
      </c>
      <c r="V2919" s="1">
        <v>46450</v>
      </c>
      <c r="W2919" t="s">
        <v>38</v>
      </c>
      <c r="X2919">
        <v>12</v>
      </c>
      <c r="Y2919" t="s">
        <v>49</v>
      </c>
      <c r="AA2919" t="s">
        <v>112</v>
      </c>
      <c r="AB2919">
        <v>12</v>
      </c>
      <c r="AC2919" t="s">
        <v>499</v>
      </c>
      <c r="AD2919" t="s">
        <v>85</v>
      </c>
      <c r="AE2919" t="s">
        <v>46</v>
      </c>
      <c r="AF2919" t="s">
        <v>44</v>
      </c>
      <c r="AG2919" t="str">
        <f t="shared" si="48"/>
        <v>CC 12x</v>
      </c>
      <c r="AH2919" t="str">
        <f>IF(AND(SUMIF(E:E,E2919,I:I)&gt;=400000,Q2919="B2G"),"n","")</f>
        <v/>
      </c>
    </row>
    <row r="2920" spans="1:34">
      <c r="A2920">
        <v>2026</v>
      </c>
      <c r="B2920">
        <v>3</v>
      </c>
      <c r="C2920" s="83">
        <v>52551568491</v>
      </c>
      <c r="D2920" t="s">
        <v>2609</v>
      </c>
      <c r="E2920">
        <v>54317035534</v>
      </c>
      <c r="F2920">
        <v>309047</v>
      </c>
      <c r="G2920">
        <v>52798746740</v>
      </c>
      <c r="H2920" t="s">
        <v>35</v>
      </c>
      <c r="I2920" s="36">
        <v>4315.4399999999996</v>
      </c>
      <c r="J2920" s="36">
        <v>4315.4399999999996</v>
      </c>
      <c r="K2920" s="85">
        <v>0</v>
      </c>
      <c r="L2920" s="36">
        <v>359.62</v>
      </c>
      <c r="M2920" s="36">
        <v>0</v>
      </c>
      <c r="N2920" s="36">
        <v>32.375</v>
      </c>
      <c r="O2920" s="36">
        <v>327.25</v>
      </c>
      <c r="P2920" t="s">
        <v>133</v>
      </c>
      <c r="Q2920" t="s">
        <v>111</v>
      </c>
      <c r="R2920" t="s">
        <v>111</v>
      </c>
      <c r="S2920" s="1">
        <v>46087</v>
      </c>
      <c r="T2920" s="1">
        <v>46087</v>
      </c>
      <c r="U2920" s="1">
        <v>46088</v>
      </c>
      <c r="V2920" s="1">
        <v>46453</v>
      </c>
      <c r="W2920" t="s">
        <v>38</v>
      </c>
      <c r="X2920">
        <v>12</v>
      </c>
      <c r="Y2920" t="s">
        <v>49</v>
      </c>
      <c r="Z2920" t="s">
        <v>81</v>
      </c>
      <c r="AA2920" t="s">
        <v>112</v>
      </c>
      <c r="AB2920">
        <v>12</v>
      </c>
      <c r="AC2920" t="s">
        <v>113</v>
      </c>
      <c r="AD2920" t="s">
        <v>85</v>
      </c>
      <c r="AE2920" t="s">
        <v>46</v>
      </c>
      <c r="AF2920" t="s">
        <v>44</v>
      </c>
      <c r="AG2920" t="str">
        <f t="shared" si="48"/>
        <v>CC 12x</v>
      </c>
      <c r="AH2920" t="str">
        <f>IF(AND(SUMIF(E:E,E2920,I:I)&gt;=400000,Q2920="B2G"),"n","")</f>
        <v/>
      </c>
    </row>
    <row r="2921" spans="1:34">
      <c r="A2921">
        <v>2026</v>
      </c>
      <c r="B2921">
        <v>3</v>
      </c>
      <c r="C2921" s="83">
        <v>52551575643</v>
      </c>
      <c r="D2921" t="s">
        <v>2610</v>
      </c>
      <c r="E2921">
        <v>57574505360</v>
      </c>
      <c r="F2921">
        <v>636387</v>
      </c>
      <c r="G2921">
        <v>52908535094</v>
      </c>
      <c r="H2921" t="s">
        <v>35</v>
      </c>
      <c r="I2921" s="36">
        <v>2874</v>
      </c>
      <c r="J2921" s="36">
        <v>2874</v>
      </c>
      <c r="K2921" s="85">
        <v>0</v>
      </c>
      <c r="L2921" s="36">
        <v>239.5</v>
      </c>
      <c r="M2921" s="36">
        <v>239.5</v>
      </c>
      <c r="N2921" s="36">
        <v>0</v>
      </c>
      <c r="O2921" s="36">
        <v>0</v>
      </c>
      <c r="P2921" t="s">
        <v>90</v>
      </c>
      <c r="Q2921" t="s">
        <v>91</v>
      </c>
      <c r="R2921" t="s">
        <v>91</v>
      </c>
      <c r="S2921" s="1">
        <v>46087</v>
      </c>
      <c r="T2921" s="1">
        <v>46087</v>
      </c>
      <c r="V2921" s="1">
        <v>46464</v>
      </c>
      <c r="W2921" t="s">
        <v>38</v>
      </c>
      <c r="X2921">
        <v>12</v>
      </c>
      <c r="Y2921" t="s">
        <v>49</v>
      </c>
      <c r="AA2921" t="s">
        <v>92</v>
      </c>
      <c r="AB2921">
        <v>12</v>
      </c>
      <c r="AC2921" t="s">
        <v>93</v>
      </c>
      <c r="AD2921" t="s">
        <v>140</v>
      </c>
      <c r="AE2921" t="s">
        <v>46</v>
      </c>
      <c r="AF2921" t="s">
        <v>119</v>
      </c>
      <c r="AG2921" t="str">
        <f t="shared" si="48"/>
        <v>Recorrente</v>
      </c>
      <c r="AH2921" t="str">
        <f>IF(AND(SUMIF(E:E,E2921,I:I)&gt;=400000,Q2921="B2G"),"n","")</f>
        <v/>
      </c>
    </row>
    <row r="2922" spans="1:34">
      <c r="A2922">
        <v>2026</v>
      </c>
      <c r="B2922">
        <v>3</v>
      </c>
      <c r="C2922" s="83">
        <v>52551637550</v>
      </c>
      <c r="D2922" t="s">
        <v>2611</v>
      </c>
      <c r="E2922">
        <v>57574214585</v>
      </c>
      <c r="F2922">
        <v>636762</v>
      </c>
      <c r="G2922">
        <v>53742328443</v>
      </c>
      <c r="H2922" t="s">
        <v>35</v>
      </c>
      <c r="I2922" s="36">
        <v>13297.32</v>
      </c>
      <c r="J2922" s="36">
        <v>13297.32</v>
      </c>
      <c r="K2922" s="85">
        <v>0</v>
      </c>
      <c r="L2922" s="36">
        <v>1108.1099999999999</v>
      </c>
      <c r="M2922" s="36">
        <v>1108.1099999999999</v>
      </c>
      <c r="N2922" s="36">
        <v>0</v>
      </c>
      <c r="O2922" s="36">
        <v>0</v>
      </c>
      <c r="P2922" t="s">
        <v>348</v>
      </c>
      <c r="Q2922" t="s">
        <v>349</v>
      </c>
      <c r="R2922" t="s">
        <v>349</v>
      </c>
      <c r="S2922" s="1">
        <v>46111</v>
      </c>
      <c r="T2922" s="1">
        <v>46111</v>
      </c>
      <c r="V2922" s="1">
        <v>46476</v>
      </c>
      <c r="W2922" t="s">
        <v>38</v>
      </c>
      <c r="X2922">
        <v>12</v>
      </c>
      <c r="Y2922" t="s">
        <v>49</v>
      </c>
      <c r="AA2922" t="s">
        <v>40</v>
      </c>
      <c r="AB2922">
        <v>1</v>
      </c>
      <c r="AC2922" t="s">
        <v>350</v>
      </c>
      <c r="AD2922" t="s">
        <v>163</v>
      </c>
      <c r="AE2922" t="s">
        <v>43</v>
      </c>
      <c r="AF2922" t="s">
        <v>96</v>
      </c>
      <c r="AG2922" t="str">
        <f t="shared" si="48"/>
        <v>À Vista</v>
      </c>
      <c r="AH2922" t="str">
        <f>IF(AND(SUMIF(E:E,E2922,I:I)&gt;=400000,Q2922="B2G"),"n","")</f>
        <v/>
      </c>
    </row>
    <row r="2923" spans="1:34">
      <c r="A2923">
        <v>2026</v>
      </c>
      <c r="B2923">
        <v>3</v>
      </c>
      <c r="C2923" s="83">
        <v>52551637550</v>
      </c>
      <c r="D2923" t="s">
        <v>2611</v>
      </c>
      <c r="E2923">
        <v>57574214585</v>
      </c>
      <c r="F2923">
        <v>636762</v>
      </c>
      <c r="G2923">
        <v>53742328444</v>
      </c>
      <c r="H2923" t="s">
        <v>35</v>
      </c>
      <c r="I2923" s="36">
        <v>8864.8799999999992</v>
      </c>
      <c r="J2923" s="36">
        <v>8864.8799999999992</v>
      </c>
      <c r="K2923" s="85">
        <v>0</v>
      </c>
      <c r="L2923" s="36">
        <v>738.74</v>
      </c>
      <c r="M2923" s="36">
        <v>738.74</v>
      </c>
      <c r="N2923" s="36">
        <v>0</v>
      </c>
      <c r="O2923" s="36">
        <v>0</v>
      </c>
      <c r="P2923" t="s">
        <v>348</v>
      </c>
      <c r="Q2923" t="s">
        <v>349</v>
      </c>
      <c r="R2923" t="s">
        <v>349</v>
      </c>
      <c r="S2923" s="1">
        <v>46111</v>
      </c>
      <c r="T2923" s="1">
        <v>46111</v>
      </c>
      <c r="V2923" s="1">
        <v>46476</v>
      </c>
      <c r="W2923" t="s">
        <v>38</v>
      </c>
      <c r="X2923">
        <v>12</v>
      </c>
      <c r="Y2923" t="s">
        <v>49</v>
      </c>
      <c r="AA2923" t="s">
        <v>40</v>
      </c>
      <c r="AB2923">
        <v>1</v>
      </c>
      <c r="AC2923" t="s">
        <v>350</v>
      </c>
      <c r="AD2923" t="s">
        <v>229</v>
      </c>
      <c r="AE2923" t="s">
        <v>43</v>
      </c>
      <c r="AF2923" t="s">
        <v>96</v>
      </c>
      <c r="AG2923" t="str">
        <f t="shared" si="48"/>
        <v>À Vista</v>
      </c>
      <c r="AH2923" t="str">
        <f>IF(AND(SUMIF(E:E,E2923,I:I)&gt;=400000,Q2923="B2G"),"n","")</f>
        <v/>
      </c>
    </row>
    <row r="2924" spans="1:34">
      <c r="A2924">
        <v>2026</v>
      </c>
      <c r="B2924">
        <v>3</v>
      </c>
      <c r="C2924" s="83">
        <v>52551655306</v>
      </c>
      <c r="D2924" t="s">
        <v>2612</v>
      </c>
      <c r="E2924">
        <v>57634812733</v>
      </c>
      <c r="F2924">
        <v>636384</v>
      </c>
      <c r="G2924">
        <v>52873491358</v>
      </c>
      <c r="H2924" t="s">
        <v>35</v>
      </c>
      <c r="I2924" s="36">
        <v>5754</v>
      </c>
      <c r="J2924" s="36">
        <v>5754</v>
      </c>
      <c r="K2924" s="85">
        <v>0</v>
      </c>
      <c r="L2924" s="36">
        <v>479.5</v>
      </c>
      <c r="M2924" s="36">
        <v>479.5</v>
      </c>
      <c r="N2924" s="36">
        <v>0</v>
      </c>
      <c r="O2924" s="36">
        <v>0</v>
      </c>
      <c r="P2924" t="s">
        <v>511</v>
      </c>
      <c r="Q2924" t="s">
        <v>300</v>
      </c>
      <c r="R2924" t="s">
        <v>300</v>
      </c>
      <c r="S2924" s="1">
        <v>46087</v>
      </c>
      <c r="T2924" s="1">
        <v>46087</v>
      </c>
      <c r="V2924" s="1">
        <v>46452</v>
      </c>
      <c r="W2924" t="s">
        <v>38</v>
      </c>
      <c r="X2924">
        <v>12</v>
      </c>
      <c r="Y2924" t="s">
        <v>49</v>
      </c>
      <c r="AA2924" t="s">
        <v>122</v>
      </c>
      <c r="AB2924">
        <v>12</v>
      </c>
      <c r="AC2924" t="s">
        <v>301</v>
      </c>
      <c r="AD2924" t="s">
        <v>85</v>
      </c>
      <c r="AE2924" t="s">
        <v>46</v>
      </c>
      <c r="AF2924" t="s">
        <v>44</v>
      </c>
      <c r="AG2924" t="str">
        <f t="shared" si="48"/>
        <v>Recorrente</v>
      </c>
      <c r="AH2924" t="str">
        <f>IF(AND(SUMIF(E:E,E2924,I:I)&gt;=400000,Q2924="B2G"),"n","")</f>
        <v/>
      </c>
    </row>
    <row r="2925" spans="1:34">
      <c r="A2925">
        <v>2026</v>
      </c>
      <c r="B2925">
        <v>3</v>
      </c>
      <c r="C2925" s="83">
        <v>52571551807</v>
      </c>
      <c r="D2925" t="s">
        <v>2613</v>
      </c>
      <c r="E2925">
        <v>57572340776</v>
      </c>
      <c r="F2925">
        <v>636370</v>
      </c>
      <c r="G2925">
        <v>52859471212</v>
      </c>
      <c r="H2925" t="s">
        <v>35</v>
      </c>
      <c r="I2925" s="36">
        <v>2759.04</v>
      </c>
      <c r="J2925" s="36">
        <v>2759.04</v>
      </c>
      <c r="K2925" s="85">
        <v>0</v>
      </c>
      <c r="L2925" s="36">
        <v>229.92</v>
      </c>
      <c r="M2925" s="36">
        <v>229.92</v>
      </c>
      <c r="N2925" s="36">
        <v>0</v>
      </c>
      <c r="O2925" s="36">
        <v>0</v>
      </c>
      <c r="P2925" t="s">
        <v>829</v>
      </c>
      <c r="Q2925" t="s">
        <v>300</v>
      </c>
      <c r="R2925" t="s">
        <v>300</v>
      </c>
      <c r="S2925" s="1">
        <v>46086</v>
      </c>
      <c r="T2925" s="1">
        <v>46086</v>
      </c>
      <c r="V2925" s="1">
        <v>46451</v>
      </c>
      <c r="W2925" t="s">
        <v>38</v>
      </c>
      <c r="X2925">
        <v>12</v>
      </c>
      <c r="Y2925" t="s">
        <v>49</v>
      </c>
      <c r="AA2925" t="s">
        <v>112</v>
      </c>
      <c r="AB2925">
        <v>12</v>
      </c>
      <c r="AC2925" t="s">
        <v>301</v>
      </c>
      <c r="AD2925" t="s">
        <v>140</v>
      </c>
      <c r="AE2925" t="s">
        <v>46</v>
      </c>
      <c r="AF2925" t="s">
        <v>119</v>
      </c>
      <c r="AG2925" t="str">
        <f t="shared" si="48"/>
        <v>CC 12x</v>
      </c>
      <c r="AH2925" t="str">
        <f>IF(AND(SUMIF(E:E,E2925,I:I)&gt;=400000,Q2925="B2G"),"n","")</f>
        <v/>
      </c>
    </row>
    <row r="2926" spans="1:34">
      <c r="A2926">
        <v>2026</v>
      </c>
      <c r="B2926">
        <v>3</v>
      </c>
      <c r="C2926" s="83">
        <v>52628780296</v>
      </c>
      <c r="D2926" t="s">
        <v>2614</v>
      </c>
      <c r="E2926">
        <v>57713774460</v>
      </c>
      <c r="F2926">
        <v>636794</v>
      </c>
      <c r="G2926">
        <v>54154468364</v>
      </c>
      <c r="H2926" t="s">
        <v>35</v>
      </c>
      <c r="I2926" s="36">
        <v>27746.639999999999</v>
      </c>
      <c r="J2926" s="36">
        <v>27746.639999999999</v>
      </c>
      <c r="K2926" s="85">
        <v>0</v>
      </c>
      <c r="L2926" s="36">
        <v>2312.2199999999998</v>
      </c>
      <c r="M2926" s="36">
        <v>2312.2199999999998</v>
      </c>
      <c r="N2926" s="36">
        <v>0</v>
      </c>
      <c r="O2926" s="36">
        <v>0</v>
      </c>
      <c r="P2926" t="s">
        <v>668</v>
      </c>
      <c r="Q2926" t="s">
        <v>91</v>
      </c>
      <c r="R2926" t="s">
        <v>91</v>
      </c>
      <c r="S2926" s="1">
        <v>46112</v>
      </c>
      <c r="T2926" s="1">
        <v>46112</v>
      </c>
      <c r="V2926" s="1">
        <v>46477</v>
      </c>
      <c r="W2926" t="s">
        <v>38</v>
      </c>
      <c r="X2926">
        <v>12</v>
      </c>
      <c r="Y2926" t="s">
        <v>49</v>
      </c>
      <c r="AA2926" t="s">
        <v>92</v>
      </c>
      <c r="AB2926">
        <v>12</v>
      </c>
      <c r="AC2926" t="s">
        <v>93</v>
      </c>
      <c r="AD2926" t="s">
        <v>125</v>
      </c>
      <c r="AE2926" t="s">
        <v>43</v>
      </c>
      <c r="AF2926" t="s">
        <v>47</v>
      </c>
      <c r="AG2926" t="str">
        <f t="shared" si="48"/>
        <v>Recorrente</v>
      </c>
      <c r="AH2926" t="str">
        <f>IF(AND(SUMIF(E:E,E2926,I:I)&gt;=400000,Q2926="B2G"),"n","")</f>
        <v/>
      </c>
    </row>
    <row r="2927" spans="1:34">
      <c r="A2927">
        <v>2026</v>
      </c>
      <c r="B2927">
        <v>3</v>
      </c>
      <c r="C2927" s="83">
        <v>52628780296</v>
      </c>
      <c r="D2927" t="s">
        <v>2614</v>
      </c>
      <c r="E2927">
        <v>58590599458</v>
      </c>
      <c r="F2927">
        <v>636835</v>
      </c>
      <c r="G2927">
        <v>53808972579</v>
      </c>
      <c r="H2927" t="s">
        <v>673</v>
      </c>
      <c r="I2927" s="36">
        <v>18500</v>
      </c>
      <c r="J2927" s="36">
        <v>0</v>
      </c>
      <c r="K2927" s="85">
        <v>0</v>
      </c>
      <c r="L2927" s="36">
        <v>0</v>
      </c>
      <c r="M2927" s="36">
        <v>0</v>
      </c>
      <c r="N2927" s="36">
        <v>0</v>
      </c>
      <c r="O2927" s="36">
        <v>0</v>
      </c>
      <c r="P2927" t="s">
        <v>668</v>
      </c>
      <c r="Q2927" t="s">
        <v>91</v>
      </c>
      <c r="R2927" t="s">
        <v>91</v>
      </c>
      <c r="S2927" s="1">
        <v>46112</v>
      </c>
      <c r="T2927" s="1">
        <v>46112</v>
      </c>
      <c r="V2927" s="1">
        <v>46204</v>
      </c>
      <c r="W2927" t="s">
        <v>1228</v>
      </c>
      <c r="X2927">
        <v>4</v>
      </c>
      <c r="Y2927" t="s">
        <v>1229</v>
      </c>
      <c r="AA2927" t="s">
        <v>82</v>
      </c>
      <c r="AB2927">
        <v>1</v>
      </c>
      <c r="AC2927" t="s">
        <v>93</v>
      </c>
      <c r="AD2927" t="s">
        <v>2615</v>
      </c>
      <c r="AE2927" t="s">
        <v>43</v>
      </c>
      <c r="AF2927" t="s">
        <v>59</v>
      </c>
      <c r="AG2927" t="str">
        <f t="shared" si="48"/>
        <v>À Vista</v>
      </c>
      <c r="AH2927" t="str">
        <f>IF(AND(SUMIF(E:E,E2927,I:I)&gt;=400000,Q2927="B2G"),"n","")</f>
        <v/>
      </c>
    </row>
    <row r="2928" spans="1:34">
      <c r="A2928">
        <v>2026</v>
      </c>
      <c r="B2928">
        <v>3</v>
      </c>
      <c r="C2928" s="83">
        <v>52706908793</v>
      </c>
      <c r="D2928" t="s">
        <v>2616</v>
      </c>
      <c r="E2928">
        <v>57114347777</v>
      </c>
      <c r="F2928">
        <v>636440</v>
      </c>
      <c r="G2928">
        <v>53090575194</v>
      </c>
      <c r="H2928" t="s">
        <v>35</v>
      </c>
      <c r="I2928" s="36">
        <v>4644</v>
      </c>
      <c r="J2928" s="36">
        <v>4644</v>
      </c>
      <c r="K2928" s="85">
        <v>0</v>
      </c>
      <c r="L2928" s="36">
        <v>387</v>
      </c>
      <c r="M2928" s="36">
        <v>387</v>
      </c>
      <c r="N2928" s="36">
        <v>0</v>
      </c>
      <c r="O2928" s="36">
        <v>0</v>
      </c>
      <c r="P2928" t="s">
        <v>75</v>
      </c>
      <c r="Q2928" t="s">
        <v>37</v>
      </c>
      <c r="R2928" t="s">
        <v>37</v>
      </c>
      <c r="S2928" s="1">
        <v>46091</v>
      </c>
      <c r="T2928" s="1">
        <v>46091</v>
      </c>
      <c r="V2928" s="1">
        <v>46456</v>
      </c>
      <c r="W2928" t="s">
        <v>38</v>
      </c>
      <c r="X2928">
        <v>12</v>
      </c>
      <c r="Y2928" t="s">
        <v>49</v>
      </c>
      <c r="AA2928" t="s">
        <v>40</v>
      </c>
      <c r="AB2928">
        <v>1</v>
      </c>
      <c r="AC2928" t="s">
        <v>41</v>
      </c>
      <c r="AD2928" t="s">
        <v>53</v>
      </c>
      <c r="AE2928" t="s">
        <v>43</v>
      </c>
      <c r="AF2928" t="s">
        <v>44</v>
      </c>
      <c r="AG2928" t="str">
        <f t="shared" si="48"/>
        <v>À Vista</v>
      </c>
      <c r="AH2928" t="str">
        <f>IF(AND(SUMIF(E:E,E2928,I:I)&gt;=400000,Q2928="B2G"),"n","")</f>
        <v/>
      </c>
    </row>
    <row r="2929" spans="1:34">
      <c r="A2929">
        <v>2026</v>
      </c>
      <c r="B2929">
        <v>3</v>
      </c>
      <c r="C2929" s="83">
        <v>52706908793</v>
      </c>
      <c r="D2929" t="s">
        <v>2616</v>
      </c>
      <c r="E2929">
        <v>57114347777</v>
      </c>
      <c r="F2929">
        <v>636440</v>
      </c>
      <c r="G2929">
        <v>53090575195</v>
      </c>
      <c r="H2929" t="s">
        <v>35</v>
      </c>
      <c r="I2929" s="36">
        <v>5436</v>
      </c>
      <c r="J2929" s="36">
        <v>5436</v>
      </c>
      <c r="K2929" s="85">
        <v>0</v>
      </c>
      <c r="L2929" s="36">
        <v>453</v>
      </c>
      <c r="M2929" s="36">
        <v>453</v>
      </c>
      <c r="N2929" s="36">
        <v>0</v>
      </c>
      <c r="O2929" s="36">
        <v>0</v>
      </c>
      <c r="P2929" t="s">
        <v>75</v>
      </c>
      <c r="Q2929" t="s">
        <v>37</v>
      </c>
      <c r="R2929" t="s">
        <v>37</v>
      </c>
      <c r="S2929" s="1">
        <v>46091</v>
      </c>
      <c r="T2929" s="1">
        <v>46091</v>
      </c>
      <c r="V2929" s="1">
        <v>46456</v>
      </c>
      <c r="W2929" t="s">
        <v>38</v>
      </c>
      <c r="X2929">
        <v>12</v>
      </c>
      <c r="Y2929" t="s">
        <v>49</v>
      </c>
      <c r="AA2929" t="s">
        <v>40</v>
      </c>
      <c r="AB2929">
        <v>1</v>
      </c>
      <c r="AC2929" t="s">
        <v>41</v>
      </c>
      <c r="AD2929" t="s">
        <v>54</v>
      </c>
      <c r="AE2929" t="s">
        <v>46</v>
      </c>
      <c r="AF2929" t="s">
        <v>44</v>
      </c>
      <c r="AG2929" t="str">
        <f t="shared" si="48"/>
        <v>À Vista</v>
      </c>
      <c r="AH2929" t="str">
        <f>IF(AND(SUMIF(E:E,E2929,I:I)&gt;=400000,Q2929="B2G"),"n","")</f>
        <v/>
      </c>
    </row>
    <row r="2930" spans="1:34">
      <c r="A2930">
        <v>2026</v>
      </c>
      <c r="B2930">
        <v>3</v>
      </c>
      <c r="C2930" s="83">
        <v>52745412121</v>
      </c>
      <c r="D2930" t="s">
        <v>2617</v>
      </c>
      <c r="E2930">
        <v>57848494343</v>
      </c>
      <c r="F2930">
        <v>636429</v>
      </c>
      <c r="G2930">
        <v>53086691333</v>
      </c>
      <c r="H2930" t="s">
        <v>35</v>
      </c>
      <c r="I2930" s="36">
        <v>6354</v>
      </c>
      <c r="J2930" s="36">
        <v>6354</v>
      </c>
      <c r="K2930" s="85">
        <v>0</v>
      </c>
      <c r="L2930" s="36">
        <v>529.5</v>
      </c>
      <c r="M2930" s="36">
        <v>529.5</v>
      </c>
      <c r="N2930" s="36">
        <v>0</v>
      </c>
      <c r="O2930" s="36">
        <v>0</v>
      </c>
      <c r="P2930" t="s">
        <v>497</v>
      </c>
      <c r="Q2930" t="s">
        <v>498</v>
      </c>
      <c r="R2930" t="s">
        <v>498</v>
      </c>
      <c r="S2930" s="1">
        <v>46091</v>
      </c>
      <c r="T2930" s="1">
        <v>46091</v>
      </c>
      <c r="V2930" s="1">
        <v>46456</v>
      </c>
      <c r="W2930" t="s">
        <v>38</v>
      </c>
      <c r="X2930">
        <v>12</v>
      </c>
      <c r="Y2930" t="s">
        <v>49</v>
      </c>
      <c r="AA2930" t="s">
        <v>112</v>
      </c>
      <c r="AB2930">
        <v>12</v>
      </c>
      <c r="AC2930" t="s">
        <v>499</v>
      </c>
      <c r="AD2930" t="s">
        <v>146</v>
      </c>
      <c r="AE2930" t="s">
        <v>135</v>
      </c>
      <c r="AF2930" t="s">
        <v>96</v>
      </c>
      <c r="AG2930" t="str">
        <f t="shared" si="48"/>
        <v>CC 12x</v>
      </c>
      <c r="AH2930" t="str">
        <f>IF(AND(SUMIF(E:E,E2930,I:I)&gt;=400000,Q2930="B2G"),"n","")</f>
        <v/>
      </c>
    </row>
    <row r="2931" spans="1:34">
      <c r="A2931">
        <v>2026</v>
      </c>
      <c r="B2931">
        <v>3</v>
      </c>
      <c r="C2931" s="83">
        <v>52808255347</v>
      </c>
      <c r="D2931" t="s">
        <v>2618</v>
      </c>
      <c r="E2931">
        <v>57156846592</v>
      </c>
      <c r="F2931">
        <v>636443</v>
      </c>
      <c r="G2931">
        <v>53072529188</v>
      </c>
      <c r="H2931" t="s">
        <v>35</v>
      </c>
      <c r="I2931" s="36">
        <v>5754</v>
      </c>
      <c r="J2931" s="36">
        <v>5754</v>
      </c>
      <c r="K2931" s="85">
        <v>0</v>
      </c>
      <c r="L2931" s="36">
        <v>479.5</v>
      </c>
      <c r="M2931" s="36">
        <v>479.5</v>
      </c>
      <c r="N2931" s="36">
        <v>0</v>
      </c>
      <c r="O2931" s="36">
        <v>0</v>
      </c>
      <c r="P2931" t="s">
        <v>129</v>
      </c>
      <c r="Q2931" t="s">
        <v>91</v>
      </c>
      <c r="R2931" t="s">
        <v>91</v>
      </c>
      <c r="S2931" s="1">
        <v>46091</v>
      </c>
      <c r="T2931" s="1">
        <v>46091</v>
      </c>
      <c r="V2931" s="1">
        <v>46468</v>
      </c>
      <c r="W2931" t="s">
        <v>38</v>
      </c>
      <c r="X2931">
        <v>12</v>
      </c>
      <c r="Y2931" t="s">
        <v>49</v>
      </c>
      <c r="AA2931" t="s">
        <v>92</v>
      </c>
      <c r="AB2931">
        <v>12</v>
      </c>
      <c r="AC2931" t="s">
        <v>93</v>
      </c>
      <c r="AD2931" t="s">
        <v>85</v>
      </c>
      <c r="AE2931" t="s">
        <v>46</v>
      </c>
      <c r="AF2931" t="s">
        <v>44</v>
      </c>
      <c r="AG2931" t="str">
        <f t="shared" si="48"/>
        <v>Recorrente</v>
      </c>
      <c r="AH2931" t="str">
        <f>IF(AND(SUMIF(E:E,E2931,I:I)&gt;=400000,Q2931="B2G"),"n","")</f>
        <v/>
      </c>
    </row>
    <row r="2932" spans="1:34">
      <c r="A2932">
        <v>2026</v>
      </c>
      <c r="B2932">
        <v>3</v>
      </c>
      <c r="C2932" s="83">
        <v>52808695638</v>
      </c>
      <c r="D2932" t="s">
        <v>2619</v>
      </c>
      <c r="E2932">
        <v>57816357440</v>
      </c>
      <c r="F2932">
        <v>636435</v>
      </c>
      <c r="G2932">
        <v>53090433194</v>
      </c>
      <c r="H2932" t="s">
        <v>35</v>
      </c>
      <c r="I2932" s="36">
        <v>2759.04</v>
      </c>
      <c r="J2932" s="36">
        <v>2759.04</v>
      </c>
      <c r="K2932" s="85">
        <v>0</v>
      </c>
      <c r="L2932" s="36">
        <v>229.92</v>
      </c>
      <c r="M2932" s="36">
        <v>229.92</v>
      </c>
      <c r="N2932" s="36">
        <v>0</v>
      </c>
      <c r="O2932" s="36">
        <v>0</v>
      </c>
      <c r="P2932" t="s">
        <v>2004</v>
      </c>
      <c r="Q2932" t="s">
        <v>300</v>
      </c>
      <c r="R2932" t="s">
        <v>300</v>
      </c>
      <c r="S2932" s="1">
        <v>46091</v>
      </c>
      <c r="T2932" s="1">
        <v>46091</v>
      </c>
      <c r="V2932" s="1">
        <v>46456</v>
      </c>
      <c r="W2932" t="s">
        <v>38</v>
      </c>
      <c r="X2932">
        <v>12</v>
      </c>
      <c r="Y2932" t="s">
        <v>49</v>
      </c>
      <c r="AA2932" t="s">
        <v>122</v>
      </c>
      <c r="AB2932">
        <v>12</v>
      </c>
      <c r="AC2932" t="s">
        <v>301</v>
      </c>
      <c r="AD2932" t="s">
        <v>118</v>
      </c>
      <c r="AE2932" t="s">
        <v>43</v>
      </c>
      <c r="AF2932" t="s">
        <v>119</v>
      </c>
      <c r="AG2932" t="str">
        <f t="shared" si="48"/>
        <v>Recorrente</v>
      </c>
      <c r="AH2932" t="str">
        <f>IF(AND(SUMIF(E:E,E2932,I:I)&gt;=400000,Q2932="B2G"),"n","")</f>
        <v/>
      </c>
    </row>
    <row r="2933" spans="1:34">
      <c r="A2933">
        <v>2026</v>
      </c>
      <c r="B2933">
        <v>3</v>
      </c>
      <c r="C2933" s="83">
        <v>52817243269</v>
      </c>
      <c r="D2933" t="s">
        <v>2620</v>
      </c>
      <c r="E2933">
        <v>57856651332</v>
      </c>
      <c r="F2933">
        <v>636531</v>
      </c>
      <c r="G2933">
        <v>53239373464</v>
      </c>
      <c r="H2933" t="s">
        <v>35</v>
      </c>
      <c r="I2933" s="36">
        <v>5034</v>
      </c>
      <c r="J2933" s="36">
        <v>5034</v>
      </c>
      <c r="K2933" s="85">
        <v>0</v>
      </c>
      <c r="L2933" s="36">
        <v>419.5</v>
      </c>
      <c r="M2933" s="36">
        <v>419.5</v>
      </c>
      <c r="N2933" s="36">
        <v>0</v>
      </c>
      <c r="O2933" s="36">
        <v>0</v>
      </c>
      <c r="P2933" t="s">
        <v>90</v>
      </c>
      <c r="Q2933" t="s">
        <v>91</v>
      </c>
      <c r="R2933" t="s">
        <v>91</v>
      </c>
      <c r="S2933" s="1">
        <v>46097</v>
      </c>
      <c r="T2933" s="1">
        <v>46097</v>
      </c>
      <c r="V2933" s="1">
        <v>46477</v>
      </c>
      <c r="W2933" t="s">
        <v>38</v>
      </c>
      <c r="X2933">
        <v>12</v>
      </c>
      <c r="Y2933" t="s">
        <v>49</v>
      </c>
      <c r="AA2933" t="s">
        <v>92</v>
      </c>
      <c r="AB2933">
        <v>12</v>
      </c>
      <c r="AC2933" t="s">
        <v>93</v>
      </c>
      <c r="AD2933" t="s">
        <v>84</v>
      </c>
      <c r="AE2933" t="s">
        <v>43</v>
      </c>
      <c r="AF2933" t="s">
        <v>44</v>
      </c>
      <c r="AG2933" t="str">
        <f t="shared" si="48"/>
        <v>Recorrente</v>
      </c>
      <c r="AH2933" t="str">
        <f>IF(AND(SUMIF(E:E,E2933,I:I)&gt;=400000,Q2933="B2G"),"n","")</f>
        <v/>
      </c>
    </row>
    <row r="2934" spans="1:34">
      <c r="A2934">
        <v>2026</v>
      </c>
      <c r="B2934">
        <v>3</v>
      </c>
      <c r="C2934" s="83">
        <v>52831830083</v>
      </c>
      <c r="D2934" t="s">
        <v>2621</v>
      </c>
      <c r="E2934">
        <v>57839126638</v>
      </c>
      <c r="F2934">
        <v>636474</v>
      </c>
      <c r="G2934">
        <v>53170230193</v>
      </c>
      <c r="H2934" t="s">
        <v>35</v>
      </c>
      <c r="I2934" s="36">
        <v>2759.04</v>
      </c>
      <c r="J2934" s="36">
        <v>2759.04</v>
      </c>
      <c r="K2934" s="85">
        <v>0</v>
      </c>
      <c r="L2934" s="36">
        <v>229.92</v>
      </c>
      <c r="M2934" s="36">
        <v>229.92</v>
      </c>
      <c r="N2934" s="36">
        <v>0</v>
      </c>
      <c r="O2934" s="36">
        <v>0</v>
      </c>
      <c r="P2934" t="s">
        <v>2004</v>
      </c>
      <c r="Q2934" t="s">
        <v>300</v>
      </c>
      <c r="R2934" t="s">
        <v>300</v>
      </c>
      <c r="S2934" s="1">
        <v>46092</v>
      </c>
      <c r="T2934" s="1">
        <v>46092</v>
      </c>
      <c r="V2934" s="1">
        <v>46457</v>
      </c>
      <c r="W2934" t="s">
        <v>38</v>
      </c>
      <c r="X2934">
        <v>12</v>
      </c>
      <c r="Y2934" t="s">
        <v>49</v>
      </c>
      <c r="AA2934" t="s">
        <v>112</v>
      </c>
      <c r="AB2934">
        <v>12</v>
      </c>
      <c r="AC2934" t="s">
        <v>301</v>
      </c>
      <c r="AD2934" t="s">
        <v>140</v>
      </c>
      <c r="AE2934" t="s">
        <v>46</v>
      </c>
      <c r="AF2934" t="s">
        <v>119</v>
      </c>
      <c r="AG2934" t="str">
        <f t="shared" si="48"/>
        <v>CC 12x</v>
      </c>
      <c r="AH2934" t="str">
        <f>IF(AND(SUMIF(E:E,E2934,I:I)&gt;=400000,Q2934="B2G"),"n","")</f>
        <v/>
      </c>
    </row>
    <row r="2935" spans="1:34">
      <c r="A2935">
        <v>2026</v>
      </c>
      <c r="B2935">
        <v>3</v>
      </c>
      <c r="C2935" s="83">
        <v>52831995968</v>
      </c>
      <c r="D2935" t="s">
        <v>2622</v>
      </c>
      <c r="E2935">
        <v>57893693552</v>
      </c>
      <c r="F2935">
        <v>636550</v>
      </c>
      <c r="G2935">
        <v>53241807161</v>
      </c>
      <c r="H2935" t="s">
        <v>35</v>
      </c>
      <c r="I2935" s="36">
        <v>2874</v>
      </c>
      <c r="J2935" s="36">
        <v>2874</v>
      </c>
      <c r="K2935" s="85">
        <v>0</v>
      </c>
      <c r="L2935" s="36">
        <v>239.5</v>
      </c>
      <c r="M2935" s="36">
        <v>239.5</v>
      </c>
      <c r="N2935" s="36">
        <v>0</v>
      </c>
      <c r="O2935" s="36">
        <v>0</v>
      </c>
      <c r="P2935" t="s">
        <v>90</v>
      </c>
      <c r="Q2935" t="s">
        <v>91</v>
      </c>
      <c r="R2935" t="s">
        <v>91</v>
      </c>
      <c r="S2935" s="1">
        <v>46098</v>
      </c>
      <c r="T2935" s="1">
        <v>46098</v>
      </c>
      <c r="V2935" s="1">
        <v>46464</v>
      </c>
      <c r="W2935" t="s">
        <v>38</v>
      </c>
      <c r="X2935">
        <v>12</v>
      </c>
      <c r="Y2935" t="s">
        <v>49</v>
      </c>
      <c r="AA2935" t="s">
        <v>92</v>
      </c>
      <c r="AB2935">
        <v>12</v>
      </c>
      <c r="AC2935" t="s">
        <v>93</v>
      </c>
      <c r="AD2935" t="s">
        <v>140</v>
      </c>
      <c r="AE2935" t="s">
        <v>46</v>
      </c>
      <c r="AF2935" t="s">
        <v>119</v>
      </c>
      <c r="AG2935" t="str">
        <f t="shared" si="48"/>
        <v>Recorrente</v>
      </c>
      <c r="AH2935" t="str">
        <f>IF(AND(SUMIF(E:E,E2935,I:I)&gt;=400000,Q2935="B2G"),"n","")</f>
        <v/>
      </c>
    </row>
    <row r="2936" spans="1:34">
      <c r="A2936">
        <v>2026</v>
      </c>
      <c r="B2936">
        <v>3</v>
      </c>
      <c r="C2936" s="83">
        <v>52881919861</v>
      </c>
      <c r="D2936" t="s">
        <v>2623</v>
      </c>
      <c r="E2936">
        <v>57825533820</v>
      </c>
      <c r="F2936">
        <v>636464</v>
      </c>
      <c r="G2936">
        <v>53140795305</v>
      </c>
      <c r="H2936" t="s">
        <v>35</v>
      </c>
      <c r="I2936" s="36">
        <v>2586.6</v>
      </c>
      <c r="J2936" s="36">
        <v>2586.6</v>
      </c>
      <c r="K2936" s="85">
        <v>0</v>
      </c>
      <c r="L2936" s="36">
        <v>215.55</v>
      </c>
      <c r="M2936" s="36">
        <v>215.55</v>
      </c>
      <c r="N2936" s="36">
        <v>0</v>
      </c>
      <c r="O2936" s="36">
        <v>0</v>
      </c>
      <c r="P2936" t="s">
        <v>1210</v>
      </c>
      <c r="Q2936" t="s">
        <v>91</v>
      </c>
      <c r="R2936" t="s">
        <v>91</v>
      </c>
      <c r="S2936" s="1">
        <v>46092</v>
      </c>
      <c r="T2936" s="1">
        <v>46092</v>
      </c>
      <c r="V2936" s="1">
        <v>46457</v>
      </c>
      <c r="W2936" t="s">
        <v>38</v>
      </c>
      <c r="X2936">
        <v>12</v>
      </c>
      <c r="Y2936" t="s">
        <v>49</v>
      </c>
      <c r="AA2936" t="s">
        <v>117</v>
      </c>
      <c r="AB2936">
        <v>1</v>
      </c>
      <c r="AC2936" t="s">
        <v>93</v>
      </c>
      <c r="AD2936" t="s">
        <v>140</v>
      </c>
      <c r="AE2936" t="s">
        <v>46</v>
      </c>
      <c r="AF2936" t="s">
        <v>119</v>
      </c>
      <c r="AG2936" t="str">
        <f t="shared" si="48"/>
        <v>À Vista</v>
      </c>
      <c r="AH2936" t="str">
        <f>IF(AND(SUMIF(E:E,E2936,I:I)&gt;=400000,Q2936="B2G"),"n","")</f>
        <v/>
      </c>
    </row>
    <row r="2937" spans="1:34">
      <c r="A2937">
        <v>2026</v>
      </c>
      <c r="B2937">
        <v>3</v>
      </c>
      <c r="C2937" s="83">
        <v>52910882997</v>
      </c>
      <c r="D2937" t="s">
        <v>2624</v>
      </c>
      <c r="E2937">
        <v>56251406211</v>
      </c>
      <c r="F2937">
        <v>636481</v>
      </c>
      <c r="G2937">
        <v>53172511089</v>
      </c>
      <c r="H2937" t="s">
        <v>35</v>
      </c>
      <c r="I2937" s="36">
        <v>10925.04</v>
      </c>
      <c r="J2937" s="36">
        <v>3001.610944</v>
      </c>
      <c r="K2937" s="85">
        <v>7923.4290559999999</v>
      </c>
      <c r="L2937" s="36">
        <v>250.1342453</v>
      </c>
      <c r="M2937" s="36">
        <v>0</v>
      </c>
      <c r="N2937" s="36">
        <v>250.1342453</v>
      </c>
      <c r="O2937" s="36">
        <v>0</v>
      </c>
      <c r="P2937" t="s">
        <v>367</v>
      </c>
      <c r="Q2937" t="s">
        <v>191</v>
      </c>
      <c r="R2937" t="s">
        <v>191</v>
      </c>
      <c r="S2937" s="1">
        <v>46093</v>
      </c>
      <c r="T2937" s="1">
        <v>46093</v>
      </c>
      <c r="V2937" s="1">
        <v>46828</v>
      </c>
      <c r="W2937" t="s">
        <v>56</v>
      </c>
      <c r="Y2937" t="s">
        <v>49</v>
      </c>
      <c r="AA2937" t="s">
        <v>122</v>
      </c>
      <c r="AB2937">
        <v>24</v>
      </c>
      <c r="AC2937" t="s">
        <v>192</v>
      </c>
      <c r="AD2937" t="s">
        <v>149</v>
      </c>
      <c r="AE2937" t="s">
        <v>43</v>
      </c>
      <c r="AF2937" t="s">
        <v>96</v>
      </c>
      <c r="AG2937" t="str">
        <f t="shared" si="48"/>
        <v>Recorrente</v>
      </c>
      <c r="AH2937" t="str">
        <f>IF(AND(SUMIF(E:E,E2937,I:I)&gt;=400000,Q2937="B2G"),"n","")</f>
        <v/>
      </c>
    </row>
    <row r="2938" spans="1:34">
      <c r="A2938">
        <v>2026</v>
      </c>
      <c r="B2938">
        <v>3</v>
      </c>
      <c r="C2938" s="83">
        <v>52910882997</v>
      </c>
      <c r="D2938" t="s">
        <v>2624</v>
      </c>
      <c r="E2938">
        <v>56251406211</v>
      </c>
      <c r="F2938">
        <v>636481</v>
      </c>
      <c r="G2938">
        <v>53172511090</v>
      </c>
      <c r="H2938" t="s">
        <v>35</v>
      </c>
      <c r="I2938" s="36">
        <v>5367.6</v>
      </c>
      <c r="J2938" s="36">
        <v>1474.722857</v>
      </c>
      <c r="K2938" s="85">
        <v>3892.8771430000002</v>
      </c>
      <c r="L2938" s="36">
        <v>122.8935714</v>
      </c>
      <c r="M2938" s="36">
        <v>0</v>
      </c>
      <c r="N2938" s="36">
        <v>122.8935714</v>
      </c>
      <c r="O2938" s="36">
        <v>0</v>
      </c>
      <c r="P2938" t="s">
        <v>367</v>
      </c>
      <c r="Q2938" t="s">
        <v>191</v>
      </c>
      <c r="R2938" t="s">
        <v>191</v>
      </c>
      <c r="S2938" s="1">
        <v>46093</v>
      </c>
      <c r="T2938" s="1">
        <v>46093</v>
      </c>
      <c r="V2938" s="1">
        <v>46828</v>
      </c>
      <c r="W2938" t="s">
        <v>56</v>
      </c>
      <c r="Y2938" t="s">
        <v>49</v>
      </c>
      <c r="AA2938" t="s">
        <v>122</v>
      </c>
      <c r="AB2938">
        <v>24</v>
      </c>
      <c r="AC2938" t="s">
        <v>192</v>
      </c>
      <c r="AD2938" t="s">
        <v>142</v>
      </c>
      <c r="AE2938" t="s">
        <v>95</v>
      </c>
      <c r="AF2938" t="s">
        <v>44</v>
      </c>
      <c r="AG2938" t="str">
        <f t="shared" si="48"/>
        <v>Recorrente</v>
      </c>
      <c r="AH2938" t="str">
        <f>IF(AND(SUMIF(E:E,E2938,I:I)&gt;=400000,Q2938="B2G"),"n","")</f>
        <v/>
      </c>
    </row>
    <row r="2939" spans="1:34">
      <c r="A2939">
        <v>2026</v>
      </c>
      <c r="B2939">
        <v>3</v>
      </c>
      <c r="C2939" s="83">
        <v>52910896769</v>
      </c>
      <c r="D2939" t="s">
        <v>2625</v>
      </c>
      <c r="E2939">
        <v>57949117528</v>
      </c>
      <c r="F2939">
        <v>636501</v>
      </c>
      <c r="G2939">
        <v>53206635578</v>
      </c>
      <c r="H2939" t="s">
        <v>35</v>
      </c>
      <c r="I2939" s="36">
        <v>5178.6000000000004</v>
      </c>
      <c r="J2939" s="36">
        <v>5178.6000000000004</v>
      </c>
      <c r="K2939" s="85">
        <v>0</v>
      </c>
      <c r="L2939" s="36">
        <v>431.55</v>
      </c>
      <c r="M2939" s="36">
        <v>431.55</v>
      </c>
      <c r="N2939" s="36">
        <v>0</v>
      </c>
      <c r="O2939" s="36">
        <v>0</v>
      </c>
      <c r="P2939" t="s">
        <v>506</v>
      </c>
      <c r="Q2939" t="s">
        <v>300</v>
      </c>
      <c r="R2939" t="s">
        <v>300</v>
      </c>
      <c r="S2939" s="1">
        <v>46094</v>
      </c>
      <c r="T2939" s="1">
        <v>46094</v>
      </c>
      <c r="V2939" s="1">
        <v>46459</v>
      </c>
      <c r="W2939" t="s">
        <v>38</v>
      </c>
      <c r="X2939">
        <v>12</v>
      </c>
      <c r="Y2939" t="s">
        <v>49</v>
      </c>
      <c r="AA2939" t="s">
        <v>112</v>
      </c>
      <c r="AB2939">
        <v>12</v>
      </c>
      <c r="AC2939" t="s">
        <v>301</v>
      </c>
      <c r="AD2939" t="s">
        <v>85</v>
      </c>
      <c r="AE2939" t="s">
        <v>46</v>
      </c>
      <c r="AF2939" t="s">
        <v>44</v>
      </c>
      <c r="AG2939" t="str">
        <f t="shared" ref="AG2939:AG2998" si="49">IF(IFERROR(SEARCH("Recorrente",AA2939),0)&gt;0,"Recorrente",IF(AB2939=1,"À Vista",IF(AB2939&lt;=3,"CC 3x",IF(AB2939&lt;=12,"CC 12x",IF(AB2939&gt;12,"Recorrente","")))))</f>
        <v>CC 12x</v>
      </c>
      <c r="AH2939" t="str">
        <f>IF(AND(SUMIF(E:E,E2939,I:I)&gt;=400000,Q2939="B2G"),"n","")</f>
        <v/>
      </c>
    </row>
    <row r="2940" spans="1:34">
      <c r="A2940">
        <v>2026</v>
      </c>
      <c r="B2940">
        <v>3</v>
      </c>
      <c r="C2940" s="83">
        <v>52910936625</v>
      </c>
      <c r="D2940" t="s">
        <v>2626</v>
      </c>
      <c r="E2940">
        <v>57945745997</v>
      </c>
      <c r="F2940">
        <v>636525</v>
      </c>
      <c r="G2940">
        <v>53237528425</v>
      </c>
      <c r="H2940" t="s">
        <v>35</v>
      </c>
      <c r="I2940" s="36">
        <v>2787.72</v>
      </c>
      <c r="J2940" s="36">
        <v>2787.78</v>
      </c>
      <c r="K2940" s="85">
        <v>0</v>
      </c>
      <c r="L2940" s="36">
        <v>232.315</v>
      </c>
      <c r="M2940" s="36">
        <v>232.315</v>
      </c>
      <c r="N2940" s="36">
        <v>0</v>
      </c>
      <c r="O2940" s="36">
        <v>0</v>
      </c>
      <c r="P2940" t="s">
        <v>348</v>
      </c>
      <c r="Q2940" t="s">
        <v>349</v>
      </c>
      <c r="R2940" t="s">
        <v>349</v>
      </c>
      <c r="S2940" s="1">
        <v>46097</v>
      </c>
      <c r="T2940" s="1">
        <v>46097</v>
      </c>
      <c r="V2940" s="1">
        <v>46462</v>
      </c>
      <c r="W2940" t="s">
        <v>38</v>
      </c>
      <c r="X2940">
        <v>12</v>
      </c>
      <c r="Y2940" t="s">
        <v>49</v>
      </c>
      <c r="AA2940" t="s">
        <v>112</v>
      </c>
      <c r="AB2940">
        <v>12</v>
      </c>
      <c r="AC2940" t="s">
        <v>350</v>
      </c>
      <c r="AD2940" t="s">
        <v>118</v>
      </c>
      <c r="AE2940" t="s">
        <v>43</v>
      </c>
      <c r="AF2940" t="s">
        <v>119</v>
      </c>
      <c r="AG2940" t="str">
        <f t="shared" si="49"/>
        <v>CC 12x</v>
      </c>
      <c r="AH2940" t="str">
        <f>IF(AND(SUMIF(E:E,E2940,I:I)&gt;=400000,Q2940="B2G"),"n","")</f>
        <v/>
      </c>
    </row>
    <row r="2941" spans="1:34">
      <c r="A2941">
        <v>2026</v>
      </c>
      <c r="B2941">
        <v>3</v>
      </c>
      <c r="C2941" s="83">
        <v>52912993415</v>
      </c>
      <c r="D2941" t="s">
        <v>2627</v>
      </c>
      <c r="E2941">
        <v>57885680473</v>
      </c>
      <c r="F2941">
        <v>636479</v>
      </c>
      <c r="G2941">
        <v>53206176917</v>
      </c>
      <c r="H2941" t="s">
        <v>35</v>
      </c>
      <c r="I2941" s="36">
        <v>2586.6</v>
      </c>
      <c r="J2941" s="36">
        <v>2586.6</v>
      </c>
      <c r="K2941" s="85">
        <v>0</v>
      </c>
      <c r="L2941" s="36">
        <v>215.55</v>
      </c>
      <c r="M2941" s="36">
        <v>215.55</v>
      </c>
      <c r="N2941" s="36">
        <v>0</v>
      </c>
      <c r="O2941" s="36">
        <v>0</v>
      </c>
      <c r="P2941" t="s">
        <v>506</v>
      </c>
      <c r="Q2941" t="s">
        <v>300</v>
      </c>
      <c r="R2941" t="s">
        <v>300</v>
      </c>
      <c r="S2941" s="1">
        <v>46093</v>
      </c>
      <c r="T2941" s="1">
        <v>46093</v>
      </c>
      <c r="V2941" s="1">
        <v>46458</v>
      </c>
      <c r="W2941" t="s">
        <v>38</v>
      </c>
      <c r="X2941">
        <v>12</v>
      </c>
      <c r="Y2941" t="s">
        <v>49</v>
      </c>
      <c r="AA2941" t="s">
        <v>122</v>
      </c>
      <c r="AB2941">
        <v>12</v>
      </c>
      <c r="AC2941" t="s">
        <v>301</v>
      </c>
      <c r="AD2941" t="s">
        <v>118</v>
      </c>
      <c r="AE2941" t="s">
        <v>43</v>
      </c>
      <c r="AF2941" t="s">
        <v>119</v>
      </c>
      <c r="AG2941" t="str">
        <f t="shared" si="49"/>
        <v>Recorrente</v>
      </c>
      <c r="AH2941" t="str">
        <f>IF(AND(SUMIF(E:E,E2941,I:I)&gt;=400000,Q2941="B2G"),"n","")</f>
        <v/>
      </c>
    </row>
    <row r="2942" spans="1:34">
      <c r="A2942">
        <v>2026</v>
      </c>
      <c r="B2942">
        <v>3</v>
      </c>
      <c r="C2942" s="83">
        <v>52944513410</v>
      </c>
      <c r="D2942" t="s">
        <v>2628</v>
      </c>
      <c r="E2942">
        <v>57987419162</v>
      </c>
      <c r="F2942">
        <v>636597</v>
      </c>
      <c r="G2942">
        <v>53343476900</v>
      </c>
      <c r="H2942" t="s">
        <v>35</v>
      </c>
      <c r="I2942" s="36">
        <v>5514</v>
      </c>
      <c r="J2942" s="36">
        <v>5514</v>
      </c>
      <c r="K2942" s="85">
        <v>0</v>
      </c>
      <c r="L2942" s="36">
        <v>459.5</v>
      </c>
      <c r="M2942" s="36">
        <v>459.5</v>
      </c>
      <c r="N2942" s="36">
        <v>0</v>
      </c>
      <c r="O2942" s="36">
        <v>0</v>
      </c>
      <c r="P2942" t="s">
        <v>2004</v>
      </c>
      <c r="Q2942" t="s">
        <v>300</v>
      </c>
      <c r="R2942" t="s">
        <v>300</v>
      </c>
      <c r="S2942" s="1">
        <v>46100</v>
      </c>
      <c r="T2942" s="1">
        <v>46100</v>
      </c>
      <c r="V2942" s="1">
        <v>46465</v>
      </c>
      <c r="W2942" t="s">
        <v>38</v>
      </c>
      <c r="X2942">
        <v>12</v>
      </c>
      <c r="Y2942" t="s">
        <v>49</v>
      </c>
      <c r="AA2942" t="s">
        <v>122</v>
      </c>
      <c r="AB2942">
        <v>12</v>
      </c>
      <c r="AC2942" t="s">
        <v>301</v>
      </c>
      <c r="AD2942" t="s">
        <v>138</v>
      </c>
      <c r="AE2942" t="s">
        <v>135</v>
      </c>
      <c r="AF2942" t="s">
        <v>119</v>
      </c>
      <c r="AG2942" t="str">
        <f t="shared" si="49"/>
        <v>Recorrente</v>
      </c>
      <c r="AH2942" t="str">
        <f>IF(AND(SUMIF(E:E,E2942,I:I)&gt;=400000,Q2942="B2G"),"n","")</f>
        <v/>
      </c>
    </row>
    <row r="2943" spans="1:34">
      <c r="A2943">
        <v>2026</v>
      </c>
      <c r="B2943">
        <v>3</v>
      </c>
      <c r="C2943" s="83">
        <v>52968081705</v>
      </c>
      <c r="D2943" t="s">
        <v>2629</v>
      </c>
      <c r="E2943">
        <v>57980531719</v>
      </c>
      <c r="F2943">
        <v>636518</v>
      </c>
      <c r="G2943">
        <v>53224070995</v>
      </c>
      <c r="H2943" t="s">
        <v>35</v>
      </c>
      <c r="I2943" s="36">
        <v>5514</v>
      </c>
      <c r="J2943" s="36">
        <v>5514</v>
      </c>
      <c r="K2943" s="85">
        <v>0</v>
      </c>
      <c r="L2943" s="36">
        <v>459.5</v>
      </c>
      <c r="M2943" s="36">
        <v>459.5</v>
      </c>
      <c r="N2943" s="36">
        <v>0</v>
      </c>
      <c r="O2943" s="36">
        <v>0</v>
      </c>
      <c r="P2943" t="s">
        <v>497</v>
      </c>
      <c r="Q2943" t="s">
        <v>498</v>
      </c>
      <c r="R2943" t="s">
        <v>498</v>
      </c>
      <c r="S2943" s="1">
        <v>46094</v>
      </c>
      <c r="T2943" s="1">
        <v>46094</v>
      </c>
      <c r="V2943" s="1">
        <v>46459</v>
      </c>
      <c r="W2943" t="s">
        <v>38</v>
      </c>
      <c r="X2943">
        <v>12</v>
      </c>
      <c r="Y2943" t="s">
        <v>49</v>
      </c>
      <c r="AA2943" t="s">
        <v>112</v>
      </c>
      <c r="AB2943">
        <v>12</v>
      </c>
      <c r="AC2943" t="s">
        <v>499</v>
      </c>
      <c r="AD2943" t="s">
        <v>138</v>
      </c>
      <c r="AE2943" t="s">
        <v>135</v>
      </c>
      <c r="AF2943" t="s">
        <v>119</v>
      </c>
      <c r="AG2943" t="str">
        <f t="shared" si="49"/>
        <v>CC 12x</v>
      </c>
      <c r="AH2943" t="str">
        <f>IF(AND(SUMIF(E:E,E2943,I:I)&gt;=400000,Q2943="B2G"),"n","")</f>
        <v/>
      </c>
    </row>
    <row r="2944" spans="1:34">
      <c r="A2944">
        <v>2026</v>
      </c>
      <c r="B2944">
        <v>3</v>
      </c>
      <c r="C2944" s="83">
        <v>52980650125</v>
      </c>
      <c r="D2944" t="s">
        <v>2630</v>
      </c>
      <c r="E2944">
        <v>58062848656</v>
      </c>
      <c r="F2944">
        <v>636566</v>
      </c>
      <c r="G2944">
        <v>53317305126</v>
      </c>
      <c r="H2944" t="s">
        <v>35</v>
      </c>
      <c r="I2944" s="36">
        <v>2759.04</v>
      </c>
      <c r="J2944" s="36">
        <v>2759.04</v>
      </c>
      <c r="K2944" s="85">
        <v>0</v>
      </c>
      <c r="L2944" s="36">
        <v>229.92</v>
      </c>
      <c r="M2944" s="36">
        <v>229.92</v>
      </c>
      <c r="N2944" s="36">
        <v>0</v>
      </c>
      <c r="O2944" s="36">
        <v>0</v>
      </c>
      <c r="P2944" t="s">
        <v>2004</v>
      </c>
      <c r="Q2944" t="s">
        <v>300</v>
      </c>
      <c r="R2944" t="s">
        <v>300</v>
      </c>
      <c r="S2944" s="1">
        <v>46098</v>
      </c>
      <c r="T2944" s="1">
        <v>46098</v>
      </c>
      <c r="V2944" s="1">
        <v>46463</v>
      </c>
      <c r="W2944" t="s">
        <v>38</v>
      </c>
      <c r="X2944">
        <v>12</v>
      </c>
      <c r="Y2944" t="s">
        <v>49</v>
      </c>
      <c r="AA2944" t="s">
        <v>112</v>
      </c>
      <c r="AB2944">
        <v>12</v>
      </c>
      <c r="AC2944" t="s">
        <v>301</v>
      </c>
      <c r="AD2944" t="s">
        <v>118</v>
      </c>
      <c r="AE2944" t="s">
        <v>43</v>
      </c>
      <c r="AF2944" t="s">
        <v>119</v>
      </c>
      <c r="AG2944" t="str">
        <f t="shared" si="49"/>
        <v>CC 12x</v>
      </c>
      <c r="AH2944" t="str">
        <f>IF(AND(SUMIF(E:E,E2944,I:I)&gt;=400000,Q2944="B2G"),"n","")</f>
        <v/>
      </c>
    </row>
    <row r="2945" spans="1:34">
      <c r="A2945">
        <v>2026</v>
      </c>
      <c r="B2945">
        <v>3</v>
      </c>
      <c r="C2945" s="83">
        <v>53021384214</v>
      </c>
      <c r="D2945" t="s">
        <v>2631</v>
      </c>
      <c r="E2945">
        <v>57061602944</v>
      </c>
      <c r="F2945">
        <v>636540</v>
      </c>
      <c r="G2945">
        <v>53241856649</v>
      </c>
      <c r="H2945" t="s">
        <v>35</v>
      </c>
      <c r="I2945" s="36">
        <v>2606.7600000000002</v>
      </c>
      <c r="J2945" s="36">
        <v>2606.7179999999998</v>
      </c>
      <c r="K2945" s="85">
        <v>4.2000000000000003E-2</v>
      </c>
      <c r="L2945" s="36">
        <v>217.22649999999999</v>
      </c>
      <c r="M2945" s="36">
        <v>217.22649999999999</v>
      </c>
      <c r="N2945" s="36">
        <v>0</v>
      </c>
      <c r="O2945" s="36">
        <v>0</v>
      </c>
      <c r="P2945" t="s">
        <v>506</v>
      </c>
      <c r="Q2945" t="s">
        <v>300</v>
      </c>
      <c r="R2945" t="s">
        <v>300</v>
      </c>
      <c r="S2945" s="1">
        <v>46097</v>
      </c>
      <c r="T2945" s="1">
        <v>46097</v>
      </c>
      <c r="V2945" s="1">
        <v>46462</v>
      </c>
      <c r="W2945" t="s">
        <v>38</v>
      </c>
      <c r="X2945">
        <v>12</v>
      </c>
      <c r="Y2945" t="s">
        <v>49</v>
      </c>
      <c r="AA2945" t="s">
        <v>112</v>
      </c>
      <c r="AB2945">
        <v>12</v>
      </c>
      <c r="AC2945" t="s">
        <v>301</v>
      </c>
      <c r="AD2945" t="s">
        <v>118</v>
      </c>
      <c r="AE2945" t="s">
        <v>43</v>
      </c>
      <c r="AF2945" t="s">
        <v>119</v>
      </c>
      <c r="AG2945" t="str">
        <f t="shared" si="49"/>
        <v>CC 12x</v>
      </c>
      <c r="AH2945" t="str">
        <f>IF(AND(SUMIF(E:E,E2945,I:I)&gt;=400000,Q2945="B2G"),"n","")</f>
        <v/>
      </c>
    </row>
    <row r="2946" spans="1:34">
      <c r="A2946">
        <v>2026</v>
      </c>
      <c r="B2946">
        <v>3</v>
      </c>
      <c r="C2946" s="83">
        <v>53021405731</v>
      </c>
      <c r="D2946" t="s">
        <v>2632</v>
      </c>
      <c r="E2946">
        <v>58029807768</v>
      </c>
      <c r="F2946">
        <v>636581</v>
      </c>
      <c r="G2946">
        <v>53317342390</v>
      </c>
      <c r="H2946" t="s">
        <v>35</v>
      </c>
      <c r="I2946" s="36">
        <v>8886.24</v>
      </c>
      <c r="J2946" s="36">
        <v>8886.2999999999993</v>
      </c>
      <c r="K2946" s="85">
        <v>0</v>
      </c>
      <c r="L2946" s="36">
        <v>740.52499999999998</v>
      </c>
      <c r="M2946" s="36">
        <v>740.52499999999998</v>
      </c>
      <c r="N2946" s="36">
        <v>0</v>
      </c>
      <c r="O2946" s="36">
        <v>0</v>
      </c>
      <c r="P2946" t="s">
        <v>129</v>
      </c>
      <c r="Q2946" t="s">
        <v>91</v>
      </c>
      <c r="R2946" t="s">
        <v>91</v>
      </c>
      <c r="S2946" s="1">
        <v>46099</v>
      </c>
      <c r="T2946" s="1">
        <v>46099</v>
      </c>
      <c r="V2946" s="1">
        <v>46464</v>
      </c>
      <c r="W2946" t="s">
        <v>38</v>
      </c>
      <c r="X2946">
        <v>12</v>
      </c>
      <c r="Y2946" t="s">
        <v>49</v>
      </c>
      <c r="AA2946" t="s">
        <v>112</v>
      </c>
      <c r="AB2946">
        <v>12</v>
      </c>
      <c r="AC2946" t="s">
        <v>93</v>
      </c>
      <c r="AD2946" t="s">
        <v>134</v>
      </c>
      <c r="AE2946" t="s">
        <v>135</v>
      </c>
      <c r="AF2946" t="s">
        <v>44</v>
      </c>
      <c r="AG2946" t="str">
        <f t="shared" si="49"/>
        <v>CC 12x</v>
      </c>
      <c r="AH2946" t="str">
        <f>IF(AND(SUMIF(E:E,E2946,I:I)&gt;=400000,Q2946="B2G"),"n","")</f>
        <v/>
      </c>
    </row>
    <row r="2947" spans="1:34">
      <c r="A2947">
        <v>2026</v>
      </c>
      <c r="B2947">
        <v>3</v>
      </c>
      <c r="C2947" s="83">
        <v>53077296280</v>
      </c>
      <c r="D2947" t="s">
        <v>2633</v>
      </c>
      <c r="E2947">
        <v>58166744952</v>
      </c>
      <c r="F2947">
        <v>636606</v>
      </c>
      <c r="G2947">
        <v>53405057171</v>
      </c>
      <c r="H2947" t="s">
        <v>35</v>
      </c>
      <c r="I2947" s="36">
        <v>2759.04</v>
      </c>
      <c r="J2947" s="36">
        <v>2759.04</v>
      </c>
      <c r="K2947" s="85">
        <v>0</v>
      </c>
      <c r="L2947" s="36">
        <v>229.92</v>
      </c>
      <c r="M2947" s="36">
        <v>229.92</v>
      </c>
      <c r="N2947" s="36">
        <v>0</v>
      </c>
      <c r="O2947" s="36">
        <v>0</v>
      </c>
      <c r="P2947" t="s">
        <v>2004</v>
      </c>
      <c r="Q2947" t="s">
        <v>300</v>
      </c>
      <c r="R2947" t="s">
        <v>300</v>
      </c>
      <c r="S2947" s="1">
        <v>46100</v>
      </c>
      <c r="T2947" s="1">
        <v>46100</v>
      </c>
      <c r="V2947" s="1">
        <v>46465</v>
      </c>
      <c r="W2947" t="s">
        <v>38</v>
      </c>
      <c r="X2947">
        <v>12</v>
      </c>
      <c r="Y2947" t="s">
        <v>49</v>
      </c>
      <c r="AA2947" t="s">
        <v>112</v>
      </c>
      <c r="AB2947">
        <v>12</v>
      </c>
      <c r="AC2947" t="s">
        <v>301</v>
      </c>
      <c r="AD2947" t="s">
        <v>140</v>
      </c>
      <c r="AE2947" t="s">
        <v>46</v>
      </c>
      <c r="AF2947" t="s">
        <v>119</v>
      </c>
      <c r="AG2947" t="str">
        <f t="shared" si="49"/>
        <v>CC 12x</v>
      </c>
      <c r="AH2947" t="str">
        <f>IF(AND(SUMIF(E:E,E2947,I:I)&gt;=400000,Q2947="B2G"),"n","")</f>
        <v/>
      </c>
    </row>
    <row r="2948" spans="1:34">
      <c r="A2948">
        <v>2026</v>
      </c>
      <c r="B2948">
        <v>3</v>
      </c>
      <c r="C2948" s="83">
        <v>53077302820</v>
      </c>
      <c r="D2948" t="s">
        <v>2634</v>
      </c>
      <c r="E2948">
        <v>58058276425</v>
      </c>
      <c r="F2948">
        <v>636686</v>
      </c>
      <c r="G2948">
        <v>53492935829</v>
      </c>
      <c r="H2948" t="s">
        <v>35</v>
      </c>
      <c r="I2948" s="36">
        <v>5178.6000000000004</v>
      </c>
      <c r="J2948" s="36">
        <v>3259.4613800000002</v>
      </c>
      <c r="K2948" s="85">
        <v>1919.1386199999999</v>
      </c>
      <c r="L2948" s="36">
        <v>271.62178160000002</v>
      </c>
      <c r="M2948" s="36">
        <v>0</v>
      </c>
      <c r="N2948" s="36">
        <v>271.62178160000002</v>
      </c>
      <c r="O2948" s="36">
        <v>0</v>
      </c>
      <c r="P2948" t="s">
        <v>804</v>
      </c>
      <c r="Q2948" t="s">
        <v>191</v>
      </c>
      <c r="R2948" t="s">
        <v>191</v>
      </c>
      <c r="S2948" s="1">
        <v>46106</v>
      </c>
      <c r="T2948" s="1">
        <v>46106</v>
      </c>
      <c r="U2948" s="1"/>
      <c r="V2948" s="1">
        <v>46471</v>
      </c>
      <c r="W2948" t="s">
        <v>38</v>
      </c>
      <c r="Y2948" t="s">
        <v>49</v>
      </c>
      <c r="AA2948" t="s">
        <v>117</v>
      </c>
      <c r="AB2948">
        <v>1</v>
      </c>
      <c r="AC2948" t="s">
        <v>192</v>
      </c>
      <c r="AD2948" t="s">
        <v>85</v>
      </c>
      <c r="AE2948" t="s">
        <v>46</v>
      </c>
      <c r="AF2948" t="s">
        <v>44</v>
      </c>
      <c r="AG2948" t="str">
        <f t="shared" si="49"/>
        <v>À Vista</v>
      </c>
      <c r="AH2948" t="str">
        <f>IF(AND(SUMIF(E:E,E2948,I:I)&gt;=400000,Q2948="B2G"),"n","")</f>
        <v/>
      </c>
    </row>
    <row r="2949" spans="1:34">
      <c r="A2949">
        <v>2026</v>
      </c>
      <c r="B2949">
        <v>3</v>
      </c>
      <c r="C2949" s="83">
        <v>53077302820</v>
      </c>
      <c r="D2949" t="s">
        <v>2634</v>
      </c>
      <c r="E2949">
        <v>58058276425</v>
      </c>
      <c r="F2949">
        <v>636686</v>
      </c>
      <c r="G2949">
        <v>53492935830</v>
      </c>
      <c r="H2949" t="s">
        <v>35</v>
      </c>
      <c r="I2949" s="36">
        <v>4530.6000000000004</v>
      </c>
      <c r="J2949" s="36">
        <v>2851.6038560000002</v>
      </c>
      <c r="K2949" s="85">
        <v>1678.996144</v>
      </c>
      <c r="L2949" s="36">
        <v>237.6336546</v>
      </c>
      <c r="M2949" s="36">
        <v>0</v>
      </c>
      <c r="N2949" s="36">
        <v>237.6336546</v>
      </c>
      <c r="O2949" s="36">
        <v>0</v>
      </c>
      <c r="P2949" t="s">
        <v>804</v>
      </c>
      <c r="Q2949" t="s">
        <v>191</v>
      </c>
      <c r="R2949" t="s">
        <v>191</v>
      </c>
      <c r="S2949" s="1">
        <v>46106</v>
      </c>
      <c r="T2949" s="1">
        <v>46106</v>
      </c>
      <c r="V2949" s="1">
        <v>46471</v>
      </c>
      <c r="W2949" t="s">
        <v>38</v>
      </c>
      <c r="Y2949" t="s">
        <v>49</v>
      </c>
      <c r="AA2949" t="s">
        <v>117</v>
      </c>
      <c r="AB2949">
        <v>1</v>
      </c>
      <c r="AC2949" t="s">
        <v>192</v>
      </c>
      <c r="AD2949" t="s">
        <v>84</v>
      </c>
      <c r="AE2949" t="s">
        <v>43</v>
      </c>
      <c r="AF2949" t="s">
        <v>44</v>
      </c>
      <c r="AG2949" t="str">
        <f t="shared" si="49"/>
        <v>À Vista</v>
      </c>
      <c r="AH2949" t="str">
        <f>IF(AND(SUMIF(E:E,E2949,I:I)&gt;=400000,Q2949="B2G"),"n","")</f>
        <v/>
      </c>
    </row>
    <row r="2950" spans="1:34">
      <c r="A2950">
        <v>2026</v>
      </c>
      <c r="B2950">
        <v>3</v>
      </c>
      <c r="C2950" s="83">
        <v>53077302820</v>
      </c>
      <c r="D2950" t="s">
        <v>2634</v>
      </c>
      <c r="E2950">
        <v>58058276425</v>
      </c>
      <c r="F2950">
        <v>636686</v>
      </c>
      <c r="G2950">
        <v>53492935831</v>
      </c>
      <c r="H2950" t="s">
        <v>35</v>
      </c>
      <c r="I2950" s="36">
        <v>3490.44</v>
      </c>
      <c r="J2950" s="36">
        <v>2196.954765</v>
      </c>
      <c r="K2950" s="85">
        <v>1293.4852350000001</v>
      </c>
      <c r="L2950" s="36">
        <v>183.07956369999999</v>
      </c>
      <c r="M2950" s="36">
        <v>0</v>
      </c>
      <c r="N2950" s="36">
        <v>183.07956369999999</v>
      </c>
      <c r="O2950" s="36">
        <v>0</v>
      </c>
      <c r="P2950" t="s">
        <v>804</v>
      </c>
      <c r="Q2950" t="s">
        <v>191</v>
      </c>
      <c r="R2950" t="s">
        <v>191</v>
      </c>
      <c r="S2950" s="1">
        <v>46106</v>
      </c>
      <c r="T2950" s="1">
        <v>46106</v>
      </c>
      <c r="V2950" s="1">
        <v>46471</v>
      </c>
      <c r="W2950" t="s">
        <v>38</v>
      </c>
      <c r="Y2950" t="s">
        <v>49</v>
      </c>
      <c r="AA2950" t="s">
        <v>117</v>
      </c>
      <c r="AB2950">
        <v>1</v>
      </c>
      <c r="AC2950" t="s">
        <v>192</v>
      </c>
      <c r="AD2950" t="s">
        <v>256</v>
      </c>
      <c r="AE2950" t="s">
        <v>257</v>
      </c>
      <c r="AF2950" t="s">
        <v>59</v>
      </c>
      <c r="AG2950" t="str">
        <f t="shared" si="49"/>
        <v>À Vista</v>
      </c>
      <c r="AH2950" t="str">
        <f>IF(AND(SUMIF(E:E,E2950,I:I)&gt;=400000,Q2950="B2G"),"n","")</f>
        <v/>
      </c>
    </row>
    <row r="2951" spans="1:34">
      <c r="A2951">
        <v>2026</v>
      </c>
      <c r="B2951">
        <v>3</v>
      </c>
      <c r="C2951" s="83">
        <v>53080862014</v>
      </c>
      <c r="D2951" t="s">
        <v>2635</v>
      </c>
      <c r="E2951">
        <v>58053357970</v>
      </c>
      <c r="F2951">
        <v>636613</v>
      </c>
      <c r="G2951">
        <v>53342965897</v>
      </c>
      <c r="H2951" t="s">
        <v>35</v>
      </c>
      <c r="I2951" s="36">
        <v>4890.84</v>
      </c>
      <c r="J2951" s="36">
        <v>4890.8999999999996</v>
      </c>
      <c r="K2951" s="85">
        <v>0</v>
      </c>
      <c r="L2951" s="36">
        <v>407.57499999999999</v>
      </c>
      <c r="M2951" s="36">
        <v>407.57499999999999</v>
      </c>
      <c r="N2951" s="36">
        <v>0</v>
      </c>
      <c r="O2951" s="36">
        <v>0</v>
      </c>
      <c r="P2951" t="s">
        <v>313</v>
      </c>
      <c r="Q2951" t="s">
        <v>314</v>
      </c>
      <c r="R2951" t="s">
        <v>314</v>
      </c>
      <c r="S2951" s="1">
        <v>46101</v>
      </c>
      <c r="T2951" s="1">
        <v>46101</v>
      </c>
      <c r="U2951" s="1"/>
      <c r="V2951" s="1">
        <v>46466</v>
      </c>
      <c r="W2951" t="s">
        <v>38</v>
      </c>
      <c r="X2951">
        <v>12</v>
      </c>
      <c r="Y2951" t="s">
        <v>49</v>
      </c>
      <c r="AA2951" t="s">
        <v>112</v>
      </c>
      <c r="AB2951">
        <v>12</v>
      </c>
      <c r="AC2951" t="s">
        <v>315</v>
      </c>
      <c r="AD2951" t="s">
        <v>85</v>
      </c>
      <c r="AE2951" t="s">
        <v>46</v>
      </c>
      <c r="AF2951" t="s">
        <v>44</v>
      </c>
      <c r="AG2951" t="str">
        <f t="shared" si="49"/>
        <v>CC 12x</v>
      </c>
      <c r="AH2951" t="str">
        <f>IF(AND(SUMIF(E:E,E2951,I:I)&gt;=400000,Q2951="B2G"),"n","")</f>
        <v/>
      </c>
    </row>
    <row r="2952" spans="1:34">
      <c r="A2952">
        <v>2026</v>
      </c>
      <c r="B2952">
        <v>3</v>
      </c>
      <c r="C2952" s="83">
        <v>53080947260</v>
      </c>
      <c r="D2952" t="s">
        <v>2636</v>
      </c>
      <c r="E2952">
        <v>58206457115</v>
      </c>
      <c r="F2952">
        <v>636620</v>
      </c>
      <c r="G2952">
        <v>53409053187</v>
      </c>
      <c r="H2952" t="s">
        <v>35</v>
      </c>
      <c r="I2952" s="36">
        <v>5466.24</v>
      </c>
      <c r="J2952" s="36">
        <v>5466.3</v>
      </c>
      <c r="K2952" s="85">
        <v>0</v>
      </c>
      <c r="L2952" s="36">
        <v>455.52499999999998</v>
      </c>
      <c r="M2952" s="36">
        <v>455.52499999999998</v>
      </c>
      <c r="N2952" s="36">
        <v>0</v>
      </c>
      <c r="O2952" s="36">
        <v>0</v>
      </c>
      <c r="P2952" t="s">
        <v>348</v>
      </c>
      <c r="Q2952" t="s">
        <v>349</v>
      </c>
      <c r="R2952" t="s">
        <v>349</v>
      </c>
      <c r="S2952" s="1">
        <v>46101</v>
      </c>
      <c r="T2952" s="1">
        <v>46101</v>
      </c>
      <c r="V2952" s="1">
        <v>46466</v>
      </c>
      <c r="W2952" t="s">
        <v>38</v>
      </c>
      <c r="X2952">
        <v>12</v>
      </c>
      <c r="Y2952" t="s">
        <v>49</v>
      </c>
      <c r="AA2952" t="s">
        <v>112</v>
      </c>
      <c r="AB2952">
        <v>12</v>
      </c>
      <c r="AC2952" t="s">
        <v>350</v>
      </c>
      <c r="AD2952" t="s">
        <v>85</v>
      </c>
      <c r="AE2952" t="s">
        <v>46</v>
      </c>
      <c r="AF2952" t="s">
        <v>44</v>
      </c>
      <c r="AG2952" t="str">
        <f t="shared" si="49"/>
        <v>CC 12x</v>
      </c>
      <c r="AH2952" t="str">
        <f>IF(AND(SUMIF(E:E,E2952,I:I)&gt;=400000,Q2952="B2G"),"n","")</f>
        <v/>
      </c>
    </row>
    <row r="2953" spans="1:34">
      <c r="A2953">
        <v>2026</v>
      </c>
      <c r="B2953">
        <v>3</v>
      </c>
      <c r="C2953" s="83">
        <v>53080992946</v>
      </c>
      <c r="D2953" t="s">
        <v>2637</v>
      </c>
      <c r="E2953">
        <v>58150139056</v>
      </c>
      <c r="F2953">
        <v>636621</v>
      </c>
      <c r="G2953">
        <v>53409876655</v>
      </c>
      <c r="H2953" t="s">
        <v>35</v>
      </c>
      <c r="I2953" s="36">
        <v>4256.04</v>
      </c>
      <c r="J2953" s="36">
        <v>1503.621326</v>
      </c>
      <c r="K2953" s="85">
        <v>2752.418674</v>
      </c>
      <c r="L2953" s="36">
        <v>125.3017772</v>
      </c>
      <c r="M2953" s="36">
        <v>0</v>
      </c>
      <c r="N2953" s="36">
        <v>125.3017772</v>
      </c>
      <c r="O2953" s="36">
        <v>0</v>
      </c>
      <c r="P2953" t="s">
        <v>520</v>
      </c>
      <c r="Q2953" t="s">
        <v>191</v>
      </c>
      <c r="R2953" t="s">
        <v>191</v>
      </c>
      <c r="S2953" s="1">
        <v>46101</v>
      </c>
      <c r="T2953" s="1">
        <v>46101</v>
      </c>
      <c r="U2953" s="1"/>
      <c r="V2953" s="1">
        <v>46466</v>
      </c>
      <c r="W2953" t="s">
        <v>38</v>
      </c>
      <c r="Y2953" t="s">
        <v>49</v>
      </c>
      <c r="AA2953" t="s">
        <v>112</v>
      </c>
      <c r="AB2953">
        <v>12</v>
      </c>
      <c r="AC2953" t="s">
        <v>192</v>
      </c>
      <c r="AD2953" t="s">
        <v>84</v>
      </c>
      <c r="AE2953" t="s">
        <v>43</v>
      </c>
      <c r="AF2953" t="s">
        <v>44</v>
      </c>
      <c r="AG2953" t="str">
        <f t="shared" si="49"/>
        <v>CC 12x</v>
      </c>
      <c r="AH2953" t="str">
        <f>IF(AND(SUMIF(E:E,E2953,I:I)&gt;=400000,Q2953="B2G"),"n","")</f>
        <v/>
      </c>
    </row>
    <row r="2954" spans="1:34">
      <c r="A2954">
        <v>2026</v>
      </c>
      <c r="B2954">
        <v>3</v>
      </c>
      <c r="C2954" s="83">
        <v>53080992946</v>
      </c>
      <c r="D2954" t="s">
        <v>2637</v>
      </c>
      <c r="E2954">
        <v>58150139056</v>
      </c>
      <c r="F2954">
        <v>636621</v>
      </c>
      <c r="G2954">
        <v>53409876656</v>
      </c>
      <c r="H2954" t="s">
        <v>35</v>
      </c>
      <c r="I2954" s="36">
        <v>10743.96</v>
      </c>
      <c r="J2954" s="36">
        <v>3795.7925740000001</v>
      </c>
      <c r="K2954" s="85">
        <v>6948.167426</v>
      </c>
      <c r="L2954" s="36">
        <v>316.31604779999998</v>
      </c>
      <c r="M2954" s="36">
        <v>0</v>
      </c>
      <c r="N2954" s="36">
        <v>316.31604779999998</v>
      </c>
      <c r="O2954" s="36">
        <v>0</v>
      </c>
      <c r="P2954" t="s">
        <v>520</v>
      </c>
      <c r="Q2954" t="s">
        <v>191</v>
      </c>
      <c r="R2954" t="s">
        <v>191</v>
      </c>
      <c r="S2954" s="1">
        <v>46101</v>
      </c>
      <c r="T2954" s="1">
        <v>46101</v>
      </c>
      <c r="V2954" s="1">
        <v>46466</v>
      </c>
      <c r="W2954" t="s">
        <v>38</v>
      </c>
      <c r="Y2954" t="s">
        <v>49</v>
      </c>
      <c r="AA2954" t="s">
        <v>112</v>
      </c>
      <c r="AB2954">
        <v>12</v>
      </c>
      <c r="AC2954" t="s">
        <v>192</v>
      </c>
      <c r="AD2954" t="s">
        <v>149</v>
      </c>
      <c r="AE2954" t="s">
        <v>43</v>
      </c>
      <c r="AF2954" t="s">
        <v>96</v>
      </c>
      <c r="AG2954" t="str">
        <f t="shared" si="49"/>
        <v>CC 12x</v>
      </c>
      <c r="AH2954" t="str">
        <f>IF(AND(SUMIF(E:E,E2954,I:I)&gt;=400000,Q2954="B2G"),"n","")</f>
        <v/>
      </c>
    </row>
    <row r="2955" spans="1:34">
      <c r="A2955">
        <v>2026</v>
      </c>
      <c r="B2955">
        <v>3</v>
      </c>
      <c r="C2955" s="83">
        <v>53081009035</v>
      </c>
      <c r="D2955" t="s">
        <v>2638</v>
      </c>
      <c r="E2955">
        <v>58252287526</v>
      </c>
      <c r="F2955">
        <v>636752</v>
      </c>
      <c r="G2955">
        <v>53666784676</v>
      </c>
      <c r="H2955" t="s">
        <v>35</v>
      </c>
      <c r="I2955" s="36">
        <v>2874</v>
      </c>
      <c r="J2955" s="36">
        <v>2874</v>
      </c>
      <c r="K2955" s="85">
        <v>0</v>
      </c>
      <c r="L2955" s="36">
        <v>239.5</v>
      </c>
      <c r="M2955" s="36">
        <v>239.5</v>
      </c>
      <c r="N2955" s="36">
        <v>0</v>
      </c>
      <c r="O2955" s="36">
        <v>0</v>
      </c>
      <c r="P2955" t="s">
        <v>129</v>
      </c>
      <c r="Q2955" t="s">
        <v>91</v>
      </c>
      <c r="R2955" t="s">
        <v>91</v>
      </c>
      <c r="S2955" s="1">
        <v>46109</v>
      </c>
      <c r="T2955" s="1">
        <v>46109</v>
      </c>
      <c r="V2955" s="1">
        <v>46489</v>
      </c>
      <c r="W2955" t="s">
        <v>38</v>
      </c>
      <c r="X2955">
        <v>13</v>
      </c>
      <c r="Y2955" t="s">
        <v>49</v>
      </c>
      <c r="AA2955" t="s">
        <v>92</v>
      </c>
      <c r="AB2955">
        <v>12</v>
      </c>
      <c r="AC2955" t="s">
        <v>93</v>
      </c>
      <c r="AD2955" t="s">
        <v>140</v>
      </c>
      <c r="AE2955" t="s">
        <v>46</v>
      </c>
      <c r="AF2955" t="s">
        <v>119</v>
      </c>
      <c r="AG2955" t="str">
        <f t="shared" si="49"/>
        <v>Recorrente</v>
      </c>
      <c r="AH2955" t="str">
        <f>IF(AND(SUMIF(E:E,E2955,I:I)&gt;=400000,Q2955="B2G"),"n","")</f>
        <v/>
      </c>
    </row>
    <row r="2956" spans="1:34">
      <c r="A2956">
        <v>2026</v>
      </c>
      <c r="B2956">
        <v>3</v>
      </c>
      <c r="C2956" s="83">
        <v>53101993852</v>
      </c>
      <c r="D2956" t="s">
        <v>2639</v>
      </c>
      <c r="E2956">
        <v>58170299149</v>
      </c>
      <c r="F2956">
        <v>636602</v>
      </c>
      <c r="G2956">
        <v>53377600837</v>
      </c>
      <c r="H2956" t="s">
        <v>35</v>
      </c>
      <c r="I2956" s="36">
        <v>2874</v>
      </c>
      <c r="J2956" s="36">
        <v>2874</v>
      </c>
      <c r="K2956" s="85">
        <v>0</v>
      </c>
      <c r="L2956" s="36">
        <v>239.5</v>
      </c>
      <c r="M2956" s="36">
        <v>239.5</v>
      </c>
      <c r="N2956" s="36">
        <v>0</v>
      </c>
      <c r="O2956" s="36">
        <v>0</v>
      </c>
      <c r="P2956" t="s">
        <v>497</v>
      </c>
      <c r="Q2956" t="s">
        <v>498</v>
      </c>
      <c r="R2956" t="s">
        <v>498</v>
      </c>
      <c r="S2956" s="1">
        <v>46100</v>
      </c>
      <c r="T2956" s="1">
        <v>46100</v>
      </c>
      <c r="V2956" s="1">
        <v>46465</v>
      </c>
      <c r="W2956" t="s">
        <v>38</v>
      </c>
      <c r="X2956">
        <v>12</v>
      </c>
      <c r="Y2956" t="s">
        <v>49</v>
      </c>
      <c r="AA2956" t="s">
        <v>112</v>
      </c>
      <c r="AB2956">
        <v>12</v>
      </c>
      <c r="AC2956" t="s">
        <v>499</v>
      </c>
      <c r="AD2956" t="s">
        <v>140</v>
      </c>
      <c r="AE2956" t="s">
        <v>46</v>
      </c>
      <c r="AF2956" t="s">
        <v>119</v>
      </c>
      <c r="AG2956" t="str">
        <f t="shared" si="49"/>
        <v>CC 12x</v>
      </c>
      <c r="AH2956" t="str">
        <f>IF(AND(SUMIF(E:E,E2956,I:I)&gt;=400000,Q2956="B2G"),"n","")</f>
        <v/>
      </c>
    </row>
    <row r="2957" spans="1:34">
      <c r="A2957">
        <v>2026</v>
      </c>
      <c r="B2957">
        <v>3</v>
      </c>
      <c r="C2957" s="83">
        <v>53122660199</v>
      </c>
      <c r="D2957" t="s">
        <v>2640</v>
      </c>
      <c r="E2957">
        <v>58168281475</v>
      </c>
      <c r="F2957">
        <v>636599</v>
      </c>
      <c r="G2957">
        <v>53386614946</v>
      </c>
      <c r="H2957" t="s">
        <v>35</v>
      </c>
      <c r="I2957" s="36">
        <v>2874</v>
      </c>
      <c r="J2957" s="36">
        <v>2874</v>
      </c>
      <c r="K2957" s="85">
        <v>0</v>
      </c>
      <c r="L2957" s="36">
        <v>239.5</v>
      </c>
      <c r="M2957" s="36">
        <v>239.5</v>
      </c>
      <c r="N2957" s="36">
        <v>0</v>
      </c>
      <c r="O2957" s="36">
        <v>0</v>
      </c>
      <c r="P2957" t="s">
        <v>497</v>
      </c>
      <c r="Q2957" t="s">
        <v>498</v>
      </c>
      <c r="R2957" t="s">
        <v>498</v>
      </c>
      <c r="S2957" s="1">
        <v>46100</v>
      </c>
      <c r="T2957" s="1">
        <v>46100</v>
      </c>
      <c r="U2957" s="1"/>
      <c r="V2957" s="1">
        <v>46465</v>
      </c>
      <c r="W2957" t="s">
        <v>38</v>
      </c>
      <c r="X2957">
        <v>12</v>
      </c>
      <c r="Y2957" t="s">
        <v>49</v>
      </c>
      <c r="AA2957" t="s">
        <v>112</v>
      </c>
      <c r="AB2957">
        <v>12</v>
      </c>
      <c r="AC2957" t="s">
        <v>499</v>
      </c>
      <c r="AD2957" t="s">
        <v>140</v>
      </c>
      <c r="AE2957" t="s">
        <v>46</v>
      </c>
      <c r="AF2957" t="s">
        <v>119</v>
      </c>
      <c r="AG2957" t="str">
        <f t="shared" si="49"/>
        <v>CC 12x</v>
      </c>
      <c r="AH2957" t="str">
        <f>IF(AND(SUMIF(E:E,E2957,I:I)&gt;=400000,Q2957="B2G"),"n","")</f>
        <v/>
      </c>
    </row>
    <row r="2958" spans="1:34">
      <c r="A2958">
        <v>2026</v>
      </c>
      <c r="B2958">
        <v>3</v>
      </c>
      <c r="C2958" s="83">
        <v>53141270957</v>
      </c>
      <c r="D2958" t="s">
        <v>2641</v>
      </c>
      <c r="E2958">
        <v>58251552057</v>
      </c>
      <c r="F2958">
        <v>281434</v>
      </c>
      <c r="G2958">
        <v>53455489617</v>
      </c>
      <c r="H2958" t="s">
        <v>35</v>
      </c>
      <c r="I2958" s="36">
        <v>473.52</v>
      </c>
      <c r="J2958" s="36">
        <v>3843.7049999999999</v>
      </c>
      <c r="K2958" s="85">
        <v>0</v>
      </c>
      <c r="L2958" s="36">
        <v>320.30874999999997</v>
      </c>
      <c r="M2958" s="36">
        <v>0</v>
      </c>
      <c r="N2958" s="36">
        <v>320.30874999999997</v>
      </c>
      <c r="O2958" s="36">
        <v>0</v>
      </c>
      <c r="P2958" t="s">
        <v>190</v>
      </c>
      <c r="Q2958" t="s">
        <v>191</v>
      </c>
      <c r="R2958" t="s">
        <v>191</v>
      </c>
      <c r="S2958" s="1">
        <v>46105</v>
      </c>
      <c r="T2958" s="1">
        <v>46105</v>
      </c>
      <c r="U2958" s="1">
        <v>46150</v>
      </c>
      <c r="V2958" s="1">
        <v>46150</v>
      </c>
      <c r="W2958" t="s">
        <v>56</v>
      </c>
      <c r="X2958">
        <v>2</v>
      </c>
      <c r="Y2958" t="s">
        <v>49</v>
      </c>
      <c r="Z2958" t="s">
        <v>324</v>
      </c>
      <c r="AA2958" t="s">
        <v>122</v>
      </c>
      <c r="AB2958">
        <v>1</v>
      </c>
      <c r="AC2958" t="s">
        <v>192</v>
      </c>
      <c r="AD2958" t="s">
        <v>134</v>
      </c>
      <c r="AE2958" t="s">
        <v>135</v>
      </c>
      <c r="AF2958" t="s">
        <v>44</v>
      </c>
      <c r="AG2958" t="str">
        <f t="shared" si="49"/>
        <v>Recorrente</v>
      </c>
      <c r="AH2958" t="str">
        <f>IF(AND(SUMIF(E:E,E2958,I:I)&gt;=400000,Q2958="B2G"),"n","")</f>
        <v/>
      </c>
    </row>
    <row r="2959" spans="1:34">
      <c r="A2959">
        <v>2026</v>
      </c>
      <c r="B2959">
        <v>3</v>
      </c>
      <c r="C2959" s="83">
        <v>53141385282</v>
      </c>
      <c r="D2959" t="s">
        <v>2642</v>
      </c>
      <c r="E2959">
        <v>58208784397</v>
      </c>
      <c r="F2959">
        <v>636633</v>
      </c>
      <c r="G2959">
        <v>53409986163</v>
      </c>
      <c r="H2959" t="s">
        <v>35</v>
      </c>
      <c r="I2959" s="36">
        <v>5178.6000000000004</v>
      </c>
      <c r="J2959" s="36">
        <v>5178.6000000000004</v>
      </c>
      <c r="K2959" s="85">
        <v>0</v>
      </c>
      <c r="L2959" s="36">
        <v>431.55</v>
      </c>
      <c r="M2959" s="36">
        <v>431.55</v>
      </c>
      <c r="N2959" s="36">
        <v>0</v>
      </c>
      <c r="O2959" s="36">
        <v>0</v>
      </c>
      <c r="P2959" t="s">
        <v>129</v>
      </c>
      <c r="Q2959" t="s">
        <v>91</v>
      </c>
      <c r="R2959" t="s">
        <v>91</v>
      </c>
      <c r="S2959" s="1">
        <v>46104</v>
      </c>
      <c r="T2959" s="1">
        <v>46104</v>
      </c>
      <c r="V2959" s="1">
        <v>46469</v>
      </c>
      <c r="W2959" t="s">
        <v>38</v>
      </c>
      <c r="X2959">
        <v>12</v>
      </c>
      <c r="Y2959" t="s">
        <v>49</v>
      </c>
      <c r="AA2959" t="s">
        <v>117</v>
      </c>
      <c r="AB2959">
        <v>1</v>
      </c>
      <c r="AC2959" t="s">
        <v>93</v>
      </c>
      <c r="AD2959" t="s">
        <v>85</v>
      </c>
      <c r="AE2959" t="s">
        <v>46</v>
      </c>
      <c r="AF2959" t="s">
        <v>44</v>
      </c>
      <c r="AG2959" t="str">
        <f t="shared" si="49"/>
        <v>À Vista</v>
      </c>
      <c r="AH2959" t="str">
        <f>IF(AND(SUMIF(E:E,E2959,I:I)&gt;=400000,Q2959="B2G"),"n","")</f>
        <v/>
      </c>
    </row>
    <row r="2960" spans="1:34">
      <c r="A2960">
        <v>2026</v>
      </c>
      <c r="B2960">
        <v>3</v>
      </c>
      <c r="C2960" s="83">
        <v>53141391753</v>
      </c>
      <c r="D2960" t="s">
        <v>2643</v>
      </c>
      <c r="E2960">
        <v>58253428560</v>
      </c>
      <c r="F2960">
        <v>636679</v>
      </c>
      <c r="G2960">
        <v>53490726457</v>
      </c>
      <c r="H2960" t="s">
        <v>35</v>
      </c>
      <c r="I2960" s="36">
        <v>2787.72</v>
      </c>
      <c r="J2960" s="36">
        <v>2787.78</v>
      </c>
      <c r="K2960" s="85">
        <v>0</v>
      </c>
      <c r="L2960" s="36">
        <v>232.315</v>
      </c>
      <c r="M2960" s="36">
        <v>232.315</v>
      </c>
      <c r="N2960" s="36">
        <v>0</v>
      </c>
      <c r="O2960" s="36">
        <v>0</v>
      </c>
      <c r="P2960" t="s">
        <v>348</v>
      </c>
      <c r="Q2960" t="s">
        <v>349</v>
      </c>
      <c r="R2960" t="s">
        <v>349</v>
      </c>
      <c r="S2960" s="1">
        <v>46105</v>
      </c>
      <c r="T2960" s="1">
        <v>46105</v>
      </c>
      <c r="U2960" s="1"/>
      <c r="V2960" s="1">
        <v>46470</v>
      </c>
      <c r="W2960" t="s">
        <v>38</v>
      </c>
      <c r="X2960">
        <v>12</v>
      </c>
      <c r="Y2960" t="s">
        <v>49</v>
      </c>
      <c r="AA2960" t="s">
        <v>112</v>
      </c>
      <c r="AB2960">
        <v>12</v>
      </c>
      <c r="AC2960" t="s">
        <v>350</v>
      </c>
      <c r="AD2960" t="s">
        <v>118</v>
      </c>
      <c r="AE2960" t="s">
        <v>43</v>
      </c>
      <c r="AF2960" t="s">
        <v>119</v>
      </c>
      <c r="AG2960" t="str">
        <f t="shared" si="49"/>
        <v>CC 12x</v>
      </c>
      <c r="AH2960" t="str">
        <f>IF(AND(SUMIF(E:E,E2960,I:I)&gt;=400000,Q2960="B2G"),"n","")</f>
        <v/>
      </c>
    </row>
    <row r="2961" spans="1:34">
      <c r="A2961">
        <v>2026</v>
      </c>
      <c r="B2961">
        <v>3</v>
      </c>
      <c r="C2961" s="83">
        <v>53141391753</v>
      </c>
      <c r="D2961" t="s">
        <v>2643</v>
      </c>
      <c r="E2961">
        <v>58253428560</v>
      </c>
      <c r="F2961">
        <v>636679</v>
      </c>
      <c r="G2961">
        <v>53490726458</v>
      </c>
      <c r="H2961" t="s">
        <v>35</v>
      </c>
      <c r="I2961" s="36">
        <v>2787.72</v>
      </c>
      <c r="J2961" s="36">
        <v>2787.78</v>
      </c>
      <c r="K2961" s="85">
        <v>0</v>
      </c>
      <c r="L2961" s="36">
        <v>232.315</v>
      </c>
      <c r="M2961" s="36">
        <v>232.315</v>
      </c>
      <c r="N2961" s="36">
        <v>0</v>
      </c>
      <c r="O2961" s="36">
        <v>0</v>
      </c>
      <c r="P2961" t="s">
        <v>348</v>
      </c>
      <c r="Q2961" t="s">
        <v>349</v>
      </c>
      <c r="R2961" t="s">
        <v>349</v>
      </c>
      <c r="S2961" s="1">
        <v>46105</v>
      </c>
      <c r="T2961" s="1">
        <v>46105</v>
      </c>
      <c r="V2961" s="1">
        <v>46470</v>
      </c>
      <c r="W2961" t="s">
        <v>38</v>
      </c>
      <c r="X2961">
        <v>12</v>
      </c>
      <c r="Y2961" t="s">
        <v>49</v>
      </c>
      <c r="AA2961" t="s">
        <v>112</v>
      </c>
      <c r="AB2961">
        <v>12</v>
      </c>
      <c r="AC2961" t="s">
        <v>350</v>
      </c>
      <c r="AD2961" t="s">
        <v>140</v>
      </c>
      <c r="AE2961" t="s">
        <v>46</v>
      </c>
      <c r="AF2961" t="s">
        <v>119</v>
      </c>
      <c r="AG2961" t="str">
        <f t="shared" si="49"/>
        <v>CC 12x</v>
      </c>
      <c r="AH2961" t="str">
        <f>IF(AND(SUMIF(E:E,E2961,I:I)&gt;=400000,Q2961="B2G"),"n","")</f>
        <v/>
      </c>
    </row>
    <row r="2962" spans="1:34">
      <c r="A2962">
        <v>2026</v>
      </c>
      <c r="B2962">
        <v>3</v>
      </c>
      <c r="C2962" s="83">
        <v>53141510739</v>
      </c>
      <c r="D2962" t="s">
        <v>2644</v>
      </c>
      <c r="E2962">
        <v>58248042768</v>
      </c>
      <c r="F2962">
        <v>636636</v>
      </c>
      <c r="G2962">
        <v>53451257435</v>
      </c>
      <c r="H2962" t="s">
        <v>35</v>
      </c>
      <c r="I2962" s="36">
        <v>2874</v>
      </c>
      <c r="J2962" s="36">
        <v>2874</v>
      </c>
      <c r="K2962" s="85">
        <v>0</v>
      </c>
      <c r="L2962" s="36">
        <v>239.5</v>
      </c>
      <c r="M2962" s="36">
        <v>239.5</v>
      </c>
      <c r="N2962" s="36">
        <v>0</v>
      </c>
      <c r="O2962" s="36">
        <v>0</v>
      </c>
      <c r="P2962" t="s">
        <v>348</v>
      </c>
      <c r="Q2962" t="s">
        <v>349</v>
      </c>
      <c r="R2962" t="s">
        <v>349</v>
      </c>
      <c r="S2962" s="1">
        <v>46104</v>
      </c>
      <c r="T2962" s="1">
        <v>46104</v>
      </c>
      <c r="U2962" s="1"/>
      <c r="V2962" s="1">
        <v>46469</v>
      </c>
      <c r="W2962" t="s">
        <v>38</v>
      </c>
      <c r="X2962">
        <v>12</v>
      </c>
      <c r="Y2962" t="s">
        <v>49</v>
      </c>
      <c r="AA2962" t="s">
        <v>122</v>
      </c>
      <c r="AB2962">
        <v>12</v>
      </c>
      <c r="AC2962" t="s">
        <v>350</v>
      </c>
      <c r="AD2962" t="s">
        <v>118</v>
      </c>
      <c r="AE2962" t="s">
        <v>43</v>
      </c>
      <c r="AF2962" t="s">
        <v>119</v>
      </c>
      <c r="AG2962" t="str">
        <f t="shared" si="49"/>
        <v>Recorrente</v>
      </c>
      <c r="AH2962" t="str">
        <f>IF(AND(SUMIF(E:E,E2962,I:I)&gt;=400000,Q2962="B2G"),"n","")</f>
        <v/>
      </c>
    </row>
    <row r="2963" spans="1:34">
      <c r="A2963">
        <v>2026</v>
      </c>
      <c r="B2963">
        <v>3</v>
      </c>
      <c r="C2963" s="83">
        <v>53211378499</v>
      </c>
      <c r="D2963" t="s">
        <v>2645</v>
      </c>
      <c r="E2963">
        <v>58331654803</v>
      </c>
      <c r="F2963">
        <v>636749</v>
      </c>
      <c r="G2963">
        <v>53530318393</v>
      </c>
      <c r="H2963" t="s">
        <v>35</v>
      </c>
      <c r="I2963" s="36">
        <v>2644.08</v>
      </c>
      <c r="J2963" s="36">
        <v>2644.08</v>
      </c>
      <c r="K2963" s="85">
        <v>0</v>
      </c>
      <c r="L2963" s="36">
        <v>220.34</v>
      </c>
      <c r="M2963" s="36">
        <v>220.34</v>
      </c>
      <c r="N2963" s="36">
        <v>0</v>
      </c>
      <c r="O2963" s="36">
        <v>0</v>
      </c>
      <c r="P2963" t="s">
        <v>129</v>
      </c>
      <c r="Q2963" t="s">
        <v>91</v>
      </c>
      <c r="R2963" t="s">
        <v>91</v>
      </c>
      <c r="S2963" s="1">
        <v>46109</v>
      </c>
      <c r="T2963" s="1">
        <v>46109</v>
      </c>
      <c r="U2963" s="1"/>
      <c r="V2963" s="1">
        <v>46474</v>
      </c>
      <c r="W2963" t="s">
        <v>38</v>
      </c>
      <c r="X2963">
        <v>12</v>
      </c>
      <c r="Y2963" t="s">
        <v>49</v>
      </c>
      <c r="AA2963" t="s">
        <v>112</v>
      </c>
      <c r="AB2963">
        <v>1</v>
      </c>
      <c r="AC2963" t="s">
        <v>93</v>
      </c>
      <c r="AD2963" t="s">
        <v>140</v>
      </c>
      <c r="AE2963" t="s">
        <v>46</v>
      </c>
      <c r="AF2963" t="s">
        <v>119</v>
      </c>
      <c r="AG2963" t="str">
        <f t="shared" si="49"/>
        <v>À Vista</v>
      </c>
      <c r="AH2963" t="str">
        <f>IF(AND(SUMIF(E:E,E2963,I:I)&gt;=400000,Q2963="B2G"),"n","")</f>
        <v/>
      </c>
    </row>
    <row r="2964" spans="1:34">
      <c r="A2964">
        <v>2026</v>
      </c>
      <c r="B2964">
        <v>3</v>
      </c>
      <c r="C2964" s="83">
        <v>53211446184</v>
      </c>
      <c r="D2964" t="s">
        <v>2646</v>
      </c>
      <c r="E2964">
        <v>58345126492</v>
      </c>
      <c r="F2964">
        <v>636703</v>
      </c>
      <c r="G2964">
        <v>53531024652</v>
      </c>
      <c r="H2964" t="s">
        <v>35</v>
      </c>
      <c r="I2964" s="36">
        <v>7794</v>
      </c>
      <c r="J2964" s="36">
        <v>7794</v>
      </c>
      <c r="K2964" s="85">
        <v>0</v>
      </c>
      <c r="L2964" s="36">
        <v>649.5</v>
      </c>
      <c r="M2964" s="36">
        <v>649.5</v>
      </c>
      <c r="N2964" s="36">
        <v>0</v>
      </c>
      <c r="O2964" s="36">
        <v>0</v>
      </c>
      <c r="P2964" t="s">
        <v>129</v>
      </c>
      <c r="Q2964" t="s">
        <v>91</v>
      </c>
      <c r="R2964" t="s">
        <v>91</v>
      </c>
      <c r="S2964" s="1">
        <v>46106</v>
      </c>
      <c r="T2964" s="1">
        <v>46106</v>
      </c>
      <c r="U2964" s="1"/>
      <c r="V2964" s="1">
        <v>46478</v>
      </c>
      <c r="W2964" t="s">
        <v>38</v>
      </c>
      <c r="X2964">
        <v>13</v>
      </c>
      <c r="Y2964" t="s">
        <v>49</v>
      </c>
      <c r="AA2964" t="s">
        <v>92</v>
      </c>
      <c r="AB2964">
        <v>12</v>
      </c>
      <c r="AC2964" t="s">
        <v>93</v>
      </c>
      <c r="AD2964" t="s">
        <v>125</v>
      </c>
      <c r="AE2964" t="s">
        <v>43</v>
      </c>
      <c r="AF2964" t="s">
        <v>47</v>
      </c>
      <c r="AG2964" t="str">
        <f t="shared" si="49"/>
        <v>Recorrente</v>
      </c>
      <c r="AH2964" t="str">
        <f>IF(AND(SUMIF(E:E,E2964,I:I)&gt;=400000,Q2964="B2G"),"n","")</f>
        <v/>
      </c>
    </row>
    <row r="2965" spans="1:34">
      <c r="A2965">
        <v>2026</v>
      </c>
      <c r="B2965">
        <v>3</v>
      </c>
      <c r="C2965" s="83">
        <v>53211561141</v>
      </c>
      <c r="D2965" t="s">
        <v>2647</v>
      </c>
      <c r="E2965">
        <v>58062977193</v>
      </c>
      <c r="F2965">
        <v>636560</v>
      </c>
      <c r="G2965">
        <v>53317225223</v>
      </c>
      <c r="H2965" t="s">
        <v>35</v>
      </c>
      <c r="I2965" s="36">
        <v>14496</v>
      </c>
      <c r="J2965" s="36">
        <v>14496</v>
      </c>
      <c r="K2965" s="85">
        <v>0</v>
      </c>
      <c r="L2965" s="36">
        <v>1208</v>
      </c>
      <c r="M2965" s="36">
        <v>1208</v>
      </c>
      <c r="N2965" s="36">
        <v>0</v>
      </c>
      <c r="O2965" s="36">
        <v>0</v>
      </c>
      <c r="P2965" t="s">
        <v>36</v>
      </c>
      <c r="Q2965" t="s">
        <v>37</v>
      </c>
      <c r="R2965" t="s">
        <v>37</v>
      </c>
      <c r="S2965" s="1">
        <v>46098</v>
      </c>
      <c r="T2965" s="1">
        <v>46098</v>
      </c>
      <c r="U2965" s="1"/>
      <c r="V2965" s="1">
        <v>46463</v>
      </c>
      <c r="W2965" t="s">
        <v>38</v>
      </c>
      <c r="X2965">
        <v>12</v>
      </c>
      <c r="Y2965" t="s">
        <v>49</v>
      </c>
      <c r="AA2965" t="s">
        <v>40</v>
      </c>
      <c r="AB2965">
        <v>1</v>
      </c>
      <c r="AC2965" t="s">
        <v>41</v>
      </c>
      <c r="AD2965" t="s">
        <v>70</v>
      </c>
      <c r="AE2965" t="s">
        <v>43</v>
      </c>
      <c r="AF2965" t="s">
        <v>47</v>
      </c>
      <c r="AG2965" t="str">
        <f t="shared" si="49"/>
        <v>À Vista</v>
      </c>
      <c r="AH2965" t="str">
        <f>IF(AND(SUMIF(E:E,E2965,I:I)&gt;=400000,Q2965="B2G"),"n","")</f>
        <v/>
      </c>
    </row>
    <row r="2966" spans="1:34">
      <c r="A2966">
        <v>2026</v>
      </c>
      <c r="B2966">
        <v>3</v>
      </c>
      <c r="C2966" s="83">
        <v>53252878122</v>
      </c>
      <c r="D2966" t="s">
        <v>2648</v>
      </c>
      <c r="E2966">
        <v>58348685469</v>
      </c>
      <c r="F2966">
        <v>636712</v>
      </c>
      <c r="G2966">
        <v>53531057187</v>
      </c>
      <c r="H2966" t="s">
        <v>35</v>
      </c>
      <c r="I2966" s="36">
        <v>2787.72</v>
      </c>
      <c r="J2966" s="36">
        <v>2787.78</v>
      </c>
      <c r="K2966" s="85">
        <v>0</v>
      </c>
      <c r="L2966" s="36">
        <v>232.315</v>
      </c>
      <c r="M2966" s="36">
        <v>232.315</v>
      </c>
      <c r="N2966" s="36">
        <v>0</v>
      </c>
      <c r="O2966" s="36">
        <v>0</v>
      </c>
      <c r="P2966" t="s">
        <v>348</v>
      </c>
      <c r="Q2966" t="s">
        <v>349</v>
      </c>
      <c r="R2966" t="s">
        <v>349</v>
      </c>
      <c r="S2966" s="1">
        <v>46107</v>
      </c>
      <c r="T2966" s="1">
        <v>46107</v>
      </c>
      <c r="U2966" s="1"/>
      <c r="V2966" s="1">
        <v>46472</v>
      </c>
      <c r="W2966" t="s">
        <v>38</v>
      </c>
      <c r="X2966">
        <v>12</v>
      </c>
      <c r="Y2966" t="s">
        <v>49</v>
      </c>
      <c r="AA2966" t="s">
        <v>112</v>
      </c>
      <c r="AB2966">
        <v>12</v>
      </c>
      <c r="AC2966" t="s">
        <v>350</v>
      </c>
      <c r="AD2966" t="s">
        <v>118</v>
      </c>
      <c r="AE2966" t="s">
        <v>43</v>
      </c>
      <c r="AF2966" t="s">
        <v>119</v>
      </c>
      <c r="AG2966" t="str">
        <f t="shared" si="49"/>
        <v>CC 12x</v>
      </c>
      <c r="AH2966" t="str">
        <f>IF(AND(SUMIF(E:E,E2966,I:I)&gt;=400000,Q2966="B2G"),"n","")</f>
        <v/>
      </c>
    </row>
    <row r="2967" spans="1:34">
      <c r="A2967">
        <v>2026</v>
      </c>
      <c r="B2967">
        <v>3</v>
      </c>
      <c r="C2967" s="83">
        <v>53253110389</v>
      </c>
      <c r="D2967" t="s">
        <v>2649</v>
      </c>
      <c r="E2967">
        <v>58374390648</v>
      </c>
      <c r="F2967">
        <v>322856</v>
      </c>
      <c r="G2967">
        <v>53531024820</v>
      </c>
      <c r="H2967" t="s">
        <v>35</v>
      </c>
      <c r="I2967" s="36">
        <v>6908.76</v>
      </c>
      <c r="J2967" s="36">
        <v>5037.12</v>
      </c>
      <c r="K2967" s="85">
        <v>1871.64</v>
      </c>
      <c r="L2967" s="36">
        <v>419.76</v>
      </c>
      <c r="M2967" s="36">
        <v>0</v>
      </c>
      <c r="N2967" s="36">
        <v>419.76</v>
      </c>
      <c r="O2967" s="36">
        <v>0</v>
      </c>
      <c r="P2967" t="s">
        <v>367</v>
      </c>
      <c r="Q2967" t="s">
        <v>191</v>
      </c>
      <c r="R2967" t="s">
        <v>191</v>
      </c>
      <c r="S2967" s="1">
        <v>46106</v>
      </c>
      <c r="T2967" s="1">
        <v>46106</v>
      </c>
      <c r="U2967" s="1">
        <v>46607</v>
      </c>
      <c r="V2967" s="1">
        <v>46607</v>
      </c>
      <c r="W2967" t="s">
        <v>102</v>
      </c>
      <c r="X2967">
        <v>17</v>
      </c>
      <c r="Y2967" t="s">
        <v>49</v>
      </c>
      <c r="Z2967" t="s">
        <v>324</v>
      </c>
      <c r="AA2967" t="s">
        <v>122</v>
      </c>
      <c r="AB2967">
        <v>16</v>
      </c>
      <c r="AC2967" t="s">
        <v>192</v>
      </c>
      <c r="AD2967" t="s">
        <v>84</v>
      </c>
      <c r="AE2967" t="s">
        <v>43</v>
      </c>
      <c r="AF2967" t="s">
        <v>44</v>
      </c>
      <c r="AG2967" t="str">
        <f t="shared" si="49"/>
        <v>Recorrente</v>
      </c>
      <c r="AH2967" t="str">
        <f>IF(AND(SUMIF(E:E,E2967,I:I)&gt;=400000,Q2967="B2G"),"n","")</f>
        <v/>
      </c>
    </row>
    <row r="2968" spans="1:34">
      <c r="A2968">
        <v>2026</v>
      </c>
      <c r="B2968">
        <v>3</v>
      </c>
      <c r="C2968" s="83">
        <v>53284677980</v>
      </c>
      <c r="D2968" t="s">
        <v>2650</v>
      </c>
      <c r="E2968">
        <v>57553144180</v>
      </c>
      <c r="F2968">
        <v>636724</v>
      </c>
      <c r="G2968">
        <v>53608316853</v>
      </c>
      <c r="H2968" t="s">
        <v>35</v>
      </c>
      <c r="I2968" s="36">
        <v>2529.12</v>
      </c>
      <c r="J2968" s="36">
        <v>2529.12</v>
      </c>
      <c r="K2968" s="85">
        <v>0</v>
      </c>
      <c r="L2968" s="36">
        <v>210.76</v>
      </c>
      <c r="M2968" s="36">
        <v>210.76</v>
      </c>
      <c r="N2968" s="36">
        <v>0</v>
      </c>
      <c r="O2968" s="36">
        <v>0</v>
      </c>
      <c r="P2968" t="s">
        <v>2004</v>
      </c>
      <c r="Q2968" t="s">
        <v>300</v>
      </c>
      <c r="R2968" t="s">
        <v>300</v>
      </c>
      <c r="S2968" s="1">
        <v>46108</v>
      </c>
      <c r="T2968" s="1">
        <v>46108</v>
      </c>
      <c r="U2968" s="1"/>
      <c r="V2968" s="1">
        <v>46473</v>
      </c>
      <c r="W2968" t="s">
        <v>38</v>
      </c>
      <c r="X2968">
        <v>12</v>
      </c>
      <c r="Y2968" t="s">
        <v>49</v>
      </c>
      <c r="AA2968" t="s">
        <v>117</v>
      </c>
      <c r="AB2968">
        <v>1</v>
      </c>
      <c r="AC2968" t="s">
        <v>301</v>
      </c>
      <c r="AD2968" t="s">
        <v>140</v>
      </c>
      <c r="AE2968" t="s">
        <v>46</v>
      </c>
      <c r="AF2968" t="s">
        <v>119</v>
      </c>
      <c r="AG2968" t="str">
        <f t="shared" si="49"/>
        <v>À Vista</v>
      </c>
      <c r="AH2968" t="str">
        <f>IF(AND(SUMIF(E:E,E2968,I:I)&gt;=400000,Q2968="B2G"),"n","")</f>
        <v/>
      </c>
    </row>
    <row r="2969" spans="1:34">
      <c r="A2969">
        <v>2026</v>
      </c>
      <c r="B2969">
        <v>3</v>
      </c>
      <c r="C2969" s="83">
        <v>53284725556</v>
      </c>
      <c r="D2969" t="s">
        <v>2651</v>
      </c>
      <c r="E2969">
        <v>32254915415</v>
      </c>
      <c r="F2969">
        <v>636821</v>
      </c>
      <c r="G2969">
        <v>53808903281</v>
      </c>
      <c r="H2969" t="s">
        <v>35</v>
      </c>
      <c r="I2969" s="36">
        <v>31482</v>
      </c>
      <c r="J2969" s="36">
        <v>10494</v>
      </c>
      <c r="K2969" s="85">
        <v>20988</v>
      </c>
      <c r="L2969" s="36">
        <v>874.5</v>
      </c>
      <c r="M2969" s="36">
        <v>874.5</v>
      </c>
      <c r="N2969" s="36">
        <v>0</v>
      </c>
      <c r="O2969" s="36">
        <v>0</v>
      </c>
      <c r="P2969" t="s">
        <v>75</v>
      </c>
      <c r="Q2969" t="s">
        <v>37</v>
      </c>
      <c r="R2969" t="s">
        <v>37</v>
      </c>
      <c r="S2969" s="1">
        <v>46112</v>
      </c>
      <c r="T2969" s="1">
        <v>46112</v>
      </c>
      <c r="U2969" s="1"/>
      <c r="V2969" s="1">
        <v>47208</v>
      </c>
      <c r="W2969" t="s">
        <v>102</v>
      </c>
      <c r="X2969">
        <v>36</v>
      </c>
      <c r="Y2969" t="s">
        <v>49</v>
      </c>
      <c r="AA2969" t="s">
        <v>40</v>
      </c>
      <c r="AB2969">
        <v>1</v>
      </c>
      <c r="AC2969" t="s">
        <v>41</v>
      </c>
      <c r="AD2969" t="s">
        <v>100</v>
      </c>
      <c r="AE2969" t="s">
        <v>46</v>
      </c>
      <c r="AF2969" t="s">
        <v>47</v>
      </c>
      <c r="AG2969" t="str">
        <f t="shared" si="49"/>
        <v>À Vista</v>
      </c>
      <c r="AH2969" t="str">
        <f>IF(AND(SUMIF(E:E,E2969,I:I)&gt;=400000,Q2969="B2G"),"n","")</f>
        <v/>
      </c>
    </row>
    <row r="2970" spans="1:34">
      <c r="A2970">
        <v>2026</v>
      </c>
      <c r="B2970">
        <v>3</v>
      </c>
      <c r="C2970" s="83">
        <v>53284725556</v>
      </c>
      <c r="D2970" t="s">
        <v>2651</v>
      </c>
      <c r="E2970">
        <v>32254915415</v>
      </c>
      <c r="F2970">
        <v>636821</v>
      </c>
      <c r="G2970">
        <v>53808903282</v>
      </c>
      <c r="H2970" t="s">
        <v>35</v>
      </c>
      <c r="I2970" s="36">
        <v>17820</v>
      </c>
      <c r="J2970" s="36">
        <v>5940</v>
      </c>
      <c r="K2970" s="85">
        <v>11880</v>
      </c>
      <c r="L2970" s="36">
        <v>495</v>
      </c>
      <c r="M2970" s="36">
        <v>495</v>
      </c>
      <c r="N2970" s="36">
        <v>0</v>
      </c>
      <c r="O2970" s="36">
        <v>0</v>
      </c>
      <c r="P2970" t="s">
        <v>75</v>
      </c>
      <c r="Q2970" t="s">
        <v>37</v>
      </c>
      <c r="R2970" t="s">
        <v>37</v>
      </c>
      <c r="S2970" s="1">
        <v>46112</v>
      </c>
      <c r="T2970" s="1">
        <v>46112</v>
      </c>
      <c r="U2970" s="1"/>
      <c r="V2970" s="1">
        <v>47208</v>
      </c>
      <c r="W2970" t="s">
        <v>102</v>
      </c>
      <c r="X2970">
        <v>36</v>
      </c>
      <c r="Y2970" t="s">
        <v>49</v>
      </c>
      <c r="AA2970" t="s">
        <v>40</v>
      </c>
      <c r="AB2970">
        <v>1</v>
      </c>
      <c r="AC2970" t="s">
        <v>41</v>
      </c>
      <c r="AD2970" t="s">
        <v>70</v>
      </c>
      <c r="AE2970" t="s">
        <v>43</v>
      </c>
      <c r="AF2970" t="s">
        <v>47</v>
      </c>
      <c r="AG2970" t="str">
        <f t="shared" si="49"/>
        <v>À Vista</v>
      </c>
      <c r="AH2970" t="str">
        <f>IF(AND(SUMIF(E:E,E2970,I:I)&gt;=400000,Q2970="B2G"),"n","")</f>
        <v/>
      </c>
    </row>
    <row r="2971" spans="1:34">
      <c r="A2971">
        <v>2026</v>
      </c>
      <c r="B2971">
        <v>3</v>
      </c>
      <c r="C2971" s="83">
        <v>53284798352</v>
      </c>
      <c r="D2971" t="s">
        <v>2652</v>
      </c>
      <c r="E2971">
        <v>58377362558</v>
      </c>
      <c r="F2971">
        <v>636726</v>
      </c>
      <c r="G2971">
        <v>53601994878</v>
      </c>
      <c r="H2971" t="s">
        <v>35</v>
      </c>
      <c r="I2971" s="36">
        <v>2874</v>
      </c>
      <c r="J2971" s="36">
        <v>2874</v>
      </c>
      <c r="K2971" s="85">
        <v>0</v>
      </c>
      <c r="L2971" s="36">
        <v>239.5</v>
      </c>
      <c r="M2971" s="36">
        <v>239.5</v>
      </c>
      <c r="N2971" s="36">
        <v>0</v>
      </c>
      <c r="O2971" s="36">
        <v>0</v>
      </c>
      <c r="P2971" t="s">
        <v>2004</v>
      </c>
      <c r="Q2971" t="s">
        <v>300</v>
      </c>
      <c r="R2971" t="s">
        <v>300</v>
      </c>
      <c r="S2971" s="1">
        <v>46108</v>
      </c>
      <c r="T2971" s="1">
        <v>46108</v>
      </c>
      <c r="V2971" s="1">
        <v>46473</v>
      </c>
      <c r="W2971" t="s">
        <v>38</v>
      </c>
      <c r="X2971">
        <v>12</v>
      </c>
      <c r="Y2971" t="s">
        <v>49</v>
      </c>
      <c r="AA2971" t="s">
        <v>122</v>
      </c>
      <c r="AB2971">
        <v>12</v>
      </c>
      <c r="AC2971" t="s">
        <v>301</v>
      </c>
      <c r="AD2971" t="s">
        <v>118</v>
      </c>
      <c r="AE2971" t="s">
        <v>43</v>
      </c>
      <c r="AF2971" t="s">
        <v>119</v>
      </c>
      <c r="AG2971" t="str">
        <f t="shared" si="49"/>
        <v>Recorrente</v>
      </c>
      <c r="AH2971" t="str">
        <f>IF(AND(SUMIF(E:E,E2971,I:I)&gt;=400000,Q2971="B2G"),"n","")</f>
        <v/>
      </c>
    </row>
    <row r="2972" spans="1:34">
      <c r="A2972">
        <v>2026</v>
      </c>
      <c r="B2972">
        <v>3</v>
      </c>
      <c r="C2972" s="83">
        <v>53388523064</v>
      </c>
      <c r="D2972" t="s">
        <v>2653</v>
      </c>
      <c r="E2972">
        <v>58431102796</v>
      </c>
      <c r="F2972">
        <v>636745</v>
      </c>
      <c r="G2972">
        <v>53666766115</v>
      </c>
      <c r="H2972" t="s">
        <v>35</v>
      </c>
      <c r="I2972" s="36">
        <v>3666.6</v>
      </c>
      <c r="J2972" s="36">
        <v>3666.6</v>
      </c>
      <c r="K2972" s="85">
        <v>0</v>
      </c>
      <c r="L2972" s="36">
        <v>305.55</v>
      </c>
      <c r="M2972" s="36">
        <v>305.55</v>
      </c>
      <c r="N2972" s="36">
        <v>0</v>
      </c>
      <c r="O2972" s="36">
        <v>0</v>
      </c>
      <c r="P2972" t="s">
        <v>511</v>
      </c>
      <c r="Q2972" t="s">
        <v>300</v>
      </c>
      <c r="R2972" t="s">
        <v>300</v>
      </c>
      <c r="S2972" s="1">
        <v>46108</v>
      </c>
      <c r="T2972" s="1">
        <v>46108</v>
      </c>
      <c r="V2972" s="1">
        <v>46473</v>
      </c>
      <c r="W2972" t="s">
        <v>38</v>
      </c>
      <c r="X2972">
        <v>12</v>
      </c>
      <c r="Y2972" t="s">
        <v>49</v>
      </c>
      <c r="AA2972" t="s">
        <v>112</v>
      </c>
      <c r="AB2972">
        <v>12</v>
      </c>
      <c r="AC2972" t="s">
        <v>301</v>
      </c>
      <c r="AD2972" t="s">
        <v>160</v>
      </c>
      <c r="AE2972" t="s">
        <v>43</v>
      </c>
      <c r="AF2972" t="s">
        <v>44</v>
      </c>
      <c r="AG2972" t="str">
        <f t="shared" si="49"/>
        <v>CC 12x</v>
      </c>
      <c r="AH2972" t="str">
        <f>IF(AND(SUMIF(E:E,E2972,I:I)&gt;=400000,Q2972="B2G"),"n","")</f>
        <v/>
      </c>
    </row>
    <row r="2973" spans="1:34">
      <c r="A2973">
        <v>2026</v>
      </c>
      <c r="B2973">
        <v>3</v>
      </c>
      <c r="C2973" s="83">
        <v>53388526684</v>
      </c>
      <c r="D2973" t="s">
        <v>2654</v>
      </c>
      <c r="E2973">
        <v>58039588441</v>
      </c>
      <c r="F2973">
        <v>636787</v>
      </c>
      <c r="G2973">
        <v>53748054810</v>
      </c>
      <c r="H2973" t="s">
        <v>35</v>
      </c>
      <c r="I2973" s="36">
        <v>1847.28</v>
      </c>
      <c r="J2973" s="36">
        <v>1154.7401629999999</v>
      </c>
      <c r="K2973" s="85">
        <v>692.5398371</v>
      </c>
      <c r="L2973" s="36">
        <v>96.228346909999999</v>
      </c>
      <c r="M2973" s="36">
        <v>0</v>
      </c>
      <c r="N2973" s="36">
        <v>96.228346909999999</v>
      </c>
      <c r="O2973" s="36">
        <v>0</v>
      </c>
      <c r="P2973" t="s">
        <v>804</v>
      </c>
      <c r="Q2973" t="s">
        <v>191</v>
      </c>
      <c r="R2973" t="s">
        <v>191</v>
      </c>
      <c r="S2973" s="1">
        <v>46111</v>
      </c>
      <c r="T2973" s="1">
        <v>46111</v>
      </c>
      <c r="U2973" s="1">
        <v>46153</v>
      </c>
      <c r="V2973" s="1">
        <v>46477</v>
      </c>
      <c r="W2973" t="s">
        <v>38</v>
      </c>
      <c r="X2973">
        <v>10</v>
      </c>
      <c r="Y2973" t="s">
        <v>49</v>
      </c>
      <c r="AA2973" t="s">
        <v>112</v>
      </c>
      <c r="AB2973">
        <v>12</v>
      </c>
      <c r="AC2973" t="s">
        <v>192</v>
      </c>
      <c r="AD2973" t="s">
        <v>256</v>
      </c>
      <c r="AE2973" t="s">
        <v>257</v>
      </c>
      <c r="AF2973" t="s">
        <v>59</v>
      </c>
      <c r="AG2973" t="str">
        <f t="shared" si="49"/>
        <v>CC 12x</v>
      </c>
      <c r="AH2973" t="str">
        <f>IF(AND(SUMIF(E:E,E2973,I:I)&gt;=400000,Q2973="B2G"),"n","")</f>
        <v/>
      </c>
    </row>
    <row r="2974" spans="1:34">
      <c r="A2974">
        <v>2026</v>
      </c>
      <c r="B2974">
        <v>3</v>
      </c>
      <c r="C2974" s="83">
        <v>53388526684</v>
      </c>
      <c r="D2974" t="s">
        <v>2654</v>
      </c>
      <c r="E2974">
        <v>58039588441</v>
      </c>
      <c r="F2974">
        <v>636787</v>
      </c>
      <c r="G2974">
        <v>53748054811</v>
      </c>
      <c r="H2974" t="s">
        <v>35</v>
      </c>
      <c r="I2974" s="36">
        <v>5146.68</v>
      </c>
      <c r="J2974" s="36">
        <v>3217.2423159999998</v>
      </c>
      <c r="K2974" s="85">
        <v>1929.437684</v>
      </c>
      <c r="L2974" s="36">
        <v>268.10352640000002</v>
      </c>
      <c r="M2974" s="36">
        <v>0</v>
      </c>
      <c r="N2974" s="36">
        <v>268.10352640000002</v>
      </c>
      <c r="O2974" s="36">
        <v>0</v>
      </c>
      <c r="P2974" t="s">
        <v>804</v>
      </c>
      <c r="Q2974" t="s">
        <v>191</v>
      </c>
      <c r="R2974" t="s">
        <v>191</v>
      </c>
      <c r="S2974" s="1">
        <v>46111</v>
      </c>
      <c r="T2974" s="1">
        <v>46111</v>
      </c>
      <c r="U2974" s="1">
        <v>46153</v>
      </c>
      <c r="V2974" s="1">
        <v>46477</v>
      </c>
      <c r="W2974" t="s">
        <v>38</v>
      </c>
      <c r="X2974">
        <v>10</v>
      </c>
      <c r="Y2974" t="s">
        <v>49</v>
      </c>
      <c r="AA2974" t="s">
        <v>112</v>
      </c>
      <c r="AB2974">
        <v>12</v>
      </c>
      <c r="AC2974" t="s">
        <v>192</v>
      </c>
      <c r="AD2974" t="s">
        <v>158</v>
      </c>
      <c r="AE2974" t="s">
        <v>43</v>
      </c>
      <c r="AF2974" t="s">
        <v>47</v>
      </c>
      <c r="AG2974" t="str">
        <f t="shared" si="49"/>
        <v>CC 12x</v>
      </c>
      <c r="AH2974" t="str">
        <f>IF(AND(SUMIF(E:E,E2974,I:I)&gt;=400000,Q2974="B2G"),"n","")</f>
        <v/>
      </c>
    </row>
    <row r="2975" spans="1:34">
      <c r="A2975">
        <v>2026</v>
      </c>
      <c r="B2975">
        <v>3</v>
      </c>
      <c r="C2975" s="83">
        <v>53388526684</v>
      </c>
      <c r="D2975" t="s">
        <v>2654</v>
      </c>
      <c r="E2975">
        <v>58039588441</v>
      </c>
      <c r="F2975">
        <v>636787</v>
      </c>
      <c r="G2975">
        <v>53748054812</v>
      </c>
      <c r="H2975" t="s">
        <v>35</v>
      </c>
      <c r="I2975" s="36">
        <v>5464.44</v>
      </c>
      <c r="J2975" s="36">
        <v>3415.8375209999999</v>
      </c>
      <c r="K2975" s="85">
        <v>2048.6024790000001</v>
      </c>
      <c r="L2975" s="36">
        <v>284.65312669999997</v>
      </c>
      <c r="M2975" s="36">
        <v>0</v>
      </c>
      <c r="N2975" s="36">
        <v>284.65312669999997</v>
      </c>
      <c r="O2975" s="36">
        <v>0</v>
      </c>
      <c r="P2975" t="s">
        <v>804</v>
      </c>
      <c r="Q2975" t="s">
        <v>191</v>
      </c>
      <c r="R2975" t="s">
        <v>191</v>
      </c>
      <c r="S2975" s="1">
        <v>46111</v>
      </c>
      <c r="T2975" s="1">
        <v>46111</v>
      </c>
      <c r="U2975" s="1">
        <v>46153</v>
      </c>
      <c r="V2975" s="1">
        <v>46477</v>
      </c>
      <c r="W2975" t="s">
        <v>38</v>
      </c>
      <c r="X2975">
        <v>10</v>
      </c>
      <c r="Y2975" t="s">
        <v>49</v>
      </c>
      <c r="AA2975" t="s">
        <v>112</v>
      </c>
      <c r="AB2975">
        <v>12</v>
      </c>
      <c r="AC2975" t="s">
        <v>192</v>
      </c>
      <c r="AD2975" t="s">
        <v>158</v>
      </c>
      <c r="AE2975" t="s">
        <v>43</v>
      </c>
      <c r="AF2975" t="s">
        <v>47</v>
      </c>
      <c r="AG2975" t="str">
        <f t="shared" si="49"/>
        <v>CC 12x</v>
      </c>
      <c r="AH2975" t="str">
        <f>IF(AND(SUMIF(E:E,E2975,I:I)&gt;=400000,Q2975="B2G"),"n","")</f>
        <v/>
      </c>
    </row>
    <row r="2976" spans="1:34">
      <c r="A2976">
        <v>2026</v>
      </c>
      <c r="B2976">
        <v>3</v>
      </c>
      <c r="C2976" s="83">
        <v>53425835651</v>
      </c>
      <c r="D2976" t="s">
        <v>2655</v>
      </c>
      <c r="E2976">
        <v>58508377091</v>
      </c>
      <c r="F2976">
        <v>636746</v>
      </c>
      <c r="G2976">
        <v>53694995096</v>
      </c>
      <c r="H2976" t="s">
        <v>35</v>
      </c>
      <c r="I2976" s="36">
        <v>5514</v>
      </c>
      <c r="J2976" s="36">
        <v>5514</v>
      </c>
      <c r="K2976" s="85">
        <v>0</v>
      </c>
      <c r="L2976" s="36">
        <v>459.5</v>
      </c>
      <c r="M2976" s="36">
        <v>459.5</v>
      </c>
      <c r="N2976" s="36">
        <v>0</v>
      </c>
      <c r="O2976" s="36">
        <v>0</v>
      </c>
      <c r="P2976" t="s">
        <v>497</v>
      </c>
      <c r="Q2976" t="s">
        <v>498</v>
      </c>
      <c r="R2976" t="s">
        <v>498</v>
      </c>
      <c r="S2976" s="1">
        <v>46108</v>
      </c>
      <c r="T2976" s="1">
        <v>46108</v>
      </c>
      <c r="U2976" s="1"/>
      <c r="V2976" s="1">
        <v>46473</v>
      </c>
      <c r="W2976" t="s">
        <v>38</v>
      </c>
      <c r="X2976">
        <v>12</v>
      </c>
      <c r="Y2976" t="s">
        <v>49</v>
      </c>
      <c r="AA2976" t="s">
        <v>112</v>
      </c>
      <c r="AB2976">
        <v>12</v>
      </c>
      <c r="AC2976" t="s">
        <v>499</v>
      </c>
      <c r="AD2976" t="s">
        <v>138</v>
      </c>
      <c r="AE2976" t="s">
        <v>135</v>
      </c>
      <c r="AF2976" t="s">
        <v>119</v>
      </c>
      <c r="AG2976" t="str">
        <f t="shared" si="49"/>
        <v>CC 12x</v>
      </c>
      <c r="AH2976" t="str">
        <f>IF(AND(SUMIF(E:E,E2976,I:I)&gt;=400000,Q2976="B2G"),"n","")</f>
        <v/>
      </c>
    </row>
    <row r="2977" spans="1:34">
      <c r="A2977">
        <v>2026</v>
      </c>
      <c r="B2977">
        <v>3</v>
      </c>
      <c r="C2977" s="83">
        <v>53437462293</v>
      </c>
      <c r="D2977" t="s">
        <v>2656</v>
      </c>
      <c r="E2977">
        <v>58554557978</v>
      </c>
      <c r="F2977">
        <v>636757</v>
      </c>
      <c r="G2977">
        <v>53694185064</v>
      </c>
      <c r="H2977" t="s">
        <v>35</v>
      </c>
      <c r="I2977" s="36">
        <v>2874</v>
      </c>
      <c r="J2977" s="36">
        <v>2874</v>
      </c>
      <c r="K2977" s="85">
        <v>0</v>
      </c>
      <c r="L2977" s="36">
        <v>239.5</v>
      </c>
      <c r="M2977" s="36">
        <v>239.5</v>
      </c>
      <c r="N2977" s="36">
        <v>0</v>
      </c>
      <c r="O2977" s="36">
        <v>0</v>
      </c>
      <c r="P2977" t="s">
        <v>497</v>
      </c>
      <c r="Q2977" t="s">
        <v>498</v>
      </c>
      <c r="R2977" t="s">
        <v>498</v>
      </c>
      <c r="S2977" s="1">
        <v>46111</v>
      </c>
      <c r="T2977" s="1">
        <v>46111</v>
      </c>
      <c r="U2977" s="1"/>
      <c r="V2977" s="1">
        <v>46476</v>
      </c>
      <c r="W2977" t="s">
        <v>38</v>
      </c>
      <c r="X2977">
        <v>12</v>
      </c>
      <c r="Y2977" t="s">
        <v>49</v>
      </c>
      <c r="AA2977" t="s">
        <v>112</v>
      </c>
      <c r="AB2977">
        <v>1</v>
      </c>
      <c r="AC2977" t="s">
        <v>499</v>
      </c>
      <c r="AD2977" t="s">
        <v>118</v>
      </c>
      <c r="AE2977" t="s">
        <v>43</v>
      </c>
      <c r="AF2977" t="s">
        <v>119</v>
      </c>
      <c r="AG2977" t="str">
        <f t="shared" si="49"/>
        <v>À Vista</v>
      </c>
      <c r="AH2977" t="str">
        <f>IF(AND(SUMIF(E:E,E2977,I:I)&gt;=400000,Q2977="B2G"),"n","")</f>
        <v/>
      </c>
    </row>
    <row r="2978" spans="1:34">
      <c r="A2978">
        <v>2026</v>
      </c>
      <c r="B2978">
        <v>3</v>
      </c>
      <c r="C2978" s="83">
        <v>53465977418</v>
      </c>
      <c r="D2978" t="s">
        <v>2657</v>
      </c>
      <c r="E2978">
        <v>58556683671</v>
      </c>
      <c r="F2978">
        <v>636802</v>
      </c>
      <c r="G2978">
        <v>53754890254</v>
      </c>
      <c r="H2978" t="s">
        <v>35</v>
      </c>
      <c r="I2978" s="36">
        <v>5514</v>
      </c>
      <c r="J2978" s="36">
        <v>5514</v>
      </c>
      <c r="K2978" s="85">
        <v>0</v>
      </c>
      <c r="L2978" s="36">
        <v>459.5</v>
      </c>
      <c r="M2978" s="36">
        <v>459.5</v>
      </c>
      <c r="N2978" s="36">
        <v>0</v>
      </c>
      <c r="O2978" s="36">
        <v>0</v>
      </c>
      <c r="P2978" t="s">
        <v>2004</v>
      </c>
      <c r="Q2978" t="s">
        <v>300</v>
      </c>
      <c r="R2978" t="s">
        <v>300</v>
      </c>
      <c r="S2978" s="1">
        <v>46112</v>
      </c>
      <c r="T2978" s="1">
        <v>46112</v>
      </c>
      <c r="U2978" s="1"/>
      <c r="V2978" s="1">
        <v>46477</v>
      </c>
      <c r="W2978" t="s">
        <v>38</v>
      </c>
      <c r="X2978">
        <v>12</v>
      </c>
      <c r="Y2978" t="s">
        <v>49</v>
      </c>
      <c r="AA2978" t="s">
        <v>122</v>
      </c>
      <c r="AB2978">
        <v>12</v>
      </c>
      <c r="AC2978" t="s">
        <v>301</v>
      </c>
      <c r="AD2978" t="s">
        <v>138</v>
      </c>
      <c r="AE2978" t="s">
        <v>135</v>
      </c>
      <c r="AF2978" t="s">
        <v>119</v>
      </c>
      <c r="AG2978" t="str">
        <f t="shared" si="49"/>
        <v>Recorrente</v>
      </c>
      <c r="AH2978" t="str">
        <f>IF(AND(SUMIF(E:E,E2978,I:I)&gt;=400000,Q2978="B2G"),"n","")</f>
        <v/>
      </c>
    </row>
    <row r="2979" spans="1:34">
      <c r="A2979">
        <v>2026</v>
      </c>
      <c r="B2979">
        <v>3</v>
      </c>
      <c r="C2979" s="83">
        <v>53528699288</v>
      </c>
      <c r="D2979" t="s">
        <v>2658</v>
      </c>
      <c r="E2979">
        <v>58651374991</v>
      </c>
      <c r="F2979">
        <v>636823</v>
      </c>
      <c r="G2979">
        <v>53808715044</v>
      </c>
      <c r="H2979" t="s">
        <v>35</v>
      </c>
      <c r="I2979" s="36">
        <v>13717.44</v>
      </c>
      <c r="J2979" s="36">
        <v>13717.44</v>
      </c>
      <c r="K2979" s="85">
        <v>0</v>
      </c>
      <c r="L2979" s="36">
        <v>1143.1199999999999</v>
      </c>
      <c r="M2979" s="36">
        <v>0</v>
      </c>
      <c r="N2979" s="36">
        <v>1143.1199999999999</v>
      </c>
      <c r="O2979" s="36">
        <v>0</v>
      </c>
      <c r="P2979" t="s">
        <v>520</v>
      </c>
      <c r="Q2979" t="s">
        <v>191</v>
      </c>
      <c r="R2979" t="s">
        <v>191</v>
      </c>
      <c r="S2979" s="1">
        <v>46112</v>
      </c>
      <c r="T2979" s="1">
        <v>46112</v>
      </c>
      <c r="U2979" s="1"/>
      <c r="V2979" s="1">
        <v>46484</v>
      </c>
      <c r="W2979" t="s">
        <v>38</v>
      </c>
      <c r="X2979">
        <v>13</v>
      </c>
      <c r="Y2979" t="s">
        <v>49</v>
      </c>
      <c r="AA2979" t="s">
        <v>92</v>
      </c>
      <c r="AB2979">
        <v>12</v>
      </c>
      <c r="AC2979" t="s">
        <v>192</v>
      </c>
      <c r="AD2979" t="s">
        <v>125</v>
      </c>
      <c r="AE2979" t="s">
        <v>43</v>
      </c>
      <c r="AF2979" t="s">
        <v>47</v>
      </c>
      <c r="AG2979" t="str">
        <f t="shared" si="49"/>
        <v>Recorrente</v>
      </c>
      <c r="AH2979" t="str">
        <f>IF(AND(SUMIF(E:E,E2979,I:I)&gt;=400000,Q2979="B2G"),"n","")</f>
        <v/>
      </c>
    </row>
    <row r="2980" spans="1:34">
      <c r="A2980">
        <v>2026</v>
      </c>
      <c r="B2980">
        <v>3</v>
      </c>
      <c r="C2980" s="83">
        <v>53528699288</v>
      </c>
      <c r="D2980" t="s">
        <v>2658</v>
      </c>
      <c r="E2980">
        <v>58651374991</v>
      </c>
      <c r="F2980">
        <v>636823</v>
      </c>
      <c r="G2980">
        <v>53808715045</v>
      </c>
      <c r="H2980" t="s">
        <v>35</v>
      </c>
      <c r="I2980" s="36">
        <v>25333.439999999999</v>
      </c>
      <c r="J2980" s="36">
        <v>25333.439999999999</v>
      </c>
      <c r="K2980" s="85">
        <v>0</v>
      </c>
      <c r="L2980" s="36">
        <v>2111.12</v>
      </c>
      <c r="M2980" s="36">
        <v>0</v>
      </c>
      <c r="N2980" s="36">
        <v>2111.12</v>
      </c>
      <c r="O2980" s="36">
        <v>0</v>
      </c>
      <c r="P2980" t="s">
        <v>520</v>
      </c>
      <c r="Q2980" t="s">
        <v>191</v>
      </c>
      <c r="R2980" t="s">
        <v>191</v>
      </c>
      <c r="S2980" s="1">
        <v>46112</v>
      </c>
      <c r="T2980" s="1">
        <v>46112</v>
      </c>
      <c r="U2980" s="1"/>
      <c r="V2980" s="1">
        <v>46484</v>
      </c>
      <c r="W2980" t="s">
        <v>38</v>
      </c>
      <c r="X2980">
        <v>13</v>
      </c>
      <c r="Y2980" t="s">
        <v>49</v>
      </c>
      <c r="AA2980" t="s">
        <v>92</v>
      </c>
      <c r="AB2980">
        <v>12</v>
      </c>
      <c r="AC2980" t="s">
        <v>192</v>
      </c>
      <c r="AD2980" t="s">
        <v>154</v>
      </c>
      <c r="AE2980" t="s">
        <v>46</v>
      </c>
      <c r="AF2980" t="s">
        <v>47</v>
      </c>
      <c r="AG2980" t="str">
        <f t="shared" si="49"/>
        <v>Recorrente</v>
      </c>
      <c r="AH2980" t="str">
        <f>IF(AND(SUMIF(E:E,E2980,I:I)&gt;=400000,Q2980="B2G"),"n","")</f>
        <v/>
      </c>
    </row>
    <row r="2981" spans="1:34">
      <c r="A2981">
        <v>2026</v>
      </c>
      <c r="B2981">
        <v>3</v>
      </c>
      <c r="C2981" s="83">
        <v>53532101648</v>
      </c>
      <c r="D2981" t="s">
        <v>2659</v>
      </c>
      <c r="E2981">
        <v>58646018687</v>
      </c>
      <c r="F2981">
        <v>636808</v>
      </c>
      <c r="G2981">
        <v>53808703318</v>
      </c>
      <c r="H2981" t="s">
        <v>35</v>
      </c>
      <c r="I2981" s="36">
        <v>5034</v>
      </c>
      <c r="J2981" s="36">
        <v>5034</v>
      </c>
      <c r="K2981" s="85">
        <v>0</v>
      </c>
      <c r="L2981" s="36">
        <v>419.5</v>
      </c>
      <c r="M2981" s="36">
        <v>419.5</v>
      </c>
      <c r="N2981" s="36">
        <v>0</v>
      </c>
      <c r="O2981" s="36">
        <v>0</v>
      </c>
      <c r="P2981" t="s">
        <v>129</v>
      </c>
      <c r="Q2981" t="s">
        <v>91</v>
      </c>
      <c r="R2981" t="s">
        <v>91</v>
      </c>
      <c r="S2981" s="1">
        <v>46112</v>
      </c>
      <c r="T2981" s="1">
        <v>46112</v>
      </c>
      <c r="V2981" s="1">
        <v>46477</v>
      </c>
      <c r="W2981" t="s">
        <v>38</v>
      </c>
      <c r="X2981">
        <v>12</v>
      </c>
      <c r="Y2981" t="s">
        <v>49</v>
      </c>
      <c r="AA2981" t="s">
        <v>122</v>
      </c>
      <c r="AB2981">
        <v>12</v>
      </c>
      <c r="AC2981" t="s">
        <v>93</v>
      </c>
      <c r="AD2981" t="s">
        <v>84</v>
      </c>
      <c r="AE2981" t="s">
        <v>43</v>
      </c>
      <c r="AF2981" t="s">
        <v>44</v>
      </c>
      <c r="AG2981" t="str">
        <f t="shared" si="49"/>
        <v>Recorrente</v>
      </c>
      <c r="AH2981" t="str">
        <f>IF(AND(SUMIF(E:E,E2981,I:I)&gt;=400000,Q2981="B2G"),"n","")</f>
        <v/>
      </c>
    </row>
    <row r="2982" spans="1:34">
      <c r="A2982">
        <v>2026</v>
      </c>
      <c r="B2982">
        <v>3</v>
      </c>
      <c r="C2982" s="83">
        <v>56404369999</v>
      </c>
      <c r="D2982" t="s">
        <v>2660</v>
      </c>
      <c r="E2982">
        <v>57835127141</v>
      </c>
      <c r="F2982">
        <v>636442</v>
      </c>
      <c r="G2982">
        <v>53090627660</v>
      </c>
      <c r="H2982" t="s">
        <v>35</v>
      </c>
      <c r="I2982" s="36">
        <v>5034</v>
      </c>
      <c r="J2982" s="36">
        <v>5034</v>
      </c>
      <c r="K2982" s="85">
        <v>0</v>
      </c>
      <c r="L2982" s="36">
        <v>419.5</v>
      </c>
      <c r="M2982" s="36">
        <v>419.5</v>
      </c>
      <c r="N2982" s="36">
        <v>0</v>
      </c>
      <c r="O2982" s="36">
        <v>0</v>
      </c>
      <c r="P2982" t="s">
        <v>829</v>
      </c>
      <c r="Q2982" t="s">
        <v>300</v>
      </c>
      <c r="R2982" t="s">
        <v>300</v>
      </c>
      <c r="S2982" s="1">
        <v>46091</v>
      </c>
      <c r="T2982" s="1">
        <v>46091</v>
      </c>
      <c r="U2982" s="1"/>
      <c r="V2982" s="1">
        <v>46456</v>
      </c>
      <c r="W2982" t="s">
        <v>38</v>
      </c>
      <c r="X2982">
        <v>12</v>
      </c>
      <c r="Y2982" t="s">
        <v>49</v>
      </c>
      <c r="AA2982" t="s">
        <v>122</v>
      </c>
      <c r="AB2982">
        <v>12</v>
      </c>
      <c r="AC2982" t="s">
        <v>301</v>
      </c>
      <c r="AD2982" t="s">
        <v>84</v>
      </c>
      <c r="AE2982" t="s">
        <v>43</v>
      </c>
      <c r="AF2982" t="s">
        <v>44</v>
      </c>
      <c r="AG2982" t="str">
        <f t="shared" si="49"/>
        <v>Recorrente</v>
      </c>
      <c r="AH2982" t="str">
        <f>IF(AND(SUMIF(E:E,E2982,I:I)&gt;=400000,Q2982="B2G"),"n","")</f>
        <v/>
      </c>
    </row>
    <row r="2983" spans="1:34">
      <c r="A2983">
        <v>2026</v>
      </c>
      <c r="B2983">
        <v>3</v>
      </c>
      <c r="C2983" s="83">
        <v>58985021548</v>
      </c>
      <c r="D2983" t="s">
        <v>2661</v>
      </c>
      <c r="E2983">
        <v>58216836120</v>
      </c>
      <c r="F2983">
        <v>627603</v>
      </c>
      <c r="G2983">
        <v>53571231532</v>
      </c>
      <c r="H2983" t="s">
        <v>35</v>
      </c>
      <c r="I2983" s="36">
        <v>3289.8</v>
      </c>
      <c r="J2983" s="36">
        <v>3289.8</v>
      </c>
      <c r="K2983" s="85">
        <v>0</v>
      </c>
      <c r="L2983" s="36">
        <v>274.14999999999998</v>
      </c>
      <c r="M2983" s="36">
        <v>0</v>
      </c>
      <c r="N2983" s="36">
        <v>11.50304</v>
      </c>
      <c r="O2983" s="36">
        <v>262.64999999999998</v>
      </c>
      <c r="P2983" t="s">
        <v>116</v>
      </c>
      <c r="Q2983" t="s">
        <v>111</v>
      </c>
      <c r="R2983" t="s">
        <v>111</v>
      </c>
      <c r="S2983" s="1">
        <v>46107</v>
      </c>
      <c r="T2983" s="1">
        <v>46107</v>
      </c>
      <c r="U2983" s="1">
        <v>46101</v>
      </c>
      <c r="V2983" s="1">
        <v>46472</v>
      </c>
      <c r="W2983" t="s">
        <v>38</v>
      </c>
      <c r="X2983">
        <v>12</v>
      </c>
      <c r="Y2983" t="s">
        <v>49</v>
      </c>
      <c r="Z2983" t="s">
        <v>81</v>
      </c>
      <c r="AA2983" t="s">
        <v>122</v>
      </c>
      <c r="AB2983">
        <v>12</v>
      </c>
      <c r="AC2983" t="s">
        <v>113</v>
      </c>
      <c r="AD2983" t="s">
        <v>160</v>
      </c>
      <c r="AE2983" t="s">
        <v>43</v>
      </c>
      <c r="AF2983" t="s">
        <v>44</v>
      </c>
      <c r="AG2983" t="str">
        <f t="shared" si="49"/>
        <v>Recorrente</v>
      </c>
      <c r="AH2983" t="str">
        <f>IF(AND(SUMIF(E:E,E2983,I:I)&gt;=400000,Q2983="B2G"),"n","")</f>
        <v/>
      </c>
    </row>
    <row r="2984" spans="1:34">
      <c r="A2984">
        <v>2026</v>
      </c>
      <c r="B2984">
        <v>3</v>
      </c>
      <c r="C2984" s="83">
        <v>61046546045</v>
      </c>
      <c r="D2984" t="s">
        <v>2662</v>
      </c>
      <c r="E2984">
        <v>57886877470</v>
      </c>
      <c r="F2984">
        <v>627231</v>
      </c>
      <c r="G2984">
        <v>53406797464</v>
      </c>
      <c r="H2984" t="s">
        <v>35</v>
      </c>
      <c r="I2984" s="36">
        <v>2155.44</v>
      </c>
      <c r="J2984" s="36">
        <v>2155.44</v>
      </c>
      <c r="K2984" s="85">
        <v>0</v>
      </c>
      <c r="L2984" s="36">
        <v>179.62</v>
      </c>
      <c r="M2984" s="36">
        <v>0</v>
      </c>
      <c r="N2984" s="36">
        <v>36.225000000000001</v>
      </c>
      <c r="O2984" s="36">
        <v>143.4</v>
      </c>
      <c r="P2984" t="s">
        <v>110</v>
      </c>
      <c r="Q2984" t="s">
        <v>111</v>
      </c>
      <c r="R2984" t="s">
        <v>111</v>
      </c>
      <c r="S2984" s="1">
        <v>46100</v>
      </c>
      <c r="T2984" s="1">
        <v>46100</v>
      </c>
      <c r="U2984" s="1">
        <v>46091</v>
      </c>
      <c r="V2984" s="1">
        <v>46465</v>
      </c>
      <c r="W2984" t="s">
        <v>38</v>
      </c>
      <c r="X2984">
        <v>12</v>
      </c>
      <c r="Y2984" t="s">
        <v>49</v>
      </c>
      <c r="Z2984" t="s">
        <v>81</v>
      </c>
      <c r="AA2984" t="s">
        <v>122</v>
      </c>
      <c r="AB2984">
        <v>12</v>
      </c>
      <c r="AC2984" t="s">
        <v>113</v>
      </c>
      <c r="AD2984" t="s">
        <v>118</v>
      </c>
      <c r="AE2984" t="s">
        <v>43</v>
      </c>
      <c r="AF2984" t="s">
        <v>119</v>
      </c>
      <c r="AG2984" t="str">
        <f t="shared" si="49"/>
        <v>Recorrente</v>
      </c>
      <c r="AH2984" t="str">
        <f>IF(AND(SUMIF(E:E,E2984,I:I)&gt;=400000,Q2984="B2G"),"n","")</f>
        <v/>
      </c>
    </row>
    <row r="2985" spans="1:34">
      <c r="A2985">
        <v>2026</v>
      </c>
      <c r="B2985">
        <v>3</v>
      </c>
      <c r="C2985" s="83">
        <v>62556217861</v>
      </c>
      <c r="D2985" t="s">
        <v>2663</v>
      </c>
      <c r="E2985">
        <v>55569288091</v>
      </c>
      <c r="F2985">
        <v>636446</v>
      </c>
      <c r="G2985">
        <v>53090640269</v>
      </c>
      <c r="H2985" t="s">
        <v>35</v>
      </c>
      <c r="I2985" s="36">
        <v>2352</v>
      </c>
      <c r="J2985" s="36">
        <v>2352</v>
      </c>
      <c r="K2985" s="85">
        <v>0</v>
      </c>
      <c r="L2985" s="36">
        <v>196</v>
      </c>
      <c r="M2985" s="36">
        <v>196</v>
      </c>
      <c r="N2985" s="36">
        <v>0</v>
      </c>
      <c r="O2985" s="36">
        <v>0</v>
      </c>
      <c r="P2985" t="s">
        <v>1073</v>
      </c>
      <c r="Q2985" t="s">
        <v>314</v>
      </c>
      <c r="R2985" t="s">
        <v>314</v>
      </c>
      <c r="S2985" s="1">
        <v>46091</v>
      </c>
      <c r="T2985" s="1">
        <v>46091</v>
      </c>
      <c r="U2985" s="1"/>
      <c r="V2985" s="1">
        <v>46456</v>
      </c>
      <c r="W2985" t="s">
        <v>38</v>
      </c>
      <c r="X2985">
        <v>12</v>
      </c>
      <c r="Y2985" t="s">
        <v>49</v>
      </c>
      <c r="AA2985" t="s">
        <v>122</v>
      </c>
      <c r="AB2985">
        <v>12</v>
      </c>
      <c r="AC2985" t="s">
        <v>315</v>
      </c>
      <c r="AD2985" t="s">
        <v>140</v>
      </c>
      <c r="AE2985" t="s">
        <v>46</v>
      </c>
      <c r="AF2985" t="s">
        <v>119</v>
      </c>
      <c r="AG2985" t="str">
        <f t="shared" si="49"/>
        <v>Recorrente</v>
      </c>
      <c r="AH2985" t="str">
        <f>IF(AND(SUMIF(E:E,E2985,I:I)&gt;=400000,Q2985="B2G"),"n","")</f>
        <v/>
      </c>
    </row>
    <row r="2986" spans="1:34">
      <c r="A2986">
        <v>2026</v>
      </c>
      <c r="B2986">
        <v>3</v>
      </c>
      <c r="C2986" s="83">
        <v>76528372589</v>
      </c>
      <c r="D2986" t="s">
        <v>2664</v>
      </c>
      <c r="E2986">
        <v>58180165007</v>
      </c>
      <c r="F2986">
        <v>636603</v>
      </c>
      <c r="G2986">
        <v>53343053387</v>
      </c>
      <c r="H2986" t="s">
        <v>35</v>
      </c>
      <c r="I2986" s="36">
        <v>2632.8</v>
      </c>
      <c r="J2986" s="36">
        <v>2632.8</v>
      </c>
      <c r="K2986" s="85">
        <v>0</v>
      </c>
      <c r="L2986" s="36">
        <v>219.4</v>
      </c>
      <c r="M2986" s="36">
        <v>219.4</v>
      </c>
      <c r="N2986" s="36">
        <v>0</v>
      </c>
      <c r="O2986" s="36">
        <v>0</v>
      </c>
      <c r="P2986" t="s">
        <v>511</v>
      </c>
      <c r="Q2986" t="s">
        <v>300</v>
      </c>
      <c r="R2986" t="s">
        <v>300</v>
      </c>
      <c r="S2986" s="1">
        <v>46100</v>
      </c>
      <c r="T2986" s="1">
        <v>46100</v>
      </c>
      <c r="U2986" s="1"/>
      <c r="V2986" s="1">
        <v>46465</v>
      </c>
      <c r="W2986" t="s">
        <v>38</v>
      </c>
      <c r="X2986">
        <v>12</v>
      </c>
      <c r="Y2986" t="s">
        <v>49</v>
      </c>
      <c r="AA2986" t="s">
        <v>112</v>
      </c>
      <c r="AB2986">
        <v>12</v>
      </c>
      <c r="AC2986" t="s">
        <v>301</v>
      </c>
      <c r="AD2986" t="s">
        <v>140</v>
      </c>
      <c r="AE2986" t="s">
        <v>46</v>
      </c>
      <c r="AF2986" t="s">
        <v>119</v>
      </c>
      <c r="AG2986" t="str">
        <f t="shared" si="49"/>
        <v>CC 12x</v>
      </c>
      <c r="AH2986" t="str">
        <f>IF(AND(SUMIF(E:E,E2986,I:I)&gt;=400000,Q2986="B2G"),"n","")</f>
        <v/>
      </c>
    </row>
    <row r="2987" spans="1:34">
      <c r="A2987">
        <v>2026</v>
      </c>
      <c r="B2987">
        <v>3</v>
      </c>
      <c r="C2987" s="83">
        <v>79296389129</v>
      </c>
      <c r="D2987" t="s">
        <v>2665</v>
      </c>
      <c r="E2987">
        <v>57654583993</v>
      </c>
      <c r="F2987">
        <v>636396</v>
      </c>
      <c r="G2987">
        <v>52952219940</v>
      </c>
      <c r="H2987" t="s">
        <v>35</v>
      </c>
      <c r="I2987" s="36">
        <v>2874</v>
      </c>
      <c r="J2987" s="36">
        <v>2874</v>
      </c>
      <c r="K2987" s="85">
        <v>0</v>
      </c>
      <c r="L2987" s="36">
        <v>239.5</v>
      </c>
      <c r="M2987" s="36">
        <v>239.5</v>
      </c>
      <c r="N2987" s="36">
        <v>0</v>
      </c>
      <c r="O2987" s="36">
        <v>0</v>
      </c>
      <c r="P2987" t="s">
        <v>511</v>
      </c>
      <c r="Q2987" t="s">
        <v>300</v>
      </c>
      <c r="R2987" t="s">
        <v>300</v>
      </c>
      <c r="S2987" s="1">
        <v>46087</v>
      </c>
      <c r="T2987" s="1">
        <v>46087</v>
      </c>
      <c r="U2987" s="1"/>
      <c r="V2987" s="1">
        <v>46452</v>
      </c>
      <c r="W2987" t="s">
        <v>38</v>
      </c>
      <c r="X2987">
        <v>12</v>
      </c>
      <c r="Y2987" t="s">
        <v>49</v>
      </c>
      <c r="AA2987" t="s">
        <v>122</v>
      </c>
      <c r="AB2987">
        <v>12</v>
      </c>
      <c r="AC2987" t="s">
        <v>301</v>
      </c>
      <c r="AD2987" t="s">
        <v>140</v>
      </c>
      <c r="AE2987" t="s">
        <v>46</v>
      </c>
      <c r="AF2987" t="s">
        <v>119</v>
      </c>
      <c r="AG2987" t="str">
        <f t="shared" si="49"/>
        <v>Recorrente</v>
      </c>
      <c r="AH2987" t="str">
        <f>IF(AND(SUMIF(E:E,E2987,I:I)&gt;=400000,Q2987="B2G"),"n","")</f>
        <v/>
      </c>
    </row>
    <row r="2988" spans="1:34">
      <c r="A2988">
        <v>2026</v>
      </c>
      <c r="B2988">
        <v>3</v>
      </c>
      <c r="C2988" s="83">
        <v>80179787911</v>
      </c>
      <c r="D2988" t="s">
        <v>2666</v>
      </c>
      <c r="E2988">
        <v>58605817447</v>
      </c>
      <c r="F2988">
        <v>636789</v>
      </c>
      <c r="G2988">
        <v>53781561528</v>
      </c>
      <c r="H2988" t="s">
        <v>104</v>
      </c>
      <c r="I2988" s="36">
        <v>718.8</v>
      </c>
      <c r="J2988" s="36">
        <v>718.8</v>
      </c>
      <c r="K2988" s="85">
        <v>0</v>
      </c>
      <c r="L2988" s="36">
        <v>59.9</v>
      </c>
      <c r="M2988" s="36">
        <v>59.9</v>
      </c>
      <c r="N2988" s="36">
        <v>0</v>
      </c>
      <c r="O2988" s="36">
        <v>0</v>
      </c>
      <c r="P2988" t="s">
        <v>497</v>
      </c>
      <c r="Q2988" t="s">
        <v>498</v>
      </c>
      <c r="R2988" t="s">
        <v>498</v>
      </c>
      <c r="S2988" s="1">
        <v>46111</v>
      </c>
      <c r="T2988" s="1">
        <v>46111</v>
      </c>
      <c r="U2988" s="1"/>
      <c r="V2988" s="1">
        <v>46476</v>
      </c>
      <c r="W2988" t="s">
        <v>38</v>
      </c>
      <c r="X2988">
        <v>12</v>
      </c>
      <c r="Y2988" t="s">
        <v>49</v>
      </c>
      <c r="AA2988" t="s">
        <v>112</v>
      </c>
      <c r="AB2988">
        <v>12</v>
      </c>
      <c r="AC2988" t="s">
        <v>499</v>
      </c>
      <c r="AD2988" t="s">
        <v>105</v>
      </c>
      <c r="AE2988" t="s">
        <v>106</v>
      </c>
      <c r="AF2988" t="s">
        <v>59</v>
      </c>
      <c r="AG2988" t="str">
        <f t="shared" si="49"/>
        <v>CC 12x</v>
      </c>
      <c r="AH2988" t="str">
        <f>IF(AND(SUMIF(E:E,E2988,I:I)&gt;=400000,Q2988="B2G"),"n","")</f>
        <v/>
      </c>
    </row>
    <row r="2989" spans="1:34">
      <c r="A2989">
        <v>2026</v>
      </c>
      <c r="B2989">
        <v>3</v>
      </c>
      <c r="C2989" s="83">
        <v>82061679623</v>
      </c>
      <c r="D2989" t="s">
        <v>2667</v>
      </c>
      <c r="E2989">
        <v>58342492958</v>
      </c>
      <c r="F2989">
        <v>630748</v>
      </c>
      <c r="G2989">
        <v>53576301671</v>
      </c>
      <c r="H2989" t="s">
        <v>35</v>
      </c>
      <c r="I2989" s="36">
        <v>796.92</v>
      </c>
      <c r="J2989" s="36">
        <v>2882.16</v>
      </c>
      <c r="K2989" s="85">
        <v>0</v>
      </c>
      <c r="L2989" s="36">
        <v>240.18</v>
      </c>
      <c r="M2989" s="36">
        <v>0</v>
      </c>
      <c r="N2989" s="36">
        <v>240.18</v>
      </c>
      <c r="O2989" s="36">
        <v>0</v>
      </c>
      <c r="P2989" t="s">
        <v>323</v>
      </c>
      <c r="Q2989" t="s">
        <v>191</v>
      </c>
      <c r="R2989" t="s">
        <v>191</v>
      </c>
      <c r="S2989" s="1">
        <v>46107</v>
      </c>
      <c r="T2989" s="1">
        <v>46107</v>
      </c>
      <c r="U2989" s="1">
        <v>46207</v>
      </c>
      <c r="V2989" s="1">
        <v>46207</v>
      </c>
      <c r="W2989" t="s">
        <v>38</v>
      </c>
      <c r="X2989">
        <v>4</v>
      </c>
      <c r="Y2989" t="s">
        <v>49</v>
      </c>
      <c r="Z2989" t="s">
        <v>324</v>
      </c>
      <c r="AA2989" t="s">
        <v>117</v>
      </c>
      <c r="AB2989">
        <v>1</v>
      </c>
      <c r="AC2989" t="s">
        <v>192</v>
      </c>
      <c r="AD2989" t="s">
        <v>85</v>
      </c>
      <c r="AE2989" t="s">
        <v>46</v>
      </c>
      <c r="AF2989" t="s">
        <v>44</v>
      </c>
      <c r="AG2989" t="str">
        <f t="shared" si="49"/>
        <v>À Vista</v>
      </c>
      <c r="AH2989" t="str">
        <f>IF(AND(SUMIF(E:E,E2989,I:I)&gt;=400000,Q2989="B2G"),"n","")</f>
        <v/>
      </c>
    </row>
    <row r="2990" spans="1:34">
      <c r="A2990">
        <v>2026</v>
      </c>
      <c r="B2990">
        <v>3</v>
      </c>
      <c r="C2990" s="83">
        <v>87579403298</v>
      </c>
      <c r="D2990" t="s">
        <v>2668</v>
      </c>
      <c r="E2990">
        <v>57856235926</v>
      </c>
      <c r="F2990">
        <v>625192</v>
      </c>
      <c r="G2990">
        <v>53140735240</v>
      </c>
      <c r="H2990" t="s">
        <v>35</v>
      </c>
      <c r="I2990" s="36">
        <v>2442.84</v>
      </c>
      <c r="J2990" s="36">
        <v>2442.84</v>
      </c>
      <c r="K2990" s="85">
        <v>0</v>
      </c>
      <c r="L2990" s="36">
        <v>203.57</v>
      </c>
      <c r="M2990" s="36">
        <v>203.57</v>
      </c>
      <c r="N2990" s="36">
        <v>0</v>
      </c>
      <c r="O2990" s="36">
        <v>0</v>
      </c>
      <c r="P2990" t="s">
        <v>133</v>
      </c>
      <c r="Q2990" t="s">
        <v>111</v>
      </c>
      <c r="R2990" t="s">
        <v>111</v>
      </c>
      <c r="S2990" s="1">
        <v>46092</v>
      </c>
      <c r="T2990" s="1">
        <v>46092</v>
      </c>
      <c r="U2990" s="1">
        <v>46018</v>
      </c>
      <c r="V2990" s="1">
        <v>46457</v>
      </c>
      <c r="W2990" t="s">
        <v>38</v>
      </c>
      <c r="X2990">
        <v>15</v>
      </c>
      <c r="Y2990" t="s">
        <v>49</v>
      </c>
      <c r="Z2990" t="s">
        <v>81</v>
      </c>
      <c r="AA2990" t="s">
        <v>117</v>
      </c>
      <c r="AB2990">
        <v>1</v>
      </c>
      <c r="AC2990" t="s">
        <v>113</v>
      </c>
      <c r="AD2990" t="s">
        <v>140</v>
      </c>
      <c r="AE2990" t="s">
        <v>46</v>
      </c>
      <c r="AF2990" t="s">
        <v>119</v>
      </c>
      <c r="AG2990" t="str">
        <f t="shared" si="49"/>
        <v>À Vista</v>
      </c>
      <c r="AH2990" t="str">
        <f>IF(AND(SUMIF(E:E,E2990,I:I)&gt;=400000,Q2990="B2G"),"n","")</f>
        <v/>
      </c>
    </row>
    <row r="2991" spans="1:34">
      <c r="A2991">
        <v>2026</v>
      </c>
      <c r="B2991">
        <v>3</v>
      </c>
      <c r="C2991" s="83">
        <v>89722523796</v>
      </c>
      <c r="D2991" t="s">
        <v>2669</v>
      </c>
      <c r="E2991">
        <v>58383525121</v>
      </c>
      <c r="F2991">
        <v>636701</v>
      </c>
      <c r="G2991">
        <v>53571078534</v>
      </c>
      <c r="H2991" t="s">
        <v>35</v>
      </c>
      <c r="I2991" s="36">
        <v>2299.1999999999998</v>
      </c>
      <c r="J2991" s="36">
        <v>2299.1999999999998</v>
      </c>
      <c r="K2991" s="85">
        <v>0</v>
      </c>
      <c r="L2991" s="36">
        <v>191.6</v>
      </c>
      <c r="M2991" s="36">
        <v>191.6</v>
      </c>
      <c r="N2991" s="36">
        <v>0</v>
      </c>
      <c r="O2991" s="36">
        <v>0</v>
      </c>
      <c r="P2991" t="s">
        <v>506</v>
      </c>
      <c r="Q2991" t="s">
        <v>300</v>
      </c>
      <c r="R2991" t="s">
        <v>300</v>
      </c>
      <c r="S2991" s="1">
        <v>46106</v>
      </c>
      <c r="T2991" s="1">
        <v>46106</v>
      </c>
      <c r="U2991" s="1"/>
      <c r="V2991" s="1">
        <v>46471</v>
      </c>
      <c r="W2991" t="s">
        <v>38</v>
      </c>
      <c r="X2991">
        <v>12</v>
      </c>
      <c r="Y2991" t="s">
        <v>49</v>
      </c>
      <c r="AA2991" t="s">
        <v>122</v>
      </c>
      <c r="AB2991">
        <v>12</v>
      </c>
      <c r="AC2991" t="s">
        <v>301</v>
      </c>
      <c r="AD2991" t="s">
        <v>118</v>
      </c>
      <c r="AE2991" t="s">
        <v>43</v>
      </c>
      <c r="AF2991" t="s">
        <v>119</v>
      </c>
      <c r="AG2991" t="str">
        <f t="shared" si="49"/>
        <v>Recorrente</v>
      </c>
      <c r="AH2991" t="str">
        <f>IF(AND(SUMIF(E:E,E2991,I:I)&gt;=400000,Q2991="B2G"),"n","")</f>
        <v/>
      </c>
    </row>
    <row r="2992" spans="1:34">
      <c r="A2992">
        <v>2026</v>
      </c>
      <c r="B2992">
        <v>3</v>
      </c>
      <c r="C2992" s="83">
        <v>93140572291</v>
      </c>
      <c r="D2992" t="s">
        <v>2670</v>
      </c>
      <c r="E2992">
        <v>58159804336</v>
      </c>
      <c r="F2992">
        <v>636586</v>
      </c>
      <c r="G2992">
        <v>53343392512</v>
      </c>
      <c r="H2992" t="s">
        <v>35</v>
      </c>
      <c r="I2992" s="36">
        <v>2586.6</v>
      </c>
      <c r="J2992" s="36">
        <v>2586.6</v>
      </c>
      <c r="K2992" s="85">
        <v>0</v>
      </c>
      <c r="L2992" s="36">
        <v>215.55</v>
      </c>
      <c r="M2992" s="36">
        <v>215.55</v>
      </c>
      <c r="N2992" s="36">
        <v>0</v>
      </c>
      <c r="O2992" s="36">
        <v>0</v>
      </c>
      <c r="P2992" t="s">
        <v>506</v>
      </c>
      <c r="Q2992" t="s">
        <v>300</v>
      </c>
      <c r="R2992" t="s">
        <v>300</v>
      </c>
      <c r="S2992" s="1">
        <v>46099</v>
      </c>
      <c r="T2992" s="1">
        <v>46099</v>
      </c>
      <c r="U2992" s="1"/>
      <c r="V2992" s="1">
        <v>46464</v>
      </c>
      <c r="W2992" t="s">
        <v>38</v>
      </c>
      <c r="X2992">
        <v>12</v>
      </c>
      <c r="Y2992" t="s">
        <v>49</v>
      </c>
      <c r="AA2992" t="s">
        <v>112</v>
      </c>
      <c r="AB2992">
        <v>12</v>
      </c>
      <c r="AC2992" t="s">
        <v>301</v>
      </c>
      <c r="AD2992" t="s">
        <v>118</v>
      </c>
      <c r="AE2992" t="s">
        <v>43</v>
      </c>
      <c r="AF2992" t="s">
        <v>119</v>
      </c>
      <c r="AG2992" t="str">
        <f t="shared" si="49"/>
        <v>CC 12x</v>
      </c>
      <c r="AH2992" t="str">
        <f>IF(AND(SUMIF(E:E,E2992,I:I)&gt;=400000,Q2992="B2G"),"n","")</f>
        <v/>
      </c>
    </row>
    <row r="2993" spans="1:34">
      <c r="A2993">
        <v>2026</v>
      </c>
      <c r="B2993">
        <v>3</v>
      </c>
      <c r="C2993" s="83">
        <v>93681601036</v>
      </c>
      <c r="D2993" t="s">
        <v>2671</v>
      </c>
      <c r="E2993">
        <v>47756667771</v>
      </c>
      <c r="F2993">
        <v>624910</v>
      </c>
      <c r="G2993">
        <v>43142750485</v>
      </c>
      <c r="H2993" t="s">
        <v>35</v>
      </c>
      <c r="I2993" s="36">
        <v>5034</v>
      </c>
      <c r="J2993" s="36">
        <v>5034</v>
      </c>
      <c r="K2993" s="85">
        <v>0</v>
      </c>
      <c r="L2993" s="36">
        <v>419.5</v>
      </c>
      <c r="M2993" s="36">
        <v>0</v>
      </c>
      <c r="N2993" s="36">
        <v>80.5</v>
      </c>
      <c r="O2993" s="36">
        <v>339</v>
      </c>
      <c r="P2993" t="s">
        <v>165</v>
      </c>
      <c r="Q2993" t="s">
        <v>166</v>
      </c>
      <c r="R2993" t="s">
        <v>166</v>
      </c>
      <c r="S2993" s="1">
        <v>46097</v>
      </c>
      <c r="T2993" s="1">
        <v>46097</v>
      </c>
      <c r="U2993" s="1">
        <v>46006</v>
      </c>
      <c r="V2993" s="1">
        <v>46462</v>
      </c>
      <c r="W2993" t="s">
        <v>38</v>
      </c>
      <c r="X2993">
        <v>15</v>
      </c>
      <c r="Y2993" t="s">
        <v>49</v>
      </c>
      <c r="Z2993" t="s">
        <v>81</v>
      </c>
      <c r="AA2993" t="s">
        <v>112</v>
      </c>
      <c r="AB2993">
        <v>12</v>
      </c>
      <c r="AC2993" t="s">
        <v>166</v>
      </c>
      <c r="AD2993" t="s">
        <v>84</v>
      </c>
      <c r="AE2993" t="s">
        <v>43</v>
      </c>
      <c r="AF2993" t="s">
        <v>44</v>
      </c>
      <c r="AG2993" t="str">
        <f t="shared" si="49"/>
        <v>CC 12x</v>
      </c>
      <c r="AH2993" t="str">
        <f>IF(AND(SUMIF(E:E,E2993,I:I)&gt;=400000,Q2993="B2G"),"n","")</f>
        <v/>
      </c>
    </row>
    <row r="2994" spans="1:34">
      <c r="A2994">
        <v>2026</v>
      </c>
      <c r="B2994">
        <v>3</v>
      </c>
      <c r="C2994" s="83">
        <v>93718044743</v>
      </c>
      <c r="D2994" t="s">
        <v>2672</v>
      </c>
      <c r="E2994">
        <v>58029022381</v>
      </c>
      <c r="F2994">
        <v>628723</v>
      </c>
      <c r="G2994">
        <v>53666702992</v>
      </c>
      <c r="H2994" t="s">
        <v>35</v>
      </c>
      <c r="I2994" s="36">
        <v>7495.92</v>
      </c>
      <c r="J2994" s="36">
        <v>3650.76</v>
      </c>
      <c r="K2994" s="85">
        <v>3845.16</v>
      </c>
      <c r="L2994" s="36">
        <v>304.23</v>
      </c>
      <c r="M2994" s="36">
        <v>0</v>
      </c>
      <c r="N2994" s="36">
        <v>304.23</v>
      </c>
      <c r="O2994" s="36">
        <v>0</v>
      </c>
      <c r="P2994" t="s">
        <v>323</v>
      </c>
      <c r="Q2994" t="s">
        <v>191</v>
      </c>
      <c r="R2994" t="s">
        <v>191</v>
      </c>
      <c r="S2994" s="1">
        <v>46109</v>
      </c>
      <c r="T2994" s="1">
        <v>46109</v>
      </c>
      <c r="U2994" s="1">
        <v>46858</v>
      </c>
      <c r="V2994" s="1">
        <v>46858</v>
      </c>
      <c r="W2994" t="s">
        <v>102</v>
      </c>
      <c r="X2994">
        <v>25</v>
      </c>
      <c r="Y2994" t="s">
        <v>49</v>
      </c>
      <c r="Z2994" t="s">
        <v>324</v>
      </c>
      <c r="AA2994" t="s">
        <v>122</v>
      </c>
      <c r="AB2994">
        <v>24</v>
      </c>
      <c r="AC2994" t="s">
        <v>192</v>
      </c>
      <c r="AD2994" t="s">
        <v>131</v>
      </c>
      <c r="AE2994" t="s">
        <v>46</v>
      </c>
      <c r="AF2994" t="s">
        <v>96</v>
      </c>
      <c r="AG2994" t="str">
        <f t="shared" si="49"/>
        <v>Recorrente</v>
      </c>
      <c r="AH2994" t="str">
        <f>IF(AND(SUMIF(E:E,E2994,I:I)&gt;=400000,Q2994="B2G"),"n","")</f>
        <v/>
      </c>
    </row>
    <row r="2995" spans="1:34">
      <c r="A2995">
        <v>2026</v>
      </c>
      <c r="B2995">
        <v>3</v>
      </c>
      <c r="C2995" s="83">
        <v>95239009701</v>
      </c>
      <c r="D2995" t="s">
        <v>2673</v>
      </c>
      <c r="E2995">
        <v>54350537484</v>
      </c>
      <c r="F2995">
        <v>309031</v>
      </c>
      <c r="G2995">
        <v>49725876813</v>
      </c>
      <c r="H2995" t="s">
        <v>35</v>
      </c>
      <c r="I2995" s="36">
        <v>7195.44</v>
      </c>
      <c r="J2995" s="36">
        <v>7195.44</v>
      </c>
      <c r="K2995" s="85">
        <v>0</v>
      </c>
      <c r="L2995" s="36">
        <v>599.62</v>
      </c>
      <c r="M2995" s="36">
        <v>0</v>
      </c>
      <c r="N2995" s="36">
        <v>133.715</v>
      </c>
      <c r="O2995" s="36">
        <v>465.91</v>
      </c>
      <c r="P2995" t="s">
        <v>165</v>
      </c>
      <c r="Q2995" t="s">
        <v>166</v>
      </c>
      <c r="R2995" t="s">
        <v>166</v>
      </c>
      <c r="S2995" s="1">
        <v>46090</v>
      </c>
      <c r="T2995" s="1">
        <v>46090</v>
      </c>
      <c r="U2995" s="1">
        <v>46090</v>
      </c>
      <c r="V2995" s="1">
        <v>46455</v>
      </c>
      <c r="W2995" t="s">
        <v>38</v>
      </c>
      <c r="X2995">
        <v>12</v>
      </c>
      <c r="Y2995" t="s">
        <v>49</v>
      </c>
      <c r="Z2995" t="s">
        <v>81</v>
      </c>
      <c r="AA2995" t="s">
        <v>112</v>
      </c>
      <c r="AB2995">
        <v>12</v>
      </c>
      <c r="AC2995" t="s">
        <v>166</v>
      </c>
      <c r="AD2995" t="s">
        <v>131</v>
      </c>
      <c r="AE2995" t="s">
        <v>46</v>
      </c>
      <c r="AF2995" t="s">
        <v>96</v>
      </c>
      <c r="AG2995" t="str">
        <f t="shared" si="49"/>
        <v>CC 12x</v>
      </c>
      <c r="AH2995" t="str">
        <f>IF(AND(SUMIF(E:E,E2995,I:I)&gt;=400000,Q2995="B2G"),"n","")</f>
        <v/>
      </c>
    </row>
    <row r="2996" spans="1:34">
      <c r="A2996">
        <v>2026</v>
      </c>
      <c r="B2996">
        <v>3</v>
      </c>
      <c r="C2996" s="83">
        <v>97406011681</v>
      </c>
      <c r="D2996" t="s">
        <v>2674</v>
      </c>
      <c r="E2996">
        <v>57510780981</v>
      </c>
      <c r="F2996">
        <v>277996</v>
      </c>
      <c r="G2996">
        <v>52798312746</v>
      </c>
      <c r="H2996" t="s">
        <v>35</v>
      </c>
      <c r="I2996" s="36">
        <v>4646.3999999999996</v>
      </c>
      <c r="J2996" s="36">
        <v>4646.3999999999996</v>
      </c>
      <c r="K2996" s="85">
        <v>0</v>
      </c>
      <c r="L2996" s="36">
        <v>387.2</v>
      </c>
      <c r="M2996" s="36">
        <v>0</v>
      </c>
      <c r="N2996" s="36">
        <v>25.25</v>
      </c>
      <c r="O2996" s="36">
        <v>361.95</v>
      </c>
      <c r="P2996" t="s">
        <v>162</v>
      </c>
      <c r="Q2996" t="s">
        <v>111</v>
      </c>
      <c r="R2996" t="s">
        <v>111</v>
      </c>
      <c r="S2996" s="1">
        <v>46085</v>
      </c>
      <c r="T2996" s="1">
        <v>46085</v>
      </c>
      <c r="U2996" s="1">
        <v>46084</v>
      </c>
      <c r="V2996" s="1">
        <v>46450</v>
      </c>
      <c r="W2996" t="s">
        <v>38</v>
      </c>
      <c r="X2996">
        <v>12</v>
      </c>
      <c r="Y2996" t="s">
        <v>49</v>
      </c>
      <c r="Z2996" t="s">
        <v>81</v>
      </c>
      <c r="AA2996" t="s">
        <v>112</v>
      </c>
      <c r="AB2996">
        <v>12</v>
      </c>
      <c r="AC2996" t="s">
        <v>113</v>
      </c>
      <c r="AD2996" t="s">
        <v>85</v>
      </c>
      <c r="AE2996" t="s">
        <v>46</v>
      </c>
      <c r="AF2996" t="s">
        <v>44</v>
      </c>
      <c r="AG2996" t="str">
        <f t="shared" si="49"/>
        <v>CC 12x</v>
      </c>
      <c r="AH2996" t="str">
        <f>IF(AND(SUMIF(E:E,E2996,I:I)&gt;=400000,Q2996="B2G"),"n","")</f>
        <v/>
      </c>
    </row>
    <row r="2997" spans="1:34">
      <c r="A2997">
        <v>2026</v>
      </c>
      <c r="B2997">
        <v>3</v>
      </c>
      <c r="C2997" s="83">
        <v>97616265525</v>
      </c>
      <c r="D2997" t="s">
        <v>2675</v>
      </c>
      <c r="E2997">
        <v>57835461760</v>
      </c>
      <c r="F2997">
        <v>636424</v>
      </c>
      <c r="G2997">
        <v>53077539113</v>
      </c>
      <c r="H2997" t="s">
        <v>35</v>
      </c>
      <c r="I2997" s="36">
        <v>2874</v>
      </c>
      <c r="J2997" s="36">
        <v>2874</v>
      </c>
      <c r="K2997" s="85">
        <v>0</v>
      </c>
      <c r="L2997" s="36">
        <v>239.5</v>
      </c>
      <c r="M2997" s="36">
        <v>239.5</v>
      </c>
      <c r="N2997" s="36">
        <v>0</v>
      </c>
      <c r="O2997" s="36">
        <v>0</v>
      </c>
      <c r="P2997" t="s">
        <v>497</v>
      </c>
      <c r="Q2997" t="s">
        <v>498</v>
      </c>
      <c r="R2997" t="s">
        <v>498</v>
      </c>
      <c r="S2997" s="1">
        <v>46090</v>
      </c>
      <c r="T2997" s="1">
        <v>46090</v>
      </c>
      <c r="U2997" s="1"/>
      <c r="V2997" s="1">
        <v>46455</v>
      </c>
      <c r="W2997" t="s">
        <v>38</v>
      </c>
      <c r="X2997">
        <v>12</v>
      </c>
      <c r="Y2997" t="s">
        <v>49</v>
      </c>
      <c r="AA2997" t="s">
        <v>112</v>
      </c>
      <c r="AB2997">
        <v>12</v>
      </c>
      <c r="AC2997" t="s">
        <v>499</v>
      </c>
      <c r="AD2997" t="s">
        <v>118</v>
      </c>
      <c r="AE2997" t="s">
        <v>43</v>
      </c>
      <c r="AF2997" t="s">
        <v>119</v>
      </c>
      <c r="AG2997" t="str">
        <f t="shared" si="49"/>
        <v>CC 12x</v>
      </c>
      <c r="AH2997" t="str">
        <f>IF(AND(SUMIF(E:E,E2997,I:I)&gt;=400000,Q2997="B2G"),"n","")</f>
        <v/>
      </c>
    </row>
    <row r="2998" spans="1:34">
      <c r="A2998">
        <v>2026</v>
      </c>
      <c r="B2998">
        <v>3</v>
      </c>
      <c r="C2998" s="83">
        <v>98313618533</v>
      </c>
      <c r="D2998" t="s">
        <v>2676</v>
      </c>
      <c r="E2998">
        <v>58252526922</v>
      </c>
      <c r="F2998">
        <v>636645</v>
      </c>
      <c r="G2998">
        <v>53452829594</v>
      </c>
      <c r="H2998" t="s">
        <v>35</v>
      </c>
      <c r="I2998" s="36">
        <v>2586.6</v>
      </c>
      <c r="J2998" s="36">
        <v>2586.6</v>
      </c>
      <c r="K2998" s="85">
        <v>0</v>
      </c>
      <c r="L2998" s="36">
        <v>215.55</v>
      </c>
      <c r="M2998" s="36">
        <v>215.55</v>
      </c>
      <c r="N2998" s="36">
        <v>0</v>
      </c>
      <c r="O2998" s="36">
        <v>0</v>
      </c>
      <c r="P2998" t="s">
        <v>506</v>
      </c>
      <c r="Q2998" t="s">
        <v>300</v>
      </c>
      <c r="R2998" t="s">
        <v>300</v>
      </c>
      <c r="S2998" s="1">
        <v>46104</v>
      </c>
      <c r="T2998" s="1">
        <v>46104</v>
      </c>
      <c r="U2998" s="1"/>
      <c r="V2998" s="1">
        <v>46469</v>
      </c>
      <c r="W2998" t="s">
        <v>38</v>
      </c>
      <c r="X2998">
        <v>12</v>
      </c>
      <c r="Y2998" t="s">
        <v>49</v>
      </c>
      <c r="AA2998" t="s">
        <v>112</v>
      </c>
      <c r="AB2998">
        <v>12</v>
      </c>
      <c r="AC2998" t="s">
        <v>301</v>
      </c>
      <c r="AD2998" t="s">
        <v>140</v>
      </c>
      <c r="AE2998" t="s">
        <v>46</v>
      </c>
      <c r="AF2998" t="s">
        <v>119</v>
      </c>
      <c r="AG2998" t="str">
        <f t="shared" si="49"/>
        <v>CC 12x</v>
      </c>
      <c r="AH2998" t="str">
        <f>IF(AND(SUMIF(E:E,E2998,I:I)&gt;=400000,Q2998="B2G"),"n","")</f>
        <v/>
      </c>
    </row>
    <row r="2999" spans="1:34">
      <c r="A2999">
        <v>2026</v>
      </c>
      <c r="B2999">
        <v>3</v>
      </c>
      <c r="C2999" s="83">
        <v>98328133298</v>
      </c>
      <c r="D2999" t="s">
        <v>2677</v>
      </c>
      <c r="E2999">
        <v>55743053097</v>
      </c>
      <c r="F2999">
        <v>627824</v>
      </c>
      <c r="G2999">
        <v>51020788249</v>
      </c>
      <c r="H2999" t="s">
        <v>35</v>
      </c>
      <c r="I2999" s="36">
        <v>11437.2</v>
      </c>
      <c r="J2999" s="36">
        <v>11437.2</v>
      </c>
      <c r="K2999" s="85">
        <v>0</v>
      </c>
      <c r="L2999" s="36">
        <v>953.1</v>
      </c>
      <c r="M2999" s="36">
        <v>0</v>
      </c>
      <c r="N2999" s="36">
        <v>246.8</v>
      </c>
      <c r="O2999" s="36">
        <v>706.3</v>
      </c>
      <c r="P2999" t="s">
        <v>165</v>
      </c>
      <c r="Q2999" t="s">
        <v>166</v>
      </c>
      <c r="R2999" t="s">
        <v>166</v>
      </c>
      <c r="S2999" s="1">
        <v>46106</v>
      </c>
      <c r="T2999" s="1">
        <v>46106</v>
      </c>
      <c r="U2999" s="1">
        <v>46106</v>
      </c>
      <c r="V2999" s="1">
        <v>46471</v>
      </c>
      <c r="W2999" t="s">
        <v>38</v>
      </c>
      <c r="X2999">
        <v>12</v>
      </c>
      <c r="Y2999" t="s">
        <v>49</v>
      </c>
      <c r="Z2999" t="s">
        <v>81</v>
      </c>
      <c r="AA2999" t="s">
        <v>112</v>
      </c>
      <c r="AB2999">
        <v>12</v>
      </c>
      <c r="AC2999" t="s">
        <v>166</v>
      </c>
      <c r="AD2999" t="s">
        <v>1167</v>
      </c>
      <c r="AE2999" t="s">
        <v>95</v>
      </c>
      <c r="AF2999" t="s">
        <v>96</v>
      </c>
      <c r="AG2999" t="str">
        <f t="shared" ref="AG2999:AG3001" si="50">IF(IFERROR(SEARCH("Recorrente",AA2999),0)&gt;0,"Recorrente",IF(AB2999=1,"À Vista",IF(AB2999&lt;=3,"CC 3x",IF(AB2999&lt;=12,"CC 12x",IF(AB2999&gt;12,"Recorrente","")))))</f>
        <v>CC 12x</v>
      </c>
      <c r="AH2999" t="str">
        <f>IF(AND(SUMIF(E:E,E2999,I:I)&gt;=400000,Q2999="B2G"),"n","")</f>
        <v/>
      </c>
    </row>
    <row r="3000" spans="1:34">
      <c r="A3000">
        <v>2026</v>
      </c>
      <c r="B3000">
        <v>3</v>
      </c>
      <c r="C3000" s="83">
        <v>98672153431</v>
      </c>
      <c r="D3000" t="s">
        <v>2678</v>
      </c>
      <c r="E3000">
        <v>58058109819</v>
      </c>
      <c r="F3000">
        <v>636615</v>
      </c>
      <c r="G3000">
        <v>53407482628</v>
      </c>
      <c r="H3000" t="s">
        <v>35</v>
      </c>
      <c r="I3000" s="36">
        <v>5238.24</v>
      </c>
      <c r="J3000" s="36">
        <v>5238.3</v>
      </c>
      <c r="K3000" s="85">
        <v>0</v>
      </c>
      <c r="L3000" s="36">
        <v>436.52499999999998</v>
      </c>
      <c r="M3000" s="36">
        <v>436.52499999999998</v>
      </c>
      <c r="N3000" s="36">
        <v>0</v>
      </c>
      <c r="O3000" s="36">
        <v>0</v>
      </c>
      <c r="P3000" t="s">
        <v>506</v>
      </c>
      <c r="Q3000" t="s">
        <v>300</v>
      </c>
      <c r="R3000" t="s">
        <v>300</v>
      </c>
      <c r="S3000" s="1">
        <v>46101</v>
      </c>
      <c r="T3000" s="1">
        <v>46101</v>
      </c>
      <c r="U3000" s="1"/>
      <c r="V3000" s="1">
        <v>46466</v>
      </c>
      <c r="W3000" t="s">
        <v>38</v>
      </c>
      <c r="X3000">
        <v>12</v>
      </c>
      <c r="Y3000" t="s">
        <v>49</v>
      </c>
      <c r="AA3000" t="s">
        <v>122</v>
      </c>
      <c r="AB3000">
        <v>12</v>
      </c>
      <c r="AC3000" t="s">
        <v>301</v>
      </c>
      <c r="AD3000" t="s">
        <v>138</v>
      </c>
      <c r="AE3000" t="s">
        <v>135</v>
      </c>
      <c r="AF3000" t="s">
        <v>119</v>
      </c>
      <c r="AG3000" t="str">
        <f t="shared" si="50"/>
        <v>Recorrente</v>
      </c>
      <c r="AH3000" t="str">
        <f>IF(AND(SUMIF(E:E,E3000,I:I)&gt;=400000,Q3000="B2G"),"n","")</f>
        <v/>
      </c>
    </row>
    <row r="3001" spans="1:34">
      <c r="A3001">
        <v>2026</v>
      </c>
      <c r="B3001">
        <v>3</v>
      </c>
      <c r="C3001" s="83">
        <v>98698093839</v>
      </c>
      <c r="D3001" t="s">
        <v>2679</v>
      </c>
      <c r="E3001">
        <v>54328416294</v>
      </c>
      <c r="F3001">
        <v>308942</v>
      </c>
      <c r="G3001">
        <v>49683386993</v>
      </c>
      <c r="H3001" t="s">
        <v>35</v>
      </c>
      <c r="I3001" s="36">
        <v>5514</v>
      </c>
      <c r="J3001" s="36">
        <v>5514</v>
      </c>
      <c r="K3001" s="85">
        <v>0</v>
      </c>
      <c r="L3001" s="36">
        <v>459.5</v>
      </c>
      <c r="M3001" s="36">
        <v>0</v>
      </c>
      <c r="N3001" s="36">
        <v>30.5</v>
      </c>
      <c r="O3001" s="36">
        <v>429</v>
      </c>
      <c r="P3001" t="s">
        <v>165</v>
      </c>
      <c r="Q3001" t="s">
        <v>166</v>
      </c>
      <c r="R3001" t="s">
        <v>166</v>
      </c>
      <c r="S3001" s="1">
        <v>46089</v>
      </c>
      <c r="T3001" s="1">
        <v>46089</v>
      </c>
      <c r="U3001" s="1">
        <v>46089</v>
      </c>
      <c r="V3001" s="1">
        <v>46454</v>
      </c>
      <c r="W3001" t="s">
        <v>38</v>
      </c>
      <c r="X3001">
        <v>12</v>
      </c>
      <c r="Y3001" t="s">
        <v>49</v>
      </c>
      <c r="Z3001" t="s">
        <v>81</v>
      </c>
      <c r="AA3001" t="s">
        <v>122</v>
      </c>
      <c r="AB3001">
        <v>12</v>
      </c>
      <c r="AC3001" t="s">
        <v>166</v>
      </c>
      <c r="AD3001" t="s">
        <v>138</v>
      </c>
      <c r="AE3001" t="s">
        <v>135</v>
      </c>
      <c r="AF3001" t="s">
        <v>119</v>
      </c>
      <c r="AG3001" t="str">
        <f t="shared" si="50"/>
        <v>Recorrente</v>
      </c>
      <c r="AH3001" t="str">
        <f>IF(AND(SUMIF(E:E,E3001,I:I)&gt;=400000,Q3001="B2G"),"n","")</f>
        <v/>
      </c>
    </row>
    <row r="3002" spans="1:34">
      <c r="A3002">
        <v>2026</v>
      </c>
      <c r="B3002">
        <v>3</v>
      </c>
      <c r="C3002" s="83">
        <v>98723338301</v>
      </c>
      <c r="D3002" t="s">
        <v>2680</v>
      </c>
      <c r="E3002">
        <v>57895002988</v>
      </c>
      <c r="F3002">
        <v>636463</v>
      </c>
      <c r="G3002">
        <v>53094454877</v>
      </c>
      <c r="H3002" t="s">
        <v>35</v>
      </c>
      <c r="I3002" s="36">
        <v>3450.6</v>
      </c>
      <c r="J3002" s="36">
        <v>3450.6</v>
      </c>
      <c r="K3002" s="85">
        <v>0</v>
      </c>
      <c r="L3002" s="36">
        <v>287.55</v>
      </c>
      <c r="M3002" s="36">
        <v>287.55</v>
      </c>
      <c r="N3002" s="36">
        <v>0</v>
      </c>
      <c r="O3002" s="36">
        <v>0</v>
      </c>
      <c r="P3002" t="s">
        <v>506</v>
      </c>
      <c r="Q3002" t="s">
        <v>300</v>
      </c>
      <c r="R3002" t="s">
        <v>300</v>
      </c>
      <c r="S3002" s="1">
        <v>46092</v>
      </c>
      <c r="T3002" s="1">
        <v>46092</v>
      </c>
      <c r="U3002" s="1"/>
      <c r="V3002" s="1">
        <v>46457</v>
      </c>
      <c r="W3002" t="s">
        <v>38</v>
      </c>
      <c r="X3002">
        <v>12</v>
      </c>
      <c r="Y3002" t="s">
        <v>49</v>
      </c>
      <c r="AA3002" t="s">
        <v>112</v>
      </c>
      <c r="AB3002">
        <v>12</v>
      </c>
      <c r="AC3002" t="s">
        <v>301</v>
      </c>
      <c r="AD3002" t="s">
        <v>142</v>
      </c>
      <c r="AE3002" t="s">
        <v>95</v>
      </c>
      <c r="AF3002" t="s">
        <v>44</v>
      </c>
      <c r="AG3002" t="str">
        <f t="shared" ref="AG3002:AG3003" si="51">IF(IFERROR(SEARCH("Recorrente",AA3002),0)&gt;0,"Recorrente",IF(AB3002=1,"À Vista",IF(AB3002&lt;=3,"CC 3x",IF(AB3002&lt;=12,"CC 12x",IF(AB3002&gt;12,"Recorrente","")))))</f>
        <v>CC 12x</v>
      </c>
      <c r="AH3002" t="str">
        <f t="shared" ref="AH3002:AH3003" si="52">IF(AND(SUMIF(E:E,E3002,I:I)&gt;=400000,Q3002="B2G"),"n","")</f>
        <v/>
      </c>
    </row>
    <row r="3003" spans="1:34">
      <c r="A3003">
        <v>2026</v>
      </c>
      <c r="B3003">
        <v>3</v>
      </c>
      <c r="C3003" s="83">
        <v>98876887631</v>
      </c>
      <c r="D3003" t="s">
        <v>2681</v>
      </c>
      <c r="E3003">
        <v>55832372826</v>
      </c>
      <c r="F3003">
        <v>612309</v>
      </c>
      <c r="G3003">
        <v>51134502934</v>
      </c>
      <c r="H3003" t="s">
        <v>35</v>
      </c>
      <c r="I3003" s="36">
        <v>2874</v>
      </c>
      <c r="J3003" s="36">
        <v>2874</v>
      </c>
      <c r="K3003" s="85">
        <v>0</v>
      </c>
      <c r="L3003" s="36">
        <v>239.5</v>
      </c>
      <c r="M3003" s="36">
        <v>0</v>
      </c>
      <c r="N3003" s="36">
        <v>36.35</v>
      </c>
      <c r="O3003" s="36">
        <v>203.15</v>
      </c>
      <c r="P3003" t="s">
        <v>165</v>
      </c>
      <c r="Q3003" t="s">
        <v>166</v>
      </c>
      <c r="R3003" t="s">
        <v>166</v>
      </c>
      <c r="S3003" s="1">
        <v>46107</v>
      </c>
      <c r="T3003" s="1">
        <v>46107</v>
      </c>
      <c r="U3003" s="1">
        <v>46108</v>
      </c>
      <c r="V3003" s="1">
        <v>46473</v>
      </c>
      <c r="W3003" t="s">
        <v>38</v>
      </c>
      <c r="X3003">
        <v>12</v>
      </c>
      <c r="Y3003" t="s">
        <v>49</v>
      </c>
      <c r="Z3003" t="s">
        <v>81</v>
      </c>
      <c r="AA3003" t="s">
        <v>122</v>
      </c>
      <c r="AB3003">
        <v>12</v>
      </c>
      <c r="AC3003" t="s">
        <v>166</v>
      </c>
      <c r="AD3003" t="s">
        <v>140</v>
      </c>
      <c r="AE3003" t="s">
        <v>46</v>
      </c>
      <c r="AF3003" t="s">
        <v>119</v>
      </c>
      <c r="AG3003" t="str">
        <f t="shared" si="51"/>
        <v>Recorrente</v>
      </c>
      <c r="AH3003" t="str">
        <f t="shared" si="52"/>
        <v/>
      </c>
    </row>
    <row r="3004" spans="1:34">
      <c r="A3004">
        <v>2026</v>
      </c>
      <c r="B3004">
        <v>3</v>
      </c>
      <c r="C3004" s="83">
        <v>99180883817</v>
      </c>
      <c r="D3004" t="s">
        <v>2682</v>
      </c>
      <c r="E3004">
        <v>54418279194</v>
      </c>
      <c r="F3004">
        <v>627218</v>
      </c>
      <c r="G3004">
        <v>49776457401</v>
      </c>
      <c r="H3004" t="s">
        <v>35</v>
      </c>
      <c r="I3004" s="36">
        <v>5754</v>
      </c>
      <c r="J3004" s="36">
        <v>5754</v>
      </c>
      <c r="K3004" s="85">
        <v>0</v>
      </c>
      <c r="L3004" s="36">
        <v>479.5</v>
      </c>
      <c r="M3004" s="36">
        <v>0</v>
      </c>
      <c r="N3004" s="36">
        <v>94.45</v>
      </c>
      <c r="O3004" s="36">
        <v>385.05</v>
      </c>
      <c r="P3004" t="s">
        <v>165</v>
      </c>
      <c r="Q3004" t="s">
        <v>166</v>
      </c>
      <c r="R3004" t="s">
        <v>166</v>
      </c>
      <c r="S3004" s="1">
        <v>46091</v>
      </c>
      <c r="T3004" s="1">
        <v>46091</v>
      </c>
      <c r="U3004" s="1">
        <v>46091</v>
      </c>
      <c r="V3004" s="1">
        <v>46456</v>
      </c>
      <c r="W3004" t="s">
        <v>38</v>
      </c>
      <c r="X3004">
        <v>12</v>
      </c>
      <c r="Y3004" t="s">
        <v>49</v>
      </c>
      <c r="Z3004" t="s">
        <v>81</v>
      </c>
      <c r="AA3004" t="s">
        <v>122</v>
      </c>
      <c r="AB3004">
        <v>12</v>
      </c>
      <c r="AC3004" t="s">
        <v>166</v>
      </c>
      <c r="AD3004" t="s">
        <v>85</v>
      </c>
      <c r="AE3004" t="s">
        <v>46</v>
      </c>
      <c r="AF3004" t="s">
        <v>44</v>
      </c>
      <c r="AG3004" t="str">
        <f t="shared" ref="AG3004:AG3008" si="53">IF(IFERROR(SEARCH("Recorrente",AA3004),0)&gt;0,"Recorrente",IF(AB3004=1,"À Vista",IF(AB3004&lt;=3,"CC 3x",IF(AB3004&lt;=12,"CC 12x",IF(AB3004&gt;12,"Recorrente","")))))</f>
        <v>Recorrente</v>
      </c>
      <c r="AH3004" t="str">
        <f t="shared" ref="AH3004:AH3008" si="54">IF(AND(SUMIF(E:E,E3004,I:I)&gt;=400000,Q3004="B2G"),"n","")</f>
        <v/>
      </c>
    </row>
    <row r="3005" spans="1:34">
      <c r="A3005">
        <v>2026</v>
      </c>
      <c r="B3005">
        <v>3</v>
      </c>
      <c r="C3005" s="83">
        <v>99244142759</v>
      </c>
      <c r="D3005" t="s">
        <v>2683</v>
      </c>
      <c r="E3005">
        <v>55212360500</v>
      </c>
      <c r="F3005">
        <v>627431</v>
      </c>
      <c r="G3005">
        <v>50570781051</v>
      </c>
      <c r="H3005" t="s">
        <v>35</v>
      </c>
      <c r="I3005" s="36">
        <v>4530.6000000000004</v>
      </c>
      <c r="J3005" s="36">
        <v>4530.6000000000004</v>
      </c>
      <c r="K3005" s="85">
        <v>0</v>
      </c>
      <c r="L3005" s="36">
        <v>377.55</v>
      </c>
      <c r="M3005" s="36">
        <v>0</v>
      </c>
      <c r="N3005" s="36">
        <v>48.6</v>
      </c>
      <c r="O3005" s="36">
        <v>328.95</v>
      </c>
      <c r="P3005" t="s">
        <v>165</v>
      </c>
      <c r="Q3005" t="s">
        <v>166</v>
      </c>
      <c r="R3005" t="s">
        <v>166</v>
      </c>
      <c r="S3005" s="1">
        <v>46098</v>
      </c>
      <c r="T3005" s="1">
        <v>46098</v>
      </c>
      <c r="U3005" s="1">
        <v>46098</v>
      </c>
      <c r="V3005" s="1">
        <v>46463</v>
      </c>
      <c r="W3005" t="s">
        <v>38</v>
      </c>
      <c r="X3005">
        <v>12</v>
      </c>
      <c r="Y3005" t="s">
        <v>49</v>
      </c>
      <c r="Z3005" t="s">
        <v>81</v>
      </c>
      <c r="AA3005" t="s">
        <v>122</v>
      </c>
      <c r="AB3005">
        <v>12</v>
      </c>
      <c r="AC3005" t="s">
        <v>166</v>
      </c>
      <c r="AD3005" t="s">
        <v>84</v>
      </c>
      <c r="AE3005" t="s">
        <v>43</v>
      </c>
      <c r="AF3005" t="s">
        <v>44</v>
      </c>
      <c r="AG3005" t="str">
        <f t="shared" si="53"/>
        <v>Recorrente</v>
      </c>
      <c r="AH3005" t="str">
        <f t="shared" si="54"/>
        <v/>
      </c>
    </row>
    <row r="3006" spans="1:34">
      <c r="A3006">
        <v>2026</v>
      </c>
      <c r="B3006">
        <v>3</v>
      </c>
      <c r="C3006" s="83">
        <v>99450087840</v>
      </c>
      <c r="D3006" t="s">
        <v>2684</v>
      </c>
      <c r="E3006">
        <v>55193465746</v>
      </c>
      <c r="F3006">
        <v>308005</v>
      </c>
      <c r="G3006">
        <v>52652844095</v>
      </c>
      <c r="H3006" t="s">
        <v>35</v>
      </c>
      <c r="I3006" s="36">
        <v>4962.6000000000004</v>
      </c>
      <c r="J3006" s="36">
        <v>4962.6000000000004</v>
      </c>
      <c r="K3006" s="85">
        <v>0</v>
      </c>
      <c r="L3006" s="36">
        <v>413.55</v>
      </c>
      <c r="M3006" s="36">
        <v>0</v>
      </c>
      <c r="N3006" s="36">
        <v>67.13</v>
      </c>
      <c r="O3006" s="36">
        <v>346.42</v>
      </c>
      <c r="P3006" t="s">
        <v>137</v>
      </c>
      <c r="Q3006" t="s">
        <v>111</v>
      </c>
      <c r="R3006" t="s">
        <v>111</v>
      </c>
      <c r="S3006" s="1">
        <v>46084</v>
      </c>
      <c r="T3006" s="1">
        <v>46084</v>
      </c>
      <c r="U3006" s="1">
        <v>46083</v>
      </c>
      <c r="V3006" s="1">
        <v>46449</v>
      </c>
      <c r="W3006" t="s">
        <v>38</v>
      </c>
      <c r="X3006">
        <v>12</v>
      </c>
      <c r="Y3006" t="s">
        <v>49</v>
      </c>
      <c r="Z3006" t="s">
        <v>76</v>
      </c>
      <c r="AA3006" t="s">
        <v>117</v>
      </c>
      <c r="AB3006">
        <v>1</v>
      </c>
      <c r="AC3006" t="s">
        <v>113</v>
      </c>
      <c r="AD3006" t="s">
        <v>138</v>
      </c>
      <c r="AE3006" t="s">
        <v>135</v>
      </c>
      <c r="AF3006" t="s">
        <v>119</v>
      </c>
      <c r="AG3006" t="str">
        <f t="shared" si="53"/>
        <v>À Vista</v>
      </c>
      <c r="AH3006" t="str">
        <f t="shared" si="54"/>
        <v/>
      </c>
    </row>
    <row r="3007" spans="1:34">
      <c r="A3007">
        <v>2026</v>
      </c>
      <c r="B3007">
        <v>3</v>
      </c>
      <c r="C3007" s="83">
        <v>99456913554</v>
      </c>
      <c r="D3007" t="s">
        <v>2685</v>
      </c>
      <c r="E3007">
        <v>57410106006</v>
      </c>
      <c r="F3007">
        <v>506910</v>
      </c>
      <c r="G3007">
        <v>52811133776</v>
      </c>
      <c r="H3007" t="s">
        <v>35</v>
      </c>
      <c r="I3007" s="36">
        <v>4962.6000000000004</v>
      </c>
      <c r="J3007" s="36">
        <v>4962.6000000000004</v>
      </c>
      <c r="K3007" s="85">
        <v>0</v>
      </c>
      <c r="L3007" s="36">
        <v>413.55</v>
      </c>
      <c r="M3007" s="36">
        <v>0</v>
      </c>
      <c r="N3007" s="36">
        <v>0</v>
      </c>
      <c r="O3007" s="36">
        <v>413.55</v>
      </c>
      <c r="P3007" t="s">
        <v>110</v>
      </c>
      <c r="Q3007" t="s">
        <v>111</v>
      </c>
      <c r="R3007" t="s">
        <v>111</v>
      </c>
      <c r="S3007" s="1">
        <v>46085</v>
      </c>
      <c r="T3007" s="1">
        <v>46085</v>
      </c>
      <c r="U3007" s="1">
        <v>46083</v>
      </c>
      <c r="V3007" s="1">
        <v>46450</v>
      </c>
      <c r="W3007" t="s">
        <v>38</v>
      </c>
      <c r="X3007">
        <v>12</v>
      </c>
      <c r="Y3007" t="s">
        <v>49</v>
      </c>
      <c r="Z3007" t="s">
        <v>81</v>
      </c>
      <c r="AA3007" t="s">
        <v>122</v>
      </c>
      <c r="AB3007">
        <v>12</v>
      </c>
      <c r="AC3007" t="s">
        <v>113</v>
      </c>
      <c r="AD3007" t="s">
        <v>138</v>
      </c>
      <c r="AE3007" t="s">
        <v>135</v>
      </c>
      <c r="AF3007" t="s">
        <v>119</v>
      </c>
      <c r="AG3007" t="str">
        <f t="shared" si="53"/>
        <v>Recorrente</v>
      </c>
      <c r="AH3007" t="str">
        <f t="shared" si="54"/>
        <v/>
      </c>
    </row>
    <row r="3008" spans="1:34">
      <c r="A3008">
        <v>2026</v>
      </c>
      <c r="B3008">
        <v>3</v>
      </c>
      <c r="C3008" s="83">
        <v>99526354863</v>
      </c>
      <c r="D3008" t="s">
        <v>2686</v>
      </c>
      <c r="E3008">
        <v>56877426689</v>
      </c>
      <c r="F3008">
        <v>528419</v>
      </c>
      <c r="G3008">
        <v>52460845929</v>
      </c>
      <c r="H3008" t="s">
        <v>35</v>
      </c>
      <c r="I3008" s="36">
        <v>3775.44</v>
      </c>
      <c r="J3008" s="36">
        <v>3775.44</v>
      </c>
      <c r="K3008" s="85">
        <v>0</v>
      </c>
      <c r="L3008" s="36">
        <v>314.62</v>
      </c>
      <c r="M3008" s="36">
        <v>0</v>
      </c>
      <c r="N3008" s="36">
        <v>70.814999999999998</v>
      </c>
      <c r="O3008" s="36">
        <v>243.81</v>
      </c>
      <c r="P3008" t="s">
        <v>127</v>
      </c>
      <c r="Q3008" t="s">
        <v>111</v>
      </c>
      <c r="R3008" t="s">
        <v>111</v>
      </c>
      <c r="S3008" s="1">
        <v>46083</v>
      </c>
      <c r="T3008" s="1">
        <v>46083</v>
      </c>
      <c r="U3008" s="1">
        <v>46080</v>
      </c>
      <c r="V3008" s="1">
        <v>46448</v>
      </c>
      <c r="W3008" t="s">
        <v>38</v>
      </c>
      <c r="X3008">
        <v>13</v>
      </c>
      <c r="Y3008" t="s">
        <v>49</v>
      </c>
      <c r="Z3008" t="s">
        <v>81</v>
      </c>
      <c r="AA3008" t="s">
        <v>122</v>
      </c>
      <c r="AB3008">
        <v>12</v>
      </c>
      <c r="AC3008" t="s">
        <v>113</v>
      </c>
      <c r="AD3008" t="s">
        <v>84</v>
      </c>
      <c r="AE3008" t="s">
        <v>43</v>
      </c>
      <c r="AF3008" t="s">
        <v>44</v>
      </c>
      <c r="AG3008" t="str">
        <f t="shared" si="53"/>
        <v>Recorrente</v>
      </c>
      <c r="AH3008" t="str">
        <f t="shared" si="54"/>
        <v/>
      </c>
    </row>
    <row r="3009" spans="1:34">
      <c r="A3009">
        <v>2026</v>
      </c>
      <c r="B3009">
        <v>4</v>
      </c>
      <c r="C3009" s="83">
        <v>101194993980</v>
      </c>
      <c r="D3009" t="s">
        <v>2687</v>
      </c>
      <c r="E3009">
        <v>59225102687</v>
      </c>
      <c r="F3009">
        <v>532974</v>
      </c>
      <c r="G3009">
        <v>54372675700</v>
      </c>
      <c r="H3009" t="s">
        <v>35</v>
      </c>
      <c r="I3009" s="36">
        <v>4315.4399999999996</v>
      </c>
      <c r="J3009" s="36">
        <v>4315.4399999999996</v>
      </c>
      <c r="K3009" s="85">
        <v>0</v>
      </c>
      <c r="L3009" s="36">
        <v>359.62</v>
      </c>
      <c r="M3009" s="36">
        <v>0</v>
      </c>
      <c r="N3009" s="36">
        <v>48.734999999999999</v>
      </c>
      <c r="O3009" s="36">
        <v>310.89</v>
      </c>
      <c r="P3009" t="s">
        <v>133</v>
      </c>
      <c r="Q3009" t="s">
        <v>111</v>
      </c>
      <c r="R3009" t="s">
        <v>111</v>
      </c>
      <c r="S3009" s="1">
        <v>46129</v>
      </c>
      <c r="T3009" s="1">
        <v>46129</v>
      </c>
      <c r="U3009" s="1">
        <v>46126</v>
      </c>
      <c r="V3009" s="1">
        <v>46494</v>
      </c>
      <c r="W3009" t="s">
        <v>38</v>
      </c>
      <c r="X3009">
        <v>12</v>
      </c>
      <c r="Y3009" t="s">
        <v>49</v>
      </c>
      <c r="Z3009" t="s">
        <v>81</v>
      </c>
      <c r="AA3009" t="s">
        <v>122</v>
      </c>
      <c r="AB3009">
        <v>12</v>
      </c>
      <c r="AC3009" t="s">
        <v>113</v>
      </c>
      <c r="AD3009" t="s">
        <v>85</v>
      </c>
      <c r="AE3009" t="s">
        <v>46</v>
      </c>
      <c r="AF3009" t="s">
        <v>44</v>
      </c>
      <c r="AG3009" t="str">
        <f t="shared" ref="AG3009:AG3072" si="55">IF(IFERROR(SEARCH("Recorrente",AA3009),0)&gt;0,"Recorrente",IF(AB3009=1,"À Vista",IF(AB3009&lt;=3,"CC 3x",IF(AB3009&lt;=12,"CC 12x",IF(AB3009&gt;12,"Recorrente","")))))</f>
        <v>Recorrente</v>
      </c>
      <c r="AH3009" t="str">
        <f t="shared" ref="AH3009:AH3072" si="56">IF(AND(SUMIF(E:E,E3009,I:I)&gt;=400000,Q3009="B2G"),"n","")</f>
        <v/>
      </c>
    </row>
    <row r="3010" spans="1:34">
      <c r="A3010">
        <v>2026</v>
      </c>
      <c r="B3010">
        <v>4</v>
      </c>
      <c r="C3010" s="83">
        <v>101838717441</v>
      </c>
      <c r="D3010" t="s">
        <v>1817</v>
      </c>
      <c r="E3010">
        <v>58986224454</v>
      </c>
      <c r="F3010">
        <v>636944</v>
      </c>
      <c r="G3010">
        <v>54118558122</v>
      </c>
      <c r="H3010" t="s">
        <v>35</v>
      </c>
      <c r="I3010" s="36">
        <v>3736.08</v>
      </c>
      <c r="J3010" s="36">
        <v>1868.1</v>
      </c>
      <c r="K3010" s="85">
        <v>1867.98</v>
      </c>
      <c r="L3010" s="36">
        <v>155.67500000000001</v>
      </c>
      <c r="M3010" s="36">
        <v>0</v>
      </c>
      <c r="N3010" s="36">
        <v>155.67500000000001</v>
      </c>
      <c r="O3010" s="36">
        <v>0</v>
      </c>
      <c r="P3010" t="s">
        <v>129</v>
      </c>
      <c r="Q3010" t="s">
        <v>91</v>
      </c>
      <c r="R3010" t="s">
        <v>191</v>
      </c>
      <c r="S3010" s="1">
        <v>46120</v>
      </c>
      <c r="T3010" s="1">
        <v>46120</v>
      </c>
      <c r="V3010" s="1">
        <v>46851</v>
      </c>
      <c r="W3010" t="s">
        <v>56</v>
      </c>
      <c r="X3010">
        <v>24</v>
      </c>
      <c r="Y3010" t="s">
        <v>49</v>
      </c>
      <c r="AA3010" t="s">
        <v>122</v>
      </c>
      <c r="AB3010">
        <v>24</v>
      </c>
      <c r="AC3010" t="s">
        <v>192</v>
      </c>
      <c r="AD3010" t="s">
        <v>118</v>
      </c>
      <c r="AE3010" t="s">
        <v>43</v>
      </c>
      <c r="AF3010" t="s">
        <v>119</v>
      </c>
      <c r="AG3010" t="str">
        <f t="shared" si="55"/>
        <v>Recorrente</v>
      </c>
      <c r="AH3010" t="str">
        <f t="shared" si="56"/>
        <v/>
      </c>
    </row>
    <row r="3011" spans="1:34">
      <c r="A3011">
        <v>2026</v>
      </c>
      <c r="B3011">
        <v>4</v>
      </c>
      <c r="C3011" s="83">
        <v>102088795416</v>
      </c>
      <c r="D3011" t="s">
        <v>2688</v>
      </c>
      <c r="E3011">
        <v>58062052615</v>
      </c>
      <c r="F3011">
        <v>532692</v>
      </c>
      <c r="G3011">
        <v>54372615255</v>
      </c>
      <c r="H3011" t="s">
        <v>35</v>
      </c>
      <c r="I3011" s="36">
        <v>3666.84</v>
      </c>
      <c r="J3011" s="36">
        <v>3666.84</v>
      </c>
      <c r="K3011" s="85">
        <v>0</v>
      </c>
      <c r="L3011" s="36">
        <v>305.57</v>
      </c>
      <c r="M3011" s="36">
        <v>0</v>
      </c>
      <c r="N3011" s="36">
        <v>28.774999999999999</v>
      </c>
      <c r="O3011" s="36">
        <v>276.8</v>
      </c>
      <c r="P3011" t="s">
        <v>162</v>
      </c>
      <c r="Q3011" t="s">
        <v>111</v>
      </c>
      <c r="R3011" t="s">
        <v>111</v>
      </c>
      <c r="S3011" s="1">
        <v>46129</v>
      </c>
      <c r="T3011" s="1">
        <v>46129</v>
      </c>
      <c r="U3011" s="1">
        <v>46128</v>
      </c>
      <c r="V3011" s="1">
        <v>46493</v>
      </c>
      <c r="W3011" t="s">
        <v>38</v>
      </c>
      <c r="X3011">
        <v>12</v>
      </c>
      <c r="Y3011" t="s">
        <v>49</v>
      </c>
      <c r="Z3011" t="s">
        <v>81</v>
      </c>
      <c r="AA3011" t="s">
        <v>112</v>
      </c>
      <c r="AB3011">
        <v>12</v>
      </c>
      <c r="AC3011" t="s">
        <v>113</v>
      </c>
      <c r="AD3011" t="s">
        <v>85</v>
      </c>
      <c r="AE3011" t="s">
        <v>46</v>
      </c>
      <c r="AF3011" t="s">
        <v>44</v>
      </c>
      <c r="AG3011" t="str">
        <f t="shared" si="55"/>
        <v>CC 12x</v>
      </c>
      <c r="AH3011" t="str">
        <f t="shared" si="56"/>
        <v/>
      </c>
    </row>
    <row r="3012" spans="1:34">
      <c r="A3012">
        <v>2026</v>
      </c>
      <c r="B3012">
        <v>4</v>
      </c>
      <c r="C3012" s="83">
        <v>102088795416</v>
      </c>
      <c r="D3012" t="s">
        <v>2688</v>
      </c>
      <c r="E3012">
        <v>58062052615</v>
      </c>
      <c r="F3012">
        <v>532692</v>
      </c>
      <c r="G3012">
        <v>54372615256</v>
      </c>
      <c r="H3012" t="s">
        <v>35</v>
      </c>
      <c r="I3012" s="36">
        <v>3666.84</v>
      </c>
      <c r="J3012" s="36">
        <v>3666.84</v>
      </c>
      <c r="K3012" s="85">
        <v>0</v>
      </c>
      <c r="L3012" s="36">
        <v>305.57</v>
      </c>
      <c r="M3012" s="36">
        <v>0</v>
      </c>
      <c r="N3012" s="36">
        <v>28.774999999999999</v>
      </c>
      <c r="O3012" s="36">
        <v>276.8</v>
      </c>
      <c r="P3012" t="s">
        <v>162</v>
      </c>
      <c r="Q3012" t="s">
        <v>111</v>
      </c>
      <c r="R3012" t="s">
        <v>111</v>
      </c>
      <c r="S3012" s="1">
        <v>46129</v>
      </c>
      <c r="T3012" s="1">
        <v>46129</v>
      </c>
      <c r="U3012" s="1">
        <v>46128</v>
      </c>
      <c r="V3012" s="1">
        <v>46493</v>
      </c>
      <c r="W3012" t="s">
        <v>38</v>
      </c>
      <c r="X3012">
        <v>12</v>
      </c>
      <c r="Y3012" t="s">
        <v>49</v>
      </c>
      <c r="Z3012" t="s">
        <v>81</v>
      </c>
      <c r="AA3012" t="s">
        <v>112</v>
      </c>
      <c r="AB3012">
        <v>12</v>
      </c>
      <c r="AC3012" t="s">
        <v>113</v>
      </c>
      <c r="AD3012" t="s">
        <v>118</v>
      </c>
      <c r="AE3012" t="s">
        <v>43</v>
      </c>
      <c r="AF3012" t="s">
        <v>119</v>
      </c>
      <c r="AG3012" t="str">
        <f t="shared" si="55"/>
        <v>CC 12x</v>
      </c>
      <c r="AH3012" t="str">
        <f t="shared" si="56"/>
        <v/>
      </c>
    </row>
    <row r="3013" spans="1:34">
      <c r="A3013">
        <v>2026</v>
      </c>
      <c r="B3013">
        <v>4</v>
      </c>
      <c r="C3013" s="83">
        <v>102559009848</v>
      </c>
      <c r="D3013" t="s">
        <v>2689</v>
      </c>
      <c r="E3013">
        <v>58430808666</v>
      </c>
      <c r="F3013">
        <v>313288</v>
      </c>
      <c r="G3013">
        <v>54294797624</v>
      </c>
      <c r="H3013" t="s">
        <v>35</v>
      </c>
      <c r="I3013" s="36">
        <v>6354</v>
      </c>
      <c r="J3013" s="36">
        <v>6354</v>
      </c>
      <c r="K3013" s="85">
        <v>0</v>
      </c>
      <c r="L3013" s="36">
        <v>529.5</v>
      </c>
      <c r="M3013" s="36">
        <v>0</v>
      </c>
      <c r="N3013" s="36">
        <v>80.400000000000006</v>
      </c>
      <c r="O3013" s="36">
        <v>449.1</v>
      </c>
      <c r="P3013" t="s">
        <v>162</v>
      </c>
      <c r="Q3013" t="s">
        <v>111</v>
      </c>
      <c r="R3013" t="s">
        <v>111</v>
      </c>
      <c r="S3013" s="1">
        <v>46127</v>
      </c>
      <c r="T3013" s="1">
        <v>46127</v>
      </c>
      <c r="U3013" s="1">
        <v>46138</v>
      </c>
      <c r="V3013" s="1">
        <v>46503</v>
      </c>
      <c r="W3013" t="s">
        <v>38</v>
      </c>
      <c r="X3013">
        <v>12</v>
      </c>
      <c r="Y3013" t="s">
        <v>49</v>
      </c>
      <c r="Z3013" t="s">
        <v>81</v>
      </c>
      <c r="AA3013" t="s">
        <v>92</v>
      </c>
      <c r="AB3013">
        <v>12</v>
      </c>
      <c r="AC3013" t="s">
        <v>113</v>
      </c>
      <c r="AD3013" t="s">
        <v>149</v>
      </c>
      <c r="AE3013" t="s">
        <v>43</v>
      </c>
      <c r="AF3013" t="s">
        <v>96</v>
      </c>
      <c r="AG3013" t="str">
        <f t="shared" si="55"/>
        <v>Recorrente</v>
      </c>
      <c r="AH3013" t="str">
        <f t="shared" si="56"/>
        <v/>
      </c>
    </row>
    <row r="3014" spans="1:34">
      <c r="A3014">
        <v>2026</v>
      </c>
      <c r="B3014">
        <v>4</v>
      </c>
      <c r="C3014" s="83">
        <v>102562859313</v>
      </c>
      <c r="D3014" t="s">
        <v>2690</v>
      </c>
      <c r="E3014">
        <v>56473719352</v>
      </c>
      <c r="F3014">
        <v>318289</v>
      </c>
      <c r="G3014">
        <v>51870087323</v>
      </c>
      <c r="H3014" t="s">
        <v>35</v>
      </c>
      <c r="I3014" s="36">
        <v>3666.6</v>
      </c>
      <c r="J3014" s="36">
        <v>3666.6</v>
      </c>
      <c r="K3014" s="85">
        <v>0</v>
      </c>
      <c r="L3014" s="36">
        <v>305.55</v>
      </c>
      <c r="M3014" s="36">
        <v>0</v>
      </c>
      <c r="N3014" s="36">
        <v>83.07</v>
      </c>
      <c r="O3014" s="36">
        <v>222.48</v>
      </c>
      <c r="P3014" t="s">
        <v>165</v>
      </c>
      <c r="Q3014" t="s">
        <v>166</v>
      </c>
      <c r="R3014" t="s">
        <v>166</v>
      </c>
      <c r="S3014" s="1">
        <v>46116</v>
      </c>
      <c r="T3014" s="1">
        <v>46116</v>
      </c>
      <c r="U3014" s="1">
        <v>46116</v>
      </c>
      <c r="V3014" s="1">
        <v>46481</v>
      </c>
      <c r="W3014" t="s">
        <v>38</v>
      </c>
      <c r="X3014">
        <v>12</v>
      </c>
      <c r="Y3014" t="s">
        <v>49</v>
      </c>
      <c r="Z3014" t="s">
        <v>81</v>
      </c>
      <c r="AA3014" t="s">
        <v>122</v>
      </c>
      <c r="AB3014">
        <v>12</v>
      </c>
      <c r="AC3014" t="s">
        <v>166</v>
      </c>
      <c r="AD3014" t="s">
        <v>160</v>
      </c>
      <c r="AE3014" t="s">
        <v>43</v>
      </c>
      <c r="AF3014" t="s">
        <v>44</v>
      </c>
      <c r="AG3014" t="str">
        <f t="shared" si="55"/>
        <v>Recorrente</v>
      </c>
      <c r="AH3014" t="str">
        <f t="shared" si="56"/>
        <v/>
      </c>
    </row>
    <row r="3015" spans="1:34">
      <c r="A3015">
        <v>2026</v>
      </c>
      <c r="B3015">
        <v>4</v>
      </c>
      <c r="C3015" s="83">
        <v>102980788825</v>
      </c>
      <c r="D3015" t="s">
        <v>2691</v>
      </c>
      <c r="E3015">
        <v>58855445251</v>
      </c>
      <c r="F3015">
        <v>612953</v>
      </c>
      <c r="G3015">
        <v>53934407483</v>
      </c>
      <c r="H3015" t="s">
        <v>35</v>
      </c>
      <c r="I3015" s="36">
        <v>3825.84</v>
      </c>
      <c r="J3015" s="36">
        <v>3825.84</v>
      </c>
      <c r="K3015" s="85">
        <v>0</v>
      </c>
      <c r="L3015" s="36">
        <v>318.82</v>
      </c>
      <c r="M3015" s="36">
        <v>0</v>
      </c>
      <c r="N3015" s="36">
        <v>9.2200000000000006</v>
      </c>
      <c r="O3015" s="36">
        <v>309.60000000000002</v>
      </c>
      <c r="P3015" t="s">
        <v>133</v>
      </c>
      <c r="Q3015" t="s">
        <v>111</v>
      </c>
      <c r="R3015" t="s">
        <v>111</v>
      </c>
      <c r="S3015" s="1">
        <v>46118</v>
      </c>
      <c r="T3015" s="1">
        <v>46118</v>
      </c>
      <c r="U3015" s="1">
        <v>46117</v>
      </c>
      <c r="V3015" s="1">
        <v>46483</v>
      </c>
      <c r="W3015" t="s">
        <v>38</v>
      </c>
      <c r="X3015">
        <v>12</v>
      </c>
      <c r="Y3015" t="s">
        <v>49</v>
      </c>
      <c r="Z3015" t="s">
        <v>81</v>
      </c>
      <c r="AA3015" t="s">
        <v>112</v>
      </c>
      <c r="AB3015">
        <v>12</v>
      </c>
      <c r="AC3015" t="s">
        <v>113</v>
      </c>
      <c r="AD3015" t="s">
        <v>84</v>
      </c>
      <c r="AE3015" t="s">
        <v>43</v>
      </c>
      <c r="AF3015" t="s">
        <v>44</v>
      </c>
      <c r="AG3015" t="str">
        <f t="shared" si="55"/>
        <v>CC 12x</v>
      </c>
      <c r="AH3015" t="str">
        <f t="shared" si="56"/>
        <v/>
      </c>
    </row>
    <row r="3016" spans="1:34">
      <c r="A3016">
        <v>2026</v>
      </c>
      <c r="B3016">
        <v>4</v>
      </c>
      <c r="C3016" s="83">
        <v>103988386614</v>
      </c>
      <c r="D3016" t="s">
        <v>2692</v>
      </c>
      <c r="E3016">
        <v>56464097413</v>
      </c>
      <c r="F3016">
        <v>311200</v>
      </c>
      <c r="G3016">
        <v>51831625764</v>
      </c>
      <c r="H3016" t="s">
        <v>35</v>
      </c>
      <c r="I3016" s="36">
        <v>3666.6</v>
      </c>
      <c r="J3016" s="36">
        <v>3666.6</v>
      </c>
      <c r="K3016" s="85">
        <v>0</v>
      </c>
      <c r="L3016" s="36">
        <v>305.55</v>
      </c>
      <c r="M3016" s="36">
        <v>0</v>
      </c>
      <c r="N3016" s="36">
        <v>73.8</v>
      </c>
      <c r="O3016" s="36">
        <v>231.75</v>
      </c>
      <c r="P3016" t="s">
        <v>165</v>
      </c>
      <c r="Q3016" t="s">
        <v>166</v>
      </c>
      <c r="R3016" t="s">
        <v>166</v>
      </c>
      <c r="S3016" s="1">
        <v>46116</v>
      </c>
      <c r="T3016" s="1">
        <v>46116</v>
      </c>
      <c r="U3016" s="1">
        <v>46116</v>
      </c>
      <c r="V3016" s="1">
        <v>46481</v>
      </c>
      <c r="W3016" t="s">
        <v>38</v>
      </c>
      <c r="X3016">
        <v>12</v>
      </c>
      <c r="Y3016" t="s">
        <v>49</v>
      </c>
      <c r="Z3016" t="s">
        <v>81</v>
      </c>
      <c r="AA3016" t="s">
        <v>122</v>
      </c>
      <c r="AB3016">
        <v>12</v>
      </c>
      <c r="AC3016" t="s">
        <v>166</v>
      </c>
      <c r="AD3016" t="s">
        <v>160</v>
      </c>
      <c r="AE3016" t="s">
        <v>43</v>
      </c>
      <c r="AF3016" t="s">
        <v>44</v>
      </c>
      <c r="AG3016" t="str">
        <f t="shared" si="55"/>
        <v>Recorrente</v>
      </c>
      <c r="AH3016" t="str">
        <f t="shared" si="56"/>
        <v/>
      </c>
    </row>
    <row r="3017" spans="1:34">
      <c r="A3017">
        <v>2026</v>
      </c>
      <c r="B3017">
        <v>4</v>
      </c>
      <c r="C3017" s="83">
        <v>104955052420</v>
      </c>
      <c r="D3017" t="s">
        <v>2693</v>
      </c>
      <c r="E3017">
        <v>57997064487</v>
      </c>
      <c r="F3017">
        <v>532585</v>
      </c>
      <c r="G3017">
        <v>53239694962</v>
      </c>
      <c r="H3017" t="s">
        <v>35</v>
      </c>
      <c r="I3017" s="36">
        <v>11107.92</v>
      </c>
      <c r="J3017" s="36">
        <v>11107.92</v>
      </c>
      <c r="K3017" s="85">
        <v>0</v>
      </c>
      <c r="L3017" s="36">
        <v>925.66</v>
      </c>
      <c r="M3017" s="36">
        <v>0</v>
      </c>
      <c r="N3017" s="36">
        <v>5.109</v>
      </c>
      <c r="O3017" s="36">
        <v>920.55</v>
      </c>
      <c r="P3017" t="s">
        <v>137</v>
      </c>
      <c r="Q3017" t="s">
        <v>111</v>
      </c>
      <c r="R3017" t="s">
        <v>111</v>
      </c>
      <c r="S3017" s="1">
        <v>46122</v>
      </c>
      <c r="T3017" s="1">
        <v>46122</v>
      </c>
      <c r="U3017" s="1">
        <v>46123</v>
      </c>
      <c r="V3017" s="1">
        <v>46488</v>
      </c>
      <c r="W3017" t="s">
        <v>38</v>
      </c>
      <c r="X3017">
        <v>12</v>
      </c>
      <c r="Y3017" t="s">
        <v>49</v>
      </c>
      <c r="Z3017" t="s">
        <v>81</v>
      </c>
      <c r="AA3017" t="s">
        <v>122</v>
      </c>
      <c r="AB3017">
        <v>12</v>
      </c>
      <c r="AC3017" t="s">
        <v>113</v>
      </c>
      <c r="AD3017" t="s">
        <v>146</v>
      </c>
      <c r="AE3017" t="s">
        <v>135</v>
      </c>
      <c r="AF3017" t="s">
        <v>96</v>
      </c>
      <c r="AG3017" t="str">
        <f t="shared" si="55"/>
        <v>Recorrente</v>
      </c>
      <c r="AH3017" t="str">
        <f t="shared" si="56"/>
        <v/>
      </c>
    </row>
    <row r="3018" spans="1:34">
      <c r="A3018">
        <v>2026</v>
      </c>
      <c r="B3018">
        <v>4</v>
      </c>
      <c r="C3018" s="83">
        <v>10496835355</v>
      </c>
      <c r="D3018" t="s">
        <v>2694</v>
      </c>
      <c r="E3018">
        <v>58855414681</v>
      </c>
      <c r="F3018">
        <v>612970</v>
      </c>
      <c r="G3018">
        <v>53934354947</v>
      </c>
      <c r="H3018" t="s">
        <v>35</v>
      </c>
      <c r="I3018" s="36">
        <v>2586.6</v>
      </c>
      <c r="J3018" s="36">
        <v>2586.6</v>
      </c>
      <c r="K3018" s="85">
        <v>0</v>
      </c>
      <c r="L3018" s="36">
        <v>215.55</v>
      </c>
      <c r="M3018" s="36">
        <v>0</v>
      </c>
      <c r="N3018" s="36">
        <v>33.909999999999997</v>
      </c>
      <c r="O3018" s="36">
        <v>181.64</v>
      </c>
      <c r="P3018" t="s">
        <v>162</v>
      </c>
      <c r="Q3018" t="s">
        <v>111</v>
      </c>
      <c r="R3018" t="s">
        <v>111</v>
      </c>
      <c r="S3018" s="1">
        <v>46119</v>
      </c>
      <c r="T3018" s="1">
        <v>46119</v>
      </c>
      <c r="U3018" s="1">
        <v>46117</v>
      </c>
      <c r="V3018" s="1">
        <v>46484</v>
      </c>
      <c r="W3018" t="s">
        <v>38</v>
      </c>
      <c r="X3018">
        <v>12</v>
      </c>
      <c r="Y3018" t="s">
        <v>49</v>
      </c>
      <c r="Z3018" t="s">
        <v>81</v>
      </c>
      <c r="AA3018" t="s">
        <v>112</v>
      </c>
      <c r="AB3018">
        <v>12</v>
      </c>
      <c r="AC3018" t="s">
        <v>113</v>
      </c>
      <c r="AD3018" t="s">
        <v>140</v>
      </c>
      <c r="AE3018" t="s">
        <v>46</v>
      </c>
      <c r="AF3018" t="s">
        <v>119</v>
      </c>
      <c r="AG3018" t="str">
        <f t="shared" si="55"/>
        <v>CC 12x</v>
      </c>
      <c r="AH3018" t="str">
        <f t="shared" si="56"/>
        <v/>
      </c>
    </row>
    <row r="3019" spans="1:34">
      <c r="A3019">
        <v>2026</v>
      </c>
      <c r="B3019">
        <v>4</v>
      </c>
      <c r="C3019" s="83">
        <v>104986800388</v>
      </c>
      <c r="D3019" t="s">
        <v>2695</v>
      </c>
      <c r="E3019">
        <v>57842116778</v>
      </c>
      <c r="F3019">
        <v>628963</v>
      </c>
      <c r="G3019">
        <v>53031632191</v>
      </c>
      <c r="H3019" t="s">
        <v>35</v>
      </c>
      <c r="I3019" s="36">
        <v>2874</v>
      </c>
      <c r="J3019" s="36">
        <v>2874</v>
      </c>
      <c r="K3019" s="85">
        <v>0</v>
      </c>
      <c r="L3019" s="36">
        <v>239.5</v>
      </c>
      <c r="M3019" s="36">
        <v>0</v>
      </c>
      <c r="N3019" s="36">
        <v>12.45</v>
      </c>
      <c r="O3019" s="36">
        <v>227.05</v>
      </c>
      <c r="P3019" t="s">
        <v>165</v>
      </c>
      <c r="Q3019" t="s">
        <v>166</v>
      </c>
      <c r="R3019" t="s">
        <v>166</v>
      </c>
      <c r="S3019" s="1">
        <v>46136</v>
      </c>
      <c r="T3019" s="1">
        <v>46136</v>
      </c>
      <c r="U3019" s="1">
        <v>46136</v>
      </c>
      <c r="V3019" s="1">
        <v>46501</v>
      </c>
      <c r="W3019" t="s">
        <v>38</v>
      </c>
      <c r="X3019">
        <v>12</v>
      </c>
      <c r="Y3019" t="s">
        <v>49</v>
      </c>
      <c r="Z3019" t="s">
        <v>81</v>
      </c>
      <c r="AA3019" t="s">
        <v>112</v>
      </c>
      <c r="AB3019">
        <v>12</v>
      </c>
      <c r="AC3019" t="s">
        <v>166</v>
      </c>
      <c r="AD3019" t="s">
        <v>140</v>
      </c>
      <c r="AE3019" t="s">
        <v>46</v>
      </c>
      <c r="AF3019" t="s">
        <v>119</v>
      </c>
      <c r="AG3019" t="str">
        <f t="shared" si="55"/>
        <v>CC 12x</v>
      </c>
      <c r="AH3019" t="str">
        <f t="shared" si="56"/>
        <v/>
      </c>
    </row>
    <row r="3020" spans="1:34">
      <c r="A3020">
        <v>2026</v>
      </c>
      <c r="B3020">
        <v>4</v>
      </c>
      <c r="C3020" s="83">
        <v>105252448953</v>
      </c>
      <c r="D3020" t="s">
        <v>2696</v>
      </c>
      <c r="E3020">
        <v>56849286966</v>
      </c>
      <c r="F3020">
        <v>307495</v>
      </c>
      <c r="G3020">
        <v>53854152286</v>
      </c>
      <c r="H3020" t="s">
        <v>35</v>
      </c>
      <c r="I3020" s="36">
        <v>4411.2</v>
      </c>
      <c r="J3020" s="36">
        <v>4411.2</v>
      </c>
      <c r="K3020" s="85">
        <v>0</v>
      </c>
      <c r="L3020" s="36">
        <v>367.6</v>
      </c>
      <c r="M3020" s="36">
        <v>0</v>
      </c>
      <c r="N3020" s="36">
        <v>0</v>
      </c>
      <c r="O3020" s="36">
        <v>367.6</v>
      </c>
      <c r="P3020" t="s">
        <v>133</v>
      </c>
      <c r="Q3020" t="s">
        <v>111</v>
      </c>
      <c r="R3020" t="s">
        <v>111</v>
      </c>
      <c r="S3020" s="1">
        <v>46113</v>
      </c>
      <c r="T3020" s="1">
        <v>46113</v>
      </c>
      <c r="U3020" s="1">
        <v>46106</v>
      </c>
      <c r="V3020" s="1">
        <v>46478</v>
      </c>
      <c r="W3020" t="s">
        <v>38</v>
      </c>
      <c r="X3020">
        <v>13</v>
      </c>
      <c r="Y3020" t="s">
        <v>49</v>
      </c>
      <c r="Z3020" t="s">
        <v>76</v>
      </c>
      <c r="AA3020" t="s">
        <v>117</v>
      </c>
      <c r="AB3020">
        <v>1</v>
      </c>
      <c r="AC3020" t="s">
        <v>113</v>
      </c>
      <c r="AD3020" t="s">
        <v>138</v>
      </c>
      <c r="AE3020" t="s">
        <v>135</v>
      </c>
      <c r="AF3020" t="s">
        <v>119</v>
      </c>
      <c r="AG3020" t="str">
        <f t="shared" si="55"/>
        <v>À Vista</v>
      </c>
      <c r="AH3020" t="str">
        <f t="shared" si="56"/>
        <v/>
      </c>
    </row>
    <row r="3021" spans="1:34">
      <c r="A3021">
        <v>2026</v>
      </c>
      <c r="B3021">
        <v>4</v>
      </c>
      <c r="C3021" s="83">
        <v>105525429594</v>
      </c>
      <c r="D3021" t="s">
        <v>925</v>
      </c>
      <c r="E3021">
        <v>58204137293</v>
      </c>
      <c r="F3021">
        <v>310775</v>
      </c>
      <c r="G3021">
        <v>53666688656</v>
      </c>
      <c r="H3021" t="s">
        <v>35</v>
      </c>
      <c r="I3021" s="36">
        <v>6664.68</v>
      </c>
      <c r="J3021" s="36">
        <v>6664.68</v>
      </c>
      <c r="K3021" s="85">
        <v>0</v>
      </c>
      <c r="L3021" s="36">
        <v>555.39</v>
      </c>
      <c r="M3021" s="36">
        <v>0</v>
      </c>
      <c r="N3021" s="36">
        <v>0</v>
      </c>
      <c r="O3021" s="36">
        <v>555.39374999999995</v>
      </c>
      <c r="P3021" t="s">
        <v>116</v>
      </c>
      <c r="Q3021" t="s">
        <v>111</v>
      </c>
      <c r="R3021" t="s">
        <v>111</v>
      </c>
      <c r="S3021" s="1">
        <v>46113</v>
      </c>
      <c r="T3021" s="1">
        <v>46113</v>
      </c>
      <c r="U3021" s="1">
        <v>46115</v>
      </c>
      <c r="V3021" s="1">
        <v>46480</v>
      </c>
      <c r="W3021" t="s">
        <v>38</v>
      </c>
      <c r="X3021">
        <v>12</v>
      </c>
      <c r="Y3021" t="s">
        <v>49</v>
      </c>
      <c r="Z3021" t="s">
        <v>81</v>
      </c>
      <c r="AA3021" t="s">
        <v>122</v>
      </c>
      <c r="AB3021">
        <v>12</v>
      </c>
      <c r="AC3021" t="s">
        <v>113</v>
      </c>
      <c r="AD3021" t="s">
        <v>134</v>
      </c>
      <c r="AE3021" t="s">
        <v>135</v>
      </c>
      <c r="AF3021" t="s">
        <v>44</v>
      </c>
      <c r="AG3021" t="str">
        <f t="shared" si="55"/>
        <v>Recorrente</v>
      </c>
      <c r="AH3021" t="str">
        <f t="shared" si="56"/>
        <v/>
      </c>
    </row>
    <row r="3022" spans="1:34">
      <c r="A3022">
        <v>2026</v>
      </c>
      <c r="B3022">
        <v>4</v>
      </c>
      <c r="C3022" s="83">
        <v>105790743654</v>
      </c>
      <c r="D3022" t="s">
        <v>2697</v>
      </c>
      <c r="E3022">
        <v>58165777409</v>
      </c>
      <c r="F3022">
        <v>636857</v>
      </c>
      <c r="G3022">
        <v>53854199686</v>
      </c>
      <c r="H3022" t="s">
        <v>35</v>
      </c>
      <c r="I3022" s="36">
        <v>5034</v>
      </c>
      <c r="J3022" s="36">
        <v>5034</v>
      </c>
      <c r="K3022" s="85">
        <v>0</v>
      </c>
      <c r="L3022" s="36">
        <v>419.5</v>
      </c>
      <c r="M3022" s="36">
        <v>419.5</v>
      </c>
      <c r="N3022" s="36">
        <v>0</v>
      </c>
      <c r="O3022" s="36">
        <v>0</v>
      </c>
      <c r="P3022" t="s">
        <v>511</v>
      </c>
      <c r="Q3022" t="s">
        <v>300</v>
      </c>
      <c r="R3022" t="s">
        <v>300</v>
      </c>
      <c r="S3022" s="1">
        <v>46114</v>
      </c>
      <c r="T3022" s="1">
        <v>46114</v>
      </c>
      <c r="V3022" s="1">
        <v>46479</v>
      </c>
      <c r="W3022" t="s">
        <v>38</v>
      </c>
      <c r="X3022">
        <v>12</v>
      </c>
      <c r="Y3022" t="s">
        <v>49</v>
      </c>
      <c r="AA3022" t="s">
        <v>122</v>
      </c>
      <c r="AB3022">
        <v>12</v>
      </c>
      <c r="AC3022" t="s">
        <v>301</v>
      </c>
      <c r="AD3022" t="s">
        <v>84</v>
      </c>
      <c r="AE3022" t="s">
        <v>43</v>
      </c>
      <c r="AF3022" t="s">
        <v>44</v>
      </c>
      <c r="AG3022" t="str">
        <f t="shared" si="55"/>
        <v>Recorrente</v>
      </c>
      <c r="AH3022" t="str">
        <f t="shared" si="56"/>
        <v/>
      </c>
    </row>
    <row r="3023" spans="1:34">
      <c r="A3023">
        <v>2026</v>
      </c>
      <c r="B3023">
        <v>4</v>
      </c>
      <c r="C3023" s="83">
        <v>106032408427</v>
      </c>
      <c r="D3023" t="s">
        <v>2698</v>
      </c>
      <c r="E3023">
        <v>58685798152</v>
      </c>
      <c r="F3023">
        <v>609842</v>
      </c>
      <c r="G3023">
        <v>53858274069</v>
      </c>
      <c r="H3023" t="s">
        <v>35</v>
      </c>
      <c r="I3023" s="36">
        <v>2586.6</v>
      </c>
      <c r="J3023" s="36">
        <v>2586.6</v>
      </c>
      <c r="K3023" s="85">
        <v>0</v>
      </c>
      <c r="L3023" s="36">
        <v>215.55</v>
      </c>
      <c r="M3023" s="36">
        <v>0</v>
      </c>
      <c r="N3023" s="36">
        <v>0</v>
      </c>
      <c r="O3023" s="36">
        <v>215.55</v>
      </c>
      <c r="P3023" t="s">
        <v>127</v>
      </c>
      <c r="Q3023" t="s">
        <v>111</v>
      </c>
      <c r="R3023" t="s">
        <v>111</v>
      </c>
      <c r="S3023" s="1">
        <v>46114</v>
      </c>
      <c r="T3023" s="1">
        <v>46114</v>
      </c>
      <c r="U3023" s="1">
        <v>46081</v>
      </c>
      <c r="V3023" s="1">
        <v>46479</v>
      </c>
      <c r="W3023" t="s">
        <v>38</v>
      </c>
      <c r="X3023">
        <v>14</v>
      </c>
      <c r="Y3023" t="s">
        <v>49</v>
      </c>
      <c r="Z3023" t="s">
        <v>76</v>
      </c>
      <c r="AA3023" t="s">
        <v>112</v>
      </c>
      <c r="AB3023">
        <v>12</v>
      </c>
      <c r="AC3023" t="s">
        <v>113</v>
      </c>
      <c r="AD3023" t="s">
        <v>140</v>
      </c>
      <c r="AE3023" t="s">
        <v>46</v>
      </c>
      <c r="AF3023" t="s">
        <v>119</v>
      </c>
      <c r="AG3023" t="str">
        <f t="shared" si="55"/>
        <v>CC 12x</v>
      </c>
      <c r="AH3023" t="str">
        <f t="shared" si="56"/>
        <v/>
      </c>
    </row>
    <row r="3024" spans="1:34">
      <c r="A3024">
        <v>2026</v>
      </c>
      <c r="B3024">
        <v>4</v>
      </c>
      <c r="C3024" s="83">
        <v>106641411960</v>
      </c>
      <c r="D3024" t="s">
        <v>2699</v>
      </c>
      <c r="E3024">
        <v>58955661684</v>
      </c>
      <c r="F3024">
        <v>636970</v>
      </c>
      <c r="G3024">
        <v>54154452380</v>
      </c>
      <c r="H3024" t="s">
        <v>35</v>
      </c>
      <c r="I3024" s="36">
        <v>3259.2</v>
      </c>
      <c r="J3024" s="36">
        <v>3259.2</v>
      </c>
      <c r="K3024" s="85">
        <v>0</v>
      </c>
      <c r="L3024" s="36">
        <v>271.60000000000002</v>
      </c>
      <c r="M3024" s="36">
        <v>271.60000000000002</v>
      </c>
      <c r="N3024" s="36">
        <v>0</v>
      </c>
      <c r="O3024" s="36">
        <v>0</v>
      </c>
      <c r="P3024" t="s">
        <v>506</v>
      </c>
      <c r="Q3024" t="s">
        <v>300</v>
      </c>
      <c r="R3024" t="s">
        <v>300</v>
      </c>
      <c r="S3024" s="1">
        <v>46121</v>
      </c>
      <c r="T3024" s="1">
        <v>46121</v>
      </c>
      <c r="V3024" s="1">
        <v>46486</v>
      </c>
      <c r="W3024" t="s">
        <v>38</v>
      </c>
      <c r="X3024">
        <v>12</v>
      </c>
      <c r="Y3024" t="s">
        <v>49</v>
      </c>
      <c r="AA3024" t="s">
        <v>112</v>
      </c>
      <c r="AB3024">
        <v>12</v>
      </c>
      <c r="AC3024" t="s">
        <v>301</v>
      </c>
      <c r="AD3024" t="s">
        <v>160</v>
      </c>
      <c r="AE3024" t="s">
        <v>43</v>
      </c>
      <c r="AF3024" t="s">
        <v>44</v>
      </c>
      <c r="AG3024" t="str">
        <f t="shared" si="55"/>
        <v>CC 12x</v>
      </c>
      <c r="AH3024" t="str">
        <f t="shared" si="56"/>
        <v/>
      </c>
    </row>
    <row r="3025" spans="1:34">
      <c r="A3025">
        <v>2026</v>
      </c>
      <c r="B3025">
        <v>4</v>
      </c>
      <c r="C3025" s="83">
        <v>106654830726</v>
      </c>
      <c r="D3025" t="s">
        <v>2700</v>
      </c>
      <c r="E3025">
        <v>57714821400</v>
      </c>
      <c r="F3025">
        <v>627174</v>
      </c>
      <c r="G3025">
        <v>53409746225</v>
      </c>
      <c r="H3025" t="s">
        <v>35</v>
      </c>
      <c r="I3025" s="36">
        <v>4157.28</v>
      </c>
      <c r="J3025" s="36">
        <v>4157.28</v>
      </c>
      <c r="K3025" s="85">
        <v>0</v>
      </c>
      <c r="L3025" s="36">
        <v>346.44</v>
      </c>
      <c r="M3025" s="36">
        <v>0</v>
      </c>
      <c r="N3025" s="36">
        <v>138.033545</v>
      </c>
      <c r="O3025" s="36">
        <v>208.41</v>
      </c>
      <c r="P3025" t="s">
        <v>116</v>
      </c>
      <c r="Q3025" t="s">
        <v>111</v>
      </c>
      <c r="R3025" t="s">
        <v>111</v>
      </c>
      <c r="S3025" s="1">
        <v>46113</v>
      </c>
      <c r="T3025" s="1">
        <v>46113</v>
      </c>
      <c r="U3025" s="1">
        <v>46088</v>
      </c>
      <c r="V3025" s="1">
        <v>46478</v>
      </c>
      <c r="W3025" t="s">
        <v>38</v>
      </c>
      <c r="X3025">
        <v>13</v>
      </c>
      <c r="Y3025" t="s">
        <v>49</v>
      </c>
      <c r="Z3025" t="s">
        <v>76</v>
      </c>
      <c r="AA3025" t="s">
        <v>117</v>
      </c>
      <c r="AB3025">
        <v>1</v>
      </c>
      <c r="AC3025" t="s">
        <v>113</v>
      </c>
      <c r="AD3025" t="s">
        <v>85</v>
      </c>
      <c r="AE3025" t="s">
        <v>46</v>
      </c>
      <c r="AF3025" t="s">
        <v>44</v>
      </c>
      <c r="AG3025" t="str">
        <f t="shared" si="55"/>
        <v>À Vista</v>
      </c>
      <c r="AH3025" t="str">
        <f t="shared" si="56"/>
        <v/>
      </c>
    </row>
    <row r="3026" spans="1:34">
      <c r="A3026">
        <v>2026</v>
      </c>
      <c r="B3026">
        <v>4</v>
      </c>
      <c r="C3026" s="83">
        <v>106665799451</v>
      </c>
      <c r="D3026" t="s">
        <v>2701</v>
      </c>
      <c r="E3026">
        <v>57514687671</v>
      </c>
      <c r="F3026">
        <v>532829</v>
      </c>
      <c r="G3026">
        <v>52752431006</v>
      </c>
      <c r="H3026" t="s">
        <v>35</v>
      </c>
      <c r="I3026" s="36">
        <v>5754</v>
      </c>
      <c r="J3026" s="36">
        <v>5754</v>
      </c>
      <c r="K3026" s="85">
        <v>0</v>
      </c>
      <c r="L3026" s="36">
        <v>479.5</v>
      </c>
      <c r="M3026" s="36">
        <v>0</v>
      </c>
      <c r="N3026" s="36">
        <v>132.94999999999999</v>
      </c>
      <c r="O3026" s="36">
        <v>346.55</v>
      </c>
      <c r="P3026" t="s">
        <v>165</v>
      </c>
      <c r="Q3026" t="s">
        <v>166</v>
      </c>
      <c r="R3026" t="s">
        <v>166</v>
      </c>
      <c r="S3026" s="1">
        <v>46126</v>
      </c>
      <c r="T3026" s="1">
        <v>46126</v>
      </c>
      <c r="U3026" s="1">
        <v>46126</v>
      </c>
      <c r="V3026" s="1">
        <v>46491</v>
      </c>
      <c r="W3026" t="s">
        <v>38</v>
      </c>
      <c r="X3026">
        <v>12</v>
      </c>
      <c r="Y3026" t="s">
        <v>49</v>
      </c>
      <c r="Z3026" t="s">
        <v>81</v>
      </c>
      <c r="AA3026" t="s">
        <v>112</v>
      </c>
      <c r="AB3026">
        <v>12</v>
      </c>
      <c r="AC3026" t="s">
        <v>166</v>
      </c>
      <c r="AD3026" t="s">
        <v>85</v>
      </c>
      <c r="AE3026" t="s">
        <v>46</v>
      </c>
      <c r="AF3026" t="s">
        <v>44</v>
      </c>
      <c r="AG3026" t="str">
        <f t="shared" si="55"/>
        <v>CC 12x</v>
      </c>
      <c r="AH3026" t="str">
        <f t="shared" si="56"/>
        <v/>
      </c>
    </row>
    <row r="3027" spans="1:34">
      <c r="A3027">
        <v>2026</v>
      </c>
      <c r="B3027">
        <v>4</v>
      </c>
      <c r="C3027" s="83">
        <v>106673751570</v>
      </c>
      <c r="D3027" t="s">
        <v>2702</v>
      </c>
      <c r="E3027">
        <v>56543400321</v>
      </c>
      <c r="F3027">
        <v>530860</v>
      </c>
      <c r="G3027">
        <v>53850855609</v>
      </c>
      <c r="H3027" t="s">
        <v>35</v>
      </c>
      <c r="I3027" s="36">
        <v>7015.44</v>
      </c>
      <c r="J3027" s="36">
        <v>7015.44</v>
      </c>
      <c r="K3027" s="85">
        <v>0</v>
      </c>
      <c r="L3027" s="36">
        <v>584.62</v>
      </c>
      <c r="M3027" s="36">
        <v>0</v>
      </c>
      <c r="N3027" s="36">
        <v>119.05500000000001</v>
      </c>
      <c r="O3027" s="36">
        <v>465.57</v>
      </c>
      <c r="P3027" t="s">
        <v>110</v>
      </c>
      <c r="Q3027" t="s">
        <v>111</v>
      </c>
      <c r="R3027" t="s">
        <v>111</v>
      </c>
      <c r="S3027" s="1">
        <v>46113</v>
      </c>
      <c r="T3027" s="1">
        <v>46113</v>
      </c>
      <c r="U3027" s="1">
        <v>46114</v>
      </c>
      <c r="V3027" s="1">
        <v>46479</v>
      </c>
      <c r="W3027" t="s">
        <v>38</v>
      </c>
      <c r="X3027">
        <v>12</v>
      </c>
      <c r="Y3027" t="s">
        <v>49</v>
      </c>
      <c r="Z3027" t="s">
        <v>81</v>
      </c>
      <c r="AA3027" t="s">
        <v>122</v>
      </c>
      <c r="AB3027">
        <v>12</v>
      </c>
      <c r="AC3027" t="s">
        <v>113</v>
      </c>
      <c r="AD3027" t="s">
        <v>134</v>
      </c>
      <c r="AE3027" t="s">
        <v>135</v>
      </c>
      <c r="AF3027" t="s">
        <v>44</v>
      </c>
      <c r="AG3027" t="str">
        <f t="shared" si="55"/>
        <v>Recorrente</v>
      </c>
      <c r="AH3027" t="str">
        <f t="shared" si="56"/>
        <v/>
      </c>
    </row>
    <row r="3028" spans="1:34">
      <c r="A3028">
        <v>2026</v>
      </c>
      <c r="B3028">
        <v>4</v>
      </c>
      <c r="C3028" s="83">
        <v>106725487008</v>
      </c>
      <c r="D3028" t="s">
        <v>2703</v>
      </c>
      <c r="E3028">
        <v>56724360555</v>
      </c>
      <c r="F3028">
        <v>310985</v>
      </c>
      <c r="G3028">
        <v>53710978380</v>
      </c>
      <c r="H3028" t="s">
        <v>35</v>
      </c>
      <c r="I3028" s="36">
        <v>4646.3999999999996</v>
      </c>
      <c r="J3028" s="36">
        <v>4646.3999999999996</v>
      </c>
      <c r="K3028" s="85">
        <v>0</v>
      </c>
      <c r="L3028" s="36">
        <v>387.2</v>
      </c>
      <c r="M3028" s="36">
        <v>0</v>
      </c>
      <c r="N3028" s="36">
        <v>40.196249999999999</v>
      </c>
      <c r="O3028" s="36">
        <v>347</v>
      </c>
      <c r="P3028" t="s">
        <v>110</v>
      </c>
      <c r="Q3028" t="s">
        <v>111</v>
      </c>
      <c r="R3028" t="s">
        <v>111</v>
      </c>
      <c r="S3028" s="1">
        <v>46113</v>
      </c>
      <c r="T3028" s="1">
        <v>46113</v>
      </c>
      <c r="U3028" s="1">
        <v>46111</v>
      </c>
      <c r="V3028" s="1">
        <v>46478</v>
      </c>
      <c r="W3028" t="s">
        <v>38</v>
      </c>
      <c r="X3028">
        <v>13</v>
      </c>
      <c r="Y3028" t="s">
        <v>49</v>
      </c>
      <c r="Z3028" t="s">
        <v>81</v>
      </c>
      <c r="AA3028" t="s">
        <v>112</v>
      </c>
      <c r="AB3028">
        <v>12</v>
      </c>
      <c r="AC3028" t="s">
        <v>113</v>
      </c>
      <c r="AD3028" t="s">
        <v>85</v>
      </c>
      <c r="AE3028" t="s">
        <v>46</v>
      </c>
      <c r="AF3028" t="s">
        <v>44</v>
      </c>
      <c r="AG3028" t="str">
        <f t="shared" si="55"/>
        <v>CC 12x</v>
      </c>
      <c r="AH3028" t="str">
        <f t="shared" si="56"/>
        <v/>
      </c>
    </row>
    <row r="3029" spans="1:34">
      <c r="A3029">
        <v>2026</v>
      </c>
      <c r="B3029">
        <v>4</v>
      </c>
      <c r="C3029" s="83">
        <v>106929165116</v>
      </c>
      <c r="D3029" t="s">
        <v>2704</v>
      </c>
      <c r="E3029">
        <v>58593037905</v>
      </c>
      <c r="F3029">
        <v>532664</v>
      </c>
      <c r="G3029">
        <v>54741249962</v>
      </c>
      <c r="H3029" t="s">
        <v>35</v>
      </c>
      <c r="I3029" s="36">
        <v>8634.6</v>
      </c>
      <c r="J3029" s="36">
        <v>8634.6</v>
      </c>
      <c r="K3029" s="85">
        <v>0</v>
      </c>
      <c r="L3029" s="36">
        <v>719.55</v>
      </c>
      <c r="M3029" s="36">
        <v>0</v>
      </c>
      <c r="N3029" s="36">
        <v>36.5</v>
      </c>
      <c r="O3029" s="36">
        <v>683.05</v>
      </c>
      <c r="P3029" t="s">
        <v>110</v>
      </c>
      <c r="Q3029" t="s">
        <v>111</v>
      </c>
      <c r="R3029" t="s">
        <v>111</v>
      </c>
      <c r="S3029" s="1">
        <v>46139</v>
      </c>
      <c r="T3029" s="1">
        <v>46139</v>
      </c>
      <c r="U3029" s="1">
        <v>46142</v>
      </c>
      <c r="V3029" s="1">
        <v>46507</v>
      </c>
      <c r="W3029" t="s">
        <v>38</v>
      </c>
      <c r="X3029">
        <v>12</v>
      </c>
      <c r="Y3029" t="s">
        <v>49</v>
      </c>
      <c r="Z3029" t="s">
        <v>81</v>
      </c>
      <c r="AA3029" t="s">
        <v>122</v>
      </c>
      <c r="AB3029">
        <v>12</v>
      </c>
      <c r="AC3029" t="s">
        <v>113</v>
      </c>
      <c r="AD3029" t="s">
        <v>131</v>
      </c>
      <c r="AE3029" t="s">
        <v>46</v>
      </c>
      <c r="AF3029" t="s">
        <v>96</v>
      </c>
      <c r="AG3029" t="str">
        <f t="shared" si="55"/>
        <v>Recorrente</v>
      </c>
      <c r="AH3029" t="str">
        <f t="shared" si="56"/>
        <v/>
      </c>
    </row>
    <row r="3030" spans="1:34">
      <c r="A3030">
        <v>2026</v>
      </c>
      <c r="B3030">
        <v>4</v>
      </c>
      <c r="C3030" s="83">
        <v>107308116632</v>
      </c>
      <c r="D3030" t="s">
        <v>2705</v>
      </c>
      <c r="E3030">
        <v>57481274260</v>
      </c>
      <c r="F3030">
        <v>628678</v>
      </c>
      <c r="G3030">
        <v>52750579733</v>
      </c>
      <c r="H3030" t="s">
        <v>35</v>
      </c>
      <c r="I3030" s="36">
        <v>4074</v>
      </c>
      <c r="J3030" s="36">
        <v>4074</v>
      </c>
      <c r="K3030" s="85">
        <v>0</v>
      </c>
      <c r="L3030" s="36">
        <v>339.5</v>
      </c>
      <c r="M3030" s="36">
        <v>0</v>
      </c>
      <c r="N3030" s="36">
        <v>61.4</v>
      </c>
      <c r="O3030" s="36">
        <v>278.10000000000002</v>
      </c>
      <c r="P3030" t="s">
        <v>165</v>
      </c>
      <c r="Q3030" t="s">
        <v>166</v>
      </c>
      <c r="R3030" t="s">
        <v>166</v>
      </c>
      <c r="S3030" s="1">
        <v>46127</v>
      </c>
      <c r="T3030" s="1">
        <v>46127</v>
      </c>
      <c r="U3030" s="1">
        <v>46127</v>
      </c>
      <c r="V3030" s="1">
        <v>46492</v>
      </c>
      <c r="W3030" t="s">
        <v>38</v>
      </c>
      <c r="X3030">
        <v>12</v>
      </c>
      <c r="Y3030" t="s">
        <v>49</v>
      </c>
      <c r="Z3030" t="s">
        <v>81</v>
      </c>
      <c r="AA3030" t="s">
        <v>122</v>
      </c>
      <c r="AB3030">
        <v>12</v>
      </c>
      <c r="AC3030" t="s">
        <v>166</v>
      </c>
      <c r="AD3030" t="s">
        <v>160</v>
      </c>
      <c r="AE3030" t="s">
        <v>43</v>
      </c>
      <c r="AF3030" t="s">
        <v>44</v>
      </c>
      <c r="AG3030" t="str">
        <f t="shared" si="55"/>
        <v>Recorrente</v>
      </c>
      <c r="AH3030" t="str">
        <f t="shared" si="56"/>
        <v/>
      </c>
    </row>
    <row r="3031" spans="1:34">
      <c r="A3031">
        <v>2026</v>
      </c>
      <c r="B3031">
        <v>4</v>
      </c>
      <c r="C3031" s="83">
        <v>107344352913</v>
      </c>
      <c r="D3031" t="s">
        <v>2706</v>
      </c>
      <c r="E3031">
        <v>57741295287</v>
      </c>
      <c r="F3031">
        <v>533409</v>
      </c>
      <c r="G3031">
        <v>52992916665</v>
      </c>
      <c r="H3031" t="s">
        <v>35</v>
      </c>
      <c r="I3031" s="36">
        <v>2874</v>
      </c>
      <c r="J3031" s="36">
        <v>2874</v>
      </c>
      <c r="K3031" s="85">
        <v>0</v>
      </c>
      <c r="L3031" s="36">
        <v>239.5</v>
      </c>
      <c r="M3031" s="36">
        <v>0</v>
      </c>
      <c r="N3031" s="36">
        <v>36.35</v>
      </c>
      <c r="O3031" s="36">
        <v>203.15</v>
      </c>
      <c r="P3031" t="s">
        <v>165</v>
      </c>
      <c r="Q3031" t="s">
        <v>166</v>
      </c>
      <c r="R3031" t="s">
        <v>166</v>
      </c>
      <c r="S3031" s="1">
        <v>46132</v>
      </c>
      <c r="T3031" s="1">
        <v>46132</v>
      </c>
      <c r="U3031" s="1">
        <v>46132</v>
      </c>
      <c r="V3031" s="1">
        <v>46497</v>
      </c>
      <c r="W3031" t="s">
        <v>38</v>
      </c>
      <c r="X3031">
        <v>12</v>
      </c>
      <c r="Y3031" t="s">
        <v>49</v>
      </c>
      <c r="Z3031" t="s">
        <v>81</v>
      </c>
      <c r="AA3031" t="s">
        <v>122</v>
      </c>
      <c r="AB3031">
        <v>12</v>
      </c>
      <c r="AC3031" t="s">
        <v>166</v>
      </c>
      <c r="AD3031" t="s">
        <v>118</v>
      </c>
      <c r="AE3031" t="s">
        <v>43</v>
      </c>
      <c r="AF3031" t="s">
        <v>119</v>
      </c>
      <c r="AG3031" t="str">
        <f t="shared" si="55"/>
        <v>Recorrente</v>
      </c>
      <c r="AH3031" t="str">
        <f t="shared" si="56"/>
        <v/>
      </c>
    </row>
    <row r="3032" spans="1:34">
      <c r="A3032">
        <v>2026</v>
      </c>
      <c r="B3032">
        <v>4</v>
      </c>
      <c r="C3032" s="83">
        <v>107379062127</v>
      </c>
      <c r="D3032" t="s">
        <v>2707</v>
      </c>
      <c r="E3032">
        <v>58729584137</v>
      </c>
      <c r="F3032">
        <v>628159</v>
      </c>
      <c r="G3032">
        <v>54270343528</v>
      </c>
      <c r="H3032" t="s">
        <v>35</v>
      </c>
      <c r="I3032" s="36">
        <v>3851.04</v>
      </c>
      <c r="J3032" s="36">
        <v>3851.04</v>
      </c>
      <c r="K3032" s="85">
        <v>0</v>
      </c>
      <c r="L3032" s="36">
        <v>320.92</v>
      </c>
      <c r="M3032" s="36">
        <v>0</v>
      </c>
      <c r="N3032" s="36">
        <v>0</v>
      </c>
      <c r="O3032" s="36">
        <v>320.921695</v>
      </c>
      <c r="P3032" t="s">
        <v>116</v>
      </c>
      <c r="Q3032" t="s">
        <v>111</v>
      </c>
      <c r="R3032" t="s">
        <v>111</v>
      </c>
      <c r="S3032" s="1">
        <v>46125</v>
      </c>
      <c r="T3032" s="1">
        <v>46125</v>
      </c>
      <c r="U3032" s="1">
        <v>46114</v>
      </c>
      <c r="V3032" s="1">
        <v>46490</v>
      </c>
      <c r="W3032" t="s">
        <v>38</v>
      </c>
      <c r="X3032">
        <v>12</v>
      </c>
      <c r="Y3032" t="s">
        <v>49</v>
      </c>
      <c r="Z3032" t="s">
        <v>81</v>
      </c>
      <c r="AA3032" t="s">
        <v>112</v>
      </c>
      <c r="AB3032">
        <v>12</v>
      </c>
      <c r="AC3032" t="s">
        <v>113</v>
      </c>
      <c r="AD3032" t="s">
        <v>84</v>
      </c>
      <c r="AE3032" t="s">
        <v>43</v>
      </c>
      <c r="AF3032" t="s">
        <v>44</v>
      </c>
      <c r="AG3032" t="str">
        <f t="shared" si="55"/>
        <v>CC 12x</v>
      </c>
      <c r="AH3032" t="str">
        <f t="shared" si="56"/>
        <v/>
      </c>
    </row>
    <row r="3033" spans="1:34">
      <c r="A3033">
        <v>2026</v>
      </c>
      <c r="B3033">
        <v>4</v>
      </c>
      <c r="C3033" s="83">
        <v>107529445725</v>
      </c>
      <c r="D3033" t="s">
        <v>2708</v>
      </c>
      <c r="E3033">
        <v>57579203190</v>
      </c>
      <c r="F3033">
        <v>533208</v>
      </c>
      <c r="G3033">
        <v>52821948556</v>
      </c>
      <c r="H3033" t="s">
        <v>35</v>
      </c>
      <c r="I3033" s="36">
        <v>5178.6000000000004</v>
      </c>
      <c r="J3033" s="36">
        <v>5178.6000000000004</v>
      </c>
      <c r="K3033" s="85">
        <v>0</v>
      </c>
      <c r="L3033" s="36">
        <v>431.55</v>
      </c>
      <c r="M3033" s="36">
        <v>0</v>
      </c>
      <c r="N3033" s="36">
        <v>91.8</v>
      </c>
      <c r="O3033" s="36">
        <v>339.75</v>
      </c>
      <c r="P3033" t="s">
        <v>165</v>
      </c>
      <c r="Q3033" t="s">
        <v>166</v>
      </c>
      <c r="R3033" t="s">
        <v>166</v>
      </c>
      <c r="S3033" s="1">
        <v>46131</v>
      </c>
      <c r="T3033" s="1">
        <v>46131</v>
      </c>
      <c r="U3033" s="1">
        <v>46131</v>
      </c>
      <c r="V3033" s="1">
        <v>46496</v>
      </c>
      <c r="W3033" t="s">
        <v>38</v>
      </c>
      <c r="X3033">
        <v>12</v>
      </c>
      <c r="Y3033" t="s">
        <v>49</v>
      </c>
      <c r="Z3033" t="s">
        <v>81</v>
      </c>
      <c r="AA3033" t="s">
        <v>112</v>
      </c>
      <c r="AB3033">
        <v>12</v>
      </c>
      <c r="AC3033" t="s">
        <v>166</v>
      </c>
      <c r="AD3033" t="s">
        <v>85</v>
      </c>
      <c r="AE3033" t="s">
        <v>46</v>
      </c>
      <c r="AF3033" t="s">
        <v>44</v>
      </c>
      <c r="AG3033" t="str">
        <f t="shared" si="55"/>
        <v>CC 12x</v>
      </c>
      <c r="AH3033" t="str">
        <f t="shared" si="56"/>
        <v/>
      </c>
    </row>
    <row r="3034" spans="1:34">
      <c r="A3034">
        <v>2026</v>
      </c>
      <c r="B3034">
        <v>4</v>
      </c>
      <c r="C3034" s="83">
        <v>107625050971</v>
      </c>
      <c r="D3034" t="s">
        <v>2709</v>
      </c>
      <c r="E3034">
        <v>58198489981</v>
      </c>
      <c r="F3034">
        <v>312853</v>
      </c>
      <c r="G3034">
        <v>54509399608</v>
      </c>
      <c r="H3034" t="s">
        <v>35</v>
      </c>
      <c r="I3034" s="36">
        <v>10704.84</v>
      </c>
      <c r="J3034" s="36">
        <v>10704.84</v>
      </c>
      <c r="K3034" s="85">
        <v>0</v>
      </c>
      <c r="L3034" s="36">
        <v>892.07</v>
      </c>
      <c r="M3034" s="36">
        <v>0</v>
      </c>
      <c r="N3034" s="36">
        <v>201.66499999999999</v>
      </c>
      <c r="O3034" s="36">
        <v>690.41</v>
      </c>
      <c r="P3034" t="s">
        <v>110</v>
      </c>
      <c r="Q3034" t="s">
        <v>111</v>
      </c>
      <c r="R3034" t="s">
        <v>111</v>
      </c>
      <c r="S3034" s="1">
        <v>46134</v>
      </c>
      <c r="T3034" s="1">
        <v>46134</v>
      </c>
      <c r="U3034" s="1">
        <v>46131</v>
      </c>
      <c r="V3034" s="1">
        <v>46499</v>
      </c>
      <c r="W3034" t="s">
        <v>38</v>
      </c>
      <c r="X3034">
        <v>12</v>
      </c>
      <c r="Y3034" t="s">
        <v>49</v>
      </c>
      <c r="Z3034" t="s">
        <v>81</v>
      </c>
      <c r="AA3034" t="s">
        <v>122</v>
      </c>
      <c r="AB3034">
        <v>12</v>
      </c>
      <c r="AC3034" t="s">
        <v>113</v>
      </c>
      <c r="AD3034" t="s">
        <v>146</v>
      </c>
      <c r="AE3034" t="s">
        <v>135</v>
      </c>
      <c r="AF3034" t="s">
        <v>96</v>
      </c>
      <c r="AG3034" t="str">
        <f t="shared" si="55"/>
        <v>Recorrente</v>
      </c>
      <c r="AH3034" t="str">
        <f t="shared" si="56"/>
        <v/>
      </c>
    </row>
    <row r="3035" spans="1:34">
      <c r="A3035">
        <v>2026</v>
      </c>
      <c r="B3035">
        <v>4</v>
      </c>
      <c r="C3035" s="83">
        <v>107856483336</v>
      </c>
      <c r="D3035" t="s">
        <v>1874</v>
      </c>
      <c r="E3035">
        <v>58409392024</v>
      </c>
      <c r="F3035">
        <v>531975</v>
      </c>
      <c r="G3035">
        <v>54038726177</v>
      </c>
      <c r="H3035" t="s">
        <v>35</v>
      </c>
      <c r="I3035" s="36">
        <v>9715.92</v>
      </c>
      <c r="J3035" s="36">
        <v>9715.92</v>
      </c>
      <c r="K3035" s="85">
        <v>0</v>
      </c>
      <c r="L3035" s="36">
        <v>809.66</v>
      </c>
      <c r="M3035" s="36">
        <v>0</v>
      </c>
      <c r="N3035" s="36">
        <v>146.82</v>
      </c>
      <c r="O3035" s="36">
        <v>662.84</v>
      </c>
      <c r="P3035" t="s">
        <v>162</v>
      </c>
      <c r="Q3035" t="s">
        <v>111</v>
      </c>
      <c r="R3035" t="s">
        <v>111</v>
      </c>
      <c r="S3035" s="1">
        <v>46119</v>
      </c>
      <c r="T3035" s="1">
        <v>46119</v>
      </c>
      <c r="U3035" s="1">
        <v>46122</v>
      </c>
      <c r="V3035" s="1">
        <v>46487</v>
      </c>
      <c r="W3035" t="s">
        <v>38</v>
      </c>
      <c r="X3035">
        <v>12</v>
      </c>
      <c r="Y3035" t="s">
        <v>49</v>
      </c>
      <c r="Z3035" t="s">
        <v>81</v>
      </c>
      <c r="AA3035" t="s">
        <v>112</v>
      </c>
      <c r="AB3035">
        <v>12</v>
      </c>
      <c r="AC3035" t="s">
        <v>113</v>
      </c>
      <c r="AD3035" t="s">
        <v>154</v>
      </c>
      <c r="AE3035" t="s">
        <v>46</v>
      </c>
      <c r="AF3035" t="s">
        <v>47</v>
      </c>
      <c r="AG3035" t="str">
        <f t="shared" si="55"/>
        <v>CC 12x</v>
      </c>
      <c r="AH3035" t="str">
        <f t="shared" si="56"/>
        <v/>
      </c>
    </row>
    <row r="3036" spans="1:34">
      <c r="A3036">
        <v>2026</v>
      </c>
      <c r="B3036">
        <v>4</v>
      </c>
      <c r="C3036" s="83">
        <v>109121724509</v>
      </c>
      <c r="D3036" t="s">
        <v>936</v>
      </c>
      <c r="E3036">
        <v>59246546716</v>
      </c>
      <c r="F3036">
        <v>305051</v>
      </c>
      <c r="G3036">
        <v>54463037468</v>
      </c>
      <c r="H3036" t="s">
        <v>35</v>
      </c>
      <c r="I3036" s="36">
        <v>2068.1999999999998</v>
      </c>
      <c r="J3036" s="36">
        <v>2587.1999999999998</v>
      </c>
      <c r="K3036" s="85">
        <v>0</v>
      </c>
      <c r="L3036" s="36">
        <v>215.6</v>
      </c>
      <c r="M3036" s="36">
        <v>0</v>
      </c>
      <c r="N3036" s="36">
        <v>215.6</v>
      </c>
      <c r="O3036" s="36">
        <v>0</v>
      </c>
      <c r="P3036" t="s">
        <v>804</v>
      </c>
      <c r="Q3036" t="s">
        <v>191</v>
      </c>
      <c r="R3036" t="s">
        <v>191</v>
      </c>
      <c r="S3036" s="1">
        <v>46132</v>
      </c>
      <c r="T3036" s="1">
        <v>46132</v>
      </c>
      <c r="U3036" s="1">
        <v>46424</v>
      </c>
      <c r="V3036" s="1">
        <v>46424</v>
      </c>
      <c r="W3036" t="s">
        <v>38</v>
      </c>
      <c r="X3036">
        <v>10</v>
      </c>
      <c r="Y3036" t="s">
        <v>49</v>
      </c>
      <c r="Z3036" t="s">
        <v>324</v>
      </c>
      <c r="AA3036" t="s">
        <v>122</v>
      </c>
      <c r="AB3036">
        <v>9</v>
      </c>
      <c r="AC3036" t="s">
        <v>192</v>
      </c>
      <c r="AD3036" t="s">
        <v>118</v>
      </c>
      <c r="AE3036" t="s">
        <v>43</v>
      </c>
      <c r="AF3036" t="s">
        <v>119</v>
      </c>
      <c r="AG3036" t="str">
        <f t="shared" si="55"/>
        <v>Recorrente</v>
      </c>
      <c r="AH3036" t="str">
        <f t="shared" si="56"/>
        <v/>
      </c>
    </row>
    <row r="3037" spans="1:34">
      <c r="A3037">
        <v>2026</v>
      </c>
      <c r="B3037">
        <v>4</v>
      </c>
      <c r="C3037" s="83">
        <v>109400011959</v>
      </c>
      <c r="D3037" t="s">
        <v>2710</v>
      </c>
      <c r="E3037">
        <v>58856806681</v>
      </c>
      <c r="F3037">
        <v>508941</v>
      </c>
      <c r="G3037">
        <v>54038832791</v>
      </c>
      <c r="H3037" t="s">
        <v>35</v>
      </c>
      <c r="I3037" s="36">
        <v>6480</v>
      </c>
      <c r="J3037" s="36">
        <v>6480</v>
      </c>
      <c r="K3037" s="85">
        <v>0</v>
      </c>
      <c r="L3037" s="36">
        <v>540</v>
      </c>
      <c r="M3037" s="36">
        <v>0</v>
      </c>
      <c r="N3037" s="36">
        <v>0</v>
      </c>
      <c r="O3037" s="36">
        <v>540</v>
      </c>
      <c r="P3037" t="s">
        <v>127</v>
      </c>
      <c r="Q3037" t="s">
        <v>111</v>
      </c>
      <c r="R3037" t="s">
        <v>111</v>
      </c>
      <c r="S3037" s="1">
        <v>46119</v>
      </c>
      <c r="T3037" s="1">
        <v>46119</v>
      </c>
      <c r="U3037" s="1">
        <v>46116</v>
      </c>
      <c r="V3037" s="1">
        <v>46484</v>
      </c>
      <c r="W3037" t="s">
        <v>38</v>
      </c>
      <c r="X3037">
        <v>12</v>
      </c>
      <c r="Y3037" t="s">
        <v>49</v>
      </c>
      <c r="Z3037" t="s">
        <v>81</v>
      </c>
      <c r="AA3037" t="s">
        <v>112</v>
      </c>
      <c r="AB3037">
        <v>12</v>
      </c>
      <c r="AC3037" t="s">
        <v>113</v>
      </c>
      <c r="AD3037" t="s">
        <v>131</v>
      </c>
      <c r="AE3037" t="s">
        <v>46</v>
      </c>
      <c r="AF3037" t="s">
        <v>96</v>
      </c>
      <c r="AG3037" t="str">
        <f t="shared" si="55"/>
        <v>CC 12x</v>
      </c>
      <c r="AH3037" t="str">
        <f t="shared" si="56"/>
        <v/>
      </c>
    </row>
    <row r="3038" spans="1:34">
      <c r="A3038">
        <v>2026</v>
      </c>
      <c r="B3038">
        <v>4</v>
      </c>
      <c r="C3038" s="83">
        <v>109596702118</v>
      </c>
      <c r="D3038" t="s">
        <v>2711</v>
      </c>
      <c r="E3038">
        <v>56484146600</v>
      </c>
      <c r="F3038">
        <v>310772</v>
      </c>
      <c r="G3038">
        <v>51776636005</v>
      </c>
      <c r="H3038" t="s">
        <v>35</v>
      </c>
      <c r="I3038" s="36">
        <v>5178.6000000000004</v>
      </c>
      <c r="J3038" s="36">
        <v>5178.6000000000004</v>
      </c>
      <c r="K3038" s="85">
        <v>0</v>
      </c>
      <c r="L3038" s="36">
        <v>431.55</v>
      </c>
      <c r="M3038" s="36">
        <v>0</v>
      </c>
      <c r="N3038" s="36">
        <v>65.75</v>
      </c>
      <c r="O3038" s="36">
        <v>365.8</v>
      </c>
      <c r="P3038" t="s">
        <v>165</v>
      </c>
      <c r="Q3038" t="s">
        <v>166</v>
      </c>
      <c r="R3038" t="s">
        <v>166</v>
      </c>
      <c r="S3038" s="1">
        <v>46115</v>
      </c>
      <c r="T3038" s="1">
        <v>46115</v>
      </c>
      <c r="U3038" s="1">
        <v>46115</v>
      </c>
      <c r="V3038" s="1">
        <v>46480</v>
      </c>
      <c r="W3038" t="s">
        <v>38</v>
      </c>
      <c r="X3038">
        <v>12</v>
      </c>
      <c r="Y3038" t="s">
        <v>49</v>
      </c>
      <c r="Z3038" t="s">
        <v>81</v>
      </c>
      <c r="AA3038" t="s">
        <v>112</v>
      </c>
      <c r="AB3038">
        <v>12</v>
      </c>
      <c r="AC3038" t="s">
        <v>166</v>
      </c>
      <c r="AD3038" t="s">
        <v>85</v>
      </c>
      <c r="AE3038" t="s">
        <v>46</v>
      </c>
      <c r="AF3038" t="s">
        <v>44</v>
      </c>
      <c r="AG3038" t="str">
        <f t="shared" si="55"/>
        <v>CC 12x</v>
      </c>
      <c r="AH3038" t="str">
        <f t="shared" si="56"/>
        <v/>
      </c>
    </row>
    <row r="3039" spans="1:34">
      <c r="A3039">
        <v>2026</v>
      </c>
      <c r="B3039">
        <v>4</v>
      </c>
      <c r="C3039" s="83">
        <v>109599291061</v>
      </c>
      <c r="D3039" t="s">
        <v>2712</v>
      </c>
      <c r="E3039">
        <v>56501414146</v>
      </c>
      <c r="F3039">
        <v>311113</v>
      </c>
      <c r="G3039">
        <v>51817500545</v>
      </c>
      <c r="H3039" t="s">
        <v>35</v>
      </c>
      <c r="I3039" s="36">
        <v>5178.6000000000004</v>
      </c>
      <c r="J3039" s="36">
        <v>5178.6000000000004</v>
      </c>
      <c r="K3039" s="85">
        <v>0</v>
      </c>
      <c r="L3039" s="36">
        <v>431.55</v>
      </c>
      <c r="M3039" s="36">
        <v>0</v>
      </c>
      <c r="N3039" s="36">
        <v>104.25</v>
      </c>
      <c r="O3039" s="36">
        <v>327.3</v>
      </c>
      <c r="P3039" t="s">
        <v>165</v>
      </c>
      <c r="Q3039" t="s">
        <v>166</v>
      </c>
      <c r="R3039" t="s">
        <v>166</v>
      </c>
      <c r="S3039" s="1">
        <v>46115</v>
      </c>
      <c r="T3039" s="1">
        <v>46115</v>
      </c>
      <c r="U3039" s="1">
        <v>46115</v>
      </c>
      <c r="V3039" s="1">
        <v>46480</v>
      </c>
      <c r="W3039" t="s">
        <v>38</v>
      </c>
      <c r="X3039">
        <v>12</v>
      </c>
      <c r="Y3039" t="s">
        <v>49</v>
      </c>
      <c r="Z3039" t="s">
        <v>81</v>
      </c>
      <c r="AA3039" t="s">
        <v>112</v>
      </c>
      <c r="AB3039">
        <v>12</v>
      </c>
      <c r="AC3039" t="s">
        <v>166</v>
      </c>
      <c r="AD3039" t="s">
        <v>85</v>
      </c>
      <c r="AE3039" t="s">
        <v>46</v>
      </c>
      <c r="AF3039" t="s">
        <v>44</v>
      </c>
      <c r="AG3039" t="str">
        <f t="shared" si="55"/>
        <v>CC 12x</v>
      </c>
      <c r="AH3039" t="str">
        <f t="shared" si="56"/>
        <v/>
      </c>
    </row>
    <row r="3040" spans="1:34">
      <c r="A3040">
        <v>2026</v>
      </c>
      <c r="B3040">
        <v>4</v>
      </c>
      <c r="C3040" s="83">
        <v>109604197700</v>
      </c>
      <c r="D3040" t="s">
        <v>2713</v>
      </c>
      <c r="E3040">
        <v>58167581740</v>
      </c>
      <c r="F3040">
        <v>532811</v>
      </c>
      <c r="G3040">
        <v>54635317833</v>
      </c>
      <c r="H3040" t="s">
        <v>35</v>
      </c>
      <c r="I3040" s="36">
        <v>4686.84</v>
      </c>
      <c r="J3040" s="36">
        <v>4686.84</v>
      </c>
      <c r="K3040" s="85">
        <v>0</v>
      </c>
      <c r="L3040" s="36">
        <v>390.57</v>
      </c>
      <c r="M3040" s="36">
        <v>0</v>
      </c>
      <c r="N3040" s="36">
        <v>25.925000000000001</v>
      </c>
      <c r="O3040" s="36">
        <v>364.65</v>
      </c>
      <c r="P3040" t="s">
        <v>121</v>
      </c>
      <c r="Q3040" t="s">
        <v>111</v>
      </c>
      <c r="R3040" t="s">
        <v>111</v>
      </c>
      <c r="S3040" s="1">
        <v>46136</v>
      </c>
      <c r="T3040" s="1">
        <v>46136</v>
      </c>
      <c r="U3040" s="1">
        <v>46130</v>
      </c>
      <c r="V3040" s="1">
        <v>46501</v>
      </c>
      <c r="W3040" t="s">
        <v>38</v>
      </c>
      <c r="X3040">
        <v>12</v>
      </c>
      <c r="Y3040" t="s">
        <v>49</v>
      </c>
      <c r="Z3040" t="s">
        <v>81</v>
      </c>
      <c r="AA3040" t="s">
        <v>122</v>
      </c>
      <c r="AB3040">
        <v>12</v>
      </c>
      <c r="AC3040" t="s">
        <v>113</v>
      </c>
      <c r="AD3040" t="s">
        <v>138</v>
      </c>
      <c r="AE3040" t="s">
        <v>135</v>
      </c>
      <c r="AF3040" t="s">
        <v>119</v>
      </c>
      <c r="AG3040" t="str">
        <f t="shared" si="55"/>
        <v>Recorrente</v>
      </c>
      <c r="AH3040" t="str">
        <f t="shared" si="56"/>
        <v/>
      </c>
    </row>
    <row r="3041" spans="1:34">
      <c r="A3041">
        <v>2026</v>
      </c>
      <c r="B3041">
        <v>4</v>
      </c>
      <c r="C3041" s="83">
        <v>110540888385</v>
      </c>
      <c r="D3041" t="s">
        <v>2714</v>
      </c>
      <c r="E3041">
        <v>56381263003</v>
      </c>
      <c r="F3041">
        <v>628191</v>
      </c>
      <c r="G3041">
        <v>51654261922</v>
      </c>
      <c r="H3041" t="s">
        <v>35</v>
      </c>
      <c r="I3041" s="36">
        <v>5754</v>
      </c>
      <c r="J3041" s="36">
        <v>5754</v>
      </c>
      <c r="K3041" s="85">
        <v>0</v>
      </c>
      <c r="L3041" s="36">
        <v>479.5</v>
      </c>
      <c r="M3041" s="36">
        <v>0</v>
      </c>
      <c r="N3041" s="36">
        <v>94.45</v>
      </c>
      <c r="O3041" s="36">
        <v>385.05</v>
      </c>
      <c r="P3041" t="s">
        <v>165</v>
      </c>
      <c r="Q3041" t="s">
        <v>166</v>
      </c>
      <c r="R3041" t="s">
        <v>166</v>
      </c>
      <c r="S3041" s="1">
        <v>46114</v>
      </c>
      <c r="T3041" s="1">
        <v>46114</v>
      </c>
      <c r="U3041" s="1">
        <v>46114</v>
      </c>
      <c r="V3041" s="1">
        <v>46479</v>
      </c>
      <c r="W3041" t="s">
        <v>38</v>
      </c>
      <c r="X3041">
        <v>12</v>
      </c>
      <c r="Y3041" t="s">
        <v>49</v>
      </c>
      <c r="Z3041" t="s">
        <v>81</v>
      </c>
      <c r="AA3041" t="s">
        <v>122</v>
      </c>
      <c r="AB3041">
        <v>12</v>
      </c>
      <c r="AC3041" t="s">
        <v>166</v>
      </c>
      <c r="AD3041" t="s">
        <v>85</v>
      </c>
      <c r="AE3041" t="s">
        <v>46</v>
      </c>
      <c r="AF3041" t="s">
        <v>44</v>
      </c>
      <c r="AG3041" t="str">
        <f t="shared" si="55"/>
        <v>Recorrente</v>
      </c>
      <c r="AH3041" t="str">
        <f t="shared" si="56"/>
        <v/>
      </c>
    </row>
    <row r="3042" spans="1:34">
      <c r="A3042">
        <v>2026</v>
      </c>
      <c r="B3042">
        <v>4</v>
      </c>
      <c r="C3042" s="83">
        <v>110540906287</v>
      </c>
      <c r="D3042" t="s">
        <v>2715</v>
      </c>
      <c r="E3042">
        <v>58717176343</v>
      </c>
      <c r="F3042">
        <v>628155</v>
      </c>
      <c r="G3042">
        <v>54509330520</v>
      </c>
      <c r="H3042" t="s">
        <v>35</v>
      </c>
      <c r="I3042" s="36">
        <v>4686.84</v>
      </c>
      <c r="J3042" s="36">
        <v>4686.84</v>
      </c>
      <c r="K3042" s="85">
        <v>0</v>
      </c>
      <c r="L3042" s="36">
        <v>390.57</v>
      </c>
      <c r="M3042" s="36">
        <v>0</v>
      </c>
      <c r="N3042" s="36">
        <v>37.075000000000003</v>
      </c>
      <c r="O3042" s="36">
        <v>353.5</v>
      </c>
      <c r="P3042" t="s">
        <v>162</v>
      </c>
      <c r="Q3042" t="s">
        <v>111</v>
      </c>
      <c r="R3042" t="s">
        <v>111</v>
      </c>
      <c r="S3042" s="1">
        <v>46134</v>
      </c>
      <c r="T3042" s="1">
        <v>46134</v>
      </c>
      <c r="U3042" s="1">
        <v>46114</v>
      </c>
      <c r="V3042" s="1">
        <v>46499</v>
      </c>
      <c r="W3042" t="s">
        <v>38</v>
      </c>
      <c r="X3042">
        <v>12</v>
      </c>
      <c r="Y3042" t="s">
        <v>49</v>
      </c>
      <c r="Z3042" t="s">
        <v>81</v>
      </c>
      <c r="AA3042" t="s">
        <v>122</v>
      </c>
      <c r="AB3042">
        <v>12</v>
      </c>
      <c r="AC3042" t="s">
        <v>113</v>
      </c>
      <c r="AD3042" t="s">
        <v>138</v>
      </c>
      <c r="AE3042" t="s">
        <v>135</v>
      </c>
      <c r="AF3042" t="s">
        <v>119</v>
      </c>
      <c r="AG3042" t="str">
        <f t="shared" si="55"/>
        <v>Recorrente</v>
      </c>
      <c r="AH3042" t="str">
        <f t="shared" si="56"/>
        <v/>
      </c>
    </row>
    <row r="3043" spans="1:34">
      <c r="A3043">
        <v>2026</v>
      </c>
      <c r="B3043">
        <v>4</v>
      </c>
      <c r="C3043" s="83">
        <v>110573018759</v>
      </c>
      <c r="D3043" t="s">
        <v>2716</v>
      </c>
      <c r="E3043">
        <v>58999715700</v>
      </c>
      <c r="F3043">
        <v>636957</v>
      </c>
      <c r="G3043">
        <v>54119245626</v>
      </c>
      <c r="H3043" t="s">
        <v>35</v>
      </c>
      <c r="I3043" s="36">
        <v>3666.6</v>
      </c>
      <c r="J3043" s="36">
        <v>3666.6</v>
      </c>
      <c r="K3043" s="85">
        <v>0</v>
      </c>
      <c r="L3043" s="36">
        <v>305.55</v>
      </c>
      <c r="M3043" s="36">
        <v>305.55</v>
      </c>
      <c r="N3043" s="36">
        <v>0</v>
      </c>
      <c r="O3043" s="36">
        <v>0</v>
      </c>
      <c r="P3043" t="s">
        <v>506</v>
      </c>
      <c r="Q3043" t="s">
        <v>300</v>
      </c>
      <c r="R3043" t="s">
        <v>300</v>
      </c>
      <c r="S3043" s="1">
        <v>46120</v>
      </c>
      <c r="T3043" s="1">
        <v>46120</v>
      </c>
      <c r="V3043" s="1">
        <v>46485</v>
      </c>
      <c r="W3043" t="s">
        <v>38</v>
      </c>
      <c r="X3043">
        <v>12</v>
      </c>
      <c r="Y3043" t="s">
        <v>49</v>
      </c>
      <c r="AA3043" t="s">
        <v>122</v>
      </c>
      <c r="AB3043">
        <v>12</v>
      </c>
      <c r="AC3043" t="s">
        <v>301</v>
      </c>
      <c r="AD3043" t="s">
        <v>160</v>
      </c>
      <c r="AE3043" t="s">
        <v>43</v>
      </c>
      <c r="AF3043" t="s">
        <v>44</v>
      </c>
      <c r="AG3043" t="str">
        <f t="shared" si="55"/>
        <v>Recorrente</v>
      </c>
      <c r="AH3043" t="str">
        <f t="shared" si="56"/>
        <v/>
      </c>
    </row>
    <row r="3044" spans="1:34">
      <c r="A3044">
        <v>2026</v>
      </c>
      <c r="B3044">
        <v>4</v>
      </c>
      <c r="C3044" s="83">
        <v>110594072882</v>
      </c>
      <c r="D3044" t="s">
        <v>2717</v>
      </c>
      <c r="E3044">
        <v>58798356135</v>
      </c>
      <c r="F3044">
        <v>628110</v>
      </c>
      <c r="G3044">
        <v>53934391108</v>
      </c>
      <c r="H3044" t="s">
        <v>35</v>
      </c>
      <c r="I3044" s="36">
        <v>5178.6000000000004</v>
      </c>
      <c r="J3044" s="36">
        <v>5178.6000000000004</v>
      </c>
      <c r="K3044" s="85">
        <v>0</v>
      </c>
      <c r="L3044" s="36">
        <v>431.55</v>
      </c>
      <c r="M3044" s="36">
        <v>0</v>
      </c>
      <c r="N3044" s="36">
        <v>46.5</v>
      </c>
      <c r="O3044" s="36">
        <v>385.05</v>
      </c>
      <c r="P3044" t="s">
        <v>127</v>
      </c>
      <c r="Q3044" t="s">
        <v>111</v>
      </c>
      <c r="R3044" t="s">
        <v>111</v>
      </c>
      <c r="S3044" s="1">
        <v>46118</v>
      </c>
      <c r="T3044" s="1">
        <v>46118</v>
      </c>
      <c r="U3044" s="1">
        <v>46113</v>
      </c>
      <c r="V3044" s="1">
        <v>46483</v>
      </c>
      <c r="W3044" t="s">
        <v>38</v>
      </c>
      <c r="X3044">
        <v>12</v>
      </c>
      <c r="Y3044" t="s">
        <v>49</v>
      </c>
      <c r="Z3044" t="s">
        <v>81</v>
      </c>
      <c r="AA3044" t="s">
        <v>122</v>
      </c>
      <c r="AB3044">
        <v>12</v>
      </c>
      <c r="AC3044" t="s">
        <v>113</v>
      </c>
      <c r="AD3044" t="s">
        <v>85</v>
      </c>
      <c r="AE3044" t="s">
        <v>46</v>
      </c>
      <c r="AF3044" t="s">
        <v>44</v>
      </c>
      <c r="AG3044" t="str">
        <f t="shared" si="55"/>
        <v>Recorrente</v>
      </c>
      <c r="AH3044" t="str">
        <f t="shared" si="56"/>
        <v/>
      </c>
    </row>
    <row r="3045" spans="1:34">
      <c r="A3045">
        <v>2026</v>
      </c>
      <c r="B3045">
        <v>4</v>
      </c>
      <c r="C3045" s="83">
        <v>110634193426</v>
      </c>
      <c r="D3045" t="s">
        <v>2718</v>
      </c>
      <c r="E3045">
        <v>56937237172</v>
      </c>
      <c r="F3045">
        <v>509285</v>
      </c>
      <c r="G3045">
        <v>52188740485</v>
      </c>
      <c r="H3045" t="s">
        <v>35</v>
      </c>
      <c r="I3045" s="36">
        <v>5514</v>
      </c>
      <c r="J3045" s="36">
        <v>5514</v>
      </c>
      <c r="K3045" s="85">
        <v>0</v>
      </c>
      <c r="L3045" s="36">
        <v>459.5</v>
      </c>
      <c r="M3045" s="36">
        <v>0</v>
      </c>
      <c r="N3045" s="36">
        <v>30.5</v>
      </c>
      <c r="O3045" s="36">
        <v>429</v>
      </c>
      <c r="P3045" t="s">
        <v>165</v>
      </c>
      <c r="Q3045" t="s">
        <v>166</v>
      </c>
      <c r="R3045" t="s">
        <v>166</v>
      </c>
      <c r="S3045" s="1">
        <v>46122</v>
      </c>
      <c r="T3045" s="1">
        <v>46122</v>
      </c>
      <c r="U3045" s="1">
        <v>46122</v>
      </c>
      <c r="V3045" s="1">
        <v>46487</v>
      </c>
      <c r="W3045" t="s">
        <v>38</v>
      </c>
      <c r="X3045">
        <v>12</v>
      </c>
      <c r="Y3045" t="s">
        <v>49</v>
      </c>
      <c r="Z3045" t="s">
        <v>81</v>
      </c>
      <c r="AA3045" t="s">
        <v>112</v>
      </c>
      <c r="AB3045">
        <v>12</v>
      </c>
      <c r="AC3045" t="s">
        <v>166</v>
      </c>
      <c r="AD3045" t="s">
        <v>138</v>
      </c>
      <c r="AE3045" t="s">
        <v>135</v>
      </c>
      <c r="AF3045" t="s">
        <v>119</v>
      </c>
      <c r="AG3045" t="str">
        <f t="shared" si="55"/>
        <v>CC 12x</v>
      </c>
      <c r="AH3045" t="str">
        <f t="shared" si="56"/>
        <v/>
      </c>
    </row>
    <row r="3046" spans="1:34">
      <c r="A3046">
        <v>2026</v>
      </c>
      <c r="B3046">
        <v>4</v>
      </c>
      <c r="C3046" s="83">
        <v>110950209855</v>
      </c>
      <c r="D3046" t="s">
        <v>2719</v>
      </c>
      <c r="E3046">
        <v>58812504431</v>
      </c>
      <c r="F3046">
        <v>628199</v>
      </c>
      <c r="G3046">
        <v>54006752045</v>
      </c>
      <c r="H3046" t="s">
        <v>35</v>
      </c>
      <c r="I3046" s="36">
        <v>4948.4399999999996</v>
      </c>
      <c r="J3046" s="36">
        <v>4948.4399999999996</v>
      </c>
      <c r="K3046" s="85">
        <v>0</v>
      </c>
      <c r="L3046" s="36">
        <v>412.37</v>
      </c>
      <c r="M3046" s="36">
        <v>0</v>
      </c>
      <c r="N3046" s="36">
        <v>4.67</v>
      </c>
      <c r="O3046" s="36">
        <v>407.7</v>
      </c>
      <c r="P3046" t="s">
        <v>133</v>
      </c>
      <c r="Q3046" t="s">
        <v>111</v>
      </c>
      <c r="R3046" t="s">
        <v>111</v>
      </c>
      <c r="S3046" s="1">
        <v>46118</v>
      </c>
      <c r="T3046" s="1">
        <v>46118</v>
      </c>
      <c r="U3046" s="1">
        <v>46115</v>
      </c>
      <c r="V3046" s="1">
        <v>46483</v>
      </c>
      <c r="W3046" t="s">
        <v>38</v>
      </c>
      <c r="X3046">
        <v>12</v>
      </c>
      <c r="Y3046" t="s">
        <v>49</v>
      </c>
      <c r="Z3046" t="s">
        <v>81</v>
      </c>
      <c r="AA3046" t="s">
        <v>112</v>
      </c>
      <c r="AB3046">
        <v>12</v>
      </c>
      <c r="AC3046" t="s">
        <v>113</v>
      </c>
      <c r="AD3046" t="s">
        <v>85</v>
      </c>
      <c r="AE3046" t="s">
        <v>46</v>
      </c>
      <c r="AF3046" t="s">
        <v>44</v>
      </c>
      <c r="AG3046" t="str">
        <f t="shared" si="55"/>
        <v>CC 12x</v>
      </c>
      <c r="AH3046" t="str">
        <f t="shared" si="56"/>
        <v/>
      </c>
    </row>
    <row r="3047" spans="1:34">
      <c r="A3047">
        <v>2026</v>
      </c>
      <c r="B3047">
        <v>4</v>
      </c>
      <c r="C3047" s="83">
        <v>111004175025</v>
      </c>
      <c r="D3047" t="s">
        <v>2720</v>
      </c>
      <c r="E3047">
        <v>59833248609</v>
      </c>
      <c r="F3047">
        <v>637476</v>
      </c>
      <c r="G3047">
        <v>54899144305</v>
      </c>
      <c r="H3047" t="s">
        <v>35</v>
      </c>
      <c r="I3047" s="36">
        <v>2874</v>
      </c>
      <c r="J3047" s="36">
        <v>2874</v>
      </c>
      <c r="K3047" s="85">
        <v>0</v>
      </c>
      <c r="L3047" s="36">
        <v>239.5</v>
      </c>
      <c r="M3047" s="36">
        <v>239.5</v>
      </c>
      <c r="N3047" s="36">
        <v>0</v>
      </c>
      <c r="O3047" s="36">
        <v>0</v>
      </c>
      <c r="P3047" t="s">
        <v>497</v>
      </c>
      <c r="Q3047" t="s">
        <v>498</v>
      </c>
      <c r="R3047" t="s">
        <v>498</v>
      </c>
      <c r="S3047" s="1">
        <v>46141</v>
      </c>
      <c r="T3047" s="1">
        <v>46141</v>
      </c>
      <c r="V3047" s="1">
        <v>46506</v>
      </c>
      <c r="W3047" t="s">
        <v>38</v>
      </c>
      <c r="X3047">
        <v>12</v>
      </c>
      <c r="Y3047" t="s">
        <v>49</v>
      </c>
      <c r="AA3047" t="s">
        <v>112</v>
      </c>
      <c r="AB3047">
        <v>12</v>
      </c>
      <c r="AC3047" t="s">
        <v>499</v>
      </c>
      <c r="AD3047" t="s">
        <v>140</v>
      </c>
      <c r="AE3047" t="s">
        <v>46</v>
      </c>
      <c r="AF3047" t="s">
        <v>119</v>
      </c>
      <c r="AG3047" t="str">
        <f t="shared" si="55"/>
        <v>CC 12x</v>
      </c>
      <c r="AH3047" t="str">
        <f t="shared" si="56"/>
        <v/>
      </c>
    </row>
    <row r="3048" spans="1:34">
      <c r="A3048">
        <v>2026</v>
      </c>
      <c r="B3048">
        <v>4</v>
      </c>
      <c r="C3048" s="83">
        <v>111247046009</v>
      </c>
      <c r="D3048" t="s">
        <v>2721</v>
      </c>
      <c r="E3048">
        <v>57727261225</v>
      </c>
      <c r="F3048">
        <v>278891</v>
      </c>
      <c r="G3048">
        <v>54269773899</v>
      </c>
      <c r="H3048" t="s">
        <v>35</v>
      </c>
      <c r="I3048" s="36">
        <v>7195.44</v>
      </c>
      <c r="J3048" s="36">
        <v>7195.44</v>
      </c>
      <c r="K3048" s="85">
        <v>0</v>
      </c>
      <c r="L3048" s="36">
        <v>599.62</v>
      </c>
      <c r="M3048" s="36">
        <v>0</v>
      </c>
      <c r="N3048" s="36">
        <v>0</v>
      </c>
      <c r="O3048" s="36">
        <v>599.625</v>
      </c>
      <c r="P3048" t="s">
        <v>121</v>
      </c>
      <c r="Q3048" t="s">
        <v>111</v>
      </c>
      <c r="R3048" t="s">
        <v>111</v>
      </c>
      <c r="S3048" s="1">
        <v>46126</v>
      </c>
      <c r="T3048" s="1">
        <v>46126</v>
      </c>
      <c r="U3048" s="1">
        <v>46119</v>
      </c>
      <c r="V3048" s="1">
        <v>46491</v>
      </c>
      <c r="W3048" t="s">
        <v>38</v>
      </c>
      <c r="X3048">
        <v>12</v>
      </c>
      <c r="Y3048" t="s">
        <v>49</v>
      </c>
      <c r="Z3048" t="s">
        <v>81</v>
      </c>
      <c r="AA3048" t="s">
        <v>122</v>
      </c>
      <c r="AB3048">
        <v>12</v>
      </c>
      <c r="AC3048" t="s">
        <v>113</v>
      </c>
      <c r="AD3048" t="s">
        <v>131</v>
      </c>
      <c r="AE3048" t="s">
        <v>46</v>
      </c>
      <c r="AF3048" t="s">
        <v>96</v>
      </c>
      <c r="AG3048" t="str">
        <f t="shared" si="55"/>
        <v>Recorrente</v>
      </c>
      <c r="AH3048" t="str">
        <f t="shared" si="56"/>
        <v/>
      </c>
    </row>
    <row r="3049" spans="1:34">
      <c r="A3049">
        <v>2026</v>
      </c>
      <c r="B3049">
        <v>4</v>
      </c>
      <c r="C3049" s="83">
        <v>111249812132</v>
      </c>
      <c r="D3049" t="s">
        <v>2722</v>
      </c>
      <c r="E3049">
        <v>58572697456</v>
      </c>
      <c r="F3049">
        <v>310598</v>
      </c>
      <c r="G3049">
        <v>53857805700</v>
      </c>
      <c r="H3049" t="s">
        <v>35</v>
      </c>
      <c r="I3049" s="36">
        <v>3883.92</v>
      </c>
      <c r="J3049" s="36">
        <v>3883.92</v>
      </c>
      <c r="K3049" s="85">
        <v>0</v>
      </c>
      <c r="L3049" s="36">
        <v>323.66000000000003</v>
      </c>
      <c r="M3049" s="36">
        <v>0</v>
      </c>
      <c r="N3049" s="36">
        <v>23.662500000000001</v>
      </c>
      <c r="O3049" s="36">
        <v>300</v>
      </c>
      <c r="P3049" t="s">
        <v>116</v>
      </c>
      <c r="Q3049" t="s">
        <v>111</v>
      </c>
      <c r="R3049" t="s">
        <v>111</v>
      </c>
      <c r="S3049" s="1">
        <v>46114</v>
      </c>
      <c r="T3049" s="1">
        <v>46114</v>
      </c>
      <c r="U3049" s="1">
        <v>46115</v>
      </c>
      <c r="V3049" s="1">
        <v>46480</v>
      </c>
      <c r="W3049" t="s">
        <v>38</v>
      </c>
      <c r="X3049">
        <v>12</v>
      </c>
      <c r="Y3049" t="s">
        <v>49</v>
      </c>
      <c r="Z3049" t="s">
        <v>81</v>
      </c>
      <c r="AA3049" t="s">
        <v>112</v>
      </c>
      <c r="AB3049">
        <v>12</v>
      </c>
      <c r="AC3049" t="s">
        <v>113</v>
      </c>
      <c r="AD3049" t="s">
        <v>85</v>
      </c>
      <c r="AE3049" t="s">
        <v>46</v>
      </c>
      <c r="AF3049" t="s">
        <v>44</v>
      </c>
      <c r="AG3049" t="str">
        <f t="shared" si="55"/>
        <v>CC 12x</v>
      </c>
      <c r="AH3049" t="str">
        <f t="shared" si="56"/>
        <v/>
      </c>
    </row>
    <row r="3050" spans="1:34">
      <c r="A3050">
        <v>2026</v>
      </c>
      <c r="B3050">
        <v>4</v>
      </c>
      <c r="C3050" s="83">
        <v>111255514938</v>
      </c>
      <c r="D3050" t="s">
        <v>2723</v>
      </c>
      <c r="E3050">
        <v>56494859085</v>
      </c>
      <c r="F3050">
        <v>325075</v>
      </c>
      <c r="G3050">
        <v>51850598531</v>
      </c>
      <c r="H3050" t="s">
        <v>35</v>
      </c>
      <c r="I3050" s="36">
        <v>5514</v>
      </c>
      <c r="J3050" s="36">
        <v>5514</v>
      </c>
      <c r="K3050" s="85">
        <v>0</v>
      </c>
      <c r="L3050" s="36">
        <v>459.5</v>
      </c>
      <c r="M3050" s="36">
        <v>0</v>
      </c>
      <c r="N3050" s="36">
        <v>30.5</v>
      </c>
      <c r="O3050" s="36">
        <v>429</v>
      </c>
      <c r="P3050" t="s">
        <v>165</v>
      </c>
      <c r="Q3050" t="s">
        <v>166</v>
      </c>
      <c r="R3050" t="s">
        <v>166</v>
      </c>
      <c r="S3050" s="1">
        <v>46116</v>
      </c>
      <c r="T3050" s="1">
        <v>46116</v>
      </c>
      <c r="U3050" s="1">
        <v>46116</v>
      </c>
      <c r="V3050" s="1">
        <v>46481</v>
      </c>
      <c r="W3050" t="s">
        <v>38</v>
      </c>
      <c r="X3050">
        <v>12</v>
      </c>
      <c r="Y3050" t="s">
        <v>49</v>
      </c>
      <c r="Z3050" t="s">
        <v>81</v>
      </c>
      <c r="AA3050" t="s">
        <v>122</v>
      </c>
      <c r="AB3050">
        <v>12</v>
      </c>
      <c r="AC3050" t="s">
        <v>166</v>
      </c>
      <c r="AD3050" t="s">
        <v>138</v>
      </c>
      <c r="AE3050" t="s">
        <v>135</v>
      </c>
      <c r="AF3050" t="s">
        <v>119</v>
      </c>
      <c r="AG3050" t="str">
        <f t="shared" si="55"/>
        <v>Recorrente</v>
      </c>
      <c r="AH3050" t="str">
        <f t="shared" si="56"/>
        <v/>
      </c>
    </row>
    <row r="3051" spans="1:34">
      <c r="A3051">
        <v>2026</v>
      </c>
      <c r="B3051">
        <v>4</v>
      </c>
      <c r="C3051" s="83">
        <v>111294944784</v>
      </c>
      <c r="D3051" t="s">
        <v>2724</v>
      </c>
      <c r="E3051">
        <v>59183743780</v>
      </c>
      <c r="F3051">
        <v>532214</v>
      </c>
      <c r="G3051">
        <v>54294704013</v>
      </c>
      <c r="H3051" t="s">
        <v>35</v>
      </c>
      <c r="I3051" s="36">
        <v>4027.2</v>
      </c>
      <c r="J3051" s="36">
        <v>4027.2</v>
      </c>
      <c r="K3051" s="85">
        <v>0</v>
      </c>
      <c r="L3051" s="36">
        <v>335.6</v>
      </c>
      <c r="M3051" s="36">
        <v>0</v>
      </c>
      <c r="N3051" s="36">
        <v>0</v>
      </c>
      <c r="O3051" s="36">
        <v>335.6</v>
      </c>
      <c r="P3051" t="s">
        <v>133</v>
      </c>
      <c r="Q3051" t="s">
        <v>111</v>
      </c>
      <c r="R3051" t="s">
        <v>111</v>
      </c>
      <c r="S3051" s="1">
        <v>46128</v>
      </c>
      <c r="T3051" s="1">
        <v>46128</v>
      </c>
      <c r="U3051" s="1">
        <v>46118</v>
      </c>
      <c r="V3051" s="1">
        <v>46493</v>
      </c>
      <c r="W3051" t="s">
        <v>38</v>
      </c>
      <c r="X3051">
        <v>12</v>
      </c>
      <c r="Y3051" t="s">
        <v>49</v>
      </c>
      <c r="Z3051" t="s">
        <v>76</v>
      </c>
      <c r="AA3051" t="s">
        <v>112</v>
      </c>
      <c r="AB3051">
        <v>12</v>
      </c>
      <c r="AC3051" t="s">
        <v>113</v>
      </c>
      <c r="AD3051" t="s">
        <v>84</v>
      </c>
      <c r="AE3051" t="s">
        <v>43</v>
      </c>
      <c r="AF3051" t="s">
        <v>44</v>
      </c>
      <c r="AG3051" t="str">
        <f t="shared" si="55"/>
        <v>CC 12x</v>
      </c>
      <c r="AH3051" t="str">
        <f t="shared" si="56"/>
        <v/>
      </c>
    </row>
    <row r="3052" spans="1:34">
      <c r="A3052">
        <v>2026</v>
      </c>
      <c r="B3052">
        <v>4</v>
      </c>
      <c r="C3052" s="83">
        <v>111298670602</v>
      </c>
      <c r="D3052" t="s">
        <v>2725</v>
      </c>
      <c r="E3052">
        <v>57568139794</v>
      </c>
      <c r="F3052">
        <v>509023</v>
      </c>
      <c r="G3052">
        <v>53812395307</v>
      </c>
      <c r="H3052" t="s">
        <v>35</v>
      </c>
      <c r="I3052" s="36">
        <v>5962.44</v>
      </c>
      <c r="J3052" s="36">
        <v>5962.44</v>
      </c>
      <c r="K3052" s="85">
        <v>0</v>
      </c>
      <c r="L3052" s="36">
        <v>496.87</v>
      </c>
      <c r="M3052" s="36">
        <v>0</v>
      </c>
      <c r="N3052" s="36">
        <v>105.48</v>
      </c>
      <c r="O3052" s="36">
        <v>391.39</v>
      </c>
      <c r="P3052" t="s">
        <v>162</v>
      </c>
      <c r="Q3052" t="s">
        <v>111</v>
      </c>
      <c r="R3052" t="s">
        <v>111</v>
      </c>
      <c r="S3052" s="1">
        <v>46114</v>
      </c>
      <c r="T3052" s="1">
        <v>46114</v>
      </c>
      <c r="U3052" s="1">
        <v>46116</v>
      </c>
      <c r="V3052" s="1">
        <v>46481</v>
      </c>
      <c r="W3052" t="s">
        <v>38</v>
      </c>
      <c r="X3052">
        <v>12</v>
      </c>
      <c r="Y3052" t="s">
        <v>49</v>
      </c>
      <c r="Z3052" t="s">
        <v>81</v>
      </c>
      <c r="AA3052" t="s">
        <v>112</v>
      </c>
      <c r="AB3052">
        <v>12</v>
      </c>
      <c r="AC3052" t="s">
        <v>113</v>
      </c>
      <c r="AD3052" t="s">
        <v>125</v>
      </c>
      <c r="AE3052" t="s">
        <v>43</v>
      </c>
      <c r="AF3052" t="s">
        <v>47</v>
      </c>
      <c r="AG3052" t="str">
        <f t="shared" si="55"/>
        <v>CC 12x</v>
      </c>
      <c r="AH3052" t="str">
        <f t="shared" si="56"/>
        <v/>
      </c>
    </row>
    <row r="3053" spans="1:34">
      <c r="A3053">
        <v>2026</v>
      </c>
      <c r="B3053">
        <v>4</v>
      </c>
      <c r="C3053" s="83">
        <v>111484893209</v>
      </c>
      <c r="D3053" t="s">
        <v>2726</v>
      </c>
      <c r="E3053">
        <v>58864954496</v>
      </c>
      <c r="F3053">
        <v>532125</v>
      </c>
      <c r="G3053">
        <v>54280032066</v>
      </c>
      <c r="H3053" t="s">
        <v>35</v>
      </c>
      <c r="I3053" s="36">
        <v>7483.2</v>
      </c>
      <c r="J3053" s="36">
        <v>7483.2</v>
      </c>
      <c r="K3053" s="85">
        <v>0</v>
      </c>
      <c r="L3053" s="36">
        <v>623.6</v>
      </c>
      <c r="M3053" s="36">
        <v>0</v>
      </c>
      <c r="N3053" s="36">
        <v>58.18</v>
      </c>
      <c r="O3053" s="36">
        <v>565.41999999999996</v>
      </c>
      <c r="P3053" t="s">
        <v>121</v>
      </c>
      <c r="Q3053" t="s">
        <v>111</v>
      </c>
      <c r="R3053" t="s">
        <v>111</v>
      </c>
      <c r="S3053" s="1">
        <v>46126</v>
      </c>
      <c r="T3053" s="1">
        <v>46126</v>
      </c>
      <c r="U3053" s="1">
        <v>46117</v>
      </c>
      <c r="V3053" s="1">
        <v>46491</v>
      </c>
      <c r="W3053" t="s">
        <v>38</v>
      </c>
      <c r="X3053">
        <v>12</v>
      </c>
      <c r="Y3053" t="s">
        <v>49</v>
      </c>
      <c r="Z3053" t="s">
        <v>81</v>
      </c>
      <c r="AA3053" t="s">
        <v>112</v>
      </c>
      <c r="AB3053">
        <v>12</v>
      </c>
      <c r="AC3053" t="s">
        <v>113</v>
      </c>
      <c r="AD3053" t="s">
        <v>134</v>
      </c>
      <c r="AE3053" t="s">
        <v>135</v>
      </c>
      <c r="AF3053" t="s">
        <v>44</v>
      </c>
      <c r="AG3053" t="str">
        <f t="shared" si="55"/>
        <v>CC 12x</v>
      </c>
      <c r="AH3053" t="str">
        <f t="shared" si="56"/>
        <v/>
      </c>
    </row>
    <row r="3054" spans="1:34">
      <c r="A3054">
        <v>2026</v>
      </c>
      <c r="B3054">
        <v>4</v>
      </c>
      <c r="C3054" s="83">
        <v>111492440473</v>
      </c>
      <c r="D3054" t="s">
        <v>2727</v>
      </c>
      <c r="E3054">
        <v>58103108169</v>
      </c>
      <c r="F3054">
        <v>530434</v>
      </c>
      <c r="G3054">
        <v>54372517263</v>
      </c>
      <c r="H3054" t="s">
        <v>35</v>
      </c>
      <c r="I3054" s="36">
        <v>4452.6000000000004</v>
      </c>
      <c r="J3054" s="36">
        <v>4452.6000000000004</v>
      </c>
      <c r="K3054" s="85">
        <v>0</v>
      </c>
      <c r="L3054" s="36">
        <v>371.05</v>
      </c>
      <c r="M3054" s="36">
        <v>0</v>
      </c>
      <c r="N3054" s="36">
        <v>0</v>
      </c>
      <c r="O3054" s="36">
        <v>371.05084499999998</v>
      </c>
      <c r="P3054" t="s">
        <v>116</v>
      </c>
      <c r="Q3054" t="s">
        <v>111</v>
      </c>
      <c r="R3054" t="s">
        <v>111</v>
      </c>
      <c r="S3054" s="1">
        <v>46128</v>
      </c>
      <c r="T3054" s="1">
        <v>46128</v>
      </c>
      <c r="U3054" s="1">
        <v>46129</v>
      </c>
      <c r="V3054" s="1">
        <v>46494</v>
      </c>
      <c r="W3054" t="s">
        <v>38</v>
      </c>
      <c r="X3054">
        <v>12</v>
      </c>
      <c r="Y3054" t="s">
        <v>49</v>
      </c>
      <c r="Z3054" t="s">
        <v>81</v>
      </c>
      <c r="AA3054" t="s">
        <v>122</v>
      </c>
      <c r="AB3054">
        <v>12</v>
      </c>
      <c r="AC3054" t="s">
        <v>113</v>
      </c>
      <c r="AD3054" t="s">
        <v>138</v>
      </c>
      <c r="AE3054" t="s">
        <v>135</v>
      </c>
      <c r="AF3054" t="s">
        <v>119</v>
      </c>
      <c r="AG3054" t="str">
        <f t="shared" si="55"/>
        <v>Recorrente</v>
      </c>
      <c r="AH3054" t="str">
        <f t="shared" si="56"/>
        <v/>
      </c>
    </row>
    <row r="3055" spans="1:34">
      <c r="A3055">
        <v>2026</v>
      </c>
      <c r="B3055">
        <v>4</v>
      </c>
      <c r="C3055" s="83">
        <v>111502000782</v>
      </c>
      <c r="D3055" t="s">
        <v>2728</v>
      </c>
      <c r="E3055">
        <v>57482976069</v>
      </c>
      <c r="F3055">
        <v>298894</v>
      </c>
      <c r="G3055">
        <v>52739532371</v>
      </c>
      <c r="H3055" t="s">
        <v>35</v>
      </c>
      <c r="I3055" s="36">
        <v>8418.6</v>
      </c>
      <c r="J3055" s="36">
        <v>8418.6</v>
      </c>
      <c r="K3055" s="85">
        <v>0</v>
      </c>
      <c r="L3055" s="36">
        <v>701.55</v>
      </c>
      <c r="M3055" s="36">
        <v>0</v>
      </c>
      <c r="N3055" s="36">
        <v>184.25</v>
      </c>
      <c r="O3055" s="36">
        <v>517.29999999999995</v>
      </c>
      <c r="P3055" t="s">
        <v>165</v>
      </c>
      <c r="Q3055" t="s">
        <v>166</v>
      </c>
      <c r="R3055" t="s">
        <v>166</v>
      </c>
      <c r="S3055" s="1">
        <v>46125</v>
      </c>
      <c r="T3055" s="1">
        <v>46125</v>
      </c>
      <c r="U3055" s="1">
        <v>46125</v>
      </c>
      <c r="V3055" s="1">
        <v>46490</v>
      </c>
      <c r="W3055" t="s">
        <v>38</v>
      </c>
      <c r="X3055">
        <v>12</v>
      </c>
      <c r="Y3055" t="s">
        <v>49</v>
      </c>
      <c r="Z3055" t="s">
        <v>81</v>
      </c>
      <c r="AA3055" t="s">
        <v>112</v>
      </c>
      <c r="AB3055">
        <v>12</v>
      </c>
      <c r="AC3055" t="s">
        <v>166</v>
      </c>
      <c r="AD3055" t="s">
        <v>134</v>
      </c>
      <c r="AE3055" t="s">
        <v>135</v>
      </c>
      <c r="AF3055" t="s">
        <v>44</v>
      </c>
      <c r="AG3055" t="str">
        <f t="shared" si="55"/>
        <v>CC 12x</v>
      </c>
      <c r="AH3055" t="str">
        <f t="shared" si="56"/>
        <v/>
      </c>
    </row>
    <row r="3056" spans="1:34">
      <c r="A3056">
        <v>2026</v>
      </c>
      <c r="B3056">
        <v>4</v>
      </c>
      <c r="C3056" s="83">
        <v>111525219858</v>
      </c>
      <c r="D3056" t="s">
        <v>2729</v>
      </c>
      <c r="E3056">
        <v>59096704559</v>
      </c>
      <c r="F3056">
        <v>532477</v>
      </c>
      <c r="G3056">
        <v>54284109236</v>
      </c>
      <c r="H3056" t="s">
        <v>35</v>
      </c>
      <c r="I3056" s="36">
        <v>2442.84</v>
      </c>
      <c r="J3056" s="36">
        <v>2442.84</v>
      </c>
      <c r="K3056" s="85">
        <v>0</v>
      </c>
      <c r="L3056" s="36">
        <v>203.57</v>
      </c>
      <c r="M3056" s="36">
        <v>0</v>
      </c>
      <c r="N3056" s="36">
        <v>21.765000000000001</v>
      </c>
      <c r="O3056" s="36">
        <v>181.81</v>
      </c>
      <c r="P3056" t="s">
        <v>121</v>
      </c>
      <c r="Q3056" t="s">
        <v>111</v>
      </c>
      <c r="R3056" t="s">
        <v>111</v>
      </c>
      <c r="S3056" s="1">
        <v>46127</v>
      </c>
      <c r="T3056" s="1">
        <v>46127</v>
      </c>
      <c r="U3056" s="1">
        <v>46123</v>
      </c>
      <c r="V3056" s="1">
        <v>46492</v>
      </c>
      <c r="W3056" t="s">
        <v>38</v>
      </c>
      <c r="X3056">
        <v>12</v>
      </c>
      <c r="Y3056" t="s">
        <v>49</v>
      </c>
      <c r="Z3056" t="s">
        <v>81</v>
      </c>
      <c r="AA3056" t="s">
        <v>112</v>
      </c>
      <c r="AB3056">
        <v>12</v>
      </c>
      <c r="AC3056" t="s">
        <v>113</v>
      </c>
      <c r="AD3056" t="s">
        <v>140</v>
      </c>
      <c r="AE3056" t="s">
        <v>46</v>
      </c>
      <c r="AF3056" t="s">
        <v>119</v>
      </c>
      <c r="AG3056" t="str">
        <f t="shared" si="55"/>
        <v>CC 12x</v>
      </c>
      <c r="AH3056" t="str">
        <f t="shared" si="56"/>
        <v/>
      </c>
    </row>
    <row r="3057" spans="1:34">
      <c r="A3057">
        <v>2026</v>
      </c>
      <c r="B3057">
        <v>4</v>
      </c>
      <c r="C3057" s="83">
        <v>11152807522</v>
      </c>
      <c r="D3057" t="s">
        <v>2730</v>
      </c>
      <c r="E3057">
        <v>59838109111</v>
      </c>
      <c r="F3057">
        <v>637495</v>
      </c>
      <c r="G3057">
        <v>54881159442</v>
      </c>
      <c r="H3057" t="s">
        <v>35</v>
      </c>
      <c r="I3057" s="36">
        <v>2586.6</v>
      </c>
      <c r="J3057" s="36">
        <v>2586.6</v>
      </c>
      <c r="K3057" s="85">
        <v>0</v>
      </c>
      <c r="L3057" s="36">
        <v>215.55</v>
      </c>
      <c r="M3057" s="36">
        <v>215.55</v>
      </c>
      <c r="N3057" s="36">
        <v>0</v>
      </c>
      <c r="O3057" s="36">
        <v>0</v>
      </c>
      <c r="P3057" t="s">
        <v>829</v>
      </c>
      <c r="Q3057" t="s">
        <v>300</v>
      </c>
      <c r="R3057" t="s">
        <v>300</v>
      </c>
      <c r="S3057" s="1">
        <v>46142</v>
      </c>
      <c r="T3057" s="1">
        <v>46142</v>
      </c>
      <c r="V3057" s="1">
        <v>46507</v>
      </c>
      <c r="W3057" t="s">
        <v>38</v>
      </c>
      <c r="X3057">
        <v>12</v>
      </c>
      <c r="Y3057" t="s">
        <v>49</v>
      </c>
      <c r="AA3057" t="s">
        <v>122</v>
      </c>
      <c r="AB3057">
        <v>12</v>
      </c>
      <c r="AC3057" t="s">
        <v>301</v>
      </c>
      <c r="AD3057" t="s">
        <v>140</v>
      </c>
      <c r="AE3057" t="s">
        <v>46</v>
      </c>
      <c r="AF3057" t="s">
        <v>119</v>
      </c>
      <c r="AG3057" t="str">
        <f t="shared" si="55"/>
        <v>Recorrente</v>
      </c>
      <c r="AH3057" t="str">
        <f t="shared" si="56"/>
        <v/>
      </c>
    </row>
    <row r="3058" spans="1:34">
      <c r="A3058">
        <v>2026</v>
      </c>
      <c r="B3058">
        <v>4</v>
      </c>
      <c r="C3058" s="83">
        <v>111542927960</v>
      </c>
      <c r="D3058" t="s">
        <v>2731</v>
      </c>
      <c r="E3058">
        <v>56768156056</v>
      </c>
      <c r="F3058">
        <v>628280</v>
      </c>
      <c r="G3058">
        <v>52049316116</v>
      </c>
      <c r="H3058" t="s">
        <v>35</v>
      </c>
      <c r="I3058" s="36">
        <v>2011.8</v>
      </c>
      <c r="J3058" s="36">
        <v>2011.8</v>
      </c>
      <c r="K3058" s="85">
        <v>0</v>
      </c>
      <c r="L3058" s="36">
        <v>167.65</v>
      </c>
      <c r="M3058" s="36">
        <v>0</v>
      </c>
      <c r="N3058" s="36">
        <v>48.15</v>
      </c>
      <c r="O3058" s="36">
        <v>119.5</v>
      </c>
      <c r="P3058" t="s">
        <v>165</v>
      </c>
      <c r="Q3058" t="s">
        <v>166</v>
      </c>
      <c r="R3058" t="s">
        <v>166</v>
      </c>
      <c r="S3058" s="1">
        <v>46119</v>
      </c>
      <c r="T3058" s="1">
        <v>46119</v>
      </c>
      <c r="U3058" s="1">
        <v>46119</v>
      </c>
      <c r="V3058" s="1">
        <v>46484</v>
      </c>
      <c r="W3058" t="s">
        <v>38</v>
      </c>
      <c r="X3058">
        <v>12</v>
      </c>
      <c r="Y3058" t="s">
        <v>49</v>
      </c>
      <c r="Z3058" t="s">
        <v>81</v>
      </c>
      <c r="AA3058" t="s">
        <v>92</v>
      </c>
      <c r="AB3058">
        <v>1</v>
      </c>
      <c r="AC3058" t="s">
        <v>166</v>
      </c>
      <c r="AD3058" t="s">
        <v>140</v>
      </c>
      <c r="AE3058" t="s">
        <v>46</v>
      </c>
      <c r="AF3058" t="s">
        <v>119</v>
      </c>
      <c r="AG3058" t="str">
        <f t="shared" si="55"/>
        <v>Recorrente</v>
      </c>
      <c r="AH3058" t="str">
        <f t="shared" si="56"/>
        <v/>
      </c>
    </row>
    <row r="3059" spans="1:34">
      <c r="A3059">
        <v>2026</v>
      </c>
      <c r="B3059">
        <v>4</v>
      </c>
      <c r="C3059" s="83">
        <v>111684831257</v>
      </c>
      <c r="D3059" t="s">
        <v>2732</v>
      </c>
      <c r="E3059">
        <v>59196739719</v>
      </c>
      <c r="F3059">
        <v>637109</v>
      </c>
      <c r="G3059">
        <v>54294671657</v>
      </c>
      <c r="H3059" t="s">
        <v>35</v>
      </c>
      <c r="I3059" s="36">
        <v>3114</v>
      </c>
      <c r="J3059" s="36">
        <v>3114</v>
      </c>
      <c r="K3059" s="85">
        <v>0</v>
      </c>
      <c r="L3059" s="36">
        <v>259.5</v>
      </c>
      <c r="M3059" s="36">
        <v>259.5</v>
      </c>
      <c r="N3059" s="36">
        <v>0</v>
      </c>
      <c r="O3059" s="36">
        <v>0</v>
      </c>
      <c r="P3059" t="s">
        <v>506</v>
      </c>
      <c r="Q3059" t="s">
        <v>300</v>
      </c>
      <c r="R3059" t="s">
        <v>300</v>
      </c>
      <c r="S3059" s="1">
        <v>46127</v>
      </c>
      <c r="T3059" s="1">
        <v>46127</v>
      </c>
      <c r="W3059" t="s">
        <v>2733</v>
      </c>
      <c r="Y3059" t="s">
        <v>49</v>
      </c>
      <c r="AA3059" t="s">
        <v>122</v>
      </c>
      <c r="AB3059">
        <v>12</v>
      </c>
      <c r="AC3059" t="s">
        <v>301</v>
      </c>
      <c r="AD3059" t="s">
        <v>2734</v>
      </c>
      <c r="AE3059" t="s">
        <v>106</v>
      </c>
      <c r="AF3059" t="s">
        <v>59</v>
      </c>
      <c r="AG3059" t="str">
        <f t="shared" si="55"/>
        <v>Recorrente</v>
      </c>
      <c r="AH3059" t="str">
        <f t="shared" si="56"/>
        <v/>
      </c>
    </row>
    <row r="3060" spans="1:34">
      <c r="A3060">
        <v>2026</v>
      </c>
      <c r="B3060">
        <v>4</v>
      </c>
      <c r="C3060" s="83">
        <v>111723079809</v>
      </c>
      <c r="D3060" t="s">
        <v>2735</v>
      </c>
      <c r="E3060">
        <v>56849648794</v>
      </c>
      <c r="F3060">
        <v>628444</v>
      </c>
      <c r="G3060">
        <v>52058117705</v>
      </c>
      <c r="H3060" t="s">
        <v>35</v>
      </c>
      <c r="I3060" s="36">
        <v>2874</v>
      </c>
      <c r="J3060" s="36">
        <v>2874</v>
      </c>
      <c r="K3060" s="85">
        <v>0</v>
      </c>
      <c r="L3060" s="36">
        <v>239.5</v>
      </c>
      <c r="M3060" s="36">
        <v>0</v>
      </c>
      <c r="N3060" s="36">
        <v>36.35</v>
      </c>
      <c r="O3060" s="36">
        <v>203.15</v>
      </c>
      <c r="P3060" t="s">
        <v>165</v>
      </c>
      <c r="Q3060" t="s">
        <v>166</v>
      </c>
      <c r="R3060" t="s">
        <v>166</v>
      </c>
      <c r="S3060" s="1">
        <v>46121</v>
      </c>
      <c r="T3060" s="1">
        <v>46121</v>
      </c>
      <c r="U3060" s="1">
        <v>46121</v>
      </c>
      <c r="V3060" s="1">
        <v>46486</v>
      </c>
      <c r="W3060" t="s">
        <v>38</v>
      </c>
      <c r="X3060">
        <v>12</v>
      </c>
      <c r="Y3060" t="s">
        <v>49</v>
      </c>
      <c r="Z3060" t="s">
        <v>81</v>
      </c>
      <c r="AA3060" t="s">
        <v>112</v>
      </c>
      <c r="AB3060">
        <v>12</v>
      </c>
      <c r="AC3060" t="s">
        <v>166</v>
      </c>
      <c r="AD3060" t="s">
        <v>118</v>
      </c>
      <c r="AE3060" t="s">
        <v>43</v>
      </c>
      <c r="AF3060" t="s">
        <v>119</v>
      </c>
      <c r="AG3060" t="str">
        <f t="shared" si="55"/>
        <v>CC 12x</v>
      </c>
      <c r="AH3060" t="str">
        <f t="shared" si="56"/>
        <v/>
      </c>
    </row>
    <row r="3061" spans="1:34">
      <c r="A3061">
        <v>2026</v>
      </c>
      <c r="B3061">
        <v>4</v>
      </c>
      <c r="C3061" s="83">
        <v>111833564196</v>
      </c>
      <c r="D3061" t="s">
        <v>2736</v>
      </c>
      <c r="E3061">
        <v>56930250077</v>
      </c>
      <c r="F3061">
        <v>628558</v>
      </c>
      <c r="G3061">
        <v>52202048899</v>
      </c>
      <c r="H3061" t="s">
        <v>35</v>
      </c>
      <c r="I3061" s="36">
        <v>4530.6000000000004</v>
      </c>
      <c r="J3061" s="36">
        <v>4530.6000000000004</v>
      </c>
      <c r="K3061" s="85">
        <v>0</v>
      </c>
      <c r="L3061" s="36">
        <v>377.55</v>
      </c>
      <c r="M3061" s="36">
        <v>0</v>
      </c>
      <c r="N3061" s="36">
        <v>48.6</v>
      </c>
      <c r="O3061" s="36">
        <v>328.95</v>
      </c>
      <c r="P3061" t="s">
        <v>165</v>
      </c>
      <c r="Q3061" t="s">
        <v>166</v>
      </c>
      <c r="R3061" t="s">
        <v>166</v>
      </c>
      <c r="S3061" s="1">
        <v>46123</v>
      </c>
      <c r="T3061" s="1">
        <v>46123</v>
      </c>
      <c r="U3061" s="1">
        <v>46123</v>
      </c>
      <c r="V3061" s="1">
        <v>46488</v>
      </c>
      <c r="W3061" t="s">
        <v>38</v>
      </c>
      <c r="X3061">
        <v>12</v>
      </c>
      <c r="Y3061" t="s">
        <v>49</v>
      </c>
      <c r="Z3061" t="s">
        <v>81</v>
      </c>
      <c r="AA3061" t="s">
        <v>122</v>
      </c>
      <c r="AB3061">
        <v>12</v>
      </c>
      <c r="AC3061" t="s">
        <v>166</v>
      </c>
      <c r="AD3061" t="s">
        <v>84</v>
      </c>
      <c r="AE3061" t="s">
        <v>43</v>
      </c>
      <c r="AF3061" t="s">
        <v>44</v>
      </c>
      <c r="AG3061" t="str">
        <f t="shared" si="55"/>
        <v>Recorrente</v>
      </c>
      <c r="AH3061" t="str">
        <f t="shared" si="56"/>
        <v/>
      </c>
    </row>
    <row r="3062" spans="1:34">
      <c r="A3062">
        <v>2026</v>
      </c>
      <c r="B3062">
        <v>4</v>
      </c>
      <c r="C3062" s="83">
        <v>11200905829</v>
      </c>
      <c r="D3062" t="s">
        <v>2737</v>
      </c>
      <c r="E3062">
        <v>57555434090</v>
      </c>
      <c r="F3062">
        <v>613926</v>
      </c>
      <c r="G3062">
        <v>52850862456</v>
      </c>
      <c r="H3062" t="s">
        <v>35</v>
      </c>
      <c r="I3062" s="36">
        <v>5754</v>
      </c>
      <c r="J3062" s="36">
        <v>5754</v>
      </c>
      <c r="K3062" s="85">
        <v>0</v>
      </c>
      <c r="L3062" s="36">
        <v>479.5</v>
      </c>
      <c r="M3062" s="36">
        <v>0</v>
      </c>
      <c r="N3062" s="36">
        <v>26.5</v>
      </c>
      <c r="O3062" s="36">
        <v>453</v>
      </c>
      <c r="P3062" t="s">
        <v>165</v>
      </c>
      <c r="Q3062" t="s">
        <v>166</v>
      </c>
      <c r="R3062" t="s">
        <v>166</v>
      </c>
      <c r="S3062" s="1">
        <v>46131</v>
      </c>
      <c r="T3062" s="1">
        <v>46131</v>
      </c>
      <c r="U3062" s="1">
        <v>46131</v>
      </c>
      <c r="V3062" s="1">
        <v>46496</v>
      </c>
      <c r="W3062" t="s">
        <v>38</v>
      </c>
      <c r="X3062">
        <v>12</v>
      </c>
      <c r="Y3062" t="s">
        <v>49</v>
      </c>
      <c r="Z3062" t="s">
        <v>81</v>
      </c>
      <c r="AA3062" t="s">
        <v>122</v>
      </c>
      <c r="AB3062">
        <v>12</v>
      </c>
      <c r="AC3062" t="s">
        <v>166</v>
      </c>
      <c r="AD3062" t="s">
        <v>85</v>
      </c>
      <c r="AE3062" t="s">
        <v>46</v>
      </c>
      <c r="AF3062" t="s">
        <v>44</v>
      </c>
      <c r="AG3062" t="str">
        <f t="shared" si="55"/>
        <v>Recorrente</v>
      </c>
      <c r="AH3062" t="str">
        <f t="shared" si="56"/>
        <v/>
      </c>
    </row>
    <row r="3063" spans="1:34">
      <c r="A3063">
        <v>2026</v>
      </c>
      <c r="B3063">
        <v>4</v>
      </c>
      <c r="C3063" s="83">
        <v>112049494152</v>
      </c>
      <c r="D3063" t="s">
        <v>2738</v>
      </c>
      <c r="E3063">
        <v>56480894498</v>
      </c>
      <c r="F3063">
        <v>531883</v>
      </c>
      <c r="G3063">
        <v>51752093563</v>
      </c>
      <c r="H3063" t="s">
        <v>35</v>
      </c>
      <c r="I3063" s="36">
        <v>8394</v>
      </c>
      <c r="J3063" s="36">
        <v>8394</v>
      </c>
      <c r="K3063" s="85">
        <v>0</v>
      </c>
      <c r="L3063" s="36">
        <v>699.5</v>
      </c>
      <c r="M3063" s="36">
        <v>0</v>
      </c>
      <c r="N3063" s="36">
        <v>63.5</v>
      </c>
      <c r="O3063" s="36">
        <v>636</v>
      </c>
      <c r="P3063" t="s">
        <v>165</v>
      </c>
      <c r="Q3063" t="s">
        <v>166</v>
      </c>
      <c r="R3063" t="s">
        <v>166</v>
      </c>
      <c r="S3063" s="1">
        <v>46115</v>
      </c>
      <c r="T3063" s="1">
        <v>46115</v>
      </c>
      <c r="U3063" s="1">
        <v>46115</v>
      </c>
      <c r="V3063" s="1">
        <v>46480</v>
      </c>
      <c r="W3063" t="s">
        <v>38</v>
      </c>
      <c r="X3063">
        <v>12</v>
      </c>
      <c r="Y3063" t="s">
        <v>49</v>
      </c>
      <c r="Z3063" t="s">
        <v>81</v>
      </c>
      <c r="AA3063" t="s">
        <v>112</v>
      </c>
      <c r="AB3063">
        <v>12</v>
      </c>
      <c r="AC3063" t="s">
        <v>166</v>
      </c>
      <c r="AD3063" t="s">
        <v>94</v>
      </c>
      <c r="AE3063" t="s">
        <v>95</v>
      </c>
      <c r="AF3063" t="s">
        <v>96</v>
      </c>
      <c r="AG3063" t="str">
        <f t="shared" si="55"/>
        <v>CC 12x</v>
      </c>
      <c r="AH3063" t="str">
        <f t="shared" si="56"/>
        <v/>
      </c>
    </row>
    <row r="3064" spans="1:34">
      <c r="A3064">
        <v>2026</v>
      </c>
      <c r="B3064">
        <v>4</v>
      </c>
      <c r="C3064" s="83">
        <v>112052124214</v>
      </c>
      <c r="D3064" t="s">
        <v>2739</v>
      </c>
      <c r="E3064">
        <v>58907117607</v>
      </c>
      <c r="F3064">
        <v>313295</v>
      </c>
      <c r="G3064">
        <v>54118686277</v>
      </c>
      <c r="H3064" t="s">
        <v>35</v>
      </c>
      <c r="I3064" s="36">
        <v>7320</v>
      </c>
      <c r="J3064" s="36">
        <v>7320</v>
      </c>
      <c r="K3064" s="85">
        <v>0</v>
      </c>
      <c r="L3064" s="36">
        <v>610</v>
      </c>
      <c r="M3064" s="36">
        <v>0</v>
      </c>
      <c r="N3064" s="36">
        <v>36.25</v>
      </c>
      <c r="O3064" s="36">
        <v>573.75</v>
      </c>
      <c r="P3064" t="s">
        <v>127</v>
      </c>
      <c r="Q3064" t="s">
        <v>111</v>
      </c>
      <c r="R3064" t="s">
        <v>111</v>
      </c>
      <c r="S3064" s="1">
        <v>46121</v>
      </c>
      <c r="T3064" s="1">
        <v>46121</v>
      </c>
      <c r="U3064" s="1">
        <v>46125</v>
      </c>
      <c r="V3064" s="1">
        <v>46490</v>
      </c>
      <c r="W3064" t="s">
        <v>38</v>
      </c>
      <c r="X3064">
        <v>12</v>
      </c>
      <c r="Y3064" t="s">
        <v>49</v>
      </c>
      <c r="Z3064" t="s">
        <v>81</v>
      </c>
      <c r="AA3064" t="s">
        <v>112</v>
      </c>
      <c r="AB3064">
        <v>12</v>
      </c>
      <c r="AC3064" t="s">
        <v>113</v>
      </c>
      <c r="AD3064" t="s">
        <v>134</v>
      </c>
      <c r="AE3064" t="s">
        <v>135</v>
      </c>
      <c r="AF3064" t="s">
        <v>44</v>
      </c>
      <c r="AG3064" t="str">
        <f t="shared" si="55"/>
        <v>CC 12x</v>
      </c>
      <c r="AH3064" t="str">
        <f t="shared" si="56"/>
        <v/>
      </c>
    </row>
    <row r="3065" spans="1:34">
      <c r="A3065">
        <v>2026</v>
      </c>
      <c r="B3065">
        <v>4</v>
      </c>
      <c r="C3065" s="83">
        <v>112118156210</v>
      </c>
      <c r="D3065" t="s">
        <v>2740</v>
      </c>
      <c r="E3065">
        <v>56566392203</v>
      </c>
      <c r="F3065">
        <v>311125</v>
      </c>
      <c r="G3065">
        <v>51781040294</v>
      </c>
      <c r="H3065" t="s">
        <v>35</v>
      </c>
      <c r="I3065" s="36">
        <v>4027.8</v>
      </c>
      <c r="J3065" s="36">
        <v>4027.8</v>
      </c>
      <c r="K3065" s="85">
        <v>0</v>
      </c>
      <c r="L3065" s="36">
        <v>335.65</v>
      </c>
      <c r="M3065" s="36">
        <v>0</v>
      </c>
      <c r="N3065" s="36">
        <v>0</v>
      </c>
      <c r="O3065" s="36">
        <v>335.65</v>
      </c>
      <c r="P3065" t="s">
        <v>165</v>
      </c>
      <c r="Q3065" t="s">
        <v>166</v>
      </c>
      <c r="R3065" t="s">
        <v>166</v>
      </c>
      <c r="S3065" s="1">
        <v>46116</v>
      </c>
      <c r="T3065" s="1">
        <v>46116</v>
      </c>
      <c r="U3065" s="1">
        <v>46116</v>
      </c>
      <c r="V3065" s="1">
        <v>46481</v>
      </c>
      <c r="W3065" t="s">
        <v>38</v>
      </c>
      <c r="X3065">
        <v>12</v>
      </c>
      <c r="Y3065" t="s">
        <v>49</v>
      </c>
      <c r="Z3065" t="s">
        <v>81</v>
      </c>
      <c r="AA3065" t="s">
        <v>112</v>
      </c>
      <c r="AB3065">
        <v>12</v>
      </c>
      <c r="AC3065" t="s">
        <v>166</v>
      </c>
      <c r="AD3065" t="s">
        <v>85</v>
      </c>
      <c r="AE3065" t="s">
        <v>46</v>
      </c>
      <c r="AF3065" t="s">
        <v>44</v>
      </c>
      <c r="AG3065" t="str">
        <f t="shared" si="55"/>
        <v>CC 12x</v>
      </c>
      <c r="AH3065" t="str">
        <f t="shared" si="56"/>
        <v/>
      </c>
    </row>
    <row r="3066" spans="1:34">
      <c r="A3066">
        <v>2026</v>
      </c>
      <c r="B3066">
        <v>4</v>
      </c>
      <c r="C3066" s="83">
        <v>112124980480</v>
      </c>
      <c r="D3066" t="s">
        <v>2741</v>
      </c>
      <c r="E3066">
        <v>56826905684</v>
      </c>
      <c r="F3066">
        <v>610535</v>
      </c>
      <c r="G3066">
        <v>52055430282</v>
      </c>
      <c r="H3066" t="s">
        <v>35</v>
      </c>
      <c r="I3066" s="36">
        <v>2874</v>
      </c>
      <c r="J3066" s="36">
        <v>2874</v>
      </c>
      <c r="K3066" s="85">
        <v>0</v>
      </c>
      <c r="L3066" s="36">
        <v>239.5</v>
      </c>
      <c r="M3066" s="36">
        <v>0</v>
      </c>
      <c r="N3066" s="36">
        <v>36.35</v>
      </c>
      <c r="O3066" s="36">
        <v>203.15</v>
      </c>
      <c r="P3066" t="s">
        <v>165</v>
      </c>
      <c r="Q3066" t="s">
        <v>166</v>
      </c>
      <c r="R3066" t="s">
        <v>166</v>
      </c>
      <c r="S3066" s="1">
        <v>46120</v>
      </c>
      <c r="T3066" s="1">
        <v>46120</v>
      </c>
      <c r="U3066" s="1">
        <v>46120</v>
      </c>
      <c r="V3066" s="1">
        <v>46485</v>
      </c>
      <c r="W3066" t="s">
        <v>38</v>
      </c>
      <c r="X3066">
        <v>12</v>
      </c>
      <c r="Y3066" t="s">
        <v>49</v>
      </c>
      <c r="Z3066" t="s">
        <v>81</v>
      </c>
      <c r="AA3066" t="s">
        <v>122</v>
      </c>
      <c r="AB3066">
        <v>12</v>
      </c>
      <c r="AC3066" t="s">
        <v>166</v>
      </c>
      <c r="AD3066" t="s">
        <v>118</v>
      </c>
      <c r="AE3066" t="s">
        <v>43</v>
      </c>
      <c r="AF3066" t="s">
        <v>119</v>
      </c>
      <c r="AG3066" t="str">
        <f t="shared" si="55"/>
        <v>Recorrente</v>
      </c>
      <c r="AH3066" t="str">
        <f t="shared" si="56"/>
        <v/>
      </c>
    </row>
    <row r="3067" spans="1:34">
      <c r="A3067">
        <v>2026</v>
      </c>
      <c r="B3067">
        <v>4</v>
      </c>
      <c r="C3067" s="83">
        <v>112136513286</v>
      </c>
      <c r="D3067" t="s">
        <v>2742</v>
      </c>
      <c r="E3067">
        <v>56300631307</v>
      </c>
      <c r="F3067">
        <v>628193</v>
      </c>
      <c r="G3067">
        <v>51613993347</v>
      </c>
      <c r="H3067" t="s">
        <v>35</v>
      </c>
      <c r="I3067" s="36">
        <v>3666.6</v>
      </c>
      <c r="J3067" s="36">
        <v>3666.6</v>
      </c>
      <c r="K3067" s="85">
        <v>0</v>
      </c>
      <c r="L3067" s="36">
        <v>305.55</v>
      </c>
      <c r="M3067" s="36">
        <v>0</v>
      </c>
      <c r="N3067" s="36">
        <v>55.88</v>
      </c>
      <c r="O3067" s="36">
        <v>249.67</v>
      </c>
      <c r="P3067" t="s">
        <v>165</v>
      </c>
      <c r="Q3067" t="s">
        <v>166</v>
      </c>
      <c r="R3067" t="s">
        <v>166</v>
      </c>
      <c r="S3067" s="1">
        <v>46114</v>
      </c>
      <c r="T3067" s="1">
        <v>46114</v>
      </c>
      <c r="U3067" s="1">
        <v>46114</v>
      </c>
      <c r="V3067" s="1">
        <v>46479</v>
      </c>
      <c r="W3067" t="s">
        <v>38</v>
      </c>
      <c r="X3067">
        <v>12</v>
      </c>
      <c r="Y3067" t="s">
        <v>49</v>
      </c>
      <c r="Z3067" t="s">
        <v>81</v>
      </c>
      <c r="AA3067" t="s">
        <v>112</v>
      </c>
      <c r="AB3067">
        <v>12</v>
      </c>
      <c r="AC3067" t="s">
        <v>166</v>
      </c>
      <c r="AD3067" t="s">
        <v>160</v>
      </c>
      <c r="AE3067" t="s">
        <v>43</v>
      </c>
      <c r="AF3067" t="s">
        <v>44</v>
      </c>
      <c r="AG3067" t="str">
        <f t="shared" si="55"/>
        <v>CC 12x</v>
      </c>
      <c r="AH3067" t="str">
        <f t="shared" si="56"/>
        <v/>
      </c>
    </row>
    <row r="3068" spans="1:34">
      <c r="A3068">
        <v>2026</v>
      </c>
      <c r="B3068">
        <v>4</v>
      </c>
      <c r="C3068" s="83">
        <v>112344542112</v>
      </c>
      <c r="D3068" t="s">
        <v>2743</v>
      </c>
      <c r="E3068">
        <v>57907388215</v>
      </c>
      <c r="F3068">
        <v>628451</v>
      </c>
      <c r="G3068">
        <v>54038748489</v>
      </c>
      <c r="H3068" t="s">
        <v>35</v>
      </c>
      <c r="I3068" s="36">
        <v>12929.52</v>
      </c>
      <c r="J3068" s="36">
        <v>6464.76</v>
      </c>
      <c r="K3068" s="85">
        <v>6464.76</v>
      </c>
      <c r="L3068" s="36">
        <v>538.73</v>
      </c>
      <c r="M3068" s="36">
        <v>0</v>
      </c>
      <c r="N3068" s="36">
        <v>95.33</v>
      </c>
      <c r="O3068" s="36">
        <v>443.4</v>
      </c>
      <c r="P3068" t="s">
        <v>133</v>
      </c>
      <c r="Q3068" t="s">
        <v>111</v>
      </c>
      <c r="R3068" t="s">
        <v>111</v>
      </c>
      <c r="S3068" s="1">
        <v>46120</v>
      </c>
      <c r="T3068" s="1">
        <v>46120</v>
      </c>
      <c r="U3068" s="1">
        <v>46122</v>
      </c>
      <c r="V3068" s="1">
        <v>46853</v>
      </c>
      <c r="W3068" t="s">
        <v>56</v>
      </c>
      <c r="X3068">
        <v>24</v>
      </c>
      <c r="Y3068" t="s">
        <v>49</v>
      </c>
      <c r="Z3068" t="s">
        <v>81</v>
      </c>
      <c r="AA3068" t="s">
        <v>122</v>
      </c>
      <c r="AB3068">
        <v>24</v>
      </c>
      <c r="AC3068" t="s">
        <v>113</v>
      </c>
      <c r="AD3068" t="s">
        <v>134</v>
      </c>
      <c r="AE3068" t="s">
        <v>135</v>
      </c>
      <c r="AF3068" t="s">
        <v>44</v>
      </c>
      <c r="AG3068" t="str">
        <f t="shared" si="55"/>
        <v>Recorrente</v>
      </c>
      <c r="AH3068" t="str">
        <f t="shared" si="56"/>
        <v/>
      </c>
    </row>
    <row r="3069" spans="1:34">
      <c r="A3069">
        <v>2026</v>
      </c>
      <c r="B3069">
        <v>4</v>
      </c>
      <c r="C3069" s="83">
        <v>112383527681</v>
      </c>
      <c r="D3069" t="s">
        <v>2744</v>
      </c>
      <c r="E3069">
        <v>58896439102</v>
      </c>
      <c r="F3069">
        <v>613056</v>
      </c>
      <c r="G3069">
        <v>54118628132</v>
      </c>
      <c r="H3069" t="s">
        <v>35</v>
      </c>
      <c r="I3069" s="36">
        <v>2442.84</v>
      </c>
      <c r="J3069" s="36">
        <v>2442.84</v>
      </c>
      <c r="K3069" s="85">
        <v>0</v>
      </c>
      <c r="L3069" s="36">
        <v>203.57</v>
      </c>
      <c r="M3069" s="36">
        <v>0</v>
      </c>
      <c r="N3069" s="36">
        <v>12.375</v>
      </c>
      <c r="O3069" s="36">
        <v>191.2</v>
      </c>
      <c r="P3069" t="s">
        <v>121</v>
      </c>
      <c r="Q3069" t="s">
        <v>111</v>
      </c>
      <c r="R3069" t="s">
        <v>111</v>
      </c>
      <c r="S3069" s="1">
        <v>46120</v>
      </c>
      <c r="T3069" s="1">
        <v>46120</v>
      </c>
      <c r="U3069" s="1">
        <v>46120</v>
      </c>
      <c r="V3069" s="1">
        <v>46485</v>
      </c>
      <c r="W3069" t="s">
        <v>38</v>
      </c>
      <c r="X3069">
        <v>12</v>
      </c>
      <c r="Y3069" t="s">
        <v>49</v>
      </c>
      <c r="Z3069" t="s">
        <v>81</v>
      </c>
      <c r="AA3069" t="s">
        <v>117</v>
      </c>
      <c r="AB3069">
        <v>1</v>
      </c>
      <c r="AC3069" t="s">
        <v>113</v>
      </c>
      <c r="AD3069" t="s">
        <v>140</v>
      </c>
      <c r="AE3069" t="s">
        <v>46</v>
      </c>
      <c r="AF3069" t="s">
        <v>119</v>
      </c>
      <c r="AG3069" t="str">
        <f t="shared" si="55"/>
        <v>À Vista</v>
      </c>
      <c r="AH3069" t="str">
        <f t="shared" si="56"/>
        <v/>
      </c>
    </row>
    <row r="3070" spans="1:34">
      <c r="A3070">
        <v>2026</v>
      </c>
      <c r="B3070">
        <v>4</v>
      </c>
      <c r="C3070" s="83">
        <v>112383789907</v>
      </c>
      <c r="D3070" t="s">
        <v>2745</v>
      </c>
      <c r="E3070">
        <v>56850567276</v>
      </c>
      <c r="F3070">
        <v>628394</v>
      </c>
      <c r="G3070">
        <v>52304612232</v>
      </c>
      <c r="H3070" t="s">
        <v>35</v>
      </c>
      <c r="I3070" s="36">
        <v>2874</v>
      </c>
      <c r="J3070" s="36">
        <v>2874</v>
      </c>
      <c r="K3070" s="85">
        <v>0</v>
      </c>
      <c r="L3070" s="36">
        <v>239.5</v>
      </c>
      <c r="M3070" s="36">
        <v>0</v>
      </c>
      <c r="N3070" s="36">
        <v>36.35</v>
      </c>
      <c r="O3070" s="36">
        <v>203.15</v>
      </c>
      <c r="P3070" t="s">
        <v>165</v>
      </c>
      <c r="Q3070" t="s">
        <v>166</v>
      </c>
      <c r="R3070" t="s">
        <v>166</v>
      </c>
      <c r="S3070" s="1">
        <v>46121</v>
      </c>
      <c r="T3070" s="1">
        <v>46121</v>
      </c>
      <c r="U3070" s="1">
        <v>46121</v>
      </c>
      <c r="V3070" s="1">
        <v>46486</v>
      </c>
      <c r="W3070" t="s">
        <v>38</v>
      </c>
      <c r="X3070">
        <v>12</v>
      </c>
      <c r="Y3070" t="s">
        <v>49</v>
      </c>
      <c r="Z3070" t="s">
        <v>81</v>
      </c>
      <c r="AA3070" t="s">
        <v>112</v>
      </c>
      <c r="AB3070">
        <v>12</v>
      </c>
      <c r="AC3070" t="s">
        <v>166</v>
      </c>
      <c r="AD3070" t="s">
        <v>140</v>
      </c>
      <c r="AE3070" t="s">
        <v>46</v>
      </c>
      <c r="AF3070" t="s">
        <v>119</v>
      </c>
      <c r="AG3070" t="str">
        <f t="shared" si="55"/>
        <v>CC 12x</v>
      </c>
      <c r="AH3070" t="str">
        <f t="shared" si="56"/>
        <v/>
      </c>
    </row>
    <row r="3071" spans="1:34">
      <c r="A3071">
        <v>2026</v>
      </c>
      <c r="B3071">
        <v>4</v>
      </c>
      <c r="C3071" s="83">
        <v>112396114531</v>
      </c>
      <c r="D3071" t="s">
        <v>2746</v>
      </c>
      <c r="E3071">
        <v>56749792319</v>
      </c>
      <c r="F3071">
        <v>628287</v>
      </c>
      <c r="G3071">
        <v>52062175008</v>
      </c>
      <c r="H3071" t="s">
        <v>35</v>
      </c>
      <c r="I3071" s="36">
        <v>5034</v>
      </c>
      <c r="J3071" s="36">
        <v>5034</v>
      </c>
      <c r="K3071" s="85">
        <v>0</v>
      </c>
      <c r="L3071" s="36">
        <v>419.5</v>
      </c>
      <c r="M3071" s="36">
        <v>0</v>
      </c>
      <c r="N3071" s="36">
        <v>71.2</v>
      </c>
      <c r="O3071" s="36">
        <v>348.3</v>
      </c>
      <c r="P3071" t="s">
        <v>165</v>
      </c>
      <c r="Q3071" t="s">
        <v>166</v>
      </c>
      <c r="R3071" t="s">
        <v>166</v>
      </c>
      <c r="S3071" s="1">
        <v>46119</v>
      </c>
      <c r="T3071" s="1">
        <v>46119</v>
      </c>
      <c r="U3071" s="1">
        <v>46119</v>
      </c>
      <c r="V3071" s="1">
        <v>46484</v>
      </c>
      <c r="W3071" t="s">
        <v>38</v>
      </c>
      <c r="X3071">
        <v>12</v>
      </c>
      <c r="Y3071" t="s">
        <v>49</v>
      </c>
      <c r="Z3071" t="s">
        <v>81</v>
      </c>
      <c r="AA3071" t="s">
        <v>112</v>
      </c>
      <c r="AB3071">
        <v>12</v>
      </c>
      <c r="AC3071" t="s">
        <v>166</v>
      </c>
      <c r="AD3071" t="s">
        <v>84</v>
      </c>
      <c r="AE3071" t="s">
        <v>43</v>
      </c>
      <c r="AF3071" t="s">
        <v>44</v>
      </c>
      <c r="AG3071" t="str">
        <f t="shared" si="55"/>
        <v>CC 12x</v>
      </c>
      <c r="AH3071" t="str">
        <f t="shared" si="56"/>
        <v/>
      </c>
    </row>
    <row r="3072" spans="1:34">
      <c r="A3072">
        <v>2026</v>
      </c>
      <c r="B3072">
        <v>4</v>
      </c>
      <c r="C3072" s="83">
        <v>112402922544</v>
      </c>
      <c r="D3072" t="s">
        <v>2747</v>
      </c>
      <c r="E3072">
        <v>58966568797</v>
      </c>
      <c r="F3072">
        <v>628389</v>
      </c>
      <c r="G3072">
        <v>54270344015</v>
      </c>
      <c r="H3072" t="s">
        <v>35</v>
      </c>
      <c r="I3072" s="36">
        <v>2457.2399999999998</v>
      </c>
      <c r="J3072" s="36">
        <v>2457.2399999999998</v>
      </c>
      <c r="K3072" s="85">
        <v>0</v>
      </c>
      <c r="L3072" s="36">
        <v>204.77</v>
      </c>
      <c r="M3072" s="36">
        <v>0</v>
      </c>
      <c r="N3072" s="36">
        <v>1.6225000000000001</v>
      </c>
      <c r="O3072" s="36">
        <v>203.15</v>
      </c>
      <c r="P3072" t="s">
        <v>137</v>
      </c>
      <c r="Q3072" t="s">
        <v>111</v>
      </c>
      <c r="R3072" t="s">
        <v>111</v>
      </c>
      <c r="S3072" s="1">
        <v>46129</v>
      </c>
      <c r="T3072" s="1">
        <v>46129</v>
      </c>
      <c r="U3072" s="1">
        <v>46121</v>
      </c>
      <c r="V3072" s="1">
        <v>46494</v>
      </c>
      <c r="W3072" t="s">
        <v>38</v>
      </c>
      <c r="X3072">
        <v>12</v>
      </c>
      <c r="Y3072" t="s">
        <v>49</v>
      </c>
      <c r="Z3072" t="s">
        <v>81</v>
      </c>
      <c r="AA3072" t="s">
        <v>122</v>
      </c>
      <c r="AB3072">
        <v>12</v>
      </c>
      <c r="AC3072" t="s">
        <v>113</v>
      </c>
      <c r="AD3072" t="s">
        <v>118</v>
      </c>
      <c r="AE3072" t="s">
        <v>43</v>
      </c>
      <c r="AF3072" t="s">
        <v>119</v>
      </c>
      <c r="AG3072" t="str">
        <f t="shared" si="55"/>
        <v>Recorrente</v>
      </c>
      <c r="AH3072" t="str">
        <f t="shared" si="56"/>
        <v/>
      </c>
    </row>
    <row r="3073" spans="1:34">
      <c r="A3073">
        <v>2026</v>
      </c>
      <c r="B3073">
        <v>4</v>
      </c>
      <c r="C3073" s="83">
        <v>112404125058</v>
      </c>
      <c r="D3073" t="s">
        <v>2748</v>
      </c>
      <c r="E3073">
        <v>58951244310</v>
      </c>
      <c r="F3073">
        <v>628350</v>
      </c>
      <c r="G3073">
        <v>54422320784</v>
      </c>
      <c r="H3073" t="s">
        <v>35</v>
      </c>
      <c r="I3073" s="36">
        <v>5612.4</v>
      </c>
      <c r="J3073" s="36">
        <v>5612.4</v>
      </c>
      <c r="K3073" s="85">
        <v>0</v>
      </c>
      <c r="L3073" s="36">
        <v>467.7</v>
      </c>
      <c r="M3073" s="36">
        <v>0</v>
      </c>
      <c r="N3073" s="36">
        <v>98.2</v>
      </c>
      <c r="O3073" s="36">
        <v>369.5</v>
      </c>
      <c r="P3073" t="s">
        <v>127</v>
      </c>
      <c r="Q3073" t="s">
        <v>111</v>
      </c>
      <c r="R3073" t="s">
        <v>111</v>
      </c>
      <c r="S3073" s="1">
        <v>46132</v>
      </c>
      <c r="T3073" s="1">
        <v>46132</v>
      </c>
      <c r="U3073" s="1">
        <v>46120</v>
      </c>
      <c r="V3073" s="1">
        <v>46497</v>
      </c>
      <c r="W3073" t="s">
        <v>38</v>
      </c>
      <c r="X3073">
        <v>12</v>
      </c>
      <c r="Y3073" t="s">
        <v>49</v>
      </c>
      <c r="Z3073" t="s">
        <v>81</v>
      </c>
      <c r="AA3073" t="s">
        <v>117</v>
      </c>
      <c r="AB3073">
        <v>1</v>
      </c>
      <c r="AC3073" t="s">
        <v>113</v>
      </c>
      <c r="AD3073" t="s">
        <v>134</v>
      </c>
      <c r="AE3073" t="s">
        <v>135</v>
      </c>
      <c r="AF3073" t="s">
        <v>44</v>
      </c>
      <c r="AG3073" t="str">
        <f t="shared" ref="AG3073:AG3136" si="57">IF(IFERROR(SEARCH("Recorrente",AA3073),0)&gt;0,"Recorrente",IF(AB3073=1,"À Vista",IF(AB3073&lt;=3,"CC 3x",IF(AB3073&lt;=12,"CC 12x",IF(AB3073&gt;12,"Recorrente","")))))</f>
        <v>À Vista</v>
      </c>
      <c r="AH3073" t="str">
        <f t="shared" ref="AH3073:AH3136" si="58">IF(AND(SUMIF(E:E,E3073,I:I)&gt;=400000,Q3073="B2G"),"n","")</f>
        <v/>
      </c>
    </row>
    <row r="3074" spans="1:34">
      <c r="A3074">
        <v>2026</v>
      </c>
      <c r="B3074">
        <v>4</v>
      </c>
      <c r="C3074" s="83">
        <v>112444337291</v>
      </c>
      <c r="D3074" t="s">
        <v>2749</v>
      </c>
      <c r="E3074">
        <v>58855299842</v>
      </c>
      <c r="F3074">
        <v>278355</v>
      </c>
      <c r="G3074">
        <v>54271713453</v>
      </c>
      <c r="H3074" t="s">
        <v>35</v>
      </c>
      <c r="I3074" s="36">
        <v>7199.28</v>
      </c>
      <c r="J3074" s="36">
        <v>3599.64</v>
      </c>
      <c r="K3074" s="85">
        <v>3599.64</v>
      </c>
      <c r="L3074" s="36">
        <v>299.97000000000003</v>
      </c>
      <c r="M3074" s="36">
        <v>0</v>
      </c>
      <c r="N3074" s="36">
        <v>0</v>
      </c>
      <c r="O3074" s="36">
        <v>299.96709499999997</v>
      </c>
      <c r="P3074" t="s">
        <v>116</v>
      </c>
      <c r="Q3074" t="s">
        <v>111</v>
      </c>
      <c r="R3074" t="s">
        <v>111</v>
      </c>
      <c r="S3074" s="1">
        <v>46127</v>
      </c>
      <c r="T3074" s="1">
        <v>46127</v>
      </c>
      <c r="U3074" s="1">
        <v>46117</v>
      </c>
      <c r="V3074" s="1">
        <v>46858</v>
      </c>
      <c r="W3074" t="s">
        <v>56</v>
      </c>
      <c r="X3074">
        <v>24</v>
      </c>
      <c r="Y3074" t="s">
        <v>49</v>
      </c>
      <c r="Z3074" t="s">
        <v>76</v>
      </c>
      <c r="AA3074" t="s">
        <v>117</v>
      </c>
      <c r="AB3074">
        <v>1</v>
      </c>
      <c r="AC3074" t="s">
        <v>113</v>
      </c>
      <c r="AD3074" t="s">
        <v>163</v>
      </c>
      <c r="AE3074" t="s">
        <v>43</v>
      </c>
      <c r="AF3074" t="s">
        <v>96</v>
      </c>
      <c r="AG3074" t="str">
        <f t="shared" si="57"/>
        <v>À Vista</v>
      </c>
      <c r="AH3074" t="str">
        <f t="shared" si="58"/>
        <v/>
      </c>
    </row>
    <row r="3075" spans="1:34">
      <c r="A3075">
        <v>2026</v>
      </c>
      <c r="B3075">
        <v>4</v>
      </c>
      <c r="C3075" s="83">
        <v>112687284581</v>
      </c>
      <c r="D3075" t="s">
        <v>942</v>
      </c>
      <c r="E3075">
        <v>57495471140</v>
      </c>
      <c r="F3075">
        <v>328832</v>
      </c>
      <c r="G3075">
        <v>52743555238</v>
      </c>
      <c r="H3075" t="s">
        <v>35</v>
      </c>
      <c r="I3075" s="36">
        <v>10795.44</v>
      </c>
      <c r="J3075" s="36">
        <v>10795.44</v>
      </c>
      <c r="K3075" s="85">
        <v>0</v>
      </c>
      <c r="L3075" s="36">
        <v>899.62</v>
      </c>
      <c r="M3075" s="36">
        <v>0</v>
      </c>
      <c r="N3075" s="36">
        <v>153.245</v>
      </c>
      <c r="O3075" s="36">
        <v>746.38</v>
      </c>
      <c r="P3075" t="s">
        <v>165</v>
      </c>
      <c r="Q3075" t="s">
        <v>166</v>
      </c>
      <c r="R3075" t="s">
        <v>166</v>
      </c>
      <c r="S3075" s="1">
        <v>46126</v>
      </c>
      <c r="T3075" s="1">
        <v>46126</v>
      </c>
      <c r="U3075" s="1">
        <v>46126</v>
      </c>
      <c r="V3075" s="1">
        <v>46491</v>
      </c>
      <c r="W3075" t="s">
        <v>38</v>
      </c>
      <c r="X3075">
        <v>12</v>
      </c>
      <c r="Y3075" t="s">
        <v>49</v>
      </c>
      <c r="Z3075" t="s">
        <v>81</v>
      </c>
      <c r="AA3075" t="s">
        <v>122</v>
      </c>
      <c r="AB3075">
        <v>12</v>
      </c>
      <c r="AC3075" t="s">
        <v>166</v>
      </c>
      <c r="AD3075" t="s">
        <v>154</v>
      </c>
      <c r="AE3075" t="s">
        <v>46</v>
      </c>
      <c r="AF3075" t="s">
        <v>47</v>
      </c>
      <c r="AG3075" t="str">
        <f t="shared" si="57"/>
        <v>Recorrente</v>
      </c>
      <c r="AH3075" t="str">
        <f t="shared" si="58"/>
        <v/>
      </c>
    </row>
    <row r="3076" spans="1:34">
      <c r="A3076">
        <v>2026</v>
      </c>
      <c r="B3076">
        <v>4</v>
      </c>
      <c r="C3076" s="83">
        <v>112742220471</v>
      </c>
      <c r="D3076" t="s">
        <v>2750</v>
      </c>
      <c r="E3076">
        <v>58938967127</v>
      </c>
      <c r="F3076">
        <v>628551</v>
      </c>
      <c r="G3076">
        <v>54079634575</v>
      </c>
      <c r="H3076" t="s">
        <v>35</v>
      </c>
      <c r="I3076" s="36">
        <v>9627.36</v>
      </c>
      <c r="J3076" s="36">
        <v>4813.68</v>
      </c>
      <c r="K3076" s="85">
        <v>4813.68</v>
      </c>
      <c r="L3076" s="36">
        <v>401.14</v>
      </c>
      <c r="M3076" s="36">
        <v>0</v>
      </c>
      <c r="N3076" s="36">
        <v>226.67349999999999</v>
      </c>
      <c r="O3076" s="36">
        <v>174.47</v>
      </c>
      <c r="P3076" t="s">
        <v>367</v>
      </c>
      <c r="Q3076" t="s">
        <v>191</v>
      </c>
      <c r="R3076" t="s">
        <v>191</v>
      </c>
      <c r="S3076" s="1">
        <v>46120</v>
      </c>
      <c r="T3076" s="1">
        <v>46120</v>
      </c>
      <c r="U3076" s="1">
        <v>46123</v>
      </c>
      <c r="V3076" s="1">
        <v>46854</v>
      </c>
      <c r="W3076" t="s">
        <v>56</v>
      </c>
      <c r="X3076">
        <v>24</v>
      </c>
      <c r="Y3076" t="s">
        <v>49</v>
      </c>
      <c r="Z3076" t="s">
        <v>76</v>
      </c>
      <c r="AA3076" t="s">
        <v>122</v>
      </c>
      <c r="AB3076">
        <v>24</v>
      </c>
      <c r="AC3076" t="s">
        <v>192</v>
      </c>
      <c r="AD3076" t="s">
        <v>138</v>
      </c>
      <c r="AE3076" t="s">
        <v>135</v>
      </c>
      <c r="AF3076" t="s">
        <v>119</v>
      </c>
      <c r="AG3076" t="str">
        <f t="shared" si="57"/>
        <v>Recorrente</v>
      </c>
      <c r="AH3076" t="str">
        <f t="shared" si="58"/>
        <v/>
      </c>
    </row>
    <row r="3077" spans="1:34">
      <c r="A3077">
        <v>2026</v>
      </c>
      <c r="B3077">
        <v>4</v>
      </c>
      <c r="C3077" s="83">
        <v>112966022800</v>
      </c>
      <c r="D3077" t="s">
        <v>2751</v>
      </c>
      <c r="E3077">
        <v>59376247205</v>
      </c>
      <c r="F3077">
        <v>637536</v>
      </c>
      <c r="G3077">
        <v>54945932698</v>
      </c>
      <c r="H3077" t="s">
        <v>35</v>
      </c>
      <c r="I3077" s="36">
        <v>2586.6</v>
      </c>
      <c r="J3077" s="36">
        <v>2586.6</v>
      </c>
      <c r="K3077" s="85">
        <v>0</v>
      </c>
      <c r="L3077" s="36">
        <v>215.55</v>
      </c>
      <c r="M3077" s="36">
        <v>215.55</v>
      </c>
      <c r="N3077" s="36">
        <v>0</v>
      </c>
      <c r="O3077" s="36">
        <v>0</v>
      </c>
      <c r="P3077" t="s">
        <v>511</v>
      </c>
      <c r="Q3077" t="s">
        <v>300</v>
      </c>
      <c r="R3077" t="s">
        <v>300</v>
      </c>
      <c r="S3077" s="1">
        <v>46142</v>
      </c>
      <c r="T3077" s="1">
        <v>46142</v>
      </c>
      <c r="V3077" s="1">
        <v>46507</v>
      </c>
      <c r="W3077" t="s">
        <v>38</v>
      </c>
      <c r="X3077">
        <v>12</v>
      </c>
      <c r="Y3077" t="s">
        <v>49</v>
      </c>
      <c r="AA3077" t="s">
        <v>112</v>
      </c>
      <c r="AB3077">
        <v>12</v>
      </c>
      <c r="AC3077" t="s">
        <v>301</v>
      </c>
      <c r="AD3077" t="s">
        <v>140</v>
      </c>
      <c r="AE3077" t="s">
        <v>46</v>
      </c>
      <c r="AF3077" t="s">
        <v>119</v>
      </c>
      <c r="AG3077" t="str">
        <f t="shared" si="57"/>
        <v>CC 12x</v>
      </c>
      <c r="AH3077" t="str">
        <f t="shared" si="58"/>
        <v/>
      </c>
    </row>
    <row r="3078" spans="1:34">
      <c r="A3078">
        <v>2026</v>
      </c>
      <c r="B3078">
        <v>4</v>
      </c>
      <c r="C3078" s="83">
        <v>113019420031</v>
      </c>
      <c r="D3078" t="s">
        <v>2752</v>
      </c>
      <c r="E3078">
        <v>56917523490</v>
      </c>
      <c r="F3078">
        <v>628500</v>
      </c>
      <c r="G3078">
        <v>52212193406</v>
      </c>
      <c r="H3078" t="s">
        <v>35</v>
      </c>
      <c r="I3078" s="36">
        <v>4962.6000000000004</v>
      </c>
      <c r="J3078" s="36">
        <v>4962.6000000000004</v>
      </c>
      <c r="K3078" s="85">
        <v>0</v>
      </c>
      <c r="L3078" s="36">
        <v>413.55</v>
      </c>
      <c r="M3078" s="36">
        <v>0</v>
      </c>
      <c r="N3078" s="36">
        <v>70.349999999999994</v>
      </c>
      <c r="O3078" s="36">
        <v>343.2</v>
      </c>
      <c r="P3078" t="s">
        <v>165</v>
      </c>
      <c r="Q3078" t="s">
        <v>166</v>
      </c>
      <c r="R3078" t="s">
        <v>166</v>
      </c>
      <c r="S3078" s="1">
        <v>46122</v>
      </c>
      <c r="T3078" s="1">
        <v>46122</v>
      </c>
      <c r="U3078" s="1">
        <v>46122</v>
      </c>
      <c r="V3078" s="1">
        <v>46487</v>
      </c>
      <c r="W3078" t="s">
        <v>38</v>
      </c>
      <c r="X3078">
        <v>12</v>
      </c>
      <c r="Y3078" t="s">
        <v>49</v>
      </c>
      <c r="Z3078" t="s">
        <v>81</v>
      </c>
      <c r="AA3078" t="s">
        <v>112</v>
      </c>
      <c r="AB3078">
        <v>12</v>
      </c>
      <c r="AC3078" t="s">
        <v>166</v>
      </c>
      <c r="AD3078" t="s">
        <v>138</v>
      </c>
      <c r="AE3078" t="s">
        <v>135</v>
      </c>
      <c r="AF3078" t="s">
        <v>119</v>
      </c>
      <c r="AG3078" t="str">
        <f t="shared" si="57"/>
        <v>CC 12x</v>
      </c>
      <c r="AH3078" t="str">
        <f t="shared" si="58"/>
        <v/>
      </c>
    </row>
    <row r="3079" spans="1:34">
      <c r="A3079">
        <v>2026</v>
      </c>
      <c r="B3079">
        <v>4</v>
      </c>
      <c r="C3079" s="83">
        <v>113189120567</v>
      </c>
      <c r="D3079" t="s">
        <v>2753</v>
      </c>
      <c r="E3079">
        <v>59245520241</v>
      </c>
      <c r="F3079">
        <v>613248</v>
      </c>
      <c r="G3079">
        <v>54295331354</v>
      </c>
      <c r="H3079" t="s">
        <v>35</v>
      </c>
      <c r="I3079" s="36">
        <v>5083.2</v>
      </c>
      <c r="J3079" s="36">
        <v>5083.2</v>
      </c>
      <c r="K3079" s="85">
        <v>0</v>
      </c>
      <c r="L3079" s="36">
        <v>423.6</v>
      </c>
      <c r="M3079" s="36">
        <v>0</v>
      </c>
      <c r="N3079" s="36">
        <v>20.65</v>
      </c>
      <c r="O3079" s="36">
        <v>402.95</v>
      </c>
      <c r="P3079" t="s">
        <v>133</v>
      </c>
      <c r="Q3079" t="s">
        <v>111</v>
      </c>
      <c r="R3079" t="s">
        <v>111</v>
      </c>
      <c r="S3079" s="1">
        <v>46128</v>
      </c>
      <c r="T3079" s="1">
        <v>46128</v>
      </c>
      <c r="U3079" s="1">
        <v>46127</v>
      </c>
      <c r="V3079" s="1">
        <v>46493</v>
      </c>
      <c r="W3079" t="s">
        <v>38</v>
      </c>
      <c r="X3079">
        <v>12</v>
      </c>
      <c r="Y3079" t="s">
        <v>49</v>
      </c>
      <c r="Z3079" t="s">
        <v>81</v>
      </c>
      <c r="AA3079" t="s">
        <v>112</v>
      </c>
      <c r="AB3079">
        <v>12</v>
      </c>
      <c r="AC3079" t="s">
        <v>113</v>
      </c>
      <c r="AD3079" t="s">
        <v>158</v>
      </c>
      <c r="AE3079" t="s">
        <v>43</v>
      </c>
      <c r="AF3079" t="s">
        <v>47</v>
      </c>
      <c r="AG3079" t="str">
        <f t="shared" si="57"/>
        <v>CC 12x</v>
      </c>
      <c r="AH3079" t="str">
        <f t="shared" si="58"/>
        <v/>
      </c>
    </row>
    <row r="3080" spans="1:34">
      <c r="A3080">
        <v>2026</v>
      </c>
      <c r="B3080">
        <v>4</v>
      </c>
      <c r="C3080" s="83">
        <v>113198377511</v>
      </c>
      <c r="D3080" t="s">
        <v>2754</v>
      </c>
      <c r="E3080">
        <v>56947553458</v>
      </c>
      <c r="F3080">
        <v>628507</v>
      </c>
      <c r="G3080">
        <v>52209413188</v>
      </c>
      <c r="H3080" t="s">
        <v>35</v>
      </c>
      <c r="I3080" s="36">
        <v>2874</v>
      </c>
      <c r="J3080" s="36">
        <v>2874</v>
      </c>
      <c r="K3080" s="85">
        <v>0</v>
      </c>
      <c r="L3080" s="36">
        <v>239.5</v>
      </c>
      <c r="M3080" s="36">
        <v>0</v>
      </c>
      <c r="N3080" s="36">
        <v>0.5</v>
      </c>
      <c r="O3080" s="36">
        <v>239</v>
      </c>
      <c r="P3080" t="s">
        <v>165</v>
      </c>
      <c r="Q3080" t="s">
        <v>166</v>
      </c>
      <c r="R3080" t="s">
        <v>166</v>
      </c>
      <c r="S3080" s="1">
        <v>46122</v>
      </c>
      <c r="T3080" s="1">
        <v>46122</v>
      </c>
      <c r="U3080" s="1">
        <v>46122</v>
      </c>
      <c r="V3080" s="1">
        <v>46487</v>
      </c>
      <c r="W3080" t="s">
        <v>38</v>
      </c>
      <c r="X3080">
        <v>12</v>
      </c>
      <c r="Y3080" t="s">
        <v>49</v>
      </c>
      <c r="Z3080" t="s">
        <v>81</v>
      </c>
      <c r="AA3080" t="s">
        <v>112</v>
      </c>
      <c r="AB3080">
        <v>12</v>
      </c>
      <c r="AC3080" t="s">
        <v>166</v>
      </c>
      <c r="AD3080" t="s">
        <v>140</v>
      </c>
      <c r="AE3080" t="s">
        <v>46</v>
      </c>
      <c r="AF3080" t="s">
        <v>119</v>
      </c>
      <c r="AG3080" t="str">
        <f t="shared" si="57"/>
        <v>CC 12x</v>
      </c>
      <c r="AH3080" t="str">
        <f t="shared" si="58"/>
        <v/>
      </c>
    </row>
    <row r="3081" spans="1:34">
      <c r="A3081">
        <v>2026</v>
      </c>
      <c r="B3081">
        <v>4</v>
      </c>
      <c r="C3081" s="83">
        <v>113217329279</v>
      </c>
      <c r="D3081" t="s">
        <v>2755</v>
      </c>
      <c r="E3081">
        <v>58015886478</v>
      </c>
      <c r="F3081">
        <v>614515</v>
      </c>
      <c r="G3081">
        <v>53226803229</v>
      </c>
      <c r="H3081" t="s">
        <v>35</v>
      </c>
      <c r="I3081" s="36">
        <v>2874</v>
      </c>
      <c r="J3081" s="36">
        <v>2874</v>
      </c>
      <c r="K3081" s="85">
        <v>0</v>
      </c>
      <c r="L3081" s="36">
        <v>239.5</v>
      </c>
      <c r="M3081" s="36">
        <v>0</v>
      </c>
      <c r="N3081" s="36">
        <v>36.35</v>
      </c>
      <c r="O3081" s="36">
        <v>203.15</v>
      </c>
      <c r="P3081" t="s">
        <v>165</v>
      </c>
      <c r="Q3081" t="s">
        <v>166</v>
      </c>
      <c r="R3081" t="s">
        <v>166</v>
      </c>
      <c r="S3081" s="1">
        <v>46139</v>
      </c>
      <c r="T3081" s="1">
        <v>46139</v>
      </c>
      <c r="U3081" s="1">
        <v>46142</v>
      </c>
      <c r="V3081" s="1">
        <v>46507</v>
      </c>
      <c r="W3081" t="s">
        <v>38</v>
      </c>
      <c r="X3081">
        <v>12</v>
      </c>
      <c r="Y3081" t="s">
        <v>49</v>
      </c>
      <c r="Z3081" t="s">
        <v>81</v>
      </c>
      <c r="AA3081" t="s">
        <v>122</v>
      </c>
      <c r="AB3081">
        <v>12</v>
      </c>
      <c r="AC3081" t="s">
        <v>166</v>
      </c>
      <c r="AD3081" t="s">
        <v>118</v>
      </c>
      <c r="AE3081" t="s">
        <v>43</v>
      </c>
      <c r="AF3081" t="s">
        <v>119</v>
      </c>
      <c r="AG3081" t="str">
        <f t="shared" si="57"/>
        <v>Recorrente</v>
      </c>
      <c r="AH3081" t="str">
        <f t="shared" si="58"/>
        <v/>
      </c>
    </row>
    <row r="3082" spans="1:34">
      <c r="A3082">
        <v>2026</v>
      </c>
      <c r="B3082">
        <v>4</v>
      </c>
      <c r="C3082" s="83">
        <v>113217338274</v>
      </c>
      <c r="D3082" t="s">
        <v>2756</v>
      </c>
      <c r="E3082">
        <v>59843757872</v>
      </c>
      <c r="F3082">
        <v>637486</v>
      </c>
      <c r="G3082">
        <v>54928434531</v>
      </c>
      <c r="H3082" t="s">
        <v>104</v>
      </c>
      <c r="I3082" s="36">
        <v>718.8</v>
      </c>
      <c r="J3082" s="36">
        <v>718.8</v>
      </c>
      <c r="K3082" s="85">
        <v>0</v>
      </c>
      <c r="L3082" s="36">
        <v>59.9</v>
      </c>
      <c r="M3082" s="36">
        <v>59.9</v>
      </c>
      <c r="N3082" s="36">
        <v>0</v>
      </c>
      <c r="O3082" s="36">
        <v>0</v>
      </c>
      <c r="P3082" t="s">
        <v>497</v>
      </c>
      <c r="Q3082" t="s">
        <v>498</v>
      </c>
      <c r="R3082" t="s">
        <v>498</v>
      </c>
      <c r="S3082" s="1">
        <v>46141</v>
      </c>
      <c r="T3082" s="1">
        <v>46141</v>
      </c>
      <c r="V3082" s="1">
        <v>46506</v>
      </c>
      <c r="W3082" t="s">
        <v>38</v>
      </c>
      <c r="X3082">
        <v>12</v>
      </c>
      <c r="Y3082" t="s">
        <v>49</v>
      </c>
      <c r="AA3082" t="s">
        <v>112</v>
      </c>
      <c r="AB3082">
        <v>12</v>
      </c>
      <c r="AC3082" t="s">
        <v>499</v>
      </c>
      <c r="AD3082" t="s">
        <v>105</v>
      </c>
      <c r="AE3082" t="s">
        <v>106</v>
      </c>
      <c r="AF3082" t="s">
        <v>59</v>
      </c>
      <c r="AG3082" t="str">
        <f t="shared" si="57"/>
        <v>CC 12x</v>
      </c>
      <c r="AH3082" t="str">
        <f t="shared" si="58"/>
        <v/>
      </c>
    </row>
    <row r="3083" spans="1:34">
      <c r="A3083">
        <v>2026</v>
      </c>
      <c r="B3083">
        <v>4</v>
      </c>
      <c r="C3083" s="83">
        <v>113894920807</v>
      </c>
      <c r="D3083" t="s">
        <v>943</v>
      </c>
      <c r="E3083">
        <v>58864856330</v>
      </c>
      <c r="F3083">
        <v>613584</v>
      </c>
      <c r="G3083">
        <v>54463043616</v>
      </c>
      <c r="H3083" t="s">
        <v>35</v>
      </c>
      <c r="I3083" s="36">
        <v>3462.84</v>
      </c>
      <c r="J3083" s="36">
        <v>3462.84</v>
      </c>
      <c r="K3083" s="85">
        <v>0</v>
      </c>
      <c r="L3083" s="36">
        <v>288.57</v>
      </c>
      <c r="M3083" s="36">
        <v>0</v>
      </c>
      <c r="N3083" s="36">
        <v>0</v>
      </c>
      <c r="O3083" s="36">
        <v>288.57499999999999</v>
      </c>
      <c r="P3083" t="s">
        <v>121</v>
      </c>
      <c r="Q3083" t="s">
        <v>111</v>
      </c>
      <c r="R3083" t="s">
        <v>111</v>
      </c>
      <c r="S3083" s="1">
        <v>46132</v>
      </c>
      <c r="T3083" s="1">
        <v>46132</v>
      </c>
      <c r="U3083" s="1">
        <v>46131</v>
      </c>
      <c r="V3083" s="1">
        <v>46497</v>
      </c>
      <c r="W3083" t="s">
        <v>38</v>
      </c>
      <c r="X3083">
        <v>12</v>
      </c>
      <c r="Y3083" t="s">
        <v>49</v>
      </c>
      <c r="Z3083" t="s">
        <v>76</v>
      </c>
      <c r="AA3083" t="s">
        <v>112</v>
      </c>
      <c r="AB3083">
        <v>12</v>
      </c>
      <c r="AC3083" t="s">
        <v>113</v>
      </c>
      <c r="AD3083" t="s">
        <v>160</v>
      </c>
      <c r="AE3083" t="s">
        <v>43</v>
      </c>
      <c r="AF3083" t="s">
        <v>44</v>
      </c>
      <c r="AG3083" t="str">
        <f t="shared" si="57"/>
        <v>CC 12x</v>
      </c>
      <c r="AH3083" t="str">
        <f t="shared" si="58"/>
        <v/>
      </c>
    </row>
    <row r="3084" spans="1:34">
      <c r="A3084">
        <v>2026</v>
      </c>
      <c r="B3084">
        <v>4</v>
      </c>
      <c r="C3084" s="83">
        <v>113907335988</v>
      </c>
      <c r="D3084" t="s">
        <v>2757</v>
      </c>
      <c r="E3084">
        <v>58196559664</v>
      </c>
      <c r="F3084">
        <v>533259</v>
      </c>
      <c r="G3084">
        <v>54282773778</v>
      </c>
      <c r="H3084" t="s">
        <v>35</v>
      </c>
      <c r="I3084" s="36">
        <v>4027.2</v>
      </c>
      <c r="J3084" s="36">
        <v>4027.2</v>
      </c>
      <c r="K3084" s="85">
        <v>0</v>
      </c>
      <c r="L3084" s="36">
        <v>335.6</v>
      </c>
      <c r="M3084" s="36">
        <v>0</v>
      </c>
      <c r="N3084" s="36">
        <v>26</v>
      </c>
      <c r="O3084" s="36">
        <v>309.60000000000002</v>
      </c>
      <c r="P3084" t="s">
        <v>121</v>
      </c>
      <c r="Q3084" t="s">
        <v>111</v>
      </c>
      <c r="R3084" t="s">
        <v>111</v>
      </c>
      <c r="S3084" s="1">
        <v>46127</v>
      </c>
      <c r="T3084" s="1">
        <v>46127</v>
      </c>
      <c r="U3084" s="1">
        <v>46131</v>
      </c>
      <c r="V3084" s="1">
        <v>46496</v>
      </c>
      <c r="W3084" t="s">
        <v>38</v>
      </c>
      <c r="X3084">
        <v>12</v>
      </c>
      <c r="Y3084" t="s">
        <v>49</v>
      </c>
      <c r="Z3084" t="s">
        <v>81</v>
      </c>
      <c r="AA3084" t="s">
        <v>112</v>
      </c>
      <c r="AB3084">
        <v>12</v>
      </c>
      <c r="AC3084" t="s">
        <v>113</v>
      </c>
      <c r="AD3084" t="s">
        <v>84</v>
      </c>
      <c r="AE3084" t="s">
        <v>43</v>
      </c>
      <c r="AF3084" t="s">
        <v>44</v>
      </c>
      <c r="AG3084" t="str">
        <f t="shared" si="57"/>
        <v>CC 12x</v>
      </c>
      <c r="AH3084" t="str">
        <f t="shared" si="58"/>
        <v/>
      </c>
    </row>
    <row r="3085" spans="1:34">
      <c r="A3085">
        <v>2026</v>
      </c>
      <c r="B3085">
        <v>4</v>
      </c>
      <c r="C3085" s="83">
        <v>113963291792</v>
      </c>
      <c r="D3085" t="s">
        <v>2758</v>
      </c>
      <c r="E3085">
        <v>59085038357</v>
      </c>
      <c r="F3085">
        <v>628514</v>
      </c>
      <c r="G3085">
        <v>54150167387</v>
      </c>
      <c r="H3085" t="s">
        <v>35</v>
      </c>
      <c r="I3085" s="36">
        <v>5178.6000000000004</v>
      </c>
      <c r="J3085" s="36">
        <v>5178.6000000000004</v>
      </c>
      <c r="K3085" s="85">
        <v>0</v>
      </c>
      <c r="L3085" s="36">
        <v>431.55</v>
      </c>
      <c r="M3085" s="36">
        <v>0</v>
      </c>
      <c r="N3085" s="36">
        <v>69.150000000000006</v>
      </c>
      <c r="O3085" s="36">
        <v>362.4</v>
      </c>
      <c r="P3085" t="s">
        <v>367</v>
      </c>
      <c r="Q3085" t="s">
        <v>191</v>
      </c>
      <c r="R3085" t="s">
        <v>111</v>
      </c>
      <c r="S3085" s="1">
        <v>46122</v>
      </c>
      <c r="T3085" s="1">
        <v>46122</v>
      </c>
      <c r="U3085" s="1">
        <v>46123</v>
      </c>
      <c r="V3085" s="1">
        <v>46488</v>
      </c>
      <c r="W3085" t="s">
        <v>38</v>
      </c>
      <c r="X3085">
        <v>12</v>
      </c>
      <c r="Y3085" t="s">
        <v>49</v>
      </c>
      <c r="Z3085" t="s">
        <v>81</v>
      </c>
      <c r="AA3085" t="s">
        <v>122</v>
      </c>
      <c r="AB3085">
        <v>12</v>
      </c>
      <c r="AC3085" t="s">
        <v>113</v>
      </c>
      <c r="AD3085" t="s">
        <v>85</v>
      </c>
      <c r="AE3085" t="s">
        <v>46</v>
      </c>
      <c r="AF3085" t="s">
        <v>44</v>
      </c>
      <c r="AG3085" t="str">
        <f t="shared" si="57"/>
        <v>Recorrente</v>
      </c>
      <c r="AH3085" t="str">
        <f t="shared" si="58"/>
        <v/>
      </c>
    </row>
    <row r="3086" spans="1:34">
      <c r="A3086">
        <v>2026</v>
      </c>
      <c r="B3086">
        <v>4</v>
      </c>
      <c r="C3086" s="83">
        <v>113981308592</v>
      </c>
      <c r="D3086" t="s">
        <v>2759</v>
      </c>
      <c r="E3086">
        <v>58103553168</v>
      </c>
      <c r="F3086">
        <v>628803</v>
      </c>
      <c r="G3086">
        <v>54379785143</v>
      </c>
      <c r="H3086" t="s">
        <v>35</v>
      </c>
      <c r="I3086" s="36">
        <v>3483.24</v>
      </c>
      <c r="J3086" s="36">
        <v>3483.24</v>
      </c>
      <c r="K3086" s="85">
        <v>0</v>
      </c>
      <c r="L3086" s="36">
        <v>290.27</v>
      </c>
      <c r="M3086" s="36">
        <v>0</v>
      </c>
      <c r="N3086" s="36">
        <v>12.17</v>
      </c>
      <c r="O3086" s="36">
        <v>278.10000000000002</v>
      </c>
      <c r="P3086" t="s">
        <v>127</v>
      </c>
      <c r="Q3086" t="s">
        <v>111</v>
      </c>
      <c r="R3086" t="s">
        <v>111</v>
      </c>
      <c r="S3086" s="1">
        <v>46132</v>
      </c>
      <c r="T3086" s="1">
        <v>46132</v>
      </c>
      <c r="U3086" s="1">
        <v>46129</v>
      </c>
      <c r="V3086" s="1">
        <v>46497</v>
      </c>
      <c r="W3086" t="s">
        <v>38</v>
      </c>
      <c r="X3086">
        <v>12</v>
      </c>
      <c r="Y3086" t="s">
        <v>49</v>
      </c>
      <c r="Z3086" t="s">
        <v>81</v>
      </c>
      <c r="AA3086" t="s">
        <v>122</v>
      </c>
      <c r="AB3086">
        <v>12</v>
      </c>
      <c r="AC3086" t="s">
        <v>113</v>
      </c>
      <c r="AD3086" t="s">
        <v>160</v>
      </c>
      <c r="AE3086" t="s">
        <v>43</v>
      </c>
      <c r="AF3086" t="s">
        <v>44</v>
      </c>
      <c r="AG3086" t="str">
        <f t="shared" si="57"/>
        <v>Recorrente</v>
      </c>
      <c r="AH3086" t="str">
        <f t="shared" si="58"/>
        <v/>
      </c>
    </row>
    <row r="3087" spans="1:34">
      <c r="A3087">
        <v>2026</v>
      </c>
      <c r="B3087">
        <v>4</v>
      </c>
      <c r="C3087" s="83">
        <v>113986542401</v>
      </c>
      <c r="D3087" t="s">
        <v>2760</v>
      </c>
      <c r="E3087">
        <v>59171204162</v>
      </c>
      <c r="F3087">
        <v>630783</v>
      </c>
      <c r="G3087">
        <v>54635818765</v>
      </c>
      <c r="H3087" t="s">
        <v>35</v>
      </c>
      <c r="I3087" s="36">
        <v>219</v>
      </c>
      <c r="J3087" s="36">
        <v>1080.96</v>
      </c>
      <c r="K3087" s="85">
        <v>0</v>
      </c>
      <c r="L3087" s="36">
        <v>90.08</v>
      </c>
      <c r="M3087" s="36">
        <v>0</v>
      </c>
      <c r="N3087" s="36">
        <v>90.08</v>
      </c>
      <c r="O3087" s="36">
        <v>0</v>
      </c>
      <c r="P3087" t="s">
        <v>469</v>
      </c>
      <c r="Q3087" t="s">
        <v>191</v>
      </c>
      <c r="R3087" t="s">
        <v>191</v>
      </c>
      <c r="S3087" s="1">
        <v>46136</v>
      </c>
      <c r="T3087" s="1">
        <v>46136</v>
      </c>
      <c r="U3087" s="1">
        <v>46210</v>
      </c>
      <c r="V3087" s="1">
        <v>46210</v>
      </c>
      <c r="W3087" t="s">
        <v>38</v>
      </c>
      <c r="X3087">
        <v>3</v>
      </c>
      <c r="Y3087" t="s">
        <v>49</v>
      </c>
      <c r="Z3087" t="s">
        <v>324</v>
      </c>
      <c r="AA3087" t="s">
        <v>122</v>
      </c>
      <c r="AB3087">
        <v>2</v>
      </c>
      <c r="AC3087" t="s">
        <v>192</v>
      </c>
      <c r="AD3087" t="s">
        <v>163</v>
      </c>
      <c r="AE3087" t="s">
        <v>43</v>
      </c>
      <c r="AF3087" t="s">
        <v>96</v>
      </c>
      <c r="AG3087" t="str">
        <f t="shared" si="57"/>
        <v>Recorrente</v>
      </c>
      <c r="AH3087" t="str">
        <f t="shared" si="58"/>
        <v/>
      </c>
    </row>
    <row r="3088" spans="1:34">
      <c r="A3088">
        <v>2026</v>
      </c>
      <c r="B3088">
        <v>4</v>
      </c>
      <c r="C3088" s="83">
        <v>114141773669</v>
      </c>
      <c r="D3088" t="s">
        <v>2761</v>
      </c>
      <c r="E3088">
        <v>57525136914</v>
      </c>
      <c r="F3088">
        <v>532972</v>
      </c>
      <c r="G3088">
        <v>52769041523</v>
      </c>
      <c r="H3088" t="s">
        <v>35</v>
      </c>
      <c r="I3088" s="36">
        <v>5754</v>
      </c>
      <c r="J3088" s="36">
        <v>5754</v>
      </c>
      <c r="K3088" s="85">
        <v>0</v>
      </c>
      <c r="L3088" s="36">
        <v>479.5</v>
      </c>
      <c r="M3088" s="36">
        <v>0</v>
      </c>
      <c r="N3088" s="36">
        <v>26.5</v>
      </c>
      <c r="O3088" s="36">
        <v>453</v>
      </c>
      <c r="P3088" t="s">
        <v>165</v>
      </c>
      <c r="Q3088" t="s">
        <v>166</v>
      </c>
      <c r="R3088" t="s">
        <v>166</v>
      </c>
      <c r="S3088" s="1">
        <v>46126</v>
      </c>
      <c r="T3088" s="1">
        <v>46126</v>
      </c>
      <c r="U3088" s="1">
        <v>46126</v>
      </c>
      <c r="V3088" s="1">
        <v>46491</v>
      </c>
      <c r="W3088" t="s">
        <v>38</v>
      </c>
      <c r="X3088">
        <v>12</v>
      </c>
      <c r="Y3088" t="s">
        <v>49</v>
      </c>
      <c r="Z3088" t="s">
        <v>81</v>
      </c>
      <c r="AA3088" t="s">
        <v>122</v>
      </c>
      <c r="AB3088">
        <v>12</v>
      </c>
      <c r="AC3088" t="s">
        <v>166</v>
      </c>
      <c r="AD3088" t="s">
        <v>85</v>
      </c>
      <c r="AE3088" t="s">
        <v>46</v>
      </c>
      <c r="AF3088" t="s">
        <v>44</v>
      </c>
      <c r="AG3088" t="str">
        <f t="shared" si="57"/>
        <v>Recorrente</v>
      </c>
      <c r="AH3088" t="str">
        <f t="shared" si="58"/>
        <v/>
      </c>
    </row>
    <row r="3089" spans="1:34">
      <c r="A3089">
        <v>2026</v>
      </c>
      <c r="B3089">
        <v>4</v>
      </c>
      <c r="C3089" s="83">
        <v>114166963094</v>
      </c>
      <c r="D3089" t="s">
        <v>2762</v>
      </c>
      <c r="E3089">
        <v>59717923369</v>
      </c>
      <c r="F3089">
        <v>510009</v>
      </c>
      <c r="G3089">
        <v>54801660230</v>
      </c>
      <c r="H3089" t="s">
        <v>35</v>
      </c>
      <c r="I3089" s="36">
        <v>2328</v>
      </c>
      <c r="J3089" s="36">
        <v>2328</v>
      </c>
      <c r="K3089" s="85">
        <v>0</v>
      </c>
      <c r="L3089" s="36">
        <v>194</v>
      </c>
      <c r="M3089" s="36">
        <v>0</v>
      </c>
      <c r="N3089" s="36">
        <v>0</v>
      </c>
      <c r="O3089" s="36">
        <v>194.002185</v>
      </c>
      <c r="P3089" t="s">
        <v>116</v>
      </c>
      <c r="Q3089" t="s">
        <v>111</v>
      </c>
      <c r="R3089" t="s">
        <v>111</v>
      </c>
      <c r="S3089" s="1">
        <v>46140</v>
      </c>
      <c r="T3089" s="1">
        <v>46140</v>
      </c>
      <c r="U3089" s="1">
        <v>46139</v>
      </c>
      <c r="V3089" s="1">
        <v>46505</v>
      </c>
      <c r="W3089" t="s">
        <v>38</v>
      </c>
      <c r="X3089">
        <v>12</v>
      </c>
      <c r="Y3089" t="s">
        <v>49</v>
      </c>
      <c r="Z3089" t="s">
        <v>81</v>
      </c>
      <c r="AA3089" t="s">
        <v>112</v>
      </c>
      <c r="AB3089">
        <v>12</v>
      </c>
      <c r="AC3089" t="s">
        <v>113</v>
      </c>
      <c r="AD3089" t="s">
        <v>140</v>
      </c>
      <c r="AE3089" t="s">
        <v>46</v>
      </c>
      <c r="AF3089" t="s">
        <v>119</v>
      </c>
      <c r="AG3089" t="str">
        <f t="shared" si="57"/>
        <v>CC 12x</v>
      </c>
      <c r="AH3089" t="str">
        <f t="shared" si="58"/>
        <v/>
      </c>
    </row>
    <row r="3090" spans="1:34">
      <c r="A3090">
        <v>2026</v>
      </c>
      <c r="B3090">
        <v>4</v>
      </c>
      <c r="C3090" s="83">
        <v>114182469415</v>
      </c>
      <c r="D3090" t="s">
        <v>2763</v>
      </c>
      <c r="E3090">
        <v>59718338688</v>
      </c>
      <c r="F3090">
        <v>534003</v>
      </c>
      <c r="G3090">
        <v>54880557412</v>
      </c>
      <c r="H3090" t="s">
        <v>35</v>
      </c>
      <c r="I3090" s="36">
        <v>2328</v>
      </c>
      <c r="J3090" s="36">
        <v>2328</v>
      </c>
      <c r="K3090" s="85">
        <v>0</v>
      </c>
      <c r="L3090" s="36">
        <v>194</v>
      </c>
      <c r="M3090" s="36">
        <v>0</v>
      </c>
      <c r="N3090" s="36">
        <v>2.8021850000000001</v>
      </c>
      <c r="O3090" s="36">
        <v>191.2</v>
      </c>
      <c r="P3090" t="s">
        <v>116</v>
      </c>
      <c r="Q3090" t="s">
        <v>111</v>
      </c>
      <c r="R3090" t="s">
        <v>111</v>
      </c>
      <c r="S3090" s="1">
        <v>46141</v>
      </c>
      <c r="T3090" s="1">
        <v>46141</v>
      </c>
      <c r="U3090" s="1">
        <v>46140</v>
      </c>
      <c r="V3090" s="1">
        <v>46506</v>
      </c>
      <c r="W3090" t="s">
        <v>38</v>
      </c>
      <c r="X3090">
        <v>12</v>
      </c>
      <c r="Y3090" t="s">
        <v>49</v>
      </c>
      <c r="Z3090" t="s">
        <v>81</v>
      </c>
      <c r="AA3090" t="s">
        <v>112</v>
      </c>
      <c r="AB3090">
        <v>12</v>
      </c>
      <c r="AC3090" t="s">
        <v>113</v>
      </c>
      <c r="AD3090" t="s">
        <v>140</v>
      </c>
      <c r="AE3090" t="s">
        <v>46</v>
      </c>
      <c r="AF3090" t="s">
        <v>119</v>
      </c>
      <c r="AG3090" t="str">
        <f t="shared" si="57"/>
        <v>CC 12x</v>
      </c>
      <c r="AH3090" t="str">
        <f t="shared" si="58"/>
        <v/>
      </c>
    </row>
    <row r="3091" spans="1:34">
      <c r="A3091">
        <v>2026</v>
      </c>
      <c r="B3091">
        <v>4</v>
      </c>
      <c r="C3091" s="83">
        <v>114185433091</v>
      </c>
      <c r="D3091" t="s">
        <v>2764</v>
      </c>
      <c r="E3091">
        <v>57898457481</v>
      </c>
      <c r="F3091">
        <v>313608</v>
      </c>
      <c r="G3091">
        <v>53124980244</v>
      </c>
      <c r="H3091" t="s">
        <v>35</v>
      </c>
      <c r="I3091" s="36">
        <v>4530.6000000000004</v>
      </c>
      <c r="J3091" s="36">
        <v>4530.6000000000004</v>
      </c>
      <c r="K3091" s="85">
        <v>0</v>
      </c>
      <c r="L3091" s="36">
        <v>377.55</v>
      </c>
      <c r="M3091" s="36">
        <v>0</v>
      </c>
      <c r="N3091" s="36">
        <v>48.6</v>
      </c>
      <c r="O3091" s="36">
        <v>328.95</v>
      </c>
      <c r="P3091" t="s">
        <v>165</v>
      </c>
      <c r="Q3091" t="s">
        <v>166</v>
      </c>
      <c r="R3091" t="s">
        <v>166</v>
      </c>
      <c r="S3091" s="1">
        <v>46137</v>
      </c>
      <c r="T3091" s="1">
        <v>46137</v>
      </c>
      <c r="U3091" s="1">
        <v>46137</v>
      </c>
      <c r="V3091" s="1">
        <v>46502</v>
      </c>
      <c r="W3091" t="s">
        <v>38</v>
      </c>
      <c r="X3091">
        <v>12</v>
      </c>
      <c r="Y3091" t="s">
        <v>49</v>
      </c>
      <c r="Z3091" t="s">
        <v>81</v>
      </c>
      <c r="AA3091" t="s">
        <v>122</v>
      </c>
      <c r="AB3091">
        <v>12</v>
      </c>
      <c r="AC3091" t="s">
        <v>166</v>
      </c>
      <c r="AD3091" t="s">
        <v>84</v>
      </c>
      <c r="AE3091" t="s">
        <v>43</v>
      </c>
      <c r="AF3091" t="s">
        <v>44</v>
      </c>
      <c r="AG3091" t="str">
        <f t="shared" si="57"/>
        <v>Recorrente</v>
      </c>
      <c r="AH3091" t="str">
        <f t="shared" si="58"/>
        <v/>
      </c>
    </row>
    <row r="3092" spans="1:34">
      <c r="A3092">
        <v>2026</v>
      </c>
      <c r="B3092">
        <v>4</v>
      </c>
      <c r="C3092" s="83">
        <v>114194617451</v>
      </c>
      <c r="D3092" t="s">
        <v>2765</v>
      </c>
      <c r="E3092">
        <v>59706851109</v>
      </c>
      <c r="F3092">
        <v>533701</v>
      </c>
      <c r="G3092">
        <v>54699154247</v>
      </c>
      <c r="H3092" t="s">
        <v>35</v>
      </c>
      <c r="I3092" s="36">
        <v>4919.6400000000003</v>
      </c>
      <c r="J3092" s="36">
        <v>4919.6400000000003</v>
      </c>
      <c r="K3092" s="85">
        <v>0</v>
      </c>
      <c r="L3092" s="36">
        <v>409.97</v>
      </c>
      <c r="M3092" s="36">
        <v>0</v>
      </c>
      <c r="N3092" s="36">
        <v>24.922499999999999</v>
      </c>
      <c r="O3092" s="36">
        <v>385.05</v>
      </c>
      <c r="P3092" t="s">
        <v>137</v>
      </c>
      <c r="Q3092" t="s">
        <v>111</v>
      </c>
      <c r="R3092" t="s">
        <v>111</v>
      </c>
      <c r="S3092" s="1">
        <v>46139</v>
      </c>
      <c r="T3092" s="1">
        <v>46139</v>
      </c>
      <c r="U3092" s="1">
        <v>46138</v>
      </c>
      <c r="V3092" s="1">
        <v>46504</v>
      </c>
      <c r="W3092" t="s">
        <v>38</v>
      </c>
      <c r="X3092">
        <v>12</v>
      </c>
      <c r="Y3092" t="s">
        <v>49</v>
      </c>
      <c r="Z3092" t="s">
        <v>81</v>
      </c>
      <c r="AA3092" t="s">
        <v>122</v>
      </c>
      <c r="AB3092">
        <v>12</v>
      </c>
      <c r="AC3092" t="s">
        <v>113</v>
      </c>
      <c r="AD3092" t="s">
        <v>85</v>
      </c>
      <c r="AE3092" t="s">
        <v>46</v>
      </c>
      <c r="AF3092" t="s">
        <v>44</v>
      </c>
      <c r="AG3092" t="str">
        <f t="shared" si="57"/>
        <v>Recorrente</v>
      </c>
      <c r="AH3092" t="str">
        <f t="shared" si="58"/>
        <v/>
      </c>
    </row>
    <row r="3093" spans="1:34">
      <c r="A3093">
        <v>2026</v>
      </c>
      <c r="B3093">
        <v>4</v>
      </c>
      <c r="C3093" s="83">
        <v>114195417962</v>
      </c>
      <c r="D3093" t="s">
        <v>522</v>
      </c>
      <c r="E3093">
        <v>57844367642</v>
      </c>
      <c r="F3093">
        <v>313160</v>
      </c>
      <c r="G3093">
        <v>53070539013</v>
      </c>
      <c r="H3093" t="s">
        <v>35</v>
      </c>
      <c r="I3093" s="36">
        <v>9354</v>
      </c>
      <c r="J3093" s="36">
        <v>9354</v>
      </c>
      <c r="K3093" s="85">
        <v>0</v>
      </c>
      <c r="L3093" s="36">
        <v>779.5</v>
      </c>
      <c r="M3093" s="36">
        <v>0</v>
      </c>
      <c r="N3093" s="36">
        <v>116.06</v>
      </c>
      <c r="O3093" s="36">
        <v>663.44</v>
      </c>
      <c r="P3093" t="s">
        <v>165</v>
      </c>
      <c r="Q3093" t="s">
        <v>166</v>
      </c>
      <c r="R3093" t="s">
        <v>166</v>
      </c>
      <c r="S3093" s="1">
        <v>46136</v>
      </c>
      <c r="T3093" s="1">
        <v>46136</v>
      </c>
      <c r="U3093" s="1">
        <v>46136</v>
      </c>
      <c r="V3093" s="1">
        <v>46501</v>
      </c>
      <c r="W3093" t="s">
        <v>38</v>
      </c>
      <c r="X3093">
        <v>12</v>
      </c>
      <c r="Y3093" t="s">
        <v>49</v>
      </c>
      <c r="Z3093" t="s">
        <v>81</v>
      </c>
      <c r="AA3093" t="s">
        <v>122</v>
      </c>
      <c r="AB3093">
        <v>3</v>
      </c>
      <c r="AC3093" t="s">
        <v>166</v>
      </c>
      <c r="AD3093" t="s">
        <v>134</v>
      </c>
      <c r="AE3093" t="s">
        <v>135</v>
      </c>
      <c r="AF3093" t="s">
        <v>44</v>
      </c>
      <c r="AG3093" t="str">
        <f t="shared" si="57"/>
        <v>Recorrente</v>
      </c>
      <c r="AH3093" t="str">
        <f t="shared" si="58"/>
        <v/>
      </c>
    </row>
    <row r="3094" spans="1:34">
      <c r="A3094">
        <v>2026</v>
      </c>
      <c r="B3094">
        <v>4</v>
      </c>
      <c r="C3094" s="83">
        <v>114195912270</v>
      </c>
      <c r="D3094" t="s">
        <v>2766</v>
      </c>
      <c r="E3094">
        <v>59569858677</v>
      </c>
      <c r="F3094">
        <v>628757</v>
      </c>
      <c r="G3094">
        <v>54635380867</v>
      </c>
      <c r="H3094" t="s">
        <v>35</v>
      </c>
      <c r="I3094" s="36">
        <v>2457.2399999999998</v>
      </c>
      <c r="J3094" s="36">
        <v>2457.2399999999998</v>
      </c>
      <c r="K3094" s="85">
        <v>0</v>
      </c>
      <c r="L3094" s="36">
        <v>204.77</v>
      </c>
      <c r="M3094" s="36">
        <v>0</v>
      </c>
      <c r="N3094" s="36">
        <v>0</v>
      </c>
      <c r="O3094" s="36">
        <v>204.770105</v>
      </c>
      <c r="P3094" t="s">
        <v>116</v>
      </c>
      <c r="Q3094" t="s">
        <v>111</v>
      </c>
      <c r="R3094" t="s">
        <v>111</v>
      </c>
      <c r="S3094" s="1">
        <v>46136</v>
      </c>
      <c r="T3094" s="1">
        <v>46136</v>
      </c>
      <c r="U3094" s="1">
        <v>46128</v>
      </c>
      <c r="V3094" s="1">
        <v>46501</v>
      </c>
      <c r="W3094" t="s">
        <v>38</v>
      </c>
      <c r="X3094">
        <v>12</v>
      </c>
      <c r="Y3094" t="s">
        <v>49</v>
      </c>
      <c r="Z3094" t="s">
        <v>76</v>
      </c>
      <c r="AA3094" t="s">
        <v>122</v>
      </c>
      <c r="AB3094">
        <v>12</v>
      </c>
      <c r="AC3094" t="s">
        <v>113</v>
      </c>
      <c r="AD3094" t="s">
        <v>118</v>
      </c>
      <c r="AE3094" t="s">
        <v>43</v>
      </c>
      <c r="AF3094" t="s">
        <v>119</v>
      </c>
      <c r="AG3094" t="str">
        <f t="shared" si="57"/>
        <v>Recorrente</v>
      </c>
      <c r="AH3094" t="str">
        <f t="shared" si="58"/>
        <v/>
      </c>
    </row>
    <row r="3095" spans="1:34">
      <c r="A3095">
        <v>2026</v>
      </c>
      <c r="B3095">
        <v>4</v>
      </c>
      <c r="C3095" s="83">
        <v>114195912270</v>
      </c>
      <c r="D3095" t="s">
        <v>2766</v>
      </c>
      <c r="E3095">
        <v>59569858677</v>
      </c>
      <c r="F3095">
        <v>628757</v>
      </c>
      <c r="G3095">
        <v>54635380868</v>
      </c>
      <c r="H3095" t="s">
        <v>35</v>
      </c>
      <c r="I3095" s="36">
        <v>2457.2399999999998</v>
      </c>
      <c r="J3095" s="36">
        <v>2457.2399999999998</v>
      </c>
      <c r="K3095" s="85">
        <v>0</v>
      </c>
      <c r="L3095" s="36">
        <v>204.77</v>
      </c>
      <c r="M3095" s="36">
        <v>0</v>
      </c>
      <c r="N3095" s="36">
        <v>0</v>
      </c>
      <c r="O3095" s="36">
        <v>204.770105</v>
      </c>
      <c r="P3095" t="s">
        <v>116</v>
      </c>
      <c r="Q3095" t="s">
        <v>111</v>
      </c>
      <c r="R3095" t="s">
        <v>111</v>
      </c>
      <c r="S3095" s="1">
        <v>46136</v>
      </c>
      <c r="T3095" s="1">
        <v>46136</v>
      </c>
      <c r="U3095" s="1">
        <v>46128</v>
      </c>
      <c r="V3095" s="1">
        <v>46501</v>
      </c>
      <c r="W3095" t="s">
        <v>38</v>
      </c>
      <c r="X3095">
        <v>12</v>
      </c>
      <c r="Y3095" t="s">
        <v>49</v>
      </c>
      <c r="Z3095" t="s">
        <v>76</v>
      </c>
      <c r="AA3095" t="s">
        <v>122</v>
      </c>
      <c r="AB3095">
        <v>12</v>
      </c>
      <c r="AC3095" t="s">
        <v>113</v>
      </c>
      <c r="AD3095" t="s">
        <v>140</v>
      </c>
      <c r="AE3095" t="s">
        <v>46</v>
      </c>
      <c r="AF3095" t="s">
        <v>119</v>
      </c>
      <c r="AG3095" t="str">
        <f t="shared" si="57"/>
        <v>Recorrente</v>
      </c>
      <c r="AH3095" t="str">
        <f t="shared" si="58"/>
        <v/>
      </c>
    </row>
    <row r="3096" spans="1:34">
      <c r="A3096">
        <v>2026</v>
      </c>
      <c r="B3096">
        <v>4</v>
      </c>
      <c r="C3096" s="83">
        <v>114250468788</v>
      </c>
      <c r="D3096" t="s">
        <v>2767</v>
      </c>
      <c r="E3096">
        <v>58592898145</v>
      </c>
      <c r="F3096">
        <v>628100</v>
      </c>
      <c r="G3096">
        <v>54379506349</v>
      </c>
      <c r="H3096" t="s">
        <v>35</v>
      </c>
      <c r="I3096" s="36">
        <v>2459.88</v>
      </c>
      <c r="J3096" s="36">
        <v>2459.88</v>
      </c>
      <c r="K3096" s="85">
        <v>0</v>
      </c>
      <c r="L3096" s="36">
        <v>204.99</v>
      </c>
      <c r="M3096" s="36">
        <v>0</v>
      </c>
      <c r="N3096" s="36">
        <v>1.83805</v>
      </c>
      <c r="O3096" s="36">
        <v>203.15</v>
      </c>
      <c r="P3096" t="s">
        <v>137</v>
      </c>
      <c r="Q3096" t="s">
        <v>111</v>
      </c>
      <c r="R3096" t="s">
        <v>111</v>
      </c>
      <c r="S3096" s="1">
        <v>46129</v>
      </c>
      <c r="T3096" s="1">
        <v>46129</v>
      </c>
      <c r="U3096" s="1">
        <v>46113</v>
      </c>
      <c r="V3096" s="1">
        <v>46494</v>
      </c>
      <c r="W3096" t="s">
        <v>38</v>
      </c>
      <c r="X3096">
        <v>12</v>
      </c>
      <c r="Y3096" t="s">
        <v>49</v>
      </c>
      <c r="Z3096" t="s">
        <v>81</v>
      </c>
      <c r="AA3096" t="s">
        <v>112</v>
      </c>
      <c r="AB3096">
        <v>12</v>
      </c>
      <c r="AC3096" t="s">
        <v>113</v>
      </c>
      <c r="AD3096" t="s">
        <v>140</v>
      </c>
      <c r="AE3096" t="s">
        <v>46</v>
      </c>
      <c r="AF3096" t="s">
        <v>119</v>
      </c>
      <c r="AG3096" t="str">
        <f t="shared" si="57"/>
        <v>CC 12x</v>
      </c>
      <c r="AH3096" t="str">
        <f t="shared" si="58"/>
        <v/>
      </c>
    </row>
    <row r="3097" spans="1:34">
      <c r="A3097">
        <v>2026</v>
      </c>
      <c r="B3097">
        <v>4</v>
      </c>
      <c r="C3097" s="83">
        <v>114467696900</v>
      </c>
      <c r="D3097" t="s">
        <v>2768</v>
      </c>
      <c r="E3097">
        <v>58104124676</v>
      </c>
      <c r="F3097">
        <v>628799</v>
      </c>
      <c r="G3097">
        <v>54372517957</v>
      </c>
      <c r="H3097" t="s">
        <v>35</v>
      </c>
      <c r="I3097" s="36">
        <v>4452.6000000000004</v>
      </c>
      <c r="J3097" s="36">
        <v>4452.6000000000004</v>
      </c>
      <c r="K3097" s="85">
        <v>0</v>
      </c>
      <c r="L3097" s="36">
        <v>371.05</v>
      </c>
      <c r="M3097" s="36">
        <v>0</v>
      </c>
      <c r="N3097" s="36">
        <v>6.4</v>
      </c>
      <c r="O3097" s="36">
        <v>364.65</v>
      </c>
      <c r="P3097" t="s">
        <v>127</v>
      </c>
      <c r="Q3097" t="s">
        <v>111</v>
      </c>
      <c r="R3097" t="s">
        <v>111</v>
      </c>
      <c r="S3097" s="1">
        <v>46128</v>
      </c>
      <c r="T3097" s="1">
        <v>46128</v>
      </c>
      <c r="U3097" s="1">
        <v>46129</v>
      </c>
      <c r="V3097" s="1">
        <v>46494</v>
      </c>
      <c r="W3097" t="s">
        <v>38</v>
      </c>
      <c r="X3097">
        <v>12</v>
      </c>
      <c r="Y3097" t="s">
        <v>49</v>
      </c>
      <c r="Z3097" t="s">
        <v>81</v>
      </c>
      <c r="AA3097" t="s">
        <v>112</v>
      </c>
      <c r="AB3097">
        <v>12</v>
      </c>
      <c r="AC3097" t="s">
        <v>113</v>
      </c>
      <c r="AD3097" t="s">
        <v>138</v>
      </c>
      <c r="AE3097" t="s">
        <v>135</v>
      </c>
      <c r="AF3097" t="s">
        <v>119</v>
      </c>
      <c r="AG3097" t="str">
        <f t="shared" si="57"/>
        <v>CC 12x</v>
      </c>
      <c r="AH3097" t="str">
        <f t="shared" si="58"/>
        <v/>
      </c>
    </row>
    <row r="3098" spans="1:34">
      <c r="A3098">
        <v>2026</v>
      </c>
      <c r="B3098">
        <v>4</v>
      </c>
      <c r="C3098" s="83">
        <v>114718551680</v>
      </c>
      <c r="D3098" t="s">
        <v>2769</v>
      </c>
      <c r="E3098">
        <v>59096698997</v>
      </c>
      <c r="F3098">
        <v>637027</v>
      </c>
      <c r="G3098">
        <v>54150167697</v>
      </c>
      <c r="H3098" t="s">
        <v>35</v>
      </c>
      <c r="I3098" s="36">
        <v>2460.12</v>
      </c>
      <c r="J3098" s="36">
        <v>2460.1439999999998</v>
      </c>
      <c r="K3098" s="85">
        <v>0</v>
      </c>
      <c r="L3098" s="36">
        <v>205.012</v>
      </c>
      <c r="M3098" s="36">
        <v>205.012</v>
      </c>
      <c r="N3098" s="36">
        <v>0</v>
      </c>
      <c r="O3098" s="36">
        <v>0</v>
      </c>
      <c r="P3098" t="s">
        <v>506</v>
      </c>
      <c r="Q3098" t="s">
        <v>300</v>
      </c>
      <c r="R3098" t="s">
        <v>300</v>
      </c>
      <c r="S3098" s="1">
        <v>46122</v>
      </c>
      <c r="T3098" s="1">
        <v>46122</v>
      </c>
      <c r="V3098" s="1">
        <v>46487</v>
      </c>
      <c r="W3098" t="s">
        <v>38</v>
      </c>
      <c r="X3098">
        <v>12</v>
      </c>
      <c r="Y3098" t="s">
        <v>49</v>
      </c>
      <c r="AA3098" t="s">
        <v>112</v>
      </c>
      <c r="AB3098">
        <v>12</v>
      </c>
      <c r="AC3098" t="s">
        <v>301</v>
      </c>
      <c r="AD3098" t="s">
        <v>118</v>
      </c>
      <c r="AE3098" t="s">
        <v>43</v>
      </c>
      <c r="AF3098" t="s">
        <v>119</v>
      </c>
      <c r="AG3098" t="str">
        <f t="shared" si="57"/>
        <v>CC 12x</v>
      </c>
      <c r="AH3098" t="str">
        <f t="shared" si="58"/>
        <v/>
      </c>
    </row>
    <row r="3099" spans="1:34">
      <c r="A3099">
        <v>2026</v>
      </c>
      <c r="B3099">
        <v>4</v>
      </c>
      <c r="C3099" s="83">
        <v>115059419658</v>
      </c>
      <c r="D3099" t="s">
        <v>2770</v>
      </c>
      <c r="E3099">
        <v>59135841177</v>
      </c>
      <c r="F3099">
        <v>628571</v>
      </c>
      <c r="G3099">
        <v>54884608627</v>
      </c>
      <c r="H3099" t="s">
        <v>35</v>
      </c>
      <c r="I3099" s="36">
        <v>5514</v>
      </c>
      <c r="J3099" s="36">
        <v>5514</v>
      </c>
      <c r="K3099" s="85">
        <v>0</v>
      </c>
      <c r="L3099" s="36">
        <v>459.5</v>
      </c>
      <c r="M3099" s="36">
        <v>0</v>
      </c>
      <c r="N3099" s="36">
        <v>30.5</v>
      </c>
      <c r="O3099" s="36">
        <v>429</v>
      </c>
      <c r="P3099" t="s">
        <v>110</v>
      </c>
      <c r="Q3099" t="s">
        <v>111</v>
      </c>
      <c r="R3099" t="s">
        <v>111</v>
      </c>
      <c r="S3099" s="1">
        <v>46141</v>
      </c>
      <c r="T3099" s="1">
        <v>46141</v>
      </c>
      <c r="U3099" s="1">
        <v>46124</v>
      </c>
      <c r="V3099" s="1">
        <v>46506</v>
      </c>
      <c r="W3099" t="s">
        <v>38</v>
      </c>
      <c r="X3099">
        <v>12</v>
      </c>
      <c r="Y3099" t="s">
        <v>49</v>
      </c>
      <c r="Z3099" t="s">
        <v>81</v>
      </c>
      <c r="AA3099" t="s">
        <v>122</v>
      </c>
      <c r="AB3099">
        <v>12</v>
      </c>
      <c r="AC3099" t="s">
        <v>113</v>
      </c>
      <c r="AD3099" t="s">
        <v>138</v>
      </c>
      <c r="AE3099" t="s">
        <v>135</v>
      </c>
      <c r="AF3099" t="s">
        <v>119</v>
      </c>
      <c r="AG3099" t="str">
        <f t="shared" si="57"/>
        <v>Recorrente</v>
      </c>
      <c r="AH3099" t="str">
        <f t="shared" si="58"/>
        <v/>
      </c>
    </row>
    <row r="3100" spans="1:34">
      <c r="A3100">
        <v>2026</v>
      </c>
      <c r="B3100">
        <v>4</v>
      </c>
      <c r="C3100" s="83">
        <v>116023388681</v>
      </c>
      <c r="D3100" t="s">
        <v>2771</v>
      </c>
      <c r="E3100">
        <v>58015848303</v>
      </c>
      <c r="F3100">
        <v>629211</v>
      </c>
      <c r="G3100">
        <v>53208172599</v>
      </c>
      <c r="H3100" t="s">
        <v>35</v>
      </c>
      <c r="I3100" s="36">
        <v>5754</v>
      </c>
      <c r="J3100" s="36">
        <v>5754</v>
      </c>
      <c r="K3100" s="85">
        <v>0</v>
      </c>
      <c r="L3100" s="36">
        <v>479.5</v>
      </c>
      <c r="M3100" s="36">
        <v>0</v>
      </c>
      <c r="N3100" s="36">
        <v>94.45</v>
      </c>
      <c r="O3100" s="36">
        <v>385.05</v>
      </c>
      <c r="P3100" t="s">
        <v>165</v>
      </c>
      <c r="Q3100" t="s">
        <v>166</v>
      </c>
      <c r="R3100" t="s">
        <v>166</v>
      </c>
      <c r="S3100" s="1">
        <v>46139</v>
      </c>
      <c r="T3100" s="1">
        <v>46139</v>
      </c>
      <c r="U3100" s="1">
        <v>46142</v>
      </c>
      <c r="V3100" s="1">
        <v>46507</v>
      </c>
      <c r="W3100" t="s">
        <v>38</v>
      </c>
      <c r="X3100">
        <v>12</v>
      </c>
      <c r="Y3100" t="s">
        <v>49</v>
      </c>
      <c r="Z3100" t="s">
        <v>81</v>
      </c>
      <c r="AA3100" t="s">
        <v>122</v>
      </c>
      <c r="AB3100">
        <v>12</v>
      </c>
      <c r="AC3100" t="s">
        <v>166</v>
      </c>
      <c r="AD3100" t="s">
        <v>85</v>
      </c>
      <c r="AE3100" t="s">
        <v>46</v>
      </c>
      <c r="AF3100" t="s">
        <v>44</v>
      </c>
      <c r="AG3100" t="str">
        <f t="shared" si="57"/>
        <v>Recorrente</v>
      </c>
      <c r="AH3100" t="str">
        <f t="shared" si="58"/>
        <v/>
      </c>
    </row>
    <row r="3101" spans="1:34">
      <c r="A3101">
        <v>2026</v>
      </c>
      <c r="B3101">
        <v>4</v>
      </c>
      <c r="C3101" s="83">
        <v>116152416568</v>
      </c>
      <c r="D3101" t="s">
        <v>2772</v>
      </c>
      <c r="E3101">
        <v>58015738410</v>
      </c>
      <c r="F3101">
        <v>629209</v>
      </c>
      <c r="G3101">
        <v>53235626537</v>
      </c>
      <c r="H3101" t="s">
        <v>35</v>
      </c>
      <c r="I3101" s="36">
        <v>2874</v>
      </c>
      <c r="J3101" s="36">
        <v>2874</v>
      </c>
      <c r="K3101" s="85">
        <v>0</v>
      </c>
      <c r="L3101" s="36">
        <v>239.5</v>
      </c>
      <c r="M3101" s="36">
        <v>0</v>
      </c>
      <c r="N3101" s="36">
        <v>24.4</v>
      </c>
      <c r="O3101" s="36">
        <v>215.1</v>
      </c>
      <c r="P3101" t="s">
        <v>165</v>
      </c>
      <c r="Q3101" t="s">
        <v>166</v>
      </c>
      <c r="R3101" t="s">
        <v>166</v>
      </c>
      <c r="S3101" s="1">
        <v>46139</v>
      </c>
      <c r="T3101" s="1">
        <v>46139</v>
      </c>
      <c r="U3101" s="1">
        <v>46142</v>
      </c>
      <c r="V3101" s="1">
        <v>46507</v>
      </c>
      <c r="W3101" t="s">
        <v>38</v>
      </c>
      <c r="X3101">
        <v>12</v>
      </c>
      <c r="Y3101" t="s">
        <v>49</v>
      </c>
      <c r="Z3101" t="s">
        <v>81</v>
      </c>
      <c r="AA3101" t="s">
        <v>122</v>
      </c>
      <c r="AB3101">
        <v>12</v>
      </c>
      <c r="AC3101" t="s">
        <v>166</v>
      </c>
      <c r="AD3101" t="s">
        <v>140</v>
      </c>
      <c r="AE3101" t="s">
        <v>46</v>
      </c>
      <c r="AF3101" t="s">
        <v>119</v>
      </c>
      <c r="AG3101" t="str">
        <f t="shared" si="57"/>
        <v>Recorrente</v>
      </c>
      <c r="AH3101" t="str">
        <f t="shared" si="58"/>
        <v/>
      </c>
    </row>
    <row r="3102" spans="1:34">
      <c r="A3102">
        <v>2026</v>
      </c>
      <c r="B3102">
        <v>4</v>
      </c>
      <c r="C3102" s="83">
        <v>116382756232</v>
      </c>
      <c r="D3102" t="s">
        <v>2773</v>
      </c>
      <c r="E3102">
        <v>59708920598</v>
      </c>
      <c r="F3102">
        <v>629030</v>
      </c>
      <c r="G3102">
        <v>54801677091</v>
      </c>
      <c r="H3102" t="s">
        <v>35</v>
      </c>
      <c r="I3102" s="36">
        <v>4919.6400000000003</v>
      </c>
      <c r="J3102" s="36">
        <v>4919.6400000000003</v>
      </c>
      <c r="K3102" s="85">
        <v>0</v>
      </c>
      <c r="L3102" s="36">
        <v>409.97</v>
      </c>
      <c r="M3102" s="36">
        <v>0</v>
      </c>
      <c r="N3102" s="36">
        <v>24.922499999999999</v>
      </c>
      <c r="O3102" s="36">
        <v>385.05</v>
      </c>
      <c r="P3102" t="s">
        <v>137</v>
      </c>
      <c r="Q3102" t="s">
        <v>111</v>
      </c>
      <c r="R3102" t="s">
        <v>111</v>
      </c>
      <c r="S3102" s="1">
        <v>46140</v>
      </c>
      <c r="T3102" s="1">
        <v>46140</v>
      </c>
      <c r="U3102" s="1">
        <v>46140</v>
      </c>
      <c r="V3102" s="1">
        <v>46505</v>
      </c>
      <c r="W3102" t="s">
        <v>38</v>
      </c>
      <c r="X3102">
        <v>12</v>
      </c>
      <c r="Y3102" t="s">
        <v>49</v>
      </c>
      <c r="Z3102" t="s">
        <v>81</v>
      </c>
      <c r="AA3102" t="s">
        <v>122</v>
      </c>
      <c r="AB3102">
        <v>12</v>
      </c>
      <c r="AC3102" t="s">
        <v>113</v>
      </c>
      <c r="AD3102" t="s">
        <v>85</v>
      </c>
      <c r="AE3102" t="s">
        <v>46</v>
      </c>
      <c r="AF3102" t="s">
        <v>44</v>
      </c>
      <c r="AG3102" t="str">
        <f t="shared" si="57"/>
        <v>Recorrente</v>
      </c>
      <c r="AH3102" t="str">
        <f t="shared" si="58"/>
        <v/>
      </c>
    </row>
    <row r="3103" spans="1:34">
      <c r="A3103">
        <v>2026</v>
      </c>
      <c r="B3103">
        <v>4</v>
      </c>
      <c r="C3103" s="83">
        <v>116434949555</v>
      </c>
      <c r="D3103" t="s">
        <v>2774</v>
      </c>
      <c r="E3103">
        <v>59230444415</v>
      </c>
      <c r="F3103">
        <v>611020</v>
      </c>
      <c r="G3103">
        <v>54703391661</v>
      </c>
      <c r="H3103" t="s">
        <v>35</v>
      </c>
      <c r="I3103" s="36">
        <v>4919.6400000000003</v>
      </c>
      <c r="J3103" s="36">
        <v>4919.6400000000003</v>
      </c>
      <c r="K3103" s="85">
        <v>0</v>
      </c>
      <c r="L3103" s="36">
        <v>409.97</v>
      </c>
      <c r="M3103" s="36">
        <v>0</v>
      </c>
      <c r="N3103" s="36">
        <v>2.2725</v>
      </c>
      <c r="O3103" s="36">
        <v>407.7</v>
      </c>
      <c r="P3103" t="s">
        <v>110</v>
      </c>
      <c r="Q3103" t="s">
        <v>111</v>
      </c>
      <c r="R3103" t="s">
        <v>111</v>
      </c>
      <c r="S3103" s="1">
        <v>46139</v>
      </c>
      <c r="T3103" s="1">
        <v>46139</v>
      </c>
      <c r="U3103" s="1">
        <v>46136</v>
      </c>
      <c r="V3103" s="1">
        <v>46504</v>
      </c>
      <c r="W3103" t="s">
        <v>38</v>
      </c>
      <c r="X3103">
        <v>12</v>
      </c>
      <c r="Y3103" t="s">
        <v>49</v>
      </c>
      <c r="Z3103" t="s">
        <v>81</v>
      </c>
      <c r="AA3103" t="s">
        <v>117</v>
      </c>
      <c r="AB3103">
        <v>1</v>
      </c>
      <c r="AC3103" t="s">
        <v>113</v>
      </c>
      <c r="AD3103" t="s">
        <v>85</v>
      </c>
      <c r="AE3103" t="s">
        <v>46</v>
      </c>
      <c r="AF3103" t="s">
        <v>44</v>
      </c>
      <c r="AG3103" t="str">
        <f t="shared" si="57"/>
        <v>À Vista</v>
      </c>
      <c r="AH3103" t="str">
        <f t="shared" si="58"/>
        <v/>
      </c>
    </row>
    <row r="3104" spans="1:34">
      <c r="A3104">
        <v>2026</v>
      </c>
      <c r="B3104">
        <v>4</v>
      </c>
      <c r="C3104" s="83">
        <v>116473716270</v>
      </c>
      <c r="D3104" t="s">
        <v>2775</v>
      </c>
      <c r="E3104">
        <v>58011742559</v>
      </c>
      <c r="F3104">
        <v>629185</v>
      </c>
      <c r="G3104">
        <v>53207712597</v>
      </c>
      <c r="H3104" t="s">
        <v>35</v>
      </c>
      <c r="I3104" s="36">
        <v>2874</v>
      </c>
      <c r="J3104" s="36">
        <v>2874</v>
      </c>
      <c r="K3104" s="85">
        <v>0</v>
      </c>
      <c r="L3104" s="36">
        <v>239.5</v>
      </c>
      <c r="M3104" s="36">
        <v>0</v>
      </c>
      <c r="N3104" s="36">
        <v>36.35</v>
      </c>
      <c r="O3104" s="36">
        <v>203.15</v>
      </c>
      <c r="P3104" t="s">
        <v>165</v>
      </c>
      <c r="Q3104" t="s">
        <v>166</v>
      </c>
      <c r="R3104" t="s">
        <v>166</v>
      </c>
      <c r="S3104" s="1">
        <v>46139</v>
      </c>
      <c r="T3104" s="1">
        <v>46139</v>
      </c>
      <c r="U3104" s="1">
        <v>46142</v>
      </c>
      <c r="V3104" s="1">
        <v>46507</v>
      </c>
      <c r="W3104" t="s">
        <v>38</v>
      </c>
      <c r="X3104">
        <v>12</v>
      </c>
      <c r="Y3104" t="s">
        <v>49</v>
      </c>
      <c r="Z3104" t="s">
        <v>81</v>
      </c>
      <c r="AA3104" t="s">
        <v>122</v>
      </c>
      <c r="AB3104">
        <v>12</v>
      </c>
      <c r="AC3104" t="s">
        <v>166</v>
      </c>
      <c r="AD3104" t="s">
        <v>140</v>
      </c>
      <c r="AE3104" t="s">
        <v>46</v>
      </c>
      <c r="AF3104" t="s">
        <v>119</v>
      </c>
      <c r="AG3104" t="str">
        <f t="shared" si="57"/>
        <v>Recorrente</v>
      </c>
      <c r="AH3104" t="str">
        <f t="shared" si="58"/>
        <v/>
      </c>
    </row>
    <row r="3105" spans="1:34">
      <c r="A3105">
        <v>2026</v>
      </c>
      <c r="B3105">
        <v>4</v>
      </c>
      <c r="C3105" s="83">
        <v>116588846117</v>
      </c>
      <c r="D3105" t="s">
        <v>2776</v>
      </c>
      <c r="E3105">
        <v>57912045899</v>
      </c>
      <c r="F3105">
        <v>628993</v>
      </c>
      <c r="G3105">
        <v>53125134915</v>
      </c>
      <c r="H3105" t="s">
        <v>35</v>
      </c>
      <c r="I3105" s="36">
        <v>2874</v>
      </c>
      <c r="J3105" s="36">
        <v>2874</v>
      </c>
      <c r="K3105" s="85">
        <v>0</v>
      </c>
      <c r="L3105" s="36">
        <v>239.5</v>
      </c>
      <c r="M3105" s="36">
        <v>0</v>
      </c>
      <c r="N3105" s="36">
        <v>36.35</v>
      </c>
      <c r="O3105" s="36">
        <v>203.15</v>
      </c>
      <c r="P3105" t="s">
        <v>165</v>
      </c>
      <c r="Q3105" t="s">
        <v>166</v>
      </c>
      <c r="R3105" t="s">
        <v>166</v>
      </c>
      <c r="S3105" s="1">
        <v>46137</v>
      </c>
      <c r="T3105" s="1">
        <v>46137</v>
      </c>
      <c r="U3105" s="1">
        <v>46137</v>
      </c>
      <c r="V3105" s="1">
        <v>46502</v>
      </c>
      <c r="W3105" t="s">
        <v>38</v>
      </c>
      <c r="X3105">
        <v>12</v>
      </c>
      <c r="Y3105" t="s">
        <v>49</v>
      </c>
      <c r="Z3105" t="s">
        <v>81</v>
      </c>
      <c r="AA3105" t="s">
        <v>112</v>
      </c>
      <c r="AB3105">
        <v>12</v>
      </c>
      <c r="AC3105" t="s">
        <v>166</v>
      </c>
      <c r="AD3105" t="s">
        <v>140</v>
      </c>
      <c r="AE3105" t="s">
        <v>46</v>
      </c>
      <c r="AF3105" t="s">
        <v>119</v>
      </c>
      <c r="AG3105" t="str">
        <f t="shared" si="57"/>
        <v>CC 12x</v>
      </c>
      <c r="AH3105" t="str">
        <f t="shared" si="58"/>
        <v/>
      </c>
    </row>
    <row r="3106" spans="1:34">
      <c r="A3106">
        <v>2026</v>
      </c>
      <c r="B3106">
        <v>4</v>
      </c>
      <c r="C3106" s="83">
        <v>116634808456</v>
      </c>
      <c r="D3106" t="s">
        <v>587</v>
      </c>
      <c r="E3106">
        <v>58380573832</v>
      </c>
      <c r="F3106">
        <v>612989</v>
      </c>
      <c r="G3106">
        <v>54801553041</v>
      </c>
      <c r="H3106" t="s">
        <v>35</v>
      </c>
      <c r="I3106" s="36">
        <v>4278.84</v>
      </c>
      <c r="J3106" s="36">
        <v>4278.84</v>
      </c>
      <c r="K3106" s="85">
        <v>0</v>
      </c>
      <c r="L3106" s="36">
        <v>356.57</v>
      </c>
      <c r="M3106" s="36">
        <v>0</v>
      </c>
      <c r="N3106" s="36">
        <v>95.344999999999999</v>
      </c>
      <c r="O3106" s="36">
        <v>261.23</v>
      </c>
      <c r="P3106" t="s">
        <v>110</v>
      </c>
      <c r="Q3106" t="s">
        <v>111</v>
      </c>
      <c r="R3106" t="s">
        <v>111</v>
      </c>
      <c r="S3106" s="1">
        <v>46142</v>
      </c>
      <c r="T3106" s="1">
        <v>46142</v>
      </c>
      <c r="U3106" s="1">
        <v>46137</v>
      </c>
      <c r="V3106" s="1">
        <v>46507</v>
      </c>
      <c r="W3106" t="s">
        <v>38</v>
      </c>
      <c r="X3106">
        <v>12</v>
      </c>
      <c r="Y3106" t="s">
        <v>49</v>
      </c>
      <c r="Z3106" t="s">
        <v>81</v>
      </c>
      <c r="AA3106" t="s">
        <v>122</v>
      </c>
      <c r="AB3106">
        <v>12</v>
      </c>
      <c r="AC3106" t="s">
        <v>113</v>
      </c>
      <c r="AD3106" t="s">
        <v>84</v>
      </c>
      <c r="AE3106" t="s">
        <v>43</v>
      </c>
      <c r="AF3106" t="s">
        <v>44</v>
      </c>
      <c r="AG3106" t="str">
        <f t="shared" si="57"/>
        <v>Recorrente</v>
      </c>
      <c r="AH3106" t="str">
        <f t="shared" si="58"/>
        <v/>
      </c>
    </row>
    <row r="3107" spans="1:34">
      <c r="A3107">
        <v>2026</v>
      </c>
      <c r="B3107">
        <v>4</v>
      </c>
      <c r="C3107" s="83">
        <v>116676643616</v>
      </c>
      <c r="D3107" t="s">
        <v>2777</v>
      </c>
      <c r="E3107">
        <v>58963734801</v>
      </c>
      <c r="F3107">
        <v>628851</v>
      </c>
      <c r="G3107">
        <v>54118802489</v>
      </c>
      <c r="H3107" t="s">
        <v>35</v>
      </c>
      <c r="I3107" s="36">
        <v>5399.04</v>
      </c>
      <c r="J3107" s="36">
        <v>5399.04</v>
      </c>
      <c r="K3107" s="85">
        <v>0</v>
      </c>
      <c r="L3107" s="36">
        <v>449.92</v>
      </c>
      <c r="M3107" s="36">
        <v>0</v>
      </c>
      <c r="N3107" s="36">
        <v>0.81615000000000004</v>
      </c>
      <c r="O3107" s="36">
        <v>449.1</v>
      </c>
      <c r="P3107" t="s">
        <v>127</v>
      </c>
      <c r="Q3107" t="s">
        <v>111</v>
      </c>
      <c r="R3107" t="s">
        <v>111</v>
      </c>
      <c r="S3107" s="1">
        <v>46132</v>
      </c>
      <c r="T3107" s="1">
        <v>46132</v>
      </c>
      <c r="U3107" s="1">
        <v>46134</v>
      </c>
      <c r="V3107" s="1">
        <v>46499</v>
      </c>
      <c r="W3107" t="s">
        <v>38</v>
      </c>
      <c r="X3107">
        <v>12</v>
      </c>
      <c r="Y3107" t="s">
        <v>49</v>
      </c>
      <c r="Z3107" t="s">
        <v>76</v>
      </c>
      <c r="AA3107" t="s">
        <v>117</v>
      </c>
      <c r="AB3107">
        <v>1</v>
      </c>
      <c r="AC3107" t="s">
        <v>113</v>
      </c>
      <c r="AD3107" t="s">
        <v>149</v>
      </c>
      <c r="AE3107" t="s">
        <v>43</v>
      </c>
      <c r="AF3107" t="s">
        <v>96</v>
      </c>
      <c r="AG3107" t="str">
        <f t="shared" si="57"/>
        <v>À Vista</v>
      </c>
      <c r="AH3107" t="str">
        <f t="shared" si="58"/>
        <v/>
      </c>
    </row>
    <row r="3108" spans="1:34">
      <c r="A3108">
        <v>2026</v>
      </c>
      <c r="B3108">
        <v>4</v>
      </c>
      <c r="C3108" s="83">
        <v>116691205027</v>
      </c>
      <c r="D3108" t="s">
        <v>2778</v>
      </c>
      <c r="E3108">
        <v>59219995228</v>
      </c>
      <c r="F3108">
        <v>629099</v>
      </c>
      <c r="G3108">
        <v>54372614323</v>
      </c>
      <c r="H3108" t="s">
        <v>35</v>
      </c>
      <c r="I3108" s="36">
        <v>2198.64</v>
      </c>
      <c r="J3108" s="36">
        <v>2198.64</v>
      </c>
      <c r="K3108" s="85">
        <v>0</v>
      </c>
      <c r="L3108" s="36">
        <v>183.22</v>
      </c>
      <c r="M3108" s="36">
        <v>0</v>
      </c>
      <c r="N3108" s="36">
        <v>9.4674999999999994</v>
      </c>
      <c r="O3108" s="36">
        <v>173.75</v>
      </c>
      <c r="P3108" t="s">
        <v>110</v>
      </c>
      <c r="Q3108" t="s">
        <v>111</v>
      </c>
      <c r="R3108" t="s">
        <v>111</v>
      </c>
      <c r="S3108" s="1">
        <v>46128</v>
      </c>
      <c r="T3108" s="1">
        <v>46128</v>
      </c>
      <c r="U3108" s="1">
        <v>46141</v>
      </c>
      <c r="V3108" s="1">
        <v>46506</v>
      </c>
      <c r="W3108" t="s">
        <v>38</v>
      </c>
      <c r="X3108">
        <v>12</v>
      </c>
      <c r="Y3108" t="s">
        <v>49</v>
      </c>
      <c r="Z3108" t="s">
        <v>81</v>
      </c>
      <c r="AA3108" t="s">
        <v>112</v>
      </c>
      <c r="AB3108">
        <v>3</v>
      </c>
      <c r="AC3108" t="s">
        <v>113</v>
      </c>
      <c r="AD3108" t="s">
        <v>140</v>
      </c>
      <c r="AE3108" t="s">
        <v>46</v>
      </c>
      <c r="AF3108" t="s">
        <v>119</v>
      </c>
      <c r="AG3108" t="str">
        <f t="shared" si="57"/>
        <v>CC 3x</v>
      </c>
      <c r="AH3108" t="str">
        <f t="shared" si="58"/>
        <v/>
      </c>
    </row>
    <row r="3109" spans="1:34">
      <c r="A3109">
        <v>2026</v>
      </c>
      <c r="B3109">
        <v>4</v>
      </c>
      <c r="C3109" s="83">
        <v>116960822301</v>
      </c>
      <c r="D3109" t="s">
        <v>958</v>
      </c>
      <c r="E3109">
        <v>59139960757</v>
      </c>
      <c r="F3109">
        <v>532940</v>
      </c>
      <c r="G3109">
        <v>54280041745</v>
      </c>
      <c r="H3109" t="s">
        <v>35</v>
      </c>
      <c r="I3109" s="36">
        <v>6547.8</v>
      </c>
      <c r="J3109" s="36">
        <v>6547.8</v>
      </c>
      <c r="K3109" s="85">
        <v>9.0949500000000005E-13</v>
      </c>
      <c r="L3109" s="36">
        <v>545.65</v>
      </c>
      <c r="M3109" s="36">
        <v>0</v>
      </c>
      <c r="N3109" s="36">
        <v>0</v>
      </c>
      <c r="O3109" s="36">
        <v>545.65</v>
      </c>
      <c r="P3109" t="s">
        <v>133</v>
      </c>
      <c r="Q3109" t="s">
        <v>111</v>
      </c>
      <c r="R3109" t="s">
        <v>111</v>
      </c>
      <c r="S3109" s="1">
        <v>46127</v>
      </c>
      <c r="T3109" s="1">
        <v>46127</v>
      </c>
      <c r="U3109" s="1">
        <v>46126</v>
      </c>
      <c r="V3109" s="1">
        <v>46492</v>
      </c>
      <c r="W3109" t="s">
        <v>38</v>
      </c>
      <c r="X3109">
        <v>12</v>
      </c>
      <c r="Y3109" t="s">
        <v>49</v>
      </c>
      <c r="Z3109" t="s">
        <v>81</v>
      </c>
      <c r="AA3109" t="s">
        <v>122</v>
      </c>
      <c r="AB3109">
        <v>12</v>
      </c>
      <c r="AC3109" t="s">
        <v>113</v>
      </c>
      <c r="AD3109" t="s">
        <v>134</v>
      </c>
      <c r="AE3109" t="s">
        <v>135</v>
      </c>
      <c r="AF3109" t="s">
        <v>44</v>
      </c>
      <c r="AG3109" t="str">
        <f t="shared" si="57"/>
        <v>Recorrente</v>
      </c>
      <c r="AH3109" t="str">
        <f t="shared" si="58"/>
        <v/>
      </c>
    </row>
    <row r="3110" spans="1:34">
      <c r="A3110">
        <v>2026</v>
      </c>
      <c r="B3110">
        <v>4</v>
      </c>
      <c r="C3110" s="83">
        <v>117012960011</v>
      </c>
      <c r="D3110" t="s">
        <v>2779</v>
      </c>
      <c r="E3110">
        <v>58330717843</v>
      </c>
      <c r="F3110">
        <v>637074</v>
      </c>
      <c r="G3110">
        <v>54279582313</v>
      </c>
      <c r="H3110" t="s">
        <v>35</v>
      </c>
      <c r="I3110" s="36">
        <v>4411.2</v>
      </c>
      <c r="J3110" s="36">
        <v>4411.2</v>
      </c>
      <c r="K3110" s="85">
        <v>0</v>
      </c>
      <c r="L3110" s="36">
        <v>367.6</v>
      </c>
      <c r="M3110" s="36">
        <v>367.6</v>
      </c>
      <c r="N3110" s="36">
        <v>0</v>
      </c>
      <c r="O3110" s="36">
        <v>0</v>
      </c>
      <c r="P3110" t="s">
        <v>829</v>
      </c>
      <c r="Q3110" t="s">
        <v>300</v>
      </c>
      <c r="R3110" t="s">
        <v>300</v>
      </c>
      <c r="S3110" s="1">
        <v>46126</v>
      </c>
      <c r="T3110" s="1">
        <v>46126</v>
      </c>
      <c r="V3110" s="1">
        <v>46491</v>
      </c>
      <c r="W3110" t="s">
        <v>38</v>
      </c>
      <c r="X3110">
        <v>12</v>
      </c>
      <c r="Y3110" t="s">
        <v>49</v>
      </c>
      <c r="AA3110" t="s">
        <v>122</v>
      </c>
      <c r="AB3110">
        <v>12</v>
      </c>
      <c r="AC3110" t="s">
        <v>301</v>
      </c>
      <c r="AD3110" t="s">
        <v>138</v>
      </c>
      <c r="AE3110" t="s">
        <v>135</v>
      </c>
      <c r="AF3110" t="s">
        <v>119</v>
      </c>
      <c r="AG3110" t="str">
        <f t="shared" si="57"/>
        <v>Recorrente</v>
      </c>
      <c r="AH3110" t="str">
        <f t="shared" si="58"/>
        <v/>
      </c>
    </row>
    <row r="3111" spans="1:34">
      <c r="A3111">
        <v>2026</v>
      </c>
      <c r="B3111">
        <v>4</v>
      </c>
      <c r="C3111" s="83">
        <v>117590610224</v>
      </c>
      <c r="D3111" t="s">
        <v>2780</v>
      </c>
      <c r="E3111">
        <v>58610174342</v>
      </c>
      <c r="F3111">
        <v>629202</v>
      </c>
      <c r="G3111">
        <v>54270332334</v>
      </c>
      <c r="H3111" t="s">
        <v>35</v>
      </c>
      <c r="I3111" s="36">
        <v>3588</v>
      </c>
      <c r="J3111" s="36">
        <v>3588</v>
      </c>
      <c r="K3111" s="85">
        <v>0</v>
      </c>
      <c r="L3111" s="36">
        <v>299</v>
      </c>
      <c r="M3111" s="36">
        <v>0</v>
      </c>
      <c r="N3111" s="36">
        <v>47.45</v>
      </c>
      <c r="O3111" s="36">
        <v>251.55</v>
      </c>
      <c r="P3111" t="s">
        <v>127</v>
      </c>
      <c r="Q3111" t="s">
        <v>111</v>
      </c>
      <c r="R3111" t="s">
        <v>111</v>
      </c>
      <c r="S3111" s="1">
        <v>46125</v>
      </c>
      <c r="T3111" s="1">
        <v>46125</v>
      </c>
      <c r="U3111" s="1">
        <v>46142</v>
      </c>
      <c r="V3111" s="1">
        <v>46507</v>
      </c>
      <c r="W3111" t="s">
        <v>38</v>
      </c>
      <c r="X3111">
        <v>12</v>
      </c>
      <c r="Y3111" t="s">
        <v>49</v>
      </c>
      <c r="Z3111" t="s">
        <v>81</v>
      </c>
      <c r="AA3111" t="s">
        <v>122</v>
      </c>
      <c r="AB3111">
        <v>12</v>
      </c>
      <c r="AC3111" t="s">
        <v>113</v>
      </c>
      <c r="AD3111" t="s">
        <v>84</v>
      </c>
      <c r="AE3111" t="s">
        <v>43</v>
      </c>
      <c r="AF3111" t="s">
        <v>44</v>
      </c>
      <c r="AG3111" t="str">
        <f t="shared" si="57"/>
        <v>Recorrente</v>
      </c>
      <c r="AH3111" t="str">
        <f t="shared" si="58"/>
        <v/>
      </c>
    </row>
    <row r="3112" spans="1:34">
      <c r="A3112">
        <v>2026</v>
      </c>
      <c r="B3112">
        <v>4</v>
      </c>
      <c r="C3112" s="83">
        <v>117622349711</v>
      </c>
      <c r="D3112" t="s">
        <v>2781</v>
      </c>
      <c r="E3112">
        <v>59230312542</v>
      </c>
      <c r="F3112">
        <v>533786</v>
      </c>
      <c r="G3112">
        <v>54878873689</v>
      </c>
      <c r="H3112" t="s">
        <v>35</v>
      </c>
      <c r="I3112" s="36">
        <v>4315.4399999999996</v>
      </c>
      <c r="J3112" s="36">
        <v>4315.4399999999996</v>
      </c>
      <c r="K3112" s="85">
        <v>0</v>
      </c>
      <c r="L3112" s="36">
        <v>359.62</v>
      </c>
      <c r="M3112" s="36">
        <v>0</v>
      </c>
      <c r="N3112" s="36">
        <v>32.335000000000001</v>
      </c>
      <c r="O3112" s="36">
        <v>327.29000000000002</v>
      </c>
      <c r="P3112" t="s">
        <v>121</v>
      </c>
      <c r="Q3112" t="s">
        <v>111</v>
      </c>
      <c r="R3112" t="s">
        <v>111</v>
      </c>
      <c r="S3112" s="1">
        <v>46141</v>
      </c>
      <c r="T3112" s="1">
        <v>46141</v>
      </c>
      <c r="U3112" s="1">
        <v>46139</v>
      </c>
      <c r="V3112" s="1">
        <v>46506</v>
      </c>
      <c r="W3112" t="s">
        <v>38</v>
      </c>
      <c r="X3112">
        <v>12</v>
      </c>
      <c r="Y3112" t="s">
        <v>49</v>
      </c>
      <c r="Z3112" t="s">
        <v>81</v>
      </c>
      <c r="AA3112" t="s">
        <v>117</v>
      </c>
      <c r="AB3112">
        <v>1</v>
      </c>
      <c r="AC3112" t="s">
        <v>113</v>
      </c>
      <c r="AD3112" t="s">
        <v>85</v>
      </c>
      <c r="AE3112" t="s">
        <v>46</v>
      </c>
      <c r="AF3112" t="s">
        <v>44</v>
      </c>
      <c r="AG3112" t="str">
        <f t="shared" si="57"/>
        <v>À Vista</v>
      </c>
      <c r="AH3112" t="str">
        <f t="shared" si="58"/>
        <v/>
      </c>
    </row>
    <row r="3113" spans="1:34">
      <c r="A3113">
        <v>2026</v>
      </c>
      <c r="B3113">
        <v>4</v>
      </c>
      <c r="C3113" s="83">
        <v>117696350316</v>
      </c>
      <c r="D3113" t="s">
        <v>2782</v>
      </c>
      <c r="E3113">
        <v>57999488920</v>
      </c>
      <c r="F3113">
        <v>629156</v>
      </c>
      <c r="G3113">
        <v>53225072529</v>
      </c>
      <c r="H3113" t="s">
        <v>35</v>
      </c>
      <c r="I3113" s="36">
        <v>2148</v>
      </c>
      <c r="J3113" s="36">
        <v>2148</v>
      </c>
      <c r="K3113" s="85">
        <v>0</v>
      </c>
      <c r="L3113" s="36">
        <v>179</v>
      </c>
      <c r="M3113" s="36">
        <v>0</v>
      </c>
      <c r="N3113" s="36">
        <v>28.7</v>
      </c>
      <c r="O3113" s="36">
        <v>150.30000000000001</v>
      </c>
      <c r="P3113" t="s">
        <v>165</v>
      </c>
      <c r="Q3113" t="s">
        <v>166</v>
      </c>
      <c r="R3113" t="s">
        <v>166</v>
      </c>
      <c r="S3113" s="1">
        <v>46139</v>
      </c>
      <c r="T3113" s="1">
        <v>46139</v>
      </c>
      <c r="U3113" s="1">
        <v>46141</v>
      </c>
      <c r="V3113" s="1">
        <v>46506</v>
      </c>
      <c r="W3113" t="s">
        <v>38</v>
      </c>
      <c r="X3113">
        <v>12</v>
      </c>
      <c r="Y3113" t="s">
        <v>49</v>
      </c>
      <c r="Z3113" t="s">
        <v>81</v>
      </c>
      <c r="AA3113" t="s">
        <v>122</v>
      </c>
      <c r="AB3113">
        <v>12</v>
      </c>
      <c r="AC3113" t="s">
        <v>166</v>
      </c>
      <c r="AD3113" t="s">
        <v>256</v>
      </c>
      <c r="AE3113" t="s">
        <v>257</v>
      </c>
      <c r="AF3113" t="s">
        <v>59</v>
      </c>
      <c r="AG3113" t="str">
        <f t="shared" si="57"/>
        <v>Recorrente</v>
      </c>
      <c r="AH3113" t="str">
        <f t="shared" si="58"/>
        <v/>
      </c>
    </row>
    <row r="3114" spans="1:34">
      <c r="A3114">
        <v>2026</v>
      </c>
      <c r="B3114">
        <v>4</v>
      </c>
      <c r="C3114" s="83">
        <v>117703101986</v>
      </c>
      <c r="D3114" t="s">
        <v>2783</v>
      </c>
      <c r="E3114">
        <v>58015854716</v>
      </c>
      <c r="F3114">
        <v>611868</v>
      </c>
      <c r="G3114">
        <v>53215079603</v>
      </c>
      <c r="H3114" t="s">
        <v>35</v>
      </c>
      <c r="I3114" s="36">
        <v>4315.4399999999996</v>
      </c>
      <c r="J3114" s="36">
        <v>4315.4399999999996</v>
      </c>
      <c r="K3114" s="85">
        <v>0</v>
      </c>
      <c r="L3114" s="36">
        <v>359.62</v>
      </c>
      <c r="M3114" s="36">
        <v>0</v>
      </c>
      <c r="N3114" s="36">
        <v>53.844999999999999</v>
      </c>
      <c r="O3114" s="36">
        <v>305.77999999999997</v>
      </c>
      <c r="P3114" t="s">
        <v>165</v>
      </c>
      <c r="Q3114" t="s">
        <v>166</v>
      </c>
      <c r="R3114" t="s">
        <v>166</v>
      </c>
      <c r="S3114" s="1">
        <v>46139</v>
      </c>
      <c r="T3114" s="1">
        <v>46139</v>
      </c>
      <c r="U3114" s="1">
        <v>46142</v>
      </c>
      <c r="V3114" s="1">
        <v>46507</v>
      </c>
      <c r="W3114" t="s">
        <v>38</v>
      </c>
      <c r="X3114">
        <v>12</v>
      </c>
      <c r="Y3114" t="s">
        <v>49</v>
      </c>
      <c r="Z3114" t="s">
        <v>81</v>
      </c>
      <c r="AA3114" t="s">
        <v>112</v>
      </c>
      <c r="AB3114">
        <v>12</v>
      </c>
      <c r="AC3114" t="s">
        <v>166</v>
      </c>
      <c r="AD3114" t="s">
        <v>85</v>
      </c>
      <c r="AE3114" t="s">
        <v>46</v>
      </c>
      <c r="AF3114" t="s">
        <v>44</v>
      </c>
      <c r="AG3114" t="str">
        <f t="shared" si="57"/>
        <v>CC 12x</v>
      </c>
      <c r="AH3114" t="str">
        <f t="shared" si="58"/>
        <v/>
      </c>
    </row>
    <row r="3115" spans="1:34">
      <c r="A3115">
        <v>2026</v>
      </c>
      <c r="B3115">
        <v>4</v>
      </c>
      <c r="C3115" s="83">
        <v>117954173853</v>
      </c>
      <c r="D3115" t="s">
        <v>960</v>
      </c>
      <c r="E3115">
        <v>59708751455</v>
      </c>
      <c r="F3115">
        <v>629180</v>
      </c>
      <c r="G3115">
        <v>54839845158</v>
      </c>
      <c r="H3115" t="s">
        <v>35</v>
      </c>
      <c r="I3115" s="36">
        <v>2874</v>
      </c>
      <c r="J3115" s="36">
        <v>2874</v>
      </c>
      <c r="K3115" s="85">
        <v>0</v>
      </c>
      <c r="L3115" s="36">
        <v>239.5</v>
      </c>
      <c r="M3115" s="36">
        <v>0</v>
      </c>
      <c r="N3115" s="36">
        <v>36.35</v>
      </c>
      <c r="O3115" s="36">
        <v>203.15</v>
      </c>
      <c r="P3115" t="s">
        <v>133</v>
      </c>
      <c r="Q3115" t="s">
        <v>111</v>
      </c>
      <c r="R3115" t="s">
        <v>111</v>
      </c>
      <c r="S3115" s="1">
        <v>46142</v>
      </c>
      <c r="T3115" s="1">
        <v>46142</v>
      </c>
      <c r="U3115" s="1">
        <v>46142</v>
      </c>
      <c r="V3115" s="1">
        <v>46507</v>
      </c>
      <c r="W3115" t="s">
        <v>38</v>
      </c>
      <c r="X3115">
        <v>12</v>
      </c>
      <c r="Y3115" t="s">
        <v>49</v>
      </c>
      <c r="Z3115" t="s">
        <v>81</v>
      </c>
      <c r="AA3115" t="s">
        <v>112</v>
      </c>
      <c r="AB3115">
        <v>12</v>
      </c>
      <c r="AC3115" t="s">
        <v>113</v>
      </c>
      <c r="AD3115" t="s">
        <v>140</v>
      </c>
      <c r="AE3115" t="s">
        <v>46</v>
      </c>
      <c r="AF3115" t="s">
        <v>119</v>
      </c>
      <c r="AG3115" t="str">
        <f t="shared" si="57"/>
        <v>CC 12x</v>
      </c>
      <c r="AH3115" t="str">
        <f t="shared" si="58"/>
        <v/>
      </c>
    </row>
    <row r="3116" spans="1:34">
      <c r="A3116">
        <v>2026</v>
      </c>
      <c r="B3116">
        <v>4</v>
      </c>
      <c r="C3116" s="83">
        <v>118001049907</v>
      </c>
      <c r="D3116" t="s">
        <v>2784</v>
      </c>
      <c r="E3116">
        <v>59145585519</v>
      </c>
      <c r="F3116">
        <v>313800</v>
      </c>
      <c r="G3116">
        <v>54801177366</v>
      </c>
      <c r="H3116" t="s">
        <v>35</v>
      </c>
      <c r="I3116" s="36">
        <v>7387.32</v>
      </c>
      <c r="J3116" s="36">
        <v>7387.32</v>
      </c>
      <c r="K3116" s="85">
        <v>0</v>
      </c>
      <c r="L3116" s="36">
        <v>615.61</v>
      </c>
      <c r="M3116" s="36">
        <v>0</v>
      </c>
      <c r="N3116" s="36">
        <v>15.615</v>
      </c>
      <c r="O3116" s="36">
        <v>600</v>
      </c>
      <c r="P3116" t="s">
        <v>133</v>
      </c>
      <c r="Q3116" t="s">
        <v>111</v>
      </c>
      <c r="R3116" t="s">
        <v>111</v>
      </c>
      <c r="S3116" s="1">
        <v>46139</v>
      </c>
      <c r="T3116" s="1">
        <v>46139</v>
      </c>
      <c r="U3116" s="1">
        <v>46139</v>
      </c>
      <c r="V3116" s="1">
        <v>46504</v>
      </c>
      <c r="W3116" t="s">
        <v>38</v>
      </c>
      <c r="X3116">
        <v>12</v>
      </c>
      <c r="Y3116" t="s">
        <v>49</v>
      </c>
      <c r="Z3116" t="s">
        <v>81</v>
      </c>
      <c r="AA3116" t="s">
        <v>122</v>
      </c>
      <c r="AB3116">
        <v>12</v>
      </c>
      <c r="AC3116" t="s">
        <v>113</v>
      </c>
      <c r="AD3116" t="s">
        <v>131</v>
      </c>
      <c r="AE3116" t="s">
        <v>46</v>
      </c>
      <c r="AF3116" t="s">
        <v>96</v>
      </c>
      <c r="AG3116" t="str">
        <f t="shared" si="57"/>
        <v>Recorrente</v>
      </c>
      <c r="AH3116" t="str">
        <f t="shared" si="58"/>
        <v/>
      </c>
    </row>
    <row r="3117" spans="1:34">
      <c r="A3117">
        <v>2026</v>
      </c>
      <c r="B3117">
        <v>4</v>
      </c>
      <c r="C3117" s="83">
        <v>118006580634</v>
      </c>
      <c r="D3117" t="s">
        <v>2785</v>
      </c>
      <c r="E3117">
        <v>58649767582</v>
      </c>
      <c r="F3117">
        <v>637430</v>
      </c>
      <c r="G3117">
        <v>54803944744</v>
      </c>
      <c r="H3117" t="s">
        <v>35</v>
      </c>
      <c r="I3117" s="36">
        <v>2346</v>
      </c>
      <c r="J3117" s="36">
        <v>2346</v>
      </c>
      <c r="K3117" s="85">
        <v>0</v>
      </c>
      <c r="L3117" s="36">
        <v>195.5</v>
      </c>
      <c r="M3117" s="36">
        <v>195.5</v>
      </c>
      <c r="N3117" s="36">
        <v>0</v>
      </c>
      <c r="O3117" s="36">
        <v>0</v>
      </c>
      <c r="P3117" t="s">
        <v>1073</v>
      </c>
      <c r="Q3117" t="s">
        <v>314</v>
      </c>
      <c r="R3117" t="s">
        <v>314</v>
      </c>
      <c r="S3117" s="1">
        <v>46140</v>
      </c>
      <c r="T3117" s="1">
        <v>46140</v>
      </c>
      <c r="V3117" s="1">
        <v>46505</v>
      </c>
      <c r="W3117" t="s">
        <v>38</v>
      </c>
      <c r="X3117">
        <v>12</v>
      </c>
      <c r="Y3117" t="s">
        <v>49</v>
      </c>
      <c r="AA3117" t="s">
        <v>112</v>
      </c>
      <c r="AB3117">
        <v>12</v>
      </c>
      <c r="AC3117" t="s">
        <v>315</v>
      </c>
      <c r="AD3117" t="s">
        <v>140</v>
      </c>
      <c r="AE3117" t="s">
        <v>46</v>
      </c>
      <c r="AF3117" t="s">
        <v>119</v>
      </c>
      <c r="AG3117" t="str">
        <f t="shared" si="57"/>
        <v>CC 12x</v>
      </c>
      <c r="AH3117" t="str">
        <f t="shared" si="58"/>
        <v/>
      </c>
    </row>
    <row r="3118" spans="1:34">
      <c r="A3118">
        <v>2026</v>
      </c>
      <c r="B3118">
        <v>4</v>
      </c>
      <c r="C3118" s="83">
        <v>118200288945</v>
      </c>
      <c r="D3118" t="s">
        <v>2786</v>
      </c>
      <c r="E3118">
        <v>59464858726</v>
      </c>
      <c r="F3118">
        <v>637237</v>
      </c>
      <c r="G3118">
        <v>54545625252</v>
      </c>
      <c r="H3118" t="s">
        <v>35</v>
      </c>
      <c r="I3118" s="36">
        <v>2874</v>
      </c>
      <c r="J3118" s="36">
        <v>2874</v>
      </c>
      <c r="K3118" s="85">
        <v>0</v>
      </c>
      <c r="L3118" s="36">
        <v>239.5</v>
      </c>
      <c r="M3118" s="36">
        <v>239.5</v>
      </c>
      <c r="N3118" s="36">
        <v>0</v>
      </c>
      <c r="O3118" s="36">
        <v>0</v>
      </c>
      <c r="P3118" t="s">
        <v>497</v>
      </c>
      <c r="Q3118" t="s">
        <v>498</v>
      </c>
      <c r="R3118" t="s">
        <v>498</v>
      </c>
      <c r="S3118" s="1">
        <v>46134</v>
      </c>
      <c r="T3118" s="1">
        <v>46134</v>
      </c>
      <c r="V3118" s="1">
        <v>46499</v>
      </c>
      <c r="W3118" t="s">
        <v>38</v>
      </c>
      <c r="X3118">
        <v>12</v>
      </c>
      <c r="Y3118" t="s">
        <v>49</v>
      </c>
      <c r="AA3118" t="s">
        <v>112</v>
      </c>
      <c r="AB3118">
        <v>2</v>
      </c>
      <c r="AC3118" t="s">
        <v>499</v>
      </c>
      <c r="AD3118" t="s">
        <v>118</v>
      </c>
      <c r="AE3118" t="s">
        <v>43</v>
      </c>
      <c r="AF3118" t="s">
        <v>119</v>
      </c>
      <c r="AG3118" t="str">
        <f t="shared" si="57"/>
        <v>CC 3x</v>
      </c>
      <c r="AH3118" t="str">
        <f t="shared" si="58"/>
        <v/>
      </c>
    </row>
    <row r="3119" spans="1:34">
      <c r="A3119">
        <v>2026</v>
      </c>
      <c r="B3119">
        <v>4</v>
      </c>
      <c r="C3119" s="83">
        <v>118200288945</v>
      </c>
      <c r="D3119" t="s">
        <v>2786</v>
      </c>
      <c r="E3119">
        <v>59464858726</v>
      </c>
      <c r="F3119">
        <v>637237</v>
      </c>
      <c r="G3119">
        <v>54556075556</v>
      </c>
      <c r="H3119" t="s">
        <v>35</v>
      </c>
      <c r="I3119" s="36">
        <v>2874</v>
      </c>
      <c r="J3119" s="36">
        <v>2874</v>
      </c>
      <c r="K3119" s="85">
        <v>0</v>
      </c>
      <c r="L3119" s="36">
        <v>239.5</v>
      </c>
      <c r="M3119" s="36">
        <v>239.5</v>
      </c>
      <c r="N3119" s="36">
        <v>0</v>
      </c>
      <c r="O3119" s="36">
        <v>0</v>
      </c>
      <c r="P3119" t="s">
        <v>497</v>
      </c>
      <c r="Q3119" t="s">
        <v>498</v>
      </c>
      <c r="R3119" t="s">
        <v>498</v>
      </c>
      <c r="S3119" s="1">
        <v>46134</v>
      </c>
      <c r="T3119" s="1">
        <v>46134</v>
      </c>
      <c r="V3119" s="1">
        <v>46499</v>
      </c>
      <c r="W3119" t="s">
        <v>38</v>
      </c>
      <c r="X3119">
        <v>12</v>
      </c>
      <c r="Y3119" t="s">
        <v>49</v>
      </c>
      <c r="AA3119" t="s">
        <v>112</v>
      </c>
      <c r="AB3119">
        <v>2</v>
      </c>
      <c r="AC3119" t="s">
        <v>499</v>
      </c>
      <c r="AD3119" t="s">
        <v>140</v>
      </c>
      <c r="AE3119" t="s">
        <v>46</v>
      </c>
      <c r="AF3119" t="s">
        <v>119</v>
      </c>
      <c r="AG3119" t="str">
        <f t="shared" si="57"/>
        <v>CC 3x</v>
      </c>
      <c r="AH3119" t="str">
        <f t="shared" si="58"/>
        <v/>
      </c>
    </row>
    <row r="3120" spans="1:34">
      <c r="A3120">
        <v>2026</v>
      </c>
      <c r="B3120">
        <v>4</v>
      </c>
      <c r="C3120" s="83">
        <v>118218013840</v>
      </c>
      <c r="D3120" t="s">
        <v>2787</v>
      </c>
      <c r="E3120">
        <v>58102906185</v>
      </c>
      <c r="F3120">
        <v>628833</v>
      </c>
      <c r="G3120">
        <v>54510056880</v>
      </c>
      <c r="H3120" t="s">
        <v>35</v>
      </c>
      <c r="I3120" s="36">
        <v>2586.6</v>
      </c>
      <c r="J3120" s="36">
        <v>2586.6</v>
      </c>
      <c r="K3120" s="85">
        <v>0</v>
      </c>
      <c r="L3120" s="36">
        <v>215.55</v>
      </c>
      <c r="M3120" s="36">
        <v>0</v>
      </c>
      <c r="N3120" s="36">
        <v>12.4</v>
      </c>
      <c r="O3120" s="36">
        <v>203.15</v>
      </c>
      <c r="P3120" t="s">
        <v>121</v>
      </c>
      <c r="Q3120" t="s">
        <v>111</v>
      </c>
      <c r="R3120" t="s">
        <v>111</v>
      </c>
      <c r="S3120" s="1">
        <v>46134</v>
      </c>
      <c r="T3120" s="1">
        <v>46134</v>
      </c>
      <c r="U3120" s="1">
        <v>46129</v>
      </c>
      <c r="V3120" s="1">
        <v>46499</v>
      </c>
      <c r="W3120" t="s">
        <v>38</v>
      </c>
      <c r="X3120">
        <v>12</v>
      </c>
      <c r="Y3120" t="s">
        <v>49</v>
      </c>
      <c r="Z3120" t="s">
        <v>81</v>
      </c>
      <c r="AA3120" t="s">
        <v>122</v>
      </c>
      <c r="AB3120">
        <v>12</v>
      </c>
      <c r="AC3120" t="s">
        <v>113</v>
      </c>
      <c r="AD3120" t="s">
        <v>140</v>
      </c>
      <c r="AE3120" t="s">
        <v>46</v>
      </c>
      <c r="AF3120" t="s">
        <v>119</v>
      </c>
      <c r="AG3120" t="str">
        <f t="shared" si="57"/>
        <v>Recorrente</v>
      </c>
      <c r="AH3120" t="str">
        <f t="shared" si="58"/>
        <v/>
      </c>
    </row>
    <row r="3121" spans="1:34">
      <c r="A3121">
        <v>2026</v>
      </c>
      <c r="B3121">
        <v>4</v>
      </c>
      <c r="C3121" s="83">
        <v>118224416903</v>
      </c>
      <c r="D3121" t="s">
        <v>2788</v>
      </c>
      <c r="E3121">
        <v>57987943534</v>
      </c>
      <c r="F3121">
        <v>533828</v>
      </c>
      <c r="G3121">
        <v>53225654295</v>
      </c>
      <c r="H3121" t="s">
        <v>35</v>
      </c>
      <c r="I3121" s="36">
        <v>4962.6000000000004</v>
      </c>
      <c r="J3121" s="36">
        <v>4962.6000000000004</v>
      </c>
      <c r="K3121" s="85">
        <v>0</v>
      </c>
      <c r="L3121" s="36">
        <v>413.55</v>
      </c>
      <c r="M3121" s="36">
        <v>0</v>
      </c>
      <c r="N3121" s="36">
        <v>85.37</v>
      </c>
      <c r="O3121" s="36">
        <v>328.18</v>
      </c>
      <c r="P3121" t="s">
        <v>165</v>
      </c>
      <c r="Q3121" t="s">
        <v>166</v>
      </c>
      <c r="R3121" t="s">
        <v>166</v>
      </c>
      <c r="S3121" s="1">
        <v>46139</v>
      </c>
      <c r="T3121" s="1">
        <v>46139</v>
      </c>
      <c r="U3121" s="1">
        <v>46141</v>
      </c>
      <c r="V3121" s="1">
        <v>46506</v>
      </c>
      <c r="W3121" t="s">
        <v>38</v>
      </c>
      <c r="X3121">
        <v>12</v>
      </c>
      <c r="Y3121" t="s">
        <v>49</v>
      </c>
      <c r="Z3121" t="s">
        <v>81</v>
      </c>
      <c r="AA3121" t="s">
        <v>112</v>
      </c>
      <c r="AB3121">
        <v>12</v>
      </c>
      <c r="AC3121" t="s">
        <v>166</v>
      </c>
      <c r="AD3121" t="s">
        <v>138</v>
      </c>
      <c r="AE3121" t="s">
        <v>135</v>
      </c>
      <c r="AF3121" t="s">
        <v>119</v>
      </c>
      <c r="AG3121" t="str">
        <f t="shared" si="57"/>
        <v>CC 12x</v>
      </c>
      <c r="AH3121" t="str">
        <f t="shared" si="58"/>
        <v/>
      </c>
    </row>
    <row r="3122" spans="1:34">
      <c r="A3122">
        <v>2026</v>
      </c>
      <c r="B3122">
        <v>4</v>
      </c>
      <c r="C3122" s="83">
        <v>118227646794</v>
      </c>
      <c r="D3122" t="s">
        <v>2789</v>
      </c>
      <c r="E3122">
        <v>59149437019</v>
      </c>
      <c r="F3122">
        <v>522669</v>
      </c>
      <c r="G3122">
        <v>54269830817</v>
      </c>
      <c r="H3122" t="s">
        <v>35</v>
      </c>
      <c r="I3122" s="36">
        <v>35268</v>
      </c>
      <c r="J3122" s="36">
        <v>17634</v>
      </c>
      <c r="K3122" s="85">
        <v>17634</v>
      </c>
      <c r="L3122" s="36">
        <v>1469.5</v>
      </c>
      <c r="M3122" s="36">
        <v>0</v>
      </c>
      <c r="N3122" s="36">
        <v>593.86</v>
      </c>
      <c r="O3122" s="36">
        <v>875.64</v>
      </c>
      <c r="P3122" t="s">
        <v>323</v>
      </c>
      <c r="Q3122" t="s">
        <v>191</v>
      </c>
      <c r="R3122" t="s">
        <v>191</v>
      </c>
      <c r="S3122" s="1">
        <v>46125</v>
      </c>
      <c r="T3122" s="1">
        <v>46125</v>
      </c>
      <c r="U3122" s="1">
        <v>46126</v>
      </c>
      <c r="V3122" s="1">
        <v>46857</v>
      </c>
      <c r="W3122" t="s">
        <v>56</v>
      </c>
      <c r="X3122">
        <v>24</v>
      </c>
      <c r="Y3122" t="s">
        <v>49</v>
      </c>
      <c r="Z3122" t="s">
        <v>81</v>
      </c>
      <c r="AA3122" t="s">
        <v>122</v>
      </c>
      <c r="AB3122">
        <v>24</v>
      </c>
      <c r="AC3122" t="s">
        <v>192</v>
      </c>
      <c r="AD3122" t="s">
        <v>336</v>
      </c>
      <c r="AE3122" t="s">
        <v>135</v>
      </c>
      <c r="AF3122" t="s">
        <v>47</v>
      </c>
      <c r="AG3122" t="str">
        <f t="shared" si="57"/>
        <v>Recorrente</v>
      </c>
      <c r="AH3122" t="str">
        <f t="shared" si="58"/>
        <v/>
      </c>
    </row>
    <row r="3123" spans="1:34">
      <c r="A3123">
        <v>2026</v>
      </c>
      <c r="B3123">
        <v>4</v>
      </c>
      <c r="C3123" s="83">
        <v>118236295555</v>
      </c>
      <c r="D3123" t="s">
        <v>2790</v>
      </c>
      <c r="E3123">
        <v>58067877217</v>
      </c>
      <c r="F3123">
        <v>613554</v>
      </c>
      <c r="G3123">
        <v>54801464439</v>
      </c>
      <c r="H3123" t="s">
        <v>35</v>
      </c>
      <c r="I3123" s="36">
        <v>3462.84</v>
      </c>
      <c r="J3123" s="36">
        <v>3462.84</v>
      </c>
      <c r="K3123" s="85">
        <v>0</v>
      </c>
      <c r="L3123" s="36">
        <v>288.57</v>
      </c>
      <c r="M3123" s="36">
        <v>0</v>
      </c>
      <c r="N3123" s="36">
        <v>53.734999999999999</v>
      </c>
      <c r="O3123" s="36">
        <v>234.84</v>
      </c>
      <c r="P3123" t="s">
        <v>121</v>
      </c>
      <c r="Q3123" t="s">
        <v>111</v>
      </c>
      <c r="R3123" t="s">
        <v>111</v>
      </c>
      <c r="S3123" s="1">
        <v>46140</v>
      </c>
      <c r="T3123" s="1">
        <v>46140</v>
      </c>
      <c r="U3123" s="1">
        <v>46128</v>
      </c>
      <c r="V3123" s="1">
        <v>46505</v>
      </c>
      <c r="W3123" t="s">
        <v>38</v>
      </c>
      <c r="X3123">
        <v>12</v>
      </c>
      <c r="Y3123" t="s">
        <v>49</v>
      </c>
      <c r="Z3123" t="s">
        <v>81</v>
      </c>
      <c r="AA3123" t="s">
        <v>112</v>
      </c>
      <c r="AB3123">
        <v>12</v>
      </c>
      <c r="AC3123" t="s">
        <v>113</v>
      </c>
      <c r="AD3123" t="s">
        <v>160</v>
      </c>
      <c r="AE3123" t="s">
        <v>43</v>
      </c>
      <c r="AF3123" t="s">
        <v>44</v>
      </c>
      <c r="AG3123" t="str">
        <f t="shared" si="57"/>
        <v>CC 12x</v>
      </c>
      <c r="AH3123" t="str">
        <f t="shared" si="58"/>
        <v/>
      </c>
    </row>
    <row r="3124" spans="1:34">
      <c r="A3124">
        <v>2026</v>
      </c>
      <c r="B3124">
        <v>4</v>
      </c>
      <c r="C3124" s="83">
        <v>118259934275</v>
      </c>
      <c r="D3124" t="s">
        <v>2791</v>
      </c>
      <c r="E3124">
        <v>58011737623</v>
      </c>
      <c r="F3124">
        <v>629216</v>
      </c>
      <c r="G3124">
        <v>53230484815</v>
      </c>
      <c r="H3124" t="s">
        <v>35</v>
      </c>
      <c r="I3124" s="36">
        <v>6354</v>
      </c>
      <c r="J3124" s="36">
        <v>6354</v>
      </c>
      <c r="K3124" s="85">
        <v>0</v>
      </c>
      <c r="L3124" s="36">
        <v>529.5</v>
      </c>
      <c r="M3124" s="36">
        <v>0</v>
      </c>
      <c r="N3124" s="36">
        <v>80.400000000000006</v>
      </c>
      <c r="O3124" s="36">
        <v>449.1</v>
      </c>
      <c r="P3124" t="s">
        <v>165</v>
      </c>
      <c r="Q3124" t="s">
        <v>166</v>
      </c>
      <c r="R3124" t="s">
        <v>166</v>
      </c>
      <c r="S3124" s="1">
        <v>46139</v>
      </c>
      <c r="T3124" s="1">
        <v>46139</v>
      </c>
      <c r="U3124" s="1">
        <v>46142</v>
      </c>
      <c r="V3124" s="1">
        <v>46507</v>
      </c>
      <c r="W3124" t="s">
        <v>38</v>
      </c>
      <c r="X3124">
        <v>12</v>
      </c>
      <c r="Y3124" t="s">
        <v>49</v>
      </c>
      <c r="Z3124" t="s">
        <v>81</v>
      </c>
      <c r="AA3124" t="s">
        <v>122</v>
      </c>
      <c r="AB3124">
        <v>12</v>
      </c>
      <c r="AC3124" t="s">
        <v>166</v>
      </c>
      <c r="AD3124" t="s">
        <v>149</v>
      </c>
      <c r="AE3124" t="s">
        <v>43</v>
      </c>
      <c r="AF3124" t="s">
        <v>96</v>
      </c>
      <c r="AG3124" t="str">
        <f t="shared" si="57"/>
        <v>Recorrente</v>
      </c>
      <c r="AH3124" t="str">
        <f t="shared" si="58"/>
        <v/>
      </c>
    </row>
    <row r="3125" spans="1:34">
      <c r="A3125">
        <v>2026</v>
      </c>
      <c r="B3125">
        <v>4</v>
      </c>
      <c r="C3125" s="83">
        <v>118262961991</v>
      </c>
      <c r="D3125" t="s">
        <v>2792</v>
      </c>
      <c r="E3125">
        <v>58541650467</v>
      </c>
      <c r="F3125">
        <v>614192</v>
      </c>
      <c r="G3125">
        <v>54881221937</v>
      </c>
      <c r="H3125" t="s">
        <v>35</v>
      </c>
      <c r="I3125" s="36">
        <v>2874</v>
      </c>
      <c r="J3125" s="36">
        <v>2874</v>
      </c>
      <c r="K3125" s="85">
        <v>0</v>
      </c>
      <c r="L3125" s="36">
        <v>239.5</v>
      </c>
      <c r="M3125" s="36">
        <v>0</v>
      </c>
      <c r="N3125" s="36">
        <v>0.5</v>
      </c>
      <c r="O3125" s="36">
        <v>239</v>
      </c>
      <c r="P3125" t="s">
        <v>127</v>
      </c>
      <c r="Q3125" t="s">
        <v>111</v>
      </c>
      <c r="R3125" t="s">
        <v>111</v>
      </c>
      <c r="S3125" s="1">
        <v>46142</v>
      </c>
      <c r="T3125" s="1">
        <v>46142</v>
      </c>
      <c r="U3125" s="1">
        <v>46141</v>
      </c>
      <c r="V3125" s="1">
        <v>46507</v>
      </c>
      <c r="W3125" t="s">
        <v>38</v>
      </c>
      <c r="X3125">
        <v>12</v>
      </c>
      <c r="Y3125" t="s">
        <v>49</v>
      </c>
      <c r="Z3125" t="s">
        <v>81</v>
      </c>
      <c r="AA3125" t="s">
        <v>122</v>
      </c>
      <c r="AB3125">
        <v>12</v>
      </c>
      <c r="AC3125" t="s">
        <v>113</v>
      </c>
      <c r="AD3125" t="s">
        <v>118</v>
      </c>
      <c r="AE3125" t="s">
        <v>43</v>
      </c>
      <c r="AF3125" t="s">
        <v>119</v>
      </c>
      <c r="AG3125" t="str">
        <f t="shared" si="57"/>
        <v>Recorrente</v>
      </c>
      <c r="AH3125" t="str">
        <f t="shared" si="58"/>
        <v/>
      </c>
    </row>
    <row r="3126" spans="1:34">
      <c r="A3126">
        <v>2026</v>
      </c>
      <c r="B3126">
        <v>4</v>
      </c>
      <c r="C3126" s="83">
        <v>118265622861</v>
      </c>
      <c r="D3126" t="s">
        <v>2793</v>
      </c>
      <c r="E3126">
        <v>59478244623</v>
      </c>
      <c r="F3126">
        <v>637281</v>
      </c>
      <c r="G3126">
        <v>54635236243</v>
      </c>
      <c r="H3126" t="s">
        <v>35</v>
      </c>
      <c r="I3126" s="36">
        <v>4695.24</v>
      </c>
      <c r="J3126" s="36">
        <v>4695.24</v>
      </c>
      <c r="K3126" s="85">
        <v>0</v>
      </c>
      <c r="L3126" s="36">
        <v>391.27</v>
      </c>
      <c r="M3126" s="36">
        <v>391.27</v>
      </c>
      <c r="N3126" s="36">
        <v>0</v>
      </c>
      <c r="O3126" s="36">
        <v>0</v>
      </c>
      <c r="P3126" t="s">
        <v>1073</v>
      </c>
      <c r="Q3126" t="s">
        <v>314</v>
      </c>
      <c r="R3126" t="s">
        <v>314</v>
      </c>
      <c r="S3126" s="1">
        <v>46135</v>
      </c>
      <c r="T3126" s="1">
        <v>46135</v>
      </c>
      <c r="V3126" s="1">
        <v>46500</v>
      </c>
      <c r="W3126" t="s">
        <v>38</v>
      </c>
      <c r="X3126">
        <v>12</v>
      </c>
      <c r="Y3126" t="s">
        <v>49</v>
      </c>
      <c r="AA3126" t="s">
        <v>112</v>
      </c>
      <c r="AB3126">
        <v>12</v>
      </c>
      <c r="AC3126" t="s">
        <v>315</v>
      </c>
      <c r="AD3126" t="s">
        <v>85</v>
      </c>
      <c r="AE3126" t="s">
        <v>46</v>
      </c>
      <c r="AF3126" t="s">
        <v>44</v>
      </c>
      <c r="AG3126" t="str">
        <f t="shared" si="57"/>
        <v>CC 12x</v>
      </c>
      <c r="AH3126" t="str">
        <f t="shared" si="58"/>
        <v/>
      </c>
    </row>
    <row r="3127" spans="1:34">
      <c r="A3127">
        <v>2026</v>
      </c>
      <c r="B3127">
        <v>4</v>
      </c>
      <c r="C3127" s="83">
        <v>11846911152</v>
      </c>
      <c r="D3127" t="s">
        <v>2794</v>
      </c>
      <c r="E3127">
        <v>57484510758</v>
      </c>
      <c r="F3127">
        <v>613475</v>
      </c>
      <c r="G3127">
        <v>52788735131</v>
      </c>
      <c r="H3127" t="s">
        <v>35</v>
      </c>
      <c r="I3127" s="36">
        <v>6354</v>
      </c>
      <c r="J3127" s="36">
        <v>6354</v>
      </c>
      <c r="K3127" s="85">
        <v>0</v>
      </c>
      <c r="L3127" s="36">
        <v>529.5</v>
      </c>
      <c r="M3127" s="36">
        <v>0</v>
      </c>
      <c r="N3127" s="36">
        <v>30.5</v>
      </c>
      <c r="O3127" s="36">
        <v>499</v>
      </c>
      <c r="P3127" t="s">
        <v>165</v>
      </c>
      <c r="Q3127" t="s">
        <v>166</v>
      </c>
      <c r="R3127" t="s">
        <v>166</v>
      </c>
      <c r="S3127" s="1">
        <v>46127</v>
      </c>
      <c r="T3127" s="1">
        <v>46127</v>
      </c>
      <c r="U3127" s="1">
        <v>46127</v>
      </c>
      <c r="V3127" s="1">
        <v>46492</v>
      </c>
      <c r="W3127" t="s">
        <v>38</v>
      </c>
      <c r="X3127">
        <v>12</v>
      </c>
      <c r="Y3127" t="s">
        <v>49</v>
      </c>
      <c r="Z3127" t="s">
        <v>81</v>
      </c>
      <c r="AA3127" t="s">
        <v>122</v>
      </c>
      <c r="AB3127">
        <v>12</v>
      </c>
      <c r="AC3127" t="s">
        <v>166</v>
      </c>
      <c r="AD3127" t="s">
        <v>149</v>
      </c>
      <c r="AE3127" t="s">
        <v>43</v>
      </c>
      <c r="AF3127" t="s">
        <v>96</v>
      </c>
      <c r="AG3127" t="str">
        <f t="shared" si="57"/>
        <v>Recorrente</v>
      </c>
      <c r="AH3127" t="str">
        <f t="shared" si="58"/>
        <v/>
      </c>
    </row>
    <row r="3128" spans="1:34">
      <c r="A3128">
        <v>2026</v>
      </c>
      <c r="B3128">
        <v>4</v>
      </c>
      <c r="C3128" s="83">
        <v>118986138900</v>
      </c>
      <c r="D3128" t="s">
        <v>2795</v>
      </c>
      <c r="E3128">
        <v>57998320422</v>
      </c>
      <c r="F3128">
        <v>533989</v>
      </c>
      <c r="G3128">
        <v>53228895089</v>
      </c>
      <c r="H3128" t="s">
        <v>35</v>
      </c>
      <c r="I3128" s="36">
        <v>2586.6</v>
      </c>
      <c r="J3128" s="36">
        <v>2586.6</v>
      </c>
      <c r="K3128" s="85">
        <v>0</v>
      </c>
      <c r="L3128" s="36">
        <v>215.55</v>
      </c>
      <c r="M3128" s="36">
        <v>0</v>
      </c>
      <c r="N3128" s="36">
        <v>24.35</v>
      </c>
      <c r="O3128" s="36">
        <v>191.2</v>
      </c>
      <c r="P3128" t="s">
        <v>165</v>
      </c>
      <c r="Q3128" t="s">
        <v>166</v>
      </c>
      <c r="R3128" t="s">
        <v>166</v>
      </c>
      <c r="S3128" s="1">
        <v>46139</v>
      </c>
      <c r="T3128" s="1">
        <v>46139</v>
      </c>
      <c r="U3128" s="1">
        <v>46140</v>
      </c>
      <c r="V3128" s="1">
        <v>46505</v>
      </c>
      <c r="W3128" t="s">
        <v>38</v>
      </c>
      <c r="X3128">
        <v>12</v>
      </c>
      <c r="Y3128" t="s">
        <v>49</v>
      </c>
      <c r="Z3128" t="s">
        <v>81</v>
      </c>
      <c r="AA3128" t="s">
        <v>112</v>
      </c>
      <c r="AB3128">
        <v>12</v>
      </c>
      <c r="AC3128" t="s">
        <v>166</v>
      </c>
      <c r="AD3128" t="s">
        <v>118</v>
      </c>
      <c r="AE3128" t="s">
        <v>43</v>
      </c>
      <c r="AF3128" t="s">
        <v>119</v>
      </c>
      <c r="AG3128" t="str">
        <f t="shared" si="57"/>
        <v>CC 12x</v>
      </c>
      <c r="AH3128" t="str">
        <f t="shared" si="58"/>
        <v/>
      </c>
    </row>
    <row r="3129" spans="1:34">
      <c r="A3129">
        <v>2026</v>
      </c>
      <c r="B3129">
        <v>4</v>
      </c>
      <c r="C3129" s="83">
        <v>119614837016</v>
      </c>
      <c r="D3129" t="s">
        <v>2796</v>
      </c>
      <c r="E3129">
        <v>58875351935</v>
      </c>
      <c r="F3129">
        <v>533207</v>
      </c>
      <c r="G3129">
        <v>54293901960</v>
      </c>
      <c r="H3129" t="s">
        <v>35</v>
      </c>
      <c r="I3129" s="36">
        <v>2874</v>
      </c>
      <c r="J3129" s="36">
        <v>2874</v>
      </c>
      <c r="K3129" s="85">
        <v>0</v>
      </c>
      <c r="L3129" s="36">
        <v>239.5</v>
      </c>
      <c r="M3129" s="36">
        <v>0</v>
      </c>
      <c r="N3129" s="36">
        <v>0</v>
      </c>
      <c r="O3129" s="36">
        <v>239.5</v>
      </c>
      <c r="P3129" t="s">
        <v>127</v>
      </c>
      <c r="Q3129" t="s">
        <v>111</v>
      </c>
      <c r="R3129" t="s">
        <v>111</v>
      </c>
      <c r="S3129" s="1">
        <v>46128</v>
      </c>
      <c r="T3129" s="1">
        <v>46128</v>
      </c>
      <c r="U3129" s="1">
        <v>46132</v>
      </c>
      <c r="V3129" s="1">
        <v>46497</v>
      </c>
      <c r="W3129" t="s">
        <v>38</v>
      </c>
      <c r="X3129">
        <v>12</v>
      </c>
      <c r="Y3129" t="s">
        <v>49</v>
      </c>
      <c r="Z3129" t="s">
        <v>76</v>
      </c>
      <c r="AA3129" t="s">
        <v>122</v>
      </c>
      <c r="AB3129">
        <v>12</v>
      </c>
      <c r="AC3129" t="s">
        <v>113</v>
      </c>
      <c r="AD3129" t="s">
        <v>140</v>
      </c>
      <c r="AE3129" t="s">
        <v>46</v>
      </c>
      <c r="AF3129" t="s">
        <v>119</v>
      </c>
      <c r="AG3129" t="str">
        <f t="shared" si="57"/>
        <v>Recorrente</v>
      </c>
      <c r="AH3129" t="str">
        <f t="shared" si="58"/>
        <v/>
      </c>
    </row>
    <row r="3130" spans="1:34">
      <c r="A3130">
        <v>2026</v>
      </c>
      <c r="B3130">
        <v>4</v>
      </c>
      <c r="C3130" s="83">
        <v>120278594097</v>
      </c>
      <c r="D3130" t="s">
        <v>2797</v>
      </c>
      <c r="E3130">
        <v>57904909476</v>
      </c>
      <c r="F3130">
        <v>312198</v>
      </c>
      <c r="G3130">
        <v>53152937624</v>
      </c>
      <c r="H3130" t="s">
        <v>35</v>
      </c>
      <c r="I3130" s="36">
        <v>5178.6000000000004</v>
      </c>
      <c r="J3130" s="36">
        <v>5178.6000000000004</v>
      </c>
      <c r="K3130" s="85">
        <v>0</v>
      </c>
      <c r="L3130" s="36">
        <v>431.55</v>
      </c>
      <c r="M3130" s="36">
        <v>0</v>
      </c>
      <c r="N3130" s="36">
        <v>69.150000000000006</v>
      </c>
      <c r="O3130" s="36">
        <v>362.4</v>
      </c>
      <c r="P3130" t="s">
        <v>165</v>
      </c>
      <c r="Q3130" t="s">
        <v>166</v>
      </c>
      <c r="R3130" t="s">
        <v>166</v>
      </c>
      <c r="S3130" s="1">
        <v>46137</v>
      </c>
      <c r="T3130" s="1">
        <v>46137</v>
      </c>
      <c r="U3130" s="1">
        <v>46137</v>
      </c>
      <c r="V3130" s="1">
        <v>46502</v>
      </c>
      <c r="W3130" t="s">
        <v>38</v>
      </c>
      <c r="X3130">
        <v>12</v>
      </c>
      <c r="Y3130" t="s">
        <v>49</v>
      </c>
      <c r="Z3130" t="s">
        <v>81</v>
      </c>
      <c r="AA3130" t="s">
        <v>112</v>
      </c>
      <c r="AB3130">
        <v>12</v>
      </c>
      <c r="AC3130" t="s">
        <v>166</v>
      </c>
      <c r="AD3130" t="s">
        <v>85</v>
      </c>
      <c r="AE3130" t="s">
        <v>46</v>
      </c>
      <c r="AF3130" t="s">
        <v>44</v>
      </c>
      <c r="AG3130" t="str">
        <f t="shared" si="57"/>
        <v>CC 12x</v>
      </c>
      <c r="AH3130" t="str">
        <f t="shared" si="58"/>
        <v/>
      </c>
    </row>
    <row r="3131" spans="1:34">
      <c r="A3131">
        <v>2026</v>
      </c>
      <c r="B3131">
        <v>4</v>
      </c>
      <c r="C3131" s="83">
        <v>121061264308</v>
      </c>
      <c r="D3131" t="s">
        <v>1911</v>
      </c>
      <c r="E3131">
        <v>59224993403</v>
      </c>
      <c r="F3131">
        <v>637131</v>
      </c>
      <c r="G3131">
        <v>54294715473</v>
      </c>
      <c r="H3131" t="s">
        <v>35</v>
      </c>
      <c r="I3131" s="36">
        <v>3114</v>
      </c>
      <c r="J3131" s="36">
        <v>3114</v>
      </c>
      <c r="K3131" s="85">
        <v>0</v>
      </c>
      <c r="L3131" s="36">
        <v>259.5</v>
      </c>
      <c r="M3131" s="36">
        <v>259.5</v>
      </c>
      <c r="N3131" s="36">
        <v>0</v>
      </c>
      <c r="O3131" s="36">
        <v>0</v>
      </c>
      <c r="P3131" t="s">
        <v>511</v>
      </c>
      <c r="Q3131" t="s">
        <v>300</v>
      </c>
      <c r="R3131" t="s">
        <v>300</v>
      </c>
      <c r="S3131" s="1">
        <v>46128</v>
      </c>
      <c r="T3131" s="1">
        <v>46128</v>
      </c>
      <c r="W3131" t="s">
        <v>2733</v>
      </c>
      <c r="Y3131" t="s">
        <v>49</v>
      </c>
      <c r="AA3131" t="s">
        <v>122</v>
      </c>
      <c r="AB3131">
        <v>12</v>
      </c>
      <c r="AC3131" t="s">
        <v>301</v>
      </c>
      <c r="AD3131" t="s">
        <v>2734</v>
      </c>
      <c r="AE3131" t="s">
        <v>106</v>
      </c>
      <c r="AF3131" t="s">
        <v>59</v>
      </c>
      <c r="AG3131" t="str">
        <f t="shared" si="57"/>
        <v>Recorrente</v>
      </c>
      <c r="AH3131" t="str">
        <f t="shared" si="58"/>
        <v/>
      </c>
    </row>
    <row r="3132" spans="1:34">
      <c r="A3132">
        <v>2026</v>
      </c>
      <c r="B3132">
        <v>4</v>
      </c>
      <c r="C3132" s="83">
        <v>122026023993</v>
      </c>
      <c r="D3132" t="s">
        <v>2798</v>
      </c>
      <c r="E3132">
        <v>57958563961</v>
      </c>
      <c r="F3132">
        <v>312310</v>
      </c>
      <c r="G3132">
        <v>53858274931</v>
      </c>
      <c r="H3132" t="s">
        <v>35</v>
      </c>
      <c r="I3132" s="36">
        <v>9054.48</v>
      </c>
      <c r="J3132" s="36">
        <v>4527.24</v>
      </c>
      <c r="K3132" s="85">
        <v>4527.24</v>
      </c>
      <c r="L3132" s="36">
        <v>377.27</v>
      </c>
      <c r="M3132" s="36">
        <v>0</v>
      </c>
      <c r="N3132" s="36">
        <v>132.38999999999999</v>
      </c>
      <c r="O3132" s="36">
        <v>244.88</v>
      </c>
      <c r="P3132" t="s">
        <v>162</v>
      </c>
      <c r="Q3132" t="s">
        <v>111</v>
      </c>
      <c r="R3132" t="s">
        <v>111</v>
      </c>
      <c r="S3132" s="1">
        <v>46115</v>
      </c>
      <c r="T3132" s="1">
        <v>46115</v>
      </c>
      <c r="U3132" s="1">
        <v>46123</v>
      </c>
      <c r="V3132" s="1">
        <v>46447</v>
      </c>
      <c r="W3132" t="s">
        <v>56</v>
      </c>
      <c r="X3132">
        <v>11</v>
      </c>
      <c r="Y3132" t="s">
        <v>49</v>
      </c>
      <c r="Z3132" t="s">
        <v>81</v>
      </c>
      <c r="AA3132" t="s">
        <v>112</v>
      </c>
      <c r="AB3132">
        <v>12</v>
      </c>
      <c r="AC3132" t="s">
        <v>113</v>
      </c>
      <c r="AD3132" t="s">
        <v>174</v>
      </c>
      <c r="AE3132" t="s">
        <v>43</v>
      </c>
      <c r="AF3132" t="s">
        <v>47</v>
      </c>
      <c r="AG3132" t="str">
        <f t="shared" si="57"/>
        <v>CC 12x</v>
      </c>
      <c r="AH3132" t="str">
        <f t="shared" si="58"/>
        <v/>
      </c>
    </row>
    <row r="3133" spans="1:34">
      <c r="A3133">
        <v>2026</v>
      </c>
      <c r="B3133">
        <v>4</v>
      </c>
      <c r="C3133" s="83">
        <v>122227898193</v>
      </c>
      <c r="D3133" t="s">
        <v>2799</v>
      </c>
      <c r="E3133">
        <v>57505525506</v>
      </c>
      <c r="F3133">
        <v>312855</v>
      </c>
      <c r="G3133">
        <v>52767338761</v>
      </c>
      <c r="H3133" t="s">
        <v>35</v>
      </c>
      <c r="I3133" s="36">
        <v>2874</v>
      </c>
      <c r="J3133" s="36">
        <v>2874</v>
      </c>
      <c r="K3133" s="85">
        <v>0</v>
      </c>
      <c r="L3133" s="36">
        <v>239.5</v>
      </c>
      <c r="M3133" s="36">
        <v>0</v>
      </c>
      <c r="N3133" s="36">
        <v>0.5</v>
      </c>
      <c r="O3133" s="36">
        <v>239</v>
      </c>
      <c r="P3133" t="s">
        <v>165</v>
      </c>
      <c r="Q3133" t="s">
        <v>166</v>
      </c>
      <c r="R3133" t="s">
        <v>166</v>
      </c>
      <c r="S3133" s="1">
        <v>46130</v>
      </c>
      <c r="T3133" s="1">
        <v>46130</v>
      </c>
      <c r="U3133" s="1">
        <v>46130</v>
      </c>
      <c r="V3133" s="1">
        <v>46495</v>
      </c>
      <c r="W3133" t="s">
        <v>38</v>
      </c>
      <c r="X3133">
        <v>12</v>
      </c>
      <c r="Y3133" t="s">
        <v>49</v>
      </c>
      <c r="Z3133" t="s">
        <v>81</v>
      </c>
      <c r="AA3133" t="s">
        <v>112</v>
      </c>
      <c r="AB3133">
        <v>12</v>
      </c>
      <c r="AC3133" t="s">
        <v>166</v>
      </c>
      <c r="AD3133" t="s">
        <v>140</v>
      </c>
      <c r="AE3133" t="s">
        <v>46</v>
      </c>
      <c r="AF3133" t="s">
        <v>119</v>
      </c>
      <c r="AG3133" t="str">
        <f t="shared" si="57"/>
        <v>CC 12x</v>
      </c>
      <c r="AH3133" t="str">
        <f t="shared" si="58"/>
        <v/>
      </c>
    </row>
    <row r="3134" spans="1:34">
      <c r="A3134">
        <v>2026</v>
      </c>
      <c r="B3134">
        <v>4</v>
      </c>
      <c r="C3134" s="83">
        <v>122263416229</v>
      </c>
      <c r="D3134" t="s">
        <v>2800</v>
      </c>
      <c r="E3134">
        <v>59668610892</v>
      </c>
      <c r="F3134">
        <v>533554</v>
      </c>
      <c r="G3134">
        <v>54741251697</v>
      </c>
      <c r="H3134" t="s">
        <v>35</v>
      </c>
      <c r="I3134" s="36">
        <v>2874</v>
      </c>
      <c r="J3134" s="36">
        <v>2874</v>
      </c>
      <c r="K3134" s="85">
        <v>0</v>
      </c>
      <c r="L3134" s="36">
        <v>239.5</v>
      </c>
      <c r="M3134" s="36">
        <v>0</v>
      </c>
      <c r="N3134" s="36">
        <v>0</v>
      </c>
      <c r="O3134" s="36">
        <v>239.5</v>
      </c>
      <c r="P3134" t="s">
        <v>110</v>
      </c>
      <c r="Q3134" t="s">
        <v>111</v>
      </c>
      <c r="R3134" t="s">
        <v>111</v>
      </c>
      <c r="S3134" s="1">
        <v>46139</v>
      </c>
      <c r="T3134" s="1">
        <v>46139</v>
      </c>
      <c r="U3134" s="1">
        <v>46136</v>
      </c>
      <c r="V3134" s="1">
        <v>46504</v>
      </c>
      <c r="W3134" t="s">
        <v>38</v>
      </c>
      <c r="X3134">
        <v>12</v>
      </c>
      <c r="Y3134" t="s">
        <v>49</v>
      </c>
      <c r="Z3134" t="s">
        <v>81</v>
      </c>
      <c r="AA3134" t="s">
        <v>122</v>
      </c>
      <c r="AB3134">
        <v>12</v>
      </c>
      <c r="AC3134" t="s">
        <v>113</v>
      </c>
      <c r="AD3134" t="s">
        <v>140</v>
      </c>
      <c r="AE3134" t="s">
        <v>46</v>
      </c>
      <c r="AF3134" t="s">
        <v>119</v>
      </c>
      <c r="AG3134" t="str">
        <f t="shared" si="57"/>
        <v>Recorrente</v>
      </c>
      <c r="AH3134" t="str">
        <f t="shared" si="58"/>
        <v/>
      </c>
    </row>
    <row r="3135" spans="1:34">
      <c r="A3135">
        <v>2026</v>
      </c>
      <c r="B3135">
        <v>4</v>
      </c>
      <c r="C3135" s="83">
        <v>122739367847</v>
      </c>
      <c r="D3135" t="s">
        <v>2801</v>
      </c>
      <c r="E3135">
        <v>59418290601</v>
      </c>
      <c r="F3135">
        <v>533038</v>
      </c>
      <c r="G3135">
        <v>54509391026</v>
      </c>
      <c r="H3135" t="s">
        <v>35</v>
      </c>
      <c r="I3135" s="36">
        <v>10138.200000000001</v>
      </c>
      <c r="J3135" s="36">
        <v>10138.200000000001</v>
      </c>
      <c r="K3135" s="85">
        <v>0</v>
      </c>
      <c r="L3135" s="36">
        <v>844.85</v>
      </c>
      <c r="M3135" s="36">
        <v>0</v>
      </c>
      <c r="N3135" s="36">
        <v>21.197500000000002</v>
      </c>
      <c r="O3135" s="36">
        <v>823.65</v>
      </c>
      <c r="P3135" t="s">
        <v>133</v>
      </c>
      <c r="Q3135" t="s">
        <v>111</v>
      </c>
      <c r="R3135" t="s">
        <v>111</v>
      </c>
      <c r="S3135" s="1">
        <v>46134</v>
      </c>
      <c r="T3135" s="1">
        <v>46134</v>
      </c>
      <c r="U3135" s="1">
        <v>46130</v>
      </c>
      <c r="V3135" s="1">
        <v>46499</v>
      </c>
      <c r="W3135" t="s">
        <v>38</v>
      </c>
      <c r="X3135">
        <v>12</v>
      </c>
      <c r="Y3135" t="s">
        <v>49</v>
      </c>
      <c r="Z3135" t="s">
        <v>81</v>
      </c>
      <c r="AA3135" t="s">
        <v>122</v>
      </c>
      <c r="AB3135">
        <v>12</v>
      </c>
      <c r="AC3135" t="s">
        <v>113</v>
      </c>
      <c r="AD3135" t="s">
        <v>146</v>
      </c>
      <c r="AE3135" t="s">
        <v>135</v>
      </c>
      <c r="AF3135" t="s">
        <v>96</v>
      </c>
      <c r="AG3135" t="str">
        <f t="shared" si="57"/>
        <v>Recorrente</v>
      </c>
      <c r="AH3135" t="str">
        <f t="shared" si="58"/>
        <v/>
      </c>
    </row>
    <row r="3136" spans="1:34">
      <c r="A3136">
        <v>2026</v>
      </c>
      <c r="B3136">
        <v>4</v>
      </c>
      <c r="C3136" s="83">
        <v>122760090015</v>
      </c>
      <c r="D3136" t="s">
        <v>2802</v>
      </c>
      <c r="E3136">
        <v>58669638274</v>
      </c>
      <c r="F3136">
        <v>628102</v>
      </c>
      <c r="G3136">
        <v>53858581660</v>
      </c>
      <c r="H3136" t="s">
        <v>35</v>
      </c>
      <c r="I3136" s="36">
        <v>2874</v>
      </c>
      <c r="J3136" s="36">
        <v>2874</v>
      </c>
      <c r="K3136" s="85">
        <v>0</v>
      </c>
      <c r="L3136" s="36">
        <v>239.5</v>
      </c>
      <c r="M3136" s="36">
        <v>0</v>
      </c>
      <c r="N3136" s="36">
        <v>0.5</v>
      </c>
      <c r="O3136" s="36">
        <v>239</v>
      </c>
      <c r="P3136" t="s">
        <v>137</v>
      </c>
      <c r="Q3136" t="s">
        <v>111</v>
      </c>
      <c r="R3136" t="s">
        <v>111</v>
      </c>
      <c r="S3136" s="1">
        <v>46116</v>
      </c>
      <c r="T3136" s="1">
        <v>46116</v>
      </c>
      <c r="U3136" s="1">
        <v>46113</v>
      </c>
      <c r="V3136" s="1">
        <v>46481</v>
      </c>
      <c r="W3136" t="s">
        <v>38</v>
      </c>
      <c r="X3136">
        <v>12</v>
      </c>
      <c r="Y3136" t="s">
        <v>49</v>
      </c>
      <c r="Z3136" t="s">
        <v>81</v>
      </c>
      <c r="AA3136" t="s">
        <v>112</v>
      </c>
      <c r="AB3136">
        <v>12</v>
      </c>
      <c r="AC3136" t="s">
        <v>113</v>
      </c>
      <c r="AD3136" t="s">
        <v>140</v>
      </c>
      <c r="AE3136" t="s">
        <v>46</v>
      </c>
      <c r="AF3136" t="s">
        <v>119</v>
      </c>
      <c r="AG3136" t="str">
        <f t="shared" si="57"/>
        <v>CC 12x</v>
      </c>
      <c r="AH3136" t="str">
        <f t="shared" si="58"/>
        <v/>
      </c>
    </row>
    <row r="3137" spans="1:34">
      <c r="A3137">
        <v>2026</v>
      </c>
      <c r="B3137">
        <v>4</v>
      </c>
      <c r="C3137" s="83">
        <v>122790489525</v>
      </c>
      <c r="D3137" t="s">
        <v>1916</v>
      </c>
      <c r="E3137">
        <v>59170299433</v>
      </c>
      <c r="F3137">
        <v>636578</v>
      </c>
      <c r="G3137">
        <v>54282747287</v>
      </c>
      <c r="H3137" t="s">
        <v>35</v>
      </c>
      <c r="I3137" s="36">
        <v>3555.96</v>
      </c>
      <c r="J3137" s="36">
        <v>3842.88</v>
      </c>
      <c r="K3137" s="85">
        <v>0</v>
      </c>
      <c r="L3137" s="36">
        <v>320.24</v>
      </c>
      <c r="M3137" s="36">
        <v>0</v>
      </c>
      <c r="N3137" s="36">
        <v>320.24</v>
      </c>
      <c r="O3137" s="36">
        <v>0</v>
      </c>
      <c r="P3137" t="s">
        <v>511</v>
      </c>
      <c r="Q3137" t="s">
        <v>300</v>
      </c>
      <c r="R3137" t="s">
        <v>300</v>
      </c>
      <c r="S3137" s="1">
        <v>46126</v>
      </c>
      <c r="T3137" s="1">
        <v>46126</v>
      </c>
      <c r="U3137" s="1">
        <v>46464</v>
      </c>
      <c r="V3137" s="1">
        <v>46464</v>
      </c>
      <c r="W3137" t="s">
        <v>38</v>
      </c>
      <c r="X3137">
        <v>11</v>
      </c>
      <c r="Y3137" t="s">
        <v>49</v>
      </c>
      <c r="Z3137" t="s">
        <v>324</v>
      </c>
      <c r="AA3137" t="s">
        <v>122</v>
      </c>
      <c r="AB3137">
        <v>11</v>
      </c>
      <c r="AC3137" t="s">
        <v>301</v>
      </c>
      <c r="AD3137" t="s">
        <v>134</v>
      </c>
      <c r="AE3137" t="s">
        <v>135</v>
      </c>
      <c r="AF3137" t="s">
        <v>44</v>
      </c>
      <c r="AG3137" t="str">
        <f t="shared" ref="AG3137:AG3200" si="59">IF(IFERROR(SEARCH("Recorrente",AA3137),0)&gt;0,"Recorrente",IF(AB3137=1,"À Vista",IF(AB3137&lt;=3,"CC 3x",IF(AB3137&lt;=12,"CC 12x",IF(AB3137&gt;12,"Recorrente","")))))</f>
        <v>Recorrente</v>
      </c>
      <c r="AH3137" t="str">
        <f t="shared" ref="AH3137:AH3200" si="60">IF(AND(SUMIF(E:E,E3137,I:I)&gt;=400000,Q3137="B2G"),"n","")</f>
        <v/>
      </c>
    </row>
    <row r="3138" spans="1:34">
      <c r="A3138">
        <v>2026</v>
      </c>
      <c r="B3138">
        <v>4</v>
      </c>
      <c r="C3138" s="83">
        <v>123188841136</v>
      </c>
      <c r="D3138" t="s">
        <v>2803</v>
      </c>
      <c r="E3138">
        <v>58998607966</v>
      </c>
      <c r="F3138">
        <v>636954</v>
      </c>
      <c r="G3138">
        <v>54118753891</v>
      </c>
      <c r="H3138" t="s">
        <v>35</v>
      </c>
      <c r="I3138" s="36">
        <v>2586.6</v>
      </c>
      <c r="J3138" s="36">
        <v>2586.6</v>
      </c>
      <c r="K3138" s="85">
        <v>0</v>
      </c>
      <c r="L3138" s="36">
        <v>215.55</v>
      </c>
      <c r="M3138" s="36">
        <v>215.55</v>
      </c>
      <c r="N3138" s="36">
        <v>0</v>
      </c>
      <c r="O3138" s="36">
        <v>0</v>
      </c>
      <c r="P3138" t="s">
        <v>469</v>
      </c>
      <c r="Q3138" t="s">
        <v>191</v>
      </c>
      <c r="R3138" t="s">
        <v>300</v>
      </c>
      <c r="S3138" s="1">
        <v>46120</v>
      </c>
      <c r="T3138" s="1">
        <v>46120</v>
      </c>
      <c r="V3138" s="1">
        <v>46485</v>
      </c>
      <c r="W3138" t="s">
        <v>38</v>
      </c>
      <c r="X3138">
        <v>12</v>
      </c>
      <c r="Y3138" t="s">
        <v>49</v>
      </c>
      <c r="AA3138" t="s">
        <v>122</v>
      </c>
      <c r="AB3138">
        <v>12</v>
      </c>
      <c r="AC3138" t="s">
        <v>301</v>
      </c>
      <c r="AD3138" t="s">
        <v>140</v>
      </c>
      <c r="AE3138" t="s">
        <v>46</v>
      </c>
      <c r="AF3138" t="s">
        <v>119</v>
      </c>
      <c r="AG3138" t="str">
        <f t="shared" si="59"/>
        <v>Recorrente</v>
      </c>
      <c r="AH3138" t="str">
        <f t="shared" si="60"/>
        <v/>
      </c>
    </row>
    <row r="3139" spans="1:34">
      <c r="A3139">
        <v>2026</v>
      </c>
      <c r="B3139">
        <v>4</v>
      </c>
      <c r="C3139" s="83">
        <v>123685849420</v>
      </c>
      <c r="D3139" t="s">
        <v>2804</v>
      </c>
      <c r="E3139">
        <v>59096982200</v>
      </c>
      <c r="F3139">
        <v>637026</v>
      </c>
      <c r="G3139">
        <v>54205203267</v>
      </c>
      <c r="H3139" t="s">
        <v>35</v>
      </c>
      <c r="I3139" s="36">
        <v>7608.96</v>
      </c>
      <c r="J3139" s="36">
        <v>7609.0014000000001</v>
      </c>
      <c r="K3139" s="85">
        <v>0</v>
      </c>
      <c r="L3139" s="36">
        <v>634.08344999999997</v>
      </c>
      <c r="M3139" s="36">
        <v>634.08344999999997</v>
      </c>
      <c r="N3139" s="36">
        <v>0</v>
      </c>
      <c r="O3139" s="36">
        <v>0</v>
      </c>
      <c r="P3139" t="s">
        <v>506</v>
      </c>
      <c r="Q3139" t="s">
        <v>300</v>
      </c>
      <c r="R3139" t="s">
        <v>300</v>
      </c>
      <c r="S3139" s="1">
        <v>46122</v>
      </c>
      <c r="T3139" s="1">
        <v>46122</v>
      </c>
      <c r="V3139" s="1">
        <v>46487</v>
      </c>
      <c r="W3139" t="s">
        <v>38</v>
      </c>
      <c r="X3139">
        <v>12</v>
      </c>
      <c r="Y3139" t="s">
        <v>49</v>
      </c>
      <c r="AA3139" t="s">
        <v>112</v>
      </c>
      <c r="AB3139">
        <v>12</v>
      </c>
      <c r="AC3139" t="s">
        <v>301</v>
      </c>
      <c r="AD3139" t="s">
        <v>131</v>
      </c>
      <c r="AE3139" t="s">
        <v>46</v>
      </c>
      <c r="AF3139" t="s">
        <v>96</v>
      </c>
      <c r="AG3139" t="str">
        <f t="shared" si="59"/>
        <v>CC 12x</v>
      </c>
      <c r="AH3139" t="str">
        <f t="shared" si="60"/>
        <v/>
      </c>
    </row>
    <row r="3140" spans="1:34">
      <c r="A3140">
        <v>2026</v>
      </c>
      <c r="B3140">
        <v>4</v>
      </c>
      <c r="C3140" s="83">
        <v>124313703953</v>
      </c>
      <c r="D3140" t="s">
        <v>2805</v>
      </c>
      <c r="E3140">
        <v>58937283716</v>
      </c>
      <c r="F3140">
        <v>636952</v>
      </c>
      <c r="G3140">
        <v>54118561323</v>
      </c>
      <c r="H3140" t="s">
        <v>35</v>
      </c>
      <c r="I3140" s="36">
        <v>6941.64</v>
      </c>
      <c r="J3140" s="36">
        <v>4723.9113960000004</v>
      </c>
      <c r="K3140" s="85">
        <v>2217.7286039999999</v>
      </c>
      <c r="L3140" s="36">
        <v>393.65928300000002</v>
      </c>
      <c r="M3140" s="36">
        <v>0</v>
      </c>
      <c r="N3140" s="36">
        <v>393.65928300000002</v>
      </c>
      <c r="O3140" s="36">
        <v>0</v>
      </c>
      <c r="P3140" t="s">
        <v>511</v>
      </c>
      <c r="Q3140" t="s">
        <v>300</v>
      </c>
      <c r="R3140" t="s">
        <v>191</v>
      </c>
      <c r="S3140" s="1">
        <v>46120</v>
      </c>
      <c r="T3140" s="1">
        <v>46120</v>
      </c>
      <c r="V3140" s="1">
        <v>46485</v>
      </c>
      <c r="W3140" t="s">
        <v>38</v>
      </c>
      <c r="Y3140" t="s">
        <v>49</v>
      </c>
      <c r="AA3140" t="s">
        <v>112</v>
      </c>
      <c r="AB3140">
        <v>6</v>
      </c>
      <c r="AC3140" t="s">
        <v>192</v>
      </c>
      <c r="AD3140" t="s">
        <v>134</v>
      </c>
      <c r="AE3140" t="s">
        <v>135</v>
      </c>
      <c r="AF3140" t="s">
        <v>44</v>
      </c>
      <c r="AG3140" t="str">
        <f t="shared" si="59"/>
        <v>CC 12x</v>
      </c>
      <c r="AH3140" t="str">
        <f t="shared" si="60"/>
        <v/>
      </c>
    </row>
    <row r="3141" spans="1:34">
      <c r="A3141">
        <v>2026</v>
      </c>
      <c r="B3141">
        <v>4</v>
      </c>
      <c r="C3141" s="83">
        <v>124313703953</v>
      </c>
      <c r="D3141" t="s">
        <v>2805</v>
      </c>
      <c r="E3141">
        <v>58937283716</v>
      </c>
      <c r="F3141">
        <v>636952</v>
      </c>
      <c r="G3141">
        <v>54118561324</v>
      </c>
      <c r="H3141" t="s">
        <v>35</v>
      </c>
      <c r="I3141" s="36">
        <v>3258.84</v>
      </c>
      <c r="J3141" s="36">
        <v>2217.7520039999999</v>
      </c>
      <c r="K3141" s="85">
        <v>1041.087996</v>
      </c>
      <c r="L3141" s="36">
        <v>184.812667</v>
      </c>
      <c r="M3141" s="36">
        <v>0</v>
      </c>
      <c r="N3141" s="36">
        <v>184.812667</v>
      </c>
      <c r="O3141" s="36">
        <v>0</v>
      </c>
      <c r="P3141" t="s">
        <v>511</v>
      </c>
      <c r="Q3141" t="s">
        <v>300</v>
      </c>
      <c r="R3141" t="s">
        <v>191</v>
      </c>
      <c r="S3141" s="1">
        <v>46120</v>
      </c>
      <c r="T3141" s="1">
        <v>46120</v>
      </c>
      <c r="V3141" s="1">
        <v>46485</v>
      </c>
      <c r="W3141" t="s">
        <v>38</v>
      </c>
      <c r="Y3141" t="s">
        <v>49</v>
      </c>
      <c r="AA3141" t="s">
        <v>112</v>
      </c>
      <c r="AB3141">
        <v>6</v>
      </c>
      <c r="AC3141" t="s">
        <v>192</v>
      </c>
      <c r="AD3141" t="s">
        <v>142</v>
      </c>
      <c r="AE3141" t="s">
        <v>95</v>
      </c>
      <c r="AF3141" t="s">
        <v>44</v>
      </c>
      <c r="AG3141" t="str">
        <f t="shared" si="59"/>
        <v>CC 12x</v>
      </c>
      <c r="AH3141" t="str">
        <f t="shared" si="60"/>
        <v/>
      </c>
    </row>
    <row r="3142" spans="1:34">
      <c r="A3142">
        <v>2026</v>
      </c>
      <c r="B3142">
        <v>4</v>
      </c>
      <c r="C3142" s="83">
        <v>124897542447</v>
      </c>
      <c r="D3142" t="s">
        <v>2806</v>
      </c>
      <c r="E3142">
        <v>59728321960</v>
      </c>
      <c r="F3142">
        <v>526243</v>
      </c>
      <c r="G3142">
        <v>54884539467</v>
      </c>
      <c r="H3142" t="s">
        <v>35</v>
      </c>
      <c r="I3142" s="36">
        <v>3120</v>
      </c>
      <c r="J3142" s="36">
        <v>3120</v>
      </c>
      <c r="K3142" s="85">
        <v>0</v>
      </c>
      <c r="L3142" s="36">
        <v>260</v>
      </c>
      <c r="M3142" s="36">
        <v>0</v>
      </c>
      <c r="N3142" s="36">
        <v>0.5</v>
      </c>
      <c r="O3142" s="36">
        <v>259.5</v>
      </c>
      <c r="P3142" t="s">
        <v>133</v>
      </c>
      <c r="Q3142" t="s">
        <v>111</v>
      </c>
      <c r="R3142" t="s">
        <v>111</v>
      </c>
      <c r="S3142" s="1">
        <v>46141</v>
      </c>
      <c r="T3142" s="1">
        <v>46141</v>
      </c>
      <c r="U3142" s="1">
        <v>46054</v>
      </c>
      <c r="V3142" s="1">
        <v>46506</v>
      </c>
      <c r="W3142" t="s">
        <v>38</v>
      </c>
      <c r="X3142">
        <v>14</v>
      </c>
      <c r="Y3142" t="s">
        <v>49</v>
      </c>
      <c r="Z3142" t="s">
        <v>81</v>
      </c>
      <c r="AA3142" t="s">
        <v>112</v>
      </c>
      <c r="AB3142">
        <v>12</v>
      </c>
      <c r="AC3142" t="s">
        <v>113</v>
      </c>
      <c r="AD3142" t="s">
        <v>84</v>
      </c>
      <c r="AE3142" t="s">
        <v>43</v>
      </c>
      <c r="AF3142" t="s">
        <v>44</v>
      </c>
      <c r="AG3142" t="str">
        <f t="shared" si="59"/>
        <v>CC 12x</v>
      </c>
      <c r="AH3142" t="str">
        <f t="shared" si="60"/>
        <v/>
      </c>
    </row>
    <row r="3143" spans="1:34">
      <c r="A3143">
        <v>2026</v>
      </c>
      <c r="B3143">
        <v>4</v>
      </c>
      <c r="C3143" s="83">
        <v>125171261550</v>
      </c>
      <c r="D3143" t="s">
        <v>2807</v>
      </c>
      <c r="E3143">
        <v>57912977303</v>
      </c>
      <c r="F3143">
        <v>628486</v>
      </c>
      <c r="G3143">
        <v>54270996119</v>
      </c>
      <c r="H3143" t="s">
        <v>35</v>
      </c>
      <c r="I3143" s="36">
        <v>4646.3999999999996</v>
      </c>
      <c r="J3143" s="36">
        <v>4646.3999999999996</v>
      </c>
      <c r="K3143" s="85">
        <v>0</v>
      </c>
      <c r="L3143" s="36">
        <v>387.2</v>
      </c>
      <c r="M3143" s="36">
        <v>0</v>
      </c>
      <c r="N3143" s="36">
        <v>24.796250000000001</v>
      </c>
      <c r="O3143" s="36">
        <v>362.4</v>
      </c>
      <c r="P3143" t="s">
        <v>137</v>
      </c>
      <c r="Q3143" t="s">
        <v>111</v>
      </c>
      <c r="R3143" t="s">
        <v>111</v>
      </c>
      <c r="S3143" s="1">
        <v>46126</v>
      </c>
      <c r="T3143" s="1">
        <v>46126</v>
      </c>
      <c r="U3143" s="1">
        <v>46122</v>
      </c>
      <c r="V3143" s="1">
        <v>46491</v>
      </c>
      <c r="W3143" t="s">
        <v>38</v>
      </c>
      <c r="X3143">
        <v>12</v>
      </c>
      <c r="Y3143" t="s">
        <v>49</v>
      </c>
      <c r="Z3143" t="s">
        <v>81</v>
      </c>
      <c r="AA3143" t="s">
        <v>122</v>
      </c>
      <c r="AB3143">
        <v>12</v>
      </c>
      <c r="AC3143" t="s">
        <v>113</v>
      </c>
      <c r="AD3143" t="s">
        <v>85</v>
      </c>
      <c r="AE3143" t="s">
        <v>46</v>
      </c>
      <c r="AF3143" t="s">
        <v>44</v>
      </c>
      <c r="AG3143" t="str">
        <f t="shared" si="59"/>
        <v>Recorrente</v>
      </c>
      <c r="AH3143" t="str">
        <f t="shared" si="60"/>
        <v/>
      </c>
    </row>
    <row r="3144" spans="1:34">
      <c r="A3144">
        <v>2026</v>
      </c>
      <c r="B3144">
        <v>4</v>
      </c>
      <c r="C3144" s="83">
        <v>125457728257</v>
      </c>
      <c r="D3144" t="s">
        <v>2808</v>
      </c>
      <c r="E3144">
        <v>59005425442</v>
      </c>
      <c r="F3144">
        <v>312100</v>
      </c>
      <c r="G3144">
        <v>54269805929</v>
      </c>
      <c r="H3144" t="s">
        <v>35</v>
      </c>
      <c r="I3144" s="36">
        <v>4646.3999999999996</v>
      </c>
      <c r="J3144" s="36">
        <v>4646.3999999999996</v>
      </c>
      <c r="K3144" s="85">
        <v>0</v>
      </c>
      <c r="L3144" s="36">
        <v>387.2</v>
      </c>
      <c r="M3144" s="36">
        <v>0</v>
      </c>
      <c r="N3144" s="36">
        <v>61.036250000000003</v>
      </c>
      <c r="O3144" s="36">
        <v>326.16000000000003</v>
      </c>
      <c r="P3144" t="s">
        <v>110</v>
      </c>
      <c r="Q3144" t="s">
        <v>111</v>
      </c>
      <c r="R3144" t="s">
        <v>111</v>
      </c>
      <c r="S3144" s="1">
        <v>46125</v>
      </c>
      <c r="T3144" s="1">
        <v>46125</v>
      </c>
      <c r="U3144" s="1">
        <v>46124</v>
      </c>
      <c r="V3144" s="1">
        <v>46490</v>
      </c>
      <c r="W3144" t="s">
        <v>38</v>
      </c>
      <c r="X3144">
        <v>12</v>
      </c>
      <c r="Y3144" t="s">
        <v>49</v>
      </c>
      <c r="Z3144" t="s">
        <v>81</v>
      </c>
      <c r="AA3144" t="s">
        <v>112</v>
      </c>
      <c r="AB3144">
        <v>12</v>
      </c>
      <c r="AC3144" t="s">
        <v>113</v>
      </c>
      <c r="AD3144" t="s">
        <v>85</v>
      </c>
      <c r="AE3144" t="s">
        <v>46</v>
      </c>
      <c r="AF3144" t="s">
        <v>44</v>
      </c>
      <c r="AG3144" t="str">
        <f t="shared" si="59"/>
        <v>CC 12x</v>
      </c>
      <c r="AH3144" t="str">
        <f t="shared" si="60"/>
        <v/>
      </c>
    </row>
    <row r="3145" spans="1:34">
      <c r="A3145">
        <v>2026</v>
      </c>
      <c r="B3145">
        <v>4</v>
      </c>
      <c r="C3145" s="83">
        <v>125493031537</v>
      </c>
      <c r="D3145" t="s">
        <v>2809</v>
      </c>
      <c r="E3145">
        <v>58164679936</v>
      </c>
      <c r="F3145">
        <v>312191</v>
      </c>
      <c r="G3145">
        <v>53409068376</v>
      </c>
      <c r="H3145" t="s">
        <v>35</v>
      </c>
      <c r="I3145" s="36">
        <v>4315.2</v>
      </c>
      <c r="J3145" s="36">
        <v>4315.2</v>
      </c>
      <c r="K3145" s="85">
        <v>0</v>
      </c>
      <c r="L3145" s="36">
        <v>359.6</v>
      </c>
      <c r="M3145" s="36">
        <v>0</v>
      </c>
      <c r="N3145" s="36">
        <v>56.15</v>
      </c>
      <c r="O3145" s="36">
        <v>303.45</v>
      </c>
      <c r="P3145" t="s">
        <v>110</v>
      </c>
      <c r="Q3145" t="s">
        <v>111</v>
      </c>
      <c r="R3145" t="s">
        <v>111</v>
      </c>
      <c r="S3145" s="1">
        <v>46101</v>
      </c>
      <c r="T3145" s="1">
        <v>46113</v>
      </c>
      <c r="U3145" s="1">
        <v>46126</v>
      </c>
      <c r="V3145" s="1">
        <v>46491</v>
      </c>
      <c r="W3145" t="s">
        <v>38</v>
      </c>
      <c r="X3145">
        <v>12</v>
      </c>
      <c r="Y3145" t="s">
        <v>49</v>
      </c>
      <c r="Z3145" t="s">
        <v>81</v>
      </c>
      <c r="AA3145" t="s">
        <v>112</v>
      </c>
      <c r="AB3145">
        <v>12</v>
      </c>
      <c r="AC3145" t="s">
        <v>113</v>
      </c>
      <c r="AD3145" t="s">
        <v>84</v>
      </c>
      <c r="AE3145" t="s">
        <v>43</v>
      </c>
      <c r="AF3145" t="s">
        <v>44</v>
      </c>
      <c r="AG3145" t="str">
        <f t="shared" si="59"/>
        <v>CC 12x</v>
      </c>
      <c r="AH3145" t="str">
        <f t="shared" si="60"/>
        <v/>
      </c>
    </row>
    <row r="3146" spans="1:34">
      <c r="A3146">
        <v>2026</v>
      </c>
      <c r="B3146">
        <v>4</v>
      </c>
      <c r="C3146" s="83">
        <v>125493031537</v>
      </c>
      <c r="D3146" t="s">
        <v>2809</v>
      </c>
      <c r="E3146">
        <v>58164679936</v>
      </c>
      <c r="F3146">
        <v>312191</v>
      </c>
      <c r="G3146">
        <v>53409068377</v>
      </c>
      <c r="H3146" t="s">
        <v>35</v>
      </c>
      <c r="I3146" s="36">
        <v>4315.2</v>
      </c>
      <c r="J3146" s="36">
        <v>4315.2</v>
      </c>
      <c r="K3146" s="85">
        <v>0</v>
      </c>
      <c r="L3146" s="36">
        <v>359.6</v>
      </c>
      <c r="M3146" s="36">
        <v>0</v>
      </c>
      <c r="N3146" s="36">
        <v>56.15</v>
      </c>
      <c r="O3146" s="36">
        <v>303.45</v>
      </c>
      <c r="P3146" t="s">
        <v>110</v>
      </c>
      <c r="Q3146" t="s">
        <v>111</v>
      </c>
      <c r="R3146" t="s">
        <v>111</v>
      </c>
      <c r="S3146" s="1">
        <v>46101</v>
      </c>
      <c r="T3146" s="1">
        <v>46113</v>
      </c>
      <c r="U3146" s="1">
        <v>46126</v>
      </c>
      <c r="V3146" s="1">
        <v>46491</v>
      </c>
      <c r="W3146" t="s">
        <v>38</v>
      </c>
      <c r="X3146">
        <v>12</v>
      </c>
      <c r="Y3146" t="s">
        <v>49</v>
      </c>
      <c r="Z3146" t="s">
        <v>81</v>
      </c>
      <c r="AA3146" t="s">
        <v>112</v>
      </c>
      <c r="AB3146">
        <v>12</v>
      </c>
      <c r="AC3146" t="s">
        <v>113</v>
      </c>
      <c r="AD3146" t="s">
        <v>85</v>
      </c>
      <c r="AE3146" t="s">
        <v>46</v>
      </c>
      <c r="AF3146" t="s">
        <v>44</v>
      </c>
      <c r="AG3146" t="str">
        <f t="shared" si="59"/>
        <v>CC 12x</v>
      </c>
      <c r="AH3146" t="str">
        <f t="shared" si="60"/>
        <v/>
      </c>
    </row>
    <row r="3147" spans="1:34">
      <c r="A3147">
        <v>2026</v>
      </c>
      <c r="B3147">
        <v>4</v>
      </c>
      <c r="C3147" s="83">
        <v>125980298311</v>
      </c>
      <c r="D3147" t="s">
        <v>986</v>
      </c>
      <c r="E3147">
        <v>58103516689</v>
      </c>
      <c r="F3147">
        <v>533014</v>
      </c>
      <c r="G3147">
        <v>53858286412</v>
      </c>
      <c r="H3147" t="s">
        <v>35</v>
      </c>
      <c r="I3147" s="36">
        <v>4530.6000000000004</v>
      </c>
      <c r="J3147" s="36">
        <v>4530.6000000000004</v>
      </c>
      <c r="K3147" s="85">
        <v>0</v>
      </c>
      <c r="L3147" s="36">
        <v>377.55</v>
      </c>
      <c r="M3147" s="36">
        <v>0</v>
      </c>
      <c r="N3147" s="36">
        <v>4.6399999999999997</v>
      </c>
      <c r="O3147" s="36">
        <v>372.91</v>
      </c>
      <c r="P3147" t="s">
        <v>127</v>
      </c>
      <c r="Q3147" t="s">
        <v>111</v>
      </c>
      <c r="R3147" t="s">
        <v>111</v>
      </c>
      <c r="S3147" s="1">
        <v>46114</v>
      </c>
      <c r="T3147" s="1">
        <v>46114</v>
      </c>
      <c r="U3147" s="1">
        <v>46129</v>
      </c>
      <c r="V3147" s="1">
        <v>46494</v>
      </c>
      <c r="W3147" t="s">
        <v>38</v>
      </c>
      <c r="X3147">
        <v>12</v>
      </c>
      <c r="Y3147" t="s">
        <v>49</v>
      </c>
      <c r="Z3147" t="s">
        <v>81</v>
      </c>
      <c r="AA3147" t="s">
        <v>122</v>
      </c>
      <c r="AB3147">
        <v>12</v>
      </c>
      <c r="AC3147" t="s">
        <v>113</v>
      </c>
      <c r="AD3147" t="s">
        <v>84</v>
      </c>
      <c r="AE3147" t="s">
        <v>43</v>
      </c>
      <c r="AF3147" t="s">
        <v>44</v>
      </c>
      <c r="AG3147" t="str">
        <f t="shared" si="59"/>
        <v>Recorrente</v>
      </c>
      <c r="AH3147" t="str">
        <f t="shared" si="60"/>
        <v/>
      </c>
    </row>
    <row r="3148" spans="1:34">
      <c r="A3148">
        <v>2026</v>
      </c>
      <c r="B3148">
        <v>4</v>
      </c>
      <c r="C3148" s="83">
        <v>125998504832</v>
      </c>
      <c r="D3148" t="s">
        <v>2810</v>
      </c>
      <c r="E3148">
        <v>59457714098</v>
      </c>
      <c r="F3148">
        <v>637234</v>
      </c>
      <c r="G3148">
        <v>54510054203</v>
      </c>
      <c r="H3148" t="s">
        <v>35</v>
      </c>
      <c r="I3148" s="36">
        <v>259.5</v>
      </c>
      <c r="J3148" s="36">
        <v>3114</v>
      </c>
      <c r="K3148" s="85">
        <v>0</v>
      </c>
      <c r="L3148" s="36">
        <v>259.5</v>
      </c>
      <c r="M3148" s="36">
        <v>259.5</v>
      </c>
      <c r="N3148" s="36">
        <v>0</v>
      </c>
      <c r="O3148" s="36">
        <v>0</v>
      </c>
      <c r="P3148" t="s">
        <v>2004</v>
      </c>
      <c r="Q3148" t="s">
        <v>300</v>
      </c>
      <c r="R3148" t="s">
        <v>300</v>
      </c>
      <c r="S3148" s="1">
        <v>46134</v>
      </c>
      <c r="T3148" s="1">
        <v>46134</v>
      </c>
      <c r="U3148" s="1"/>
      <c r="V3148" s="1"/>
      <c r="W3148" t="s">
        <v>2733</v>
      </c>
      <c r="Y3148" t="s">
        <v>49</v>
      </c>
      <c r="AA3148" t="s">
        <v>122</v>
      </c>
      <c r="AB3148">
        <v>1</v>
      </c>
      <c r="AC3148" t="s">
        <v>301</v>
      </c>
      <c r="AD3148" t="s">
        <v>2734</v>
      </c>
      <c r="AE3148" t="s">
        <v>106</v>
      </c>
      <c r="AF3148" t="s">
        <v>59</v>
      </c>
      <c r="AG3148" t="str">
        <f t="shared" si="59"/>
        <v>Recorrente</v>
      </c>
      <c r="AH3148" t="str">
        <f t="shared" si="60"/>
        <v/>
      </c>
    </row>
    <row r="3149" spans="1:34">
      <c r="A3149">
        <v>2026</v>
      </c>
      <c r="B3149">
        <v>4</v>
      </c>
      <c r="C3149" s="83">
        <v>126268634125</v>
      </c>
      <c r="D3149" t="s">
        <v>987</v>
      </c>
      <c r="E3149">
        <v>58937492560</v>
      </c>
      <c r="F3149">
        <v>628456</v>
      </c>
      <c r="G3149">
        <v>54372447622</v>
      </c>
      <c r="H3149" t="s">
        <v>35</v>
      </c>
      <c r="I3149" s="36">
        <v>7483.2</v>
      </c>
      <c r="J3149" s="36">
        <v>7483.2</v>
      </c>
      <c r="K3149" s="85">
        <v>0</v>
      </c>
      <c r="L3149" s="36">
        <v>623.6</v>
      </c>
      <c r="M3149" s="36">
        <v>0</v>
      </c>
      <c r="N3149" s="36">
        <v>0</v>
      </c>
      <c r="O3149" s="36">
        <v>623.6</v>
      </c>
      <c r="P3149" t="s">
        <v>121</v>
      </c>
      <c r="Q3149" t="s">
        <v>111</v>
      </c>
      <c r="R3149" t="s">
        <v>111</v>
      </c>
      <c r="S3149" s="1">
        <v>46128</v>
      </c>
      <c r="T3149" s="1">
        <v>46128</v>
      </c>
      <c r="U3149" s="1">
        <v>46122</v>
      </c>
      <c r="V3149" s="1">
        <v>46493</v>
      </c>
      <c r="W3149" t="s">
        <v>38</v>
      </c>
      <c r="X3149">
        <v>12</v>
      </c>
      <c r="Y3149" t="s">
        <v>49</v>
      </c>
      <c r="Z3149" t="s">
        <v>81</v>
      </c>
      <c r="AA3149" t="s">
        <v>112</v>
      </c>
      <c r="AB3149">
        <v>12</v>
      </c>
      <c r="AC3149" t="s">
        <v>113</v>
      </c>
      <c r="AD3149" t="s">
        <v>134</v>
      </c>
      <c r="AE3149" t="s">
        <v>135</v>
      </c>
      <c r="AF3149" t="s">
        <v>44</v>
      </c>
      <c r="AG3149" t="str">
        <f t="shared" si="59"/>
        <v>CC 12x</v>
      </c>
      <c r="AH3149" t="str">
        <f t="shared" si="60"/>
        <v/>
      </c>
    </row>
    <row r="3150" spans="1:34">
      <c r="A3150">
        <v>2026</v>
      </c>
      <c r="B3150">
        <v>4</v>
      </c>
      <c r="C3150" s="83">
        <v>126278243156</v>
      </c>
      <c r="D3150" t="s">
        <v>2811</v>
      </c>
      <c r="E3150">
        <v>59803409412</v>
      </c>
      <c r="F3150">
        <v>603416</v>
      </c>
      <c r="G3150">
        <v>54878876463</v>
      </c>
      <c r="H3150" t="s">
        <v>35</v>
      </c>
      <c r="I3150" s="36">
        <v>1290.1199999999999</v>
      </c>
      <c r="J3150" s="36">
        <v>2161.6799999999998</v>
      </c>
      <c r="K3150" s="85">
        <v>0</v>
      </c>
      <c r="L3150" s="36">
        <v>180.14</v>
      </c>
      <c r="M3150" s="36">
        <v>0</v>
      </c>
      <c r="N3150" s="36">
        <v>180.14</v>
      </c>
      <c r="O3150" s="36">
        <v>0</v>
      </c>
      <c r="P3150" t="s">
        <v>469</v>
      </c>
      <c r="Q3150" t="s">
        <v>191</v>
      </c>
      <c r="R3150" t="s">
        <v>191</v>
      </c>
      <c r="S3150" s="1">
        <v>46141</v>
      </c>
      <c r="T3150" s="1">
        <v>46141</v>
      </c>
      <c r="U3150" s="1">
        <v>46359</v>
      </c>
      <c r="V3150" s="1">
        <v>46359</v>
      </c>
      <c r="W3150" t="s">
        <v>38</v>
      </c>
      <c r="X3150">
        <v>8</v>
      </c>
      <c r="Y3150" t="s">
        <v>49</v>
      </c>
      <c r="Z3150" t="s">
        <v>324</v>
      </c>
      <c r="AA3150" t="s">
        <v>122</v>
      </c>
      <c r="AB3150">
        <v>7</v>
      </c>
      <c r="AC3150" t="s">
        <v>192</v>
      </c>
      <c r="AD3150" t="s">
        <v>84</v>
      </c>
      <c r="AE3150" t="s">
        <v>43</v>
      </c>
      <c r="AF3150" t="s">
        <v>44</v>
      </c>
      <c r="AG3150" t="str">
        <f t="shared" si="59"/>
        <v>Recorrente</v>
      </c>
      <c r="AH3150" t="str">
        <f t="shared" si="60"/>
        <v/>
      </c>
    </row>
    <row r="3151" spans="1:34">
      <c r="A3151">
        <v>2026</v>
      </c>
      <c r="B3151">
        <v>4</v>
      </c>
      <c r="C3151" s="83">
        <v>126614595222</v>
      </c>
      <c r="D3151" t="s">
        <v>2812</v>
      </c>
      <c r="E3151">
        <v>59044765486</v>
      </c>
      <c r="F3151">
        <v>628503</v>
      </c>
      <c r="G3151">
        <v>54270348597</v>
      </c>
      <c r="H3151" t="s">
        <v>35</v>
      </c>
      <c r="I3151" s="36">
        <v>10200</v>
      </c>
      <c r="J3151" s="36">
        <v>10200</v>
      </c>
      <c r="K3151" s="85">
        <v>0</v>
      </c>
      <c r="L3151" s="36">
        <v>850</v>
      </c>
      <c r="M3151" s="36">
        <v>0</v>
      </c>
      <c r="N3151" s="36">
        <v>26.35</v>
      </c>
      <c r="O3151" s="36">
        <v>823.65</v>
      </c>
      <c r="P3151" t="s">
        <v>127</v>
      </c>
      <c r="Q3151" t="s">
        <v>111</v>
      </c>
      <c r="R3151" t="s">
        <v>111</v>
      </c>
      <c r="S3151" s="1">
        <v>46125</v>
      </c>
      <c r="T3151" s="1">
        <v>46125</v>
      </c>
      <c r="U3151" s="1">
        <v>46122</v>
      </c>
      <c r="V3151" s="1">
        <v>46490</v>
      </c>
      <c r="W3151" t="s">
        <v>38</v>
      </c>
      <c r="X3151">
        <v>12</v>
      </c>
      <c r="Y3151" t="s">
        <v>49</v>
      </c>
      <c r="Z3151" t="s">
        <v>81</v>
      </c>
      <c r="AA3151" t="s">
        <v>122</v>
      </c>
      <c r="AB3151">
        <v>12</v>
      </c>
      <c r="AC3151" t="s">
        <v>113</v>
      </c>
      <c r="AD3151" t="s">
        <v>146</v>
      </c>
      <c r="AE3151" t="s">
        <v>135</v>
      </c>
      <c r="AF3151" t="s">
        <v>96</v>
      </c>
      <c r="AG3151" t="str">
        <f t="shared" si="59"/>
        <v>Recorrente</v>
      </c>
      <c r="AH3151" t="str">
        <f t="shared" si="60"/>
        <v/>
      </c>
    </row>
    <row r="3152" spans="1:34">
      <c r="A3152">
        <v>2026</v>
      </c>
      <c r="B3152">
        <v>4</v>
      </c>
      <c r="C3152" s="83">
        <v>126626504710</v>
      </c>
      <c r="D3152" t="s">
        <v>2813</v>
      </c>
      <c r="E3152">
        <v>59383820653</v>
      </c>
      <c r="F3152">
        <v>281418</v>
      </c>
      <c r="G3152">
        <v>54509831037</v>
      </c>
      <c r="H3152" t="s">
        <v>35</v>
      </c>
      <c r="I3152" s="36">
        <v>2874</v>
      </c>
      <c r="J3152" s="36">
        <v>2874</v>
      </c>
      <c r="K3152" s="85">
        <v>0</v>
      </c>
      <c r="L3152" s="36">
        <v>239.5</v>
      </c>
      <c r="M3152" s="36">
        <v>0</v>
      </c>
      <c r="N3152" s="36">
        <v>36.35</v>
      </c>
      <c r="O3152" s="36">
        <v>203.15</v>
      </c>
      <c r="P3152" t="s">
        <v>110</v>
      </c>
      <c r="Q3152" t="s">
        <v>111</v>
      </c>
      <c r="R3152" t="s">
        <v>111</v>
      </c>
      <c r="S3152" s="1">
        <v>46134</v>
      </c>
      <c r="T3152" s="1">
        <v>46134</v>
      </c>
      <c r="U3152" s="1">
        <v>46139</v>
      </c>
      <c r="V3152" s="1">
        <v>46504</v>
      </c>
      <c r="W3152" t="s">
        <v>38</v>
      </c>
      <c r="X3152">
        <v>12</v>
      </c>
      <c r="Y3152" t="s">
        <v>49</v>
      </c>
      <c r="Z3152" t="s">
        <v>81</v>
      </c>
      <c r="AA3152" t="s">
        <v>122</v>
      </c>
      <c r="AB3152">
        <v>12</v>
      </c>
      <c r="AC3152" t="s">
        <v>113</v>
      </c>
      <c r="AD3152" t="s">
        <v>140</v>
      </c>
      <c r="AE3152" t="s">
        <v>46</v>
      </c>
      <c r="AF3152" t="s">
        <v>119</v>
      </c>
      <c r="AG3152" t="str">
        <f t="shared" si="59"/>
        <v>Recorrente</v>
      </c>
      <c r="AH3152" t="str">
        <f t="shared" si="60"/>
        <v/>
      </c>
    </row>
    <row r="3153" spans="1:34">
      <c r="A3153">
        <v>2026</v>
      </c>
      <c r="B3153">
        <v>4</v>
      </c>
      <c r="C3153" s="83">
        <v>126635734337</v>
      </c>
      <c r="D3153" t="s">
        <v>2814</v>
      </c>
      <c r="E3153">
        <v>57495318872</v>
      </c>
      <c r="F3153">
        <v>613170</v>
      </c>
      <c r="G3153">
        <v>52789349697</v>
      </c>
      <c r="H3153" t="s">
        <v>35</v>
      </c>
      <c r="I3153" s="36">
        <v>3775.44</v>
      </c>
      <c r="J3153" s="36">
        <v>3775.44</v>
      </c>
      <c r="K3153" s="85">
        <v>0</v>
      </c>
      <c r="L3153" s="36">
        <v>314.62</v>
      </c>
      <c r="M3153" s="36">
        <v>0</v>
      </c>
      <c r="N3153" s="36">
        <v>82.424999999999997</v>
      </c>
      <c r="O3153" s="36">
        <v>232.2</v>
      </c>
      <c r="P3153" t="s">
        <v>165</v>
      </c>
      <c r="Q3153" t="s">
        <v>166</v>
      </c>
      <c r="R3153" t="s">
        <v>166</v>
      </c>
      <c r="S3153" s="1">
        <v>46127</v>
      </c>
      <c r="T3153" s="1">
        <v>46127</v>
      </c>
      <c r="U3153" s="1">
        <v>46127</v>
      </c>
      <c r="V3153" s="1">
        <v>46492</v>
      </c>
      <c r="W3153" t="s">
        <v>38</v>
      </c>
      <c r="X3153">
        <v>12</v>
      </c>
      <c r="Y3153" t="s">
        <v>49</v>
      </c>
      <c r="Z3153" t="s">
        <v>81</v>
      </c>
      <c r="AA3153" t="s">
        <v>122</v>
      </c>
      <c r="AB3153">
        <v>12</v>
      </c>
      <c r="AC3153" t="s">
        <v>166</v>
      </c>
      <c r="AD3153" t="s">
        <v>84</v>
      </c>
      <c r="AE3153" t="s">
        <v>43</v>
      </c>
      <c r="AF3153" t="s">
        <v>44</v>
      </c>
      <c r="AG3153" t="str">
        <f t="shared" si="59"/>
        <v>Recorrente</v>
      </c>
      <c r="AH3153" t="str">
        <f t="shared" si="60"/>
        <v/>
      </c>
    </row>
    <row r="3154" spans="1:34">
      <c r="A3154">
        <v>2026</v>
      </c>
      <c r="B3154">
        <v>4</v>
      </c>
      <c r="C3154" s="83">
        <v>126655198359</v>
      </c>
      <c r="D3154" t="s">
        <v>2815</v>
      </c>
      <c r="E3154">
        <v>58721228605</v>
      </c>
      <c r="F3154">
        <v>531920</v>
      </c>
      <c r="G3154">
        <v>53971423302</v>
      </c>
      <c r="H3154" t="s">
        <v>35</v>
      </c>
      <c r="I3154" s="36">
        <v>3775.44</v>
      </c>
      <c r="J3154" s="36">
        <v>3775.44</v>
      </c>
      <c r="K3154" s="85">
        <v>0</v>
      </c>
      <c r="L3154" s="36">
        <v>314.62</v>
      </c>
      <c r="M3154" s="36">
        <v>0</v>
      </c>
      <c r="N3154" s="36">
        <v>35.984999999999999</v>
      </c>
      <c r="O3154" s="36">
        <v>278.64</v>
      </c>
      <c r="P3154" t="s">
        <v>133</v>
      </c>
      <c r="Q3154" t="s">
        <v>111</v>
      </c>
      <c r="R3154" t="s">
        <v>111</v>
      </c>
      <c r="S3154" s="1">
        <v>46118</v>
      </c>
      <c r="T3154" s="1">
        <v>46118</v>
      </c>
      <c r="U3154" s="1">
        <v>46116</v>
      </c>
      <c r="V3154" s="1">
        <v>46483</v>
      </c>
      <c r="W3154" t="s">
        <v>38</v>
      </c>
      <c r="X3154">
        <v>12</v>
      </c>
      <c r="Y3154" t="s">
        <v>49</v>
      </c>
      <c r="Z3154" t="s">
        <v>81</v>
      </c>
      <c r="AA3154" t="s">
        <v>112</v>
      </c>
      <c r="AB3154">
        <v>12</v>
      </c>
      <c r="AC3154" t="s">
        <v>113</v>
      </c>
      <c r="AD3154" t="s">
        <v>84</v>
      </c>
      <c r="AE3154" t="s">
        <v>43</v>
      </c>
      <c r="AF3154" t="s">
        <v>44</v>
      </c>
      <c r="AG3154" t="str">
        <f t="shared" si="59"/>
        <v>CC 12x</v>
      </c>
      <c r="AH3154" t="str">
        <f t="shared" si="60"/>
        <v/>
      </c>
    </row>
    <row r="3155" spans="1:34">
      <c r="A3155">
        <v>2026</v>
      </c>
      <c r="B3155">
        <v>4</v>
      </c>
      <c r="C3155" s="83">
        <v>126811824659</v>
      </c>
      <c r="D3155" t="s">
        <v>2816</v>
      </c>
      <c r="E3155">
        <v>56487001271</v>
      </c>
      <c r="F3155">
        <v>310753</v>
      </c>
      <c r="G3155">
        <v>51764465442</v>
      </c>
      <c r="H3155" t="s">
        <v>35</v>
      </c>
      <c r="I3155" s="36">
        <v>5178.6000000000004</v>
      </c>
      <c r="J3155" s="36">
        <v>5178.6000000000004</v>
      </c>
      <c r="K3155" s="85">
        <v>0</v>
      </c>
      <c r="L3155" s="36">
        <v>431.55</v>
      </c>
      <c r="M3155" s="36">
        <v>0</v>
      </c>
      <c r="N3155" s="36">
        <v>69.150000000000006</v>
      </c>
      <c r="O3155" s="36">
        <v>362.4</v>
      </c>
      <c r="P3155" t="s">
        <v>165</v>
      </c>
      <c r="Q3155" t="s">
        <v>166</v>
      </c>
      <c r="R3155" t="s">
        <v>166</v>
      </c>
      <c r="S3155" s="1">
        <v>46115</v>
      </c>
      <c r="T3155" s="1">
        <v>46115</v>
      </c>
      <c r="U3155" s="1">
        <v>46115</v>
      </c>
      <c r="V3155" s="1">
        <v>46480</v>
      </c>
      <c r="W3155" t="s">
        <v>38</v>
      </c>
      <c r="X3155">
        <v>12</v>
      </c>
      <c r="Y3155" t="s">
        <v>49</v>
      </c>
      <c r="Z3155" t="s">
        <v>81</v>
      </c>
      <c r="AA3155" t="s">
        <v>112</v>
      </c>
      <c r="AB3155">
        <v>12</v>
      </c>
      <c r="AC3155" t="s">
        <v>166</v>
      </c>
      <c r="AD3155" t="s">
        <v>85</v>
      </c>
      <c r="AE3155" t="s">
        <v>46</v>
      </c>
      <c r="AF3155" t="s">
        <v>44</v>
      </c>
      <c r="AG3155" t="str">
        <f t="shared" si="59"/>
        <v>CC 12x</v>
      </c>
      <c r="AH3155" t="str">
        <f t="shared" si="60"/>
        <v/>
      </c>
    </row>
    <row r="3156" spans="1:34">
      <c r="A3156">
        <v>2026</v>
      </c>
      <c r="B3156">
        <v>4</v>
      </c>
      <c r="C3156" s="83">
        <v>126829503270</v>
      </c>
      <c r="D3156" t="s">
        <v>2817</v>
      </c>
      <c r="E3156">
        <v>58710988824</v>
      </c>
      <c r="F3156">
        <v>612099</v>
      </c>
      <c r="G3156">
        <v>54381604702</v>
      </c>
      <c r="H3156" t="s">
        <v>35</v>
      </c>
      <c r="I3156" s="36">
        <v>3584.04</v>
      </c>
      <c r="J3156" s="36">
        <v>3584.04</v>
      </c>
      <c r="K3156" s="85">
        <v>0</v>
      </c>
      <c r="L3156" s="36">
        <v>298.67</v>
      </c>
      <c r="M3156" s="36">
        <v>0</v>
      </c>
      <c r="N3156" s="36">
        <v>9.0950000000000006</v>
      </c>
      <c r="O3156" s="36">
        <v>289.58</v>
      </c>
      <c r="P3156" t="s">
        <v>133</v>
      </c>
      <c r="Q3156" t="s">
        <v>111</v>
      </c>
      <c r="R3156" t="s">
        <v>111</v>
      </c>
      <c r="S3156" s="1">
        <v>46133</v>
      </c>
      <c r="T3156" s="1">
        <v>46133</v>
      </c>
      <c r="U3156" s="1">
        <v>46115</v>
      </c>
      <c r="V3156" s="1">
        <v>46498</v>
      </c>
      <c r="W3156" t="s">
        <v>38</v>
      </c>
      <c r="X3156">
        <v>12</v>
      </c>
      <c r="Y3156" t="s">
        <v>49</v>
      </c>
      <c r="Z3156" t="s">
        <v>81</v>
      </c>
      <c r="AA3156" t="s">
        <v>112</v>
      </c>
      <c r="AB3156">
        <v>12</v>
      </c>
      <c r="AC3156" t="s">
        <v>113</v>
      </c>
      <c r="AD3156" t="s">
        <v>138</v>
      </c>
      <c r="AE3156" t="s">
        <v>135</v>
      </c>
      <c r="AF3156" t="s">
        <v>119</v>
      </c>
      <c r="AG3156" t="str">
        <f t="shared" si="59"/>
        <v>CC 12x</v>
      </c>
      <c r="AH3156" t="str">
        <f t="shared" si="60"/>
        <v/>
      </c>
    </row>
    <row r="3157" spans="1:34">
      <c r="A3157">
        <v>2026</v>
      </c>
      <c r="B3157">
        <v>4</v>
      </c>
      <c r="C3157" s="83">
        <v>127744798256</v>
      </c>
      <c r="D3157" t="s">
        <v>2818</v>
      </c>
      <c r="E3157">
        <v>59095268275</v>
      </c>
      <c r="F3157">
        <v>533302</v>
      </c>
      <c r="G3157">
        <v>54150035729</v>
      </c>
      <c r="H3157" t="s">
        <v>35</v>
      </c>
      <c r="I3157" s="36">
        <v>10081.392</v>
      </c>
      <c r="J3157" s="36">
        <v>5040.6959999999999</v>
      </c>
      <c r="K3157" s="85">
        <v>5040.6959999999999</v>
      </c>
      <c r="L3157" s="36">
        <v>420.05799999999999</v>
      </c>
      <c r="M3157" s="36">
        <v>0</v>
      </c>
      <c r="N3157" s="36">
        <v>283.44727979999999</v>
      </c>
      <c r="O3157" s="36">
        <v>136.61000000000001</v>
      </c>
      <c r="P3157" t="s">
        <v>367</v>
      </c>
      <c r="Q3157" t="s">
        <v>191</v>
      </c>
      <c r="R3157" t="s">
        <v>191</v>
      </c>
      <c r="S3157" s="1">
        <v>46122</v>
      </c>
      <c r="T3157" s="1">
        <v>46122</v>
      </c>
      <c r="U3157" s="1">
        <v>46137</v>
      </c>
      <c r="V3157" s="1">
        <v>46868</v>
      </c>
      <c r="W3157" t="s">
        <v>56</v>
      </c>
      <c r="X3157">
        <v>24</v>
      </c>
      <c r="Y3157" t="s">
        <v>49</v>
      </c>
      <c r="Z3157" t="s">
        <v>76</v>
      </c>
      <c r="AA3157" t="s">
        <v>122</v>
      </c>
      <c r="AB3157">
        <v>24</v>
      </c>
      <c r="AC3157" t="s">
        <v>192</v>
      </c>
      <c r="AD3157" t="s">
        <v>368</v>
      </c>
      <c r="AE3157" t="s">
        <v>95</v>
      </c>
      <c r="AF3157" t="s">
        <v>59</v>
      </c>
      <c r="AG3157" t="str">
        <f t="shared" si="59"/>
        <v>Recorrente</v>
      </c>
      <c r="AH3157" t="str">
        <f t="shared" si="60"/>
        <v/>
      </c>
    </row>
    <row r="3158" spans="1:34">
      <c r="A3158">
        <v>2026</v>
      </c>
      <c r="B3158">
        <v>4</v>
      </c>
      <c r="C3158" s="83">
        <v>127744798256</v>
      </c>
      <c r="D3158" t="s">
        <v>2818</v>
      </c>
      <c r="E3158">
        <v>59095268275</v>
      </c>
      <c r="F3158">
        <v>533302</v>
      </c>
      <c r="G3158">
        <v>54150035730</v>
      </c>
      <c r="H3158" t="s">
        <v>35</v>
      </c>
      <c r="I3158" s="36">
        <v>10081.392</v>
      </c>
      <c r="J3158" s="36">
        <v>5040.6959999999999</v>
      </c>
      <c r="K3158" s="85">
        <v>5040.6959999999999</v>
      </c>
      <c r="L3158" s="36">
        <v>420.05799999999999</v>
      </c>
      <c r="M3158" s="36">
        <v>0</v>
      </c>
      <c r="N3158" s="36">
        <v>283.44727979999999</v>
      </c>
      <c r="O3158" s="36">
        <v>136.61000000000001</v>
      </c>
      <c r="P3158" t="s">
        <v>367</v>
      </c>
      <c r="Q3158" t="s">
        <v>191</v>
      </c>
      <c r="R3158" t="s">
        <v>191</v>
      </c>
      <c r="S3158" s="1">
        <v>46122</v>
      </c>
      <c r="T3158" s="1">
        <v>46122</v>
      </c>
      <c r="U3158" s="1">
        <v>46137</v>
      </c>
      <c r="V3158" s="1">
        <v>46868</v>
      </c>
      <c r="W3158" t="s">
        <v>56</v>
      </c>
      <c r="X3158">
        <v>24</v>
      </c>
      <c r="Y3158" t="s">
        <v>49</v>
      </c>
      <c r="Z3158" t="s">
        <v>76</v>
      </c>
      <c r="AA3158" t="s">
        <v>122</v>
      </c>
      <c r="AB3158">
        <v>24</v>
      </c>
      <c r="AC3158" t="s">
        <v>192</v>
      </c>
      <c r="AD3158" t="s">
        <v>131</v>
      </c>
      <c r="AE3158" t="s">
        <v>46</v>
      </c>
      <c r="AF3158" t="s">
        <v>96</v>
      </c>
      <c r="AG3158" t="str">
        <f t="shared" si="59"/>
        <v>Recorrente</v>
      </c>
      <c r="AH3158" t="str">
        <f t="shared" si="60"/>
        <v/>
      </c>
    </row>
    <row r="3159" spans="1:34">
      <c r="A3159">
        <v>2026</v>
      </c>
      <c r="B3159">
        <v>4</v>
      </c>
      <c r="C3159" s="83">
        <v>127744798256</v>
      </c>
      <c r="D3159" t="s">
        <v>2818</v>
      </c>
      <c r="E3159">
        <v>59095268275</v>
      </c>
      <c r="F3159">
        <v>533302</v>
      </c>
      <c r="G3159">
        <v>54150035731</v>
      </c>
      <c r="H3159" t="s">
        <v>35</v>
      </c>
      <c r="I3159" s="36">
        <v>10081.392</v>
      </c>
      <c r="J3159" s="36">
        <v>5040.6959999999999</v>
      </c>
      <c r="K3159" s="85">
        <v>5040.6959999999999</v>
      </c>
      <c r="L3159" s="36">
        <v>420.05799999999999</v>
      </c>
      <c r="M3159" s="36">
        <v>0</v>
      </c>
      <c r="N3159" s="36">
        <v>283.44727979999999</v>
      </c>
      <c r="O3159" s="36">
        <v>136.61000000000001</v>
      </c>
      <c r="P3159" t="s">
        <v>367</v>
      </c>
      <c r="Q3159" t="s">
        <v>191</v>
      </c>
      <c r="R3159" t="s">
        <v>191</v>
      </c>
      <c r="S3159" s="1">
        <v>46122</v>
      </c>
      <c r="T3159" s="1">
        <v>46122</v>
      </c>
      <c r="U3159" s="1">
        <v>46137</v>
      </c>
      <c r="V3159" s="1">
        <v>46868</v>
      </c>
      <c r="W3159" t="s">
        <v>56</v>
      </c>
      <c r="X3159">
        <v>24</v>
      </c>
      <c r="Y3159" t="s">
        <v>49</v>
      </c>
      <c r="Z3159" t="s">
        <v>76</v>
      </c>
      <c r="AA3159" t="s">
        <v>122</v>
      </c>
      <c r="AB3159">
        <v>24</v>
      </c>
      <c r="AC3159" t="s">
        <v>192</v>
      </c>
      <c r="AD3159" t="s">
        <v>351</v>
      </c>
      <c r="AE3159" t="s">
        <v>95</v>
      </c>
      <c r="AF3159" t="s">
        <v>96</v>
      </c>
      <c r="AG3159" t="str">
        <f t="shared" si="59"/>
        <v>Recorrente</v>
      </c>
      <c r="AH3159" t="str">
        <f t="shared" si="60"/>
        <v/>
      </c>
    </row>
    <row r="3160" spans="1:34">
      <c r="A3160">
        <v>2026</v>
      </c>
      <c r="B3160">
        <v>4</v>
      </c>
      <c r="C3160" s="83">
        <v>127744798256</v>
      </c>
      <c r="D3160" t="s">
        <v>2818</v>
      </c>
      <c r="E3160">
        <v>59095268275</v>
      </c>
      <c r="F3160">
        <v>533302</v>
      </c>
      <c r="G3160">
        <v>54150035732</v>
      </c>
      <c r="H3160" t="s">
        <v>35</v>
      </c>
      <c r="I3160" s="36">
        <v>10081.392</v>
      </c>
      <c r="J3160" s="36">
        <v>5040.6959999999999</v>
      </c>
      <c r="K3160" s="85">
        <v>5040.6959999999999</v>
      </c>
      <c r="L3160" s="36">
        <v>420.05799999999999</v>
      </c>
      <c r="M3160" s="36">
        <v>0</v>
      </c>
      <c r="N3160" s="36">
        <v>283.44727979999999</v>
      </c>
      <c r="O3160" s="36">
        <v>136.61000000000001</v>
      </c>
      <c r="P3160" t="s">
        <v>367</v>
      </c>
      <c r="Q3160" t="s">
        <v>191</v>
      </c>
      <c r="R3160" t="s">
        <v>191</v>
      </c>
      <c r="S3160" s="1">
        <v>46122</v>
      </c>
      <c r="T3160" s="1">
        <v>46122</v>
      </c>
      <c r="U3160" s="1">
        <v>46137</v>
      </c>
      <c r="V3160" s="1">
        <v>46868</v>
      </c>
      <c r="W3160" t="s">
        <v>56</v>
      </c>
      <c r="X3160">
        <v>24</v>
      </c>
      <c r="Y3160" t="s">
        <v>49</v>
      </c>
      <c r="Z3160" t="s">
        <v>76</v>
      </c>
      <c r="AA3160" t="s">
        <v>122</v>
      </c>
      <c r="AB3160">
        <v>24</v>
      </c>
      <c r="AC3160" t="s">
        <v>192</v>
      </c>
      <c r="AD3160" t="s">
        <v>362</v>
      </c>
      <c r="AE3160" t="s">
        <v>363</v>
      </c>
      <c r="AF3160" t="s">
        <v>59</v>
      </c>
      <c r="AG3160" t="str">
        <f t="shared" si="59"/>
        <v>Recorrente</v>
      </c>
      <c r="AH3160" t="str">
        <f t="shared" si="60"/>
        <v/>
      </c>
    </row>
    <row r="3161" spans="1:34">
      <c r="A3161">
        <v>2026</v>
      </c>
      <c r="B3161">
        <v>4</v>
      </c>
      <c r="C3161" s="83">
        <v>127744798256</v>
      </c>
      <c r="D3161" t="s">
        <v>2818</v>
      </c>
      <c r="E3161">
        <v>59095268275</v>
      </c>
      <c r="F3161">
        <v>533302</v>
      </c>
      <c r="G3161">
        <v>54150035733</v>
      </c>
      <c r="H3161" t="s">
        <v>35</v>
      </c>
      <c r="I3161" s="36">
        <v>10081.392</v>
      </c>
      <c r="J3161" s="36">
        <v>5040.6959999999999</v>
      </c>
      <c r="K3161" s="85">
        <v>5040.6959999999999</v>
      </c>
      <c r="L3161" s="36">
        <v>420.05799999999999</v>
      </c>
      <c r="M3161" s="36">
        <v>0</v>
      </c>
      <c r="N3161" s="36">
        <v>283.44727979999999</v>
      </c>
      <c r="O3161" s="36">
        <v>136.61000000000001</v>
      </c>
      <c r="P3161" t="s">
        <v>367</v>
      </c>
      <c r="Q3161" t="s">
        <v>191</v>
      </c>
      <c r="R3161" t="s">
        <v>191</v>
      </c>
      <c r="S3161" s="1">
        <v>46122</v>
      </c>
      <c r="T3161" s="1">
        <v>46122</v>
      </c>
      <c r="U3161" s="1">
        <v>46137</v>
      </c>
      <c r="V3161" s="1">
        <v>46868</v>
      </c>
      <c r="W3161" t="s">
        <v>56</v>
      </c>
      <c r="X3161">
        <v>24</v>
      </c>
      <c r="Y3161" t="s">
        <v>49</v>
      </c>
      <c r="Z3161" t="s">
        <v>76</v>
      </c>
      <c r="AA3161" t="s">
        <v>122</v>
      </c>
      <c r="AB3161">
        <v>24</v>
      </c>
      <c r="AC3161" t="s">
        <v>192</v>
      </c>
      <c r="AD3161" t="s">
        <v>256</v>
      </c>
      <c r="AE3161" t="s">
        <v>257</v>
      </c>
      <c r="AF3161" t="s">
        <v>59</v>
      </c>
      <c r="AG3161" t="str">
        <f t="shared" si="59"/>
        <v>Recorrente</v>
      </c>
      <c r="AH3161" t="str">
        <f t="shared" si="60"/>
        <v/>
      </c>
    </row>
    <row r="3162" spans="1:34">
      <c r="A3162">
        <v>2026</v>
      </c>
      <c r="B3162">
        <v>4</v>
      </c>
      <c r="C3162" s="83">
        <v>128264268439</v>
      </c>
      <c r="D3162" t="s">
        <v>2819</v>
      </c>
      <c r="E3162">
        <v>58887485952</v>
      </c>
      <c r="F3162">
        <v>531105</v>
      </c>
      <c r="G3162">
        <v>54372493671</v>
      </c>
      <c r="H3162" t="s">
        <v>35</v>
      </c>
      <c r="I3162" s="36">
        <v>4411.2</v>
      </c>
      <c r="J3162" s="36">
        <v>4411.2</v>
      </c>
      <c r="K3162" s="85">
        <v>0</v>
      </c>
      <c r="L3162" s="36">
        <v>367.6</v>
      </c>
      <c r="M3162" s="36">
        <v>0</v>
      </c>
      <c r="N3162" s="36">
        <v>0</v>
      </c>
      <c r="O3162" s="36">
        <v>367.6</v>
      </c>
      <c r="P3162" t="s">
        <v>121</v>
      </c>
      <c r="Q3162" t="s">
        <v>111</v>
      </c>
      <c r="R3162" t="s">
        <v>111</v>
      </c>
      <c r="S3162" s="1">
        <v>46129</v>
      </c>
      <c r="T3162" s="1">
        <v>46129</v>
      </c>
      <c r="U3162" s="1">
        <v>46118</v>
      </c>
      <c r="V3162" s="1">
        <v>46494</v>
      </c>
      <c r="W3162" t="s">
        <v>38</v>
      </c>
      <c r="X3162">
        <v>12</v>
      </c>
      <c r="Y3162" t="s">
        <v>49</v>
      </c>
      <c r="Z3162" t="s">
        <v>81</v>
      </c>
      <c r="AA3162" t="s">
        <v>112</v>
      </c>
      <c r="AB3162">
        <v>12</v>
      </c>
      <c r="AC3162" t="s">
        <v>113</v>
      </c>
      <c r="AD3162" t="s">
        <v>138</v>
      </c>
      <c r="AE3162" t="s">
        <v>135</v>
      </c>
      <c r="AF3162" t="s">
        <v>119</v>
      </c>
      <c r="AG3162" t="str">
        <f t="shared" si="59"/>
        <v>CC 12x</v>
      </c>
      <c r="AH3162" t="str">
        <f t="shared" si="60"/>
        <v/>
      </c>
    </row>
    <row r="3163" spans="1:34">
      <c r="A3163">
        <v>2026</v>
      </c>
      <c r="B3163">
        <v>4</v>
      </c>
      <c r="C3163" s="83">
        <v>128306914643</v>
      </c>
      <c r="D3163" t="s">
        <v>2820</v>
      </c>
      <c r="E3163">
        <v>58102906208</v>
      </c>
      <c r="F3163">
        <v>533008</v>
      </c>
      <c r="G3163">
        <v>54379626675</v>
      </c>
      <c r="H3163" t="s">
        <v>35</v>
      </c>
      <c r="I3163" s="36">
        <v>2874</v>
      </c>
      <c r="J3163" s="36">
        <v>2874</v>
      </c>
      <c r="K3163" s="85">
        <v>0</v>
      </c>
      <c r="L3163" s="36">
        <v>239.5</v>
      </c>
      <c r="M3163" s="36">
        <v>0</v>
      </c>
      <c r="N3163" s="36">
        <v>0</v>
      </c>
      <c r="O3163" s="36">
        <v>239.5</v>
      </c>
      <c r="P3163" t="s">
        <v>110</v>
      </c>
      <c r="Q3163" t="s">
        <v>111</v>
      </c>
      <c r="R3163" t="s">
        <v>111</v>
      </c>
      <c r="S3163" s="1">
        <v>46129</v>
      </c>
      <c r="T3163" s="1">
        <v>46129</v>
      </c>
      <c r="U3163" s="1">
        <v>46129</v>
      </c>
      <c r="V3163" s="1">
        <v>46494</v>
      </c>
      <c r="W3163" t="s">
        <v>38</v>
      </c>
      <c r="X3163">
        <v>12</v>
      </c>
      <c r="Y3163" t="s">
        <v>49</v>
      </c>
      <c r="Z3163" t="s">
        <v>76</v>
      </c>
      <c r="AA3163" t="s">
        <v>122</v>
      </c>
      <c r="AB3163">
        <v>12</v>
      </c>
      <c r="AC3163" t="s">
        <v>113</v>
      </c>
      <c r="AD3163" t="s">
        <v>140</v>
      </c>
      <c r="AE3163" t="s">
        <v>46</v>
      </c>
      <c r="AF3163" t="s">
        <v>119</v>
      </c>
      <c r="AG3163" t="str">
        <f t="shared" si="59"/>
        <v>Recorrente</v>
      </c>
      <c r="AH3163" t="str">
        <f t="shared" si="60"/>
        <v/>
      </c>
    </row>
    <row r="3164" spans="1:34">
      <c r="A3164">
        <v>2026</v>
      </c>
      <c r="B3164">
        <v>4</v>
      </c>
      <c r="C3164" s="83">
        <v>128475467825</v>
      </c>
      <c r="D3164" t="s">
        <v>2821</v>
      </c>
      <c r="E3164">
        <v>58103441499</v>
      </c>
      <c r="F3164">
        <v>312814</v>
      </c>
      <c r="G3164">
        <v>55129202582</v>
      </c>
      <c r="H3164" t="s">
        <v>35</v>
      </c>
      <c r="I3164" s="36">
        <v>3586.68</v>
      </c>
      <c r="J3164" s="36">
        <v>3586.68</v>
      </c>
      <c r="K3164" s="85">
        <v>0</v>
      </c>
      <c r="L3164" s="36">
        <v>298.89</v>
      </c>
      <c r="M3164" s="36">
        <v>0</v>
      </c>
      <c r="N3164" s="36">
        <v>119.64153</v>
      </c>
      <c r="O3164" s="36">
        <v>179.25</v>
      </c>
      <c r="P3164" t="s">
        <v>110</v>
      </c>
      <c r="Q3164" t="s">
        <v>111</v>
      </c>
      <c r="R3164" t="s">
        <v>111</v>
      </c>
      <c r="S3164" s="1">
        <v>46129</v>
      </c>
      <c r="T3164" s="1">
        <v>46129</v>
      </c>
      <c r="U3164" s="1">
        <v>46129</v>
      </c>
      <c r="V3164" s="1">
        <v>46494</v>
      </c>
      <c r="W3164" t="s">
        <v>38</v>
      </c>
      <c r="X3164">
        <v>12</v>
      </c>
      <c r="Y3164" t="s">
        <v>49</v>
      </c>
      <c r="Z3164" t="s">
        <v>81</v>
      </c>
      <c r="AA3164" t="s">
        <v>117</v>
      </c>
      <c r="AB3164">
        <v>1</v>
      </c>
      <c r="AC3164" t="s">
        <v>113</v>
      </c>
      <c r="AD3164" t="s">
        <v>84</v>
      </c>
      <c r="AE3164" t="s">
        <v>43</v>
      </c>
      <c r="AF3164" t="s">
        <v>44</v>
      </c>
      <c r="AG3164" t="str">
        <f t="shared" si="59"/>
        <v>À Vista</v>
      </c>
      <c r="AH3164" t="str">
        <f t="shared" si="60"/>
        <v/>
      </c>
    </row>
    <row r="3165" spans="1:34">
      <c r="A3165">
        <v>2026</v>
      </c>
      <c r="B3165">
        <v>4</v>
      </c>
      <c r="C3165" s="83">
        <v>128558379446</v>
      </c>
      <c r="D3165" t="s">
        <v>991</v>
      </c>
      <c r="E3165">
        <v>59035117878</v>
      </c>
      <c r="F3165">
        <v>326940</v>
      </c>
      <c r="G3165">
        <v>54154545565</v>
      </c>
      <c r="H3165" t="s">
        <v>35</v>
      </c>
      <c r="I3165" s="36">
        <v>2834.4</v>
      </c>
      <c r="J3165" s="36">
        <v>1080.72</v>
      </c>
      <c r="K3165" s="85">
        <v>1753.68</v>
      </c>
      <c r="L3165" s="36">
        <v>90.06</v>
      </c>
      <c r="M3165" s="36">
        <v>0</v>
      </c>
      <c r="N3165" s="36">
        <v>90.06</v>
      </c>
      <c r="O3165" s="36">
        <v>0</v>
      </c>
      <c r="P3165" t="s">
        <v>804</v>
      </c>
      <c r="Q3165" t="s">
        <v>191</v>
      </c>
      <c r="R3165" t="s">
        <v>191</v>
      </c>
      <c r="S3165" s="1">
        <v>46121</v>
      </c>
      <c r="T3165" s="1">
        <v>46121</v>
      </c>
      <c r="U3165" s="1">
        <v>47079</v>
      </c>
      <c r="V3165" s="1">
        <v>47079</v>
      </c>
      <c r="W3165" t="s">
        <v>691</v>
      </c>
      <c r="X3165">
        <v>31</v>
      </c>
      <c r="Y3165" t="s">
        <v>49</v>
      </c>
      <c r="Z3165" t="s">
        <v>324</v>
      </c>
      <c r="AA3165" t="s">
        <v>122</v>
      </c>
      <c r="AB3165">
        <v>31</v>
      </c>
      <c r="AC3165" t="s">
        <v>192</v>
      </c>
      <c r="AD3165" t="s">
        <v>163</v>
      </c>
      <c r="AE3165" t="s">
        <v>43</v>
      </c>
      <c r="AF3165" t="s">
        <v>96</v>
      </c>
      <c r="AG3165" t="str">
        <f t="shared" si="59"/>
        <v>Recorrente</v>
      </c>
      <c r="AH3165" t="str">
        <f t="shared" si="60"/>
        <v/>
      </c>
    </row>
    <row r="3166" spans="1:34">
      <c r="A3166">
        <v>2026</v>
      </c>
      <c r="B3166">
        <v>4</v>
      </c>
      <c r="C3166" s="83">
        <v>128685879974</v>
      </c>
      <c r="D3166" t="s">
        <v>2822</v>
      </c>
      <c r="E3166">
        <v>59167197297</v>
      </c>
      <c r="F3166">
        <v>311112</v>
      </c>
      <c r="G3166">
        <v>54509828940</v>
      </c>
      <c r="H3166" t="s">
        <v>35</v>
      </c>
      <c r="I3166" s="36">
        <v>4406.76</v>
      </c>
      <c r="J3166" s="36">
        <v>4406.76</v>
      </c>
      <c r="K3166" s="85">
        <v>0</v>
      </c>
      <c r="L3166" s="36">
        <v>367.23</v>
      </c>
      <c r="M3166" s="36">
        <v>0</v>
      </c>
      <c r="N3166" s="36">
        <v>0</v>
      </c>
      <c r="O3166" s="36">
        <v>367.22679499999998</v>
      </c>
      <c r="P3166" t="s">
        <v>116</v>
      </c>
      <c r="Q3166" t="s">
        <v>111</v>
      </c>
      <c r="R3166" t="s">
        <v>111</v>
      </c>
      <c r="S3166" s="1">
        <v>46134</v>
      </c>
      <c r="T3166" s="1">
        <v>46134</v>
      </c>
      <c r="U3166" s="1">
        <v>46130</v>
      </c>
      <c r="V3166" s="1">
        <v>46499</v>
      </c>
      <c r="W3166" t="s">
        <v>38</v>
      </c>
      <c r="X3166">
        <v>12</v>
      </c>
      <c r="Y3166" t="s">
        <v>49</v>
      </c>
      <c r="Z3166" t="s">
        <v>81</v>
      </c>
      <c r="AA3166" t="s">
        <v>122</v>
      </c>
      <c r="AB3166">
        <v>12</v>
      </c>
      <c r="AC3166" t="s">
        <v>113</v>
      </c>
      <c r="AD3166" t="s">
        <v>163</v>
      </c>
      <c r="AE3166" t="s">
        <v>43</v>
      </c>
      <c r="AF3166" t="s">
        <v>96</v>
      </c>
      <c r="AG3166" t="str">
        <f t="shared" si="59"/>
        <v>Recorrente</v>
      </c>
      <c r="AH3166" t="str">
        <f t="shared" si="60"/>
        <v/>
      </c>
    </row>
    <row r="3167" spans="1:34">
      <c r="A3167">
        <v>2026</v>
      </c>
      <c r="B3167">
        <v>4</v>
      </c>
      <c r="C3167" s="83">
        <v>128719502368</v>
      </c>
      <c r="D3167" t="s">
        <v>2823</v>
      </c>
      <c r="E3167">
        <v>58952123142</v>
      </c>
      <c r="F3167">
        <v>628355</v>
      </c>
      <c r="G3167">
        <v>54205075611</v>
      </c>
      <c r="H3167" t="s">
        <v>35</v>
      </c>
      <c r="I3167" s="36">
        <v>7339.44</v>
      </c>
      <c r="J3167" s="36">
        <v>7339.44</v>
      </c>
      <c r="K3167" s="85">
        <v>0</v>
      </c>
      <c r="L3167" s="36">
        <v>611.62</v>
      </c>
      <c r="M3167" s="36">
        <v>0</v>
      </c>
      <c r="N3167" s="36">
        <v>0.46750000000000003</v>
      </c>
      <c r="O3167" s="36">
        <v>611.15</v>
      </c>
      <c r="P3167" t="s">
        <v>116</v>
      </c>
      <c r="Q3167" t="s">
        <v>111</v>
      </c>
      <c r="R3167" t="s">
        <v>111</v>
      </c>
      <c r="S3167" s="1">
        <v>46122</v>
      </c>
      <c r="T3167" s="1">
        <v>46122</v>
      </c>
      <c r="U3167" s="1">
        <v>46120</v>
      </c>
      <c r="V3167" s="1">
        <v>46487</v>
      </c>
      <c r="W3167" t="s">
        <v>38</v>
      </c>
      <c r="X3167">
        <v>12</v>
      </c>
      <c r="Y3167" t="s">
        <v>49</v>
      </c>
      <c r="Z3167" t="s">
        <v>81</v>
      </c>
      <c r="AA3167" t="s">
        <v>122</v>
      </c>
      <c r="AB3167">
        <v>12</v>
      </c>
      <c r="AC3167" t="s">
        <v>113</v>
      </c>
      <c r="AD3167" t="s">
        <v>131</v>
      </c>
      <c r="AE3167" t="s">
        <v>46</v>
      </c>
      <c r="AF3167" t="s">
        <v>96</v>
      </c>
      <c r="AG3167" t="str">
        <f t="shared" si="59"/>
        <v>Recorrente</v>
      </c>
      <c r="AH3167" t="str">
        <f t="shared" si="60"/>
        <v/>
      </c>
    </row>
    <row r="3168" spans="1:34">
      <c r="A3168">
        <v>2026</v>
      </c>
      <c r="B3168">
        <v>4</v>
      </c>
      <c r="C3168" s="83">
        <v>129235884924</v>
      </c>
      <c r="D3168" t="s">
        <v>2824</v>
      </c>
      <c r="E3168">
        <v>59558216197</v>
      </c>
      <c r="F3168">
        <v>630255</v>
      </c>
      <c r="G3168">
        <v>54635236491</v>
      </c>
      <c r="H3168" t="s">
        <v>35</v>
      </c>
      <c r="I3168" s="36">
        <v>301.44</v>
      </c>
      <c r="J3168" s="36">
        <v>2158.92</v>
      </c>
      <c r="K3168" s="85">
        <v>0</v>
      </c>
      <c r="L3168" s="36">
        <v>179.91</v>
      </c>
      <c r="M3168" s="36">
        <v>0</v>
      </c>
      <c r="N3168" s="36">
        <v>179.91</v>
      </c>
      <c r="O3168" s="36">
        <v>0</v>
      </c>
      <c r="P3168" t="s">
        <v>323</v>
      </c>
      <c r="Q3168" t="s">
        <v>191</v>
      </c>
      <c r="R3168" t="s">
        <v>191</v>
      </c>
      <c r="S3168" s="1">
        <v>46135</v>
      </c>
      <c r="T3168" s="1">
        <v>46135</v>
      </c>
      <c r="U3168" s="1">
        <v>46186</v>
      </c>
      <c r="V3168" s="1">
        <v>46186</v>
      </c>
      <c r="W3168" t="s">
        <v>38</v>
      </c>
      <c r="X3168">
        <v>2</v>
      </c>
      <c r="Y3168" t="s">
        <v>49</v>
      </c>
      <c r="Z3168" t="s">
        <v>324</v>
      </c>
      <c r="AA3168" t="s">
        <v>112</v>
      </c>
      <c r="AB3168">
        <v>2</v>
      </c>
      <c r="AC3168" t="s">
        <v>192</v>
      </c>
      <c r="AD3168" t="s">
        <v>84</v>
      </c>
      <c r="AE3168" t="s">
        <v>43</v>
      </c>
      <c r="AF3168" t="s">
        <v>44</v>
      </c>
      <c r="AG3168" t="str">
        <f t="shared" si="59"/>
        <v>CC 3x</v>
      </c>
      <c r="AH3168" t="str">
        <f t="shared" si="60"/>
        <v/>
      </c>
    </row>
    <row r="3169" spans="1:34">
      <c r="A3169">
        <v>2026</v>
      </c>
      <c r="B3169">
        <v>4</v>
      </c>
      <c r="C3169" s="83">
        <v>129995081910</v>
      </c>
      <c r="D3169" t="s">
        <v>2825</v>
      </c>
      <c r="E3169">
        <v>59098211914</v>
      </c>
      <c r="F3169">
        <v>637029</v>
      </c>
      <c r="G3169">
        <v>54150046641</v>
      </c>
      <c r="H3169" t="s">
        <v>35</v>
      </c>
      <c r="I3169" s="36">
        <v>2874</v>
      </c>
      <c r="J3169" s="36">
        <v>2874</v>
      </c>
      <c r="K3169" s="85">
        <v>0</v>
      </c>
      <c r="L3169" s="36">
        <v>239.5</v>
      </c>
      <c r="M3169" s="36">
        <v>239.5</v>
      </c>
      <c r="N3169" s="36">
        <v>0</v>
      </c>
      <c r="O3169" s="36">
        <v>0</v>
      </c>
      <c r="P3169" t="s">
        <v>90</v>
      </c>
      <c r="Q3169" t="s">
        <v>91</v>
      </c>
      <c r="R3169" t="s">
        <v>91</v>
      </c>
      <c r="S3169" s="1">
        <v>46122</v>
      </c>
      <c r="T3169" s="1">
        <v>46122</v>
      </c>
      <c r="U3169" s="1"/>
      <c r="V3169" s="1">
        <v>46491</v>
      </c>
      <c r="W3169" t="s">
        <v>38</v>
      </c>
      <c r="X3169">
        <v>12</v>
      </c>
      <c r="Y3169" t="s">
        <v>49</v>
      </c>
      <c r="AA3169" t="s">
        <v>122</v>
      </c>
      <c r="AB3169">
        <v>12</v>
      </c>
      <c r="AC3169" t="s">
        <v>93</v>
      </c>
      <c r="AD3169" t="s">
        <v>118</v>
      </c>
      <c r="AE3169" t="s">
        <v>43</v>
      </c>
      <c r="AF3169" t="s">
        <v>119</v>
      </c>
      <c r="AG3169" t="str">
        <f t="shared" si="59"/>
        <v>Recorrente</v>
      </c>
      <c r="AH3169" t="str">
        <f t="shared" si="60"/>
        <v/>
      </c>
    </row>
    <row r="3170" spans="1:34">
      <c r="A3170">
        <v>2026</v>
      </c>
      <c r="B3170">
        <v>4</v>
      </c>
      <c r="C3170" s="83">
        <v>130454289737</v>
      </c>
      <c r="D3170" t="s">
        <v>2826</v>
      </c>
      <c r="E3170">
        <v>56474562424</v>
      </c>
      <c r="F3170">
        <v>325254</v>
      </c>
      <c r="G3170">
        <v>51743298916</v>
      </c>
      <c r="H3170" t="s">
        <v>35</v>
      </c>
      <c r="I3170" s="36">
        <v>4765.4399999999996</v>
      </c>
      <c r="J3170" s="36">
        <v>4765.4399999999996</v>
      </c>
      <c r="K3170" s="85">
        <v>0</v>
      </c>
      <c r="L3170" s="36">
        <v>397.12</v>
      </c>
      <c r="M3170" s="36">
        <v>0</v>
      </c>
      <c r="N3170" s="36">
        <v>60.305</v>
      </c>
      <c r="O3170" s="36">
        <v>336.82</v>
      </c>
      <c r="P3170" t="s">
        <v>165</v>
      </c>
      <c r="Q3170" t="s">
        <v>166</v>
      </c>
      <c r="R3170" t="s">
        <v>166</v>
      </c>
      <c r="S3170" s="1">
        <v>46115</v>
      </c>
      <c r="T3170" s="1">
        <v>46115</v>
      </c>
      <c r="U3170" s="1">
        <v>46115</v>
      </c>
      <c r="V3170" s="1">
        <v>46480</v>
      </c>
      <c r="W3170" t="s">
        <v>38</v>
      </c>
      <c r="X3170">
        <v>12</v>
      </c>
      <c r="Y3170" t="s">
        <v>49</v>
      </c>
      <c r="Z3170" t="s">
        <v>81</v>
      </c>
      <c r="AA3170" t="s">
        <v>112</v>
      </c>
      <c r="AB3170">
        <v>12</v>
      </c>
      <c r="AC3170" t="s">
        <v>166</v>
      </c>
      <c r="AD3170" t="s">
        <v>158</v>
      </c>
      <c r="AE3170" t="s">
        <v>43</v>
      </c>
      <c r="AF3170" t="s">
        <v>47</v>
      </c>
      <c r="AG3170" t="str">
        <f t="shared" si="59"/>
        <v>CC 12x</v>
      </c>
      <c r="AH3170" t="str">
        <f t="shared" si="60"/>
        <v/>
      </c>
    </row>
    <row r="3171" spans="1:34">
      <c r="A3171">
        <v>2026</v>
      </c>
      <c r="B3171">
        <v>4</v>
      </c>
      <c r="C3171" s="83">
        <v>130854489254</v>
      </c>
      <c r="D3171" t="s">
        <v>2827</v>
      </c>
      <c r="E3171">
        <v>59169806699</v>
      </c>
      <c r="F3171">
        <v>532751</v>
      </c>
      <c r="G3171">
        <v>54284097026</v>
      </c>
      <c r="H3171" t="s">
        <v>35</v>
      </c>
      <c r="I3171" s="36">
        <v>3942.84</v>
      </c>
      <c r="J3171" s="36">
        <v>3942.84</v>
      </c>
      <c r="K3171" s="85">
        <v>0</v>
      </c>
      <c r="L3171" s="36">
        <v>328.57</v>
      </c>
      <c r="M3171" s="36">
        <v>0</v>
      </c>
      <c r="N3171" s="36">
        <v>0</v>
      </c>
      <c r="O3171" s="36">
        <v>328.5675</v>
      </c>
      <c r="P3171" t="s">
        <v>116</v>
      </c>
      <c r="Q3171" t="s">
        <v>111</v>
      </c>
      <c r="R3171" t="s">
        <v>111</v>
      </c>
      <c r="S3171" s="1">
        <v>46126</v>
      </c>
      <c r="T3171" s="1">
        <v>46126</v>
      </c>
      <c r="U3171" s="1">
        <v>46124</v>
      </c>
      <c r="V3171" s="1">
        <v>46491</v>
      </c>
      <c r="W3171" t="s">
        <v>38</v>
      </c>
      <c r="X3171">
        <v>12</v>
      </c>
      <c r="Y3171" t="s">
        <v>49</v>
      </c>
      <c r="Z3171" t="s">
        <v>81</v>
      </c>
      <c r="AA3171" t="s">
        <v>112</v>
      </c>
      <c r="AB3171">
        <v>3</v>
      </c>
      <c r="AC3171" t="s">
        <v>113</v>
      </c>
      <c r="AD3171" t="s">
        <v>163</v>
      </c>
      <c r="AE3171" t="s">
        <v>43</v>
      </c>
      <c r="AF3171" t="s">
        <v>96</v>
      </c>
      <c r="AG3171" t="str">
        <f t="shared" si="59"/>
        <v>CC 3x</v>
      </c>
      <c r="AH3171" t="str">
        <f t="shared" si="60"/>
        <v/>
      </c>
    </row>
    <row r="3172" spans="1:34">
      <c r="A3172">
        <v>2026</v>
      </c>
      <c r="B3172">
        <v>4</v>
      </c>
      <c r="C3172" s="83">
        <v>132036621961</v>
      </c>
      <c r="D3172" t="s">
        <v>2828</v>
      </c>
      <c r="E3172">
        <v>59048462217</v>
      </c>
      <c r="F3172">
        <v>636997</v>
      </c>
      <c r="G3172">
        <v>54149669961</v>
      </c>
      <c r="H3172" t="s">
        <v>35</v>
      </c>
      <c r="I3172" s="36">
        <v>4080.36</v>
      </c>
      <c r="J3172" s="36">
        <v>4080.36</v>
      </c>
      <c r="K3172" s="85">
        <v>4.5474699999999999E-13</v>
      </c>
      <c r="L3172" s="36">
        <v>340.03</v>
      </c>
      <c r="M3172" s="36">
        <v>340.03</v>
      </c>
      <c r="N3172" s="36">
        <v>0</v>
      </c>
      <c r="O3172" s="36">
        <v>0</v>
      </c>
      <c r="P3172" t="s">
        <v>1073</v>
      </c>
      <c r="Q3172" t="s">
        <v>314</v>
      </c>
      <c r="R3172" t="s">
        <v>314</v>
      </c>
      <c r="S3172" s="1">
        <v>46121</v>
      </c>
      <c r="T3172" s="1">
        <v>46121</v>
      </c>
      <c r="U3172" s="1"/>
      <c r="V3172" s="1">
        <v>46486</v>
      </c>
      <c r="W3172" t="s">
        <v>38</v>
      </c>
      <c r="X3172">
        <v>12</v>
      </c>
      <c r="Y3172" t="s">
        <v>49</v>
      </c>
      <c r="AA3172" t="s">
        <v>117</v>
      </c>
      <c r="AB3172">
        <v>1</v>
      </c>
      <c r="AC3172" t="s">
        <v>315</v>
      </c>
      <c r="AD3172" t="s">
        <v>138</v>
      </c>
      <c r="AE3172" t="s">
        <v>135</v>
      </c>
      <c r="AF3172" t="s">
        <v>119</v>
      </c>
      <c r="AG3172" t="str">
        <f t="shared" si="59"/>
        <v>À Vista</v>
      </c>
      <c r="AH3172" t="str">
        <f t="shared" si="60"/>
        <v/>
      </c>
    </row>
    <row r="3173" spans="1:34">
      <c r="A3173">
        <v>2026</v>
      </c>
      <c r="B3173">
        <v>4</v>
      </c>
      <c r="C3173" s="83">
        <v>132054193697</v>
      </c>
      <c r="D3173" t="s">
        <v>2829</v>
      </c>
      <c r="E3173">
        <v>59658888344</v>
      </c>
      <c r="F3173">
        <v>533065</v>
      </c>
      <c r="G3173">
        <v>54699008370</v>
      </c>
      <c r="H3173" t="s">
        <v>35</v>
      </c>
      <c r="I3173" s="36">
        <v>5146.68</v>
      </c>
      <c r="J3173" s="36">
        <v>5146.68</v>
      </c>
      <c r="K3173" s="85">
        <v>0</v>
      </c>
      <c r="L3173" s="36">
        <v>428.89</v>
      </c>
      <c r="M3173" s="36">
        <v>0</v>
      </c>
      <c r="N3173" s="36">
        <v>0</v>
      </c>
      <c r="O3173" s="36">
        <v>428.89499999999998</v>
      </c>
      <c r="P3173" t="s">
        <v>116</v>
      </c>
      <c r="Q3173" t="s">
        <v>111</v>
      </c>
      <c r="R3173" t="s">
        <v>111</v>
      </c>
      <c r="S3173" s="1">
        <v>46136</v>
      </c>
      <c r="T3173" s="1">
        <v>46136</v>
      </c>
      <c r="U3173" s="1">
        <v>46137</v>
      </c>
      <c r="V3173" s="1">
        <v>46502</v>
      </c>
      <c r="W3173" t="s">
        <v>38</v>
      </c>
      <c r="X3173">
        <v>12</v>
      </c>
      <c r="Y3173" t="s">
        <v>49</v>
      </c>
      <c r="Z3173" t="s">
        <v>81</v>
      </c>
      <c r="AA3173" t="s">
        <v>112</v>
      </c>
      <c r="AB3173">
        <v>12</v>
      </c>
      <c r="AC3173" t="s">
        <v>113</v>
      </c>
      <c r="AD3173" t="s">
        <v>149</v>
      </c>
      <c r="AE3173" t="s">
        <v>43</v>
      </c>
      <c r="AF3173" t="s">
        <v>96</v>
      </c>
      <c r="AG3173" t="str">
        <f t="shared" si="59"/>
        <v>CC 12x</v>
      </c>
      <c r="AH3173" t="str">
        <f t="shared" si="60"/>
        <v/>
      </c>
    </row>
    <row r="3174" spans="1:34">
      <c r="A3174">
        <v>2026</v>
      </c>
      <c r="B3174">
        <v>4</v>
      </c>
      <c r="C3174" s="83">
        <v>133114286932</v>
      </c>
      <c r="D3174" t="s">
        <v>2830</v>
      </c>
      <c r="E3174">
        <v>58592573984</v>
      </c>
      <c r="F3174">
        <v>629183</v>
      </c>
      <c r="G3174">
        <v>54466239144</v>
      </c>
      <c r="H3174" t="s">
        <v>35</v>
      </c>
      <c r="I3174" s="36">
        <v>2328</v>
      </c>
      <c r="J3174" s="36">
        <v>2328</v>
      </c>
      <c r="K3174" s="85">
        <v>0</v>
      </c>
      <c r="L3174" s="36">
        <v>194</v>
      </c>
      <c r="M3174" s="36">
        <v>0</v>
      </c>
      <c r="N3174" s="36">
        <v>0</v>
      </c>
      <c r="O3174" s="36">
        <v>194.002185</v>
      </c>
      <c r="P3174" t="s">
        <v>116</v>
      </c>
      <c r="Q3174" t="s">
        <v>111</v>
      </c>
      <c r="R3174" t="s">
        <v>111</v>
      </c>
      <c r="S3174" s="1">
        <v>46133</v>
      </c>
      <c r="T3174" s="1">
        <v>46133</v>
      </c>
      <c r="U3174" s="1">
        <v>46142</v>
      </c>
      <c r="V3174" s="1">
        <v>46507</v>
      </c>
      <c r="W3174" t="s">
        <v>38</v>
      </c>
      <c r="X3174">
        <v>12</v>
      </c>
      <c r="Y3174" t="s">
        <v>49</v>
      </c>
      <c r="Z3174" t="s">
        <v>81</v>
      </c>
      <c r="AA3174" t="s">
        <v>112</v>
      </c>
      <c r="AB3174">
        <v>12</v>
      </c>
      <c r="AC3174" t="s">
        <v>113</v>
      </c>
      <c r="AD3174" t="s">
        <v>118</v>
      </c>
      <c r="AE3174" t="s">
        <v>43</v>
      </c>
      <c r="AF3174" t="s">
        <v>119</v>
      </c>
      <c r="AG3174" t="str">
        <f t="shared" si="59"/>
        <v>CC 12x</v>
      </c>
      <c r="AH3174" t="str">
        <f t="shared" si="60"/>
        <v/>
      </c>
    </row>
    <row r="3175" spans="1:34">
      <c r="A3175">
        <v>2026</v>
      </c>
      <c r="B3175">
        <v>4</v>
      </c>
      <c r="C3175" s="83">
        <v>133865275728</v>
      </c>
      <c r="D3175" t="s">
        <v>2831</v>
      </c>
      <c r="E3175">
        <v>59680313980</v>
      </c>
      <c r="F3175">
        <v>614180</v>
      </c>
      <c r="G3175">
        <v>54881232778</v>
      </c>
      <c r="H3175" t="s">
        <v>35</v>
      </c>
      <c r="I3175" s="36">
        <v>6624.84</v>
      </c>
      <c r="J3175" s="36">
        <v>6624.84</v>
      </c>
      <c r="K3175" s="85">
        <v>0</v>
      </c>
      <c r="L3175" s="36">
        <v>552.07000000000005</v>
      </c>
      <c r="M3175" s="36">
        <v>0</v>
      </c>
      <c r="N3175" s="36">
        <v>38.674999999999997</v>
      </c>
      <c r="O3175" s="36">
        <v>513.4</v>
      </c>
      <c r="P3175" t="s">
        <v>162</v>
      </c>
      <c r="Q3175" t="s">
        <v>111</v>
      </c>
      <c r="R3175" t="s">
        <v>111</v>
      </c>
      <c r="S3175" s="1">
        <v>46142</v>
      </c>
      <c r="T3175" s="1">
        <v>46142</v>
      </c>
      <c r="U3175" s="1">
        <v>46136</v>
      </c>
      <c r="V3175" s="1">
        <v>46507</v>
      </c>
      <c r="W3175" t="s">
        <v>38</v>
      </c>
      <c r="X3175">
        <v>12</v>
      </c>
      <c r="Y3175" t="s">
        <v>49</v>
      </c>
      <c r="Z3175" t="s">
        <v>81</v>
      </c>
      <c r="AA3175" t="s">
        <v>122</v>
      </c>
      <c r="AB3175">
        <v>12</v>
      </c>
      <c r="AC3175" t="s">
        <v>113</v>
      </c>
      <c r="AD3175" t="s">
        <v>125</v>
      </c>
      <c r="AE3175" t="s">
        <v>43</v>
      </c>
      <c r="AF3175" t="s">
        <v>47</v>
      </c>
      <c r="AG3175" t="str">
        <f t="shared" si="59"/>
        <v>Recorrente</v>
      </c>
      <c r="AH3175" t="str">
        <f t="shared" si="60"/>
        <v/>
      </c>
    </row>
    <row r="3176" spans="1:34">
      <c r="A3176">
        <v>2026</v>
      </c>
      <c r="B3176">
        <v>4</v>
      </c>
      <c r="C3176" s="83">
        <v>133941053549</v>
      </c>
      <c r="D3176" t="s">
        <v>2832</v>
      </c>
      <c r="E3176">
        <v>59728142337</v>
      </c>
      <c r="F3176">
        <v>508651</v>
      </c>
      <c r="G3176">
        <v>54884825761</v>
      </c>
      <c r="H3176" t="s">
        <v>35</v>
      </c>
      <c r="I3176" s="36">
        <v>7483.2</v>
      </c>
      <c r="J3176" s="36">
        <v>7483.2</v>
      </c>
      <c r="K3176" s="85">
        <v>0</v>
      </c>
      <c r="L3176" s="36">
        <v>623.6</v>
      </c>
      <c r="M3176" s="36">
        <v>0</v>
      </c>
      <c r="N3176" s="36">
        <v>58.26</v>
      </c>
      <c r="O3176" s="36">
        <v>565.34</v>
      </c>
      <c r="P3176" t="s">
        <v>121</v>
      </c>
      <c r="Q3176" t="s">
        <v>111</v>
      </c>
      <c r="R3176" t="s">
        <v>111</v>
      </c>
      <c r="S3176" s="1">
        <v>46142</v>
      </c>
      <c r="T3176" s="1">
        <v>46142</v>
      </c>
      <c r="U3176" s="1">
        <v>46109</v>
      </c>
      <c r="V3176" s="1">
        <v>46507</v>
      </c>
      <c r="W3176" t="s">
        <v>38</v>
      </c>
      <c r="X3176">
        <v>13</v>
      </c>
      <c r="Y3176" t="s">
        <v>49</v>
      </c>
      <c r="Z3176" t="s">
        <v>81</v>
      </c>
      <c r="AA3176" t="s">
        <v>122</v>
      </c>
      <c r="AB3176">
        <v>12</v>
      </c>
      <c r="AC3176" t="s">
        <v>113</v>
      </c>
      <c r="AD3176" t="s">
        <v>134</v>
      </c>
      <c r="AE3176" t="s">
        <v>135</v>
      </c>
      <c r="AF3176" t="s">
        <v>44</v>
      </c>
      <c r="AG3176" t="str">
        <f t="shared" si="59"/>
        <v>Recorrente</v>
      </c>
      <c r="AH3176" t="str">
        <f t="shared" si="60"/>
        <v/>
      </c>
    </row>
    <row r="3177" spans="1:34">
      <c r="A3177">
        <v>2026</v>
      </c>
      <c r="B3177">
        <v>4</v>
      </c>
      <c r="C3177" s="83">
        <v>134244568228</v>
      </c>
      <c r="D3177" t="s">
        <v>2833</v>
      </c>
      <c r="E3177">
        <v>59034164878</v>
      </c>
      <c r="F3177">
        <v>637006</v>
      </c>
      <c r="G3177">
        <v>54150018469</v>
      </c>
      <c r="H3177" t="s">
        <v>35</v>
      </c>
      <c r="I3177" s="36">
        <v>3114</v>
      </c>
      <c r="J3177" s="36">
        <v>3114</v>
      </c>
      <c r="K3177" s="85">
        <v>0</v>
      </c>
      <c r="L3177" s="36">
        <v>259.5</v>
      </c>
      <c r="M3177" s="36">
        <v>259.5</v>
      </c>
      <c r="N3177" s="36">
        <v>0</v>
      </c>
      <c r="O3177" s="36">
        <v>0</v>
      </c>
      <c r="P3177" t="s">
        <v>2004</v>
      </c>
      <c r="Q3177" t="s">
        <v>300</v>
      </c>
      <c r="R3177" t="s">
        <v>300</v>
      </c>
      <c r="S3177" s="1">
        <v>46122</v>
      </c>
      <c r="T3177" s="1">
        <v>46122</v>
      </c>
      <c r="U3177" s="1"/>
      <c r="V3177" s="1"/>
      <c r="W3177" t="s">
        <v>2733</v>
      </c>
      <c r="Y3177" t="s">
        <v>49</v>
      </c>
      <c r="AA3177" t="s">
        <v>122</v>
      </c>
      <c r="AB3177">
        <v>12</v>
      </c>
      <c r="AC3177" t="s">
        <v>301</v>
      </c>
      <c r="AD3177" t="s">
        <v>2734</v>
      </c>
      <c r="AE3177" t="s">
        <v>106</v>
      </c>
      <c r="AF3177" t="s">
        <v>59</v>
      </c>
      <c r="AG3177" t="str">
        <f t="shared" si="59"/>
        <v>Recorrente</v>
      </c>
      <c r="AH3177" t="str">
        <f t="shared" si="60"/>
        <v/>
      </c>
    </row>
    <row r="3178" spans="1:34">
      <c r="A3178">
        <v>2026</v>
      </c>
      <c r="B3178">
        <v>4</v>
      </c>
      <c r="C3178" s="83">
        <v>134270807858</v>
      </c>
      <c r="D3178" t="s">
        <v>2834</v>
      </c>
      <c r="E3178">
        <v>57886877987</v>
      </c>
      <c r="F3178">
        <v>628990</v>
      </c>
      <c r="G3178">
        <v>53131171920</v>
      </c>
      <c r="H3178" t="s">
        <v>35</v>
      </c>
      <c r="I3178" s="36">
        <v>4962.6000000000004</v>
      </c>
      <c r="J3178" s="36">
        <v>4962.6000000000004</v>
      </c>
      <c r="K3178" s="85">
        <v>0</v>
      </c>
      <c r="L3178" s="36">
        <v>413.55</v>
      </c>
      <c r="M3178" s="36">
        <v>0</v>
      </c>
      <c r="N3178" s="36">
        <v>67.13</v>
      </c>
      <c r="O3178" s="36">
        <v>346.42</v>
      </c>
      <c r="P3178" t="s">
        <v>165</v>
      </c>
      <c r="Q3178" t="s">
        <v>166</v>
      </c>
      <c r="R3178" t="s">
        <v>166</v>
      </c>
      <c r="S3178" s="1">
        <v>46137</v>
      </c>
      <c r="T3178" s="1">
        <v>46137</v>
      </c>
      <c r="U3178" s="1">
        <v>46137</v>
      </c>
      <c r="V3178" s="1">
        <v>46502</v>
      </c>
      <c r="W3178" t="s">
        <v>38</v>
      </c>
      <c r="X3178">
        <v>12</v>
      </c>
      <c r="Y3178" t="s">
        <v>49</v>
      </c>
      <c r="Z3178" t="s">
        <v>81</v>
      </c>
      <c r="AA3178" t="s">
        <v>122</v>
      </c>
      <c r="AB3178">
        <v>12</v>
      </c>
      <c r="AC3178" t="s">
        <v>166</v>
      </c>
      <c r="AD3178" t="s">
        <v>138</v>
      </c>
      <c r="AE3178" t="s">
        <v>135</v>
      </c>
      <c r="AF3178" t="s">
        <v>119</v>
      </c>
      <c r="AG3178" t="str">
        <f t="shared" si="59"/>
        <v>Recorrente</v>
      </c>
      <c r="AH3178" t="str">
        <f t="shared" si="60"/>
        <v/>
      </c>
    </row>
    <row r="3179" spans="1:34">
      <c r="A3179">
        <v>2026</v>
      </c>
      <c r="B3179">
        <v>4</v>
      </c>
      <c r="C3179" s="83">
        <v>134533424561</v>
      </c>
      <c r="D3179" t="s">
        <v>2835</v>
      </c>
      <c r="E3179">
        <v>58011813953</v>
      </c>
      <c r="F3179">
        <v>628721</v>
      </c>
      <c r="G3179">
        <v>54268266253</v>
      </c>
      <c r="H3179" t="s">
        <v>35</v>
      </c>
      <c r="I3179" s="36">
        <v>4401.84</v>
      </c>
      <c r="J3179" s="36">
        <v>4401.84</v>
      </c>
      <c r="K3179" s="85">
        <v>0</v>
      </c>
      <c r="L3179" s="36">
        <v>366.82</v>
      </c>
      <c r="M3179" s="36">
        <v>0</v>
      </c>
      <c r="N3179" s="36">
        <v>0</v>
      </c>
      <c r="O3179" s="36">
        <v>366.822295</v>
      </c>
      <c r="P3179" t="s">
        <v>116</v>
      </c>
      <c r="Q3179" t="s">
        <v>111</v>
      </c>
      <c r="R3179" t="s">
        <v>111</v>
      </c>
      <c r="S3179" s="1">
        <v>46125</v>
      </c>
      <c r="T3179" s="1">
        <v>46125</v>
      </c>
      <c r="U3179" s="1">
        <v>46127</v>
      </c>
      <c r="V3179" s="1">
        <v>46492</v>
      </c>
      <c r="W3179" t="s">
        <v>38</v>
      </c>
      <c r="X3179">
        <v>12</v>
      </c>
      <c r="Y3179" t="s">
        <v>49</v>
      </c>
      <c r="Z3179" t="s">
        <v>81</v>
      </c>
      <c r="AA3179" t="s">
        <v>112</v>
      </c>
      <c r="AB3179">
        <v>12</v>
      </c>
      <c r="AC3179" t="s">
        <v>113</v>
      </c>
      <c r="AD3179" t="s">
        <v>85</v>
      </c>
      <c r="AE3179" t="s">
        <v>46</v>
      </c>
      <c r="AF3179" t="s">
        <v>44</v>
      </c>
      <c r="AG3179" t="str">
        <f t="shared" si="59"/>
        <v>CC 12x</v>
      </c>
      <c r="AH3179" t="str">
        <f t="shared" si="60"/>
        <v/>
      </c>
    </row>
    <row r="3180" spans="1:34">
      <c r="A3180">
        <v>2026</v>
      </c>
      <c r="B3180">
        <v>4</v>
      </c>
      <c r="C3180" s="83">
        <v>134808094755</v>
      </c>
      <c r="D3180" t="s">
        <v>1957</v>
      </c>
      <c r="E3180">
        <v>58897099036</v>
      </c>
      <c r="F3180">
        <v>636911</v>
      </c>
      <c r="G3180">
        <v>54038759580</v>
      </c>
      <c r="H3180" t="s">
        <v>35</v>
      </c>
      <c r="I3180" s="36">
        <v>2148</v>
      </c>
      <c r="J3180" s="36">
        <v>2148</v>
      </c>
      <c r="K3180" s="85">
        <v>0</v>
      </c>
      <c r="L3180" s="36">
        <v>179</v>
      </c>
      <c r="M3180" s="36">
        <v>0</v>
      </c>
      <c r="N3180" s="36">
        <v>179</v>
      </c>
      <c r="O3180" s="36">
        <v>0</v>
      </c>
      <c r="P3180" t="s">
        <v>367</v>
      </c>
      <c r="Q3180" t="s">
        <v>191</v>
      </c>
      <c r="R3180" t="s">
        <v>191</v>
      </c>
      <c r="S3180" s="1">
        <v>46119</v>
      </c>
      <c r="T3180" s="1">
        <v>46119</v>
      </c>
      <c r="U3180" s="1"/>
      <c r="V3180" s="1">
        <v>46484</v>
      </c>
      <c r="W3180" t="s">
        <v>38</v>
      </c>
      <c r="X3180">
        <v>12</v>
      </c>
      <c r="Y3180" t="s">
        <v>49</v>
      </c>
      <c r="AA3180" t="s">
        <v>122</v>
      </c>
      <c r="AB3180">
        <v>12</v>
      </c>
      <c r="AC3180" t="s">
        <v>192</v>
      </c>
      <c r="AD3180" t="s">
        <v>256</v>
      </c>
      <c r="AE3180" t="s">
        <v>257</v>
      </c>
      <c r="AF3180" t="s">
        <v>59</v>
      </c>
      <c r="AG3180" t="str">
        <f t="shared" si="59"/>
        <v>Recorrente</v>
      </c>
      <c r="AH3180" t="str">
        <f t="shared" si="60"/>
        <v/>
      </c>
    </row>
    <row r="3181" spans="1:34">
      <c r="A3181">
        <v>2026</v>
      </c>
      <c r="B3181">
        <v>4</v>
      </c>
      <c r="C3181" s="83">
        <v>134808094755</v>
      </c>
      <c r="D3181" t="s">
        <v>1957</v>
      </c>
      <c r="E3181">
        <v>59169366958</v>
      </c>
      <c r="F3181">
        <v>637333</v>
      </c>
      <c r="G3181">
        <v>54699071331</v>
      </c>
      <c r="H3181" t="s">
        <v>35</v>
      </c>
      <c r="I3181" s="36">
        <v>4296</v>
      </c>
      <c r="J3181" s="36">
        <v>4296</v>
      </c>
      <c r="K3181" s="85">
        <v>0</v>
      </c>
      <c r="L3181" s="36">
        <v>358</v>
      </c>
      <c r="M3181" s="36">
        <v>0</v>
      </c>
      <c r="N3181" s="36">
        <v>358</v>
      </c>
      <c r="O3181" s="36">
        <v>0</v>
      </c>
      <c r="P3181" t="s">
        <v>367</v>
      </c>
      <c r="Q3181" t="s">
        <v>191</v>
      </c>
      <c r="R3181" t="s">
        <v>191</v>
      </c>
      <c r="S3181" s="1">
        <v>46136</v>
      </c>
      <c r="T3181" s="1">
        <v>46136</v>
      </c>
      <c r="V3181" s="1">
        <v>46501</v>
      </c>
      <c r="W3181" t="s">
        <v>38</v>
      </c>
      <c r="X3181">
        <v>12</v>
      </c>
      <c r="Y3181" t="s">
        <v>49</v>
      </c>
      <c r="AA3181" t="s">
        <v>122</v>
      </c>
      <c r="AB3181">
        <v>12</v>
      </c>
      <c r="AC3181" t="s">
        <v>192</v>
      </c>
      <c r="AD3181" t="s">
        <v>362</v>
      </c>
      <c r="AE3181" t="s">
        <v>363</v>
      </c>
      <c r="AF3181" t="s">
        <v>59</v>
      </c>
      <c r="AG3181" t="str">
        <f t="shared" si="59"/>
        <v>Recorrente</v>
      </c>
      <c r="AH3181" t="str">
        <f t="shared" si="60"/>
        <v/>
      </c>
    </row>
    <row r="3182" spans="1:34">
      <c r="A3182">
        <v>2026</v>
      </c>
      <c r="B3182">
        <v>4</v>
      </c>
      <c r="C3182" s="83">
        <v>136171229699</v>
      </c>
      <c r="D3182" t="s">
        <v>2836</v>
      </c>
      <c r="E3182">
        <v>59770636838</v>
      </c>
      <c r="F3182">
        <v>637477</v>
      </c>
      <c r="G3182">
        <v>54880885056</v>
      </c>
      <c r="H3182" t="s">
        <v>35</v>
      </c>
      <c r="I3182" s="36">
        <v>2534.7600000000002</v>
      </c>
      <c r="J3182" s="36">
        <v>2534.7530400000001</v>
      </c>
      <c r="K3182" s="85">
        <v>6.96E-3</v>
      </c>
      <c r="L3182" s="36">
        <v>211.22942</v>
      </c>
      <c r="M3182" s="36">
        <v>0</v>
      </c>
      <c r="N3182" s="36">
        <v>211.22942</v>
      </c>
      <c r="O3182" s="36">
        <v>0</v>
      </c>
      <c r="P3182" t="s">
        <v>367</v>
      </c>
      <c r="Q3182" t="s">
        <v>191</v>
      </c>
      <c r="R3182" t="s">
        <v>191</v>
      </c>
      <c r="S3182" s="1">
        <v>46141</v>
      </c>
      <c r="T3182" s="1">
        <v>46141</v>
      </c>
      <c r="V3182" s="1">
        <v>46506</v>
      </c>
      <c r="W3182" t="s">
        <v>38</v>
      </c>
      <c r="X3182">
        <v>12</v>
      </c>
      <c r="Y3182" t="s">
        <v>49</v>
      </c>
      <c r="AA3182" t="s">
        <v>122</v>
      </c>
      <c r="AB3182">
        <v>12</v>
      </c>
      <c r="AC3182" t="s">
        <v>192</v>
      </c>
      <c r="AD3182" t="s">
        <v>140</v>
      </c>
      <c r="AE3182" t="s">
        <v>46</v>
      </c>
      <c r="AF3182" t="s">
        <v>119</v>
      </c>
      <c r="AG3182" t="str">
        <f t="shared" si="59"/>
        <v>Recorrente</v>
      </c>
      <c r="AH3182" t="str">
        <f t="shared" si="60"/>
        <v/>
      </c>
    </row>
    <row r="3183" spans="1:34">
      <c r="A3183">
        <v>2026</v>
      </c>
      <c r="B3183">
        <v>4</v>
      </c>
      <c r="C3183" s="83">
        <v>136486030134</v>
      </c>
      <c r="D3183" t="s">
        <v>2837</v>
      </c>
      <c r="E3183">
        <v>59146930845</v>
      </c>
      <c r="F3183">
        <v>628635</v>
      </c>
      <c r="G3183">
        <v>54294782054</v>
      </c>
      <c r="H3183" t="s">
        <v>35</v>
      </c>
      <c r="I3183" s="36">
        <v>4919.6400000000003</v>
      </c>
      <c r="J3183" s="36">
        <v>4919.6400000000003</v>
      </c>
      <c r="K3183" s="85">
        <v>0</v>
      </c>
      <c r="L3183" s="36">
        <v>409.97</v>
      </c>
      <c r="M3183" s="36">
        <v>0</v>
      </c>
      <c r="N3183" s="36">
        <v>24.92</v>
      </c>
      <c r="O3183" s="36">
        <v>385.05</v>
      </c>
      <c r="P3183" t="s">
        <v>162</v>
      </c>
      <c r="Q3183" t="s">
        <v>111</v>
      </c>
      <c r="R3183" t="s">
        <v>111</v>
      </c>
      <c r="S3183" s="1">
        <v>46127</v>
      </c>
      <c r="T3183" s="1">
        <v>46127</v>
      </c>
      <c r="U3183" s="1">
        <v>46126</v>
      </c>
      <c r="V3183" s="1">
        <v>46492</v>
      </c>
      <c r="W3183" t="s">
        <v>38</v>
      </c>
      <c r="X3183">
        <v>12</v>
      </c>
      <c r="Y3183" t="s">
        <v>49</v>
      </c>
      <c r="Z3183" t="s">
        <v>81</v>
      </c>
      <c r="AA3183" t="s">
        <v>112</v>
      </c>
      <c r="AB3183">
        <v>12</v>
      </c>
      <c r="AC3183" t="s">
        <v>113</v>
      </c>
      <c r="AD3183" t="s">
        <v>85</v>
      </c>
      <c r="AE3183" t="s">
        <v>46</v>
      </c>
      <c r="AF3183" t="s">
        <v>44</v>
      </c>
      <c r="AG3183" t="str">
        <f t="shared" si="59"/>
        <v>CC 12x</v>
      </c>
      <c r="AH3183" t="str">
        <f t="shared" si="60"/>
        <v/>
      </c>
    </row>
    <row r="3184" spans="1:34">
      <c r="A3184">
        <v>2026</v>
      </c>
      <c r="B3184">
        <v>4</v>
      </c>
      <c r="C3184" s="83">
        <v>137665021981</v>
      </c>
      <c r="D3184" t="s">
        <v>2838</v>
      </c>
      <c r="E3184">
        <v>57827908913</v>
      </c>
      <c r="F3184">
        <v>636961</v>
      </c>
      <c r="G3184">
        <v>54118699060</v>
      </c>
      <c r="H3184" t="s">
        <v>35</v>
      </c>
      <c r="I3184" s="36">
        <v>4962.6000000000004</v>
      </c>
      <c r="J3184" s="36">
        <v>4962.6000000000004</v>
      </c>
      <c r="K3184" s="85">
        <v>0</v>
      </c>
      <c r="L3184" s="36">
        <v>413.55</v>
      </c>
      <c r="M3184" s="36">
        <v>413.55</v>
      </c>
      <c r="N3184" s="36">
        <v>0</v>
      </c>
      <c r="O3184" s="36">
        <v>0</v>
      </c>
      <c r="P3184" t="s">
        <v>506</v>
      </c>
      <c r="Q3184" t="s">
        <v>300</v>
      </c>
      <c r="R3184" t="s">
        <v>300</v>
      </c>
      <c r="S3184" s="1">
        <v>46120</v>
      </c>
      <c r="T3184" s="1">
        <v>46120</v>
      </c>
      <c r="U3184" s="1"/>
      <c r="V3184" s="1">
        <v>46485</v>
      </c>
      <c r="W3184" t="s">
        <v>38</v>
      </c>
      <c r="X3184">
        <v>12</v>
      </c>
      <c r="Y3184" t="s">
        <v>49</v>
      </c>
      <c r="AA3184" t="s">
        <v>122</v>
      </c>
      <c r="AB3184">
        <v>12</v>
      </c>
      <c r="AC3184" t="s">
        <v>301</v>
      </c>
      <c r="AD3184" t="s">
        <v>138</v>
      </c>
      <c r="AE3184" t="s">
        <v>135</v>
      </c>
      <c r="AF3184" t="s">
        <v>119</v>
      </c>
      <c r="AG3184" t="str">
        <f t="shared" si="59"/>
        <v>Recorrente</v>
      </c>
      <c r="AH3184" t="str">
        <f t="shared" si="60"/>
        <v/>
      </c>
    </row>
    <row r="3185" spans="1:34">
      <c r="A3185">
        <v>2026</v>
      </c>
      <c r="B3185">
        <v>4</v>
      </c>
      <c r="C3185" s="83">
        <v>138286367355</v>
      </c>
      <c r="D3185" t="s">
        <v>2839</v>
      </c>
      <c r="E3185">
        <v>58656419468</v>
      </c>
      <c r="F3185">
        <v>636851</v>
      </c>
      <c r="G3185">
        <v>53854184017</v>
      </c>
      <c r="H3185" t="s">
        <v>35</v>
      </c>
      <c r="I3185" s="36">
        <v>2874</v>
      </c>
      <c r="J3185" s="36">
        <v>2874</v>
      </c>
      <c r="K3185" s="85">
        <v>0</v>
      </c>
      <c r="L3185" s="36">
        <v>239.5</v>
      </c>
      <c r="M3185" s="36">
        <v>239.5</v>
      </c>
      <c r="N3185" s="36">
        <v>0</v>
      </c>
      <c r="O3185" s="36">
        <v>0</v>
      </c>
      <c r="P3185" t="s">
        <v>506</v>
      </c>
      <c r="Q3185" t="s">
        <v>300</v>
      </c>
      <c r="R3185" t="s">
        <v>300</v>
      </c>
      <c r="S3185" s="1">
        <v>46113</v>
      </c>
      <c r="T3185" s="1">
        <v>46113</v>
      </c>
      <c r="V3185" s="1">
        <v>46478</v>
      </c>
      <c r="W3185" t="s">
        <v>38</v>
      </c>
      <c r="X3185">
        <v>12</v>
      </c>
      <c r="Y3185" t="s">
        <v>49</v>
      </c>
      <c r="AA3185" t="s">
        <v>122</v>
      </c>
      <c r="AB3185">
        <v>12</v>
      </c>
      <c r="AC3185" t="s">
        <v>301</v>
      </c>
      <c r="AD3185" t="s">
        <v>140</v>
      </c>
      <c r="AE3185" t="s">
        <v>46</v>
      </c>
      <c r="AF3185" t="s">
        <v>119</v>
      </c>
      <c r="AG3185" t="str">
        <f t="shared" si="59"/>
        <v>Recorrente</v>
      </c>
      <c r="AH3185" t="str">
        <f t="shared" si="60"/>
        <v/>
      </c>
    </row>
    <row r="3186" spans="1:34">
      <c r="A3186">
        <v>2026</v>
      </c>
      <c r="B3186">
        <v>4</v>
      </c>
      <c r="C3186" s="83">
        <v>138341636498</v>
      </c>
      <c r="D3186" t="s">
        <v>2840</v>
      </c>
      <c r="E3186">
        <v>59728076717</v>
      </c>
      <c r="F3186">
        <v>628898</v>
      </c>
      <c r="G3186">
        <v>54878880013</v>
      </c>
      <c r="H3186" t="s">
        <v>35</v>
      </c>
      <c r="I3186" s="36">
        <v>2874</v>
      </c>
      <c r="J3186" s="36">
        <v>2874</v>
      </c>
      <c r="K3186" s="85">
        <v>0</v>
      </c>
      <c r="L3186" s="36">
        <v>239.5</v>
      </c>
      <c r="M3186" s="36">
        <v>0</v>
      </c>
      <c r="N3186" s="36">
        <v>0</v>
      </c>
      <c r="O3186" s="36">
        <v>239.5</v>
      </c>
      <c r="P3186" t="s">
        <v>162</v>
      </c>
      <c r="Q3186" t="s">
        <v>111</v>
      </c>
      <c r="R3186" t="s">
        <v>111</v>
      </c>
      <c r="S3186" s="1">
        <v>46141</v>
      </c>
      <c r="T3186" s="1">
        <v>46141</v>
      </c>
      <c r="U3186" s="1">
        <v>46134</v>
      </c>
      <c r="V3186" s="1">
        <v>46506</v>
      </c>
      <c r="W3186" t="s">
        <v>38</v>
      </c>
      <c r="X3186">
        <v>12</v>
      </c>
      <c r="Y3186" t="s">
        <v>49</v>
      </c>
      <c r="Z3186" t="s">
        <v>76</v>
      </c>
      <c r="AA3186" t="s">
        <v>122</v>
      </c>
      <c r="AB3186">
        <v>12</v>
      </c>
      <c r="AC3186" t="s">
        <v>113</v>
      </c>
      <c r="AD3186" t="s">
        <v>140</v>
      </c>
      <c r="AE3186" t="s">
        <v>46</v>
      </c>
      <c r="AF3186" t="s">
        <v>119</v>
      </c>
      <c r="AG3186" t="str">
        <f t="shared" si="59"/>
        <v>Recorrente</v>
      </c>
      <c r="AH3186" t="str">
        <f t="shared" si="60"/>
        <v/>
      </c>
    </row>
    <row r="3187" spans="1:34">
      <c r="A3187">
        <v>2026</v>
      </c>
      <c r="B3187">
        <v>4</v>
      </c>
      <c r="C3187" s="83">
        <v>139908721477</v>
      </c>
      <c r="D3187" t="s">
        <v>2841</v>
      </c>
      <c r="E3187">
        <v>59021306193</v>
      </c>
      <c r="F3187">
        <v>636998</v>
      </c>
      <c r="G3187">
        <v>54154488091</v>
      </c>
      <c r="H3187" t="s">
        <v>35</v>
      </c>
      <c r="I3187" s="36">
        <v>3740.04</v>
      </c>
      <c r="J3187" s="36">
        <v>3740.1</v>
      </c>
      <c r="K3187" s="85">
        <v>0</v>
      </c>
      <c r="L3187" s="36">
        <v>311.67500000000001</v>
      </c>
      <c r="M3187" s="36">
        <v>311.67500000000001</v>
      </c>
      <c r="N3187" s="36">
        <v>0</v>
      </c>
      <c r="O3187" s="36">
        <v>0</v>
      </c>
      <c r="P3187" t="s">
        <v>1073</v>
      </c>
      <c r="Q3187" t="s">
        <v>314</v>
      </c>
      <c r="R3187" t="s">
        <v>314</v>
      </c>
      <c r="S3187" s="1">
        <v>46121</v>
      </c>
      <c r="T3187" s="1">
        <v>46121</v>
      </c>
      <c r="U3187" s="1"/>
      <c r="V3187" s="1">
        <v>46486</v>
      </c>
      <c r="W3187" t="s">
        <v>38</v>
      </c>
      <c r="X3187">
        <v>12</v>
      </c>
      <c r="Y3187" t="s">
        <v>49</v>
      </c>
      <c r="AA3187" t="s">
        <v>122</v>
      </c>
      <c r="AB3187">
        <v>12</v>
      </c>
      <c r="AC3187" t="s">
        <v>315</v>
      </c>
      <c r="AD3187" t="s">
        <v>85</v>
      </c>
      <c r="AE3187" t="s">
        <v>46</v>
      </c>
      <c r="AF3187" t="s">
        <v>44</v>
      </c>
      <c r="AG3187" t="str">
        <f t="shared" si="59"/>
        <v>Recorrente</v>
      </c>
      <c r="AH3187" t="str">
        <f t="shared" si="60"/>
        <v/>
      </c>
    </row>
    <row r="3188" spans="1:34">
      <c r="A3188">
        <v>2026</v>
      </c>
      <c r="B3188">
        <v>4</v>
      </c>
      <c r="C3188" s="83">
        <v>140502998796</v>
      </c>
      <c r="D3188" t="s">
        <v>2842</v>
      </c>
      <c r="E3188">
        <v>58070038301</v>
      </c>
      <c r="F3188">
        <v>628762</v>
      </c>
      <c r="G3188">
        <v>54509882691</v>
      </c>
      <c r="H3188" t="s">
        <v>35</v>
      </c>
      <c r="I3188" s="36">
        <v>4065</v>
      </c>
      <c r="J3188" s="36">
        <v>4065</v>
      </c>
      <c r="K3188" s="85">
        <v>0</v>
      </c>
      <c r="L3188" s="36">
        <v>338.75</v>
      </c>
      <c r="M3188" s="36">
        <v>0</v>
      </c>
      <c r="N3188" s="36">
        <v>0</v>
      </c>
      <c r="O3188" s="36">
        <v>338.74624999999997</v>
      </c>
      <c r="P3188" t="s">
        <v>137</v>
      </c>
      <c r="Q3188" t="s">
        <v>111</v>
      </c>
      <c r="R3188" t="s">
        <v>111</v>
      </c>
      <c r="S3188" s="1">
        <v>46134</v>
      </c>
      <c r="T3188" s="1">
        <v>46134</v>
      </c>
      <c r="U3188" s="1">
        <v>46128</v>
      </c>
      <c r="V3188" s="1">
        <v>46499</v>
      </c>
      <c r="W3188" t="s">
        <v>38</v>
      </c>
      <c r="X3188">
        <v>12</v>
      </c>
      <c r="Y3188" t="s">
        <v>49</v>
      </c>
      <c r="Z3188" t="s">
        <v>81</v>
      </c>
      <c r="AA3188" t="s">
        <v>122</v>
      </c>
      <c r="AB3188">
        <v>12</v>
      </c>
      <c r="AC3188" t="s">
        <v>113</v>
      </c>
      <c r="AD3188" t="s">
        <v>84</v>
      </c>
      <c r="AE3188" t="s">
        <v>43</v>
      </c>
      <c r="AF3188" t="s">
        <v>44</v>
      </c>
      <c r="AG3188" t="str">
        <f t="shared" si="59"/>
        <v>Recorrente</v>
      </c>
      <c r="AH3188" t="str">
        <f t="shared" si="60"/>
        <v/>
      </c>
    </row>
    <row r="3189" spans="1:34">
      <c r="A3189">
        <v>2026</v>
      </c>
      <c r="B3189">
        <v>4</v>
      </c>
      <c r="C3189" s="83">
        <v>142065199779</v>
      </c>
      <c r="D3189" t="s">
        <v>2843</v>
      </c>
      <c r="E3189">
        <v>59840717064</v>
      </c>
      <c r="F3189">
        <v>313245</v>
      </c>
      <c r="G3189">
        <v>54881239216</v>
      </c>
      <c r="H3189" t="s">
        <v>35</v>
      </c>
      <c r="I3189" s="36">
        <v>5514</v>
      </c>
      <c r="J3189" s="36">
        <v>5514</v>
      </c>
      <c r="K3189" s="85">
        <v>0</v>
      </c>
      <c r="L3189" s="36">
        <v>459.5</v>
      </c>
      <c r="M3189" s="36">
        <v>0</v>
      </c>
      <c r="N3189" s="36">
        <v>0</v>
      </c>
      <c r="O3189" s="36">
        <v>459.5</v>
      </c>
      <c r="P3189" t="s">
        <v>127</v>
      </c>
      <c r="Q3189" t="s">
        <v>111</v>
      </c>
      <c r="R3189" t="s">
        <v>111</v>
      </c>
      <c r="S3189" s="1">
        <v>46142</v>
      </c>
      <c r="T3189" s="1">
        <v>46142</v>
      </c>
      <c r="U3189" s="1">
        <v>46139</v>
      </c>
      <c r="V3189" s="1">
        <v>46507</v>
      </c>
      <c r="W3189" t="s">
        <v>38</v>
      </c>
      <c r="X3189">
        <v>12</v>
      </c>
      <c r="Y3189" t="s">
        <v>49</v>
      </c>
      <c r="Z3189" t="s">
        <v>81</v>
      </c>
      <c r="AA3189" t="s">
        <v>122</v>
      </c>
      <c r="AB3189">
        <v>12</v>
      </c>
      <c r="AC3189" t="s">
        <v>113</v>
      </c>
      <c r="AD3189" t="s">
        <v>138</v>
      </c>
      <c r="AE3189" t="s">
        <v>135</v>
      </c>
      <c r="AF3189" t="s">
        <v>119</v>
      </c>
      <c r="AG3189" t="str">
        <f t="shared" si="59"/>
        <v>Recorrente</v>
      </c>
      <c r="AH3189" t="str">
        <f t="shared" si="60"/>
        <v/>
      </c>
    </row>
    <row r="3190" spans="1:34">
      <c r="A3190">
        <v>2026</v>
      </c>
      <c r="B3190">
        <v>4</v>
      </c>
      <c r="C3190" s="83">
        <v>142071553859</v>
      </c>
      <c r="D3190" t="s">
        <v>2844</v>
      </c>
      <c r="E3190">
        <v>59554132559</v>
      </c>
      <c r="F3190">
        <v>534312</v>
      </c>
      <c r="G3190">
        <v>54917888856</v>
      </c>
      <c r="H3190" t="s">
        <v>35</v>
      </c>
      <c r="I3190" s="36">
        <v>8044.44</v>
      </c>
      <c r="J3190" s="36">
        <v>8044.44</v>
      </c>
      <c r="K3190" s="85">
        <v>0</v>
      </c>
      <c r="L3190" s="36">
        <v>670.37</v>
      </c>
      <c r="M3190" s="36">
        <v>0</v>
      </c>
      <c r="N3190" s="36">
        <v>305.72000000000003</v>
      </c>
      <c r="O3190" s="36">
        <v>364.65</v>
      </c>
      <c r="P3190" t="s">
        <v>804</v>
      </c>
      <c r="Q3190" t="s">
        <v>191</v>
      </c>
      <c r="R3190" t="s">
        <v>191</v>
      </c>
      <c r="S3190" s="1">
        <v>46141</v>
      </c>
      <c r="T3190" s="1">
        <v>46141</v>
      </c>
      <c r="U3190" s="1">
        <v>46147</v>
      </c>
      <c r="V3190" s="1">
        <v>46512</v>
      </c>
      <c r="W3190" t="s">
        <v>38</v>
      </c>
      <c r="X3190">
        <v>12</v>
      </c>
      <c r="Y3190" t="s">
        <v>49</v>
      </c>
      <c r="Z3190" t="s">
        <v>76</v>
      </c>
      <c r="AA3190" t="s">
        <v>122</v>
      </c>
      <c r="AB3190">
        <v>12</v>
      </c>
      <c r="AC3190" t="s">
        <v>192</v>
      </c>
      <c r="AD3190" t="s">
        <v>134</v>
      </c>
      <c r="AE3190" t="s">
        <v>135</v>
      </c>
      <c r="AF3190" t="s">
        <v>44</v>
      </c>
      <c r="AG3190" t="str">
        <f t="shared" si="59"/>
        <v>Recorrente</v>
      </c>
      <c r="AH3190" t="str">
        <f t="shared" si="60"/>
        <v/>
      </c>
    </row>
    <row r="3191" spans="1:34">
      <c r="A3191">
        <v>2026</v>
      </c>
      <c r="B3191">
        <v>4</v>
      </c>
      <c r="C3191" s="83">
        <v>142072284592</v>
      </c>
      <c r="D3191" t="s">
        <v>2845</v>
      </c>
      <c r="E3191">
        <v>59100949504</v>
      </c>
      <c r="F3191">
        <v>613281</v>
      </c>
      <c r="G3191">
        <v>54205086290</v>
      </c>
      <c r="H3191" t="s">
        <v>35</v>
      </c>
      <c r="I3191" s="36">
        <v>4686.84</v>
      </c>
      <c r="J3191" s="36">
        <v>4686.84</v>
      </c>
      <c r="K3191" s="85">
        <v>0</v>
      </c>
      <c r="L3191" s="36">
        <v>390.57</v>
      </c>
      <c r="M3191" s="36">
        <v>0</v>
      </c>
      <c r="N3191" s="36">
        <v>0</v>
      </c>
      <c r="O3191" s="36">
        <v>390.57499999999999</v>
      </c>
      <c r="P3191" t="s">
        <v>137</v>
      </c>
      <c r="Q3191" t="s">
        <v>111</v>
      </c>
      <c r="R3191" t="s">
        <v>111</v>
      </c>
      <c r="S3191" s="1">
        <v>46122</v>
      </c>
      <c r="T3191" s="1">
        <v>46122</v>
      </c>
      <c r="U3191" s="1">
        <v>46123</v>
      </c>
      <c r="V3191" s="1">
        <v>46488</v>
      </c>
      <c r="W3191" t="s">
        <v>38</v>
      </c>
      <c r="X3191">
        <v>12</v>
      </c>
      <c r="Y3191" t="s">
        <v>49</v>
      </c>
      <c r="Z3191" t="s">
        <v>81</v>
      </c>
      <c r="AA3191" t="s">
        <v>112</v>
      </c>
      <c r="AB3191">
        <v>12</v>
      </c>
      <c r="AC3191" t="s">
        <v>113</v>
      </c>
      <c r="AD3191" t="s">
        <v>138</v>
      </c>
      <c r="AE3191" t="s">
        <v>135</v>
      </c>
      <c r="AF3191" t="s">
        <v>119</v>
      </c>
      <c r="AG3191" t="str">
        <f t="shared" si="59"/>
        <v>CC 12x</v>
      </c>
      <c r="AH3191" t="str">
        <f t="shared" si="60"/>
        <v/>
      </c>
    </row>
    <row r="3192" spans="1:34">
      <c r="A3192">
        <v>2026</v>
      </c>
      <c r="B3192">
        <v>4</v>
      </c>
      <c r="C3192" s="83">
        <v>142104362675</v>
      </c>
      <c r="D3192" t="s">
        <v>2846</v>
      </c>
      <c r="E3192">
        <v>59246733640</v>
      </c>
      <c r="F3192">
        <v>631559</v>
      </c>
      <c r="G3192">
        <v>54880945046</v>
      </c>
      <c r="H3192" t="s">
        <v>35</v>
      </c>
      <c r="I3192" s="36">
        <v>318.12</v>
      </c>
      <c r="J3192" s="36">
        <v>1197.96</v>
      </c>
      <c r="K3192" s="85">
        <v>0</v>
      </c>
      <c r="L3192" s="36">
        <v>99.83</v>
      </c>
      <c r="M3192" s="36">
        <v>0</v>
      </c>
      <c r="N3192" s="36">
        <v>99.83</v>
      </c>
      <c r="O3192" s="36">
        <v>0</v>
      </c>
      <c r="P3192" t="s">
        <v>469</v>
      </c>
      <c r="Q3192" t="s">
        <v>191</v>
      </c>
      <c r="R3192" t="s">
        <v>191</v>
      </c>
      <c r="S3192" s="1">
        <v>46141</v>
      </c>
      <c r="T3192" s="1">
        <v>46141</v>
      </c>
      <c r="U3192" s="1">
        <v>46238</v>
      </c>
      <c r="V3192" s="1">
        <v>46238</v>
      </c>
      <c r="W3192" t="s">
        <v>38</v>
      </c>
      <c r="X3192">
        <v>4</v>
      </c>
      <c r="Y3192" t="s">
        <v>49</v>
      </c>
      <c r="Z3192" t="s">
        <v>324</v>
      </c>
      <c r="AA3192" t="s">
        <v>112</v>
      </c>
      <c r="AB3192">
        <v>4</v>
      </c>
      <c r="AC3192" t="s">
        <v>192</v>
      </c>
      <c r="AD3192" t="s">
        <v>160</v>
      </c>
      <c r="AE3192" t="s">
        <v>43</v>
      </c>
      <c r="AF3192" t="s">
        <v>44</v>
      </c>
      <c r="AG3192" t="str">
        <f t="shared" si="59"/>
        <v>CC 12x</v>
      </c>
      <c r="AH3192" t="str">
        <f t="shared" si="60"/>
        <v/>
      </c>
    </row>
    <row r="3193" spans="1:34">
      <c r="A3193">
        <v>2026</v>
      </c>
      <c r="B3193">
        <v>4</v>
      </c>
      <c r="C3193" s="83">
        <v>142152475959</v>
      </c>
      <c r="D3193" t="s">
        <v>2847</v>
      </c>
      <c r="E3193">
        <v>59610220198</v>
      </c>
      <c r="F3193">
        <v>637395</v>
      </c>
      <c r="G3193">
        <v>54801172917</v>
      </c>
      <c r="H3193" t="s">
        <v>35</v>
      </c>
      <c r="I3193" s="36">
        <v>361</v>
      </c>
      <c r="J3193" s="36">
        <v>4332</v>
      </c>
      <c r="K3193" s="85">
        <v>0</v>
      </c>
      <c r="L3193" s="36">
        <v>361</v>
      </c>
      <c r="M3193" s="36">
        <v>361</v>
      </c>
      <c r="N3193" s="36">
        <v>0</v>
      </c>
      <c r="O3193" s="36">
        <v>0</v>
      </c>
      <c r="P3193" t="s">
        <v>127</v>
      </c>
      <c r="Q3193" t="s">
        <v>111</v>
      </c>
      <c r="R3193" t="s">
        <v>111</v>
      </c>
      <c r="S3193" s="1">
        <v>46139</v>
      </c>
      <c r="T3193" s="1">
        <v>46139</v>
      </c>
      <c r="U3193" s="1"/>
      <c r="V3193" s="1">
        <v>46169</v>
      </c>
      <c r="W3193" t="s">
        <v>679</v>
      </c>
      <c r="X3193">
        <v>1</v>
      </c>
      <c r="Y3193" t="s">
        <v>49</v>
      </c>
      <c r="AA3193" t="s">
        <v>112</v>
      </c>
      <c r="AB3193">
        <v>1</v>
      </c>
      <c r="AC3193" t="s">
        <v>113</v>
      </c>
      <c r="AD3193" t="s">
        <v>118</v>
      </c>
      <c r="AE3193" t="s">
        <v>43</v>
      </c>
      <c r="AF3193" t="s">
        <v>119</v>
      </c>
      <c r="AG3193" t="str">
        <f t="shared" si="59"/>
        <v>À Vista</v>
      </c>
      <c r="AH3193" t="str">
        <f t="shared" si="60"/>
        <v/>
      </c>
    </row>
    <row r="3194" spans="1:34">
      <c r="A3194">
        <v>2026</v>
      </c>
      <c r="B3194">
        <v>4</v>
      </c>
      <c r="C3194" s="83">
        <v>142318680455</v>
      </c>
      <c r="D3194" t="s">
        <v>2848</v>
      </c>
      <c r="E3194">
        <v>57971942939</v>
      </c>
      <c r="F3194">
        <v>313581</v>
      </c>
      <c r="G3194">
        <v>53181880616</v>
      </c>
      <c r="H3194" t="s">
        <v>35</v>
      </c>
      <c r="I3194" s="36">
        <v>8634.6</v>
      </c>
      <c r="J3194" s="36">
        <v>8634.6</v>
      </c>
      <c r="K3194" s="85">
        <v>0</v>
      </c>
      <c r="L3194" s="36">
        <v>719.55</v>
      </c>
      <c r="M3194" s="36">
        <v>0</v>
      </c>
      <c r="N3194" s="36">
        <v>144.35</v>
      </c>
      <c r="O3194" s="36">
        <v>575.20000000000005</v>
      </c>
      <c r="P3194" t="s">
        <v>165</v>
      </c>
      <c r="Q3194" t="s">
        <v>166</v>
      </c>
      <c r="R3194" t="s">
        <v>166</v>
      </c>
      <c r="S3194" s="1">
        <v>46139</v>
      </c>
      <c r="T3194" s="1">
        <v>46139</v>
      </c>
      <c r="U3194" s="1">
        <v>46139</v>
      </c>
      <c r="V3194" s="1">
        <v>46504</v>
      </c>
      <c r="W3194" t="s">
        <v>38</v>
      </c>
      <c r="X3194">
        <v>12</v>
      </c>
      <c r="Y3194" t="s">
        <v>49</v>
      </c>
      <c r="Z3194" t="s">
        <v>81</v>
      </c>
      <c r="AA3194" t="s">
        <v>112</v>
      </c>
      <c r="AB3194">
        <v>12</v>
      </c>
      <c r="AC3194" t="s">
        <v>166</v>
      </c>
      <c r="AD3194" t="s">
        <v>131</v>
      </c>
      <c r="AE3194" t="s">
        <v>46</v>
      </c>
      <c r="AF3194" t="s">
        <v>96</v>
      </c>
      <c r="AG3194" t="str">
        <f t="shared" si="59"/>
        <v>CC 12x</v>
      </c>
      <c r="AH3194" t="str">
        <f t="shared" si="60"/>
        <v/>
      </c>
    </row>
    <row r="3195" spans="1:34">
      <c r="A3195">
        <v>2026</v>
      </c>
      <c r="B3195">
        <v>4</v>
      </c>
      <c r="C3195" s="83">
        <v>142628179048</v>
      </c>
      <c r="D3195" t="s">
        <v>2849</v>
      </c>
      <c r="E3195">
        <v>57971649454</v>
      </c>
      <c r="F3195">
        <v>533855</v>
      </c>
      <c r="G3195">
        <v>53173760386</v>
      </c>
      <c r="H3195" t="s">
        <v>35</v>
      </c>
      <c r="I3195" s="36">
        <v>2586.6</v>
      </c>
      <c r="J3195" s="36">
        <v>2586.6</v>
      </c>
      <c r="K3195" s="85">
        <v>0</v>
      </c>
      <c r="L3195" s="36">
        <v>215.55</v>
      </c>
      <c r="M3195" s="36">
        <v>0</v>
      </c>
      <c r="N3195" s="36">
        <v>24.35</v>
      </c>
      <c r="O3195" s="36">
        <v>191.2</v>
      </c>
      <c r="P3195" t="s">
        <v>165</v>
      </c>
      <c r="Q3195" t="s">
        <v>166</v>
      </c>
      <c r="R3195" t="s">
        <v>166</v>
      </c>
      <c r="S3195" s="1">
        <v>46139</v>
      </c>
      <c r="T3195" s="1">
        <v>46139</v>
      </c>
      <c r="U3195" s="1">
        <v>46139</v>
      </c>
      <c r="V3195" s="1">
        <v>46504</v>
      </c>
      <c r="W3195" t="s">
        <v>38</v>
      </c>
      <c r="X3195">
        <v>12</v>
      </c>
      <c r="Y3195" t="s">
        <v>49</v>
      </c>
      <c r="Z3195" t="s">
        <v>81</v>
      </c>
      <c r="AA3195" t="s">
        <v>112</v>
      </c>
      <c r="AB3195">
        <v>12</v>
      </c>
      <c r="AC3195" t="s">
        <v>166</v>
      </c>
      <c r="AD3195" t="s">
        <v>118</v>
      </c>
      <c r="AE3195" t="s">
        <v>43</v>
      </c>
      <c r="AF3195" t="s">
        <v>119</v>
      </c>
      <c r="AG3195" t="str">
        <f t="shared" si="59"/>
        <v>CC 12x</v>
      </c>
      <c r="AH3195" t="str">
        <f t="shared" si="60"/>
        <v/>
      </c>
    </row>
    <row r="3196" spans="1:34">
      <c r="A3196">
        <v>2026</v>
      </c>
      <c r="B3196">
        <v>4</v>
      </c>
      <c r="C3196" s="83">
        <v>142801112321</v>
      </c>
      <c r="D3196" t="s">
        <v>2850</v>
      </c>
      <c r="E3196">
        <v>59122733495</v>
      </c>
      <c r="F3196">
        <v>628532</v>
      </c>
      <c r="G3196">
        <v>54269309868</v>
      </c>
      <c r="H3196" t="s">
        <v>35</v>
      </c>
      <c r="I3196" s="36">
        <v>2457.2399999999998</v>
      </c>
      <c r="J3196" s="36">
        <v>2457.2399999999998</v>
      </c>
      <c r="K3196" s="85">
        <v>0</v>
      </c>
      <c r="L3196" s="36">
        <v>204.77</v>
      </c>
      <c r="M3196" s="36">
        <v>0</v>
      </c>
      <c r="N3196" s="36">
        <v>1.6201049999999999</v>
      </c>
      <c r="O3196" s="36">
        <v>203.15</v>
      </c>
      <c r="P3196" t="s">
        <v>116</v>
      </c>
      <c r="Q3196" t="s">
        <v>111</v>
      </c>
      <c r="R3196" t="s">
        <v>111</v>
      </c>
      <c r="S3196" s="1">
        <v>46125</v>
      </c>
      <c r="T3196" s="1">
        <v>46125</v>
      </c>
      <c r="U3196" s="1">
        <v>46123</v>
      </c>
      <c r="V3196" s="1">
        <v>46490</v>
      </c>
      <c r="W3196" t="s">
        <v>38</v>
      </c>
      <c r="X3196">
        <v>12</v>
      </c>
      <c r="Y3196" t="s">
        <v>49</v>
      </c>
      <c r="Z3196" t="s">
        <v>81</v>
      </c>
      <c r="AA3196" t="s">
        <v>112</v>
      </c>
      <c r="AB3196">
        <v>12</v>
      </c>
      <c r="AC3196" t="s">
        <v>113</v>
      </c>
      <c r="AD3196" t="s">
        <v>118</v>
      </c>
      <c r="AE3196" t="s">
        <v>43</v>
      </c>
      <c r="AF3196" t="s">
        <v>119</v>
      </c>
      <c r="AG3196" t="str">
        <f t="shared" si="59"/>
        <v>CC 12x</v>
      </c>
      <c r="AH3196" t="str">
        <f t="shared" si="60"/>
        <v/>
      </c>
    </row>
    <row r="3197" spans="1:34">
      <c r="A3197">
        <v>2026</v>
      </c>
      <c r="B3197">
        <v>4</v>
      </c>
      <c r="C3197" s="83">
        <v>144904349071</v>
      </c>
      <c r="D3197" t="s">
        <v>2851</v>
      </c>
      <c r="E3197">
        <v>57365121384</v>
      </c>
      <c r="F3197">
        <v>628464</v>
      </c>
      <c r="G3197">
        <v>54038829698</v>
      </c>
      <c r="H3197" t="s">
        <v>35</v>
      </c>
      <c r="I3197" s="36">
        <v>4890.84</v>
      </c>
      <c r="J3197" s="36">
        <v>4890.84</v>
      </c>
      <c r="K3197" s="85">
        <v>0</v>
      </c>
      <c r="L3197" s="36">
        <v>407.57</v>
      </c>
      <c r="M3197" s="36">
        <v>0</v>
      </c>
      <c r="N3197" s="36">
        <v>0</v>
      </c>
      <c r="O3197" s="36">
        <v>407.57499999999999</v>
      </c>
      <c r="P3197" t="s">
        <v>133</v>
      </c>
      <c r="Q3197" t="s">
        <v>111</v>
      </c>
      <c r="R3197" t="s">
        <v>111</v>
      </c>
      <c r="S3197" s="1">
        <v>46119</v>
      </c>
      <c r="T3197" s="1">
        <v>46119</v>
      </c>
      <c r="U3197" s="1">
        <v>46122</v>
      </c>
      <c r="V3197" s="1">
        <v>46487</v>
      </c>
      <c r="W3197" t="s">
        <v>38</v>
      </c>
      <c r="X3197">
        <v>12</v>
      </c>
      <c r="Y3197" t="s">
        <v>49</v>
      </c>
      <c r="Z3197" t="s">
        <v>81</v>
      </c>
      <c r="AA3197" t="s">
        <v>122</v>
      </c>
      <c r="AB3197">
        <v>12</v>
      </c>
      <c r="AC3197" t="s">
        <v>113</v>
      </c>
      <c r="AD3197" t="s">
        <v>85</v>
      </c>
      <c r="AE3197" t="s">
        <v>46</v>
      </c>
      <c r="AF3197" t="s">
        <v>44</v>
      </c>
      <c r="AG3197" t="str">
        <f t="shared" si="59"/>
        <v>Recorrente</v>
      </c>
      <c r="AH3197" t="str">
        <f t="shared" si="60"/>
        <v/>
      </c>
    </row>
    <row r="3198" spans="1:34">
      <c r="A3198">
        <v>2026</v>
      </c>
      <c r="B3198">
        <v>4</v>
      </c>
      <c r="C3198" s="83">
        <v>145043805604</v>
      </c>
      <c r="D3198" t="s">
        <v>2852</v>
      </c>
      <c r="E3198">
        <v>58338274450</v>
      </c>
      <c r="F3198">
        <v>628962</v>
      </c>
      <c r="G3198">
        <v>54635380884</v>
      </c>
      <c r="H3198" t="s">
        <v>35</v>
      </c>
      <c r="I3198" s="36">
        <v>4890.84</v>
      </c>
      <c r="J3198" s="36">
        <v>4890.84</v>
      </c>
      <c r="K3198" s="85">
        <v>0</v>
      </c>
      <c r="L3198" s="36">
        <v>407.57</v>
      </c>
      <c r="M3198" s="36">
        <v>0</v>
      </c>
      <c r="N3198" s="36">
        <v>0</v>
      </c>
      <c r="O3198" s="36">
        <v>407.57499999999999</v>
      </c>
      <c r="P3198" t="s">
        <v>121</v>
      </c>
      <c r="Q3198" t="s">
        <v>111</v>
      </c>
      <c r="R3198" t="s">
        <v>111</v>
      </c>
      <c r="S3198" s="1">
        <v>46136</v>
      </c>
      <c r="T3198" s="1">
        <v>46136</v>
      </c>
      <c r="U3198" s="1">
        <v>46136</v>
      </c>
      <c r="V3198" s="1">
        <v>46501</v>
      </c>
      <c r="W3198" t="s">
        <v>38</v>
      </c>
      <c r="X3198">
        <v>12</v>
      </c>
      <c r="Y3198" t="s">
        <v>49</v>
      </c>
      <c r="Z3198" t="s">
        <v>81</v>
      </c>
      <c r="AA3198" t="s">
        <v>122</v>
      </c>
      <c r="AB3198">
        <v>12</v>
      </c>
      <c r="AC3198" t="s">
        <v>113</v>
      </c>
      <c r="AD3198" t="s">
        <v>85</v>
      </c>
      <c r="AE3198" t="s">
        <v>46</v>
      </c>
      <c r="AF3198" t="s">
        <v>44</v>
      </c>
      <c r="AG3198" t="str">
        <f t="shared" si="59"/>
        <v>Recorrente</v>
      </c>
      <c r="AH3198" t="str">
        <f t="shared" si="60"/>
        <v/>
      </c>
    </row>
    <row r="3199" spans="1:34">
      <c r="A3199">
        <v>2026</v>
      </c>
      <c r="B3199">
        <v>4</v>
      </c>
      <c r="C3199" s="83">
        <v>145064107016</v>
      </c>
      <c r="D3199" t="s">
        <v>2853</v>
      </c>
      <c r="E3199">
        <v>59248680306</v>
      </c>
      <c r="F3199">
        <v>628917</v>
      </c>
      <c r="G3199">
        <v>54652986997</v>
      </c>
      <c r="H3199" t="s">
        <v>35</v>
      </c>
      <c r="I3199" s="36">
        <v>8418.6</v>
      </c>
      <c r="J3199" s="36">
        <v>8418.6</v>
      </c>
      <c r="K3199" s="85">
        <v>0</v>
      </c>
      <c r="L3199" s="36">
        <v>701.55</v>
      </c>
      <c r="M3199" s="36">
        <v>0</v>
      </c>
      <c r="N3199" s="36">
        <v>73.400000000000006</v>
      </c>
      <c r="O3199" s="36">
        <v>628.15</v>
      </c>
      <c r="P3199" t="s">
        <v>162</v>
      </c>
      <c r="Q3199" t="s">
        <v>111</v>
      </c>
      <c r="R3199" t="s">
        <v>111</v>
      </c>
      <c r="S3199" s="1">
        <v>46136</v>
      </c>
      <c r="T3199" s="1">
        <v>46136</v>
      </c>
      <c r="U3199" s="1">
        <v>46135</v>
      </c>
      <c r="V3199" s="1">
        <v>46500</v>
      </c>
      <c r="W3199" t="s">
        <v>38</v>
      </c>
      <c r="X3199">
        <v>12</v>
      </c>
      <c r="Y3199" t="s">
        <v>49</v>
      </c>
      <c r="Z3199" t="s">
        <v>81</v>
      </c>
      <c r="AA3199" t="s">
        <v>122</v>
      </c>
      <c r="AB3199">
        <v>12</v>
      </c>
      <c r="AC3199" t="s">
        <v>113</v>
      </c>
      <c r="AD3199" t="s">
        <v>134</v>
      </c>
      <c r="AE3199" t="s">
        <v>135</v>
      </c>
      <c r="AF3199" t="s">
        <v>44</v>
      </c>
      <c r="AG3199" t="str">
        <f t="shared" si="59"/>
        <v>Recorrente</v>
      </c>
      <c r="AH3199" t="str">
        <f t="shared" si="60"/>
        <v/>
      </c>
    </row>
    <row r="3200" spans="1:34">
      <c r="A3200">
        <v>2026</v>
      </c>
      <c r="B3200">
        <v>4</v>
      </c>
      <c r="C3200" s="83">
        <v>145790425720</v>
      </c>
      <c r="D3200" t="s">
        <v>2854</v>
      </c>
      <c r="E3200">
        <v>59107388794</v>
      </c>
      <c r="F3200">
        <v>621916</v>
      </c>
      <c r="G3200">
        <v>54205093785</v>
      </c>
      <c r="H3200" t="s">
        <v>35</v>
      </c>
      <c r="I3200" s="36">
        <v>1925.28</v>
      </c>
      <c r="J3200" s="36">
        <v>3843</v>
      </c>
      <c r="K3200" s="85">
        <v>0</v>
      </c>
      <c r="L3200" s="36">
        <v>320.25</v>
      </c>
      <c r="M3200" s="36">
        <v>0</v>
      </c>
      <c r="N3200" s="36">
        <v>320.25</v>
      </c>
      <c r="O3200" s="36">
        <v>0</v>
      </c>
      <c r="P3200" t="s">
        <v>804</v>
      </c>
      <c r="Q3200" t="s">
        <v>191</v>
      </c>
      <c r="R3200" t="s">
        <v>191</v>
      </c>
      <c r="S3200" s="1">
        <v>46122</v>
      </c>
      <c r="T3200" s="1">
        <v>46122</v>
      </c>
      <c r="U3200" s="1">
        <v>46305</v>
      </c>
      <c r="V3200" s="1">
        <v>46305</v>
      </c>
      <c r="W3200" t="s">
        <v>38</v>
      </c>
      <c r="X3200">
        <v>6</v>
      </c>
      <c r="Y3200" t="s">
        <v>49</v>
      </c>
      <c r="Z3200" t="s">
        <v>324</v>
      </c>
      <c r="AA3200" t="s">
        <v>122</v>
      </c>
      <c r="AB3200">
        <v>5</v>
      </c>
      <c r="AC3200" t="s">
        <v>192</v>
      </c>
      <c r="AD3200" t="s">
        <v>134</v>
      </c>
      <c r="AE3200" t="s">
        <v>135</v>
      </c>
      <c r="AF3200" t="s">
        <v>44</v>
      </c>
      <c r="AG3200" t="str">
        <f t="shared" si="59"/>
        <v>Recorrente</v>
      </c>
      <c r="AH3200" t="str">
        <f t="shared" si="60"/>
        <v/>
      </c>
    </row>
    <row r="3201" spans="1:34">
      <c r="A3201">
        <v>2026</v>
      </c>
      <c r="B3201">
        <v>4</v>
      </c>
      <c r="C3201" s="83">
        <v>145790425720</v>
      </c>
      <c r="D3201" t="s">
        <v>2854</v>
      </c>
      <c r="E3201">
        <v>59169143127</v>
      </c>
      <c r="F3201">
        <v>637106</v>
      </c>
      <c r="G3201">
        <v>54290533460</v>
      </c>
      <c r="H3201" t="s">
        <v>35</v>
      </c>
      <c r="I3201" s="36">
        <v>2586.6</v>
      </c>
      <c r="J3201" s="36">
        <v>2586.6</v>
      </c>
      <c r="K3201" s="85">
        <v>0</v>
      </c>
      <c r="L3201" s="36">
        <v>215.55</v>
      </c>
      <c r="M3201" s="36">
        <v>0</v>
      </c>
      <c r="N3201" s="36">
        <v>215.55</v>
      </c>
      <c r="O3201" s="36">
        <v>0</v>
      </c>
      <c r="P3201" t="s">
        <v>804</v>
      </c>
      <c r="Q3201" t="s">
        <v>191</v>
      </c>
      <c r="R3201" t="s">
        <v>191</v>
      </c>
      <c r="S3201" s="1">
        <v>46127</v>
      </c>
      <c r="T3201" s="1">
        <v>46127</v>
      </c>
      <c r="U3201" s="1">
        <v>46305</v>
      </c>
      <c r="V3201" s="1">
        <v>46492</v>
      </c>
      <c r="W3201" t="s">
        <v>38</v>
      </c>
      <c r="X3201">
        <v>12</v>
      </c>
      <c r="Y3201" t="s">
        <v>49</v>
      </c>
      <c r="AA3201" t="s">
        <v>122</v>
      </c>
      <c r="AB3201">
        <v>12</v>
      </c>
      <c r="AC3201" t="s">
        <v>192</v>
      </c>
      <c r="AD3201" t="s">
        <v>118</v>
      </c>
      <c r="AE3201" t="s">
        <v>43</v>
      </c>
      <c r="AF3201" t="s">
        <v>119</v>
      </c>
      <c r="AG3201" t="str">
        <f t="shared" ref="AG3201:AG3264" si="61">IF(IFERROR(SEARCH("Recorrente",AA3201),0)&gt;0,"Recorrente",IF(AB3201=1,"À Vista",IF(AB3201&lt;=3,"CC 3x",IF(AB3201&lt;=12,"CC 12x",IF(AB3201&gt;12,"Recorrente","")))))</f>
        <v>Recorrente</v>
      </c>
      <c r="AH3201" t="str">
        <f t="shared" ref="AH3201:AH3264" si="62">IF(AND(SUMIF(E:E,E3201,I:I)&gt;=400000,Q3201="B2G"),"n","")</f>
        <v/>
      </c>
    </row>
    <row r="3202" spans="1:34">
      <c r="A3202">
        <v>2026</v>
      </c>
      <c r="B3202">
        <v>4</v>
      </c>
      <c r="C3202" s="83">
        <v>145790434694</v>
      </c>
      <c r="D3202" t="s">
        <v>2855</v>
      </c>
      <c r="E3202">
        <v>56931080961</v>
      </c>
      <c r="F3202">
        <v>532524</v>
      </c>
      <c r="G3202">
        <v>52194378014</v>
      </c>
      <c r="H3202" t="s">
        <v>35</v>
      </c>
      <c r="I3202" s="36">
        <v>5178.6000000000004</v>
      </c>
      <c r="J3202" s="36">
        <v>5178.6000000000004</v>
      </c>
      <c r="K3202" s="85">
        <v>0</v>
      </c>
      <c r="L3202" s="36">
        <v>431.55</v>
      </c>
      <c r="M3202" s="36">
        <v>0</v>
      </c>
      <c r="N3202" s="36">
        <v>114.45</v>
      </c>
      <c r="O3202" s="36">
        <v>317.10000000000002</v>
      </c>
      <c r="P3202" t="s">
        <v>165</v>
      </c>
      <c r="Q3202" t="s">
        <v>166</v>
      </c>
      <c r="R3202" t="s">
        <v>166</v>
      </c>
      <c r="S3202" s="1">
        <v>46122</v>
      </c>
      <c r="T3202" s="1">
        <v>46122</v>
      </c>
      <c r="U3202" s="1">
        <v>46122</v>
      </c>
      <c r="V3202" s="1">
        <v>46487</v>
      </c>
      <c r="W3202" t="s">
        <v>38</v>
      </c>
      <c r="X3202">
        <v>12</v>
      </c>
      <c r="Y3202" t="s">
        <v>49</v>
      </c>
      <c r="Z3202" t="s">
        <v>81</v>
      </c>
      <c r="AA3202" t="s">
        <v>122</v>
      </c>
      <c r="AB3202">
        <v>12</v>
      </c>
      <c r="AC3202" t="s">
        <v>166</v>
      </c>
      <c r="AD3202" t="s">
        <v>85</v>
      </c>
      <c r="AE3202" t="s">
        <v>46</v>
      </c>
      <c r="AF3202" t="s">
        <v>44</v>
      </c>
      <c r="AG3202" t="str">
        <f t="shared" si="61"/>
        <v>Recorrente</v>
      </c>
      <c r="AH3202" t="str">
        <f t="shared" si="62"/>
        <v/>
      </c>
    </row>
    <row r="3203" spans="1:34">
      <c r="A3203">
        <v>2026</v>
      </c>
      <c r="B3203">
        <v>4</v>
      </c>
      <c r="C3203" s="83">
        <v>145800225647</v>
      </c>
      <c r="D3203" t="s">
        <v>2856</v>
      </c>
      <c r="E3203">
        <v>59030181533</v>
      </c>
      <c r="F3203">
        <v>613570</v>
      </c>
      <c r="G3203">
        <v>54154356505</v>
      </c>
      <c r="H3203" t="s">
        <v>35</v>
      </c>
      <c r="I3203" s="36">
        <v>7015.44</v>
      </c>
      <c r="J3203" s="36">
        <v>7015.44</v>
      </c>
      <c r="K3203" s="85">
        <v>0</v>
      </c>
      <c r="L3203" s="36">
        <v>584.62</v>
      </c>
      <c r="M3203" s="36">
        <v>0</v>
      </c>
      <c r="N3203" s="36">
        <v>255.67500000000001</v>
      </c>
      <c r="O3203" s="36">
        <v>328.95</v>
      </c>
      <c r="P3203" t="s">
        <v>469</v>
      </c>
      <c r="Q3203" t="s">
        <v>191</v>
      </c>
      <c r="R3203" t="s">
        <v>191</v>
      </c>
      <c r="S3203" s="1">
        <v>46121</v>
      </c>
      <c r="T3203" s="1">
        <v>46121</v>
      </c>
      <c r="U3203" s="1">
        <v>46130</v>
      </c>
      <c r="V3203" s="1">
        <v>46495</v>
      </c>
      <c r="W3203" t="s">
        <v>38</v>
      </c>
      <c r="X3203">
        <v>12</v>
      </c>
      <c r="Y3203" t="s">
        <v>49</v>
      </c>
      <c r="Z3203" t="s">
        <v>76</v>
      </c>
      <c r="AA3203" t="s">
        <v>122</v>
      </c>
      <c r="AB3203">
        <v>12</v>
      </c>
      <c r="AC3203" t="s">
        <v>192</v>
      </c>
      <c r="AD3203" t="s">
        <v>134</v>
      </c>
      <c r="AE3203" t="s">
        <v>135</v>
      </c>
      <c r="AF3203" t="s">
        <v>44</v>
      </c>
      <c r="AG3203" t="str">
        <f t="shared" si="61"/>
        <v>Recorrente</v>
      </c>
      <c r="AH3203" t="str">
        <f t="shared" si="62"/>
        <v/>
      </c>
    </row>
    <row r="3204" spans="1:34">
      <c r="A3204">
        <v>2026</v>
      </c>
      <c r="B3204">
        <v>4</v>
      </c>
      <c r="C3204" s="83">
        <v>145801766516</v>
      </c>
      <c r="D3204" t="s">
        <v>2857</v>
      </c>
      <c r="E3204">
        <v>58102877332</v>
      </c>
      <c r="F3204">
        <v>532795</v>
      </c>
      <c r="G3204">
        <v>54271726633</v>
      </c>
      <c r="H3204" t="s">
        <v>35</v>
      </c>
      <c r="I3204" s="36">
        <v>4278.84</v>
      </c>
      <c r="J3204" s="36">
        <v>4278.84</v>
      </c>
      <c r="K3204" s="85">
        <v>0</v>
      </c>
      <c r="L3204" s="36">
        <v>356.57</v>
      </c>
      <c r="M3204" s="36">
        <v>0</v>
      </c>
      <c r="N3204" s="36">
        <v>27.625</v>
      </c>
      <c r="O3204" s="36">
        <v>328.95</v>
      </c>
      <c r="P3204" t="s">
        <v>162</v>
      </c>
      <c r="Q3204" t="s">
        <v>111</v>
      </c>
      <c r="R3204" t="s">
        <v>111</v>
      </c>
      <c r="S3204" s="1">
        <v>46128</v>
      </c>
      <c r="T3204" s="1">
        <v>46128</v>
      </c>
      <c r="U3204" s="1">
        <v>46129</v>
      </c>
      <c r="V3204" s="1">
        <v>46494</v>
      </c>
      <c r="W3204" t="s">
        <v>38</v>
      </c>
      <c r="X3204">
        <v>12</v>
      </c>
      <c r="Y3204" t="s">
        <v>49</v>
      </c>
      <c r="Z3204" t="s">
        <v>81</v>
      </c>
      <c r="AA3204" t="s">
        <v>122</v>
      </c>
      <c r="AB3204">
        <v>12</v>
      </c>
      <c r="AC3204" t="s">
        <v>113</v>
      </c>
      <c r="AD3204" t="s">
        <v>84</v>
      </c>
      <c r="AE3204" t="s">
        <v>43</v>
      </c>
      <c r="AF3204" t="s">
        <v>44</v>
      </c>
      <c r="AG3204" t="str">
        <f t="shared" si="61"/>
        <v>Recorrente</v>
      </c>
      <c r="AH3204" t="str">
        <f t="shared" si="62"/>
        <v/>
      </c>
    </row>
    <row r="3205" spans="1:34">
      <c r="A3205">
        <v>2026</v>
      </c>
      <c r="B3205">
        <v>4</v>
      </c>
      <c r="C3205" s="83">
        <v>145810173797</v>
      </c>
      <c r="D3205" t="s">
        <v>1038</v>
      </c>
      <c r="E3205">
        <v>59232454220</v>
      </c>
      <c r="F3205">
        <v>610266</v>
      </c>
      <c r="G3205">
        <v>54509565357</v>
      </c>
      <c r="H3205" t="s">
        <v>35</v>
      </c>
      <c r="I3205" s="36">
        <v>3282.24</v>
      </c>
      <c r="J3205" s="36">
        <v>3842.64</v>
      </c>
      <c r="K3205" s="85">
        <v>0</v>
      </c>
      <c r="L3205" s="36">
        <v>320.22000000000003</v>
      </c>
      <c r="M3205" s="36">
        <v>0</v>
      </c>
      <c r="N3205" s="36">
        <v>320.22000000000003</v>
      </c>
      <c r="O3205" s="36">
        <v>0</v>
      </c>
      <c r="P3205" t="s">
        <v>804</v>
      </c>
      <c r="Q3205" t="s">
        <v>191</v>
      </c>
      <c r="R3205" t="s">
        <v>191</v>
      </c>
      <c r="S3205" s="1">
        <v>46140</v>
      </c>
      <c r="T3205" s="1">
        <v>46140</v>
      </c>
      <c r="U3205" s="1">
        <v>46446</v>
      </c>
      <c r="V3205" s="1">
        <v>46446</v>
      </c>
      <c r="W3205" t="s">
        <v>38</v>
      </c>
      <c r="X3205">
        <v>10</v>
      </c>
      <c r="Y3205" t="s">
        <v>49</v>
      </c>
      <c r="Z3205" t="s">
        <v>324</v>
      </c>
      <c r="AA3205" t="s">
        <v>112</v>
      </c>
      <c r="AB3205">
        <v>10</v>
      </c>
      <c r="AC3205" t="s">
        <v>192</v>
      </c>
      <c r="AD3205" t="s">
        <v>134</v>
      </c>
      <c r="AE3205" t="s">
        <v>135</v>
      </c>
      <c r="AF3205" t="s">
        <v>44</v>
      </c>
      <c r="AG3205" t="str">
        <f t="shared" si="61"/>
        <v>CC 12x</v>
      </c>
      <c r="AH3205" t="str">
        <f t="shared" si="62"/>
        <v/>
      </c>
    </row>
    <row r="3206" spans="1:34">
      <c r="A3206">
        <v>2026</v>
      </c>
      <c r="B3206">
        <v>4</v>
      </c>
      <c r="C3206" s="83">
        <v>145817624603</v>
      </c>
      <c r="D3206" t="s">
        <v>2858</v>
      </c>
      <c r="E3206">
        <v>59166120763</v>
      </c>
      <c r="F3206">
        <v>313221</v>
      </c>
      <c r="G3206">
        <v>54295292077</v>
      </c>
      <c r="H3206" t="s">
        <v>35</v>
      </c>
      <c r="I3206" s="36">
        <v>4218.24</v>
      </c>
      <c r="J3206" s="36">
        <v>4218.24</v>
      </c>
      <c r="K3206" s="85">
        <v>0</v>
      </c>
      <c r="L3206" s="36">
        <v>351.52</v>
      </c>
      <c r="M3206" s="36">
        <v>0</v>
      </c>
      <c r="N3206" s="36">
        <v>29.772095</v>
      </c>
      <c r="O3206" s="36">
        <v>321.75</v>
      </c>
      <c r="P3206" t="s">
        <v>116</v>
      </c>
      <c r="Q3206" t="s">
        <v>111</v>
      </c>
      <c r="R3206" t="s">
        <v>111</v>
      </c>
      <c r="S3206" s="1">
        <v>46128</v>
      </c>
      <c r="T3206" s="1">
        <v>46128</v>
      </c>
      <c r="U3206" s="1">
        <v>46134</v>
      </c>
      <c r="V3206" s="1">
        <v>46499</v>
      </c>
      <c r="W3206" t="s">
        <v>38</v>
      </c>
      <c r="X3206">
        <v>12</v>
      </c>
      <c r="Y3206" t="s">
        <v>49</v>
      </c>
      <c r="Z3206" t="s">
        <v>81</v>
      </c>
      <c r="AA3206" t="s">
        <v>112</v>
      </c>
      <c r="AB3206">
        <v>12</v>
      </c>
      <c r="AC3206" t="s">
        <v>113</v>
      </c>
      <c r="AD3206" t="s">
        <v>138</v>
      </c>
      <c r="AE3206" t="s">
        <v>135</v>
      </c>
      <c r="AF3206" t="s">
        <v>119</v>
      </c>
      <c r="AG3206" t="str">
        <f t="shared" si="61"/>
        <v>CC 12x</v>
      </c>
      <c r="AH3206" t="str">
        <f t="shared" si="62"/>
        <v/>
      </c>
    </row>
    <row r="3207" spans="1:34">
      <c r="A3207">
        <v>2026</v>
      </c>
      <c r="B3207">
        <v>4</v>
      </c>
      <c r="C3207" s="83">
        <v>145819169944</v>
      </c>
      <c r="D3207" t="s">
        <v>2859</v>
      </c>
      <c r="E3207">
        <v>57635509809</v>
      </c>
      <c r="F3207">
        <v>313308</v>
      </c>
      <c r="G3207">
        <v>52880331270</v>
      </c>
      <c r="H3207" t="s">
        <v>35</v>
      </c>
      <c r="I3207" s="36">
        <v>5754</v>
      </c>
      <c r="J3207" s="36">
        <v>5754</v>
      </c>
      <c r="K3207" s="85">
        <v>0</v>
      </c>
      <c r="L3207" s="36">
        <v>479.5</v>
      </c>
      <c r="M3207" s="36">
        <v>0</v>
      </c>
      <c r="N3207" s="36">
        <v>94.45</v>
      </c>
      <c r="O3207" s="36">
        <v>385.05</v>
      </c>
      <c r="P3207" t="s">
        <v>165</v>
      </c>
      <c r="Q3207" t="s">
        <v>166</v>
      </c>
      <c r="R3207" t="s">
        <v>166</v>
      </c>
      <c r="S3207" s="1">
        <v>46132</v>
      </c>
      <c r="T3207" s="1">
        <v>46132</v>
      </c>
      <c r="U3207" s="1">
        <v>46132</v>
      </c>
      <c r="V3207" s="1">
        <v>46497</v>
      </c>
      <c r="W3207" t="s">
        <v>38</v>
      </c>
      <c r="X3207">
        <v>12</v>
      </c>
      <c r="Y3207" t="s">
        <v>49</v>
      </c>
      <c r="Z3207" t="s">
        <v>81</v>
      </c>
      <c r="AA3207" t="s">
        <v>112</v>
      </c>
      <c r="AB3207">
        <v>12</v>
      </c>
      <c r="AC3207" t="s">
        <v>166</v>
      </c>
      <c r="AD3207" t="s">
        <v>85</v>
      </c>
      <c r="AE3207" t="s">
        <v>46</v>
      </c>
      <c r="AF3207" t="s">
        <v>44</v>
      </c>
      <c r="AG3207" t="str">
        <f t="shared" si="61"/>
        <v>CC 12x</v>
      </c>
      <c r="AH3207" t="str">
        <f t="shared" si="62"/>
        <v/>
      </c>
    </row>
    <row r="3208" spans="1:34">
      <c r="A3208">
        <v>2026</v>
      </c>
      <c r="B3208">
        <v>4</v>
      </c>
      <c r="C3208" s="83">
        <v>146084829335</v>
      </c>
      <c r="D3208" t="s">
        <v>2860</v>
      </c>
      <c r="E3208">
        <v>57892568159</v>
      </c>
      <c r="F3208">
        <v>629014</v>
      </c>
      <c r="G3208">
        <v>53135737886</v>
      </c>
      <c r="H3208" t="s">
        <v>35</v>
      </c>
      <c r="I3208" s="36">
        <v>2155.44</v>
      </c>
      <c r="J3208" s="36">
        <v>2155.44</v>
      </c>
      <c r="K3208" s="85">
        <v>0</v>
      </c>
      <c r="L3208" s="36">
        <v>179.62</v>
      </c>
      <c r="M3208" s="36">
        <v>0</v>
      </c>
      <c r="N3208" s="36">
        <v>36.225000000000001</v>
      </c>
      <c r="O3208" s="36">
        <v>143.4</v>
      </c>
      <c r="P3208" t="s">
        <v>165</v>
      </c>
      <c r="Q3208" t="s">
        <v>166</v>
      </c>
      <c r="R3208" t="s">
        <v>166</v>
      </c>
      <c r="S3208" s="1">
        <v>46137</v>
      </c>
      <c r="T3208" s="1">
        <v>46137</v>
      </c>
      <c r="U3208" s="1">
        <v>46137</v>
      </c>
      <c r="V3208" s="1">
        <v>46502</v>
      </c>
      <c r="W3208" t="s">
        <v>38</v>
      </c>
      <c r="X3208">
        <v>12</v>
      </c>
      <c r="Y3208" t="s">
        <v>49</v>
      </c>
      <c r="Z3208" t="s">
        <v>81</v>
      </c>
      <c r="AA3208" t="s">
        <v>122</v>
      </c>
      <c r="AB3208">
        <v>12</v>
      </c>
      <c r="AC3208" t="s">
        <v>166</v>
      </c>
      <c r="AD3208" t="s">
        <v>140</v>
      </c>
      <c r="AE3208" t="s">
        <v>46</v>
      </c>
      <c r="AF3208" t="s">
        <v>119</v>
      </c>
      <c r="AG3208" t="str">
        <f t="shared" si="61"/>
        <v>Recorrente</v>
      </c>
      <c r="AH3208" t="str">
        <f t="shared" si="62"/>
        <v/>
      </c>
    </row>
    <row r="3209" spans="1:34">
      <c r="A3209">
        <v>2026</v>
      </c>
      <c r="B3209">
        <v>4</v>
      </c>
      <c r="C3209" s="83">
        <v>146522473090</v>
      </c>
      <c r="D3209" t="s">
        <v>2861</v>
      </c>
      <c r="E3209">
        <v>58708026504</v>
      </c>
      <c r="F3209">
        <v>637038</v>
      </c>
      <c r="G3209">
        <v>54150055481</v>
      </c>
      <c r="H3209" t="s">
        <v>35</v>
      </c>
      <c r="I3209" s="36">
        <v>4027.2</v>
      </c>
      <c r="J3209" s="36">
        <v>4027.2</v>
      </c>
      <c r="K3209" s="85">
        <v>0</v>
      </c>
      <c r="L3209" s="36">
        <v>335.6</v>
      </c>
      <c r="M3209" s="36">
        <v>335.6</v>
      </c>
      <c r="N3209" s="36">
        <v>0</v>
      </c>
      <c r="O3209" s="36">
        <v>0</v>
      </c>
      <c r="P3209" t="s">
        <v>506</v>
      </c>
      <c r="Q3209" t="s">
        <v>300</v>
      </c>
      <c r="R3209" t="s">
        <v>300</v>
      </c>
      <c r="S3209" s="1">
        <v>46122</v>
      </c>
      <c r="T3209" s="1">
        <v>46122</v>
      </c>
      <c r="U3209" s="1"/>
      <c r="V3209" s="1">
        <v>46487</v>
      </c>
      <c r="W3209" t="s">
        <v>38</v>
      </c>
      <c r="X3209">
        <v>12</v>
      </c>
      <c r="Y3209" t="s">
        <v>49</v>
      </c>
      <c r="AA3209" t="s">
        <v>112</v>
      </c>
      <c r="AB3209">
        <v>12</v>
      </c>
      <c r="AC3209" t="s">
        <v>301</v>
      </c>
      <c r="AD3209" t="s">
        <v>84</v>
      </c>
      <c r="AE3209" t="s">
        <v>43</v>
      </c>
      <c r="AF3209" t="s">
        <v>44</v>
      </c>
      <c r="AG3209" t="str">
        <f t="shared" si="61"/>
        <v>CC 12x</v>
      </c>
      <c r="AH3209" t="str">
        <f t="shared" si="62"/>
        <v/>
      </c>
    </row>
    <row r="3210" spans="1:34">
      <c r="A3210">
        <v>2026</v>
      </c>
      <c r="B3210">
        <v>4</v>
      </c>
      <c r="C3210" s="83">
        <v>148224198729</v>
      </c>
      <c r="D3210" t="s">
        <v>2862</v>
      </c>
      <c r="E3210">
        <v>59166899716</v>
      </c>
      <c r="F3210">
        <v>637140</v>
      </c>
      <c r="G3210">
        <v>54372572562</v>
      </c>
      <c r="H3210" t="s">
        <v>35</v>
      </c>
      <c r="I3210" s="36">
        <v>2184.2399999999998</v>
      </c>
      <c r="J3210" s="36">
        <v>2184.2399999999998</v>
      </c>
      <c r="K3210" s="85">
        <v>0</v>
      </c>
      <c r="L3210" s="36">
        <v>182.02</v>
      </c>
      <c r="M3210" s="36">
        <v>182.02</v>
      </c>
      <c r="N3210" s="36">
        <v>0</v>
      </c>
      <c r="O3210" s="36">
        <v>0</v>
      </c>
      <c r="P3210" t="s">
        <v>506</v>
      </c>
      <c r="Q3210" t="s">
        <v>300</v>
      </c>
      <c r="R3210" t="s">
        <v>300</v>
      </c>
      <c r="S3210" s="1">
        <v>46128</v>
      </c>
      <c r="T3210" s="1">
        <v>46128</v>
      </c>
      <c r="U3210" s="1"/>
      <c r="V3210" s="1">
        <v>46493</v>
      </c>
      <c r="W3210" t="s">
        <v>38</v>
      </c>
      <c r="X3210">
        <v>12</v>
      </c>
      <c r="Y3210" t="s">
        <v>49</v>
      </c>
      <c r="AA3210" t="s">
        <v>117</v>
      </c>
      <c r="AB3210">
        <v>1</v>
      </c>
      <c r="AC3210" t="s">
        <v>301</v>
      </c>
      <c r="AD3210" t="s">
        <v>140</v>
      </c>
      <c r="AE3210" t="s">
        <v>46</v>
      </c>
      <c r="AF3210" t="s">
        <v>119</v>
      </c>
      <c r="AG3210" t="str">
        <f t="shared" si="61"/>
        <v>À Vista</v>
      </c>
      <c r="AH3210" t="str">
        <f t="shared" si="62"/>
        <v/>
      </c>
    </row>
    <row r="3211" spans="1:34">
      <c r="A3211">
        <v>2026</v>
      </c>
      <c r="B3211">
        <v>4</v>
      </c>
      <c r="C3211" s="83">
        <v>148445268495</v>
      </c>
      <c r="D3211" t="s">
        <v>2863</v>
      </c>
      <c r="E3211">
        <v>59157746222</v>
      </c>
      <c r="F3211">
        <v>532736</v>
      </c>
      <c r="G3211">
        <v>54372555029</v>
      </c>
      <c r="H3211" t="s">
        <v>35</v>
      </c>
      <c r="I3211" s="36">
        <v>4646.3999999999996</v>
      </c>
      <c r="J3211" s="36">
        <v>4646.3999999999996</v>
      </c>
      <c r="K3211" s="85">
        <v>0</v>
      </c>
      <c r="L3211" s="36">
        <v>387.2</v>
      </c>
      <c r="M3211" s="36">
        <v>0</v>
      </c>
      <c r="N3211" s="36">
        <v>70.101044999999999</v>
      </c>
      <c r="O3211" s="36">
        <v>317.10000000000002</v>
      </c>
      <c r="P3211" t="s">
        <v>116</v>
      </c>
      <c r="Q3211" t="s">
        <v>111</v>
      </c>
      <c r="R3211" t="s">
        <v>111</v>
      </c>
      <c r="S3211" s="1">
        <v>46128</v>
      </c>
      <c r="T3211" s="1">
        <v>46128</v>
      </c>
      <c r="U3211" s="1">
        <v>46125</v>
      </c>
      <c r="V3211" s="1">
        <v>46493</v>
      </c>
      <c r="W3211" t="s">
        <v>38</v>
      </c>
      <c r="X3211">
        <v>12</v>
      </c>
      <c r="Y3211" t="s">
        <v>49</v>
      </c>
      <c r="Z3211" t="s">
        <v>81</v>
      </c>
      <c r="AA3211" t="s">
        <v>122</v>
      </c>
      <c r="AB3211">
        <v>12</v>
      </c>
      <c r="AC3211" t="s">
        <v>113</v>
      </c>
      <c r="AD3211" t="s">
        <v>85</v>
      </c>
      <c r="AE3211" t="s">
        <v>46</v>
      </c>
      <c r="AF3211" t="s">
        <v>44</v>
      </c>
      <c r="AG3211" t="str">
        <f t="shared" si="61"/>
        <v>Recorrente</v>
      </c>
      <c r="AH3211" t="str">
        <f t="shared" si="62"/>
        <v/>
      </c>
    </row>
    <row r="3212" spans="1:34">
      <c r="A3212">
        <v>2026</v>
      </c>
      <c r="B3212">
        <v>4</v>
      </c>
      <c r="C3212" s="83">
        <v>148466800737</v>
      </c>
      <c r="D3212" t="s">
        <v>2864</v>
      </c>
      <c r="E3212">
        <v>59039006011</v>
      </c>
      <c r="F3212">
        <v>636982</v>
      </c>
      <c r="G3212">
        <v>54149653031</v>
      </c>
      <c r="H3212" t="s">
        <v>35</v>
      </c>
      <c r="I3212" s="36">
        <v>3114</v>
      </c>
      <c r="J3212" s="36">
        <v>3114</v>
      </c>
      <c r="K3212" s="85">
        <v>0</v>
      </c>
      <c r="L3212" s="36">
        <v>259.5</v>
      </c>
      <c r="M3212" s="36">
        <v>259.5</v>
      </c>
      <c r="N3212" s="36">
        <v>0</v>
      </c>
      <c r="O3212" s="36">
        <v>0</v>
      </c>
      <c r="P3212" t="s">
        <v>506</v>
      </c>
      <c r="Q3212" t="s">
        <v>300</v>
      </c>
      <c r="R3212" t="s">
        <v>300</v>
      </c>
      <c r="S3212" s="1">
        <v>46121</v>
      </c>
      <c r="T3212" s="1">
        <v>46121</v>
      </c>
      <c r="V3212" s="1"/>
      <c r="W3212" t="s">
        <v>2733</v>
      </c>
      <c r="Y3212" t="s">
        <v>49</v>
      </c>
      <c r="AA3212" t="s">
        <v>122</v>
      </c>
      <c r="AB3212">
        <v>12</v>
      </c>
      <c r="AC3212" t="s">
        <v>301</v>
      </c>
      <c r="AD3212" t="s">
        <v>2734</v>
      </c>
      <c r="AE3212" t="s">
        <v>106</v>
      </c>
      <c r="AF3212" t="s">
        <v>59</v>
      </c>
      <c r="AG3212" t="str">
        <f t="shared" si="61"/>
        <v>Recorrente</v>
      </c>
      <c r="AH3212" t="str">
        <f t="shared" si="62"/>
        <v/>
      </c>
    </row>
    <row r="3213" spans="1:34">
      <c r="A3213">
        <v>2026</v>
      </c>
      <c r="B3213">
        <v>4</v>
      </c>
      <c r="C3213" s="83">
        <v>148828944263</v>
      </c>
      <c r="D3213" t="s">
        <v>2865</v>
      </c>
      <c r="E3213">
        <v>59396887084</v>
      </c>
      <c r="F3213">
        <v>637219</v>
      </c>
      <c r="G3213">
        <v>54463042932</v>
      </c>
      <c r="H3213" t="s">
        <v>35</v>
      </c>
      <c r="I3213" s="36">
        <v>2759.04</v>
      </c>
      <c r="J3213" s="36">
        <v>2759.04</v>
      </c>
      <c r="K3213" s="85">
        <v>0</v>
      </c>
      <c r="L3213" s="36">
        <v>229.92</v>
      </c>
      <c r="M3213" s="36">
        <v>229.92</v>
      </c>
      <c r="N3213" s="36">
        <v>0</v>
      </c>
      <c r="O3213" s="36">
        <v>0</v>
      </c>
      <c r="P3213" t="s">
        <v>829</v>
      </c>
      <c r="Q3213" t="s">
        <v>300</v>
      </c>
      <c r="R3213" t="s">
        <v>300</v>
      </c>
      <c r="S3213" s="1">
        <v>46133</v>
      </c>
      <c r="T3213" s="1">
        <v>46133</v>
      </c>
      <c r="V3213" s="1">
        <v>46498</v>
      </c>
      <c r="W3213" t="s">
        <v>38</v>
      </c>
      <c r="X3213">
        <v>12</v>
      </c>
      <c r="Y3213" t="s">
        <v>49</v>
      </c>
      <c r="AA3213" t="s">
        <v>112</v>
      </c>
      <c r="AB3213">
        <v>12</v>
      </c>
      <c r="AC3213" t="s">
        <v>301</v>
      </c>
      <c r="AD3213" t="s">
        <v>140</v>
      </c>
      <c r="AE3213" t="s">
        <v>46</v>
      </c>
      <c r="AF3213" t="s">
        <v>119</v>
      </c>
      <c r="AG3213" t="str">
        <f t="shared" si="61"/>
        <v>CC 12x</v>
      </c>
      <c r="AH3213" t="str">
        <f t="shared" si="62"/>
        <v/>
      </c>
    </row>
    <row r="3214" spans="1:34">
      <c r="A3214">
        <v>2026</v>
      </c>
      <c r="B3214">
        <v>4</v>
      </c>
      <c r="C3214" s="83">
        <v>149203153682</v>
      </c>
      <c r="D3214" t="s">
        <v>2866</v>
      </c>
      <c r="E3214">
        <v>59248158810</v>
      </c>
      <c r="F3214">
        <v>528819</v>
      </c>
      <c r="G3214">
        <v>54801197217</v>
      </c>
      <c r="H3214" t="s">
        <v>35</v>
      </c>
      <c r="I3214" s="36">
        <v>4452.6000000000004</v>
      </c>
      <c r="J3214" s="36">
        <v>4452.6000000000004</v>
      </c>
      <c r="K3214" s="85">
        <v>0</v>
      </c>
      <c r="L3214" s="36">
        <v>371.05</v>
      </c>
      <c r="M3214" s="36">
        <v>0</v>
      </c>
      <c r="N3214" s="36">
        <v>6.4</v>
      </c>
      <c r="O3214" s="36">
        <v>364.65</v>
      </c>
      <c r="P3214" t="s">
        <v>133</v>
      </c>
      <c r="Q3214" t="s">
        <v>111</v>
      </c>
      <c r="R3214" t="s">
        <v>111</v>
      </c>
      <c r="S3214" s="1">
        <v>46142</v>
      </c>
      <c r="T3214" s="1">
        <v>46142</v>
      </c>
      <c r="U3214" s="1">
        <v>46138</v>
      </c>
      <c r="V3214" s="1">
        <v>46507</v>
      </c>
      <c r="W3214" t="s">
        <v>38</v>
      </c>
      <c r="X3214">
        <v>12</v>
      </c>
      <c r="Y3214" t="s">
        <v>49</v>
      </c>
      <c r="Z3214" t="s">
        <v>81</v>
      </c>
      <c r="AA3214" t="s">
        <v>122</v>
      </c>
      <c r="AB3214">
        <v>12</v>
      </c>
      <c r="AC3214" t="s">
        <v>113</v>
      </c>
      <c r="AD3214" t="s">
        <v>138</v>
      </c>
      <c r="AE3214" t="s">
        <v>135</v>
      </c>
      <c r="AF3214" t="s">
        <v>119</v>
      </c>
      <c r="AG3214" t="str">
        <f t="shared" si="61"/>
        <v>Recorrente</v>
      </c>
      <c r="AH3214" t="str">
        <f t="shared" si="62"/>
        <v/>
      </c>
    </row>
    <row r="3215" spans="1:34">
      <c r="A3215">
        <v>2026</v>
      </c>
      <c r="B3215">
        <v>4</v>
      </c>
      <c r="C3215" s="83">
        <v>149263499315</v>
      </c>
      <c r="D3215" t="s">
        <v>2867</v>
      </c>
      <c r="E3215">
        <v>58701095425</v>
      </c>
      <c r="F3215">
        <v>636877</v>
      </c>
      <c r="G3215">
        <v>53858301356</v>
      </c>
      <c r="H3215" t="s">
        <v>35</v>
      </c>
      <c r="I3215" s="36">
        <v>5072.88</v>
      </c>
      <c r="J3215" s="36">
        <v>5072.88</v>
      </c>
      <c r="K3215" s="85">
        <v>0</v>
      </c>
      <c r="L3215" s="36">
        <v>422.74</v>
      </c>
      <c r="M3215" s="36">
        <v>422.74</v>
      </c>
      <c r="N3215" s="36">
        <v>0</v>
      </c>
      <c r="O3215" s="36">
        <v>0</v>
      </c>
      <c r="P3215" t="s">
        <v>829</v>
      </c>
      <c r="Q3215" t="s">
        <v>300</v>
      </c>
      <c r="R3215" t="s">
        <v>300</v>
      </c>
      <c r="S3215" s="1">
        <v>46114</v>
      </c>
      <c r="T3215" s="1">
        <v>46114</v>
      </c>
      <c r="V3215" s="1">
        <v>46479</v>
      </c>
      <c r="W3215" t="s">
        <v>38</v>
      </c>
      <c r="X3215">
        <v>12</v>
      </c>
      <c r="Y3215" t="s">
        <v>49</v>
      </c>
      <c r="AA3215" t="s">
        <v>112</v>
      </c>
      <c r="AB3215">
        <v>12</v>
      </c>
      <c r="AC3215" t="s">
        <v>301</v>
      </c>
      <c r="AD3215" t="s">
        <v>138</v>
      </c>
      <c r="AE3215" t="s">
        <v>135</v>
      </c>
      <c r="AF3215" t="s">
        <v>119</v>
      </c>
      <c r="AG3215" t="str">
        <f t="shared" si="61"/>
        <v>CC 12x</v>
      </c>
      <c r="AH3215" t="str">
        <f t="shared" si="62"/>
        <v/>
      </c>
    </row>
    <row r="3216" spans="1:34">
      <c r="A3216">
        <v>2026</v>
      </c>
      <c r="B3216">
        <v>4</v>
      </c>
      <c r="C3216" s="83">
        <v>150356021430</v>
      </c>
      <c r="D3216" t="s">
        <v>2868</v>
      </c>
      <c r="E3216">
        <v>58164145214</v>
      </c>
      <c r="F3216">
        <v>533195</v>
      </c>
      <c r="G3216">
        <v>54293911810</v>
      </c>
      <c r="H3216" t="s">
        <v>35</v>
      </c>
      <c r="I3216" s="36">
        <v>2328</v>
      </c>
      <c r="J3216" s="36">
        <v>2328</v>
      </c>
      <c r="K3216" s="85">
        <v>0</v>
      </c>
      <c r="L3216" s="36">
        <v>194</v>
      </c>
      <c r="M3216" s="36">
        <v>0</v>
      </c>
      <c r="N3216" s="36">
        <v>0</v>
      </c>
      <c r="O3216" s="36">
        <v>194.002185</v>
      </c>
      <c r="P3216" t="s">
        <v>116</v>
      </c>
      <c r="Q3216" t="s">
        <v>111</v>
      </c>
      <c r="R3216" t="s">
        <v>111</v>
      </c>
      <c r="S3216" s="1">
        <v>46129</v>
      </c>
      <c r="T3216" s="1">
        <v>46129</v>
      </c>
      <c r="U3216" s="1">
        <v>46130</v>
      </c>
      <c r="V3216" s="1">
        <v>46495</v>
      </c>
      <c r="W3216" t="s">
        <v>38</v>
      </c>
      <c r="X3216">
        <v>12</v>
      </c>
      <c r="Y3216" t="s">
        <v>49</v>
      </c>
      <c r="Z3216" t="s">
        <v>76</v>
      </c>
      <c r="AA3216" t="s">
        <v>112</v>
      </c>
      <c r="AB3216">
        <v>12</v>
      </c>
      <c r="AC3216" t="s">
        <v>113</v>
      </c>
      <c r="AD3216" t="s">
        <v>118</v>
      </c>
      <c r="AE3216" t="s">
        <v>43</v>
      </c>
      <c r="AF3216" t="s">
        <v>119</v>
      </c>
      <c r="AG3216" t="str">
        <f t="shared" si="61"/>
        <v>CC 12x</v>
      </c>
      <c r="AH3216" t="str">
        <f t="shared" si="62"/>
        <v/>
      </c>
    </row>
    <row r="3217" spans="1:34">
      <c r="A3217">
        <v>2026</v>
      </c>
      <c r="B3217">
        <v>4</v>
      </c>
      <c r="C3217" s="83">
        <v>15058826139</v>
      </c>
      <c r="D3217" t="s">
        <v>2869</v>
      </c>
      <c r="E3217">
        <v>57844661084</v>
      </c>
      <c r="F3217">
        <v>614140</v>
      </c>
      <c r="G3217">
        <v>53058255483</v>
      </c>
      <c r="H3217" t="s">
        <v>35</v>
      </c>
      <c r="I3217" s="36">
        <v>8418.6</v>
      </c>
      <c r="J3217" s="36">
        <v>8418.6</v>
      </c>
      <c r="K3217" s="85">
        <v>0</v>
      </c>
      <c r="L3217" s="36">
        <v>701.55</v>
      </c>
      <c r="M3217" s="36">
        <v>0</v>
      </c>
      <c r="N3217" s="36">
        <v>122.39</v>
      </c>
      <c r="O3217" s="36">
        <v>579.16</v>
      </c>
      <c r="P3217" t="s">
        <v>165</v>
      </c>
      <c r="Q3217" t="s">
        <v>166</v>
      </c>
      <c r="R3217" t="s">
        <v>166</v>
      </c>
      <c r="S3217" s="1">
        <v>46136</v>
      </c>
      <c r="T3217" s="1">
        <v>46136</v>
      </c>
      <c r="U3217" s="1">
        <v>46136</v>
      </c>
      <c r="V3217" s="1">
        <v>46501</v>
      </c>
      <c r="W3217" t="s">
        <v>38</v>
      </c>
      <c r="X3217">
        <v>12</v>
      </c>
      <c r="Y3217" t="s">
        <v>49</v>
      </c>
      <c r="Z3217" t="s">
        <v>81</v>
      </c>
      <c r="AA3217" t="s">
        <v>112</v>
      </c>
      <c r="AB3217">
        <v>12</v>
      </c>
      <c r="AC3217" t="s">
        <v>166</v>
      </c>
      <c r="AD3217" t="s">
        <v>134</v>
      </c>
      <c r="AE3217" t="s">
        <v>135</v>
      </c>
      <c r="AF3217" t="s">
        <v>44</v>
      </c>
      <c r="AG3217" t="str">
        <f t="shared" si="61"/>
        <v>CC 12x</v>
      </c>
      <c r="AH3217" t="str">
        <f t="shared" si="62"/>
        <v/>
      </c>
    </row>
    <row r="3218" spans="1:34">
      <c r="A3218">
        <v>2026</v>
      </c>
      <c r="B3218">
        <v>4</v>
      </c>
      <c r="C3218" s="83">
        <v>151514730885</v>
      </c>
      <c r="D3218" t="s">
        <v>2870</v>
      </c>
      <c r="E3218">
        <v>58943633460</v>
      </c>
      <c r="F3218">
        <v>613068</v>
      </c>
      <c r="G3218">
        <v>54118630429</v>
      </c>
      <c r="H3218" t="s">
        <v>35</v>
      </c>
      <c r="I3218" s="36">
        <v>2874</v>
      </c>
      <c r="J3218" s="36">
        <v>2874</v>
      </c>
      <c r="K3218" s="85">
        <v>0</v>
      </c>
      <c r="L3218" s="36">
        <v>239.5</v>
      </c>
      <c r="M3218" s="36">
        <v>0</v>
      </c>
      <c r="N3218" s="36">
        <v>0</v>
      </c>
      <c r="O3218" s="36">
        <v>239.5</v>
      </c>
      <c r="P3218" t="s">
        <v>110</v>
      </c>
      <c r="Q3218" t="s">
        <v>111</v>
      </c>
      <c r="R3218" t="s">
        <v>111</v>
      </c>
      <c r="S3218" s="1">
        <v>46120</v>
      </c>
      <c r="T3218" s="1">
        <v>46120</v>
      </c>
      <c r="U3218" s="1">
        <v>46120</v>
      </c>
      <c r="V3218" s="1">
        <v>46485</v>
      </c>
      <c r="W3218" t="s">
        <v>38</v>
      </c>
      <c r="X3218">
        <v>12</v>
      </c>
      <c r="Y3218" t="s">
        <v>49</v>
      </c>
      <c r="Z3218" t="s">
        <v>76</v>
      </c>
      <c r="AA3218" t="s">
        <v>122</v>
      </c>
      <c r="AB3218">
        <v>10</v>
      </c>
      <c r="AC3218" t="s">
        <v>113</v>
      </c>
      <c r="AD3218" t="s">
        <v>118</v>
      </c>
      <c r="AE3218" t="s">
        <v>43</v>
      </c>
      <c r="AF3218" t="s">
        <v>119</v>
      </c>
      <c r="AG3218" t="str">
        <f t="shared" si="61"/>
        <v>Recorrente</v>
      </c>
      <c r="AH3218" t="str">
        <f t="shared" si="62"/>
        <v/>
      </c>
    </row>
    <row r="3219" spans="1:34">
      <c r="A3219">
        <v>2026</v>
      </c>
      <c r="B3219">
        <v>4</v>
      </c>
      <c r="C3219" s="83">
        <v>152461134139</v>
      </c>
      <c r="D3219" t="s">
        <v>2871</v>
      </c>
      <c r="E3219">
        <v>59107915587</v>
      </c>
      <c r="F3219">
        <v>628548</v>
      </c>
      <c r="G3219">
        <v>54379568242</v>
      </c>
      <c r="H3219" t="s">
        <v>35</v>
      </c>
      <c r="I3219" s="36">
        <v>4646.3999999999996</v>
      </c>
      <c r="J3219" s="36">
        <v>4646.3999999999996</v>
      </c>
      <c r="K3219" s="85">
        <v>0</v>
      </c>
      <c r="L3219" s="36">
        <v>387.2</v>
      </c>
      <c r="M3219" s="36">
        <v>0</v>
      </c>
      <c r="N3219" s="36">
        <v>0</v>
      </c>
      <c r="O3219" s="36">
        <v>387.20104500000002</v>
      </c>
      <c r="P3219" t="s">
        <v>116</v>
      </c>
      <c r="Q3219" t="s">
        <v>111</v>
      </c>
      <c r="R3219" t="s">
        <v>111</v>
      </c>
      <c r="S3219" s="1">
        <v>46132</v>
      </c>
      <c r="T3219" s="1">
        <v>46132</v>
      </c>
      <c r="U3219" s="1">
        <v>46123</v>
      </c>
      <c r="V3219" s="1">
        <v>46497</v>
      </c>
      <c r="W3219" t="s">
        <v>38</v>
      </c>
      <c r="X3219">
        <v>12</v>
      </c>
      <c r="Y3219" t="s">
        <v>49</v>
      </c>
      <c r="Z3219" t="s">
        <v>81</v>
      </c>
      <c r="AA3219" t="s">
        <v>122</v>
      </c>
      <c r="AB3219">
        <v>12</v>
      </c>
      <c r="AC3219" t="s">
        <v>113</v>
      </c>
      <c r="AD3219" t="s">
        <v>85</v>
      </c>
      <c r="AE3219" t="s">
        <v>46</v>
      </c>
      <c r="AF3219" t="s">
        <v>44</v>
      </c>
      <c r="AG3219" t="str">
        <f t="shared" si="61"/>
        <v>Recorrente</v>
      </c>
      <c r="AH3219" t="str">
        <f t="shared" si="62"/>
        <v/>
      </c>
    </row>
    <row r="3220" spans="1:34">
      <c r="A3220">
        <v>2026</v>
      </c>
      <c r="B3220">
        <v>4</v>
      </c>
      <c r="C3220" s="83">
        <v>152533267114</v>
      </c>
      <c r="D3220" t="s">
        <v>2872</v>
      </c>
      <c r="E3220">
        <v>58962525798</v>
      </c>
      <c r="F3220">
        <v>636963</v>
      </c>
      <c r="G3220">
        <v>54118639886</v>
      </c>
      <c r="H3220" t="s">
        <v>35</v>
      </c>
      <c r="I3220" s="36">
        <v>5718.6</v>
      </c>
      <c r="J3220" s="36">
        <v>5718.6</v>
      </c>
      <c r="K3220" s="85">
        <v>0</v>
      </c>
      <c r="L3220" s="36">
        <v>476.55</v>
      </c>
      <c r="M3220" s="36">
        <v>476.55</v>
      </c>
      <c r="N3220" s="36">
        <v>0</v>
      </c>
      <c r="O3220" s="36">
        <v>0</v>
      </c>
      <c r="P3220" t="s">
        <v>1073</v>
      </c>
      <c r="Q3220" t="s">
        <v>314</v>
      </c>
      <c r="R3220" t="s">
        <v>314</v>
      </c>
      <c r="S3220" s="1">
        <v>46121</v>
      </c>
      <c r="T3220" s="1">
        <v>46121</v>
      </c>
      <c r="U3220" s="1"/>
      <c r="V3220" s="1">
        <v>46486</v>
      </c>
      <c r="W3220" t="s">
        <v>38</v>
      </c>
      <c r="X3220">
        <v>12</v>
      </c>
      <c r="Y3220" t="s">
        <v>49</v>
      </c>
      <c r="AA3220" t="s">
        <v>122</v>
      </c>
      <c r="AB3220">
        <v>12</v>
      </c>
      <c r="AC3220" t="s">
        <v>315</v>
      </c>
      <c r="AD3220" t="s">
        <v>158</v>
      </c>
      <c r="AE3220" t="s">
        <v>43</v>
      </c>
      <c r="AF3220" t="s">
        <v>47</v>
      </c>
      <c r="AG3220" t="str">
        <f t="shared" si="61"/>
        <v>Recorrente</v>
      </c>
      <c r="AH3220" t="str">
        <f t="shared" si="62"/>
        <v/>
      </c>
    </row>
    <row r="3221" spans="1:34">
      <c r="A3221">
        <v>2026</v>
      </c>
      <c r="B3221">
        <v>4</v>
      </c>
      <c r="C3221" s="83">
        <v>152533267114</v>
      </c>
      <c r="D3221" t="s">
        <v>2872</v>
      </c>
      <c r="E3221">
        <v>58962525798</v>
      </c>
      <c r="F3221">
        <v>636963</v>
      </c>
      <c r="G3221">
        <v>54118639887</v>
      </c>
      <c r="H3221" t="s">
        <v>35</v>
      </c>
      <c r="I3221" s="36">
        <v>12954.6</v>
      </c>
      <c r="J3221" s="36">
        <v>12954.6</v>
      </c>
      <c r="K3221" s="85">
        <v>1.8189900000000001E-12</v>
      </c>
      <c r="L3221" s="36">
        <v>1079.55</v>
      </c>
      <c r="M3221" s="36">
        <v>1079.55</v>
      </c>
      <c r="N3221" s="36">
        <v>0</v>
      </c>
      <c r="O3221" s="36">
        <v>0</v>
      </c>
      <c r="P3221" t="s">
        <v>1073</v>
      </c>
      <c r="Q3221" t="s">
        <v>314</v>
      </c>
      <c r="R3221" t="s">
        <v>314</v>
      </c>
      <c r="S3221" s="1">
        <v>46121</v>
      </c>
      <c r="T3221" s="1">
        <v>46121</v>
      </c>
      <c r="U3221" s="1"/>
      <c r="V3221" s="1">
        <v>46486</v>
      </c>
      <c r="W3221" t="s">
        <v>38</v>
      </c>
      <c r="X3221">
        <v>12</v>
      </c>
      <c r="Y3221" t="s">
        <v>49</v>
      </c>
      <c r="AA3221" t="s">
        <v>122</v>
      </c>
      <c r="AB3221">
        <v>12</v>
      </c>
      <c r="AC3221" t="s">
        <v>315</v>
      </c>
      <c r="AD3221" t="s">
        <v>154</v>
      </c>
      <c r="AE3221" t="s">
        <v>46</v>
      </c>
      <c r="AF3221" t="s">
        <v>47</v>
      </c>
      <c r="AG3221" t="str">
        <f t="shared" si="61"/>
        <v>Recorrente</v>
      </c>
      <c r="AH3221" t="str">
        <f t="shared" si="62"/>
        <v/>
      </c>
    </row>
    <row r="3222" spans="1:34">
      <c r="A3222">
        <v>2026</v>
      </c>
      <c r="B3222">
        <v>4</v>
      </c>
      <c r="C3222" s="83">
        <v>152695111495</v>
      </c>
      <c r="D3222" t="s">
        <v>2873</v>
      </c>
      <c r="E3222">
        <v>58967102362</v>
      </c>
      <c r="F3222">
        <v>636975</v>
      </c>
      <c r="G3222">
        <v>54118908438</v>
      </c>
      <c r="H3222" t="s">
        <v>35</v>
      </c>
      <c r="I3222" s="36">
        <v>2586.6</v>
      </c>
      <c r="J3222" s="36">
        <v>2586.6</v>
      </c>
      <c r="K3222" s="85">
        <v>0</v>
      </c>
      <c r="L3222" s="36">
        <v>215.55</v>
      </c>
      <c r="M3222" s="36">
        <v>215.55</v>
      </c>
      <c r="N3222" s="36">
        <v>0</v>
      </c>
      <c r="O3222" s="36">
        <v>0</v>
      </c>
      <c r="P3222" t="s">
        <v>511</v>
      </c>
      <c r="Q3222" t="s">
        <v>300</v>
      </c>
      <c r="R3222" t="s">
        <v>300</v>
      </c>
      <c r="S3222" s="1">
        <v>46121</v>
      </c>
      <c r="T3222" s="1">
        <v>46121</v>
      </c>
      <c r="U3222" s="1"/>
      <c r="V3222" s="1">
        <v>46486</v>
      </c>
      <c r="W3222" t="s">
        <v>38</v>
      </c>
      <c r="X3222">
        <v>12</v>
      </c>
      <c r="Y3222" t="s">
        <v>49</v>
      </c>
      <c r="AA3222" t="s">
        <v>112</v>
      </c>
      <c r="AB3222">
        <v>12</v>
      </c>
      <c r="AC3222" t="s">
        <v>301</v>
      </c>
      <c r="AD3222" t="s">
        <v>118</v>
      </c>
      <c r="AE3222" t="s">
        <v>43</v>
      </c>
      <c r="AF3222" t="s">
        <v>119</v>
      </c>
      <c r="AG3222" t="str">
        <f t="shared" si="61"/>
        <v>CC 12x</v>
      </c>
      <c r="AH3222" t="str">
        <f t="shared" si="62"/>
        <v/>
      </c>
    </row>
    <row r="3223" spans="1:34">
      <c r="A3223">
        <v>2026</v>
      </c>
      <c r="B3223">
        <v>4</v>
      </c>
      <c r="C3223" s="83">
        <v>153129833224</v>
      </c>
      <c r="D3223" t="s">
        <v>2874</v>
      </c>
      <c r="E3223">
        <v>59137969542</v>
      </c>
      <c r="F3223">
        <v>312014</v>
      </c>
      <c r="G3223">
        <v>54284103603</v>
      </c>
      <c r="H3223" t="s">
        <v>35</v>
      </c>
      <c r="I3223" s="36">
        <v>4646.3999999999996</v>
      </c>
      <c r="J3223" s="36">
        <v>4646.3999999999996</v>
      </c>
      <c r="K3223" s="85">
        <v>0</v>
      </c>
      <c r="L3223" s="36">
        <v>387.2</v>
      </c>
      <c r="M3223" s="36">
        <v>0</v>
      </c>
      <c r="N3223" s="36">
        <v>47.446249999999999</v>
      </c>
      <c r="O3223" s="36">
        <v>339.75</v>
      </c>
      <c r="P3223" t="s">
        <v>110</v>
      </c>
      <c r="Q3223" t="s">
        <v>111</v>
      </c>
      <c r="R3223" t="s">
        <v>111</v>
      </c>
      <c r="S3223" s="1">
        <v>46126</v>
      </c>
      <c r="T3223" s="1">
        <v>46126</v>
      </c>
      <c r="U3223" s="1">
        <v>46127</v>
      </c>
      <c r="V3223" s="1">
        <v>46492</v>
      </c>
      <c r="W3223" t="s">
        <v>38</v>
      </c>
      <c r="X3223">
        <v>12</v>
      </c>
      <c r="Y3223" t="s">
        <v>49</v>
      </c>
      <c r="Z3223" t="s">
        <v>81</v>
      </c>
      <c r="AA3223" t="s">
        <v>112</v>
      </c>
      <c r="AB3223">
        <v>12</v>
      </c>
      <c r="AC3223" t="s">
        <v>113</v>
      </c>
      <c r="AD3223" t="s">
        <v>85</v>
      </c>
      <c r="AE3223" t="s">
        <v>46</v>
      </c>
      <c r="AF3223" t="s">
        <v>44</v>
      </c>
      <c r="AG3223" t="str">
        <f t="shared" si="61"/>
        <v>CC 12x</v>
      </c>
      <c r="AH3223" t="str">
        <f t="shared" si="62"/>
        <v/>
      </c>
    </row>
    <row r="3224" spans="1:34">
      <c r="A3224">
        <v>2026</v>
      </c>
      <c r="B3224">
        <v>4</v>
      </c>
      <c r="C3224" s="83">
        <v>153189879587</v>
      </c>
      <c r="D3224" t="s">
        <v>2875</v>
      </c>
      <c r="E3224">
        <v>59485205620</v>
      </c>
      <c r="F3224">
        <v>637246</v>
      </c>
      <c r="G3224">
        <v>54566856559</v>
      </c>
      <c r="H3224" t="s">
        <v>35</v>
      </c>
      <c r="I3224" s="36">
        <v>4603.2</v>
      </c>
      <c r="J3224" s="36">
        <v>4603.2</v>
      </c>
      <c r="K3224" s="85">
        <v>0</v>
      </c>
      <c r="L3224" s="36">
        <v>383.6</v>
      </c>
      <c r="M3224" s="36">
        <v>383.6</v>
      </c>
      <c r="N3224" s="36">
        <v>0</v>
      </c>
      <c r="O3224" s="36">
        <v>0</v>
      </c>
      <c r="P3224" t="s">
        <v>506</v>
      </c>
      <c r="Q3224" t="s">
        <v>300</v>
      </c>
      <c r="R3224" t="s">
        <v>300</v>
      </c>
      <c r="S3224" s="1">
        <v>46135</v>
      </c>
      <c r="T3224" s="1">
        <v>46135</v>
      </c>
      <c r="V3224" s="1">
        <v>46500</v>
      </c>
      <c r="W3224" t="s">
        <v>38</v>
      </c>
      <c r="X3224">
        <v>12</v>
      </c>
      <c r="Y3224" t="s">
        <v>49</v>
      </c>
      <c r="AA3224" t="s">
        <v>112</v>
      </c>
      <c r="AB3224">
        <v>12</v>
      </c>
      <c r="AC3224" t="s">
        <v>301</v>
      </c>
      <c r="AD3224" t="s">
        <v>85</v>
      </c>
      <c r="AE3224" t="s">
        <v>46</v>
      </c>
      <c r="AF3224" t="s">
        <v>44</v>
      </c>
      <c r="AG3224" t="str">
        <f t="shared" si="61"/>
        <v>CC 12x</v>
      </c>
      <c r="AH3224" t="str">
        <f t="shared" si="62"/>
        <v/>
      </c>
    </row>
    <row r="3225" spans="1:34">
      <c r="A3225">
        <v>2026</v>
      </c>
      <c r="B3225">
        <v>4</v>
      </c>
      <c r="C3225" s="83">
        <v>153729027151</v>
      </c>
      <c r="D3225" t="s">
        <v>2876</v>
      </c>
      <c r="E3225">
        <v>56655850539</v>
      </c>
      <c r="F3225">
        <v>324194</v>
      </c>
      <c r="G3225">
        <v>51968347972</v>
      </c>
      <c r="H3225" t="s">
        <v>35</v>
      </c>
      <c r="I3225" s="36">
        <v>6354</v>
      </c>
      <c r="J3225" s="36">
        <v>6354</v>
      </c>
      <c r="K3225" s="85">
        <v>0</v>
      </c>
      <c r="L3225" s="36">
        <v>529.5</v>
      </c>
      <c r="M3225" s="36">
        <v>0</v>
      </c>
      <c r="N3225" s="36">
        <v>105.35</v>
      </c>
      <c r="O3225" s="36">
        <v>424.15</v>
      </c>
      <c r="P3225" t="s">
        <v>165</v>
      </c>
      <c r="Q3225" t="s">
        <v>166</v>
      </c>
      <c r="R3225" t="s">
        <v>166</v>
      </c>
      <c r="S3225" s="1">
        <v>46118</v>
      </c>
      <c r="T3225" s="1">
        <v>46118</v>
      </c>
      <c r="U3225" s="1">
        <v>46118</v>
      </c>
      <c r="V3225" s="1">
        <v>46483</v>
      </c>
      <c r="W3225" t="s">
        <v>38</v>
      </c>
      <c r="X3225">
        <v>12</v>
      </c>
      <c r="Y3225" t="s">
        <v>49</v>
      </c>
      <c r="Z3225" t="s">
        <v>81</v>
      </c>
      <c r="AA3225" t="s">
        <v>122</v>
      </c>
      <c r="AB3225">
        <v>12</v>
      </c>
      <c r="AC3225" t="s">
        <v>166</v>
      </c>
      <c r="AD3225" t="s">
        <v>149</v>
      </c>
      <c r="AE3225" t="s">
        <v>43</v>
      </c>
      <c r="AF3225" t="s">
        <v>96</v>
      </c>
      <c r="AG3225" t="str">
        <f t="shared" si="61"/>
        <v>Recorrente</v>
      </c>
      <c r="AH3225" t="str">
        <f t="shared" si="62"/>
        <v/>
      </c>
    </row>
    <row r="3226" spans="1:34">
      <c r="A3226">
        <v>2026</v>
      </c>
      <c r="B3226">
        <v>4</v>
      </c>
      <c r="C3226" s="83">
        <v>154064678537</v>
      </c>
      <c r="D3226" t="s">
        <v>2877</v>
      </c>
      <c r="E3226">
        <v>57484824650</v>
      </c>
      <c r="F3226">
        <v>613372</v>
      </c>
      <c r="G3226">
        <v>52739844745</v>
      </c>
      <c r="H3226" t="s">
        <v>35</v>
      </c>
      <c r="I3226" s="36">
        <v>9354</v>
      </c>
      <c r="J3226" s="36">
        <v>9354</v>
      </c>
      <c r="K3226" s="85">
        <v>0</v>
      </c>
      <c r="L3226" s="36">
        <v>779.5</v>
      </c>
      <c r="M3226" s="36">
        <v>0</v>
      </c>
      <c r="N3226" s="36">
        <v>527.58000000000004</v>
      </c>
      <c r="O3226" s="36">
        <v>251.92</v>
      </c>
      <c r="P3226" t="s">
        <v>165</v>
      </c>
      <c r="Q3226" t="s">
        <v>166</v>
      </c>
      <c r="R3226" t="s">
        <v>166</v>
      </c>
      <c r="S3226" s="1">
        <v>46124</v>
      </c>
      <c r="T3226" s="1">
        <v>46124</v>
      </c>
      <c r="U3226" s="1">
        <v>46124</v>
      </c>
      <c r="V3226" s="1">
        <v>46489</v>
      </c>
      <c r="W3226" t="s">
        <v>38</v>
      </c>
      <c r="X3226">
        <v>12</v>
      </c>
      <c r="Y3226" t="s">
        <v>49</v>
      </c>
      <c r="Z3226" t="s">
        <v>81</v>
      </c>
      <c r="AA3226" t="s">
        <v>122</v>
      </c>
      <c r="AB3226">
        <v>12</v>
      </c>
      <c r="AC3226" t="s">
        <v>166</v>
      </c>
      <c r="AD3226" t="s">
        <v>134</v>
      </c>
      <c r="AE3226" t="s">
        <v>135</v>
      </c>
      <c r="AF3226" t="s">
        <v>44</v>
      </c>
      <c r="AG3226" t="str">
        <f t="shared" si="61"/>
        <v>Recorrente</v>
      </c>
      <c r="AH3226" t="str">
        <f t="shared" si="62"/>
        <v/>
      </c>
    </row>
    <row r="3227" spans="1:34">
      <c r="A3227">
        <v>2026</v>
      </c>
      <c r="B3227">
        <v>4</v>
      </c>
      <c r="C3227" s="83">
        <v>154064678537</v>
      </c>
      <c r="D3227" t="s">
        <v>2877</v>
      </c>
      <c r="E3227">
        <v>57484824650</v>
      </c>
      <c r="F3227">
        <v>613372</v>
      </c>
      <c r="G3227">
        <v>52743862692</v>
      </c>
      <c r="H3227" t="s">
        <v>35</v>
      </c>
      <c r="I3227" s="36">
        <v>9354</v>
      </c>
      <c r="J3227" s="36">
        <v>9354</v>
      </c>
      <c r="K3227" s="85">
        <v>0</v>
      </c>
      <c r="L3227" s="36">
        <v>779.5</v>
      </c>
      <c r="M3227" s="36">
        <v>0</v>
      </c>
      <c r="N3227" s="36">
        <v>527.58000000000004</v>
      </c>
      <c r="O3227" s="36">
        <v>251.92</v>
      </c>
      <c r="P3227" t="s">
        <v>165</v>
      </c>
      <c r="Q3227" t="s">
        <v>166</v>
      </c>
      <c r="R3227" t="s">
        <v>166</v>
      </c>
      <c r="S3227" s="1">
        <v>46124</v>
      </c>
      <c r="T3227" s="1">
        <v>46124</v>
      </c>
      <c r="U3227" s="1">
        <v>46124</v>
      </c>
      <c r="V3227" s="1">
        <v>46489</v>
      </c>
      <c r="W3227" t="s">
        <v>38</v>
      </c>
      <c r="X3227">
        <v>12</v>
      </c>
      <c r="Y3227" t="s">
        <v>49</v>
      </c>
      <c r="Z3227" t="s">
        <v>81</v>
      </c>
      <c r="AA3227" t="s">
        <v>122</v>
      </c>
      <c r="AB3227">
        <v>12</v>
      </c>
      <c r="AC3227" t="s">
        <v>166</v>
      </c>
      <c r="AD3227" t="s">
        <v>134</v>
      </c>
      <c r="AE3227" t="s">
        <v>135</v>
      </c>
      <c r="AF3227" t="s">
        <v>44</v>
      </c>
      <c r="AG3227" t="str">
        <f t="shared" si="61"/>
        <v>Recorrente</v>
      </c>
      <c r="AH3227" t="str">
        <f t="shared" si="62"/>
        <v/>
      </c>
    </row>
    <row r="3228" spans="1:34">
      <c r="A3228">
        <v>2026</v>
      </c>
      <c r="B3228">
        <v>4</v>
      </c>
      <c r="C3228" s="83">
        <v>154214231591</v>
      </c>
      <c r="D3228" t="s">
        <v>2878</v>
      </c>
      <c r="E3228">
        <v>57491012951</v>
      </c>
      <c r="F3228">
        <v>312283</v>
      </c>
      <c r="G3228">
        <v>52757852473</v>
      </c>
      <c r="H3228" t="s">
        <v>35</v>
      </c>
      <c r="I3228" s="36">
        <v>9354</v>
      </c>
      <c r="J3228" s="36">
        <v>9354</v>
      </c>
      <c r="K3228" s="85">
        <v>0</v>
      </c>
      <c r="L3228" s="36">
        <v>779.5</v>
      </c>
      <c r="M3228" s="36">
        <v>0</v>
      </c>
      <c r="N3228" s="36">
        <v>120.12</v>
      </c>
      <c r="O3228" s="36">
        <v>659.38</v>
      </c>
      <c r="P3228" t="s">
        <v>165</v>
      </c>
      <c r="Q3228" t="s">
        <v>166</v>
      </c>
      <c r="R3228" t="s">
        <v>166</v>
      </c>
      <c r="S3228" s="1">
        <v>46125</v>
      </c>
      <c r="T3228" s="1">
        <v>46125</v>
      </c>
      <c r="U3228" s="1">
        <v>46125</v>
      </c>
      <c r="V3228" s="1">
        <v>46490</v>
      </c>
      <c r="W3228" t="s">
        <v>38</v>
      </c>
      <c r="X3228">
        <v>12</v>
      </c>
      <c r="Y3228" t="s">
        <v>49</v>
      </c>
      <c r="Z3228" t="s">
        <v>81</v>
      </c>
      <c r="AA3228" t="s">
        <v>122</v>
      </c>
      <c r="AB3228">
        <v>7</v>
      </c>
      <c r="AC3228" t="s">
        <v>166</v>
      </c>
      <c r="AD3228" t="s">
        <v>134</v>
      </c>
      <c r="AE3228" t="s">
        <v>135</v>
      </c>
      <c r="AF3228" t="s">
        <v>44</v>
      </c>
      <c r="AG3228" t="str">
        <f t="shared" si="61"/>
        <v>Recorrente</v>
      </c>
      <c r="AH3228" t="str">
        <f t="shared" si="62"/>
        <v/>
      </c>
    </row>
    <row r="3229" spans="1:34">
      <c r="A3229">
        <v>2026</v>
      </c>
      <c r="B3229">
        <v>4</v>
      </c>
      <c r="C3229" s="83">
        <v>154592676450</v>
      </c>
      <c r="D3229" t="s">
        <v>2879</v>
      </c>
      <c r="E3229">
        <v>58798220356</v>
      </c>
      <c r="F3229">
        <v>510137</v>
      </c>
      <c r="G3229">
        <v>54118776422</v>
      </c>
      <c r="H3229" t="s">
        <v>35</v>
      </c>
      <c r="I3229" s="36">
        <v>7014.6</v>
      </c>
      <c r="J3229" s="36">
        <v>7014.6</v>
      </c>
      <c r="K3229" s="85">
        <v>0</v>
      </c>
      <c r="L3229" s="36">
        <v>584.54999999999995</v>
      </c>
      <c r="M3229" s="36">
        <v>0</v>
      </c>
      <c r="N3229" s="36">
        <v>40.950000000000003</v>
      </c>
      <c r="O3229" s="36">
        <v>543.6</v>
      </c>
      <c r="P3229" t="s">
        <v>162</v>
      </c>
      <c r="Q3229" t="s">
        <v>111</v>
      </c>
      <c r="R3229" t="s">
        <v>111</v>
      </c>
      <c r="S3229" s="1">
        <v>46122</v>
      </c>
      <c r="T3229" s="1">
        <v>46122</v>
      </c>
      <c r="U3229" s="1">
        <v>46116</v>
      </c>
      <c r="V3229" s="1">
        <v>46487</v>
      </c>
      <c r="W3229" t="s">
        <v>38</v>
      </c>
      <c r="X3229">
        <v>12</v>
      </c>
      <c r="Y3229" t="s">
        <v>49</v>
      </c>
      <c r="Z3229" t="s">
        <v>81</v>
      </c>
      <c r="AA3229" t="s">
        <v>122</v>
      </c>
      <c r="AB3229">
        <v>12</v>
      </c>
      <c r="AC3229" t="s">
        <v>113</v>
      </c>
      <c r="AD3229" t="s">
        <v>125</v>
      </c>
      <c r="AE3229" t="s">
        <v>43</v>
      </c>
      <c r="AF3229" t="s">
        <v>47</v>
      </c>
      <c r="AG3229" t="str">
        <f t="shared" si="61"/>
        <v>Recorrente</v>
      </c>
      <c r="AH3229" t="str">
        <f t="shared" si="62"/>
        <v/>
      </c>
    </row>
    <row r="3230" spans="1:34">
      <c r="A3230">
        <v>2026</v>
      </c>
      <c r="B3230">
        <v>4</v>
      </c>
      <c r="C3230" s="83">
        <v>155800034116</v>
      </c>
      <c r="D3230" t="s">
        <v>2880</v>
      </c>
      <c r="E3230">
        <v>58196589658</v>
      </c>
      <c r="F3230">
        <v>533267</v>
      </c>
      <c r="G3230">
        <v>53850902144</v>
      </c>
      <c r="H3230" t="s">
        <v>35</v>
      </c>
      <c r="I3230" s="36">
        <v>2328</v>
      </c>
      <c r="J3230" s="36">
        <v>2328</v>
      </c>
      <c r="K3230" s="85">
        <v>0</v>
      </c>
      <c r="L3230" s="36">
        <v>194</v>
      </c>
      <c r="M3230" s="36">
        <v>0</v>
      </c>
      <c r="N3230" s="36">
        <v>0</v>
      </c>
      <c r="O3230" s="36">
        <v>194.002185</v>
      </c>
      <c r="P3230" t="s">
        <v>116</v>
      </c>
      <c r="Q3230" t="s">
        <v>111</v>
      </c>
      <c r="R3230" t="s">
        <v>111</v>
      </c>
      <c r="S3230" s="1">
        <v>46114</v>
      </c>
      <c r="T3230" s="1">
        <v>46114</v>
      </c>
      <c r="U3230" s="1">
        <v>46131</v>
      </c>
      <c r="V3230" s="1">
        <v>46496</v>
      </c>
      <c r="W3230" t="s">
        <v>38</v>
      </c>
      <c r="X3230">
        <v>12</v>
      </c>
      <c r="Y3230" t="s">
        <v>49</v>
      </c>
      <c r="Z3230" t="s">
        <v>76</v>
      </c>
      <c r="AA3230" t="s">
        <v>112</v>
      </c>
      <c r="AB3230">
        <v>12</v>
      </c>
      <c r="AC3230" t="s">
        <v>113</v>
      </c>
      <c r="AD3230" t="s">
        <v>140</v>
      </c>
      <c r="AE3230" t="s">
        <v>46</v>
      </c>
      <c r="AF3230" t="s">
        <v>119</v>
      </c>
      <c r="AG3230" t="str">
        <f t="shared" si="61"/>
        <v>CC 12x</v>
      </c>
      <c r="AH3230" t="str">
        <f t="shared" si="62"/>
        <v/>
      </c>
    </row>
    <row r="3231" spans="1:34">
      <c r="A3231">
        <v>2026</v>
      </c>
      <c r="B3231">
        <v>4</v>
      </c>
      <c r="C3231" s="83">
        <v>155923505737</v>
      </c>
      <c r="D3231" t="s">
        <v>2881</v>
      </c>
      <c r="E3231">
        <v>56924679825</v>
      </c>
      <c r="F3231">
        <v>532591</v>
      </c>
      <c r="G3231">
        <v>52311899969</v>
      </c>
      <c r="H3231" t="s">
        <v>35</v>
      </c>
      <c r="I3231" s="36">
        <v>5754</v>
      </c>
      <c r="J3231" s="36">
        <v>5754</v>
      </c>
      <c r="K3231" s="85">
        <v>0</v>
      </c>
      <c r="L3231" s="36">
        <v>479.5</v>
      </c>
      <c r="M3231" s="36">
        <v>0</v>
      </c>
      <c r="N3231" s="36">
        <v>135.22</v>
      </c>
      <c r="O3231" s="36">
        <v>344.28</v>
      </c>
      <c r="P3231" t="s">
        <v>165</v>
      </c>
      <c r="Q3231" t="s">
        <v>166</v>
      </c>
      <c r="R3231" t="s">
        <v>166</v>
      </c>
      <c r="S3231" s="1">
        <v>46123</v>
      </c>
      <c r="T3231" s="1">
        <v>46123</v>
      </c>
      <c r="U3231" s="1">
        <v>46123</v>
      </c>
      <c r="V3231" s="1">
        <v>46488</v>
      </c>
      <c r="W3231" t="s">
        <v>38</v>
      </c>
      <c r="X3231">
        <v>12</v>
      </c>
      <c r="Y3231" t="s">
        <v>49</v>
      </c>
      <c r="Z3231" t="s">
        <v>81</v>
      </c>
      <c r="AA3231" t="s">
        <v>112</v>
      </c>
      <c r="AB3231">
        <v>12</v>
      </c>
      <c r="AC3231" t="s">
        <v>166</v>
      </c>
      <c r="AD3231" t="s">
        <v>85</v>
      </c>
      <c r="AE3231" t="s">
        <v>46</v>
      </c>
      <c r="AF3231" t="s">
        <v>44</v>
      </c>
      <c r="AG3231" t="str">
        <f t="shared" si="61"/>
        <v>CC 12x</v>
      </c>
      <c r="AH3231" t="str">
        <f t="shared" si="62"/>
        <v/>
      </c>
    </row>
    <row r="3232" spans="1:34">
      <c r="A3232">
        <v>2026</v>
      </c>
      <c r="B3232">
        <v>4</v>
      </c>
      <c r="C3232" s="83">
        <v>156388084121</v>
      </c>
      <c r="D3232" t="s">
        <v>1888</v>
      </c>
      <c r="E3232">
        <v>58103135142</v>
      </c>
      <c r="F3232">
        <v>312770</v>
      </c>
      <c r="G3232">
        <v>54372491600</v>
      </c>
      <c r="H3232" t="s">
        <v>35</v>
      </c>
      <c r="I3232" s="36">
        <v>4380.84</v>
      </c>
      <c r="J3232" s="36">
        <v>4380.84</v>
      </c>
      <c r="K3232" s="85">
        <v>0</v>
      </c>
      <c r="L3232" s="36">
        <v>365.07</v>
      </c>
      <c r="M3232" s="36">
        <v>0</v>
      </c>
      <c r="N3232" s="36">
        <v>57.875</v>
      </c>
      <c r="O3232" s="36">
        <v>307.2</v>
      </c>
      <c r="P3232" t="s">
        <v>110</v>
      </c>
      <c r="Q3232" t="s">
        <v>111</v>
      </c>
      <c r="R3232" t="s">
        <v>111</v>
      </c>
      <c r="S3232" s="1">
        <v>46128</v>
      </c>
      <c r="T3232" s="1">
        <v>46128</v>
      </c>
      <c r="U3232" s="1">
        <v>46129</v>
      </c>
      <c r="V3232" s="1">
        <v>46494</v>
      </c>
      <c r="W3232" t="s">
        <v>38</v>
      </c>
      <c r="X3232">
        <v>12</v>
      </c>
      <c r="Y3232" t="s">
        <v>49</v>
      </c>
      <c r="Z3232" t="s">
        <v>81</v>
      </c>
      <c r="AA3232" t="s">
        <v>122</v>
      </c>
      <c r="AB3232">
        <v>12</v>
      </c>
      <c r="AC3232" t="s">
        <v>113</v>
      </c>
      <c r="AD3232" t="s">
        <v>163</v>
      </c>
      <c r="AE3232" t="s">
        <v>43</v>
      </c>
      <c r="AF3232" t="s">
        <v>96</v>
      </c>
      <c r="AG3232" t="str">
        <f t="shared" si="61"/>
        <v>Recorrente</v>
      </c>
      <c r="AH3232" t="str">
        <f t="shared" si="62"/>
        <v/>
      </c>
    </row>
    <row r="3233" spans="1:34">
      <c r="A3233">
        <v>2026</v>
      </c>
      <c r="B3233">
        <v>4</v>
      </c>
      <c r="C3233" s="83">
        <v>156827912711</v>
      </c>
      <c r="D3233" t="s">
        <v>2882</v>
      </c>
      <c r="E3233">
        <v>59091384221</v>
      </c>
      <c r="F3233">
        <v>613833</v>
      </c>
      <c r="G3233">
        <v>54284145046</v>
      </c>
      <c r="H3233" t="s">
        <v>35</v>
      </c>
      <c r="I3233" s="36">
        <v>4848.12</v>
      </c>
      <c r="J3233" s="36">
        <v>4848.12</v>
      </c>
      <c r="K3233" s="85">
        <v>0</v>
      </c>
      <c r="L3233" s="36">
        <v>404.01</v>
      </c>
      <c r="M3233" s="36">
        <v>0</v>
      </c>
      <c r="N3233" s="36">
        <v>0</v>
      </c>
      <c r="O3233" s="36">
        <v>404.00959999999998</v>
      </c>
      <c r="P3233" t="s">
        <v>110</v>
      </c>
      <c r="Q3233" t="s">
        <v>111</v>
      </c>
      <c r="R3233" t="s">
        <v>111</v>
      </c>
      <c r="S3233" s="1">
        <v>46129</v>
      </c>
      <c r="T3233" s="1">
        <v>46129</v>
      </c>
      <c r="U3233" s="1">
        <v>46130</v>
      </c>
      <c r="V3233" s="1">
        <v>46495</v>
      </c>
      <c r="W3233" t="s">
        <v>38</v>
      </c>
      <c r="X3233">
        <v>12</v>
      </c>
      <c r="Y3233" t="s">
        <v>49</v>
      </c>
      <c r="Z3233" t="s">
        <v>81</v>
      </c>
      <c r="AA3233" t="s">
        <v>112</v>
      </c>
      <c r="AB3233">
        <v>1</v>
      </c>
      <c r="AC3233" t="s">
        <v>113</v>
      </c>
      <c r="AD3233" t="s">
        <v>85</v>
      </c>
      <c r="AE3233" t="s">
        <v>46</v>
      </c>
      <c r="AF3233" t="s">
        <v>44</v>
      </c>
      <c r="AG3233" t="str">
        <f t="shared" si="61"/>
        <v>À Vista</v>
      </c>
      <c r="AH3233" t="str">
        <f t="shared" si="62"/>
        <v/>
      </c>
    </row>
    <row r="3234" spans="1:34">
      <c r="A3234">
        <v>2026</v>
      </c>
      <c r="B3234">
        <v>4</v>
      </c>
      <c r="C3234" s="83">
        <v>156827912711</v>
      </c>
      <c r="D3234" t="s">
        <v>2882</v>
      </c>
      <c r="E3234">
        <v>59091384221</v>
      </c>
      <c r="F3234">
        <v>613833</v>
      </c>
      <c r="G3234">
        <v>54284145047</v>
      </c>
      <c r="H3234" t="s">
        <v>35</v>
      </c>
      <c r="I3234" s="36">
        <v>4848.12</v>
      </c>
      <c r="J3234" s="36">
        <v>4848.12</v>
      </c>
      <c r="K3234" s="85">
        <v>0</v>
      </c>
      <c r="L3234" s="36">
        <v>404.01</v>
      </c>
      <c r="M3234" s="36">
        <v>0</v>
      </c>
      <c r="N3234" s="36">
        <v>0</v>
      </c>
      <c r="O3234" s="36">
        <v>404.00959999999998</v>
      </c>
      <c r="P3234" t="s">
        <v>110</v>
      </c>
      <c r="Q3234" t="s">
        <v>111</v>
      </c>
      <c r="R3234" t="s">
        <v>111</v>
      </c>
      <c r="S3234" s="1">
        <v>46129</v>
      </c>
      <c r="T3234" s="1">
        <v>46129</v>
      </c>
      <c r="U3234" s="1">
        <v>46130</v>
      </c>
      <c r="V3234" s="1">
        <v>46495</v>
      </c>
      <c r="W3234" t="s">
        <v>38</v>
      </c>
      <c r="X3234">
        <v>12</v>
      </c>
      <c r="Y3234" t="s">
        <v>49</v>
      </c>
      <c r="Z3234" t="s">
        <v>81</v>
      </c>
      <c r="AA3234" t="s">
        <v>112</v>
      </c>
      <c r="AB3234">
        <v>1</v>
      </c>
      <c r="AC3234" t="s">
        <v>113</v>
      </c>
      <c r="AD3234" t="s">
        <v>125</v>
      </c>
      <c r="AE3234" t="s">
        <v>43</v>
      </c>
      <c r="AF3234" t="s">
        <v>47</v>
      </c>
      <c r="AG3234" t="str">
        <f t="shared" si="61"/>
        <v>À Vista</v>
      </c>
      <c r="AH3234" t="str">
        <f t="shared" si="62"/>
        <v/>
      </c>
    </row>
    <row r="3235" spans="1:34">
      <c r="A3235">
        <v>2026</v>
      </c>
      <c r="B3235">
        <v>4</v>
      </c>
      <c r="C3235" s="83">
        <v>158776017507</v>
      </c>
      <c r="D3235" t="s">
        <v>2883</v>
      </c>
      <c r="E3235">
        <v>59139983628</v>
      </c>
      <c r="F3235">
        <v>637054</v>
      </c>
      <c r="G3235">
        <v>54269288500</v>
      </c>
      <c r="H3235" t="s">
        <v>35</v>
      </c>
      <c r="I3235" s="36">
        <v>2759.04</v>
      </c>
      <c r="J3235" s="36">
        <v>2759.04</v>
      </c>
      <c r="K3235" s="85">
        <v>0</v>
      </c>
      <c r="L3235" s="36">
        <v>229.92</v>
      </c>
      <c r="M3235" s="36">
        <v>229.92</v>
      </c>
      <c r="N3235" s="36">
        <v>0</v>
      </c>
      <c r="O3235" s="36">
        <v>0</v>
      </c>
      <c r="P3235" t="s">
        <v>2004</v>
      </c>
      <c r="Q3235" t="s">
        <v>300</v>
      </c>
      <c r="R3235" t="s">
        <v>300</v>
      </c>
      <c r="S3235" s="1">
        <v>46125</v>
      </c>
      <c r="T3235" s="1">
        <v>46125</v>
      </c>
      <c r="U3235" s="1"/>
      <c r="V3235" s="1">
        <v>46490</v>
      </c>
      <c r="W3235" t="s">
        <v>38</v>
      </c>
      <c r="X3235">
        <v>12</v>
      </c>
      <c r="Y3235" t="s">
        <v>49</v>
      </c>
      <c r="AA3235" t="s">
        <v>112</v>
      </c>
      <c r="AB3235">
        <v>12</v>
      </c>
      <c r="AC3235" t="s">
        <v>301</v>
      </c>
      <c r="AD3235" t="s">
        <v>118</v>
      </c>
      <c r="AE3235" t="s">
        <v>43</v>
      </c>
      <c r="AF3235" t="s">
        <v>119</v>
      </c>
      <c r="AG3235" t="str">
        <f t="shared" si="61"/>
        <v>CC 12x</v>
      </c>
      <c r="AH3235" t="str">
        <f t="shared" si="62"/>
        <v/>
      </c>
    </row>
    <row r="3236" spans="1:34">
      <c r="A3236">
        <v>2026</v>
      </c>
      <c r="B3236">
        <v>4</v>
      </c>
      <c r="C3236" s="83">
        <v>1605070</v>
      </c>
      <c r="D3236" t="s">
        <v>2884</v>
      </c>
      <c r="E3236">
        <v>57580282768</v>
      </c>
      <c r="F3236">
        <v>509748</v>
      </c>
      <c r="G3236">
        <v>52825824356</v>
      </c>
      <c r="H3236" t="s">
        <v>35</v>
      </c>
      <c r="I3236" s="36">
        <v>5514</v>
      </c>
      <c r="J3236" s="36">
        <v>5514</v>
      </c>
      <c r="K3236" s="85">
        <v>0</v>
      </c>
      <c r="L3236" s="36">
        <v>459.5</v>
      </c>
      <c r="M3236" s="36">
        <v>0</v>
      </c>
      <c r="N3236" s="36">
        <v>73.400000000000006</v>
      </c>
      <c r="O3236" s="36">
        <v>386.1</v>
      </c>
      <c r="P3236" t="s">
        <v>165</v>
      </c>
      <c r="Q3236" t="s">
        <v>166</v>
      </c>
      <c r="R3236" t="s">
        <v>166</v>
      </c>
      <c r="S3236" s="1">
        <v>46131</v>
      </c>
      <c r="T3236" s="1">
        <v>46131</v>
      </c>
      <c r="U3236" s="1">
        <v>46131</v>
      </c>
      <c r="V3236" s="1">
        <v>46496</v>
      </c>
      <c r="W3236" t="s">
        <v>38</v>
      </c>
      <c r="X3236">
        <v>12</v>
      </c>
      <c r="Y3236" t="s">
        <v>49</v>
      </c>
      <c r="Z3236" t="s">
        <v>81</v>
      </c>
      <c r="AA3236" t="s">
        <v>122</v>
      </c>
      <c r="AB3236">
        <v>12</v>
      </c>
      <c r="AC3236" t="s">
        <v>166</v>
      </c>
      <c r="AD3236" t="s">
        <v>138</v>
      </c>
      <c r="AE3236" t="s">
        <v>135</v>
      </c>
      <c r="AF3236" t="s">
        <v>119</v>
      </c>
      <c r="AG3236" t="str">
        <f t="shared" si="61"/>
        <v>Recorrente</v>
      </c>
      <c r="AH3236" t="str">
        <f t="shared" si="62"/>
        <v/>
      </c>
    </row>
    <row r="3237" spans="1:34">
      <c r="A3237">
        <v>2026</v>
      </c>
      <c r="B3237">
        <v>4</v>
      </c>
      <c r="C3237" s="83">
        <v>162157619283</v>
      </c>
      <c r="D3237" t="s">
        <v>2885</v>
      </c>
      <c r="E3237">
        <v>59244412974</v>
      </c>
      <c r="F3237">
        <v>637189</v>
      </c>
      <c r="G3237">
        <v>54295370334</v>
      </c>
      <c r="H3237" t="s">
        <v>35</v>
      </c>
      <c r="I3237" s="36">
        <v>9594</v>
      </c>
      <c r="J3237" s="36">
        <v>4440</v>
      </c>
      <c r="K3237" s="85">
        <v>5154</v>
      </c>
      <c r="L3237" s="36">
        <v>370</v>
      </c>
      <c r="M3237" s="36">
        <v>0</v>
      </c>
      <c r="N3237" s="36">
        <v>370</v>
      </c>
      <c r="O3237" s="36">
        <v>0</v>
      </c>
      <c r="P3237" t="s">
        <v>367</v>
      </c>
      <c r="Q3237" t="s">
        <v>191</v>
      </c>
      <c r="R3237" t="s">
        <v>191</v>
      </c>
      <c r="S3237" s="1">
        <v>46129</v>
      </c>
      <c r="T3237" s="1">
        <v>46129</v>
      </c>
      <c r="U3237" s="1"/>
      <c r="V3237" s="1">
        <v>46494</v>
      </c>
      <c r="W3237" t="s">
        <v>38</v>
      </c>
      <c r="Y3237" t="s">
        <v>49</v>
      </c>
      <c r="AA3237" t="s">
        <v>122</v>
      </c>
      <c r="AB3237">
        <v>12</v>
      </c>
      <c r="AC3237" t="s">
        <v>192</v>
      </c>
      <c r="AD3237" t="s">
        <v>131</v>
      </c>
      <c r="AE3237" t="s">
        <v>46</v>
      </c>
      <c r="AF3237" t="s">
        <v>96</v>
      </c>
      <c r="AG3237" t="str">
        <f t="shared" si="61"/>
        <v>Recorrente</v>
      </c>
      <c r="AH3237" t="str">
        <f t="shared" si="62"/>
        <v/>
      </c>
    </row>
    <row r="3238" spans="1:34">
      <c r="A3238">
        <v>2026</v>
      </c>
      <c r="B3238">
        <v>4</v>
      </c>
      <c r="C3238" s="83">
        <v>163472361216</v>
      </c>
      <c r="D3238" t="s">
        <v>2886</v>
      </c>
      <c r="E3238">
        <v>57983449522</v>
      </c>
      <c r="F3238">
        <v>629035</v>
      </c>
      <c r="G3238">
        <v>53225296990</v>
      </c>
      <c r="H3238" t="s">
        <v>35</v>
      </c>
      <c r="I3238" s="36">
        <v>5178.6000000000004</v>
      </c>
      <c r="J3238" s="36">
        <v>5178.6000000000004</v>
      </c>
      <c r="K3238" s="85">
        <v>0</v>
      </c>
      <c r="L3238" s="36">
        <v>431.55</v>
      </c>
      <c r="M3238" s="36">
        <v>0</v>
      </c>
      <c r="N3238" s="36">
        <v>69.150000000000006</v>
      </c>
      <c r="O3238" s="36">
        <v>362.4</v>
      </c>
      <c r="P3238" t="s">
        <v>165</v>
      </c>
      <c r="Q3238" t="s">
        <v>166</v>
      </c>
      <c r="R3238" t="s">
        <v>166</v>
      </c>
      <c r="S3238" s="1">
        <v>46139</v>
      </c>
      <c r="T3238" s="1">
        <v>46139</v>
      </c>
      <c r="U3238" s="1">
        <v>46140</v>
      </c>
      <c r="V3238" s="1">
        <v>46505</v>
      </c>
      <c r="W3238" t="s">
        <v>38</v>
      </c>
      <c r="X3238">
        <v>12</v>
      </c>
      <c r="Y3238" t="s">
        <v>49</v>
      </c>
      <c r="Z3238" t="s">
        <v>81</v>
      </c>
      <c r="AA3238" t="s">
        <v>112</v>
      </c>
      <c r="AB3238">
        <v>12</v>
      </c>
      <c r="AC3238" t="s">
        <v>166</v>
      </c>
      <c r="AD3238" t="s">
        <v>85</v>
      </c>
      <c r="AE3238" t="s">
        <v>46</v>
      </c>
      <c r="AF3238" t="s">
        <v>44</v>
      </c>
      <c r="AG3238" t="str">
        <f t="shared" si="61"/>
        <v>CC 12x</v>
      </c>
      <c r="AH3238" t="str">
        <f t="shared" si="62"/>
        <v/>
      </c>
    </row>
    <row r="3239" spans="1:34">
      <c r="A3239">
        <v>2026</v>
      </c>
      <c r="B3239">
        <v>4</v>
      </c>
      <c r="C3239" s="83">
        <v>165646477592</v>
      </c>
      <c r="D3239" t="s">
        <v>2887</v>
      </c>
      <c r="E3239">
        <v>59094074286</v>
      </c>
      <c r="F3239">
        <v>628568</v>
      </c>
      <c r="G3239">
        <v>54270343788</v>
      </c>
      <c r="H3239" t="s">
        <v>35</v>
      </c>
      <c r="I3239" s="36">
        <v>3455.76</v>
      </c>
      <c r="J3239" s="36">
        <v>3455.76</v>
      </c>
      <c r="K3239" s="85">
        <v>0</v>
      </c>
      <c r="L3239" s="36">
        <v>287.98</v>
      </c>
      <c r="M3239" s="36">
        <v>0</v>
      </c>
      <c r="N3239" s="36">
        <v>4.0824999999999996</v>
      </c>
      <c r="O3239" s="36">
        <v>283.89999999999998</v>
      </c>
      <c r="P3239" t="s">
        <v>127</v>
      </c>
      <c r="Q3239" t="s">
        <v>111</v>
      </c>
      <c r="R3239" t="s">
        <v>111</v>
      </c>
      <c r="S3239" s="1">
        <v>46125</v>
      </c>
      <c r="T3239" s="1">
        <v>46125</v>
      </c>
      <c r="U3239" s="1">
        <v>46123</v>
      </c>
      <c r="V3239" s="1">
        <v>46490</v>
      </c>
      <c r="W3239" t="s">
        <v>38</v>
      </c>
      <c r="X3239">
        <v>12</v>
      </c>
      <c r="Y3239" t="s">
        <v>49</v>
      </c>
      <c r="Z3239" t="s">
        <v>81</v>
      </c>
      <c r="AA3239" t="s">
        <v>122</v>
      </c>
      <c r="AB3239">
        <v>12</v>
      </c>
      <c r="AC3239" t="s">
        <v>113</v>
      </c>
      <c r="AD3239" t="s">
        <v>138</v>
      </c>
      <c r="AE3239" t="s">
        <v>135</v>
      </c>
      <c r="AF3239" t="s">
        <v>119</v>
      </c>
      <c r="AG3239" t="str">
        <f t="shared" si="61"/>
        <v>Recorrente</v>
      </c>
      <c r="AH3239" t="str">
        <f t="shared" si="62"/>
        <v/>
      </c>
    </row>
    <row r="3240" spans="1:34">
      <c r="A3240">
        <v>2026</v>
      </c>
      <c r="B3240">
        <v>4</v>
      </c>
      <c r="C3240" s="83">
        <v>165646477592</v>
      </c>
      <c r="D3240" t="s">
        <v>2887</v>
      </c>
      <c r="E3240">
        <v>59094074286</v>
      </c>
      <c r="F3240">
        <v>628568</v>
      </c>
      <c r="G3240">
        <v>54270343789</v>
      </c>
      <c r="H3240" t="s">
        <v>35</v>
      </c>
      <c r="I3240" s="36">
        <v>3455.76</v>
      </c>
      <c r="J3240" s="36">
        <v>3455.76</v>
      </c>
      <c r="K3240" s="85">
        <v>0</v>
      </c>
      <c r="L3240" s="36">
        <v>287.98</v>
      </c>
      <c r="M3240" s="36">
        <v>0</v>
      </c>
      <c r="N3240" s="36">
        <v>4.0824999999999996</v>
      </c>
      <c r="O3240" s="36">
        <v>283.89999999999998</v>
      </c>
      <c r="P3240" t="s">
        <v>127</v>
      </c>
      <c r="Q3240" t="s">
        <v>111</v>
      </c>
      <c r="R3240" t="s">
        <v>111</v>
      </c>
      <c r="S3240" s="1">
        <v>46125</v>
      </c>
      <c r="T3240" s="1">
        <v>46125</v>
      </c>
      <c r="U3240" s="1">
        <v>46123</v>
      </c>
      <c r="V3240" s="1">
        <v>46490</v>
      </c>
      <c r="W3240" t="s">
        <v>38</v>
      </c>
      <c r="X3240">
        <v>12</v>
      </c>
      <c r="Y3240" t="s">
        <v>49</v>
      </c>
      <c r="Z3240" t="s">
        <v>81</v>
      </c>
      <c r="AA3240" t="s">
        <v>122</v>
      </c>
      <c r="AB3240">
        <v>12</v>
      </c>
      <c r="AC3240" t="s">
        <v>113</v>
      </c>
      <c r="AD3240" t="s">
        <v>118</v>
      </c>
      <c r="AE3240" t="s">
        <v>43</v>
      </c>
      <c r="AF3240" t="s">
        <v>119</v>
      </c>
      <c r="AG3240" t="str">
        <f t="shared" si="61"/>
        <v>Recorrente</v>
      </c>
      <c r="AH3240" t="str">
        <f t="shared" si="62"/>
        <v/>
      </c>
    </row>
    <row r="3241" spans="1:34">
      <c r="A3241">
        <v>2026</v>
      </c>
      <c r="B3241">
        <v>4</v>
      </c>
      <c r="C3241" s="83">
        <v>165992946254</v>
      </c>
      <c r="D3241" t="s">
        <v>2888</v>
      </c>
      <c r="E3241">
        <v>58643306150</v>
      </c>
      <c r="F3241">
        <v>636852</v>
      </c>
      <c r="G3241">
        <v>53812319310</v>
      </c>
      <c r="H3241" t="s">
        <v>35</v>
      </c>
      <c r="I3241" s="36">
        <v>2483.04</v>
      </c>
      <c r="J3241" s="36">
        <v>2483.04</v>
      </c>
      <c r="K3241" s="85">
        <v>0</v>
      </c>
      <c r="L3241" s="36">
        <v>206.92</v>
      </c>
      <c r="M3241" s="36">
        <v>206.92</v>
      </c>
      <c r="N3241" s="36">
        <v>0</v>
      </c>
      <c r="O3241" s="36">
        <v>0</v>
      </c>
      <c r="P3241" t="s">
        <v>1073</v>
      </c>
      <c r="Q3241" t="s">
        <v>314</v>
      </c>
      <c r="R3241" t="s">
        <v>314</v>
      </c>
      <c r="S3241" s="1">
        <v>46113</v>
      </c>
      <c r="T3241" s="1">
        <v>46113</v>
      </c>
      <c r="U3241" s="1"/>
      <c r="V3241" s="1">
        <v>46478</v>
      </c>
      <c r="W3241" t="s">
        <v>38</v>
      </c>
      <c r="X3241">
        <v>12</v>
      </c>
      <c r="Y3241" t="s">
        <v>49</v>
      </c>
      <c r="AA3241" t="s">
        <v>112</v>
      </c>
      <c r="AB3241">
        <v>12</v>
      </c>
      <c r="AC3241" t="s">
        <v>315</v>
      </c>
      <c r="AD3241" t="s">
        <v>140</v>
      </c>
      <c r="AE3241" t="s">
        <v>46</v>
      </c>
      <c r="AF3241" t="s">
        <v>119</v>
      </c>
      <c r="AG3241" t="str">
        <f t="shared" si="61"/>
        <v>CC 12x</v>
      </c>
      <c r="AH3241" t="str">
        <f t="shared" si="62"/>
        <v/>
      </c>
    </row>
    <row r="3242" spans="1:34">
      <c r="A3242">
        <v>2026</v>
      </c>
      <c r="B3242">
        <v>4</v>
      </c>
      <c r="C3242" s="83">
        <v>167239767846</v>
      </c>
      <c r="D3242" t="s">
        <v>2889</v>
      </c>
      <c r="E3242">
        <v>58372599654</v>
      </c>
      <c r="F3242">
        <v>312958</v>
      </c>
      <c r="G3242">
        <v>53808866071</v>
      </c>
      <c r="H3242" t="s">
        <v>35</v>
      </c>
      <c r="I3242" s="36">
        <v>4065</v>
      </c>
      <c r="J3242" s="36">
        <v>4065</v>
      </c>
      <c r="K3242" s="85">
        <v>0</v>
      </c>
      <c r="L3242" s="36">
        <v>338.75</v>
      </c>
      <c r="M3242" s="36">
        <v>0</v>
      </c>
      <c r="N3242" s="36">
        <v>0</v>
      </c>
      <c r="O3242" s="36">
        <v>338.75044500000001</v>
      </c>
      <c r="P3242" t="s">
        <v>116</v>
      </c>
      <c r="Q3242" t="s">
        <v>111</v>
      </c>
      <c r="R3242" t="s">
        <v>111</v>
      </c>
      <c r="S3242" s="1">
        <v>46121</v>
      </c>
      <c r="T3242" s="1">
        <v>46121</v>
      </c>
      <c r="U3242" s="1">
        <v>46137</v>
      </c>
      <c r="V3242" s="1">
        <v>46502</v>
      </c>
      <c r="W3242" t="s">
        <v>38</v>
      </c>
      <c r="X3242">
        <v>12</v>
      </c>
      <c r="Y3242" t="s">
        <v>49</v>
      </c>
      <c r="Z3242" t="s">
        <v>76</v>
      </c>
      <c r="AA3242" t="s">
        <v>122</v>
      </c>
      <c r="AB3242">
        <v>12</v>
      </c>
      <c r="AC3242" t="s">
        <v>113</v>
      </c>
      <c r="AD3242" t="s">
        <v>84</v>
      </c>
      <c r="AE3242" t="s">
        <v>43</v>
      </c>
      <c r="AF3242" t="s">
        <v>44</v>
      </c>
      <c r="AG3242" t="str">
        <f t="shared" si="61"/>
        <v>Recorrente</v>
      </c>
      <c r="AH3242" t="str">
        <f t="shared" si="62"/>
        <v/>
      </c>
    </row>
    <row r="3243" spans="1:34">
      <c r="A3243">
        <v>2026</v>
      </c>
      <c r="B3243">
        <v>4</v>
      </c>
      <c r="C3243" s="83">
        <v>167592050573</v>
      </c>
      <c r="D3243" t="s">
        <v>2890</v>
      </c>
      <c r="E3243">
        <v>59329677218</v>
      </c>
      <c r="F3243">
        <v>632038</v>
      </c>
      <c r="G3243">
        <v>54466107021</v>
      </c>
      <c r="H3243" t="s">
        <v>35</v>
      </c>
      <c r="I3243" s="36">
        <v>459.24</v>
      </c>
      <c r="J3243" s="36">
        <v>1320.84</v>
      </c>
      <c r="K3243" s="85">
        <v>0</v>
      </c>
      <c r="L3243" s="36">
        <v>110.07</v>
      </c>
      <c r="M3243" s="36">
        <v>0</v>
      </c>
      <c r="N3243" s="36">
        <v>110.07</v>
      </c>
      <c r="O3243" s="36">
        <v>0</v>
      </c>
      <c r="P3243" t="s">
        <v>190</v>
      </c>
      <c r="Q3243" t="s">
        <v>191</v>
      </c>
      <c r="R3243" t="s">
        <v>191</v>
      </c>
      <c r="S3243" s="1">
        <v>46132</v>
      </c>
      <c r="T3243" s="1">
        <v>46132</v>
      </c>
      <c r="U3243" s="1">
        <v>46259</v>
      </c>
      <c r="V3243" s="1">
        <v>46259</v>
      </c>
      <c r="W3243" t="s">
        <v>38</v>
      </c>
      <c r="X3243">
        <v>4</v>
      </c>
      <c r="Y3243" t="s">
        <v>49</v>
      </c>
      <c r="Z3243" t="s">
        <v>324</v>
      </c>
      <c r="AA3243" t="s">
        <v>122</v>
      </c>
      <c r="AB3243">
        <v>4</v>
      </c>
      <c r="AC3243" t="s">
        <v>192</v>
      </c>
      <c r="AD3243" t="s">
        <v>149</v>
      </c>
      <c r="AE3243" t="s">
        <v>43</v>
      </c>
      <c r="AF3243" t="s">
        <v>96</v>
      </c>
      <c r="AG3243" t="str">
        <f t="shared" si="61"/>
        <v>Recorrente</v>
      </c>
      <c r="AH3243" t="str">
        <f t="shared" si="62"/>
        <v/>
      </c>
    </row>
    <row r="3244" spans="1:34">
      <c r="A3244">
        <v>2026</v>
      </c>
      <c r="B3244">
        <v>4</v>
      </c>
      <c r="C3244" s="83">
        <v>169649023237</v>
      </c>
      <c r="D3244" t="s">
        <v>2891</v>
      </c>
      <c r="E3244">
        <v>58855284406</v>
      </c>
      <c r="F3244">
        <v>270359</v>
      </c>
      <c r="G3244">
        <v>54006920522</v>
      </c>
      <c r="H3244" t="s">
        <v>35</v>
      </c>
      <c r="I3244" s="36">
        <v>7015.44</v>
      </c>
      <c r="J3244" s="36">
        <v>7015.44</v>
      </c>
      <c r="K3244" s="85">
        <v>0</v>
      </c>
      <c r="L3244" s="36">
        <v>584.62</v>
      </c>
      <c r="M3244" s="36">
        <v>0</v>
      </c>
      <c r="N3244" s="36">
        <v>85.454999999999998</v>
      </c>
      <c r="O3244" s="36">
        <v>499.17</v>
      </c>
      <c r="P3244" t="s">
        <v>127</v>
      </c>
      <c r="Q3244" t="s">
        <v>111</v>
      </c>
      <c r="R3244" t="s">
        <v>111</v>
      </c>
      <c r="S3244" s="1">
        <v>46118</v>
      </c>
      <c r="T3244" s="1">
        <v>46118</v>
      </c>
      <c r="U3244" s="1">
        <v>46117</v>
      </c>
      <c r="V3244" s="1">
        <v>46483</v>
      </c>
      <c r="W3244" t="s">
        <v>38</v>
      </c>
      <c r="X3244">
        <v>12</v>
      </c>
      <c r="Y3244" t="s">
        <v>49</v>
      </c>
      <c r="Z3244" t="s">
        <v>81</v>
      </c>
      <c r="AA3244" t="s">
        <v>122</v>
      </c>
      <c r="AB3244">
        <v>12</v>
      </c>
      <c r="AC3244" t="s">
        <v>113</v>
      </c>
      <c r="AD3244" t="s">
        <v>134</v>
      </c>
      <c r="AE3244" t="s">
        <v>135</v>
      </c>
      <c r="AF3244" t="s">
        <v>44</v>
      </c>
      <c r="AG3244" t="str">
        <f t="shared" si="61"/>
        <v>Recorrente</v>
      </c>
      <c r="AH3244" t="str">
        <f t="shared" si="62"/>
        <v/>
      </c>
    </row>
    <row r="3245" spans="1:34">
      <c r="A3245">
        <v>2026</v>
      </c>
      <c r="B3245">
        <v>4</v>
      </c>
      <c r="C3245" s="83">
        <v>169765971378</v>
      </c>
      <c r="D3245" t="s">
        <v>2892</v>
      </c>
      <c r="E3245">
        <v>59018101365</v>
      </c>
      <c r="F3245">
        <v>637000</v>
      </c>
      <c r="G3245">
        <v>54149675294</v>
      </c>
      <c r="H3245" t="s">
        <v>35</v>
      </c>
      <c r="I3245" s="36">
        <v>5000.16</v>
      </c>
      <c r="J3245" s="36">
        <v>2500.0747200000001</v>
      </c>
      <c r="K3245" s="85">
        <v>2500.0852799999998</v>
      </c>
      <c r="L3245" s="36">
        <v>208.33956000000001</v>
      </c>
      <c r="M3245" s="36">
        <v>0</v>
      </c>
      <c r="N3245" s="36">
        <v>208.33956000000001</v>
      </c>
      <c r="O3245" s="36">
        <v>0</v>
      </c>
      <c r="P3245" t="s">
        <v>367</v>
      </c>
      <c r="Q3245" t="s">
        <v>191</v>
      </c>
      <c r="R3245" t="s">
        <v>191</v>
      </c>
      <c r="S3245" s="1">
        <v>46121</v>
      </c>
      <c r="T3245" s="1">
        <v>46121</v>
      </c>
      <c r="U3245" s="1"/>
      <c r="V3245" s="1">
        <v>46852</v>
      </c>
      <c r="W3245" t="s">
        <v>56</v>
      </c>
      <c r="X3245">
        <v>24</v>
      </c>
      <c r="Y3245" t="s">
        <v>49</v>
      </c>
      <c r="AA3245" t="s">
        <v>122</v>
      </c>
      <c r="AB3245">
        <v>24</v>
      </c>
      <c r="AC3245" t="s">
        <v>192</v>
      </c>
      <c r="AD3245" t="s">
        <v>142</v>
      </c>
      <c r="AE3245" t="s">
        <v>95</v>
      </c>
      <c r="AF3245" t="s">
        <v>44</v>
      </c>
      <c r="AG3245" t="str">
        <f t="shared" si="61"/>
        <v>Recorrente</v>
      </c>
      <c r="AH3245" t="str">
        <f t="shared" si="62"/>
        <v/>
      </c>
    </row>
    <row r="3246" spans="1:34">
      <c r="A3246">
        <v>2026</v>
      </c>
      <c r="B3246">
        <v>4</v>
      </c>
      <c r="C3246" s="83">
        <v>17128245763</v>
      </c>
      <c r="D3246" t="s">
        <v>2893</v>
      </c>
      <c r="E3246">
        <v>59167131706</v>
      </c>
      <c r="F3246">
        <v>637081</v>
      </c>
      <c r="G3246">
        <v>54282687282</v>
      </c>
      <c r="H3246" t="s">
        <v>35</v>
      </c>
      <c r="I3246" s="36">
        <v>3362.28</v>
      </c>
      <c r="J3246" s="36">
        <v>3362.2721999999999</v>
      </c>
      <c r="K3246" s="85">
        <v>7.7999999999999996E-3</v>
      </c>
      <c r="L3246" s="36">
        <v>280.18934999999999</v>
      </c>
      <c r="M3246" s="36">
        <v>280.18934999999999</v>
      </c>
      <c r="N3246" s="36">
        <v>0</v>
      </c>
      <c r="O3246" s="36">
        <v>0</v>
      </c>
      <c r="P3246" t="s">
        <v>506</v>
      </c>
      <c r="Q3246" t="s">
        <v>300</v>
      </c>
      <c r="R3246" t="s">
        <v>300</v>
      </c>
      <c r="S3246" s="1">
        <v>46126</v>
      </c>
      <c r="T3246" s="1">
        <v>46126</v>
      </c>
      <c r="V3246" s="1">
        <v>46491</v>
      </c>
      <c r="W3246" t="s">
        <v>38</v>
      </c>
      <c r="X3246">
        <v>12</v>
      </c>
      <c r="Y3246" t="s">
        <v>49</v>
      </c>
      <c r="AA3246" t="s">
        <v>117</v>
      </c>
      <c r="AB3246">
        <v>1</v>
      </c>
      <c r="AC3246" t="s">
        <v>301</v>
      </c>
      <c r="AD3246" t="s">
        <v>160</v>
      </c>
      <c r="AE3246" t="s">
        <v>43</v>
      </c>
      <c r="AF3246" t="s">
        <v>44</v>
      </c>
      <c r="AG3246" t="str">
        <f t="shared" si="61"/>
        <v>À Vista</v>
      </c>
      <c r="AH3246" t="str">
        <f t="shared" si="62"/>
        <v/>
      </c>
    </row>
    <row r="3247" spans="1:34">
      <c r="A3247">
        <v>2026</v>
      </c>
      <c r="B3247">
        <v>4</v>
      </c>
      <c r="C3247" s="83">
        <v>171521342126</v>
      </c>
      <c r="D3247" t="s">
        <v>2040</v>
      </c>
      <c r="E3247">
        <v>59458352665</v>
      </c>
      <c r="F3247">
        <v>637517</v>
      </c>
      <c r="G3247">
        <v>54917871910</v>
      </c>
      <c r="H3247" t="s">
        <v>35</v>
      </c>
      <c r="I3247" s="36">
        <v>3740.04</v>
      </c>
      <c r="J3247" s="36">
        <v>3740.1</v>
      </c>
      <c r="K3247" s="85">
        <v>0</v>
      </c>
      <c r="L3247" s="36">
        <v>311.67500000000001</v>
      </c>
      <c r="M3247" s="36">
        <v>0</v>
      </c>
      <c r="N3247" s="36">
        <v>311.67500000000001</v>
      </c>
      <c r="O3247" s="36">
        <v>0</v>
      </c>
      <c r="P3247" t="s">
        <v>469</v>
      </c>
      <c r="Q3247" t="s">
        <v>191</v>
      </c>
      <c r="R3247" t="s">
        <v>191</v>
      </c>
      <c r="S3247" s="1">
        <v>46142</v>
      </c>
      <c r="T3247" s="1">
        <v>46142</v>
      </c>
      <c r="U3247" s="1">
        <v>46456</v>
      </c>
      <c r="V3247" s="1">
        <v>46507</v>
      </c>
      <c r="W3247" t="s">
        <v>38</v>
      </c>
      <c r="X3247">
        <v>12</v>
      </c>
      <c r="Y3247" t="s">
        <v>49</v>
      </c>
      <c r="AA3247" t="s">
        <v>112</v>
      </c>
      <c r="AB3247">
        <v>12</v>
      </c>
      <c r="AC3247" t="s">
        <v>192</v>
      </c>
      <c r="AD3247" t="s">
        <v>85</v>
      </c>
      <c r="AE3247" t="s">
        <v>46</v>
      </c>
      <c r="AF3247" t="s">
        <v>44</v>
      </c>
      <c r="AG3247" t="str">
        <f t="shared" si="61"/>
        <v>CC 12x</v>
      </c>
      <c r="AH3247" t="str">
        <f t="shared" si="62"/>
        <v/>
      </c>
    </row>
    <row r="3248" spans="1:34">
      <c r="A3248">
        <v>2026</v>
      </c>
      <c r="B3248">
        <v>4</v>
      </c>
      <c r="C3248" s="83">
        <v>171597994313</v>
      </c>
      <c r="D3248" t="s">
        <v>2894</v>
      </c>
      <c r="E3248">
        <v>56616497293</v>
      </c>
      <c r="F3248">
        <v>612965</v>
      </c>
      <c r="G3248">
        <v>51894749251</v>
      </c>
      <c r="H3248" t="s">
        <v>35</v>
      </c>
      <c r="I3248" s="36">
        <v>5754</v>
      </c>
      <c r="J3248" s="36">
        <v>5754</v>
      </c>
      <c r="K3248" s="85">
        <v>0</v>
      </c>
      <c r="L3248" s="36">
        <v>479.5</v>
      </c>
      <c r="M3248" s="36">
        <v>0</v>
      </c>
      <c r="N3248" s="36">
        <v>94.45</v>
      </c>
      <c r="O3248" s="36">
        <v>385.05</v>
      </c>
      <c r="P3248" t="s">
        <v>165</v>
      </c>
      <c r="Q3248" t="s">
        <v>166</v>
      </c>
      <c r="R3248" t="s">
        <v>166</v>
      </c>
      <c r="S3248" s="1">
        <v>46117</v>
      </c>
      <c r="T3248" s="1">
        <v>46117</v>
      </c>
      <c r="U3248" s="1">
        <v>46117</v>
      </c>
      <c r="V3248" s="1">
        <v>46482</v>
      </c>
      <c r="W3248" t="s">
        <v>38</v>
      </c>
      <c r="X3248">
        <v>12</v>
      </c>
      <c r="Y3248" t="s">
        <v>49</v>
      </c>
      <c r="Z3248" t="s">
        <v>81</v>
      </c>
      <c r="AA3248" t="s">
        <v>122</v>
      </c>
      <c r="AB3248">
        <v>12</v>
      </c>
      <c r="AC3248" t="s">
        <v>166</v>
      </c>
      <c r="AD3248" t="s">
        <v>85</v>
      </c>
      <c r="AE3248" t="s">
        <v>46</v>
      </c>
      <c r="AF3248" t="s">
        <v>44</v>
      </c>
      <c r="AG3248" t="str">
        <f t="shared" si="61"/>
        <v>Recorrente</v>
      </c>
      <c r="AH3248" t="str">
        <f t="shared" si="62"/>
        <v/>
      </c>
    </row>
    <row r="3249" spans="1:34">
      <c r="A3249">
        <v>2026</v>
      </c>
      <c r="B3249">
        <v>4</v>
      </c>
      <c r="C3249" s="83">
        <v>171772627121</v>
      </c>
      <c r="D3249" t="s">
        <v>2895</v>
      </c>
      <c r="E3249">
        <v>58647083403</v>
      </c>
      <c r="F3249">
        <v>636858</v>
      </c>
      <c r="G3249">
        <v>53854164545</v>
      </c>
      <c r="H3249" t="s">
        <v>35</v>
      </c>
      <c r="I3249" s="36">
        <v>5034</v>
      </c>
      <c r="J3249" s="36">
        <v>5034</v>
      </c>
      <c r="K3249" s="85">
        <v>0</v>
      </c>
      <c r="L3249" s="36">
        <v>419.5</v>
      </c>
      <c r="M3249" s="36">
        <v>419.5</v>
      </c>
      <c r="N3249" s="36">
        <v>0</v>
      </c>
      <c r="O3249" s="36">
        <v>0</v>
      </c>
      <c r="P3249" t="s">
        <v>2004</v>
      </c>
      <c r="Q3249" t="s">
        <v>300</v>
      </c>
      <c r="R3249" t="s">
        <v>300</v>
      </c>
      <c r="S3249" s="1">
        <v>46114</v>
      </c>
      <c r="T3249" s="1">
        <v>46114</v>
      </c>
      <c r="U3249" s="1"/>
      <c r="V3249" s="1">
        <v>46479</v>
      </c>
      <c r="W3249" t="s">
        <v>38</v>
      </c>
      <c r="X3249">
        <v>12</v>
      </c>
      <c r="Y3249" t="s">
        <v>49</v>
      </c>
      <c r="AA3249" t="s">
        <v>122</v>
      </c>
      <c r="AB3249">
        <v>12</v>
      </c>
      <c r="AC3249" t="s">
        <v>301</v>
      </c>
      <c r="AD3249" t="s">
        <v>84</v>
      </c>
      <c r="AE3249" t="s">
        <v>43</v>
      </c>
      <c r="AF3249" t="s">
        <v>44</v>
      </c>
      <c r="AG3249" t="str">
        <f t="shared" si="61"/>
        <v>Recorrente</v>
      </c>
      <c r="AH3249" t="str">
        <f t="shared" si="62"/>
        <v/>
      </c>
    </row>
    <row r="3250" spans="1:34">
      <c r="A3250">
        <v>2026</v>
      </c>
      <c r="B3250">
        <v>4</v>
      </c>
      <c r="C3250" s="83">
        <v>1717786</v>
      </c>
      <c r="D3250" t="s">
        <v>2896</v>
      </c>
      <c r="E3250">
        <v>59246684017</v>
      </c>
      <c r="F3250">
        <v>612209</v>
      </c>
      <c r="G3250">
        <v>54878927147</v>
      </c>
      <c r="H3250" t="s">
        <v>35</v>
      </c>
      <c r="I3250" s="36">
        <v>1954.32</v>
      </c>
      <c r="J3250" s="36">
        <v>1954.32</v>
      </c>
      <c r="K3250" s="85">
        <v>2.2737400000000001E-13</v>
      </c>
      <c r="L3250" s="36">
        <v>162.86000000000001</v>
      </c>
      <c r="M3250" s="36">
        <v>0</v>
      </c>
      <c r="N3250" s="36">
        <v>0.34</v>
      </c>
      <c r="O3250" s="36">
        <v>162.52000000000001</v>
      </c>
      <c r="P3250" t="s">
        <v>116</v>
      </c>
      <c r="Q3250" t="s">
        <v>111</v>
      </c>
      <c r="R3250" t="s">
        <v>111</v>
      </c>
      <c r="S3250" s="1">
        <v>46142</v>
      </c>
      <c r="T3250" s="1">
        <v>46142</v>
      </c>
      <c r="U3250" s="1">
        <v>46142</v>
      </c>
      <c r="V3250" s="1">
        <v>46507</v>
      </c>
      <c r="W3250" t="s">
        <v>38</v>
      </c>
      <c r="X3250">
        <v>12</v>
      </c>
      <c r="Y3250" t="s">
        <v>49</v>
      </c>
      <c r="Z3250" t="s">
        <v>81</v>
      </c>
      <c r="AA3250" t="s">
        <v>117</v>
      </c>
      <c r="AB3250">
        <v>1</v>
      </c>
      <c r="AC3250" t="s">
        <v>113</v>
      </c>
      <c r="AD3250" t="s">
        <v>140</v>
      </c>
      <c r="AE3250" t="s">
        <v>46</v>
      </c>
      <c r="AF3250" t="s">
        <v>119</v>
      </c>
      <c r="AG3250" t="str">
        <f t="shared" si="61"/>
        <v>À Vista</v>
      </c>
      <c r="AH3250" t="str">
        <f t="shared" si="62"/>
        <v/>
      </c>
    </row>
    <row r="3251" spans="1:34">
      <c r="A3251">
        <v>2026</v>
      </c>
      <c r="B3251">
        <v>4</v>
      </c>
      <c r="C3251" s="83">
        <v>172016499837</v>
      </c>
      <c r="D3251" t="s">
        <v>2897</v>
      </c>
      <c r="E3251">
        <v>59469740674</v>
      </c>
      <c r="F3251">
        <v>637244</v>
      </c>
      <c r="G3251">
        <v>54510356339</v>
      </c>
      <c r="H3251" t="s">
        <v>35</v>
      </c>
      <c r="I3251" s="36">
        <v>1724.4</v>
      </c>
      <c r="J3251" s="36">
        <v>1724.4</v>
      </c>
      <c r="K3251" s="85">
        <v>2.2737400000000001E-13</v>
      </c>
      <c r="L3251" s="36">
        <v>143.69999999999999</v>
      </c>
      <c r="M3251" s="36">
        <v>143.69999999999999</v>
      </c>
      <c r="N3251" s="36">
        <v>0</v>
      </c>
      <c r="O3251" s="36">
        <v>0</v>
      </c>
      <c r="P3251" t="s">
        <v>829</v>
      </c>
      <c r="Q3251" t="s">
        <v>300</v>
      </c>
      <c r="R3251" t="s">
        <v>300</v>
      </c>
      <c r="S3251" s="1">
        <v>46135</v>
      </c>
      <c r="T3251" s="1">
        <v>46135</v>
      </c>
      <c r="V3251" s="1">
        <v>46500</v>
      </c>
      <c r="W3251" t="s">
        <v>38</v>
      </c>
      <c r="X3251">
        <v>12</v>
      </c>
      <c r="Y3251" t="s">
        <v>49</v>
      </c>
      <c r="AA3251" t="s">
        <v>112</v>
      </c>
      <c r="AB3251">
        <v>12</v>
      </c>
      <c r="AC3251" t="s">
        <v>301</v>
      </c>
      <c r="AD3251" t="s">
        <v>118</v>
      </c>
      <c r="AE3251" t="s">
        <v>43</v>
      </c>
      <c r="AF3251" t="s">
        <v>119</v>
      </c>
      <c r="AG3251" t="str">
        <f t="shared" si="61"/>
        <v>CC 12x</v>
      </c>
      <c r="AH3251" t="str">
        <f t="shared" si="62"/>
        <v/>
      </c>
    </row>
    <row r="3252" spans="1:34">
      <c r="A3252">
        <v>2026</v>
      </c>
      <c r="B3252">
        <v>4</v>
      </c>
      <c r="C3252" s="83">
        <v>1729731</v>
      </c>
      <c r="D3252" t="s">
        <v>2898</v>
      </c>
      <c r="E3252">
        <v>59224839744</v>
      </c>
      <c r="F3252">
        <v>637122</v>
      </c>
      <c r="G3252">
        <v>54357578416</v>
      </c>
      <c r="H3252" t="s">
        <v>104</v>
      </c>
      <c r="I3252" s="36">
        <v>718.8</v>
      </c>
      <c r="J3252" s="36">
        <v>718.8</v>
      </c>
      <c r="K3252" s="85">
        <v>0</v>
      </c>
      <c r="L3252" s="36">
        <v>59.9</v>
      </c>
      <c r="M3252" s="36">
        <v>59.9</v>
      </c>
      <c r="N3252" s="36">
        <v>0</v>
      </c>
      <c r="O3252" s="36">
        <v>0</v>
      </c>
      <c r="P3252" t="s">
        <v>497</v>
      </c>
      <c r="Q3252" t="s">
        <v>498</v>
      </c>
      <c r="R3252" t="s">
        <v>498</v>
      </c>
      <c r="S3252" s="1">
        <v>46128</v>
      </c>
      <c r="T3252" s="1">
        <v>46128</v>
      </c>
      <c r="U3252" s="1"/>
      <c r="V3252" s="1">
        <v>46493</v>
      </c>
      <c r="W3252" t="s">
        <v>38</v>
      </c>
      <c r="X3252">
        <v>12</v>
      </c>
      <c r="Y3252" t="s">
        <v>49</v>
      </c>
      <c r="AA3252" t="s">
        <v>112</v>
      </c>
      <c r="AB3252">
        <v>12</v>
      </c>
      <c r="AC3252" t="s">
        <v>499</v>
      </c>
      <c r="AD3252" t="s">
        <v>105</v>
      </c>
      <c r="AE3252" t="s">
        <v>106</v>
      </c>
      <c r="AF3252" t="s">
        <v>59</v>
      </c>
      <c r="AG3252" t="str">
        <f t="shared" si="61"/>
        <v>CC 12x</v>
      </c>
      <c r="AH3252" t="str">
        <f t="shared" si="62"/>
        <v/>
      </c>
    </row>
    <row r="3253" spans="1:34">
      <c r="A3253">
        <v>2026</v>
      </c>
      <c r="B3253">
        <v>4</v>
      </c>
      <c r="C3253" s="83">
        <v>173951699269</v>
      </c>
      <c r="D3253" t="s">
        <v>2899</v>
      </c>
      <c r="E3253">
        <v>59774625189</v>
      </c>
      <c r="F3253">
        <v>637457</v>
      </c>
      <c r="G3253">
        <v>54878860560</v>
      </c>
      <c r="H3253" t="s">
        <v>35</v>
      </c>
      <c r="I3253" s="36">
        <v>2400.12</v>
      </c>
      <c r="J3253" s="36">
        <v>2400.0774000000001</v>
      </c>
      <c r="K3253" s="85">
        <v>4.2599999999999999E-2</v>
      </c>
      <c r="L3253" s="36">
        <v>200.00645</v>
      </c>
      <c r="M3253" s="36">
        <v>0</v>
      </c>
      <c r="N3253" s="36">
        <v>200.00645</v>
      </c>
      <c r="O3253" s="36">
        <v>0</v>
      </c>
      <c r="P3253" t="s">
        <v>190</v>
      </c>
      <c r="Q3253" t="s">
        <v>191</v>
      </c>
      <c r="R3253" t="s">
        <v>191</v>
      </c>
      <c r="S3253" s="1">
        <v>46141</v>
      </c>
      <c r="T3253" s="1">
        <v>46141</v>
      </c>
      <c r="U3253" s="1"/>
      <c r="V3253" s="1">
        <v>46506</v>
      </c>
      <c r="W3253" t="s">
        <v>38</v>
      </c>
      <c r="X3253">
        <v>12</v>
      </c>
      <c r="Y3253" t="s">
        <v>49</v>
      </c>
      <c r="AA3253" t="s">
        <v>122</v>
      </c>
      <c r="AB3253">
        <v>12</v>
      </c>
      <c r="AC3253" t="s">
        <v>192</v>
      </c>
      <c r="AD3253" t="s">
        <v>118</v>
      </c>
      <c r="AE3253" t="s">
        <v>43</v>
      </c>
      <c r="AF3253" t="s">
        <v>119</v>
      </c>
      <c r="AG3253" t="str">
        <f t="shared" si="61"/>
        <v>Recorrente</v>
      </c>
      <c r="AH3253" t="str">
        <f t="shared" si="62"/>
        <v/>
      </c>
    </row>
    <row r="3254" spans="1:34">
      <c r="A3254">
        <v>2026</v>
      </c>
      <c r="B3254">
        <v>4</v>
      </c>
      <c r="C3254" s="83">
        <v>174095405396</v>
      </c>
      <c r="D3254" t="s">
        <v>2900</v>
      </c>
      <c r="E3254">
        <v>58376544133</v>
      </c>
      <c r="F3254">
        <v>313806</v>
      </c>
      <c r="G3254">
        <v>54509622287</v>
      </c>
      <c r="H3254" t="s">
        <v>35</v>
      </c>
      <c r="I3254" s="36">
        <v>6293.64</v>
      </c>
      <c r="J3254" s="36">
        <v>6293.64</v>
      </c>
      <c r="K3254" s="85">
        <v>0</v>
      </c>
      <c r="L3254" s="36">
        <v>524.47</v>
      </c>
      <c r="M3254" s="36">
        <v>0</v>
      </c>
      <c r="N3254" s="36">
        <v>94.121250000000003</v>
      </c>
      <c r="O3254" s="36">
        <v>430.35</v>
      </c>
      <c r="P3254" t="s">
        <v>137</v>
      </c>
      <c r="Q3254" t="s">
        <v>111</v>
      </c>
      <c r="R3254" t="s">
        <v>111</v>
      </c>
      <c r="S3254" s="1">
        <v>46134</v>
      </c>
      <c r="T3254" s="1">
        <v>46134</v>
      </c>
      <c r="U3254" s="1">
        <v>46137</v>
      </c>
      <c r="V3254" s="1">
        <v>46502</v>
      </c>
      <c r="W3254" t="s">
        <v>38</v>
      </c>
      <c r="X3254">
        <v>12</v>
      </c>
      <c r="Y3254" t="s">
        <v>49</v>
      </c>
      <c r="Z3254" t="s">
        <v>81</v>
      </c>
      <c r="AA3254" t="s">
        <v>122</v>
      </c>
      <c r="AB3254">
        <v>12</v>
      </c>
      <c r="AC3254" t="s">
        <v>113</v>
      </c>
      <c r="AD3254" t="s">
        <v>125</v>
      </c>
      <c r="AE3254" t="s">
        <v>43</v>
      </c>
      <c r="AF3254" t="s">
        <v>47</v>
      </c>
      <c r="AG3254" t="str">
        <f t="shared" si="61"/>
        <v>Recorrente</v>
      </c>
      <c r="AH3254" t="str">
        <f t="shared" si="62"/>
        <v/>
      </c>
    </row>
    <row r="3255" spans="1:34">
      <c r="A3255">
        <v>2026</v>
      </c>
      <c r="B3255">
        <v>4</v>
      </c>
      <c r="C3255" s="83">
        <v>174403190825</v>
      </c>
      <c r="D3255" t="s">
        <v>2901</v>
      </c>
      <c r="E3255">
        <v>57400296861</v>
      </c>
      <c r="F3255">
        <v>612646</v>
      </c>
      <c r="G3255">
        <v>53857747546</v>
      </c>
      <c r="H3255" t="s">
        <v>35</v>
      </c>
      <c r="I3255" s="36">
        <v>2457.2399999999998</v>
      </c>
      <c r="J3255" s="36">
        <v>2457.2399999999998</v>
      </c>
      <c r="K3255" s="85">
        <v>0</v>
      </c>
      <c r="L3255" s="36">
        <v>204.77</v>
      </c>
      <c r="M3255" s="36">
        <v>0</v>
      </c>
      <c r="N3255" s="36">
        <v>1.6201049999999999</v>
      </c>
      <c r="O3255" s="36">
        <v>203.15</v>
      </c>
      <c r="P3255" t="s">
        <v>116</v>
      </c>
      <c r="Q3255" t="s">
        <v>111</v>
      </c>
      <c r="R3255" t="s">
        <v>111</v>
      </c>
      <c r="S3255" s="1">
        <v>46118</v>
      </c>
      <c r="T3255" s="1">
        <v>46118</v>
      </c>
      <c r="U3255" s="1">
        <v>46114</v>
      </c>
      <c r="V3255" s="1">
        <v>46483</v>
      </c>
      <c r="W3255" t="s">
        <v>38</v>
      </c>
      <c r="X3255">
        <v>12</v>
      </c>
      <c r="Y3255" t="s">
        <v>49</v>
      </c>
      <c r="Z3255" t="s">
        <v>81</v>
      </c>
      <c r="AA3255" t="s">
        <v>122</v>
      </c>
      <c r="AB3255">
        <v>12</v>
      </c>
      <c r="AC3255" t="s">
        <v>113</v>
      </c>
      <c r="AD3255" t="s">
        <v>140</v>
      </c>
      <c r="AE3255" t="s">
        <v>46</v>
      </c>
      <c r="AF3255" t="s">
        <v>119</v>
      </c>
      <c r="AG3255" t="str">
        <f t="shared" si="61"/>
        <v>Recorrente</v>
      </c>
      <c r="AH3255" t="str">
        <f t="shared" si="62"/>
        <v/>
      </c>
    </row>
    <row r="3256" spans="1:34">
      <c r="A3256">
        <v>2026</v>
      </c>
      <c r="B3256">
        <v>4</v>
      </c>
      <c r="C3256" s="83">
        <v>174422244997</v>
      </c>
      <c r="D3256" t="s">
        <v>2902</v>
      </c>
      <c r="E3256">
        <v>58001608352</v>
      </c>
      <c r="F3256">
        <v>613057</v>
      </c>
      <c r="G3256">
        <v>54294671167</v>
      </c>
      <c r="H3256" t="s">
        <v>35</v>
      </c>
      <c r="I3256" s="36">
        <v>4411.2</v>
      </c>
      <c r="J3256" s="36">
        <v>4411.2</v>
      </c>
      <c r="K3256" s="85">
        <v>0</v>
      </c>
      <c r="L3256" s="36">
        <v>367.6</v>
      </c>
      <c r="M3256" s="36">
        <v>0</v>
      </c>
      <c r="N3256" s="36">
        <v>2.95</v>
      </c>
      <c r="O3256" s="36">
        <v>364.65</v>
      </c>
      <c r="P3256" t="s">
        <v>116</v>
      </c>
      <c r="Q3256" t="s">
        <v>111</v>
      </c>
      <c r="R3256" t="s">
        <v>111</v>
      </c>
      <c r="S3256" s="1">
        <v>46135</v>
      </c>
      <c r="T3256" s="1">
        <v>46135</v>
      </c>
      <c r="U3256" s="1">
        <v>46126</v>
      </c>
      <c r="V3256" s="1">
        <v>46500</v>
      </c>
      <c r="W3256" t="s">
        <v>38</v>
      </c>
      <c r="X3256">
        <v>12</v>
      </c>
      <c r="Y3256" t="s">
        <v>49</v>
      </c>
      <c r="Z3256" t="s">
        <v>81</v>
      </c>
      <c r="AA3256" t="s">
        <v>122</v>
      </c>
      <c r="AB3256">
        <v>12</v>
      </c>
      <c r="AC3256" t="s">
        <v>113</v>
      </c>
      <c r="AD3256" t="s">
        <v>138</v>
      </c>
      <c r="AE3256" t="s">
        <v>135</v>
      </c>
      <c r="AF3256" t="s">
        <v>119</v>
      </c>
      <c r="AG3256" t="str">
        <f t="shared" si="61"/>
        <v>Recorrente</v>
      </c>
      <c r="AH3256" t="str">
        <f t="shared" si="62"/>
        <v/>
      </c>
    </row>
    <row r="3257" spans="1:34">
      <c r="A3257">
        <v>2026</v>
      </c>
      <c r="B3257">
        <v>4</v>
      </c>
      <c r="C3257" s="83">
        <v>174437807794</v>
      </c>
      <c r="D3257" t="s">
        <v>357</v>
      </c>
      <c r="E3257">
        <v>59830764935</v>
      </c>
      <c r="F3257">
        <v>637519</v>
      </c>
      <c r="G3257">
        <v>54881246324</v>
      </c>
      <c r="H3257" t="s">
        <v>35</v>
      </c>
      <c r="I3257" s="36">
        <v>2471.64</v>
      </c>
      <c r="J3257" s="36">
        <v>2471.64</v>
      </c>
      <c r="K3257" s="85">
        <v>0</v>
      </c>
      <c r="L3257" s="36">
        <v>205.97</v>
      </c>
      <c r="M3257" s="36">
        <v>0</v>
      </c>
      <c r="N3257" s="36">
        <v>205.97</v>
      </c>
      <c r="O3257" s="36">
        <v>0</v>
      </c>
      <c r="P3257" t="s">
        <v>323</v>
      </c>
      <c r="Q3257" t="s">
        <v>191</v>
      </c>
      <c r="R3257" t="s">
        <v>191</v>
      </c>
      <c r="S3257" s="1">
        <v>46142</v>
      </c>
      <c r="T3257" s="1">
        <v>46142</v>
      </c>
      <c r="U3257" s="1">
        <v>46371</v>
      </c>
      <c r="V3257" s="1">
        <v>46507</v>
      </c>
      <c r="W3257" t="s">
        <v>38</v>
      </c>
      <c r="X3257">
        <v>12</v>
      </c>
      <c r="Y3257" t="s">
        <v>49</v>
      </c>
      <c r="AA3257" t="s">
        <v>112</v>
      </c>
      <c r="AB3257">
        <v>12</v>
      </c>
      <c r="AC3257" t="s">
        <v>192</v>
      </c>
      <c r="AD3257" t="s">
        <v>118</v>
      </c>
      <c r="AE3257" t="s">
        <v>43</v>
      </c>
      <c r="AF3257" t="s">
        <v>119</v>
      </c>
      <c r="AG3257" t="str">
        <f t="shared" si="61"/>
        <v>CC 12x</v>
      </c>
      <c r="AH3257" t="str">
        <f t="shared" si="62"/>
        <v/>
      </c>
    </row>
    <row r="3258" spans="1:34">
      <c r="A3258">
        <v>2026</v>
      </c>
      <c r="B3258">
        <v>4</v>
      </c>
      <c r="C3258" s="83">
        <v>174442111926</v>
      </c>
      <c r="D3258" t="s">
        <v>2903</v>
      </c>
      <c r="E3258">
        <v>58598713419</v>
      </c>
      <c r="F3258">
        <v>506795</v>
      </c>
      <c r="G3258">
        <v>54801319507</v>
      </c>
      <c r="H3258" t="s">
        <v>35</v>
      </c>
      <c r="I3258" s="36">
        <v>4863.3599999999997</v>
      </c>
      <c r="J3258" s="36">
        <v>4863.3599999999997</v>
      </c>
      <c r="K3258" s="85">
        <v>0</v>
      </c>
      <c r="L3258" s="36">
        <v>405.28</v>
      </c>
      <c r="M3258" s="36">
        <v>0</v>
      </c>
      <c r="N3258" s="36">
        <v>3.9990000000000001</v>
      </c>
      <c r="O3258" s="36">
        <v>401.28</v>
      </c>
      <c r="P3258" t="s">
        <v>137</v>
      </c>
      <c r="Q3258" t="s">
        <v>111</v>
      </c>
      <c r="R3258" t="s">
        <v>111</v>
      </c>
      <c r="S3258" s="1">
        <v>46140</v>
      </c>
      <c r="T3258" s="1">
        <v>46140</v>
      </c>
      <c r="U3258" s="1">
        <v>46142</v>
      </c>
      <c r="V3258" s="1">
        <v>46507</v>
      </c>
      <c r="W3258" t="s">
        <v>38</v>
      </c>
      <c r="X3258">
        <v>12</v>
      </c>
      <c r="Y3258" t="s">
        <v>49</v>
      </c>
      <c r="Z3258" t="s">
        <v>81</v>
      </c>
      <c r="AA3258" t="s">
        <v>122</v>
      </c>
      <c r="AB3258">
        <v>12</v>
      </c>
      <c r="AC3258" t="s">
        <v>113</v>
      </c>
      <c r="AD3258" t="s">
        <v>138</v>
      </c>
      <c r="AE3258" t="s">
        <v>135</v>
      </c>
      <c r="AF3258" t="s">
        <v>119</v>
      </c>
      <c r="AG3258" t="str">
        <f t="shared" si="61"/>
        <v>Recorrente</v>
      </c>
      <c r="AH3258" t="str">
        <f t="shared" si="62"/>
        <v/>
      </c>
    </row>
    <row r="3259" spans="1:34">
      <c r="A3259">
        <v>2026</v>
      </c>
      <c r="B3259">
        <v>4</v>
      </c>
      <c r="C3259" s="83">
        <v>174880248884</v>
      </c>
      <c r="D3259" t="s">
        <v>2904</v>
      </c>
      <c r="E3259">
        <v>59248164620</v>
      </c>
      <c r="F3259">
        <v>637162</v>
      </c>
      <c r="G3259">
        <v>54372561999</v>
      </c>
      <c r="H3259" t="s">
        <v>35</v>
      </c>
      <c r="I3259" s="36">
        <v>3114</v>
      </c>
      <c r="J3259" s="36">
        <v>3114</v>
      </c>
      <c r="K3259" s="85">
        <v>0</v>
      </c>
      <c r="L3259" s="36">
        <v>259.5</v>
      </c>
      <c r="M3259" s="36">
        <v>259.5</v>
      </c>
      <c r="N3259" s="36">
        <v>0</v>
      </c>
      <c r="O3259" s="36">
        <v>0</v>
      </c>
      <c r="P3259" t="s">
        <v>506</v>
      </c>
      <c r="Q3259" t="s">
        <v>300</v>
      </c>
      <c r="R3259" t="s">
        <v>300</v>
      </c>
      <c r="S3259" s="1">
        <v>46128</v>
      </c>
      <c r="T3259" s="1">
        <v>46128</v>
      </c>
      <c r="U3259" s="1"/>
      <c r="V3259" s="1"/>
      <c r="W3259" t="s">
        <v>2733</v>
      </c>
      <c r="Y3259" t="s">
        <v>49</v>
      </c>
      <c r="AA3259" t="s">
        <v>122</v>
      </c>
      <c r="AB3259">
        <v>12</v>
      </c>
      <c r="AC3259" t="s">
        <v>301</v>
      </c>
      <c r="AD3259" t="s">
        <v>2734</v>
      </c>
      <c r="AE3259" t="s">
        <v>106</v>
      </c>
      <c r="AF3259" t="s">
        <v>59</v>
      </c>
      <c r="AG3259" t="str">
        <f t="shared" si="61"/>
        <v>Recorrente</v>
      </c>
      <c r="AH3259" t="str">
        <f t="shared" si="62"/>
        <v/>
      </c>
    </row>
    <row r="3260" spans="1:34">
      <c r="A3260">
        <v>2026</v>
      </c>
      <c r="B3260">
        <v>4</v>
      </c>
      <c r="C3260" s="83">
        <v>175129064748</v>
      </c>
      <c r="D3260" t="s">
        <v>2905</v>
      </c>
      <c r="E3260">
        <v>59719212369</v>
      </c>
      <c r="F3260">
        <v>270406</v>
      </c>
      <c r="G3260">
        <v>54880554563</v>
      </c>
      <c r="H3260" t="s">
        <v>35</v>
      </c>
      <c r="I3260" s="36">
        <v>1874.76</v>
      </c>
      <c r="J3260" s="36">
        <v>1874.76</v>
      </c>
      <c r="K3260" s="85">
        <v>2.2737400000000001E-13</v>
      </c>
      <c r="L3260" s="36">
        <v>156.22999999999999</v>
      </c>
      <c r="M3260" s="36">
        <v>0</v>
      </c>
      <c r="N3260" s="36">
        <v>11.83689</v>
      </c>
      <c r="O3260" s="36">
        <v>144.39375000000001</v>
      </c>
      <c r="P3260" t="s">
        <v>116</v>
      </c>
      <c r="Q3260" t="s">
        <v>111</v>
      </c>
      <c r="R3260" t="s">
        <v>111</v>
      </c>
      <c r="S3260" s="1">
        <v>46141</v>
      </c>
      <c r="T3260" s="1">
        <v>46141</v>
      </c>
      <c r="U3260" s="1">
        <v>46140</v>
      </c>
      <c r="V3260" s="1">
        <v>46506</v>
      </c>
      <c r="W3260" t="s">
        <v>38</v>
      </c>
      <c r="X3260">
        <v>12</v>
      </c>
      <c r="Y3260" t="s">
        <v>49</v>
      </c>
      <c r="Z3260" t="s">
        <v>81</v>
      </c>
      <c r="AA3260" t="s">
        <v>112</v>
      </c>
      <c r="AB3260">
        <v>1</v>
      </c>
      <c r="AC3260" t="s">
        <v>113</v>
      </c>
      <c r="AD3260" t="s">
        <v>118</v>
      </c>
      <c r="AE3260" t="s">
        <v>43</v>
      </c>
      <c r="AF3260" t="s">
        <v>119</v>
      </c>
      <c r="AG3260" t="str">
        <f t="shared" si="61"/>
        <v>À Vista</v>
      </c>
      <c r="AH3260" t="str">
        <f t="shared" si="62"/>
        <v/>
      </c>
    </row>
    <row r="3261" spans="1:34">
      <c r="A3261">
        <v>2026</v>
      </c>
      <c r="B3261">
        <v>4</v>
      </c>
      <c r="C3261" s="83">
        <v>175129064748</v>
      </c>
      <c r="D3261" t="s">
        <v>2905</v>
      </c>
      <c r="E3261">
        <v>59719212369</v>
      </c>
      <c r="F3261">
        <v>270406</v>
      </c>
      <c r="G3261">
        <v>54880554564</v>
      </c>
      <c r="H3261" t="s">
        <v>35</v>
      </c>
      <c r="I3261" s="36">
        <v>1874.76</v>
      </c>
      <c r="J3261" s="36">
        <v>1874.76</v>
      </c>
      <c r="K3261" s="85">
        <v>2.2737400000000001E-13</v>
      </c>
      <c r="L3261" s="36">
        <v>156.22999999999999</v>
      </c>
      <c r="M3261" s="36">
        <v>0</v>
      </c>
      <c r="N3261" s="36">
        <v>11.83689</v>
      </c>
      <c r="O3261" s="36">
        <v>144.39375000000001</v>
      </c>
      <c r="P3261" t="s">
        <v>116</v>
      </c>
      <c r="Q3261" t="s">
        <v>111</v>
      </c>
      <c r="R3261" t="s">
        <v>111</v>
      </c>
      <c r="S3261" s="1">
        <v>46141</v>
      </c>
      <c r="T3261" s="1">
        <v>46141</v>
      </c>
      <c r="U3261" s="1">
        <v>46140</v>
      </c>
      <c r="V3261" s="1">
        <v>46506</v>
      </c>
      <c r="W3261" t="s">
        <v>38</v>
      </c>
      <c r="X3261">
        <v>12</v>
      </c>
      <c r="Y3261" t="s">
        <v>49</v>
      </c>
      <c r="Z3261" t="s">
        <v>81</v>
      </c>
      <c r="AA3261" t="s">
        <v>112</v>
      </c>
      <c r="AB3261">
        <v>1</v>
      </c>
      <c r="AC3261" t="s">
        <v>113</v>
      </c>
      <c r="AD3261" t="s">
        <v>140</v>
      </c>
      <c r="AE3261" t="s">
        <v>46</v>
      </c>
      <c r="AF3261" t="s">
        <v>119</v>
      </c>
      <c r="AG3261" t="str">
        <f t="shared" si="61"/>
        <v>À Vista</v>
      </c>
      <c r="AH3261" t="str">
        <f t="shared" si="62"/>
        <v/>
      </c>
    </row>
    <row r="3262" spans="1:34">
      <c r="A3262">
        <v>2026</v>
      </c>
      <c r="B3262">
        <v>4</v>
      </c>
      <c r="C3262" s="83">
        <v>175758873398</v>
      </c>
      <c r="D3262" t="s">
        <v>2906</v>
      </c>
      <c r="E3262">
        <v>59762956138</v>
      </c>
      <c r="F3262">
        <v>629184</v>
      </c>
      <c r="G3262">
        <v>54880581172</v>
      </c>
      <c r="H3262" t="s">
        <v>35</v>
      </c>
      <c r="I3262" s="36">
        <v>7553.4</v>
      </c>
      <c r="J3262" s="36">
        <v>7553.4</v>
      </c>
      <c r="K3262" s="85">
        <v>0</v>
      </c>
      <c r="L3262" s="36">
        <v>629.45000000000005</v>
      </c>
      <c r="M3262" s="36">
        <v>0</v>
      </c>
      <c r="N3262" s="36">
        <v>64.096249999999998</v>
      </c>
      <c r="O3262" s="36">
        <v>565.35</v>
      </c>
      <c r="P3262" t="s">
        <v>110</v>
      </c>
      <c r="Q3262" t="s">
        <v>111</v>
      </c>
      <c r="R3262" t="s">
        <v>111</v>
      </c>
      <c r="S3262" s="1">
        <v>46141</v>
      </c>
      <c r="T3262" s="1">
        <v>46141</v>
      </c>
      <c r="U3262" s="1">
        <v>46136</v>
      </c>
      <c r="V3262" s="1">
        <v>46506</v>
      </c>
      <c r="W3262" t="s">
        <v>38</v>
      </c>
      <c r="X3262">
        <v>12</v>
      </c>
      <c r="Y3262" t="s">
        <v>49</v>
      </c>
      <c r="Z3262" t="s">
        <v>81</v>
      </c>
      <c r="AA3262" t="s">
        <v>112</v>
      </c>
      <c r="AB3262">
        <v>12</v>
      </c>
      <c r="AC3262" t="s">
        <v>113</v>
      </c>
      <c r="AD3262" t="s">
        <v>134</v>
      </c>
      <c r="AE3262" t="s">
        <v>135</v>
      </c>
      <c r="AF3262" t="s">
        <v>44</v>
      </c>
      <c r="AG3262" t="str">
        <f t="shared" si="61"/>
        <v>CC 12x</v>
      </c>
      <c r="AH3262" t="str">
        <f t="shared" si="62"/>
        <v/>
      </c>
    </row>
    <row r="3263" spans="1:34">
      <c r="A3263">
        <v>2026</v>
      </c>
      <c r="B3263">
        <v>4</v>
      </c>
      <c r="C3263" s="83">
        <v>1779916</v>
      </c>
      <c r="D3263" t="s">
        <v>2907</v>
      </c>
      <c r="E3263">
        <v>56839412493</v>
      </c>
      <c r="F3263">
        <v>628419</v>
      </c>
      <c r="G3263">
        <v>52054081907</v>
      </c>
      <c r="H3263" t="s">
        <v>35</v>
      </c>
      <c r="I3263" s="36">
        <v>2874</v>
      </c>
      <c r="J3263" s="36">
        <v>2874</v>
      </c>
      <c r="K3263" s="85">
        <v>0</v>
      </c>
      <c r="L3263" s="36">
        <v>239.5</v>
      </c>
      <c r="M3263" s="36">
        <v>0</v>
      </c>
      <c r="N3263" s="36">
        <v>36.35</v>
      </c>
      <c r="O3263" s="36">
        <v>203.15</v>
      </c>
      <c r="P3263" t="s">
        <v>165</v>
      </c>
      <c r="Q3263" t="s">
        <v>166</v>
      </c>
      <c r="R3263" t="s">
        <v>166</v>
      </c>
      <c r="S3263" s="1">
        <v>46121</v>
      </c>
      <c r="T3263" s="1">
        <v>46121</v>
      </c>
      <c r="U3263" s="1">
        <v>46121</v>
      </c>
      <c r="V3263" s="1">
        <v>46486</v>
      </c>
      <c r="W3263" t="s">
        <v>38</v>
      </c>
      <c r="X3263">
        <v>12</v>
      </c>
      <c r="Y3263" t="s">
        <v>49</v>
      </c>
      <c r="Z3263" t="s">
        <v>81</v>
      </c>
      <c r="AA3263" t="s">
        <v>112</v>
      </c>
      <c r="AB3263">
        <v>12</v>
      </c>
      <c r="AC3263" t="s">
        <v>166</v>
      </c>
      <c r="AD3263" t="s">
        <v>118</v>
      </c>
      <c r="AE3263" t="s">
        <v>43</v>
      </c>
      <c r="AF3263" t="s">
        <v>119</v>
      </c>
      <c r="AG3263" t="str">
        <f t="shared" si="61"/>
        <v>CC 12x</v>
      </c>
      <c r="AH3263" t="str">
        <f t="shared" si="62"/>
        <v/>
      </c>
    </row>
    <row r="3264" spans="1:34">
      <c r="A3264">
        <v>2026</v>
      </c>
      <c r="B3264">
        <v>4</v>
      </c>
      <c r="C3264" s="83">
        <v>17888130198</v>
      </c>
      <c r="D3264" t="s">
        <v>2908</v>
      </c>
      <c r="E3264">
        <v>59237021055</v>
      </c>
      <c r="F3264">
        <v>637167</v>
      </c>
      <c r="G3264">
        <v>54377586799</v>
      </c>
      <c r="H3264" t="s">
        <v>35</v>
      </c>
      <c r="I3264" s="36">
        <v>259.5</v>
      </c>
      <c r="J3264" s="36">
        <v>3114</v>
      </c>
      <c r="K3264" s="85">
        <v>0</v>
      </c>
      <c r="L3264" s="36">
        <v>259.5</v>
      </c>
      <c r="M3264" s="36">
        <v>259.5</v>
      </c>
      <c r="N3264" s="36">
        <v>0</v>
      </c>
      <c r="O3264" s="36">
        <v>0</v>
      </c>
      <c r="P3264" t="s">
        <v>506</v>
      </c>
      <c r="Q3264" t="s">
        <v>300</v>
      </c>
      <c r="R3264" t="s">
        <v>300</v>
      </c>
      <c r="S3264" s="1">
        <v>46129</v>
      </c>
      <c r="T3264" s="1">
        <v>46129</v>
      </c>
      <c r="W3264" t="s">
        <v>2733</v>
      </c>
      <c r="Y3264" t="s">
        <v>49</v>
      </c>
      <c r="AA3264" t="s">
        <v>122</v>
      </c>
      <c r="AB3264">
        <v>12</v>
      </c>
      <c r="AC3264" t="s">
        <v>301</v>
      </c>
      <c r="AD3264" t="s">
        <v>2734</v>
      </c>
      <c r="AE3264" t="s">
        <v>106</v>
      </c>
      <c r="AF3264" t="s">
        <v>59</v>
      </c>
      <c r="AG3264" t="str">
        <f t="shared" si="61"/>
        <v>Recorrente</v>
      </c>
      <c r="AH3264" t="str">
        <f t="shared" si="62"/>
        <v/>
      </c>
    </row>
    <row r="3265" spans="1:34">
      <c r="A3265">
        <v>2026</v>
      </c>
      <c r="B3265">
        <v>4</v>
      </c>
      <c r="C3265" s="83">
        <v>179140971374</v>
      </c>
      <c r="D3265" t="s">
        <v>2909</v>
      </c>
      <c r="E3265">
        <v>59723607921</v>
      </c>
      <c r="F3265">
        <v>637381</v>
      </c>
      <c r="G3265">
        <v>54781472340</v>
      </c>
      <c r="H3265" t="s">
        <v>35</v>
      </c>
      <c r="I3265" s="36">
        <v>4140</v>
      </c>
      <c r="J3265" s="36">
        <v>4140</v>
      </c>
      <c r="K3265" s="85">
        <v>0</v>
      </c>
      <c r="L3265" s="36">
        <v>345</v>
      </c>
      <c r="M3265" s="36">
        <v>345</v>
      </c>
      <c r="N3265" s="36">
        <v>0</v>
      </c>
      <c r="O3265" s="36">
        <v>0</v>
      </c>
      <c r="P3265" t="s">
        <v>511</v>
      </c>
      <c r="Q3265" t="s">
        <v>300</v>
      </c>
      <c r="R3265" t="s">
        <v>300</v>
      </c>
      <c r="S3265" s="1">
        <v>46139</v>
      </c>
      <c r="T3265" s="1">
        <v>46139</v>
      </c>
      <c r="U3265" s="1"/>
      <c r="V3265" s="1">
        <v>46504</v>
      </c>
      <c r="W3265" t="s">
        <v>38</v>
      </c>
      <c r="X3265">
        <v>12</v>
      </c>
      <c r="Y3265" t="s">
        <v>49</v>
      </c>
      <c r="AA3265" t="s">
        <v>112</v>
      </c>
      <c r="AB3265">
        <v>12</v>
      </c>
      <c r="AC3265" t="s">
        <v>301</v>
      </c>
      <c r="AD3265" t="s">
        <v>84</v>
      </c>
      <c r="AE3265" t="s">
        <v>43</v>
      </c>
      <c r="AF3265" t="s">
        <v>44</v>
      </c>
      <c r="AG3265" t="str">
        <f t="shared" ref="AG3265:AG3328" si="63">IF(IFERROR(SEARCH("Recorrente",AA3265),0)&gt;0,"Recorrente",IF(AB3265=1,"À Vista",IF(AB3265&lt;=3,"CC 3x",IF(AB3265&lt;=12,"CC 12x",IF(AB3265&gt;12,"Recorrente","")))))</f>
        <v>CC 12x</v>
      </c>
      <c r="AH3265" t="str">
        <f t="shared" ref="AH3265:AH3328" si="64">IF(AND(SUMIF(E:E,E3265,I:I)&gt;=400000,Q3265="B2G"),"n","")</f>
        <v/>
      </c>
    </row>
    <row r="3266" spans="1:34">
      <c r="A3266">
        <v>2026</v>
      </c>
      <c r="B3266">
        <v>4</v>
      </c>
      <c r="C3266" s="83">
        <v>179270265496</v>
      </c>
      <c r="D3266" t="s">
        <v>2910</v>
      </c>
      <c r="E3266">
        <v>59136758569</v>
      </c>
      <c r="F3266">
        <v>637048</v>
      </c>
      <c r="G3266">
        <v>54262758696</v>
      </c>
      <c r="H3266" t="s">
        <v>104</v>
      </c>
      <c r="I3266" s="36">
        <v>718.8</v>
      </c>
      <c r="J3266" s="36">
        <v>718.8</v>
      </c>
      <c r="K3266" s="85">
        <v>0</v>
      </c>
      <c r="L3266" s="36">
        <v>59.9</v>
      </c>
      <c r="M3266" s="36">
        <v>59.9</v>
      </c>
      <c r="N3266" s="36">
        <v>0</v>
      </c>
      <c r="O3266" s="36">
        <v>0</v>
      </c>
      <c r="P3266" t="s">
        <v>497</v>
      </c>
      <c r="Q3266" t="s">
        <v>498</v>
      </c>
      <c r="R3266" t="s">
        <v>498</v>
      </c>
      <c r="S3266" s="1">
        <v>46125</v>
      </c>
      <c r="T3266" s="1">
        <v>46125</v>
      </c>
      <c r="U3266" s="1"/>
      <c r="V3266" s="1">
        <v>46490</v>
      </c>
      <c r="W3266" t="s">
        <v>38</v>
      </c>
      <c r="X3266">
        <v>12</v>
      </c>
      <c r="Y3266" t="s">
        <v>49</v>
      </c>
      <c r="AA3266" t="s">
        <v>112</v>
      </c>
      <c r="AB3266">
        <v>12</v>
      </c>
      <c r="AC3266" t="s">
        <v>499</v>
      </c>
      <c r="AD3266" t="s">
        <v>105</v>
      </c>
      <c r="AE3266" t="s">
        <v>106</v>
      </c>
      <c r="AF3266" t="s">
        <v>59</v>
      </c>
      <c r="AG3266" t="str">
        <f t="shared" si="63"/>
        <v>CC 12x</v>
      </c>
      <c r="AH3266" t="str">
        <f t="shared" si="64"/>
        <v/>
      </c>
    </row>
    <row r="3267" spans="1:34">
      <c r="A3267">
        <v>2026</v>
      </c>
      <c r="B3267">
        <v>4</v>
      </c>
      <c r="C3267" s="83">
        <v>179519498853</v>
      </c>
      <c r="D3267" t="s">
        <v>2911</v>
      </c>
      <c r="E3267">
        <v>58634181751</v>
      </c>
      <c r="F3267">
        <v>627302</v>
      </c>
      <c r="G3267">
        <v>53850852023</v>
      </c>
      <c r="H3267" t="s">
        <v>35</v>
      </c>
      <c r="I3267" s="36">
        <v>2586.6</v>
      </c>
      <c r="J3267" s="36">
        <v>2586.6</v>
      </c>
      <c r="K3267" s="85">
        <v>0</v>
      </c>
      <c r="L3267" s="36">
        <v>215.55</v>
      </c>
      <c r="M3267" s="36">
        <v>0</v>
      </c>
      <c r="N3267" s="36">
        <v>12.4</v>
      </c>
      <c r="O3267" s="36">
        <v>203.15</v>
      </c>
      <c r="P3267" t="s">
        <v>133</v>
      </c>
      <c r="Q3267" t="s">
        <v>111</v>
      </c>
      <c r="R3267" t="s">
        <v>111</v>
      </c>
      <c r="S3267" s="1">
        <v>46114</v>
      </c>
      <c r="T3267" s="1">
        <v>46114</v>
      </c>
      <c r="U3267" s="1">
        <v>46093</v>
      </c>
      <c r="V3267" s="1">
        <v>46479</v>
      </c>
      <c r="W3267" t="s">
        <v>38</v>
      </c>
      <c r="X3267">
        <v>13</v>
      </c>
      <c r="Y3267" t="s">
        <v>49</v>
      </c>
      <c r="Z3267" t="s">
        <v>81</v>
      </c>
      <c r="AA3267" t="s">
        <v>122</v>
      </c>
      <c r="AB3267">
        <v>12</v>
      </c>
      <c r="AC3267" t="s">
        <v>113</v>
      </c>
      <c r="AD3267" t="s">
        <v>140</v>
      </c>
      <c r="AE3267" t="s">
        <v>46</v>
      </c>
      <c r="AF3267" t="s">
        <v>119</v>
      </c>
      <c r="AG3267" t="str">
        <f t="shared" si="63"/>
        <v>Recorrente</v>
      </c>
      <c r="AH3267" t="str">
        <f t="shared" si="64"/>
        <v/>
      </c>
    </row>
    <row r="3268" spans="1:34">
      <c r="A3268">
        <v>2026</v>
      </c>
      <c r="B3268">
        <v>4</v>
      </c>
      <c r="C3268" s="83">
        <v>181717328665</v>
      </c>
      <c r="D3268" t="s">
        <v>2912</v>
      </c>
      <c r="E3268">
        <v>59086377823</v>
      </c>
      <c r="F3268">
        <v>628154</v>
      </c>
      <c r="G3268">
        <v>54150114990</v>
      </c>
      <c r="H3268" t="s">
        <v>35</v>
      </c>
      <c r="I3268" s="36">
        <v>3721.92</v>
      </c>
      <c r="J3268" s="36">
        <v>3721.92</v>
      </c>
      <c r="K3268" s="85">
        <v>0</v>
      </c>
      <c r="L3268" s="36">
        <v>310.16000000000003</v>
      </c>
      <c r="M3268" s="36">
        <v>0</v>
      </c>
      <c r="N3268" s="36">
        <v>52.762500000000003</v>
      </c>
      <c r="O3268" s="36">
        <v>257.39999999999998</v>
      </c>
      <c r="P3268" t="s">
        <v>110</v>
      </c>
      <c r="Q3268" t="s">
        <v>111</v>
      </c>
      <c r="R3268" t="s">
        <v>111</v>
      </c>
      <c r="S3268" s="1">
        <v>46127</v>
      </c>
      <c r="T3268" s="1">
        <v>46127</v>
      </c>
      <c r="U3268" s="1">
        <v>46114</v>
      </c>
      <c r="V3268" s="1">
        <v>46492</v>
      </c>
      <c r="W3268" t="s">
        <v>38</v>
      </c>
      <c r="X3268">
        <v>12</v>
      </c>
      <c r="Y3268" t="s">
        <v>49</v>
      </c>
      <c r="Z3268" t="s">
        <v>81</v>
      </c>
      <c r="AA3268" t="s">
        <v>122</v>
      </c>
      <c r="AB3268">
        <v>12</v>
      </c>
      <c r="AC3268" t="s">
        <v>113</v>
      </c>
      <c r="AD3268" t="s">
        <v>138</v>
      </c>
      <c r="AE3268" t="s">
        <v>135</v>
      </c>
      <c r="AF3268" t="s">
        <v>119</v>
      </c>
      <c r="AG3268" t="str">
        <f t="shared" si="63"/>
        <v>Recorrente</v>
      </c>
      <c r="AH3268" t="str">
        <f t="shared" si="64"/>
        <v/>
      </c>
    </row>
    <row r="3269" spans="1:34">
      <c r="A3269">
        <v>2026</v>
      </c>
      <c r="B3269">
        <v>4</v>
      </c>
      <c r="C3269" s="83">
        <v>181852349202</v>
      </c>
      <c r="D3269" t="s">
        <v>2913</v>
      </c>
      <c r="E3269">
        <v>59322694440</v>
      </c>
      <c r="F3269">
        <v>637186</v>
      </c>
      <c r="G3269">
        <v>54381783108</v>
      </c>
      <c r="H3269" t="s">
        <v>35</v>
      </c>
      <c r="I3269" s="36">
        <v>8388</v>
      </c>
      <c r="J3269" s="36">
        <v>8388</v>
      </c>
      <c r="K3269" s="85">
        <v>0</v>
      </c>
      <c r="L3269" s="36">
        <v>699</v>
      </c>
      <c r="M3269" s="36">
        <v>699</v>
      </c>
      <c r="N3269" s="36">
        <v>0</v>
      </c>
      <c r="O3269" s="36">
        <v>0</v>
      </c>
      <c r="P3269" t="s">
        <v>511</v>
      </c>
      <c r="Q3269" t="s">
        <v>300</v>
      </c>
      <c r="R3269" t="s">
        <v>300</v>
      </c>
      <c r="S3269" s="1">
        <v>46129</v>
      </c>
      <c r="T3269" s="1">
        <v>46129</v>
      </c>
      <c r="V3269" s="1">
        <v>46494</v>
      </c>
      <c r="W3269" t="s">
        <v>38</v>
      </c>
      <c r="X3269">
        <v>12</v>
      </c>
      <c r="Y3269" t="s">
        <v>49</v>
      </c>
      <c r="AA3269" t="s">
        <v>112</v>
      </c>
      <c r="AB3269">
        <v>12</v>
      </c>
      <c r="AC3269" t="s">
        <v>301</v>
      </c>
      <c r="AD3269" t="s">
        <v>134</v>
      </c>
      <c r="AE3269" t="s">
        <v>135</v>
      </c>
      <c r="AF3269" t="s">
        <v>44</v>
      </c>
      <c r="AG3269" t="str">
        <f t="shared" si="63"/>
        <v>CC 12x</v>
      </c>
      <c r="AH3269" t="str">
        <f t="shared" si="64"/>
        <v/>
      </c>
    </row>
    <row r="3270" spans="1:34">
      <c r="A3270">
        <v>2026</v>
      </c>
      <c r="B3270">
        <v>4</v>
      </c>
      <c r="C3270" s="83">
        <v>182154825343</v>
      </c>
      <c r="D3270" t="s">
        <v>2914</v>
      </c>
      <c r="E3270">
        <v>59774612291</v>
      </c>
      <c r="F3270">
        <v>637538</v>
      </c>
      <c r="G3270">
        <v>54947502433</v>
      </c>
      <c r="H3270" t="s">
        <v>35</v>
      </c>
      <c r="I3270" s="36">
        <v>3865.44</v>
      </c>
      <c r="J3270" s="36">
        <v>3865.5</v>
      </c>
      <c r="K3270" s="85">
        <v>0</v>
      </c>
      <c r="L3270" s="36">
        <v>322.125</v>
      </c>
      <c r="M3270" s="36">
        <v>322.125</v>
      </c>
      <c r="N3270" s="36">
        <v>0</v>
      </c>
      <c r="O3270" s="36">
        <v>0</v>
      </c>
      <c r="P3270" t="s">
        <v>506</v>
      </c>
      <c r="Q3270" t="s">
        <v>300</v>
      </c>
      <c r="R3270" t="s">
        <v>300</v>
      </c>
      <c r="S3270" s="1">
        <v>46142</v>
      </c>
      <c r="T3270" s="1">
        <v>46142</v>
      </c>
      <c r="V3270" s="1">
        <v>46507</v>
      </c>
      <c r="W3270" t="s">
        <v>38</v>
      </c>
      <c r="X3270">
        <v>12</v>
      </c>
      <c r="Y3270" t="s">
        <v>49</v>
      </c>
      <c r="AA3270" t="s">
        <v>117</v>
      </c>
      <c r="AB3270">
        <v>1</v>
      </c>
      <c r="AC3270" t="s">
        <v>301</v>
      </c>
      <c r="AD3270" t="s">
        <v>229</v>
      </c>
      <c r="AE3270" t="s">
        <v>43</v>
      </c>
      <c r="AF3270" t="s">
        <v>96</v>
      </c>
      <c r="AG3270" t="str">
        <f t="shared" si="63"/>
        <v>À Vista</v>
      </c>
      <c r="AH3270" t="str">
        <f t="shared" si="64"/>
        <v/>
      </c>
    </row>
    <row r="3271" spans="1:34">
      <c r="A3271">
        <v>2026</v>
      </c>
      <c r="B3271">
        <v>4</v>
      </c>
      <c r="C3271" s="83">
        <v>183372187210</v>
      </c>
      <c r="D3271" t="s">
        <v>2915</v>
      </c>
      <c r="E3271">
        <v>59136100489</v>
      </c>
      <c r="F3271">
        <v>532580</v>
      </c>
      <c r="G3271">
        <v>54290508695</v>
      </c>
      <c r="H3271" t="s">
        <v>35</v>
      </c>
      <c r="I3271" s="36">
        <v>3942.84</v>
      </c>
      <c r="J3271" s="36">
        <v>3942.84</v>
      </c>
      <c r="K3271" s="85">
        <v>0</v>
      </c>
      <c r="L3271" s="36">
        <v>328.57</v>
      </c>
      <c r="M3271" s="36">
        <v>0</v>
      </c>
      <c r="N3271" s="36">
        <v>17.727499999999999</v>
      </c>
      <c r="O3271" s="36">
        <v>310.83999999999997</v>
      </c>
      <c r="P3271" t="s">
        <v>137</v>
      </c>
      <c r="Q3271" t="s">
        <v>111</v>
      </c>
      <c r="R3271" t="s">
        <v>111</v>
      </c>
      <c r="S3271" s="1">
        <v>46127</v>
      </c>
      <c r="T3271" s="1">
        <v>46127</v>
      </c>
      <c r="U3271" s="1">
        <v>46124</v>
      </c>
      <c r="V3271" s="1">
        <v>46492</v>
      </c>
      <c r="W3271" t="s">
        <v>38</v>
      </c>
      <c r="X3271">
        <v>12</v>
      </c>
      <c r="Y3271" t="s">
        <v>49</v>
      </c>
      <c r="Z3271" t="s">
        <v>81</v>
      </c>
      <c r="AA3271" t="s">
        <v>112</v>
      </c>
      <c r="AB3271">
        <v>12</v>
      </c>
      <c r="AC3271" t="s">
        <v>113</v>
      </c>
      <c r="AD3271" t="s">
        <v>163</v>
      </c>
      <c r="AE3271" t="s">
        <v>43</v>
      </c>
      <c r="AF3271" t="s">
        <v>96</v>
      </c>
      <c r="AG3271" t="str">
        <f t="shared" si="63"/>
        <v>CC 12x</v>
      </c>
      <c r="AH3271" t="str">
        <f t="shared" si="64"/>
        <v/>
      </c>
    </row>
    <row r="3272" spans="1:34">
      <c r="A3272">
        <v>2026</v>
      </c>
      <c r="B3272">
        <v>4</v>
      </c>
      <c r="C3272" s="83">
        <v>183704285526</v>
      </c>
      <c r="D3272" t="s">
        <v>2916</v>
      </c>
      <c r="E3272">
        <v>58204060009</v>
      </c>
      <c r="F3272">
        <v>311205</v>
      </c>
      <c r="G3272">
        <v>53850831193</v>
      </c>
      <c r="H3272" t="s">
        <v>35</v>
      </c>
      <c r="I3272" s="36">
        <v>4380.84</v>
      </c>
      <c r="J3272" s="36">
        <v>4380.84</v>
      </c>
      <c r="K3272" s="85">
        <v>0</v>
      </c>
      <c r="L3272" s="36">
        <v>365.07</v>
      </c>
      <c r="M3272" s="36">
        <v>0</v>
      </c>
      <c r="N3272" s="36">
        <v>0</v>
      </c>
      <c r="O3272" s="36">
        <v>365.07499999999999</v>
      </c>
      <c r="P3272" t="s">
        <v>110</v>
      </c>
      <c r="Q3272" t="s">
        <v>111</v>
      </c>
      <c r="R3272" t="s">
        <v>111</v>
      </c>
      <c r="S3272" s="1">
        <v>46113</v>
      </c>
      <c r="T3272" s="1">
        <v>46113</v>
      </c>
      <c r="U3272" s="1">
        <v>46116</v>
      </c>
      <c r="V3272" s="1">
        <v>46481</v>
      </c>
      <c r="W3272" t="s">
        <v>38</v>
      </c>
      <c r="X3272">
        <v>12</v>
      </c>
      <c r="Y3272" t="s">
        <v>49</v>
      </c>
      <c r="Z3272" t="s">
        <v>81</v>
      </c>
      <c r="AA3272" t="s">
        <v>122</v>
      </c>
      <c r="AB3272">
        <v>12</v>
      </c>
      <c r="AC3272" t="s">
        <v>113</v>
      </c>
      <c r="AD3272" t="s">
        <v>229</v>
      </c>
      <c r="AE3272" t="s">
        <v>43</v>
      </c>
      <c r="AF3272" t="s">
        <v>96</v>
      </c>
      <c r="AG3272" t="str">
        <f t="shared" si="63"/>
        <v>Recorrente</v>
      </c>
      <c r="AH3272" t="str">
        <f t="shared" si="64"/>
        <v/>
      </c>
    </row>
    <row r="3273" spans="1:34">
      <c r="A3273">
        <v>2026</v>
      </c>
      <c r="B3273">
        <v>4</v>
      </c>
      <c r="C3273" s="83">
        <v>183772185370</v>
      </c>
      <c r="D3273" t="s">
        <v>2917</v>
      </c>
      <c r="E3273">
        <v>59130051895</v>
      </c>
      <c r="F3273">
        <v>532806</v>
      </c>
      <c r="G3273">
        <v>54284737024</v>
      </c>
      <c r="H3273" t="s">
        <v>35</v>
      </c>
      <c r="I3273" s="36">
        <v>4402.2</v>
      </c>
      <c r="J3273" s="36">
        <v>4402.2</v>
      </c>
      <c r="K3273" s="85">
        <v>0</v>
      </c>
      <c r="L3273" s="36">
        <v>366.85</v>
      </c>
      <c r="M3273" s="36">
        <v>0</v>
      </c>
      <c r="N3273" s="36">
        <v>0</v>
      </c>
      <c r="O3273" s="36">
        <v>366.85</v>
      </c>
      <c r="P3273" t="s">
        <v>121</v>
      </c>
      <c r="Q3273" t="s">
        <v>111</v>
      </c>
      <c r="R3273" t="s">
        <v>111</v>
      </c>
      <c r="S3273" s="1">
        <v>46126</v>
      </c>
      <c r="T3273" s="1">
        <v>46126</v>
      </c>
      <c r="U3273" s="1">
        <v>46125</v>
      </c>
      <c r="V3273" s="1">
        <v>46491</v>
      </c>
      <c r="W3273" t="s">
        <v>38</v>
      </c>
      <c r="X3273">
        <v>12</v>
      </c>
      <c r="Y3273" t="s">
        <v>49</v>
      </c>
      <c r="Z3273" t="s">
        <v>81</v>
      </c>
      <c r="AA3273" t="s">
        <v>112</v>
      </c>
      <c r="AB3273">
        <v>12</v>
      </c>
      <c r="AC3273" t="s">
        <v>113</v>
      </c>
      <c r="AD3273" t="s">
        <v>85</v>
      </c>
      <c r="AE3273" t="s">
        <v>46</v>
      </c>
      <c r="AF3273" t="s">
        <v>44</v>
      </c>
      <c r="AG3273" t="str">
        <f t="shared" si="63"/>
        <v>CC 12x</v>
      </c>
      <c r="AH3273" t="str">
        <f t="shared" si="64"/>
        <v/>
      </c>
    </row>
    <row r="3274" spans="1:34">
      <c r="A3274">
        <v>2026</v>
      </c>
      <c r="B3274">
        <v>4</v>
      </c>
      <c r="C3274" s="83">
        <v>184069362847</v>
      </c>
      <c r="D3274" t="s">
        <v>172</v>
      </c>
      <c r="E3274">
        <v>58882981760</v>
      </c>
      <c r="F3274">
        <v>504021</v>
      </c>
      <c r="G3274">
        <v>53934353185</v>
      </c>
      <c r="H3274" t="s">
        <v>35</v>
      </c>
      <c r="I3274" s="36">
        <v>612.48</v>
      </c>
      <c r="J3274" s="36">
        <v>898.44</v>
      </c>
      <c r="K3274" s="85">
        <v>0</v>
      </c>
      <c r="L3274" s="36">
        <v>74.87</v>
      </c>
      <c r="M3274" s="36">
        <v>0</v>
      </c>
      <c r="N3274" s="36">
        <v>74.87</v>
      </c>
      <c r="O3274" s="36">
        <v>0</v>
      </c>
      <c r="P3274" t="s">
        <v>804</v>
      </c>
      <c r="Q3274" t="s">
        <v>191</v>
      </c>
      <c r="R3274" t="s">
        <v>191</v>
      </c>
      <c r="S3274" s="1">
        <v>46119</v>
      </c>
      <c r="T3274" s="1">
        <v>46119</v>
      </c>
      <c r="U3274" s="1">
        <v>46367</v>
      </c>
      <c r="V3274" s="1">
        <v>46367</v>
      </c>
      <c r="W3274" t="s">
        <v>38</v>
      </c>
      <c r="X3274">
        <v>8</v>
      </c>
      <c r="Y3274" t="s">
        <v>49</v>
      </c>
      <c r="Z3274" t="s">
        <v>324</v>
      </c>
      <c r="AA3274" t="s">
        <v>122</v>
      </c>
      <c r="AB3274">
        <v>8</v>
      </c>
      <c r="AC3274" t="s">
        <v>192</v>
      </c>
      <c r="AD3274" t="s">
        <v>243</v>
      </c>
      <c r="AE3274" t="s">
        <v>95</v>
      </c>
      <c r="AF3274" t="s">
        <v>244</v>
      </c>
      <c r="AG3274" t="str">
        <f t="shared" si="63"/>
        <v>Recorrente</v>
      </c>
      <c r="AH3274" t="str">
        <f t="shared" si="64"/>
        <v/>
      </c>
    </row>
    <row r="3275" spans="1:34">
      <c r="A3275">
        <v>2026</v>
      </c>
      <c r="B3275">
        <v>4</v>
      </c>
      <c r="C3275" s="83">
        <v>185470607422</v>
      </c>
      <c r="D3275" t="s">
        <v>2918</v>
      </c>
      <c r="E3275">
        <v>58996487767</v>
      </c>
      <c r="F3275">
        <v>636992</v>
      </c>
      <c r="G3275">
        <v>54154291019</v>
      </c>
      <c r="H3275" t="s">
        <v>35</v>
      </c>
      <c r="I3275" s="36">
        <v>3114</v>
      </c>
      <c r="J3275" s="36">
        <v>3114</v>
      </c>
      <c r="K3275" s="85">
        <v>0</v>
      </c>
      <c r="L3275" s="36">
        <v>259.5</v>
      </c>
      <c r="M3275" s="36">
        <v>259.5</v>
      </c>
      <c r="N3275" s="36">
        <v>0</v>
      </c>
      <c r="O3275" s="36">
        <v>0</v>
      </c>
      <c r="P3275" t="s">
        <v>506</v>
      </c>
      <c r="Q3275" t="s">
        <v>300</v>
      </c>
      <c r="R3275" t="s">
        <v>300</v>
      </c>
      <c r="S3275" s="1">
        <v>46121</v>
      </c>
      <c r="T3275" s="1">
        <v>46121</v>
      </c>
      <c r="V3275" s="1"/>
      <c r="W3275" t="s">
        <v>2733</v>
      </c>
      <c r="Y3275" t="s">
        <v>49</v>
      </c>
      <c r="AA3275" t="s">
        <v>122</v>
      </c>
      <c r="AB3275">
        <v>12</v>
      </c>
      <c r="AC3275" t="s">
        <v>301</v>
      </c>
      <c r="AD3275" t="s">
        <v>2734</v>
      </c>
      <c r="AE3275" t="s">
        <v>106</v>
      </c>
      <c r="AF3275" t="s">
        <v>59</v>
      </c>
      <c r="AG3275" t="str">
        <f t="shared" si="63"/>
        <v>Recorrente</v>
      </c>
      <c r="AH3275" t="str">
        <f t="shared" si="64"/>
        <v/>
      </c>
    </row>
    <row r="3276" spans="1:34">
      <c r="A3276">
        <v>2026</v>
      </c>
      <c r="B3276">
        <v>4</v>
      </c>
      <c r="C3276" s="83">
        <v>185652212229</v>
      </c>
      <c r="D3276" t="s">
        <v>2919</v>
      </c>
      <c r="E3276">
        <v>59370029885</v>
      </c>
      <c r="F3276">
        <v>533042</v>
      </c>
      <c r="G3276">
        <v>54466197002</v>
      </c>
      <c r="H3276" t="s">
        <v>35</v>
      </c>
      <c r="I3276" s="36">
        <v>9306.1200000000008</v>
      </c>
      <c r="J3276" s="36">
        <v>9306.1200000000008</v>
      </c>
      <c r="K3276" s="85">
        <v>0</v>
      </c>
      <c r="L3276" s="36">
        <v>775.51</v>
      </c>
      <c r="M3276" s="36">
        <v>0</v>
      </c>
      <c r="N3276" s="36">
        <v>14.065</v>
      </c>
      <c r="O3276" s="36">
        <v>761.45</v>
      </c>
      <c r="P3276" t="s">
        <v>110</v>
      </c>
      <c r="Q3276" t="s">
        <v>111</v>
      </c>
      <c r="R3276" t="s">
        <v>111</v>
      </c>
      <c r="S3276" s="1">
        <v>46132</v>
      </c>
      <c r="T3276" s="1">
        <v>46132</v>
      </c>
      <c r="U3276" s="1">
        <v>46130</v>
      </c>
      <c r="V3276" s="1">
        <v>46497</v>
      </c>
      <c r="W3276" t="s">
        <v>38</v>
      </c>
      <c r="X3276">
        <v>12</v>
      </c>
      <c r="Y3276" t="s">
        <v>49</v>
      </c>
      <c r="Z3276" t="s">
        <v>81</v>
      </c>
      <c r="AA3276" t="s">
        <v>122</v>
      </c>
      <c r="AB3276">
        <v>12</v>
      </c>
      <c r="AC3276" t="s">
        <v>113</v>
      </c>
      <c r="AD3276" t="s">
        <v>131</v>
      </c>
      <c r="AE3276" t="s">
        <v>46</v>
      </c>
      <c r="AF3276" t="s">
        <v>96</v>
      </c>
      <c r="AG3276" t="str">
        <f t="shared" si="63"/>
        <v>Recorrente</v>
      </c>
      <c r="AH3276" t="str">
        <f t="shared" si="64"/>
        <v/>
      </c>
    </row>
    <row r="3277" spans="1:34">
      <c r="A3277">
        <v>2026</v>
      </c>
      <c r="B3277">
        <v>4</v>
      </c>
      <c r="C3277" s="83">
        <v>187296600396</v>
      </c>
      <c r="D3277" t="s">
        <v>2920</v>
      </c>
      <c r="E3277">
        <v>58378139414</v>
      </c>
      <c r="F3277">
        <v>310555</v>
      </c>
      <c r="G3277">
        <v>53857811890</v>
      </c>
      <c r="H3277" t="s">
        <v>35</v>
      </c>
      <c r="I3277" s="36">
        <v>2586.6</v>
      </c>
      <c r="J3277" s="36">
        <v>2586.6</v>
      </c>
      <c r="K3277" s="85">
        <v>0</v>
      </c>
      <c r="L3277" s="36">
        <v>215.55</v>
      </c>
      <c r="M3277" s="36">
        <v>0</v>
      </c>
      <c r="N3277" s="36">
        <v>0</v>
      </c>
      <c r="O3277" s="36">
        <v>215.55</v>
      </c>
      <c r="P3277" t="s">
        <v>116</v>
      </c>
      <c r="Q3277" t="s">
        <v>111</v>
      </c>
      <c r="R3277" t="s">
        <v>111</v>
      </c>
      <c r="S3277" s="1">
        <v>46114</v>
      </c>
      <c r="T3277" s="1">
        <v>46114</v>
      </c>
      <c r="U3277" s="1">
        <v>46109</v>
      </c>
      <c r="V3277" s="1">
        <v>46479</v>
      </c>
      <c r="W3277" t="s">
        <v>38</v>
      </c>
      <c r="X3277">
        <v>13</v>
      </c>
      <c r="Y3277" t="s">
        <v>49</v>
      </c>
      <c r="Z3277" t="s">
        <v>81</v>
      </c>
      <c r="AA3277" t="s">
        <v>112</v>
      </c>
      <c r="AB3277">
        <v>12</v>
      </c>
      <c r="AC3277" t="s">
        <v>113</v>
      </c>
      <c r="AD3277" t="s">
        <v>140</v>
      </c>
      <c r="AE3277" t="s">
        <v>46</v>
      </c>
      <c r="AF3277" t="s">
        <v>119</v>
      </c>
      <c r="AG3277" t="str">
        <f t="shared" si="63"/>
        <v>CC 12x</v>
      </c>
      <c r="AH3277" t="str">
        <f t="shared" si="64"/>
        <v/>
      </c>
    </row>
    <row r="3278" spans="1:34">
      <c r="A3278">
        <v>2026</v>
      </c>
      <c r="B3278">
        <v>4</v>
      </c>
      <c r="C3278" s="83">
        <v>187999833412</v>
      </c>
      <c r="D3278" t="s">
        <v>2921</v>
      </c>
      <c r="E3278">
        <v>59094341183</v>
      </c>
      <c r="F3278">
        <v>637021</v>
      </c>
      <c r="G3278">
        <v>54205198986</v>
      </c>
      <c r="H3278" t="s">
        <v>35</v>
      </c>
      <c r="I3278" s="36">
        <v>774</v>
      </c>
      <c r="J3278" s="36">
        <v>774</v>
      </c>
      <c r="K3278" s="85">
        <v>0</v>
      </c>
      <c r="L3278" s="36">
        <v>64.5</v>
      </c>
      <c r="M3278" s="36">
        <v>64.5</v>
      </c>
      <c r="N3278" s="36">
        <v>0</v>
      </c>
      <c r="O3278" s="36">
        <v>0</v>
      </c>
      <c r="P3278" t="s">
        <v>469</v>
      </c>
      <c r="Q3278" t="s">
        <v>191</v>
      </c>
      <c r="R3278" t="s">
        <v>300</v>
      </c>
      <c r="S3278" s="1">
        <v>46122</v>
      </c>
      <c r="T3278" s="1">
        <v>46122</v>
      </c>
      <c r="U3278" s="1"/>
      <c r="V3278" s="1">
        <v>46487</v>
      </c>
      <c r="W3278" t="s">
        <v>38</v>
      </c>
      <c r="X3278">
        <v>12</v>
      </c>
      <c r="Y3278" t="s">
        <v>49</v>
      </c>
      <c r="AA3278" t="s">
        <v>112</v>
      </c>
      <c r="AB3278">
        <v>12</v>
      </c>
      <c r="AC3278" t="s">
        <v>301</v>
      </c>
      <c r="AD3278" t="s">
        <v>243</v>
      </c>
      <c r="AE3278" t="s">
        <v>95</v>
      </c>
      <c r="AF3278" t="s">
        <v>244</v>
      </c>
      <c r="AG3278" t="str">
        <f t="shared" si="63"/>
        <v>CC 12x</v>
      </c>
      <c r="AH3278" t="str">
        <f t="shared" si="64"/>
        <v/>
      </c>
    </row>
    <row r="3279" spans="1:34">
      <c r="A3279">
        <v>2026</v>
      </c>
      <c r="B3279">
        <v>4</v>
      </c>
      <c r="C3279" s="83">
        <v>187999833412</v>
      </c>
      <c r="D3279" t="s">
        <v>2921</v>
      </c>
      <c r="E3279">
        <v>59094341183</v>
      </c>
      <c r="F3279">
        <v>637021</v>
      </c>
      <c r="G3279">
        <v>54205198987</v>
      </c>
      <c r="H3279" t="s">
        <v>35</v>
      </c>
      <c r="I3279" s="36">
        <v>4948.4399999999996</v>
      </c>
      <c r="J3279" s="36">
        <v>4948.4399999999996</v>
      </c>
      <c r="K3279" s="85">
        <v>0</v>
      </c>
      <c r="L3279" s="36">
        <v>412.37</v>
      </c>
      <c r="M3279" s="36">
        <v>412.37</v>
      </c>
      <c r="N3279" s="36">
        <v>0</v>
      </c>
      <c r="O3279" s="36">
        <v>0</v>
      </c>
      <c r="P3279" t="s">
        <v>469</v>
      </c>
      <c r="Q3279" t="s">
        <v>191</v>
      </c>
      <c r="R3279" t="s">
        <v>300</v>
      </c>
      <c r="S3279" s="1">
        <v>46122</v>
      </c>
      <c r="T3279" s="1">
        <v>46122</v>
      </c>
      <c r="U3279" s="1"/>
      <c r="V3279" s="1">
        <v>46487</v>
      </c>
      <c r="W3279" t="s">
        <v>38</v>
      </c>
      <c r="X3279">
        <v>12</v>
      </c>
      <c r="Y3279" t="s">
        <v>49</v>
      </c>
      <c r="AA3279" t="s">
        <v>112</v>
      </c>
      <c r="AB3279">
        <v>12</v>
      </c>
      <c r="AC3279" t="s">
        <v>301</v>
      </c>
      <c r="AD3279" t="s">
        <v>85</v>
      </c>
      <c r="AE3279" t="s">
        <v>46</v>
      </c>
      <c r="AF3279" t="s">
        <v>44</v>
      </c>
      <c r="AG3279" t="str">
        <f t="shared" si="63"/>
        <v>CC 12x</v>
      </c>
      <c r="AH3279" t="str">
        <f t="shared" si="64"/>
        <v/>
      </c>
    </row>
    <row r="3280" spans="1:34">
      <c r="A3280">
        <v>2026</v>
      </c>
      <c r="B3280">
        <v>4</v>
      </c>
      <c r="C3280" s="83">
        <v>188793654386</v>
      </c>
      <c r="D3280" t="s">
        <v>2922</v>
      </c>
      <c r="E3280">
        <v>58061741169</v>
      </c>
      <c r="F3280">
        <v>628746</v>
      </c>
      <c r="G3280">
        <v>54801669035</v>
      </c>
      <c r="H3280" t="s">
        <v>35</v>
      </c>
      <c r="I3280" s="36">
        <v>4646.3999999999996</v>
      </c>
      <c r="J3280" s="36">
        <v>4646.3999999999996</v>
      </c>
      <c r="K3280" s="85">
        <v>0</v>
      </c>
      <c r="L3280" s="36">
        <v>387.2</v>
      </c>
      <c r="M3280" s="36">
        <v>0</v>
      </c>
      <c r="N3280" s="36">
        <v>2.1510449999999999</v>
      </c>
      <c r="O3280" s="36">
        <v>385.05</v>
      </c>
      <c r="P3280" t="s">
        <v>116</v>
      </c>
      <c r="Q3280" t="s">
        <v>111</v>
      </c>
      <c r="R3280" t="s">
        <v>111</v>
      </c>
      <c r="S3280" s="1">
        <v>46140</v>
      </c>
      <c r="T3280" s="1">
        <v>46140</v>
      </c>
      <c r="U3280" s="1">
        <v>46128</v>
      </c>
      <c r="V3280" s="1">
        <v>46505</v>
      </c>
      <c r="W3280" t="s">
        <v>38</v>
      </c>
      <c r="X3280">
        <v>12</v>
      </c>
      <c r="Y3280" t="s">
        <v>49</v>
      </c>
      <c r="Z3280" t="s">
        <v>81</v>
      </c>
      <c r="AA3280" t="s">
        <v>122</v>
      </c>
      <c r="AB3280">
        <v>12</v>
      </c>
      <c r="AC3280" t="s">
        <v>113</v>
      </c>
      <c r="AD3280" t="s">
        <v>85</v>
      </c>
      <c r="AE3280" t="s">
        <v>46</v>
      </c>
      <c r="AF3280" t="s">
        <v>44</v>
      </c>
      <c r="AG3280" t="str">
        <f t="shared" si="63"/>
        <v>Recorrente</v>
      </c>
      <c r="AH3280" t="str">
        <f t="shared" si="64"/>
        <v/>
      </c>
    </row>
    <row r="3281" spans="1:34">
      <c r="A3281">
        <v>2026</v>
      </c>
      <c r="B3281">
        <v>4</v>
      </c>
      <c r="C3281" s="83">
        <v>189451429450</v>
      </c>
      <c r="D3281" t="s">
        <v>2923</v>
      </c>
      <c r="E3281">
        <v>59776115320</v>
      </c>
      <c r="F3281">
        <v>637423</v>
      </c>
      <c r="G3281">
        <v>54801658913</v>
      </c>
      <c r="H3281" t="s">
        <v>35</v>
      </c>
      <c r="I3281" s="36">
        <v>8634.6</v>
      </c>
      <c r="J3281" s="36">
        <v>8634.6</v>
      </c>
      <c r="K3281" s="85">
        <v>0</v>
      </c>
      <c r="L3281" s="36">
        <v>719.55</v>
      </c>
      <c r="M3281" s="36">
        <v>719.55</v>
      </c>
      <c r="N3281" s="36">
        <v>0</v>
      </c>
      <c r="O3281" s="36">
        <v>0</v>
      </c>
      <c r="P3281" t="s">
        <v>506</v>
      </c>
      <c r="Q3281" t="s">
        <v>300</v>
      </c>
      <c r="R3281" t="s">
        <v>300</v>
      </c>
      <c r="S3281" s="1">
        <v>46140</v>
      </c>
      <c r="T3281" s="1">
        <v>46140</v>
      </c>
      <c r="U3281" s="1"/>
      <c r="V3281" s="1">
        <v>46505</v>
      </c>
      <c r="W3281" t="s">
        <v>38</v>
      </c>
      <c r="X3281">
        <v>12</v>
      </c>
      <c r="Y3281" t="s">
        <v>49</v>
      </c>
      <c r="AA3281" t="s">
        <v>122</v>
      </c>
      <c r="AB3281">
        <v>12</v>
      </c>
      <c r="AC3281" t="s">
        <v>301</v>
      </c>
      <c r="AD3281" t="s">
        <v>131</v>
      </c>
      <c r="AE3281" t="s">
        <v>46</v>
      </c>
      <c r="AF3281" t="s">
        <v>96</v>
      </c>
      <c r="AG3281" t="str">
        <f t="shared" si="63"/>
        <v>Recorrente</v>
      </c>
      <c r="AH3281" t="str">
        <f t="shared" si="64"/>
        <v/>
      </c>
    </row>
    <row r="3282" spans="1:34">
      <c r="A3282">
        <v>2026</v>
      </c>
      <c r="B3282">
        <v>4</v>
      </c>
      <c r="C3282" s="83">
        <v>189805071378</v>
      </c>
      <c r="D3282" t="s">
        <v>2924</v>
      </c>
      <c r="E3282">
        <v>56621778995</v>
      </c>
      <c r="F3282">
        <v>531823</v>
      </c>
      <c r="G3282">
        <v>53808703779</v>
      </c>
      <c r="H3282" t="s">
        <v>35</v>
      </c>
      <c r="I3282" s="36">
        <v>6313.92</v>
      </c>
      <c r="J3282" s="36">
        <v>6313.92</v>
      </c>
      <c r="K3282" s="85">
        <v>0</v>
      </c>
      <c r="L3282" s="36">
        <v>526.16</v>
      </c>
      <c r="M3282" s="36">
        <v>0</v>
      </c>
      <c r="N3282" s="36">
        <v>63.9925</v>
      </c>
      <c r="O3282" s="36">
        <v>462.17</v>
      </c>
      <c r="P3282" t="s">
        <v>137</v>
      </c>
      <c r="Q3282" t="s">
        <v>111</v>
      </c>
      <c r="R3282" t="s">
        <v>111</v>
      </c>
      <c r="S3282" s="1">
        <v>46137</v>
      </c>
      <c r="T3282" s="1">
        <v>46137</v>
      </c>
      <c r="U3282" s="1">
        <v>46112</v>
      </c>
      <c r="V3282" s="1">
        <v>46502</v>
      </c>
      <c r="W3282" t="s">
        <v>38</v>
      </c>
      <c r="X3282">
        <v>13</v>
      </c>
      <c r="Y3282" t="s">
        <v>49</v>
      </c>
      <c r="Z3282" t="s">
        <v>81</v>
      </c>
      <c r="AA3282" t="s">
        <v>112</v>
      </c>
      <c r="AB3282">
        <v>12</v>
      </c>
      <c r="AC3282" t="s">
        <v>113</v>
      </c>
      <c r="AD3282" t="s">
        <v>134</v>
      </c>
      <c r="AE3282" t="s">
        <v>135</v>
      </c>
      <c r="AF3282" t="s">
        <v>44</v>
      </c>
      <c r="AG3282" t="str">
        <f t="shared" si="63"/>
        <v>CC 12x</v>
      </c>
      <c r="AH3282" t="str">
        <f t="shared" si="64"/>
        <v/>
      </c>
    </row>
    <row r="3283" spans="1:34">
      <c r="A3283">
        <v>2026</v>
      </c>
      <c r="B3283">
        <v>4</v>
      </c>
      <c r="C3283" s="83">
        <v>190601803278</v>
      </c>
      <c r="D3283" t="s">
        <v>2925</v>
      </c>
      <c r="E3283">
        <v>59149501266</v>
      </c>
      <c r="F3283">
        <v>508777</v>
      </c>
      <c r="G3283">
        <v>54269824112</v>
      </c>
      <c r="H3283" t="s">
        <v>35</v>
      </c>
      <c r="I3283" s="36">
        <v>7155.84</v>
      </c>
      <c r="J3283" s="36">
        <v>7155.84</v>
      </c>
      <c r="K3283" s="85">
        <v>0</v>
      </c>
      <c r="L3283" s="36">
        <v>596.32000000000005</v>
      </c>
      <c r="M3283" s="36">
        <v>0</v>
      </c>
      <c r="N3283" s="36">
        <v>69.777500000000003</v>
      </c>
      <c r="O3283" s="36">
        <v>526.54</v>
      </c>
      <c r="P3283" t="s">
        <v>137</v>
      </c>
      <c r="Q3283" t="s">
        <v>111</v>
      </c>
      <c r="R3283" t="s">
        <v>111</v>
      </c>
      <c r="S3283" s="1">
        <v>46125</v>
      </c>
      <c r="T3283" s="1">
        <v>46125</v>
      </c>
      <c r="U3283" s="1">
        <v>46120</v>
      </c>
      <c r="V3283" s="1">
        <v>46490</v>
      </c>
      <c r="W3283" t="s">
        <v>38</v>
      </c>
      <c r="X3283">
        <v>12</v>
      </c>
      <c r="Y3283" t="s">
        <v>49</v>
      </c>
      <c r="Z3283" t="s">
        <v>81</v>
      </c>
      <c r="AA3283" t="s">
        <v>122</v>
      </c>
      <c r="AB3283">
        <v>12</v>
      </c>
      <c r="AC3283" t="s">
        <v>113</v>
      </c>
      <c r="AD3283" t="s">
        <v>134</v>
      </c>
      <c r="AE3283" t="s">
        <v>135</v>
      </c>
      <c r="AF3283" t="s">
        <v>44</v>
      </c>
      <c r="AG3283" t="str">
        <f t="shared" si="63"/>
        <v>Recorrente</v>
      </c>
      <c r="AH3283" t="str">
        <f t="shared" si="64"/>
        <v/>
      </c>
    </row>
    <row r="3284" spans="1:34">
      <c r="A3284">
        <v>2026</v>
      </c>
      <c r="B3284">
        <v>4</v>
      </c>
      <c r="C3284" s="83">
        <v>190630045794</v>
      </c>
      <c r="D3284" t="s">
        <v>2926</v>
      </c>
      <c r="E3284">
        <v>58102804741</v>
      </c>
      <c r="F3284">
        <v>628808</v>
      </c>
      <c r="G3284">
        <v>54150046535</v>
      </c>
      <c r="H3284" t="s">
        <v>35</v>
      </c>
      <c r="I3284" s="36">
        <v>3451.2</v>
      </c>
      <c r="J3284" s="36">
        <v>3451.2</v>
      </c>
      <c r="K3284" s="85">
        <v>0</v>
      </c>
      <c r="L3284" s="36">
        <v>287.60000000000002</v>
      </c>
      <c r="M3284" s="36">
        <v>0</v>
      </c>
      <c r="N3284" s="36">
        <v>10.875</v>
      </c>
      <c r="O3284" s="36">
        <v>276.72500000000002</v>
      </c>
      <c r="P3284" t="s">
        <v>162</v>
      </c>
      <c r="Q3284" t="s">
        <v>111</v>
      </c>
      <c r="R3284" t="s">
        <v>111</v>
      </c>
      <c r="S3284" s="1">
        <v>46122</v>
      </c>
      <c r="T3284" s="1">
        <v>46122</v>
      </c>
      <c r="U3284" s="1">
        <v>46129</v>
      </c>
      <c r="V3284" s="1">
        <v>46494</v>
      </c>
      <c r="W3284" t="s">
        <v>38</v>
      </c>
      <c r="X3284">
        <v>12</v>
      </c>
      <c r="Y3284" t="s">
        <v>49</v>
      </c>
      <c r="Z3284" t="s">
        <v>81</v>
      </c>
      <c r="AA3284" t="s">
        <v>112</v>
      </c>
      <c r="AB3284">
        <v>12</v>
      </c>
      <c r="AC3284" t="s">
        <v>113</v>
      </c>
      <c r="AD3284" t="s">
        <v>140</v>
      </c>
      <c r="AE3284" t="s">
        <v>46</v>
      </c>
      <c r="AF3284" t="s">
        <v>119</v>
      </c>
      <c r="AG3284" t="str">
        <f t="shared" si="63"/>
        <v>CC 12x</v>
      </c>
      <c r="AH3284" t="str">
        <f t="shared" si="64"/>
        <v/>
      </c>
    </row>
    <row r="3285" spans="1:34">
      <c r="A3285">
        <v>2026</v>
      </c>
      <c r="B3285">
        <v>4</v>
      </c>
      <c r="C3285" s="83">
        <v>190630045794</v>
      </c>
      <c r="D3285" t="s">
        <v>2926</v>
      </c>
      <c r="E3285">
        <v>58102804741</v>
      </c>
      <c r="F3285">
        <v>628808</v>
      </c>
      <c r="G3285">
        <v>54150046536</v>
      </c>
      <c r="H3285" t="s">
        <v>35</v>
      </c>
      <c r="I3285" s="36">
        <v>3451.2</v>
      </c>
      <c r="J3285" s="36">
        <v>3451.2</v>
      </c>
      <c r="K3285" s="85">
        <v>0</v>
      </c>
      <c r="L3285" s="36">
        <v>287.60000000000002</v>
      </c>
      <c r="M3285" s="36">
        <v>0</v>
      </c>
      <c r="N3285" s="36">
        <v>10.875</v>
      </c>
      <c r="O3285" s="36">
        <v>276.72500000000002</v>
      </c>
      <c r="P3285" t="s">
        <v>162</v>
      </c>
      <c r="Q3285" t="s">
        <v>111</v>
      </c>
      <c r="R3285" t="s">
        <v>111</v>
      </c>
      <c r="S3285" s="1">
        <v>46122</v>
      </c>
      <c r="T3285" s="1">
        <v>46122</v>
      </c>
      <c r="U3285" s="1">
        <v>46129</v>
      </c>
      <c r="V3285" s="1">
        <v>46494</v>
      </c>
      <c r="W3285" t="s">
        <v>38</v>
      </c>
      <c r="X3285">
        <v>12</v>
      </c>
      <c r="Y3285" t="s">
        <v>49</v>
      </c>
      <c r="Z3285" t="s">
        <v>81</v>
      </c>
      <c r="AA3285" t="s">
        <v>112</v>
      </c>
      <c r="AB3285">
        <v>12</v>
      </c>
      <c r="AC3285" t="s">
        <v>113</v>
      </c>
      <c r="AD3285" t="s">
        <v>85</v>
      </c>
      <c r="AE3285" t="s">
        <v>46</v>
      </c>
      <c r="AF3285" t="s">
        <v>44</v>
      </c>
      <c r="AG3285" t="str">
        <f t="shared" si="63"/>
        <v>CC 12x</v>
      </c>
      <c r="AH3285" t="str">
        <f t="shared" si="64"/>
        <v/>
      </c>
    </row>
    <row r="3286" spans="1:34">
      <c r="A3286">
        <v>2026</v>
      </c>
      <c r="B3286">
        <v>4</v>
      </c>
      <c r="C3286" s="83">
        <v>191108645126</v>
      </c>
      <c r="D3286" t="s">
        <v>2927</v>
      </c>
      <c r="E3286">
        <v>59525824597</v>
      </c>
      <c r="F3286">
        <v>635502</v>
      </c>
      <c r="G3286">
        <v>54781471788</v>
      </c>
      <c r="H3286" t="s">
        <v>35</v>
      </c>
      <c r="I3286" s="36">
        <v>6204.72</v>
      </c>
      <c r="J3286" s="36">
        <v>5644.26</v>
      </c>
      <c r="K3286" s="85">
        <v>560.46</v>
      </c>
      <c r="L3286" s="36">
        <v>470.35500000000002</v>
      </c>
      <c r="M3286" s="36">
        <v>0</v>
      </c>
      <c r="N3286" s="36">
        <v>470.35500000000002</v>
      </c>
      <c r="O3286" s="36">
        <v>0</v>
      </c>
      <c r="P3286" t="s">
        <v>190</v>
      </c>
      <c r="Q3286" t="s">
        <v>191</v>
      </c>
      <c r="R3286" t="s">
        <v>191</v>
      </c>
      <c r="S3286" s="1">
        <v>46139</v>
      </c>
      <c r="T3286" s="1">
        <v>46139</v>
      </c>
      <c r="U3286" s="1">
        <v>46394</v>
      </c>
      <c r="V3286" s="1">
        <v>46394</v>
      </c>
      <c r="W3286" t="s">
        <v>38</v>
      </c>
      <c r="X3286">
        <v>9</v>
      </c>
      <c r="Y3286" t="s">
        <v>49</v>
      </c>
      <c r="Z3286" t="s">
        <v>324</v>
      </c>
      <c r="AA3286" t="s">
        <v>122</v>
      </c>
      <c r="AB3286">
        <v>8</v>
      </c>
      <c r="AC3286" t="s">
        <v>192</v>
      </c>
      <c r="AD3286" t="s">
        <v>351</v>
      </c>
      <c r="AE3286" t="s">
        <v>95</v>
      </c>
      <c r="AF3286" t="s">
        <v>96</v>
      </c>
      <c r="AG3286" t="str">
        <f t="shared" si="63"/>
        <v>Recorrente</v>
      </c>
      <c r="AH3286" t="str">
        <f t="shared" si="64"/>
        <v/>
      </c>
    </row>
    <row r="3287" spans="1:34">
      <c r="A3287">
        <v>2026</v>
      </c>
      <c r="B3287">
        <v>4</v>
      </c>
      <c r="C3287" s="83">
        <v>191108645126</v>
      </c>
      <c r="D3287" t="s">
        <v>2927</v>
      </c>
      <c r="E3287">
        <v>59525824597</v>
      </c>
      <c r="F3287">
        <v>635502</v>
      </c>
      <c r="G3287">
        <v>54781471790</v>
      </c>
      <c r="H3287" t="s">
        <v>35</v>
      </c>
      <c r="I3287" s="36">
        <v>1675.8</v>
      </c>
      <c r="J3287" s="36">
        <v>5644.26</v>
      </c>
      <c r="K3287" s="85">
        <v>0</v>
      </c>
      <c r="L3287" s="36">
        <v>470.35500000000002</v>
      </c>
      <c r="M3287" s="36">
        <v>0</v>
      </c>
      <c r="N3287" s="36">
        <v>470.35500000000002</v>
      </c>
      <c r="O3287" s="36">
        <v>0</v>
      </c>
      <c r="P3287" t="s">
        <v>190</v>
      </c>
      <c r="Q3287" t="s">
        <v>191</v>
      </c>
      <c r="R3287" t="s">
        <v>191</v>
      </c>
      <c r="S3287" s="1">
        <v>46139</v>
      </c>
      <c r="T3287" s="1">
        <v>46139</v>
      </c>
      <c r="U3287" s="1">
        <v>46394</v>
      </c>
      <c r="V3287" s="1">
        <v>46394</v>
      </c>
      <c r="W3287" t="s">
        <v>38</v>
      </c>
      <c r="X3287">
        <v>9</v>
      </c>
      <c r="Y3287" t="s">
        <v>49</v>
      </c>
      <c r="Z3287" t="s">
        <v>324</v>
      </c>
      <c r="AA3287" t="s">
        <v>122</v>
      </c>
      <c r="AB3287">
        <v>8</v>
      </c>
      <c r="AC3287" t="s">
        <v>192</v>
      </c>
      <c r="AD3287" t="s">
        <v>118</v>
      </c>
      <c r="AE3287" t="s">
        <v>43</v>
      </c>
      <c r="AF3287" t="s">
        <v>119</v>
      </c>
      <c r="AG3287" t="str">
        <f t="shared" si="63"/>
        <v>Recorrente</v>
      </c>
      <c r="AH3287" t="str">
        <f t="shared" si="64"/>
        <v/>
      </c>
    </row>
    <row r="3288" spans="1:34">
      <c r="A3288">
        <v>2026</v>
      </c>
      <c r="B3288">
        <v>4</v>
      </c>
      <c r="C3288" s="83">
        <v>191127285069</v>
      </c>
      <c r="D3288" t="s">
        <v>2928</v>
      </c>
      <c r="E3288">
        <v>58524329826</v>
      </c>
      <c r="F3288">
        <v>313828</v>
      </c>
      <c r="G3288">
        <v>54801238649</v>
      </c>
      <c r="H3288" t="s">
        <v>35</v>
      </c>
      <c r="I3288" s="36">
        <v>6835.68</v>
      </c>
      <c r="J3288" s="36">
        <v>6835.68</v>
      </c>
      <c r="K3288" s="85">
        <v>0</v>
      </c>
      <c r="L3288" s="36">
        <v>569.64</v>
      </c>
      <c r="M3288" s="36">
        <v>0</v>
      </c>
      <c r="N3288" s="36">
        <v>245.36875000000001</v>
      </c>
      <c r="O3288" s="36">
        <v>324.27499999999998</v>
      </c>
      <c r="P3288" t="s">
        <v>137</v>
      </c>
      <c r="Q3288" t="s">
        <v>111</v>
      </c>
      <c r="R3288" t="s">
        <v>111</v>
      </c>
      <c r="S3288" s="1">
        <v>46139</v>
      </c>
      <c r="T3288" s="1">
        <v>46139</v>
      </c>
      <c r="U3288" s="1">
        <v>46139</v>
      </c>
      <c r="V3288" s="1">
        <v>46135</v>
      </c>
      <c r="W3288" t="s">
        <v>38</v>
      </c>
      <c r="X3288">
        <v>0</v>
      </c>
      <c r="Y3288" t="s">
        <v>49</v>
      </c>
      <c r="Z3288" t="s">
        <v>81</v>
      </c>
      <c r="AA3288" t="s">
        <v>112</v>
      </c>
      <c r="AB3288">
        <v>12</v>
      </c>
      <c r="AC3288" t="s">
        <v>113</v>
      </c>
      <c r="AD3288" t="s">
        <v>131</v>
      </c>
      <c r="AE3288" t="s">
        <v>46</v>
      </c>
      <c r="AF3288" t="s">
        <v>96</v>
      </c>
      <c r="AG3288" t="str">
        <f t="shared" si="63"/>
        <v>CC 12x</v>
      </c>
      <c r="AH3288" t="str">
        <f t="shared" si="64"/>
        <v/>
      </c>
    </row>
    <row r="3289" spans="1:34">
      <c r="A3289">
        <v>2026</v>
      </c>
      <c r="B3289">
        <v>4</v>
      </c>
      <c r="C3289" s="83">
        <v>191164929117</v>
      </c>
      <c r="D3289" t="s">
        <v>2929</v>
      </c>
      <c r="E3289">
        <v>59770304005</v>
      </c>
      <c r="F3289">
        <v>532810</v>
      </c>
      <c r="G3289">
        <v>54801553043</v>
      </c>
      <c r="H3289" t="s">
        <v>35</v>
      </c>
      <c r="I3289" s="36">
        <v>4357.92</v>
      </c>
      <c r="J3289" s="36">
        <v>4357.92</v>
      </c>
      <c r="K3289" s="85">
        <v>0</v>
      </c>
      <c r="L3289" s="36">
        <v>363.16</v>
      </c>
      <c r="M3289" s="36">
        <v>0</v>
      </c>
      <c r="N3289" s="36">
        <v>43.162500000000001</v>
      </c>
      <c r="O3289" s="36">
        <v>320</v>
      </c>
      <c r="P3289" t="s">
        <v>137</v>
      </c>
      <c r="Q3289" t="s">
        <v>111</v>
      </c>
      <c r="R3289" t="s">
        <v>111</v>
      </c>
      <c r="S3289" s="1">
        <v>46140</v>
      </c>
      <c r="T3289" s="1">
        <v>46140</v>
      </c>
      <c r="U3289" s="1">
        <v>46126</v>
      </c>
      <c r="V3289" s="1">
        <v>46505</v>
      </c>
      <c r="W3289" t="s">
        <v>38</v>
      </c>
      <c r="X3289">
        <v>12</v>
      </c>
      <c r="Y3289" t="s">
        <v>49</v>
      </c>
      <c r="Z3289" t="s">
        <v>81</v>
      </c>
      <c r="AA3289" t="s">
        <v>122</v>
      </c>
      <c r="AB3289">
        <v>12</v>
      </c>
      <c r="AC3289" t="s">
        <v>113</v>
      </c>
      <c r="AD3289" t="s">
        <v>243</v>
      </c>
      <c r="AE3289" t="s">
        <v>95</v>
      </c>
      <c r="AF3289" t="s">
        <v>244</v>
      </c>
      <c r="AG3289" t="str">
        <f t="shared" si="63"/>
        <v>Recorrente</v>
      </c>
      <c r="AH3289" t="str">
        <f t="shared" si="64"/>
        <v/>
      </c>
    </row>
    <row r="3290" spans="1:34">
      <c r="A3290">
        <v>2026</v>
      </c>
      <c r="B3290">
        <v>4</v>
      </c>
      <c r="C3290" s="83">
        <v>191164929117</v>
      </c>
      <c r="D3290" t="s">
        <v>2929</v>
      </c>
      <c r="E3290">
        <v>59770304005</v>
      </c>
      <c r="F3290">
        <v>532810</v>
      </c>
      <c r="G3290">
        <v>54801553044</v>
      </c>
      <c r="H3290" t="s">
        <v>35</v>
      </c>
      <c r="I3290" s="36">
        <v>4357.92</v>
      </c>
      <c r="J3290" s="36">
        <v>4357.92</v>
      </c>
      <c r="K3290" s="85">
        <v>0</v>
      </c>
      <c r="L3290" s="36">
        <v>363.16</v>
      </c>
      <c r="M3290" s="36">
        <v>0</v>
      </c>
      <c r="N3290" s="36">
        <v>43.162500000000001</v>
      </c>
      <c r="O3290" s="36">
        <v>320</v>
      </c>
      <c r="P3290" t="s">
        <v>137</v>
      </c>
      <c r="Q3290" t="s">
        <v>111</v>
      </c>
      <c r="R3290" t="s">
        <v>111</v>
      </c>
      <c r="S3290" s="1">
        <v>46140</v>
      </c>
      <c r="T3290" s="1">
        <v>46140</v>
      </c>
      <c r="U3290" s="1">
        <v>46126</v>
      </c>
      <c r="V3290" s="1">
        <v>46505</v>
      </c>
      <c r="W3290" t="s">
        <v>38</v>
      </c>
      <c r="X3290">
        <v>12</v>
      </c>
      <c r="Y3290" t="s">
        <v>49</v>
      </c>
      <c r="Z3290" t="s">
        <v>81</v>
      </c>
      <c r="AA3290" t="s">
        <v>122</v>
      </c>
      <c r="AB3290">
        <v>12</v>
      </c>
      <c r="AC3290" t="s">
        <v>113</v>
      </c>
      <c r="AD3290" t="s">
        <v>134</v>
      </c>
      <c r="AE3290" t="s">
        <v>135</v>
      </c>
      <c r="AF3290" t="s">
        <v>44</v>
      </c>
      <c r="AG3290" t="str">
        <f t="shared" si="63"/>
        <v>Recorrente</v>
      </c>
      <c r="AH3290" t="str">
        <f t="shared" si="64"/>
        <v/>
      </c>
    </row>
    <row r="3291" spans="1:34">
      <c r="A3291">
        <v>2026</v>
      </c>
      <c r="B3291">
        <v>4</v>
      </c>
      <c r="C3291" s="83">
        <v>191166257745</v>
      </c>
      <c r="D3291" t="s">
        <v>2930</v>
      </c>
      <c r="E3291">
        <v>57940139842</v>
      </c>
      <c r="F3291">
        <v>629015</v>
      </c>
      <c r="G3291">
        <v>53173736007</v>
      </c>
      <c r="H3291" t="s">
        <v>35</v>
      </c>
      <c r="I3291" s="36">
        <v>5034</v>
      </c>
      <c r="J3291" s="36">
        <v>5034</v>
      </c>
      <c r="K3291" s="85">
        <v>0</v>
      </c>
      <c r="L3291" s="36">
        <v>419.5</v>
      </c>
      <c r="M3291" s="36">
        <v>0</v>
      </c>
      <c r="N3291" s="36">
        <v>32.5</v>
      </c>
      <c r="O3291" s="36">
        <v>387</v>
      </c>
      <c r="P3291" t="s">
        <v>165</v>
      </c>
      <c r="Q3291" t="s">
        <v>166</v>
      </c>
      <c r="R3291" t="s">
        <v>166</v>
      </c>
      <c r="S3291" s="1">
        <v>46138</v>
      </c>
      <c r="T3291" s="1">
        <v>46138</v>
      </c>
      <c r="U3291" s="1">
        <v>46138</v>
      </c>
      <c r="V3291" s="1">
        <v>46503</v>
      </c>
      <c r="W3291" t="s">
        <v>38</v>
      </c>
      <c r="X3291">
        <v>12</v>
      </c>
      <c r="Y3291" t="s">
        <v>49</v>
      </c>
      <c r="Z3291" t="s">
        <v>81</v>
      </c>
      <c r="AA3291" t="s">
        <v>112</v>
      </c>
      <c r="AB3291">
        <v>12</v>
      </c>
      <c r="AC3291" t="s">
        <v>166</v>
      </c>
      <c r="AD3291" t="s">
        <v>84</v>
      </c>
      <c r="AE3291" t="s">
        <v>43</v>
      </c>
      <c r="AF3291" t="s">
        <v>44</v>
      </c>
      <c r="AG3291" t="str">
        <f t="shared" si="63"/>
        <v>CC 12x</v>
      </c>
      <c r="AH3291" t="str">
        <f t="shared" si="64"/>
        <v/>
      </c>
    </row>
    <row r="3292" spans="1:34">
      <c r="A3292">
        <v>2026</v>
      </c>
      <c r="B3292">
        <v>4</v>
      </c>
      <c r="C3292" s="83">
        <v>191428855446</v>
      </c>
      <c r="D3292" t="s">
        <v>2931</v>
      </c>
      <c r="E3292">
        <v>59272146519</v>
      </c>
      <c r="F3292">
        <v>532588</v>
      </c>
      <c r="G3292">
        <v>54379569045</v>
      </c>
      <c r="H3292" t="s">
        <v>35</v>
      </c>
      <c r="I3292" s="36">
        <v>10767.84</v>
      </c>
      <c r="J3292" s="36">
        <v>10767.84</v>
      </c>
      <c r="K3292" s="85">
        <v>0</v>
      </c>
      <c r="L3292" s="36">
        <v>897.32</v>
      </c>
      <c r="M3292" s="36">
        <v>0</v>
      </c>
      <c r="N3292" s="36">
        <v>12.3225</v>
      </c>
      <c r="O3292" s="36">
        <v>885</v>
      </c>
      <c r="P3292" t="s">
        <v>133</v>
      </c>
      <c r="Q3292" t="s">
        <v>111</v>
      </c>
      <c r="R3292" t="s">
        <v>111</v>
      </c>
      <c r="S3292" s="1">
        <v>46129</v>
      </c>
      <c r="T3292" s="1">
        <v>46129</v>
      </c>
      <c r="U3292" s="1">
        <v>46123</v>
      </c>
      <c r="V3292" s="1">
        <v>46494</v>
      </c>
      <c r="W3292" t="s">
        <v>38</v>
      </c>
      <c r="X3292">
        <v>12</v>
      </c>
      <c r="Y3292" t="s">
        <v>49</v>
      </c>
      <c r="Z3292" t="s">
        <v>81</v>
      </c>
      <c r="AA3292" t="s">
        <v>122</v>
      </c>
      <c r="AB3292">
        <v>12</v>
      </c>
      <c r="AC3292" t="s">
        <v>113</v>
      </c>
      <c r="AD3292" t="s">
        <v>146</v>
      </c>
      <c r="AE3292" t="s">
        <v>135</v>
      </c>
      <c r="AF3292" t="s">
        <v>96</v>
      </c>
      <c r="AG3292" t="str">
        <f t="shared" si="63"/>
        <v>Recorrente</v>
      </c>
      <c r="AH3292" t="str">
        <f t="shared" si="64"/>
        <v/>
      </c>
    </row>
    <row r="3293" spans="1:34">
      <c r="A3293">
        <v>2026</v>
      </c>
      <c r="B3293">
        <v>4</v>
      </c>
      <c r="C3293" s="83">
        <v>191519981328</v>
      </c>
      <c r="D3293" t="s">
        <v>2932</v>
      </c>
      <c r="E3293">
        <v>58874406146</v>
      </c>
      <c r="F3293">
        <v>533076</v>
      </c>
      <c r="G3293">
        <v>54295274753</v>
      </c>
      <c r="H3293" t="s">
        <v>35</v>
      </c>
      <c r="I3293" s="36">
        <v>5514</v>
      </c>
      <c r="J3293" s="36">
        <v>5514</v>
      </c>
      <c r="K3293" s="85">
        <v>0</v>
      </c>
      <c r="L3293" s="36">
        <v>459.5</v>
      </c>
      <c r="M3293" s="36">
        <v>0</v>
      </c>
      <c r="N3293" s="36">
        <v>0</v>
      </c>
      <c r="O3293" s="36">
        <v>459.5</v>
      </c>
      <c r="P3293" t="s">
        <v>137</v>
      </c>
      <c r="Q3293" t="s">
        <v>111</v>
      </c>
      <c r="R3293" t="s">
        <v>111</v>
      </c>
      <c r="S3293" s="1">
        <v>46128</v>
      </c>
      <c r="T3293" s="1">
        <v>46128</v>
      </c>
      <c r="U3293" s="1">
        <v>46130</v>
      </c>
      <c r="V3293" s="1">
        <v>46495</v>
      </c>
      <c r="W3293" t="s">
        <v>38</v>
      </c>
      <c r="X3293">
        <v>12</v>
      </c>
      <c r="Y3293" t="s">
        <v>49</v>
      </c>
      <c r="Z3293" t="s">
        <v>76</v>
      </c>
      <c r="AA3293" t="s">
        <v>122</v>
      </c>
      <c r="AB3293">
        <v>12</v>
      </c>
      <c r="AC3293" t="s">
        <v>113</v>
      </c>
      <c r="AD3293" t="s">
        <v>138</v>
      </c>
      <c r="AE3293" t="s">
        <v>135</v>
      </c>
      <c r="AF3293" t="s">
        <v>119</v>
      </c>
      <c r="AG3293" t="str">
        <f t="shared" si="63"/>
        <v>Recorrente</v>
      </c>
      <c r="AH3293" t="str">
        <f t="shared" si="64"/>
        <v/>
      </c>
    </row>
    <row r="3294" spans="1:34">
      <c r="A3294">
        <v>2026</v>
      </c>
      <c r="B3294">
        <v>4</v>
      </c>
      <c r="C3294" s="83">
        <v>192983862422</v>
      </c>
      <c r="D3294" t="s">
        <v>2933</v>
      </c>
      <c r="E3294">
        <v>59222190743</v>
      </c>
      <c r="F3294">
        <v>628662</v>
      </c>
      <c r="G3294">
        <v>54463018109</v>
      </c>
      <c r="H3294" t="s">
        <v>35</v>
      </c>
      <c r="I3294" s="36">
        <v>2442.84</v>
      </c>
      <c r="J3294" s="36">
        <v>2442.84</v>
      </c>
      <c r="K3294" s="85">
        <v>0</v>
      </c>
      <c r="L3294" s="36">
        <v>203.57</v>
      </c>
      <c r="M3294" s="36">
        <v>0</v>
      </c>
      <c r="N3294" s="36">
        <v>24.324999999999999</v>
      </c>
      <c r="O3294" s="36">
        <v>179.25</v>
      </c>
      <c r="P3294" t="s">
        <v>162</v>
      </c>
      <c r="Q3294" t="s">
        <v>111</v>
      </c>
      <c r="R3294" t="s">
        <v>111</v>
      </c>
      <c r="S3294" s="1">
        <v>46132</v>
      </c>
      <c r="T3294" s="1">
        <v>46132</v>
      </c>
      <c r="U3294" s="1">
        <v>46127</v>
      </c>
      <c r="V3294" s="1">
        <v>46497</v>
      </c>
      <c r="W3294" t="s">
        <v>38</v>
      </c>
      <c r="X3294">
        <v>12</v>
      </c>
      <c r="Y3294" t="s">
        <v>49</v>
      </c>
      <c r="Z3294" t="s">
        <v>81</v>
      </c>
      <c r="AA3294" t="s">
        <v>117</v>
      </c>
      <c r="AB3294">
        <v>1</v>
      </c>
      <c r="AC3294" t="s">
        <v>113</v>
      </c>
      <c r="AD3294" t="s">
        <v>140</v>
      </c>
      <c r="AE3294" t="s">
        <v>46</v>
      </c>
      <c r="AF3294" t="s">
        <v>119</v>
      </c>
      <c r="AG3294" t="str">
        <f t="shared" si="63"/>
        <v>À Vista</v>
      </c>
      <c r="AH3294" t="str">
        <f t="shared" si="64"/>
        <v/>
      </c>
    </row>
    <row r="3295" spans="1:34">
      <c r="A3295">
        <v>2026</v>
      </c>
      <c r="B3295">
        <v>4</v>
      </c>
      <c r="C3295" s="83">
        <v>19433895329</v>
      </c>
      <c r="D3295" t="s">
        <v>2934</v>
      </c>
      <c r="E3295">
        <v>59281373233</v>
      </c>
      <c r="F3295">
        <v>637520</v>
      </c>
      <c r="G3295">
        <v>54884899688</v>
      </c>
      <c r="H3295" t="s">
        <v>35</v>
      </c>
      <c r="I3295" s="36">
        <v>2483.04</v>
      </c>
      <c r="J3295" s="36">
        <v>2483.04</v>
      </c>
      <c r="K3295" s="85">
        <v>0</v>
      </c>
      <c r="L3295" s="36">
        <v>206.92</v>
      </c>
      <c r="M3295" s="36">
        <v>206.92</v>
      </c>
      <c r="N3295" s="36">
        <v>0</v>
      </c>
      <c r="O3295" s="36">
        <v>0</v>
      </c>
      <c r="P3295" t="s">
        <v>1073</v>
      </c>
      <c r="Q3295" t="s">
        <v>314</v>
      </c>
      <c r="R3295" t="s">
        <v>314</v>
      </c>
      <c r="S3295" s="1">
        <v>46142</v>
      </c>
      <c r="T3295" s="1">
        <v>46142</v>
      </c>
      <c r="U3295" s="1"/>
      <c r="V3295" s="1">
        <v>46507</v>
      </c>
      <c r="W3295" t="s">
        <v>38</v>
      </c>
      <c r="X3295">
        <v>12</v>
      </c>
      <c r="Y3295" t="s">
        <v>49</v>
      </c>
      <c r="AA3295" t="s">
        <v>112</v>
      </c>
      <c r="AB3295">
        <v>12</v>
      </c>
      <c r="AC3295" t="s">
        <v>315</v>
      </c>
      <c r="AD3295" t="s">
        <v>118</v>
      </c>
      <c r="AE3295" t="s">
        <v>43</v>
      </c>
      <c r="AF3295" t="s">
        <v>119</v>
      </c>
      <c r="AG3295" t="str">
        <f t="shared" si="63"/>
        <v>CC 12x</v>
      </c>
      <c r="AH3295" t="str">
        <f t="shared" si="64"/>
        <v/>
      </c>
    </row>
    <row r="3296" spans="1:34">
      <c r="A3296">
        <v>2026</v>
      </c>
      <c r="B3296">
        <v>4</v>
      </c>
      <c r="C3296" s="83">
        <v>19433895345</v>
      </c>
      <c r="D3296" t="s">
        <v>2935</v>
      </c>
      <c r="E3296">
        <v>59477434695</v>
      </c>
      <c r="F3296">
        <v>637264</v>
      </c>
      <c r="G3296">
        <v>54567970168</v>
      </c>
      <c r="H3296" t="s">
        <v>35</v>
      </c>
      <c r="I3296" s="36">
        <v>4932</v>
      </c>
      <c r="J3296" s="36">
        <v>4932</v>
      </c>
      <c r="K3296" s="85">
        <v>0</v>
      </c>
      <c r="L3296" s="36">
        <v>411</v>
      </c>
      <c r="M3296" s="36">
        <v>411</v>
      </c>
      <c r="N3296" s="36">
        <v>0</v>
      </c>
      <c r="O3296" s="36">
        <v>0</v>
      </c>
      <c r="P3296" t="s">
        <v>1243</v>
      </c>
      <c r="Q3296" t="s">
        <v>37</v>
      </c>
      <c r="R3296" t="s">
        <v>37</v>
      </c>
      <c r="S3296" s="1">
        <v>46135</v>
      </c>
      <c r="T3296" s="1">
        <v>46135</v>
      </c>
      <c r="U3296" s="1"/>
      <c r="V3296" s="1">
        <v>46500</v>
      </c>
      <c r="W3296" t="s">
        <v>38</v>
      </c>
      <c r="X3296">
        <v>12</v>
      </c>
      <c r="Y3296" t="s">
        <v>49</v>
      </c>
      <c r="AA3296" t="s">
        <v>40</v>
      </c>
      <c r="AB3296">
        <v>1</v>
      </c>
      <c r="AC3296" t="s">
        <v>41</v>
      </c>
      <c r="AD3296" t="s">
        <v>53</v>
      </c>
      <c r="AE3296" t="s">
        <v>43</v>
      </c>
      <c r="AF3296" t="s">
        <v>44</v>
      </c>
      <c r="AG3296" t="str">
        <f t="shared" si="63"/>
        <v>À Vista</v>
      </c>
      <c r="AH3296" t="str">
        <f t="shared" si="64"/>
        <v/>
      </c>
    </row>
    <row r="3297" spans="1:34">
      <c r="A3297">
        <v>2026</v>
      </c>
      <c r="B3297">
        <v>4</v>
      </c>
      <c r="C3297" s="83">
        <v>19433895544</v>
      </c>
      <c r="D3297" t="s">
        <v>2936</v>
      </c>
      <c r="E3297">
        <v>59079898740</v>
      </c>
      <c r="F3297">
        <v>637032</v>
      </c>
      <c r="G3297">
        <v>54205269937</v>
      </c>
      <c r="H3297" t="s">
        <v>35</v>
      </c>
      <c r="I3297" s="36">
        <v>2388</v>
      </c>
      <c r="J3297" s="36">
        <v>2388</v>
      </c>
      <c r="K3297" s="85">
        <v>0</v>
      </c>
      <c r="L3297" s="36">
        <v>199</v>
      </c>
      <c r="M3297" s="36">
        <v>199</v>
      </c>
      <c r="N3297" s="36">
        <v>0</v>
      </c>
      <c r="O3297" s="36">
        <v>0</v>
      </c>
      <c r="P3297" t="s">
        <v>511</v>
      </c>
      <c r="Q3297" t="s">
        <v>300</v>
      </c>
      <c r="R3297" t="s">
        <v>300</v>
      </c>
      <c r="S3297" s="1">
        <v>46122</v>
      </c>
      <c r="T3297" s="1">
        <v>46122</v>
      </c>
      <c r="U3297" s="1"/>
      <c r="V3297" s="1">
        <v>46487</v>
      </c>
      <c r="W3297" t="s">
        <v>38</v>
      </c>
      <c r="X3297">
        <v>12</v>
      </c>
      <c r="Y3297" t="s">
        <v>49</v>
      </c>
      <c r="AA3297" t="s">
        <v>112</v>
      </c>
      <c r="AB3297">
        <v>12</v>
      </c>
      <c r="AC3297" t="s">
        <v>301</v>
      </c>
      <c r="AD3297" t="s">
        <v>140</v>
      </c>
      <c r="AE3297" t="s">
        <v>46</v>
      </c>
      <c r="AF3297" t="s">
        <v>119</v>
      </c>
      <c r="AG3297" t="str">
        <f t="shared" si="63"/>
        <v>CC 12x</v>
      </c>
      <c r="AH3297" t="str">
        <f t="shared" si="64"/>
        <v/>
      </c>
    </row>
    <row r="3298" spans="1:34">
      <c r="A3298">
        <v>2026</v>
      </c>
      <c r="B3298">
        <v>4</v>
      </c>
      <c r="C3298" s="83">
        <v>19433900167</v>
      </c>
      <c r="D3298" t="s">
        <v>2937</v>
      </c>
      <c r="E3298">
        <v>58685779221</v>
      </c>
      <c r="F3298">
        <v>311198</v>
      </c>
      <c r="G3298">
        <v>53857846588</v>
      </c>
      <c r="H3298" t="s">
        <v>35</v>
      </c>
      <c r="I3298" s="36">
        <v>6835.68</v>
      </c>
      <c r="J3298" s="36">
        <v>6835.68</v>
      </c>
      <c r="K3298" s="85">
        <v>0</v>
      </c>
      <c r="L3298" s="36">
        <v>569.64</v>
      </c>
      <c r="M3298" s="36">
        <v>0</v>
      </c>
      <c r="N3298" s="36">
        <v>150.97333330000001</v>
      </c>
      <c r="O3298" s="36">
        <v>418.66666670000001</v>
      </c>
      <c r="P3298" t="s">
        <v>162</v>
      </c>
      <c r="Q3298" t="s">
        <v>111</v>
      </c>
      <c r="R3298" t="s">
        <v>111</v>
      </c>
      <c r="S3298" s="1">
        <v>46114</v>
      </c>
      <c r="T3298" s="1">
        <v>46114</v>
      </c>
      <c r="U3298" s="1">
        <v>46088</v>
      </c>
      <c r="V3298" s="1">
        <v>46479</v>
      </c>
      <c r="W3298" t="s">
        <v>38</v>
      </c>
      <c r="X3298">
        <v>13</v>
      </c>
      <c r="Y3298" t="s">
        <v>49</v>
      </c>
      <c r="Z3298" t="s">
        <v>81</v>
      </c>
      <c r="AA3298" t="s">
        <v>122</v>
      </c>
      <c r="AB3298">
        <v>12</v>
      </c>
      <c r="AC3298" t="s">
        <v>113</v>
      </c>
      <c r="AD3298" t="s">
        <v>131</v>
      </c>
      <c r="AE3298" t="s">
        <v>46</v>
      </c>
      <c r="AF3298" t="s">
        <v>96</v>
      </c>
      <c r="AG3298" t="str">
        <f t="shared" si="63"/>
        <v>Recorrente</v>
      </c>
      <c r="AH3298" t="str">
        <f t="shared" si="64"/>
        <v/>
      </c>
    </row>
    <row r="3299" spans="1:34">
      <c r="A3299">
        <v>2026</v>
      </c>
      <c r="B3299">
        <v>4</v>
      </c>
      <c r="C3299" s="83">
        <v>19435332780</v>
      </c>
      <c r="D3299" t="s">
        <v>2938</v>
      </c>
      <c r="E3299">
        <v>59502393400</v>
      </c>
      <c r="F3299">
        <v>637266</v>
      </c>
      <c r="G3299">
        <v>54567224137</v>
      </c>
      <c r="H3299" t="s">
        <v>35</v>
      </c>
      <c r="I3299" s="36">
        <v>4863.24</v>
      </c>
      <c r="J3299" s="36">
        <v>4863.2377200000001</v>
      </c>
      <c r="K3299" s="85">
        <v>2.2799999999999999E-3</v>
      </c>
      <c r="L3299" s="36">
        <v>405.26981000000001</v>
      </c>
      <c r="M3299" s="36">
        <v>0</v>
      </c>
      <c r="N3299" s="36">
        <v>405.26981000000001</v>
      </c>
      <c r="O3299" s="36">
        <v>0</v>
      </c>
      <c r="P3299" t="s">
        <v>367</v>
      </c>
      <c r="Q3299" t="s">
        <v>191</v>
      </c>
      <c r="R3299" t="s">
        <v>191</v>
      </c>
      <c r="S3299" s="1">
        <v>46135</v>
      </c>
      <c r="T3299" s="1">
        <v>46135</v>
      </c>
      <c r="U3299" s="1"/>
      <c r="V3299" s="1">
        <v>46500</v>
      </c>
      <c r="W3299" t="s">
        <v>38</v>
      </c>
      <c r="X3299">
        <v>12</v>
      </c>
      <c r="Y3299" t="s">
        <v>49</v>
      </c>
      <c r="AA3299" t="s">
        <v>122</v>
      </c>
      <c r="AB3299">
        <v>12</v>
      </c>
      <c r="AC3299" t="s">
        <v>192</v>
      </c>
      <c r="AD3299" t="s">
        <v>138</v>
      </c>
      <c r="AE3299" t="s">
        <v>135</v>
      </c>
      <c r="AF3299" t="s">
        <v>119</v>
      </c>
      <c r="AG3299" t="str">
        <f t="shared" si="63"/>
        <v>Recorrente</v>
      </c>
      <c r="AH3299" t="str">
        <f t="shared" si="64"/>
        <v/>
      </c>
    </row>
    <row r="3300" spans="1:34">
      <c r="A3300">
        <v>2026</v>
      </c>
      <c r="B3300">
        <v>4</v>
      </c>
      <c r="C3300" s="83">
        <v>19435355941</v>
      </c>
      <c r="D3300" t="s">
        <v>2939</v>
      </c>
      <c r="E3300">
        <v>58711451490</v>
      </c>
      <c r="F3300">
        <v>636880</v>
      </c>
      <c r="G3300">
        <v>53904777286</v>
      </c>
      <c r="H3300" t="s">
        <v>35</v>
      </c>
      <c r="I3300" s="36">
        <v>9354</v>
      </c>
      <c r="J3300" s="36">
        <v>9354</v>
      </c>
      <c r="K3300" s="85">
        <v>0</v>
      </c>
      <c r="L3300" s="36">
        <v>779.5</v>
      </c>
      <c r="M3300" s="36">
        <v>779.5</v>
      </c>
      <c r="N3300" s="36">
        <v>0</v>
      </c>
      <c r="O3300" s="36">
        <v>0</v>
      </c>
      <c r="P3300" t="s">
        <v>497</v>
      </c>
      <c r="Q3300" t="s">
        <v>498</v>
      </c>
      <c r="R3300" t="s">
        <v>498</v>
      </c>
      <c r="S3300" s="1">
        <v>46114</v>
      </c>
      <c r="T3300" s="1">
        <v>46114</v>
      </c>
      <c r="V3300" s="1">
        <v>46479</v>
      </c>
      <c r="W3300" t="s">
        <v>38</v>
      </c>
      <c r="X3300">
        <v>12</v>
      </c>
      <c r="Y3300" t="s">
        <v>49</v>
      </c>
      <c r="AA3300" t="s">
        <v>112</v>
      </c>
      <c r="AB3300">
        <v>12</v>
      </c>
      <c r="AC3300" t="s">
        <v>499</v>
      </c>
      <c r="AD3300" t="s">
        <v>134</v>
      </c>
      <c r="AE3300" t="s">
        <v>135</v>
      </c>
      <c r="AF3300" t="s">
        <v>44</v>
      </c>
      <c r="AG3300" t="str">
        <f t="shared" si="63"/>
        <v>CC 12x</v>
      </c>
      <c r="AH3300" t="str">
        <f t="shared" si="64"/>
        <v/>
      </c>
    </row>
    <row r="3301" spans="1:34">
      <c r="A3301">
        <v>2026</v>
      </c>
      <c r="B3301">
        <v>4</v>
      </c>
      <c r="C3301" s="83">
        <v>19435361836</v>
      </c>
      <c r="D3301" t="s">
        <v>2940</v>
      </c>
      <c r="E3301">
        <v>59383261538</v>
      </c>
      <c r="F3301">
        <v>637205</v>
      </c>
      <c r="G3301">
        <v>54466308388</v>
      </c>
      <c r="H3301" t="s">
        <v>35</v>
      </c>
      <c r="I3301" s="36">
        <v>4074</v>
      </c>
      <c r="J3301" s="36">
        <v>4074</v>
      </c>
      <c r="K3301" s="85">
        <v>0</v>
      </c>
      <c r="L3301" s="36">
        <v>339.5</v>
      </c>
      <c r="M3301" s="36">
        <v>339.5</v>
      </c>
      <c r="N3301" s="36">
        <v>0</v>
      </c>
      <c r="O3301" s="36">
        <v>0</v>
      </c>
      <c r="P3301" t="s">
        <v>313</v>
      </c>
      <c r="Q3301" t="s">
        <v>349</v>
      </c>
      <c r="R3301" t="s">
        <v>349</v>
      </c>
      <c r="S3301" s="1">
        <v>46132</v>
      </c>
      <c r="T3301" s="1">
        <v>46132</v>
      </c>
      <c r="V3301" s="1">
        <v>46497</v>
      </c>
      <c r="W3301" t="s">
        <v>38</v>
      </c>
      <c r="X3301">
        <v>12</v>
      </c>
      <c r="Y3301" t="s">
        <v>49</v>
      </c>
      <c r="AA3301" t="s">
        <v>92</v>
      </c>
      <c r="AB3301">
        <v>12</v>
      </c>
      <c r="AC3301" t="s">
        <v>350</v>
      </c>
      <c r="AD3301" t="s">
        <v>160</v>
      </c>
      <c r="AE3301" t="s">
        <v>43</v>
      </c>
      <c r="AF3301" t="s">
        <v>44</v>
      </c>
      <c r="AG3301" t="str">
        <f t="shared" si="63"/>
        <v>Recorrente</v>
      </c>
      <c r="AH3301" t="str">
        <f t="shared" si="64"/>
        <v/>
      </c>
    </row>
    <row r="3302" spans="1:34">
      <c r="A3302">
        <v>2026</v>
      </c>
      <c r="B3302">
        <v>4</v>
      </c>
      <c r="C3302" s="83">
        <v>19435374451</v>
      </c>
      <c r="D3302" t="s">
        <v>2941</v>
      </c>
      <c r="E3302">
        <v>58639487593</v>
      </c>
      <c r="F3302">
        <v>612581</v>
      </c>
      <c r="G3302">
        <v>53857530650</v>
      </c>
      <c r="H3302" t="s">
        <v>35</v>
      </c>
      <c r="I3302" s="36">
        <v>2787.72</v>
      </c>
      <c r="J3302" s="36">
        <v>2787.72</v>
      </c>
      <c r="K3302" s="85">
        <v>0</v>
      </c>
      <c r="L3302" s="36">
        <v>232.31</v>
      </c>
      <c r="M3302" s="36">
        <v>0</v>
      </c>
      <c r="N3302" s="36">
        <v>130.74</v>
      </c>
      <c r="O3302" s="36">
        <v>101.575</v>
      </c>
      <c r="P3302" t="s">
        <v>162</v>
      </c>
      <c r="Q3302" t="s">
        <v>111</v>
      </c>
      <c r="R3302" t="s">
        <v>111</v>
      </c>
      <c r="S3302" s="1">
        <v>46114</v>
      </c>
      <c r="T3302" s="1">
        <v>46114</v>
      </c>
      <c r="U3302" s="1">
        <v>46113</v>
      </c>
      <c r="V3302" s="1">
        <v>46479</v>
      </c>
      <c r="W3302" t="s">
        <v>38</v>
      </c>
      <c r="X3302">
        <v>12</v>
      </c>
      <c r="Y3302" t="s">
        <v>49</v>
      </c>
      <c r="Z3302" t="s">
        <v>81</v>
      </c>
      <c r="AA3302" t="s">
        <v>112</v>
      </c>
      <c r="AB3302">
        <v>12</v>
      </c>
      <c r="AC3302" t="s">
        <v>113</v>
      </c>
      <c r="AD3302" t="s">
        <v>118</v>
      </c>
      <c r="AE3302" t="s">
        <v>43</v>
      </c>
      <c r="AF3302" t="s">
        <v>119</v>
      </c>
      <c r="AG3302" t="str">
        <f t="shared" si="63"/>
        <v>CC 12x</v>
      </c>
      <c r="AH3302" t="str">
        <f t="shared" si="64"/>
        <v/>
      </c>
    </row>
    <row r="3303" spans="1:34">
      <c r="A3303">
        <v>2026</v>
      </c>
      <c r="B3303">
        <v>4</v>
      </c>
      <c r="C3303" s="83">
        <v>19435374451</v>
      </c>
      <c r="D3303" t="s">
        <v>2941</v>
      </c>
      <c r="E3303">
        <v>58639487593</v>
      </c>
      <c r="F3303">
        <v>612581</v>
      </c>
      <c r="G3303">
        <v>53857530651</v>
      </c>
      <c r="H3303" t="s">
        <v>35</v>
      </c>
      <c r="I3303" s="36">
        <v>2787.72</v>
      </c>
      <c r="J3303" s="36">
        <v>2787.72</v>
      </c>
      <c r="K3303" s="85">
        <v>0</v>
      </c>
      <c r="L3303" s="36">
        <v>232.31</v>
      </c>
      <c r="M3303" s="36">
        <v>0</v>
      </c>
      <c r="N3303" s="36">
        <v>130.74</v>
      </c>
      <c r="O3303" s="36">
        <v>101.575</v>
      </c>
      <c r="P3303" t="s">
        <v>162</v>
      </c>
      <c r="Q3303" t="s">
        <v>111</v>
      </c>
      <c r="R3303" t="s">
        <v>111</v>
      </c>
      <c r="S3303" s="1">
        <v>46114</v>
      </c>
      <c r="T3303" s="1">
        <v>46114</v>
      </c>
      <c r="U3303" s="1">
        <v>46113</v>
      </c>
      <c r="V3303" s="1">
        <v>46479</v>
      </c>
      <c r="W3303" t="s">
        <v>38</v>
      </c>
      <c r="X3303">
        <v>12</v>
      </c>
      <c r="Y3303" t="s">
        <v>49</v>
      </c>
      <c r="Z3303" t="s">
        <v>81</v>
      </c>
      <c r="AA3303" t="s">
        <v>112</v>
      </c>
      <c r="AB3303">
        <v>12</v>
      </c>
      <c r="AC3303" t="s">
        <v>113</v>
      </c>
      <c r="AD3303" t="s">
        <v>140</v>
      </c>
      <c r="AE3303" t="s">
        <v>46</v>
      </c>
      <c r="AF3303" t="s">
        <v>119</v>
      </c>
      <c r="AG3303" t="str">
        <f t="shared" si="63"/>
        <v>CC 12x</v>
      </c>
      <c r="AH3303" t="str">
        <f t="shared" si="64"/>
        <v/>
      </c>
    </row>
    <row r="3304" spans="1:34">
      <c r="A3304">
        <v>2026</v>
      </c>
      <c r="B3304">
        <v>4</v>
      </c>
      <c r="C3304" s="83">
        <v>19435374485</v>
      </c>
      <c r="D3304" t="s">
        <v>2942</v>
      </c>
      <c r="E3304">
        <v>57953587379</v>
      </c>
      <c r="F3304">
        <v>627261</v>
      </c>
      <c r="G3304">
        <v>54154657300</v>
      </c>
      <c r="H3304" t="s">
        <v>35</v>
      </c>
      <c r="I3304" s="36">
        <v>4686.84</v>
      </c>
      <c r="J3304" s="36">
        <v>4686.84</v>
      </c>
      <c r="K3304" s="85">
        <v>0</v>
      </c>
      <c r="L3304" s="36">
        <v>390.57</v>
      </c>
      <c r="M3304" s="36">
        <v>0</v>
      </c>
      <c r="N3304" s="36">
        <v>44.155000000000001</v>
      </c>
      <c r="O3304" s="36">
        <v>346.42</v>
      </c>
      <c r="P3304" t="s">
        <v>110</v>
      </c>
      <c r="Q3304" t="s">
        <v>111</v>
      </c>
      <c r="R3304" t="s">
        <v>111</v>
      </c>
      <c r="S3304" s="1">
        <v>46121</v>
      </c>
      <c r="T3304" s="1">
        <v>46121</v>
      </c>
      <c r="U3304" s="1">
        <v>46092</v>
      </c>
      <c r="V3304" s="1">
        <v>46486</v>
      </c>
      <c r="W3304" t="s">
        <v>38</v>
      </c>
      <c r="X3304">
        <v>13</v>
      </c>
      <c r="Y3304" t="s">
        <v>49</v>
      </c>
      <c r="Z3304" t="s">
        <v>81</v>
      </c>
      <c r="AA3304" t="s">
        <v>122</v>
      </c>
      <c r="AB3304">
        <v>12</v>
      </c>
      <c r="AC3304" t="s">
        <v>113</v>
      </c>
      <c r="AD3304" t="s">
        <v>138</v>
      </c>
      <c r="AE3304" t="s">
        <v>135</v>
      </c>
      <c r="AF3304" t="s">
        <v>119</v>
      </c>
      <c r="AG3304" t="str">
        <f t="shared" si="63"/>
        <v>Recorrente</v>
      </c>
      <c r="AH3304" t="str">
        <f t="shared" si="64"/>
        <v/>
      </c>
    </row>
    <row r="3305" spans="1:34">
      <c r="A3305">
        <v>2026</v>
      </c>
      <c r="B3305">
        <v>4</v>
      </c>
      <c r="C3305" s="83">
        <v>19435381172</v>
      </c>
      <c r="D3305" t="s">
        <v>2943</v>
      </c>
      <c r="E3305">
        <v>58651003961</v>
      </c>
      <c r="F3305">
        <v>637422</v>
      </c>
      <c r="G3305">
        <v>54801648040</v>
      </c>
      <c r="H3305" t="s">
        <v>35</v>
      </c>
      <c r="I3305" s="36">
        <v>9864</v>
      </c>
      <c r="J3305" s="36">
        <v>4932</v>
      </c>
      <c r="K3305" s="85">
        <v>4932</v>
      </c>
      <c r="L3305" s="36">
        <v>411</v>
      </c>
      <c r="M3305" s="36">
        <v>411</v>
      </c>
      <c r="N3305" s="36">
        <v>0</v>
      </c>
      <c r="O3305" s="36">
        <v>0</v>
      </c>
      <c r="P3305" t="s">
        <v>36</v>
      </c>
      <c r="Q3305" t="s">
        <v>37</v>
      </c>
      <c r="R3305" t="s">
        <v>37</v>
      </c>
      <c r="S3305" s="1">
        <v>46140</v>
      </c>
      <c r="T3305" s="1">
        <v>46140</v>
      </c>
      <c r="V3305" s="1">
        <v>46871</v>
      </c>
      <c r="W3305" t="s">
        <v>56</v>
      </c>
      <c r="X3305">
        <v>24</v>
      </c>
      <c r="Y3305" t="s">
        <v>49</v>
      </c>
      <c r="AA3305" t="s">
        <v>40</v>
      </c>
      <c r="AB3305">
        <v>1</v>
      </c>
      <c r="AC3305" t="s">
        <v>41</v>
      </c>
      <c r="AD3305" t="s">
        <v>53</v>
      </c>
      <c r="AE3305" t="s">
        <v>43</v>
      </c>
      <c r="AF3305" t="s">
        <v>44</v>
      </c>
      <c r="AG3305" t="str">
        <f t="shared" si="63"/>
        <v>À Vista</v>
      </c>
      <c r="AH3305" t="str">
        <f t="shared" si="64"/>
        <v/>
      </c>
    </row>
    <row r="3306" spans="1:34">
      <c r="A3306">
        <v>2026</v>
      </c>
      <c r="B3306">
        <v>4</v>
      </c>
      <c r="C3306" s="83">
        <v>19435381172</v>
      </c>
      <c r="D3306" t="s">
        <v>2943</v>
      </c>
      <c r="E3306">
        <v>58651003961</v>
      </c>
      <c r="F3306">
        <v>637422</v>
      </c>
      <c r="G3306">
        <v>54801648041</v>
      </c>
      <c r="H3306" t="s">
        <v>35</v>
      </c>
      <c r="I3306" s="36">
        <v>11544</v>
      </c>
      <c r="J3306" s="36">
        <v>5772</v>
      </c>
      <c r="K3306" s="85">
        <v>5772</v>
      </c>
      <c r="L3306" s="36">
        <v>481</v>
      </c>
      <c r="M3306" s="36">
        <v>481</v>
      </c>
      <c r="N3306" s="36">
        <v>0</v>
      </c>
      <c r="O3306" s="36">
        <v>0</v>
      </c>
      <c r="P3306" t="s">
        <v>36</v>
      </c>
      <c r="Q3306" t="s">
        <v>37</v>
      </c>
      <c r="R3306" t="s">
        <v>37</v>
      </c>
      <c r="S3306" s="1">
        <v>46140</v>
      </c>
      <c r="T3306" s="1">
        <v>46140</v>
      </c>
      <c r="V3306" s="1">
        <v>46871</v>
      </c>
      <c r="W3306" t="s">
        <v>56</v>
      </c>
      <c r="X3306">
        <v>24</v>
      </c>
      <c r="Y3306" t="s">
        <v>49</v>
      </c>
      <c r="AA3306" t="s">
        <v>40</v>
      </c>
      <c r="AB3306">
        <v>1</v>
      </c>
      <c r="AC3306" t="s">
        <v>41</v>
      </c>
      <c r="AD3306" t="s">
        <v>54</v>
      </c>
      <c r="AE3306" t="s">
        <v>46</v>
      </c>
      <c r="AF3306" t="s">
        <v>44</v>
      </c>
      <c r="AG3306" t="str">
        <f t="shared" si="63"/>
        <v>À Vista</v>
      </c>
      <c r="AH3306" t="str">
        <f t="shared" si="64"/>
        <v/>
      </c>
    </row>
    <row r="3307" spans="1:34">
      <c r="A3307">
        <v>2026</v>
      </c>
      <c r="B3307">
        <v>4</v>
      </c>
      <c r="C3307" s="83">
        <v>19435393675</v>
      </c>
      <c r="D3307" t="s">
        <v>2944</v>
      </c>
      <c r="E3307">
        <v>59297521451</v>
      </c>
      <c r="F3307">
        <v>541340</v>
      </c>
      <c r="G3307">
        <v>54741164150</v>
      </c>
      <c r="H3307" t="s">
        <v>35</v>
      </c>
      <c r="I3307" s="36">
        <v>291.95999999999998</v>
      </c>
      <c r="J3307" s="36">
        <v>1198.2</v>
      </c>
      <c r="K3307" s="85">
        <v>0</v>
      </c>
      <c r="L3307" s="36">
        <v>99.85</v>
      </c>
      <c r="M3307" s="36">
        <v>0</v>
      </c>
      <c r="N3307" s="36">
        <v>99.85</v>
      </c>
      <c r="O3307" s="36">
        <v>0</v>
      </c>
      <c r="P3307" t="s">
        <v>469</v>
      </c>
      <c r="Q3307" t="s">
        <v>191</v>
      </c>
      <c r="R3307" t="s">
        <v>191</v>
      </c>
      <c r="S3307" s="1">
        <v>46139</v>
      </c>
      <c r="T3307" s="1">
        <v>46139</v>
      </c>
      <c r="U3307" s="1">
        <v>46228</v>
      </c>
      <c r="V3307" s="1">
        <v>46228</v>
      </c>
      <c r="W3307" t="s">
        <v>38</v>
      </c>
      <c r="X3307">
        <v>3</v>
      </c>
      <c r="Y3307" t="s">
        <v>49</v>
      </c>
      <c r="Z3307" t="s">
        <v>324</v>
      </c>
      <c r="AA3307" t="s">
        <v>117</v>
      </c>
      <c r="AB3307">
        <v>1</v>
      </c>
      <c r="AC3307" t="s">
        <v>192</v>
      </c>
      <c r="AD3307" t="s">
        <v>158</v>
      </c>
      <c r="AE3307" t="s">
        <v>43</v>
      </c>
      <c r="AF3307" t="s">
        <v>47</v>
      </c>
      <c r="AG3307" t="str">
        <f t="shared" si="63"/>
        <v>À Vista</v>
      </c>
      <c r="AH3307" t="str">
        <f t="shared" si="64"/>
        <v/>
      </c>
    </row>
    <row r="3308" spans="1:34">
      <c r="A3308">
        <v>2026</v>
      </c>
      <c r="B3308">
        <v>4</v>
      </c>
      <c r="C3308" s="83">
        <v>19435398199</v>
      </c>
      <c r="D3308" t="s">
        <v>2945</v>
      </c>
      <c r="E3308">
        <v>59149886268</v>
      </c>
      <c r="F3308">
        <v>637078</v>
      </c>
      <c r="G3308">
        <v>54271003545</v>
      </c>
      <c r="H3308" t="s">
        <v>35</v>
      </c>
      <c r="I3308" s="36">
        <v>5034</v>
      </c>
      <c r="J3308" s="36">
        <v>5034</v>
      </c>
      <c r="K3308" s="85">
        <v>0</v>
      </c>
      <c r="L3308" s="36">
        <v>419.5</v>
      </c>
      <c r="M3308" s="36">
        <v>419.5</v>
      </c>
      <c r="N3308" s="36">
        <v>0</v>
      </c>
      <c r="O3308" s="36">
        <v>0</v>
      </c>
      <c r="P3308" t="s">
        <v>1073</v>
      </c>
      <c r="Q3308" t="s">
        <v>314</v>
      </c>
      <c r="R3308" t="s">
        <v>314</v>
      </c>
      <c r="S3308" s="1">
        <v>46126</v>
      </c>
      <c r="T3308" s="1">
        <v>46126</v>
      </c>
      <c r="U3308" s="1"/>
      <c r="V3308" s="1">
        <v>46491</v>
      </c>
      <c r="W3308" t="s">
        <v>38</v>
      </c>
      <c r="X3308">
        <v>12</v>
      </c>
      <c r="Y3308" t="s">
        <v>49</v>
      </c>
      <c r="AA3308" t="s">
        <v>122</v>
      </c>
      <c r="AB3308">
        <v>12</v>
      </c>
      <c r="AC3308" t="s">
        <v>315</v>
      </c>
      <c r="AD3308" t="s">
        <v>84</v>
      </c>
      <c r="AE3308" t="s">
        <v>43</v>
      </c>
      <c r="AF3308" t="s">
        <v>44</v>
      </c>
      <c r="AG3308" t="str">
        <f t="shared" si="63"/>
        <v>Recorrente</v>
      </c>
      <c r="AH3308" t="str">
        <f t="shared" si="64"/>
        <v/>
      </c>
    </row>
    <row r="3309" spans="1:34">
      <c r="A3309">
        <v>2026</v>
      </c>
      <c r="B3309">
        <v>4</v>
      </c>
      <c r="C3309" s="83">
        <v>19435398262</v>
      </c>
      <c r="D3309" t="s">
        <v>2946</v>
      </c>
      <c r="E3309">
        <v>59503433384</v>
      </c>
      <c r="F3309">
        <v>328301</v>
      </c>
      <c r="G3309">
        <v>54635443615</v>
      </c>
      <c r="H3309" t="s">
        <v>35</v>
      </c>
      <c r="I3309" s="36">
        <v>2586.6</v>
      </c>
      <c r="J3309" s="36">
        <v>2586.6</v>
      </c>
      <c r="K3309" s="85">
        <v>0</v>
      </c>
      <c r="L3309" s="36">
        <v>215.55</v>
      </c>
      <c r="M3309" s="36">
        <v>215.55</v>
      </c>
      <c r="N3309" s="36">
        <v>0</v>
      </c>
      <c r="O3309" s="36">
        <v>0</v>
      </c>
      <c r="P3309" t="s">
        <v>162</v>
      </c>
      <c r="Q3309" t="s">
        <v>111</v>
      </c>
      <c r="R3309" t="s">
        <v>111</v>
      </c>
      <c r="S3309" s="1">
        <v>46136</v>
      </c>
      <c r="T3309" s="1">
        <v>46136</v>
      </c>
      <c r="U3309" s="1">
        <v>46049</v>
      </c>
      <c r="V3309" s="1">
        <v>46501</v>
      </c>
      <c r="W3309" t="s">
        <v>38</v>
      </c>
      <c r="X3309">
        <v>15</v>
      </c>
      <c r="Y3309" t="s">
        <v>49</v>
      </c>
      <c r="Z3309" t="s">
        <v>76</v>
      </c>
      <c r="AA3309" t="s">
        <v>112</v>
      </c>
      <c r="AB3309">
        <v>12</v>
      </c>
      <c r="AC3309" t="s">
        <v>113</v>
      </c>
      <c r="AD3309" t="s">
        <v>140</v>
      </c>
      <c r="AE3309" t="s">
        <v>46</v>
      </c>
      <c r="AF3309" t="s">
        <v>119</v>
      </c>
      <c r="AG3309" t="str">
        <f t="shared" si="63"/>
        <v>CC 12x</v>
      </c>
      <c r="AH3309" t="str">
        <f t="shared" si="64"/>
        <v/>
      </c>
    </row>
    <row r="3310" spans="1:34">
      <c r="A3310">
        <v>2026</v>
      </c>
      <c r="B3310">
        <v>4</v>
      </c>
      <c r="C3310" s="83">
        <v>19435398462</v>
      </c>
      <c r="D3310" t="s">
        <v>124</v>
      </c>
      <c r="E3310">
        <v>58157594372</v>
      </c>
      <c r="F3310">
        <v>532741</v>
      </c>
      <c r="G3310">
        <v>53407477879</v>
      </c>
      <c r="H3310" t="s">
        <v>35</v>
      </c>
      <c r="I3310" s="36">
        <v>5114.88</v>
      </c>
      <c r="J3310" s="36">
        <v>5114.88</v>
      </c>
      <c r="K3310" s="85">
        <v>0</v>
      </c>
      <c r="L3310" s="36">
        <v>426.24</v>
      </c>
      <c r="M3310" s="36">
        <v>0</v>
      </c>
      <c r="N3310" s="36">
        <v>2.08691</v>
      </c>
      <c r="O3310" s="36">
        <v>424.15</v>
      </c>
      <c r="P3310" t="s">
        <v>116</v>
      </c>
      <c r="Q3310" t="s">
        <v>111</v>
      </c>
      <c r="R3310" t="s">
        <v>111</v>
      </c>
      <c r="S3310" s="1">
        <v>46101</v>
      </c>
      <c r="T3310" s="1">
        <v>46113</v>
      </c>
      <c r="U3310" s="1">
        <v>46126</v>
      </c>
      <c r="V3310" s="1">
        <v>46491</v>
      </c>
      <c r="W3310" t="s">
        <v>38</v>
      </c>
      <c r="X3310">
        <v>12</v>
      </c>
      <c r="Y3310" t="s">
        <v>49</v>
      </c>
      <c r="Z3310" t="s">
        <v>81</v>
      </c>
      <c r="AA3310" t="s">
        <v>122</v>
      </c>
      <c r="AB3310">
        <v>12</v>
      </c>
      <c r="AC3310" t="s">
        <v>113</v>
      </c>
      <c r="AD3310" t="s">
        <v>149</v>
      </c>
      <c r="AE3310" t="s">
        <v>43</v>
      </c>
      <c r="AF3310" t="s">
        <v>96</v>
      </c>
      <c r="AG3310" t="str">
        <f t="shared" si="63"/>
        <v>Recorrente</v>
      </c>
      <c r="AH3310" t="str">
        <f t="shared" si="64"/>
        <v/>
      </c>
    </row>
    <row r="3311" spans="1:34">
      <c r="A3311">
        <v>2026</v>
      </c>
      <c r="B3311">
        <v>4</v>
      </c>
      <c r="C3311" s="83">
        <v>19435413538</v>
      </c>
      <c r="D3311" t="s">
        <v>2947</v>
      </c>
      <c r="E3311">
        <v>58896715783</v>
      </c>
      <c r="F3311">
        <v>513785</v>
      </c>
      <c r="G3311">
        <v>54038744352</v>
      </c>
      <c r="H3311" t="s">
        <v>35</v>
      </c>
      <c r="I3311" s="36">
        <v>1363.8</v>
      </c>
      <c r="J3311" s="36">
        <v>4331.88</v>
      </c>
      <c r="K3311" s="85">
        <v>0</v>
      </c>
      <c r="L3311" s="36">
        <v>360.99</v>
      </c>
      <c r="M3311" s="36">
        <v>0</v>
      </c>
      <c r="N3311" s="36">
        <v>360.99</v>
      </c>
      <c r="O3311" s="36">
        <v>0</v>
      </c>
      <c r="P3311" t="s">
        <v>190</v>
      </c>
      <c r="Q3311" t="s">
        <v>191</v>
      </c>
      <c r="R3311" t="s">
        <v>191</v>
      </c>
      <c r="S3311" s="1">
        <v>46119</v>
      </c>
      <c r="T3311" s="1">
        <v>46119</v>
      </c>
      <c r="U3311" s="1">
        <v>46234</v>
      </c>
      <c r="V3311" s="1">
        <v>46234</v>
      </c>
      <c r="W3311" t="s">
        <v>38</v>
      </c>
      <c r="X3311">
        <v>3</v>
      </c>
      <c r="Y3311" t="s">
        <v>49</v>
      </c>
      <c r="Z3311" t="s">
        <v>324</v>
      </c>
      <c r="AA3311" t="s">
        <v>122</v>
      </c>
      <c r="AB3311">
        <v>3</v>
      </c>
      <c r="AC3311" t="s">
        <v>192</v>
      </c>
      <c r="AD3311" t="s">
        <v>84</v>
      </c>
      <c r="AE3311" t="s">
        <v>43</v>
      </c>
      <c r="AF3311" t="s">
        <v>44</v>
      </c>
      <c r="AG3311" t="str">
        <f t="shared" si="63"/>
        <v>Recorrente</v>
      </c>
      <c r="AH3311" t="str">
        <f t="shared" si="64"/>
        <v/>
      </c>
    </row>
    <row r="3312" spans="1:34">
      <c r="A3312">
        <v>2026</v>
      </c>
      <c r="B3312">
        <v>4</v>
      </c>
      <c r="C3312" s="83">
        <v>19435418146</v>
      </c>
      <c r="D3312" t="s">
        <v>2085</v>
      </c>
      <c r="E3312">
        <v>59722658730</v>
      </c>
      <c r="F3312">
        <v>637514</v>
      </c>
      <c r="G3312">
        <v>54884810068</v>
      </c>
      <c r="H3312" t="s">
        <v>35</v>
      </c>
      <c r="I3312" s="36">
        <v>3381.36</v>
      </c>
      <c r="J3312" s="36">
        <v>1317.48</v>
      </c>
      <c r="K3312" s="85">
        <v>2063.88</v>
      </c>
      <c r="L3312" s="36">
        <v>109.79</v>
      </c>
      <c r="M3312" s="36">
        <v>0</v>
      </c>
      <c r="N3312" s="36">
        <v>109.79</v>
      </c>
      <c r="O3312" s="36">
        <v>0</v>
      </c>
      <c r="P3312" t="s">
        <v>804</v>
      </c>
      <c r="Q3312" t="s">
        <v>191</v>
      </c>
      <c r="R3312" t="s">
        <v>191</v>
      </c>
      <c r="S3312" s="1">
        <v>46142</v>
      </c>
      <c r="T3312" s="1">
        <v>46142</v>
      </c>
      <c r="U3312" s="1">
        <v>46451</v>
      </c>
      <c r="V3312" s="1">
        <v>46507</v>
      </c>
      <c r="W3312" t="s">
        <v>38</v>
      </c>
      <c r="X3312">
        <v>1</v>
      </c>
      <c r="Y3312" t="s">
        <v>49</v>
      </c>
      <c r="AA3312" t="s">
        <v>122</v>
      </c>
      <c r="AB3312">
        <v>12</v>
      </c>
      <c r="AC3312" t="s">
        <v>192</v>
      </c>
      <c r="AD3312" t="s">
        <v>114</v>
      </c>
      <c r="AE3312" t="s">
        <v>43</v>
      </c>
      <c r="AF3312" t="s">
        <v>44</v>
      </c>
      <c r="AG3312" t="str">
        <f t="shared" si="63"/>
        <v>Recorrente</v>
      </c>
      <c r="AH3312" t="str">
        <f t="shared" si="64"/>
        <v/>
      </c>
    </row>
    <row r="3313" spans="1:34">
      <c r="A3313">
        <v>2026</v>
      </c>
      <c r="B3313">
        <v>4</v>
      </c>
      <c r="C3313" s="83">
        <v>19435418146</v>
      </c>
      <c r="D3313" t="s">
        <v>2085</v>
      </c>
      <c r="E3313">
        <v>59722658730</v>
      </c>
      <c r="F3313">
        <v>637514</v>
      </c>
      <c r="G3313">
        <v>54884810069</v>
      </c>
      <c r="H3313" t="s">
        <v>35</v>
      </c>
      <c r="I3313" s="36">
        <v>3381.36</v>
      </c>
      <c r="J3313" s="36">
        <v>1317.48</v>
      </c>
      <c r="K3313" s="85">
        <v>2063.88</v>
      </c>
      <c r="L3313" s="36">
        <v>109.79</v>
      </c>
      <c r="M3313" s="36">
        <v>0</v>
      </c>
      <c r="N3313" s="36">
        <v>109.79</v>
      </c>
      <c r="O3313" s="36">
        <v>0</v>
      </c>
      <c r="P3313" t="s">
        <v>804</v>
      </c>
      <c r="Q3313" t="s">
        <v>191</v>
      </c>
      <c r="R3313" t="s">
        <v>191</v>
      </c>
      <c r="S3313" s="1">
        <v>46142</v>
      </c>
      <c r="T3313" s="1">
        <v>46142</v>
      </c>
      <c r="U3313" s="1">
        <v>46451</v>
      </c>
      <c r="V3313" s="1">
        <v>46507</v>
      </c>
      <c r="W3313" t="s">
        <v>38</v>
      </c>
      <c r="X3313">
        <v>1</v>
      </c>
      <c r="Y3313" t="s">
        <v>49</v>
      </c>
      <c r="AA3313" t="s">
        <v>122</v>
      </c>
      <c r="AB3313">
        <v>12</v>
      </c>
      <c r="AC3313" t="s">
        <v>192</v>
      </c>
      <c r="AD3313" t="s">
        <v>160</v>
      </c>
      <c r="AE3313" t="s">
        <v>43</v>
      </c>
      <c r="AF3313" t="s">
        <v>44</v>
      </c>
      <c r="AG3313" t="str">
        <f t="shared" si="63"/>
        <v>Recorrente</v>
      </c>
      <c r="AH3313" t="str">
        <f t="shared" si="64"/>
        <v/>
      </c>
    </row>
    <row r="3314" spans="1:34">
      <c r="A3314">
        <v>2026</v>
      </c>
      <c r="B3314">
        <v>4</v>
      </c>
      <c r="C3314" s="83">
        <v>19435438754</v>
      </c>
      <c r="D3314" t="s">
        <v>2948</v>
      </c>
      <c r="E3314">
        <v>58879125903</v>
      </c>
      <c r="F3314">
        <v>636891</v>
      </c>
      <c r="G3314">
        <v>54006819945</v>
      </c>
      <c r="H3314" t="s">
        <v>35</v>
      </c>
      <c r="I3314" s="36">
        <v>2874</v>
      </c>
      <c r="J3314" s="36">
        <v>2874</v>
      </c>
      <c r="K3314" s="85">
        <v>0</v>
      </c>
      <c r="L3314" s="36">
        <v>239.5</v>
      </c>
      <c r="M3314" s="36">
        <v>239.5</v>
      </c>
      <c r="N3314" s="36">
        <v>0</v>
      </c>
      <c r="O3314" s="36">
        <v>0</v>
      </c>
      <c r="P3314" t="s">
        <v>90</v>
      </c>
      <c r="Q3314" t="s">
        <v>91</v>
      </c>
      <c r="R3314" t="s">
        <v>91</v>
      </c>
      <c r="S3314" s="1">
        <v>46118</v>
      </c>
      <c r="T3314" s="1">
        <v>46118</v>
      </c>
      <c r="U3314" s="1"/>
      <c r="V3314" s="1">
        <v>46483</v>
      </c>
      <c r="W3314" t="s">
        <v>38</v>
      </c>
      <c r="X3314">
        <v>12</v>
      </c>
      <c r="Y3314" t="s">
        <v>49</v>
      </c>
      <c r="AA3314" t="s">
        <v>122</v>
      </c>
      <c r="AB3314">
        <v>12</v>
      </c>
      <c r="AC3314" t="s">
        <v>93</v>
      </c>
      <c r="AD3314" t="s">
        <v>140</v>
      </c>
      <c r="AE3314" t="s">
        <v>46</v>
      </c>
      <c r="AF3314" t="s">
        <v>119</v>
      </c>
      <c r="AG3314" t="str">
        <f t="shared" si="63"/>
        <v>Recorrente</v>
      </c>
      <c r="AH3314" t="str">
        <f t="shared" si="64"/>
        <v/>
      </c>
    </row>
    <row r="3315" spans="1:34">
      <c r="A3315">
        <v>2026</v>
      </c>
      <c r="B3315">
        <v>4</v>
      </c>
      <c r="C3315" s="83">
        <v>19435442957</v>
      </c>
      <c r="D3315" t="s">
        <v>2949</v>
      </c>
      <c r="E3315">
        <v>45695114094</v>
      </c>
      <c r="F3315">
        <v>628345</v>
      </c>
      <c r="G3315">
        <v>54279579567</v>
      </c>
      <c r="H3315" t="s">
        <v>35</v>
      </c>
      <c r="I3315" s="36">
        <v>5352</v>
      </c>
      <c r="J3315" s="36">
        <v>5352</v>
      </c>
      <c r="K3315" s="85">
        <v>0</v>
      </c>
      <c r="L3315" s="36">
        <v>446</v>
      </c>
      <c r="M3315" s="36">
        <v>0</v>
      </c>
      <c r="N3315" s="36">
        <v>26</v>
      </c>
      <c r="O3315" s="36">
        <v>420</v>
      </c>
      <c r="P3315" t="s">
        <v>1165</v>
      </c>
      <c r="Q3315" t="s">
        <v>37</v>
      </c>
      <c r="R3315" t="s">
        <v>37</v>
      </c>
      <c r="S3315" s="1">
        <v>46126</v>
      </c>
      <c r="T3315" s="1">
        <v>46126</v>
      </c>
      <c r="U3315" s="1">
        <v>46120</v>
      </c>
      <c r="V3315" s="1">
        <v>46491</v>
      </c>
      <c r="W3315" t="s">
        <v>38</v>
      </c>
      <c r="X3315">
        <v>12</v>
      </c>
      <c r="Y3315" t="s">
        <v>49</v>
      </c>
      <c r="Z3315" t="s">
        <v>81</v>
      </c>
      <c r="AA3315" t="s">
        <v>40</v>
      </c>
      <c r="AB3315">
        <v>1</v>
      </c>
      <c r="AC3315" t="s">
        <v>41</v>
      </c>
      <c r="AD3315" t="s">
        <v>54</v>
      </c>
      <c r="AE3315" t="s">
        <v>46</v>
      </c>
      <c r="AF3315" t="s">
        <v>44</v>
      </c>
      <c r="AG3315" t="str">
        <f t="shared" si="63"/>
        <v>À Vista</v>
      </c>
      <c r="AH3315" t="str">
        <f t="shared" si="64"/>
        <v/>
      </c>
    </row>
    <row r="3316" spans="1:34">
      <c r="A3316">
        <v>2026</v>
      </c>
      <c r="B3316">
        <v>4</v>
      </c>
      <c r="C3316" s="83">
        <v>19435442957</v>
      </c>
      <c r="D3316" t="s">
        <v>2949</v>
      </c>
      <c r="E3316">
        <v>45695114094</v>
      </c>
      <c r="F3316">
        <v>628345</v>
      </c>
      <c r="G3316">
        <v>54279579568</v>
      </c>
      <c r="H3316" t="s">
        <v>35</v>
      </c>
      <c r="I3316" s="36">
        <v>5352</v>
      </c>
      <c r="J3316" s="36">
        <v>5352</v>
      </c>
      <c r="K3316" s="85">
        <v>0</v>
      </c>
      <c r="L3316" s="36">
        <v>446</v>
      </c>
      <c r="M3316" s="36">
        <v>0</v>
      </c>
      <c r="N3316" s="36">
        <v>26</v>
      </c>
      <c r="O3316" s="36">
        <v>420</v>
      </c>
      <c r="P3316" t="s">
        <v>1165</v>
      </c>
      <c r="Q3316" t="s">
        <v>37</v>
      </c>
      <c r="R3316" t="s">
        <v>37</v>
      </c>
      <c r="S3316" s="1">
        <v>46126</v>
      </c>
      <c r="T3316" s="1">
        <v>46126</v>
      </c>
      <c r="U3316" s="1">
        <v>46120</v>
      </c>
      <c r="V3316" s="1">
        <v>46491</v>
      </c>
      <c r="W3316" t="s">
        <v>38</v>
      </c>
      <c r="X3316">
        <v>12</v>
      </c>
      <c r="Y3316" t="s">
        <v>49</v>
      </c>
      <c r="Z3316" t="s">
        <v>81</v>
      </c>
      <c r="AA3316" t="s">
        <v>40</v>
      </c>
      <c r="AB3316">
        <v>1</v>
      </c>
      <c r="AC3316" t="s">
        <v>41</v>
      </c>
      <c r="AD3316" t="s">
        <v>53</v>
      </c>
      <c r="AE3316" t="s">
        <v>43</v>
      </c>
      <c r="AF3316" t="s">
        <v>44</v>
      </c>
      <c r="AG3316" t="str">
        <f t="shared" si="63"/>
        <v>À Vista</v>
      </c>
      <c r="AH3316" t="str">
        <f t="shared" si="64"/>
        <v/>
      </c>
    </row>
    <row r="3317" spans="1:34">
      <c r="A3317">
        <v>2026</v>
      </c>
      <c r="B3317">
        <v>4</v>
      </c>
      <c r="C3317" s="83">
        <v>19435447415</v>
      </c>
      <c r="D3317" t="s">
        <v>2950</v>
      </c>
      <c r="E3317">
        <v>59247196190</v>
      </c>
      <c r="F3317">
        <v>628873</v>
      </c>
      <c r="G3317">
        <v>54509398623</v>
      </c>
      <c r="H3317" t="s">
        <v>35</v>
      </c>
      <c r="I3317" s="36">
        <v>4453.5600000000004</v>
      </c>
      <c r="J3317" s="36">
        <v>4453.5600000000004</v>
      </c>
      <c r="K3317" s="85">
        <v>0</v>
      </c>
      <c r="L3317" s="36">
        <v>371.13</v>
      </c>
      <c r="M3317" s="36">
        <v>0</v>
      </c>
      <c r="N3317" s="36">
        <v>0</v>
      </c>
      <c r="O3317" s="36">
        <v>371.13299999999998</v>
      </c>
      <c r="P3317" t="s">
        <v>116</v>
      </c>
      <c r="Q3317" t="s">
        <v>111</v>
      </c>
      <c r="R3317" t="s">
        <v>111</v>
      </c>
      <c r="S3317" s="1">
        <v>46134</v>
      </c>
      <c r="T3317" s="1">
        <v>46134</v>
      </c>
      <c r="U3317" s="1">
        <v>46134</v>
      </c>
      <c r="V3317" s="1">
        <v>46499</v>
      </c>
      <c r="W3317" t="s">
        <v>38</v>
      </c>
      <c r="X3317">
        <v>12</v>
      </c>
      <c r="Y3317" t="s">
        <v>49</v>
      </c>
      <c r="Z3317" t="s">
        <v>81</v>
      </c>
      <c r="AA3317" t="s">
        <v>112</v>
      </c>
      <c r="AB3317">
        <v>12</v>
      </c>
      <c r="AC3317" t="s">
        <v>113</v>
      </c>
      <c r="AD3317" t="s">
        <v>85</v>
      </c>
      <c r="AE3317" t="s">
        <v>46</v>
      </c>
      <c r="AF3317" t="s">
        <v>44</v>
      </c>
      <c r="AG3317" t="str">
        <f t="shared" si="63"/>
        <v>CC 12x</v>
      </c>
      <c r="AH3317" t="str">
        <f t="shared" si="64"/>
        <v/>
      </c>
    </row>
    <row r="3318" spans="1:34">
      <c r="A3318">
        <v>2026</v>
      </c>
      <c r="B3318">
        <v>4</v>
      </c>
      <c r="C3318" s="83">
        <v>19435460903</v>
      </c>
      <c r="D3318" t="s">
        <v>2951</v>
      </c>
      <c r="E3318">
        <v>59169567488</v>
      </c>
      <c r="F3318">
        <v>637107</v>
      </c>
      <c r="G3318">
        <v>54295483557</v>
      </c>
      <c r="H3318" t="s">
        <v>35</v>
      </c>
      <c r="I3318" s="36">
        <v>11749.8</v>
      </c>
      <c r="J3318" s="36">
        <v>11749.8</v>
      </c>
      <c r="K3318" s="85">
        <v>0</v>
      </c>
      <c r="L3318" s="36">
        <v>979.15</v>
      </c>
      <c r="M3318" s="36">
        <v>979.15</v>
      </c>
      <c r="N3318" s="36">
        <v>0</v>
      </c>
      <c r="O3318" s="36">
        <v>0</v>
      </c>
      <c r="P3318" t="s">
        <v>1165</v>
      </c>
      <c r="Q3318" t="s">
        <v>37</v>
      </c>
      <c r="R3318" t="s">
        <v>37</v>
      </c>
      <c r="S3318" s="1">
        <v>46127</v>
      </c>
      <c r="T3318" s="1">
        <v>46127</v>
      </c>
      <c r="U3318" s="1"/>
      <c r="V3318" s="1">
        <v>46492</v>
      </c>
      <c r="W3318" t="s">
        <v>38</v>
      </c>
      <c r="X3318">
        <v>12</v>
      </c>
      <c r="Y3318" t="s">
        <v>49</v>
      </c>
      <c r="AA3318" t="s">
        <v>40</v>
      </c>
      <c r="AB3318">
        <v>1</v>
      </c>
      <c r="AC3318" t="s">
        <v>41</v>
      </c>
      <c r="AD3318" t="s">
        <v>564</v>
      </c>
      <c r="AE3318" t="s">
        <v>257</v>
      </c>
      <c r="AF3318" t="s">
        <v>59</v>
      </c>
      <c r="AG3318" t="str">
        <f t="shared" si="63"/>
        <v>À Vista</v>
      </c>
      <c r="AH3318" t="str">
        <f t="shared" si="64"/>
        <v/>
      </c>
    </row>
    <row r="3319" spans="1:34">
      <c r="A3319">
        <v>2026</v>
      </c>
      <c r="B3319">
        <v>4</v>
      </c>
      <c r="C3319" s="83">
        <v>19435460903</v>
      </c>
      <c r="D3319" t="s">
        <v>2951</v>
      </c>
      <c r="E3319">
        <v>59169567488</v>
      </c>
      <c r="F3319">
        <v>637107</v>
      </c>
      <c r="G3319">
        <v>54295483558</v>
      </c>
      <c r="H3319" t="s">
        <v>35</v>
      </c>
      <c r="I3319" s="36">
        <v>15990.12</v>
      </c>
      <c r="J3319" s="36">
        <v>15990.12</v>
      </c>
      <c r="K3319" s="85">
        <v>1.8189900000000001E-12</v>
      </c>
      <c r="L3319" s="36">
        <v>1332.51</v>
      </c>
      <c r="M3319" s="36">
        <v>1332.51</v>
      </c>
      <c r="N3319" s="36">
        <v>0</v>
      </c>
      <c r="O3319" s="36">
        <v>0</v>
      </c>
      <c r="P3319" t="s">
        <v>1165</v>
      </c>
      <c r="Q3319" t="s">
        <v>37</v>
      </c>
      <c r="R3319" t="s">
        <v>37</v>
      </c>
      <c r="S3319" s="1">
        <v>46127</v>
      </c>
      <c r="T3319" s="1">
        <v>46127</v>
      </c>
      <c r="V3319" s="1">
        <v>46492</v>
      </c>
      <c r="W3319" t="s">
        <v>38</v>
      </c>
      <c r="X3319">
        <v>12</v>
      </c>
      <c r="Y3319" t="s">
        <v>49</v>
      </c>
      <c r="AA3319" t="s">
        <v>40</v>
      </c>
      <c r="AB3319">
        <v>1</v>
      </c>
      <c r="AC3319" t="s">
        <v>41</v>
      </c>
      <c r="AD3319" t="s">
        <v>2952</v>
      </c>
      <c r="AE3319" t="s">
        <v>51</v>
      </c>
      <c r="AF3319" t="s">
        <v>47</v>
      </c>
      <c r="AG3319" t="str">
        <f t="shared" si="63"/>
        <v>À Vista</v>
      </c>
      <c r="AH3319" t="str">
        <f t="shared" si="64"/>
        <v/>
      </c>
    </row>
    <row r="3320" spans="1:34">
      <c r="A3320">
        <v>2026</v>
      </c>
      <c r="B3320">
        <v>4</v>
      </c>
      <c r="C3320" s="83">
        <v>19435460903</v>
      </c>
      <c r="D3320" t="s">
        <v>2951</v>
      </c>
      <c r="E3320">
        <v>59169567488</v>
      </c>
      <c r="F3320">
        <v>637107</v>
      </c>
      <c r="G3320">
        <v>54295483559</v>
      </c>
      <c r="H3320" t="s">
        <v>35</v>
      </c>
      <c r="I3320" s="36">
        <v>7248</v>
      </c>
      <c r="J3320" s="36">
        <v>7248</v>
      </c>
      <c r="K3320" s="85">
        <v>0</v>
      </c>
      <c r="L3320" s="36">
        <v>604</v>
      </c>
      <c r="M3320" s="36">
        <v>604</v>
      </c>
      <c r="N3320" s="36">
        <v>0</v>
      </c>
      <c r="O3320" s="36">
        <v>0</v>
      </c>
      <c r="P3320" t="s">
        <v>1165</v>
      </c>
      <c r="Q3320" t="s">
        <v>37</v>
      </c>
      <c r="R3320" t="s">
        <v>37</v>
      </c>
      <c r="S3320" s="1">
        <v>46127</v>
      </c>
      <c r="T3320" s="1">
        <v>46127</v>
      </c>
      <c r="U3320" s="1"/>
      <c r="V3320" s="1">
        <v>46492</v>
      </c>
      <c r="W3320" t="s">
        <v>38</v>
      </c>
      <c r="X3320">
        <v>12</v>
      </c>
      <c r="Y3320" t="s">
        <v>49</v>
      </c>
      <c r="AA3320" t="s">
        <v>40</v>
      </c>
      <c r="AB3320">
        <v>1</v>
      </c>
      <c r="AC3320" t="s">
        <v>41</v>
      </c>
      <c r="AD3320" t="s">
        <v>70</v>
      </c>
      <c r="AE3320" t="s">
        <v>43</v>
      </c>
      <c r="AF3320" t="s">
        <v>47</v>
      </c>
      <c r="AG3320" t="str">
        <f t="shared" si="63"/>
        <v>À Vista</v>
      </c>
      <c r="AH3320" t="str">
        <f t="shared" si="64"/>
        <v/>
      </c>
    </row>
    <row r="3321" spans="1:34">
      <c r="A3321">
        <v>2026</v>
      </c>
      <c r="B3321">
        <v>4</v>
      </c>
      <c r="C3321" s="83">
        <v>19435460903</v>
      </c>
      <c r="D3321" t="s">
        <v>2951</v>
      </c>
      <c r="E3321">
        <v>59169567488</v>
      </c>
      <c r="F3321">
        <v>637107</v>
      </c>
      <c r="G3321">
        <v>54295483560</v>
      </c>
      <c r="H3321" t="s">
        <v>35</v>
      </c>
      <c r="I3321" s="36">
        <v>13368</v>
      </c>
      <c r="J3321" s="36">
        <v>13368</v>
      </c>
      <c r="K3321" s="85">
        <v>0</v>
      </c>
      <c r="L3321" s="36">
        <v>1114</v>
      </c>
      <c r="M3321" s="36">
        <v>1114</v>
      </c>
      <c r="N3321" s="36">
        <v>0</v>
      </c>
      <c r="O3321" s="36">
        <v>0</v>
      </c>
      <c r="P3321" t="s">
        <v>1165</v>
      </c>
      <c r="Q3321" t="s">
        <v>37</v>
      </c>
      <c r="R3321" t="s">
        <v>37</v>
      </c>
      <c r="S3321" s="1">
        <v>46127</v>
      </c>
      <c r="T3321" s="1">
        <v>46127</v>
      </c>
      <c r="U3321" s="1"/>
      <c r="V3321" s="1">
        <v>46492</v>
      </c>
      <c r="W3321" t="s">
        <v>38</v>
      </c>
      <c r="X3321">
        <v>12</v>
      </c>
      <c r="Y3321" t="s">
        <v>49</v>
      </c>
      <c r="AA3321" t="s">
        <v>40</v>
      </c>
      <c r="AB3321">
        <v>1</v>
      </c>
      <c r="AC3321" t="s">
        <v>41</v>
      </c>
      <c r="AD3321" t="s">
        <v>100</v>
      </c>
      <c r="AE3321" t="s">
        <v>46</v>
      </c>
      <c r="AF3321" t="s">
        <v>47</v>
      </c>
      <c r="AG3321" t="str">
        <f t="shared" si="63"/>
        <v>À Vista</v>
      </c>
      <c r="AH3321" t="str">
        <f t="shared" si="64"/>
        <v/>
      </c>
    </row>
    <row r="3322" spans="1:34">
      <c r="A3322">
        <v>2026</v>
      </c>
      <c r="B3322">
        <v>4</v>
      </c>
      <c r="C3322" s="83">
        <v>19435460971</v>
      </c>
      <c r="D3322" t="s">
        <v>2953</v>
      </c>
      <c r="E3322">
        <v>58897790251</v>
      </c>
      <c r="F3322">
        <v>535745</v>
      </c>
      <c r="G3322">
        <v>54038752665</v>
      </c>
      <c r="H3322" t="s">
        <v>35</v>
      </c>
      <c r="I3322" s="36">
        <v>10014.84</v>
      </c>
      <c r="J3322" s="36">
        <v>8900.7333340000005</v>
      </c>
      <c r="K3322" s="85">
        <v>1114.1066659999999</v>
      </c>
      <c r="L3322" s="36">
        <v>741.72777780000001</v>
      </c>
      <c r="M3322" s="36">
        <v>0</v>
      </c>
      <c r="N3322" s="36">
        <v>741.72777780000001</v>
      </c>
      <c r="O3322" s="36">
        <v>0</v>
      </c>
      <c r="P3322" t="s">
        <v>190</v>
      </c>
      <c r="Q3322" t="s">
        <v>191</v>
      </c>
      <c r="R3322" t="s">
        <v>191</v>
      </c>
      <c r="S3322" s="1">
        <v>46119</v>
      </c>
      <c r="T3322" s="1">
        <v>46119</v>
      </c>
      <c r="U3322" s="1">
        <v>46530</v>
      </c>
      <c r="V3322" s="1">
        <v>46530</v>
      </c>
      <c r="W3322" t="s">
        <v>102</v>
      </c>
      <c r="X3322">
        <v>13</v>
      </c>
      <c r="Y3322" t="s">
        <v>49</v>
      </c>
      <c r="Z3322" t="s">
        <v>324</v>
      </c>
      <c r="AA3322" t="s">
        <v>122</v>
      </c>
      <c r="AB3322">
        <v>13</v>
      </c>
      <c r="AC3322" t="s">
        <v>192</v>
      </c>
      <c r="AD3322" t="s">
        <v>351</v>
      </c>
      <c r="AE3322" t="s">
        <v>95</v>
      </c>
      <c r="AF3322" t="s">
        <v>96</v>
      </c>
      <c r="AG3322" t="str">
        <f t="shared" si="63"/>
        <v>Recorrente</v>
      </c>
      <c r="AH3322" t="str">
        <f t="shared" si="64"/>
        <v/>
      </c>
    </row>
    <row r="3323" spans="1:34">
      <c r="A3323">
        <v>2026</v>
      </c>
      <c r="B3323">
        <v>4</v>
      </c>
      <c r="C3323" s="83">
        <v>19435468810</v>
      </c>
      <c r="D3323" t="s">
        <v>2954</v>
      </c>
      <c r="E3323">
        <v>56819143973</v>
      </c>
      <c r="F3323">
        <v>508859</v>
      </c>
      <c r="G3323">
        <v>52310506358</v>
      </c>
      <c r="H3323" t="s">
        <v>35</v>
      </c>
      <c r="I3323" s="36">
        <v>9354</v>
      </c>
      <c r="J3323" s="36">
        <v>9354</v>
      </c>
      <c r="K3323" s="85">
        <v>0</v>
      </c>
      <c r="L3323" s="36">
        <v>779.5</v>
      </c>
      <c r="M3323" s="36">
        <v>0</v>
      </c>
      <c r="N3323" s="36">
        <v>262.2</v>
      </c>
      <c r="O3323" s="36">
        <v>517.29999999999995</v>
      </c>
      <c r="P3323" t="s">
        <v>165</v>
      </c>
      <c r="Q3323" t="s">
        <v>166</v>
      </c>
      <c r="R3323" t="s">
        <v>166</v>
      </c>
      <c r="S3323" s="1">
        <v>46121</v>
      </c>
      <c r="T3323" s="1">
        <v>46121</v>
      </c>
      <c r="U3323" s="1">
        <v>46121</v>
      </c>
      <c r="V3323" s="1">
        <v>46486</v>
      </c>
      <c r="W3323" t="s">
        <v>38</v>
      </c>
      <c r="X3323">
        <v>12</v>
      </c>
      <c r="Y3323" t="s">
        <v>49</v>
      </c>
      <c r="Z3323" t="s">
        <v>81</v>
      </c>
      <c r="AA3323" t="s">
        <v>112</v>
      </c>
      <c r="AB3323">
        <v>12</v>
      </c>
      <c r="AC3323" t="s">
        <v>166</v>
      </c>
      <c r="AD3323" t="s">
        <v>134</v>
      </c>
      <c r="AE3323" t="s">
        <v>135</v>
      </c>
      <c r="AF3323" t="s">
        <v>44</v>
      </c>
      <c r="AG3323" t="str">
        <f t="shared" si="63"/>
        <v>CC 12x</v>
      </c>
      <c r="AH3323" t="str">
        <f t="shared" si="64"/>
        <v/>
      </c>
    </row>
    <row r="3324" spans="1:34">
      <c r="A3324">
        <v>2026</v>
      </c>
      <c r="B3324">
        <v>4</v>
      </c>
      <c r="C3324" s="83">
        <v>19435476605</v>
      </c>
      <c r="D3324" t="s">
        <v>2955</v>
      </c>
      <c r="E3324">
        <v>59232458837</v>
      </c>
      <c r="F3324">
        <v>531933</v>
      </c>
      <c r="G3324">
        <v>54741014290</v>
      </c>
      <c r="H3324" t="s">
        <v>35</v>
      </c>
      <c r="I3324" s="36">
        <v>3297.6</v>
      </c>
      <c r="J3324" s="36">
        <v>3297.6</v>
      </c>
      <c r="K3324" s="85">
        <v>0</v>
      </c>
      <c r="L3324" s="36">
        <v>274.8</v>
      </c>
      <c r="M3324" s="36">
        <v>0</v>
      </c>
      <c r="N3324" s="36">
        <v>52.321485000000003</v>
      </c>
      <c r="O3324" s="36">
        <v>222.48</v>
      </c>
      <c r="P3324" t="s">
        <v>110</v>
      </c>
      <c r="Q3324" t="s">
        <v>111</v>
      </c>
      <c r="R3324" t="s">
        <v>111</v>
      </c>
      <c r="S3324" s="1">
        <v>46136</v>
      </c>
      <c r="T3324" s="1">
        <v>46136</v>
      </c>
      <c r="U3324" s="1">
        <v>46141</v>
      </c>
      <c r="V3324" s="1">
        <v>46506</v>
      </c>
      <c r="W3324" t="s">
        <v>38</v>
      </c>
      <c r="X3324">
        <v>12</v>
      </c>
      <c r="Y3324" t="s">
        <v>49</v>
      </c>
      <c r="Z3324" t="s">
        <v>81</v>
      </c>
      <c r="AA3324" t="s">
        <v>112</v>
      </c>
      <c r="AB3324">
        <v>12</v>
      </c>
      <c r="AC3324" t="s">
        <v>113</v>
      </c>
      <c r="AD3324" t="s">
        <v>160</v>
      </c>
      <c r="AE3324" t="s">
        <v>43</v>
      </c>
      <c r="AF3324" t="s">
        <v>44</v>
      </c>
      <c r="AG3324" t="str">
        <f t="shared" si="63"/>
        <v>CC 12x</v>
      </c>
      <c r="AH3324" t="str">
        <f t="shared" si="64"/>
        <v/>
      </c>
    </row>
    <row r="3325" spans="1:34">
      <c r="A3325">
        <v>2026</v>
      </c>
      <c r="B3325">
        <v>4</v>
      </c>
      <c r="C3325" s="83">
        <v>19435481091</v>
      </c>
      <c r="D3325" t="s">
        <v>2956</v>
      </c>
      <c r="E3325">
        <v>57999489459</v>
      </c>
      <c r="F3325">
        <v>314200</v>
      </c>
      <c r="G3325">
        <v>54205116795</v>
      </c>
      <c r="H3325" t="s">
        <v>35</v>
      </c>
      <c r="I3325" s="36">
        <v>7553.4</v>
      </c>
      <c r="J3325" s="36">
        <v>7553.4</v>
      </c>
      <c r="K3325" s="85">
        <v>0</v>
      </c>
      <c r="L3325" s="36">
        <v>629.45000000000005</v>
      </c>
      <c r="M3325" s="36">
        <v>0</v>
      </c>
      <c r="N3325" s="36">
        <v>38.25</v>
      </c>
      <c r="O3325" s="36">
        <v>591.20000000000005</v>
      </c>
      <c r="P3325" t="s">
        <v>162</v>
      </c>
      <c r="Q3325" t="s">
        <v>111</v>
      </c>
      <c r="R3325" t="s">
        <v>111</v>
      </c>
      <c r="S3325" s="1">
        <v>46122</v>
      </c>
      <c r="T3325" s="1">
        <v>46122</v>
      </c>
      <c r="U3325" s="1">
        <v>46126</v>
      </c>
      <c r="V3325" s="1">
        <v>46491</v>
      </c>
      <c r="W3325" t="s">
        <v>38</v>
      </c>
      <c r="X3325">
        <v>12</v>
      </c>
      <c r="Y3325" t="s">
        <v>49</v>
      </c>
      <c r="Z3325" t="s">
        <v>81</v>
      </c>
      <c r="AA3325" t="s">
        <v>122</v>
      </c>
      <c r="AB3325">
        <v>12</v>
      </c>
      <c r="AC3325" t="s">
        <v>113</v>
      </c>
      <c r="AD3325" t="s">
        <v>134</v>
      </c>
      <c r="AE3325" t="s">
        <v>135</v>
      </c>
      <c r="AF3325" t="s">
        <v>44</v>
      </c>
      <c r="AG3325" t="str">
        <f t="shared" si="63"/>
        <v>Recorrente</v>
      </c>
      <c r="AH3325" t="str">
        <f t="shared" si="64"/>
        <v/>
      </c>
    </row>
    <row r="3326" spans="1:34">
      <c r="A3326">
        <v>2026</v>
      </c>
      <c r="B3326">
        <v>4</v>
      </c>
      <c r="C3326" s="83">
        <v>19435493481</v>
      </c>
      <c r="D3326" t="s">
        <v>2957</v>
      </c>
      <c r="E3326">
        <v>56927209273</v>
      </c>
      <c r="F3326">
        <v>312029</v>
      </c>
      <c r="G3326">
        <v>52221667688</v>
      </c>
      <c r="H3326" t="s">
        <v>35</v>
      </c>
      <c r="I3326" s="36">
        <v>2874</v>
      </c>
      <c r="J3326" s="36">
        <v>2874</v>
      </c>
      <c r="K3326" s="85">
        <v>0</v>
      </c>
      <c r="L3326" s="36">
        <v>239.5</v>
      </c>
      <c r="M3326" s="36">
        <v>0</v>
      </c>
      <c r="N3326" s="36">
        <v>0.5</v>
      </c>
      <c r="O3326" s="36">
        <v>239</v>
      </c>
      <c r="P3326" t="s">
        <v>165</v>
      </c>
      <c r="Q3326" t="s">
        <v>166</v>
      </c>
      <c r="R3326" t="s">
        <v>166</v>
      </c>
      <c r="S3326" s="1">
        <v>46122</v>
      </c>
      <c r="T3326" s="1">
        <v>46122</v>
      </c>
      <c r="U3326" s="1">
        <v>46122</v>
      </c>
      <c r="V3326" s="1">
        <v>46487</v>
      </c>
      <c r="W3326" t="s">
        <v>38</v>
      </c>
      <c r="X3326">
        <v>12</v>
      </c>
      <c r="Y3326" t="s">
        <v>49</v>
      </c>
      <c r="Z3326" t="s">
        <v>81</v>
      </c>
      <c r="AA3326" t="s">
        <v>122</v>
      </c>
      <c r="AB3326">
        <v>12</v>
      </c>
      <c r="AC3326" t="s">
        <v>166</v>
      </c>
      <c r="AD3326" t="s">
        <v>140</v>
      </c>
      <c r="AE3326" t="s">
        <v>46</v>
      </c>
      <c r="AF3326" t="s">
        <v>119</v>
      </c>
      <c r="AG3326" t="str">
        <f t="shared" si="63"/>
        <v>Recorrente</v>
      </c>
      <c r="AH3326" t="str">
        <f t="shared" si="64"/>
        <v/>
      </c>
    </row>
    <row r="3327" spans="1:34">
      <c r="A3327">
        <v>2026</v>
      </c>
      <c r="B3327">
        <v>4</v>
      </c>
      <c r="C3327" s="83">
        <v>19435497267</v>
      </c>
      <c r="D3327" t="s">
        <v>1164</v>
      </c>
      <c r="E3327">
        <v>59022879814</v>
      </c>
      <c r="F3327">
        <v>637209</v>
      </c>
      <c r="G3327">
        <v>54466129179</v>
      </c>
      <c r="H3327" t="s">
        <v>35</v>
      </c>
      <c r="I3327" s="36">
        <v>5772</v>
      </c>
      <c r="J3327" s="36">
        <v>5772</v>
      </c>
      <c r="K3327" s="85">
        <v>0</v>
      </c>
      <c r="L3327" s="36">
        <v>481</v>
      </c>
      <c r="M3327" s="36">
        <v>481</v>
      </c>
      <c r="N3327" s="36">
        <v>0</v>
      </c>
      <c r="O3327" s="36">
        <v>0</v>
      </c>
      <c r="P3327" t="s">
        <v>1165</v>
      </c>
      <c r="Q3327" t="s">
        <v>79</v>
      </c>
      <c r="R3327" t="s">
        <v>79</v>
      </c>
      <c r="S3327" s="1">
        <v>46132</v>
      </c>
      <c r="T3327" s="1">
        <v>46132</v>
      </c>
      <c r="U3327" s="1"/>
      <c r="V3327" s="1">
        <v>46512</v>
      </c>
      <c r="W3327" t="s">
        <v>38</v>
      </c>
      <c r="X3327">
        <v>13</v>
      </c>
      <c r="Y3327" t="s">
        <v>49</v>
      </c>
      <c r="AA3327" t="s">
        <v>82</v>
      </c>
      <c r="AB3327">
        <v>1</v>
      </c>
      <c r="AC3327" t="s">
        <v>83</v>
      </c>
      <c r="AD3327" t="s">
        <v>54</v>
      </c>
      <c r="AE3327" t="s">
        <v>46</v>
      </c>
      <c r="AF3327" t="s">
        <v>44</v>
      </c>
      <c r="AG3327" t="str">
        <f t="shared" si="63"/>
        <v>À Vista</v>
      </c>
      <c r="AH3327" t="str">
        <f t="shared" si="64"/>
        <v/>
      </c>
    </row>
    <row r="3328" spans="1:34">
      <c r="A3328">
        <v>2026</v>
      </c>
      <c r="B3328">
        <v>4</v>
      </c>
      <c r="C3328" s="83">
        <v>19435497267</v>
      </c>
      <c r="D3328" t="s">
        <v>1164</v>
      </c>
      <c r="E3328">
        <v>59022879814</v>
      </c>
      <c r="F3328">
        <v>637209</v>
      </c>
      <c r="G3328">
        <v>54466129180</v>
      </c>
      <c r="H3328" t="s">
        <v>35</v>
      </c>
      <c r="I3328" s="36">
        <v>4932</v>
      </c>
      <c r="J3328" s="36">
        <v>4932</v>
      </c>
      <c r="K3328" s="85">
        <v>0</v>
      </c>
      <c r="L3328" s="36">
        <v>411</v>
      </c>
      <c r="M3328" s="36">
        <v>411</v>
      </c>
      <c r="N3328" s="36">
        <v>0</v>
      </c>
      <c r="O3328" s="36">
        <v>0</v>
      </c>
      <c r="P3328" t="s">
        <v>1165</v>
      </c>
      <c r="Q3328" t="s">
        <v>79</v>
      </c>
      <c r="R3328" t="s">
        <v>79</v>
      </c>
      <c r="S3328" s="1">
        <v>46132</v>
      </c>
      <c r="T3328" s="1">
        <v>46132</v>
      </c>
      <c r="U3328" s="1"/>
      <c r="V3328" s="1">
        <v>46512</v>
      </c>
      <c r="W3328" t="s">
        <v>38</v>
      </c>
      <c r="X3328">
        <v>13</v>
      </c>
      <c r="Y3328" t="s">
        <v>49</v>
      </c>
      <c r="AA3328" t="s">
        <v>82</v>
      </c>
      <c r="AB3328">
        <v>1</v>
      </c>
      <c r="AC3328" t="s">
        <v>83</v>
      </c>
      <c r="AD3328" t="s">
        <v>53</v>
      </c>
      <c r="AE3328" t="s">
        <v>43</v>
      </c>
      <c r="AF3328" t="s">
        <v>44</v>
      </c>
      <c r="AG3328" t="str">
        <f t="shared" si="63"/>
        <v>À Vista</v>
      </c>
      <c r="AH3328" t="str">
        <f t="shared" si="64"/>
        <v/>
      </c>
    </row>
    <row r="3329" spans="1:34">
      <c r="A3329">
        <v>2026</v>
      </c>
      <c r="B3329">
        <v>4</v>
      </c>
      <c r="C3329" s="83">
        <v>19435509665</v>
      </c>
      <c r="D3329" t="s">
        <v>2958</v>
      </c>
      <c r="E3329">
        <v>58214154372</v>
      </c>
      <c r="F3329">
        <v>636853</v>
      </c>
      <c r="G3329">
        <v>53854398898</v>
      </c>
      <c r="H3329" t="s">
        <v>35</v>
      </c>
      <c r="I3329" s="36">
        <v>15384</v>
      </c>
      <c r="J3329" s="36">
        <v>7692</v>
      </c>
      <c r="K3329" s="85">
        <v>7692</v>
      </c>
      <c r="L3329" s="36">
        <v>641</v>
      </c>
      <c r="M3329" s="36">
        <v>641</v>
      </c>
      <c r="N3329" s="36">
        <v>0</v>
      </c>
      <c r="O3329" s="36">
        <v>0</v>
      </c>
      <c r="P3329" t="s">
        <v>1243</v>
      </c>
      <c r="Q3329" t="s">
        <v>37</v>
      </c>
      <c r="R3329" t="s">
        <v>37</v>
      </c>
      <c r="S3329" s="1">
        <v>46114</v>
      </c>
      <c r="T3329" s="1">
        <v>46114</v>
      </c>
      <c r="U3329" s="1"/>
      <c r="V3329" s="1">
        <v>46845</v>
      </c>
      <c r="W3329" t="s">
        <v>56</v>
      </c>
      <c r="X3329">
        <v>24</v>
      </c>
      <c r="Y3329" t="s">
        <v>49</v>
      </c>
      <c r="AA3329" t="s">
        <v>40</v>
      </c>
      <c r="AB3329">
        <v>1</v>
      </c>
      <c r="AC3329" t="s">
        <v>41</v>
      </c>
      <c r="AD3329" t="s">
        <v>70</v>
      </c>
      <c r="AE3329" t="s">
        <v>43</v>
      </c>
      <c r="AF3329" t="s">
        <v>47</v>
      </c>
      <c r="AG3329" t="str">
        <f t="shared" ref="AG3329:AG3392" si="65">IF(IFERROR(SEARCH("Recorrente",AA3329),0)&gt;0,"Recorrente",IF(AB3329=1,"À Vista",IF(AB3329&lt;=3,"CC 3x",IF(AB3329&lt;=12,"CC 12x",IF(AB3329&gt;12,"Recorrente","")))))</f>
        <v>À Vista</v>
      </c>
      <c r="AH3329" t="str">
        <f t="shared" ref="AH3329:AH3392" si="66">IF(AND(SUMIF(E:E,E3329,I:I)&gt;=400000,Q3329="B2G"),"n","")</f>
        <v/>
      </c>
    </row>
    <row r="3330" spans="1:34">
      <c r="A3330">
        <v>2026</v>
      </c>
      <c r="B3330">
        <v>4</v>
      </c>
      <c r="C3330" s="83">
        <v>19435509665</v>
      </c>
      <c r="D3330" t="s">
        <v>2958</v>
      </c>
      <c r="E3330">
        <v>58214154372</v>
      </c>
      <c r="F3330">
        <v>636853</v>
      </c>
      <c r="G3330">
        <v>53854398899</v>
      </c>
      <c r="H3330" t="s">
        <v>35</v>
      </c>
      <c r="I3330" s="36">
        <v>28344</v>
      </c>
      <c r="J3330" s="36">
        <v>14172</v>
      </c>
      <c r="K3330" s="85">
        <v>14172</v>
      </c>
      <c r="L3330" s="36">
        <v>1181</v>
      </c>
      <c r="M3330" s="36">
        <v>1181</v>
      </c>
      <c r="N3330" s="36">
        <v>0</v>
      </c>
      <c r="O3330" s="36">
        <v>0</v>
      </c>
      <c r="P3330" t="s">
        <v>1243</v>
      </c>
      <c r="Q3330" t="s">
        <v>37</v>
      </c>
      <c r="R3330" t="s">
        <v>37</v>
      </c>
      <c r="S3330" s="1">
        <v>46114</v>
      </c>
      <c r="T3330" s="1">
        <v>46114</v>
      </c>
      <c r="U3330" s="1"/>
      <c r="V3330" s="1">
        <v>46845</v>
      </c>
      <c r="W3330" t="s">
        <v>56</v>
      </c>
      <c r="X3330">
        <v>24</v>
      </c>
      <c r="Y3330" t="s">
        <v>49</v>
      </c>
      <c r="AA3330" t="s">
        <v>40</v>
      </c>
      <c r="AB3330">
        <v>1</v>
      </c>
      <c r="AC3330" t="s">
        <v>41</v>
      </c>
      <c r="AD3330" t="s">
        <v>100</v>
      </c>
      <c r="AE3330" t="s">
        <v>46</v>
      </c>
      <c r="AF3330" t="s">
        <v>47</v>
      </c>
      <c r="AG3330" t="str">
        <f t="shared" si="65"/>
        <v>À Vista</v>
      </c>
      <c r="AH3330" t="str">
        <f t="shared" si="66"/>
        <v/>
      </c>
    </row>
    <row r="3331" spans="1:34">
      <c r="A3331">
        <v>2026</v>
      </c>
      <c r="B3331">
        <v>4</v>
      </c>
      <c r="C3331" s="83">
        <v>19435523887</v>
      </c>
      <c r="D3331" t="s">
        <v>2959</v>
      </c>
      <c r="E3331">
        <v>44545085880</v>
      </c>
      <c r="F3331">
        <v>636991</v>
      </c>
      <c r="G3331">
        <v>54149662855</v>
      </c>
      <c r="H3331" t="s">
        <v>35</v>
      </c>
      <c r="I3331" s="36">
        <v>4644</v>
      </c>
      <c r="J3331" s="36">
        <v>4644</v>
      </c>
      <c r="K3331" s="85">
        <v>0</v>
      </c>
      <c r="L3331" s="36">
        <v>387</v>
      </c>
      <c r="M3331" s="36">
        <v>387</v>
      </c>
      <c r="N3331" s="36">
        <v>0</v>
      </c>
      <c r="O3331" s="36">
        <v>0</v>
      </c>
      <c r="P3331" t="s">
        <v>36</v>
      </c>
      <c r="Q3331" t="s">
        <v>37</v>
      </c>
      <c r="R3331" t="s">
        <v>37</v>
      </c>
      <c r="S3331" s="1">
        <v>46121</v>
      </c>
      <c r="T3331" s="1">
        <v>46121</v>
      </c>
      <c r="U3331" s="1">
        <v>46106</v>
      </c>
      <c r="V3331" s="1">
        <v>46512</v>
      </c>
      <c r="W3331" t="s">
        <v>38</v>
      </c>
      <c r="X3331">
        <v>13</v>
      </c>
      <c r="Y3331" t="s">
        <v>49</v>
      </c>
      <c r="AA3331" t="s">
        <v>40</v>
      </c>
      <c r="AB3331">
        <v>1</v>
      </c>
      <c r="AC3331" t="s">
        <v>41</v>
      </c>
      <c r="AD3331" t="s">
        <v>53</v>
      </c>
      <c r="AE3331" t="s">
        <v>43</v>
      </c>
      <c r="AF3331" t="s">
        <v>44</v>
      </c>
      <c r="AG3331" t="str">
        <f t="shared" si="65"/>
        <v>À Vista</v>
      </c>
      <c r="AH3331" t="str">
        <f t="shared" si="66"/>
        <v/>
      </c>
    </row>
    <row r="3332" spans="1:34">
      <c r="A3332">
        <v>2026</v>
      </c>
      <c r="B3332">
        <v>4</v>
      </c>
      <c r="C3332" s="83">
        <v>19435523887</v>
      </c>
      <c r="D3332" t="s">
        <v>2959</v>
      </c>
      <c r="E3332">
        <v>44545085880</v>
      </c>
      <c r="F3332">
        <v>636991</v>
      </c>
      <c r="G3332">
        <v>54149662856</v>
      </c>
      <c r="H3332" t="s">
        <v>35</v>
      </c>
      <c r="I3332" s="36">
        <v>5436</v>
      </c>
      <c r="J3332" s="36">
        <v>5436</v>
      </c>
      <c r="K3332" s="85">
        <v>0</v>
      </c>
      <c r="L3332" s="36">
        <v>453</v>
      </c>
      <c r="M3332" s="36">
        <v>453</v>
      </c>
      <c r="N3332" s="36">
        <v>0</v>
      </c>
      <c r="O3332" s="36">
        <v>0</v>
      </c>
      <c r="P3332" t="s">
        <v>36</v>
      </c>
      <c r="Q3332" t="s">
        <v>37</v>
      </c>
      <c r="R3332" t="s">
        <v>37</v>
      </c>
      <c r="S3332" s="1">
        <v>46121</v>
      </c>
      <c r="T3332" s="1">
        <v>46121</v>
      </c>
      <c r="U3332" s="1">
        <v>46106</v>
      </c>
      <c r="V3332" s="1">
        <v>46512</v>
      </c>
      <c r="W3332" t="s">
        <v>38</v>
      </c>
      <c r="X3332">
        <v>13</v>
      </c>
      <c r="Y3332" t="s">
        <v>49</v>
      </c>
      <c r="AA3332" t="s">
        <v>40</v>
      </c>
      <c r="AB3332">
        <v>1</v>
      </c>
      <c r="AC3332" t="s">
        <v>41</v>
      </c>
      <c r="AD3332" t="s">
        <v>54</v>
      </c>
      <c r="AE3332" t="s">
        <v>46</v>
      </c>
      <c r="AF3332" t="s">
        <v>44</v>
      </c>
      <c r="AG3332" t="str">
        <f t="shared" si="65"/>
        <v>À Vista</v>
      </c>
      <c r="AH3332" t="str">
        <f t="shared" si="66"/>
        <v/>
      </c>
    </row>
    <row r="3333" spans="1:34">
      <c r="A3333">
        <v>2026</v>
      </c>
      <c r="B3333">
        <v>4</v>
      </c>
      <c r="C3333" s="83">
        <v>19435533397</v>
      </c>
      <c r="D3333" t="s">
        <v>2960</v>
      </c>
      <c r="E3333">
        <v>58208858960</v>
      </c>
      <c r="F3333">
        <v>637472</v>
      </c>
      <c r="G3333">
        <v>54880820268</v>
      </c>
      <c r="H3333" t="s">
        <v>35</v>
      </c>
      <c r="I3333" s="36">
        <v>39456</v>
      </c>
      <c r="J3333" s="36">
        <v>0</v>
      </c>
      <c r="K3333" s="85">
        <v>0</v>
      </c>
      <c r="L3333" s="36">
        <v>0</v>
      </c>
      <c r="M3333" s="36">
        <v>0</v>
      </c>
      <c r="N3333" s="36">
        <v>0</v>
      </c>
      <c r="O3333" s="36">
        <v>0</v>
      </c>
      <c r="P3333" t="s">
        <v>98</v>
      </c>
      <c r="Q3333" t="s">
        <v>37</v>
      </c>
      <c r="R3333" t="s">
        <v>37</v>
      </c>
      <c r="S3333" s="1">
        <v>46141</v>
      </c>
      <c r="T3333" s="1">
        <v>46141</v>
      </c>
      <c r="V3333" s="1"/>
      <c r="W3333" t="s">
        <v>39</v>
      </c>
      <c r="Y3333" t="s">
        <v>39</v>
      </c>
      <c r="AA3333" t="s">
        <v>40</v>
      </c>
      <c r="AB3333">
        <v>1</v>
      </c>
      <c r="AC3333" t="s">
        <v>41</v>
      </c>
      <c r="AD3333" t="s">
        <v>2961</v>
      </c>
      <c r="AE3333" t="s">
        <v>43</v>
      </c>
      <c r="AF3333" t="s">
        <v>44</v>
      </c>
      <c r="AG3333" t="str">
        <f t="shared" si="65"/>
        <v>À Vista</v>
      </c>
      <c r="AH3333" t="str">
        <f t="shared" si="66"/>
        <v/>
      </c>
    </row>
    <row r="3334" spans="1:34">
      <c r="A3334">
        <v>2026</v>
      </c>
      <c r="B3334">
        <v>4</v>
      </c>
      <c r="C3334" s="83">
        <v>19435533418</v>
      </c>
      <c r="D3334" t="s">
        <v>2962</v>
      </c>
      <c r="E3334">
        <v>59264768016</v>
      </c>
      <c r="F3334">
        <v>533502</v>
      </c>
      <c r="G3334">
        <v>54703962969</v>
      </c>
      <c r="H3334" t="s">
        <v>35</v>
      </c>
      <c r="I3334" s="36">
        <v>4660.8</v>
      </c>
      <c r="J3334" s="36">
        <v>4660.8</v>
      </c>
      <c r="K3334" s="85">
        <v>0</v>
      </c>
      <c r="L3334" s="36">
        <v>388.4</v>
      </c>
      <c r="M3334" s="36">
        <v>0</v>
      </c>
      <c r="N3334" s="36">
        <v>3.35459</v>
      </c>
      <c r="O3334" s="36">
        <v>385.05</v>
      </c>
      <c r="P3334" t="s">
        <v>116</v>
      </c>
      <c r="Q3334" t="s">
        <v>111</v>
      </c>
      <c r="R3334" t="s">
        <v>111</v>
      </c>
      <c r="S3334" s="1">
        <v>46136</v>
      </c>
      <c r="T3334" s="1">
        <v>46136</v>
      </c>
      <c r="U3334" s="1">
        <v>46137</v>
      </c>
      <c r="V3334" s="1">
        <v>46502</v>
      </c>
      <c r="W3334" t="s">
        <v>38</v>
      </c>
      <c r="X3334">
        <v>12</v>
      </c>
      <c r="Y3334" t="s">
        <v>49</v>
      </c>
      <c r="Z3334" t="s">
        <v>81</v>
      </c>
      <c r="AA3334" t="s">
        <v>112</v>
      </c>
      <c r="AB3334">
        <v>12</v>
      </c>
      <c r="AC3334" t="s">
        <v>113</v>
      </c>
      <c r="AD3334" t="s">
        <v>85</v>
      </c>
      <c r="AE3334" t="s">
        <v>46</v>
      </c>
      <c r="AF3334" t="s">
        <v>44</v>
      </c>
      <c r="AG3334" t="str">
        <f t="shared" si="65"/>
        <v>CC 12x</v>
      </c>
      <c r="AH3334" t="str">
        <f t="shared" si="66"/>
        <v/>
      </c>
    </row>
    <row r="3335" spans="1:34">
      <c r="A3335">
        <v>2026</v>
      </c>
      <c r="B3335">
        <v>4</v>
      </c>
      <c r="C3335" s="83">
        <v>19435533593</v>
      </c>
      <c r="D3335" t="s">
        <v>2963</v>
      </c>
      <c r="E3335">
        <v>59859900515</v>
      </c>
      <c r="F3335">
        <v>637504</v>
      </c>
      <c r="G3335">
        <v>54884877613</v>
      </c>
      <c r="H3335" t="s">
        <v>35</v>
      </c>
      <c r="I3335" s="36">
        <v>5754</v>
      </c>
      <c r="J3335" s="36">
        <v>5754</v>
      </c>
      <c r="K3335" s="85">
        <v>0</v>
      </c>
      <c r="L3335" s="36">
        <v>479.5</v>
      </c>
      <c r="M3335" s="36">
        <v>479.5</v>
      </c>
      <c r="N3335" s="36">
        <v>0</v>
      </c>
      <c r="O3335" s="36">
        <v>0</v>
      </c>
      <c r="P3335" t="s">
        <v>129</v>
      </c>
      <c r="Q3335" t="s">
        <v>91</v>
      </c>
      <c r="R3335" t="s">
        <v>91</v>
      </c>
      <c r="S3335" s="1">
        <v>46142</v>
      </c>
      <c r="T3335" s="1">
        <v>46142</v>
      </c>
      <c r="V3335" s="1">
        <v>46518</v>
      </c>
      <c r="W3335" t="s">
        <v>38</v>
      </c>
      <c r="X3335">
        <v>13</v>
      </c>
      <c r="Y3335" t="s">
        <v>49</v>
      </c>
      <c r="AA3335" t="s">
        <v>92</v>
      </c>
      <c r="AB3335">
        <v>12</v>
      </c>
      <c r="AC3335" t="s">
        <v>93</v>
      </c>
      <c r="AD3335" t="s">
        <v>85</v>
      </c>
      <c r="AE3335" t="s">
        <v>46</v>
      </c>
      <c r="AF3335" t="s">
        <v>44</v>
      </c>
      <c r="AG3335" t="str">
        <f t="shared" si="65"/>
        <v>Recorrente</v>
      </c>
      <c r="AH3335" t="str">
        <f t="shared" si="66"/>
        <v/>
      </c>
    </row>
    <row r="3336" spans="1:34">
      <c r="A3336">
        <v>2026</v>
      </c>
      <c r="B3336">
        <v>4</v>
      </c>
      <c r="C3336" s="83">
        <v>19435533652</v>
      </c>
      <c r="D3336" t="s">
        <v>2964</v>
      </c>
      <c r="E3336">
        <v>57893497663</v>
      </c>
      <c r="F3336">
        <v>614303</v>
      </c>
      <c r="G3336">
        <v>53135274810</v>
      </c>
      <c r="H3336" t="s">
        <v>35</v>
      </c>
      <c r="I3336" s="36">
        <v>8634.6</v>
      </c>
      <c r="J3336" s="36">
        <v>8634.6</v>
      </c>
      <c r="K3336" s="85">
        <v>0</v>
      </c>
      <c r="L3336" s="36">
        <v>719.55</v>
      </c>
      <c r="M3336" s="36">
        <v>0</v>
      </c>
      <c r="N3336" s="36">
        <v>134.55000000000001</v>
      </c>
      <c r="O3336" s="36">
        <v>585</v>
      </c>
      <c r="P3336" t="s">
        <v>165</v>
      </c>
      <c r="Q3336" t="s">
        <v>166</v>
      </c>
      <c r="R3336" t="s">
        <v>166</v>
      </c>
      <c r="S3336" s="1">
        <v>46137</v>
      </c>
      <c r="T3336" s="1">
        <v>46137</v>
      </c>
      <c r="U3336" s="1">
        <v>46137</v>
      </c>
      <c r="V3336" s="1">
        <v>46502</v>
      </c>
      <c r="W3336" t="s">
        <v>38</v>
      </c>
      <c r="X3336">
        <v>12</v>
      </c>
      <c r="Y3336" t="s">
        <v>49</v>
      </c>
      <c r="Z3336" t="s">
        <v>81</v>
      </c>
      <c r="AA3336" t="s">
        <v>122</v>
      </c>
      <c r="AB3336">
        <v>12</v>
      </c>
      <c r="AC3336" t="s">
        <v>166</v>
      </c>
      <c r="AD3336" t="s">
        <v>131</v>
      </c>
      <c r="AE3336" t="s">
        <v>46</v>
      </c>
      <c r="AF3336" t="s">
        <v>96</v>
      </c>
      <c r="AG3336" t="str">
        <f t="shared" si="65"/>
        <v>Recorrente</v>
      </c>
      <c r="AH3336" t="str">
        <f t="shared" si="66"/>
        <v/>
      </c>
    </row>
    <row r="3337" spans="1:34">
      <c r="A3337">
        <v>2026</v>
      </c>
      <c r="B3337">
        <v>4</v>
      </c>
      <c r="C3337" s="83">
        <v>19435548501</v>
      </c>
      <c r="D3337" t="s">
        <v>2965</v>
      </c>
      <c r="E3337">
        <v>58894334562</v>
      </c>
      <c r="F3337">
        <v>533331</v>
      </c>
      <c r="G3337">
        <v>54372593069</v>
      </c>
      <c r="H3337" t="s">
        <v>35</v>
      </c>
      <c r="I3337" s="36">
        <v>6758.16</v>
      </c>
      <c r="J3337" s="36">
        <v>6758.16</v>
      </c>
      <c r="K3337" s="85">
        <v>0</v>
      </c>
      <c r="L3337" s="36">
        <v>563.17999999999995</v>
      </c>
      <c r="M3337" s="36">
        <v>0</v>
      </c>
      <c r="N3337" s="36">
        <v>1.5409550000000001</v>
      </c>
      <c r="O3337" s="36">
        <v>561.64</v>
      </c>
      <c r="P3337" t="s">
        <v>116</v>
      </c>
      <c r="Q3337" t="s">
        <v>111</v>
      </c>
      <c r="R3337" t="s">
        <v>111</v>
      </c>
      <c r="S3337" s="1">
        <v>46128</v>
      </c>
      <c r="T3337" s="1">
        <v>46128</v>
      </c>
      <c r="U3337" s="1">
        <v>46133</v>
      </c>
      <c r="V3337" s="1">
        <v>46498</v>
      </c>
      <c r="W3337" t="s">
        <v>38</v>
      </c>
      <c r="X3337">
        <v>12</v>
      </c>
      <c r="Y3337" t="s">
        <v>49</v>
      </c>
      <c r="Z3337" t="s">
        <v>81</v>
      </c>
      <c r="AA3337" t="s">
        <v>117</v>
      </c>
      <c r="AB3337">
        <v>1</v>
      </c>
      <c r="AC3337" t="s">
        <v>113</v>
      </c>
      <c r="AD3337" t="s">
        <v>134</v>
      </c>
      <c r="AE3337" t="s">
        <v>135</v>
      </c>
      <c r="AF3337" t="s">
        <v>44</v>
      </c>
      <c r="AG3337" t="str">
        <f t="shared" si="65"/>
        <v>À Vista</v>
      </c>
      <c r="AH3337" t="str">
        <f t="shared" si="66"/>
        <v/>
      </c>
    </row>
    <row r="3338" spans="1:34">
      <c r="A3338">
        <v>2026</v>
      </c>
      <c r="B3338">
        <v>4</v>
      </c>
      <c r="C3338" s="83">
        <v>19435548510</v>
      </c>
      <c r="D3338" t="s">
        <v>2966</v>
      </c>
      <c r="E3338">
        <v>59235708688</v>
      </c>
      <c r="F3338">
        <v>533092</v>
      </c>
      <c r="G3338">
        <v>54509262159</v>
      </c>
      <c r="H3338" t="s">
        <v>35</v>
      </c>
      <c r="I3338" s="36">
        <v>3882.6</v>
      </c>
      <c r="J3338" s="36">
        <v>3882.6</v>
      </c>
      <c r="K3338" s="85">
        <v>0</v>
      </c>
      <c r="L3338" s="36">
        <v>323.55</v>
      </c>
      <c r="M3338" s="36">
        <v>0</v>
      </c>
      <c r="N3338" s="36">
        <v>0</v>
      </c>
      <c r="O3338" s="36">
        <v>323.55</v>
      </c>
      <c r="P3338" t="s">
        <v>121</v>
      </c>
      <c r="Q3338" t="s">
        <v>111</v>
      </c>
      <c r="R3338" t="s">
        <v>111</v>
      </c>
      <c r="S3338" s="1">
        <v>46134</v>
      </c>
      <c r="T3338" s="1">
        <v>46134</v>
      </c>
      <c r="U3338" s="1">
        <v>46131</v>
      </c>
      <c r="V3338" s="1">
        <v>46499</v>
      </c>
      <c r="W3338" t="s">
        <v>38</v>
      </c>
      <c r="X3338">
        <v>12</v>
      </c>
      <c r="Y3338" t="s">
        <v>49</v>
      </c>
      <c r="Z3338" t="s">
        <v>76</v>
      </c>
      <c r="AA3338" t="s">
        <v>117</v>
      </c>
      <c r="AB3338">
        <v>1</v>
      </c>
      <c r="AC3338" t="s">
        <v>113</v>
      </c>
      <c r="AD3338" t="s">
        <v>140</v>
      </c>
      <c r="AE3338" t="s">
        <v>46</v>
      </c>
      <c r="AF3338" t="s">
        <v>119</v>
      </c>
      <c r="AG3338" t="str">
        <f t="shared" si="65"/>
        <v>À Vista</v>
      </c>
      <c r="AH3338" t="str">
        <f t="shared" si="66"/>
        <v/>
      </c>
    </row>
    <row r="3339" spans="1:34">
      <c r="A3339">
        <v>2026</v>
      </c>
      <c r="B3339">
        <v>4</v>
      </c>
      <c r="C3339" s="83">
        <v>19435548510</v>
      </c>
      <c r="D3339" t="s">
        <v>2966</v>
      </c>
      <c r="E3339">
        <v>59235708688</v>
      </c>
      <c r="F3339">
        <v>533092</v>
      </c>
      <c r="G3339">
        <v>54509262160</v>
      </c>
      <c r="H3339" t="s">
        <v>35</v>
      </c>
      <c r="I3339" s="36">
        <v>3882.6</v>
      </c>
      <c r="J3339" s="36">
        <v>3882.6</v>
      </c>
      <c r="K3339" s="85">
        <v>0</v>
      </c>
      <c r="L3339" s="36">
        <v>323.55</v>
      </c>
      <c r="M3339" s="36">
        <v>0</v>
      </c>
      <c r="N3339" s="36">
        <v>0</v>
      </c>
      <c r="O3339" s="36">
        <v>323.55</v>
      </c>
      <c r="P3339" t="s">
        <v>121</v>
      </c>
      <c r="Q3339" t="s">
        <v>111</v>
      </c>
      <c r="R3339" t="s">
        <v>111</v>
      </c>
      <c r="S3339" s="1">
        <v>46134</v>
      </c>
      <c r="T3339" s="1">
        <v>46134</v>
      </c>
      <c r="U3339" s="1">
        <v>46131</v>
      </c>
      <c r="V3339" s="1">
        <v>46499</v>
      </c>
      <c r="W3339" t="s">
        <v>38</v>
      </c>
      <c r="X3339">
        <v>12</v>
      </c>
      <c r="Y3339" t="s">
        <v>49</v>
      </c>
      <c r="Z3339" t="s">
        <v>76</v>
      </c>
      <c r="AA3339" t="s">
        <v>117</v>
      </c>
      <c r="AB3339">
        <v>1</v>
      </c>
      <c r="AC3339" t="s">
        <v>113</v>
      </c>
      <c r="AD3339" t="s">
        <v>85</v>
      </c>
      <c r="AE3339" t="s">
        <v>46</v>
      </c>
      <c r="AF3339" t="s">
        <v>44</v>
      </c>
      <c r="AG3339" t="str">
        <f t="shared" si="65"/>
        <v>À Vista</v>
      </c>
      <c r="AH3339" t="str">
        <f t="shared" si="66"/>
        <v/>
      </c>
    </row>
    <row r="3340" spans="1:34">
      <c r="A3340">
        <v>2026</v>
      </c>
      <c r="B3340">
        <v>4</v>
      </c>
      <c r="C3340" s="83">
        <v>19435548704</v>
      </c>
      <c r="D3340" t="s">
        <v>2967</v>
      </c>
      <c r="E3340">
        <v>58047312642</v>
      </c>
      <c r="F3340">
        <v>531094</v>
      </c>
      <c r="G3340">
        <v>53857801805</v>
      </c>
      <c r="H3340" t="s">
        <v>35</v>
      </c>
      <c r="I3340" s="36">
        <v>7483.2</v>
      </c>
      <c r="J3340" s="36">
        <v>7483.2</v>
      </c>
      <c r="K3340" s="85">
        <v>0</v>
      </c>
      <c r="L3340" s="36">
        <v>623.6</v>
      </c>
      <c r="M3340" s="36">
        <v>0</v>
      </c>
      <c r="N3340" s="36">
        <v>97.06</v>
      </c>
      <c r="O3340" s="36">
        <v>526.54</v>
      </c>
      <c r="P3340" t="s">
        <v>121</v>
      </c>
      <c r="Q3340" t="s">
        <v>111</v>
      </c>
      <c r="R3340" t="s">
        <v>111</v>
      </c>
      <c r="S3340" s="1">
        <v>46114</v>
      </c>
      <c r="T3340" s="1">
        <v>46114</v>
      </c>
      <c r="U3340" s="1">
        <v>46128</v>
      </c>
      <c r="V3340" s="1">
        <v>46493</v>
      </c>
      <c r="W3340" t="s">
        <v>38</v>
      </c>
      <c r="X3340">
        <v>12</v>
      </c>
      <c r="Y3340" t="s">
        <v>49</v>
      </c>
      <c r="Z3340" t="s">
        <v>81</v>
      </c>
      <c r="AA3340" t="s">
        <v>122</v>
      </c>
      <c r="AB3340">
        <v>12</v>
      </c>
      <c r="AC3340" t="s">
        <v>113</v>
      </c>
      <c r="AD3340" t="s">
        <v>134</v>
      </c>
      <c r="AE3340" t="s">
        <v>135</v>
      </c>
      <c r="AF3340" t="s">
        <v>44</v>
      </c>
      <c r="AG3340" t="str">
        <f t="shared" si="65"/>
        <v>Recorrente</v>
      </c>
      <c r="AH3340" t="str">
        <f t="shared" si="66"/>
        <v/>
      </c>
    </row>
    <row r="3341" spans="1:34">
      <c r="A3341">
        <v>2026</v>
      </c>
      <c r="B3341">
        <v>4</v>
      </c>
      <c r="C3341" s="83">
        <v>19435553683</v>
      </c>
      <c r="D3341" t="s">
        <v>2968</v>
      </c>
      <c r="E3341">
        <v>58645955431</v>
      </c>
      <c r="F3341">
        <v>631941</v>
      </c>
      <c r="G3341">
        <v>53854169100</v>
      </c>
      <c r="H3341" t="s">
        <v>35</v>
      </c>
      <c r="I3341" s="36">
        <v>1666.56</v>
      </c>
      <c r="J3341" s="36">
        <v>4317.3599999999997</v>
      </c>
      <c r="K3341" s="85">
        <v>0</v>
      </c>
      <c r="L3341" s="36">
        <v>359.78</v>
      </c>
      <c r="M3341" s="36">
        <v>0</v>
      </c>
      <c r="N3341" s="36">
        <v>359.78</v>
      </c>
      <c r="O3341" s="36">
        <v>0</v>
      </c>
      <c r="P3341" t="s">
        <v>190</v>
      </c>
      <c r="Q3341" t="s">
        <v>191</v>
      </c>
      <c r="R3341" t="s">
        <v>191</v>
      </c>
      <c r="S3341" s="1">
        <v>46114</v>
      </c>
      <c r="T3341" s="1">
        <v>46114</v>
      </c>
      <c r="U3341" s="1">
        <v>46254</v>
      </c>
      <c r="V3341" s="1">
        <v>46254</v>
      </c>
      <c r="W3341" t="s">
        <v>38</v>
      </c>
      <c r="X3341">
        <v>4</v>
      </c>
      <c r="Y3341" t="s">
        <v>49</v>
      </c>
      <c r="Z3341" t="s">
        <v>324</v>
      </c>
      <c r="AA3341" t="s">
        <v>92</v>
      </c>
      <c r="AB3341">
        <v>4</v>
      </c>
      <c r="AC3341" t="s">
        <v>192</v>
      </c>
      <c r="AD3341" t="s">
        <v>85</v>
      </c>
      <c r="AE3341" t="s">
        <v>46</v>
      </c>
      <c r="AF3341" t="s">
        <v>44</v>
      </c>
      <c r="AG3341" t="str">
        <f t="shared" si="65"/>
        <v>Recorrente</v>
      </c>
      <c r="AH3341" t="str">
        <f t="shared" si="66"/>
        <v/>
      </c>
    </row>
    <row r="3342" spans="1:34">
      <c r="A3342">
        <v>2026</v>
      </c>
      <c r="B3342">
        <v>4</v>
      </c>
      <c r="C3342" s="83">
        <v>19435558998</v>
      </c>
      <c r="D3342" t="s">
        <v>2969</v>
      </c>
      <c r="E3342">
        <v>59038719564</v>
      </c>
      <c r="F3342">
        <v>637001</v>
      </c>
      <c r="G3342">
        <v>54154550579</v>
      </c>
      <c r="H3342" t="s">
        <v>35</v>
      </c>
      <c r="I3342" s="36">
        <v>2683.8</v>
      </c>
      <c r="J3342" s="36">
        <v>2683.8</v>
      </c>
      <c r="K3342" s="85">
        <v>4.5474699999999999E-13</v>
      </c>
      <c r="L3342" s="36">
        <v>223.65</v>
      </c>
      <c r="M3342" s="36">
        <v>0</v>
      </c>
      <c r="N3342" s="36">
        <v>223.65</v>
      </c>
      <c r="O3342" s="36">
        <v>0</v>
      </c>
      <c r="P3342" t="s">
        <v>469</v>
      </c>
      <c r="Q3342" t="s">
        <v>191</v>
      </c>
      <c r="R3342" t="s">
        <v>191</v>
      </c>
      <c r="S3342" s="1">
        <v>46121</v>
      </c>
      <c r="T3342" s="1">
        <v>46121</v>
      </c>
      <c r="U3342" s="1"/>
      <c r="V3342" s="1">
        <v>46504</v>
      </c>
      <c r="W3342" t="s">
        <v>38</v>
      </c>
      <c r="X3342">
        <v>12</v>
      </c>
      <c r="Y3342" t="s">
        <v>49</v>
      </c>
      <c r="AA3342" t="s">
        <v>122</v>
      </c>
      <c r="AB3342">
        <v>12</v>
      </c>
      <c r="AC3342" t="s">
        <v>192</v>
      </c>
      <c r="AD3342" t="s">
        <v>142</v>
      </c>
      <c r="AE3342" t="s">
        <v>95</v>
      </c>
      <c r="AF3342" t="s">
        <v>44</v>
      </c>
      <c r="AG3342" t="str">
        <f t="shared" si="65"/>
        <v>Recorrente</v>
      </c>
      <c r="AH3342" t="str">
        <f t="shared" si="66"/>
        <v/>
      </c>
    </row>
    <row r="3343" spans="1:34">
      <c r="A3343">
        <v>2026</v>
      </c>
      <c r="B3343">
        <v>4</v>
      </c>
      <c r="C3343" s="83">
        <v>19435558998</v>
      </c>
      <c r="D3343" t="s">
        <v>2969</v>
      </c>
      <c r="E3343">
        <v>59038719564</v>
      </c>
      <c r="F3343">
        <v>637001</v>
      </c>
      <c r="G3343">
        <v>54154550580</v>
      </c>
      <c r="H3343" t="s">
        <v>35</v>
      </c>
      <c r="I3343" s="36">
        <v>3759</v>
      </c>
      <c r="J3343" s="36">
        <v>3759</v>
      </c>
      <c r="K3343" s="85">
        <v>0</v>
      </c>
      <c r="L3343" s="36">
        <v>313.25</v>
      </c>
      <c r="M3343" s="36">
        <v>0</v>
      </c>
      <c r="N3343" s="36">
        <v>313.25</v>
      </c>
      <c r="O3343" s="36">
        <v>0</v>
      </c>
      <c r="P3343" t="s">
        <v>469</v>
      </c>
      <c r="Q3343" t="s">
        <v>191</v>
      </c>
      <c r="R3343" t="s">
        <v>191</v>
      </c>
      <c r="S3343" s="1">
        <v>46121</v>
      </c>
      <c r="T3343" s="1">
        <v>46121</v>
      </c>
      <c r="U3343" s="1"/>
      <c r="V3343" s="1">
        <v>46504</v>
      </c>
      <c r="W3343" t="s">
        <v>38</v>
      </c>
      <c r="X3343">
        <v>12</v>
      </c>
      <c r="Y3343" t="s">
        <v>49</v>
      </c>
      <c r="AA3343" t="s">
        <v>122</v>
      </c>
      <c r="AB3343">
        <v>12</v>
      </c>
      <c r="AC3343" t="s">
        <v>192</v>
      </c>
      <c r="AD3343" t="s">
        <v>256</v>
      </c>
      <c r="AE3343" t="s">
        <v>257</v>
      </c>
      <c r="AF3343" t="s">
        <v>59</v>
      </c>
      <c r="AG3343" t="str">
        <f t="shared" si="65"/>
        <v>Recorrente</v>
      </c>
      <c r="AH3343" t="str">
        <f t="shared" si="66"/>
        <v/>
      </c>
    </row>
    <row r="3344" spans="1:34">
      <c r="A3344">
        <v>2026</v>
      </c>
      <c r="B3344">
        <v>4</v>
      </c>
      <c r="C3344" s="83">
        <v>19435572584</v>
      </c>
      <c r="D3344" t="s">
        <v>2970</v>
      </c>
      <c r="E3344">
        <v>53822014990</v>
      </c>
      <c r="F3344">
        <v>637232</v>
      </c>
      <c r="G3344">
        <v>54510115140</v>
      </c>
      <c r="H3344" t="s">
        <v>35</v>
      </c>
      <c r="I3344" s="36">
        <v>13932</v>
      </c>
      <c r="J3344" s="36">
        <v>4644</v>
      </c>
      <c r="K3344" s="85">
        <v>9288</v>
      </c>
      <c r="L3344" s="36">
        <v>387</v>
      </c>
      <c r="M3344" s="36">
        <v>387</v>
      </c>
      <c r="N3344" s="36">
        <v>0</v>
      </c>
      <c r="O3344" s="36">
        <v>0</v>
      </c>
      <c r="P3344" t="s">
        <v>1243</v>
      </c>
      <c r="Q3344" t="s">
        <v>37</v>
      </c>
      <c r="R3344" t="s">
        <v>37</v>
      </c>
      <c r="S3344" s="1">
        <v>46134</v>
      </c>
      <c r="T3344" s="1">
        <v>46134</v>
      </c>
      <c r="U3344" s="1"/>
      <c r="V3344" s="1">
        <v>47230</v>
      </c>
      <c r="W3344" t="s">
        <v>102</v>
      </c>
      <c r="X3344">
        <v>36</v>
      </c>
      <c r="Y3344" t="s">
        <v>49</v>
      </c>
      <c r="AA3344" t="s">
        <v>40</v>
      </c>
      <c r="AB3344">
        <v>1</v>
      </c>
      <c r="AC3344" t="s">
        <v>41</v>
      </c>
      <c r="AD3344" t="s">
        <v>53</v>
      </c>
      <c r="AE3344" t="s">
        <v>43</v>
      </c>
      <c r="AF3344" t="s">
        <v>44</v>
      </c>
      <c r="AG3344" t="str">
        <f t="shared" si="65"/>
        <v>À Vista</v>
      </c>
      <c r="AH3344" t="str">
        <f t="shared" si="66"/>
        <v/>
      </c>
    </row>
    <row r="3345" spans="1:34">
      <c r="A3345">
        <v>2026</v>
      </c>
      <c r="B3345">
        <v>4</v>
      </c>
      <c r="C3345" s="83">
        <v>19435575876</v>
      </c>
      <c r="D3345" t="s">
        <v>855</v>
      </c>
      <c r="E3345">
        <v>59768624542</v>
      </c>
      <c r="F3345">
        <v>311337</v>
      </c>
      <c r="G3345">
        <v>54917865555</v>
      </c>
      <c r="H3345" t="s">
        <v>35</v>
      </c>
      <c r="I3345" s="36">
        <v>4686.84</v>
      </c>
      <c r="J3345" s="36">
        <v>4686.84</v>
      </c>
      <c r="K3345" s="85">
        <v>0</v>
      </c>
      <c r="L3345" s="36">
        <v>390.57</v>
      </c>
      <c r="M3345" s="36">
        <v>0</v>
      </c>
      <c r="N3345" s="36">
        <v>0</v>
      </c>
      <c r="O3345" s="36">
        <v>390.57499999999999</v>
      </c>
      <c r="P3345" t="s">
        <v>121</v>
      </c>
      <c r="Q3345" t="s">
        <v>111</v>
      </c>
      <c r="R3345" t="s">
        <v>111</v>
      </c>
      <c r="S3345" s="1">
        <v>46142</v>
      </c>
      <c r="T3345" s="1">
        <v>46142</v>
      </c>
      <c r="U3345" s="1">
        <v>46117</v>
      </c>
      <c r="V3345" s="1">
        <v>46507</v>
      </c>
      <c r="W3345" t="s">
        <v>38</v>
      </c>
      <c r="X3345">
        <v>12</v>
      </c>
      <c r="Y3345" t="s">
        <v>49</v>
      </c>
      <c r="Z3345" t="s">
        <v>81</v>
      </c>
      <c r="AA3345" t="s">
        <v>122</v>
      </c>
      <c r="AB3345">
        <v>12</v>
      </c>
      <c r="AC3345" t="s">
        <v>113</v>
      </c>
      <c r="AD3345" t="s">
        <v>138</v>
      </c>
      <c r="AE3345" t="s">
        <v>135</v>
      </c>
      <c r="AF3345" t="s">
        <v>119</v>
      </c>
      <c r="AG3345" t="str">
        <f t="shared" si="65"/>
        <v>Recorrente</v>
      </c>
      <c r="AH3345" t="str">
        <f t="shared" si="66"/>
        <v/>
      </c>
    </row>
    <row r="3346" spans="1:34">
      <c r="A3346">
        <v>2026</v>
      </c>
      <c r="B3346">
        <v>4</v>
      </c>
      <c r="C3346" s="83">
        <v>19435580549</v>
      </c>
      <c r="D3346" t="s">
        <v>2971</v>
      </c>
      <c r="E3346">
        <v>59458415135</v>
      </c>
      <c r="F3346">
        <v>637252</v>
      </c>
      <c r="G3346">
        <v>54559094344</v>
      </c>
      <c r="H3346" t="s">
        <v>35</v>
      </c>
      <c r="I3346" s="36">
        <v>5514</v>
      </c>
      <c r="J3346" s="36">
        <v>5514</v>
      </c>
      <c r="K3346" s="85">
        <v>0</v>
      </c>
      <c r="L3346" s="36">
        <v>459.5</v>
      </c>
      <c r="M3346" s="36">
        <v>459.5</v>
      </c>
      <c r="N3346" s="36">
        <v>0</v>
      </c>
      <c r="O3346" s="36">
        <v>0</v>
      </c>
      <c r="P3346" t="s">
        <v>497</v>
      </c>
      <c r="Q3346" t="s">
        <v>498</v>
      </c>
      <c r="R3346" t="s">
        <v>498</v>
      </c>
      <c r="S3346" s="1">
        <v>46135</v>
      </c>
      <c r="T3346" s="1">
        <v>46135</v>
      </c>
      <c r="U3346" s="1"/>
      <c r="V3346" s="1">
        <v>46500</v>
      </c>
      <c r="W3346" t="s">
        <v>38</v>
      </c>
      <c r="X3346">
        <v>12</v>
      </c>
      <c r="Y3346" t="s">
        <v>49</v>
      </c>
      <c r="AA3346" t="s">
        <v>117</v>
      </c>
      <c r="AB3346">
        <v>1</v>
      </c>
      <c r="AC3346" t="s">
        <v>499</v>
      </c>
      <c r="AD3346" t="s">
        <v>138</v>
      </c>
      <c r="AE3346" t="s">
        <v>135</v>
      </c>
      <c r="AF3346" t="s">
        <v>119</v>
      </c>
      <c r="AG3346" t="str">
        <f t="shared" si="65"/>
        <v>À Vista</v>
      </c>
      <c r="AH3346" t="str">
        <f t="shared" si="66"/>
        <v/>
      </c>
    </row>
    <row r="3347" spans="1:34">
      <c r="A3347">
        <v>2026</v>
      </c>
      <c r="B3347">
        <v>4</v>
      </c>
      <c r="C3347" s="83">
        <v>19435586202</v>
      </c>
      <c r="D3347" t="s">
        <v>683</v>
      </c>
      <c r="E3347">
        <v>58562208820</v>
      </c>
      <c r="F3347">
        <v>636778</v>
      </c>
      <c r="G3347">
        <v>53747812651</v>
      </c>
      <c r="H3347" t="s">
        <v>104</v>
      </c>
      <c r="I3347" s="36">
        <v>30000</v>
      </c>
      <c r="J3347" s="36">
        <v>0</v>
      </c>
      <c r="K3347" s="85">
        <v>0</v>
      </c>
      <c r="L3347" s="36">
        <v>0</v>
      </c>
      <c r="M3347" s="36">
        <v>0</v>
      </c>
      <c r="N3347" s="36">
        <v>0</v>
      </c>
      <c r="O3347" s="36">
        <v>0</v>
      </c>
      <c r="P3347" t="s">
        <v>684</v>
      </c>
      <c r="Q3347" t="s">
        <v>79</v>
      </c>
      <c r="R3347" t="s">
        <v>79</v>
      </c>
      <c r="S3347" s="1">
        <v>46125</v>
      </c>
      <c r="T3347" s="1">
        <v>46125</v>
      </c>
      <c r="V3347" s="1">
        <v>46484</v>
      </c>
      <c r="W3347" t="s">
        <v>38</v>
      </c>
      <c r="X3347">
        <v>12</v>
      </c>
      <c r="Y3347" t="s">
        <v>104</v>
      </c>
      <c r="AA3347" t="s">
        <v>40</v>
      </c>
      <c r="AB3347">
        <v>1</v>
      </c>
      <c r="AC3347" t="s">
        <v>83</v>
      </c>
      <c r="AD3347" t="s">
        <v>685</v>
      </c>
      <c r="AE3347" t="s">
        <v>106</v>
      </c>
      <c r="AF3347" t="s">
        <v>59</v>
      </c>
      <c r="AG3347" t="str">
        <f t="shared" si="65"/>
        <v>À Vista</v>
      </c>
      <c r="AH3347" t="str">
        <f t="shared" si="66"/>
        <v/>
      </c>
    </row>
    <row r="3348" spans="1:34">
      <c r="A3348">
        <v>2026</v>
      </c>
      <c r="B3348">
        <v>4</v>
      </c>
      <c r="C3348" s="83">
        <v>19435586202</v>
      </c>
      <c r="D3348" t="s">
        <v>683</v>
      </c>
      <c r="E3348">
        <v>59149483636</v>
      </c>
      <c r="F3348">
        <v>637060</v>
      </c>
      <c r="G3348">
        <v>54269766825</v>
      </c>
      <c r="H3348" t="s">
        <v>104</v>
      </c>
      <c r="I3348" s="36">
        <v>30000</v>
      </c>
      <c r="J3348" s="36">
        <v>0</v>
      </c>
      <c r="K3348" s="85">
        <v>0</v>
      </c>
      <c r="L3348" s="36">
        <v>0</v>
      </c>
      <c r="M3348" s="36">
        <v>0</v>
      </c>
      <c r="N3348" s="36">
        <v>0</v>
      </c>
      <c r="O3348" s="36">
        <v>0</v>
      </c>
      <c r="P3348" t="s">
        <v>684</v>
      </c>
      <c r="Q3348" t="s">
        <v>79</v>
      </c>
      <c r="R3348" t="s">
        <v>79</v>
      </c>
      <c r="S3348" s="1">
        <v>46125</v>
      </c>
      <c r="T3348" s="1">
        <v>46125</v>
      </c>
      <c r="V3348" s="1">
        <v>46505</v>
      </c>
      <c r="W3348" t="s">
        <v>38</v>
      </c>
      <c r="X3348">
        <v>12</v>
      </c>
      <c r="Y3348" t="s">
        <v>104</v>
      </c>
      <c r="AA3348" t="s">
        <v>40</v>
      </c>
      <c r="AB3348">
        <v>1</v>
      </c>
      <c r="AC3348" t="s">
        <v>2972</v>
      </c>
      <c r="AD3348" t="s">
        <v>685</v>
      </c>
      <c r="AE3348" t="s">
        <v>106</v>
      </c>
      <c r="AF3348" t="s">
        <v>59</v>
      </c>
      <c r="AG3348" t="str">
        <f t="shared" si="65"/>
        <v>À Vista</v>
      </c>
      <c r="AH3348" t="str">
        <f t="shared" si="66"/>
        <v/>
      </c>
    </row>
    <row r="3349" spans="1:34">
      <c r="A3349">
        <v>2026</v>
      </c>
      <c r="B3349">
        <v>4</v>
      </c>
      <c r="C3349" s="83">
        <v>19435586407</v>
      </c>
      <c r="D3349" t="s">
        <v>2973</v>
      </c>
      <c r="E3349">
        <v>59855042317</v>
      </c>
      <c r="F3349">
        <v>637494</v>
      </c>
      <c r="G3349">
        <v>54884812324</v>
      </c>
      <c r="H3349" t="s">
        <v>35</v>
      </c>
      <c r="I3349" s="36">
        <v>2040.6</v>
      </c>
      <c r="J3349" s="36">
        <v>2040.6</v>
      </c>
      <c r="K3349" s="85">
        <v>0</v>
      </c>
      <c r="L3349" s="36">
        <v>170.05</v>
      </c>
      <c r="M3349" s="36">
        <v>170.05</v>
      </c>
      <c r="N3349" s="36">
        <v>0</v>
      </c>
      <c r="O3349" s="36">
        <v>0</v>
      </c>
      <c r="P3349" t="s">
        <v>829</v>
      </c>
      <c r="Q3349" t="s">
        <v>300</v>
      </c>
      <c r="R3349" t="s">
        <v>300</v>
      </c>
      <c r="S3349" s="1">
        <v>46142</v>
      </c>
      <c r="T3349" s="1">
        <v>46142</v>
      </c>
      <c r="V3349" s="1">
        <v>46507</v>
      </c>
      <c r="W3349" t="s">
        <v>38</v>
      </c>
      <c r="X3349">
        <v>12</v>
      </c>
      <c r="Y3349" t="s">
        <v>49</v>
      </c>
      <c r="AA3349" t="s">
        <v>117</v>
      </c>
      <c r="AB3349">
        <v>1</v>
      </c>
      <c r="AC3349" t="s">
        <v>301</v>
      </c>
      <c r="AD3349" t="s">
        <v>256</v>
      </c>
      <c r="AE3349" t="s">
        <v>257</v>
      </c>
      <c r="AF3349" t="s">
        <v>59</v>
      </c>
      <c r="AG3349" t="str">
        <f t="shared" si="65"/>
        <v>À Vista</v>
      </c>
      <c r="AH3349" t="str">
        <f t="shared" si="66"/>
        <v/>
      </c>
    </row>
    <row r="3350" spans="1:34">
      <c r="A3350">
        <v>2026</v>
      </c>
      <c r="B3350">
        <v>4</v>
      </c>
      <c r="C3350" s="83">
        <v>19435586459</v>
      </c>
      <c r="D3350" t="s">
        <v>2974</v>
      </c>
      <c r="E3350">
        <v>58866939494</v>
      </c>
      <c r="F3350">
        <v>533189</v>
      </c>
      <c r="G3350">
        <v>54295396150</v>
      </c>
      <c r="H3350" t="s">
        <v>35</v>
      </c>
      <c r="I3350" s="36">
        <v>11922.24</v>
      </c>
      <c r="J3350" s="36">
        <v>5961.12</v>
      </c>
      <c r="K3350" s="85">
        <v>5961.12</v>
      </c>
      <c r="L3350" s="36">
        <v>496.76</v>
      </c>
      <c r="M3350" s="36">
        <v>0</v>
      </c>
      <c r="N3350" s="36">
        <v>13.56358</v>
      </c>
      <c r="O3350" s="36">
        <v>483.2</v>
      </c>
      <c r="P3350" t="s">
        <v>116</v>
      </c>
      <c r="Q3350" t="s">
        <v>111</v>
      </c>
      <c r="R3350" t="s">
        <v>111</v>
      </c>
      <c r="S3350" s="1">
        <v>46128</v>
      </c>
      <c r="T3350" s="1">
        <v>46128</v>
      </c>
      <c r="U3350" s="1">
        <v>46130</v>
      </c>
      <c r="V3350" s="1">
        <v>46861</v>
      </c>
      <c r="W3350" t="s">
        <v>56</v>
      </c>
      <c r="X3350">
        <v>24</v>
      </c>
      <c r="Y3350" t="s">
        <v>49</v>
      </c>
      <c r="Z3350" t="s">
        <v>81</v>
      </c>
      <c r="AA3350" t="s">
        <v>122</v>
      </c>
      <c r="AB3350">
        <v>24</v>
      </c>
      <c r="AC3350" t="s">
        <v>113</v>
      </c>
      <c r="AD3350" t="s">
        <v>125</v>
      </c>
      <c r="AE3350" t="s">
        <v>43</v>
      </c>
      <c r="AF3350" t="s">
        <v>47</v>
      </c>
      <c r="AG3350" t="str">
        <f t="shared" si="65"/>
        <v>Recorrente</v>
      </c>
      <c r="AH3350" t="str">
        <f t="shared" si="66"/>
        <v/>
      </c>
    </row>
    <row r="3351" spans="1:34">
      <c r="A3351">
        <v>2026</v>
      </c>
      <c r="B3351">
        <v>4</v>
      </c>
      <c r="C3351" s="83">
        <v>19435599994</v>
      </c>
      <c r="D3351" t="s">
        <v>2975</v>
      </c>
      <c r="E3351">
        <v>59667650221</v>
      </c>
      <c r="F3351">
        <v>313195</v>
      </c>
      <c r="G3351">
        <v>54801615167</v>
      </c>
      <c r="H3351" t="s">
        <v>35</v>
      </c>
      <c r="I3351" s="36">
        <v>6293.64</v>
      </c>
      <c r="J3351" s="36">
        <v>6293.64</v>
      </c>
      <c r="K3351" s="85">
        <v>0</v>
      </c>
      <c r="L3351" s="36">
        <v>524.47</v>
      </c>
      <c r="M3351" s="36">
        <v>0</v>
      </c>
      <c r="N3351" s="36">
        <v>41.271250000000002</v>
      </c>
      <c r="O3351" s="36">
        <v>483.2</v>
      </c>
      <c r="P3351" t="s">
        <v>116</v>
      </c>
      <c r="Q3351" t="s">
        <v>111</v>
      </c>
      <c r="R3351" t="s">
        <v>111</v>
      </c>
      <c r="S3351" s="1">
        <v>46140</v>
      </c>
      <c r="T3351" s="1">
        <v>46140</v>
      </c>
      <c r="U3351" s="1">
        <v>46137</v>
      </c>
      <c r="V3351" s="1">
        <v>46505</v>
      </c>
      <c r="W3351" t="s">
        <v>38</v>
      </c>
      <c r="X3351">
        <v>12</v>
      </c>
      <c r="Y3351" t="s">
        <v>49</v>
      </c>
      <c r="Z3351" t="s">
        <v>81</v>
      </c>
      <c r="AA3351" t="s">
        <v>122</v>
      </c>
      <c r="AB3351">
        <v>12</v>
      </c>
      <c r="AC3351" t="s">
        <v>113</v>
      </c>
      <c r="AD3351" t="s">
        <v>125</v>
      </c>
      <c r="AE3351" t="s">
        <v>43</v>
      </c>
      <c r="AF3351" t="s">
        <v>47</v>
      </c>
      <c r="AG3351" t="str">
        <f t="shared" si="65"/>
        <v>Recorrente</v>
      </c>
      <c r="AH3351" t="str">
        <f t="shared" si="66"/>
        <v/>
      </c>
    </row>
    <row r="3352" spans="1:34">
      <c r="A3352">
        <v>2026</v>
      </c>
      <c r="B3352">
        <v>4</v>
      </c>
      <c r="C3352" s="83">
        <v>19435603799</v>
      </c>
      <c r="D3352" t="s">
        <v>2121</v>
      </c>
      <c r="E3352">
        <v>58646675543</v>
      </c>
      <c r="F3352">
        <v>637079</v>
      </c>
      <c r="G3352">
        <v>54282126423</v>
      </c>
      <c r="H3352" t="s">
        <v>35</v>
      </c>
      <c r="I3352" s="36">
        <v>11437.2</v>
      </c>
      <c r="J3352" s="36">
        <v>1704.199503</v>
      </c>
      <c r="K3352" s="85">
        <v>9733.0004970000009</v>
      </c>
      <c r="L3352" s="36">
        <v>142.01662519999999</v>
      </c>
      <c r="M3352" s="36">
        <v>0</v>
      </c>
      <c r="N3352" s="36">
        <v>142.01662519999999</v>
      </c>
      <c r="O3352" s="36">
        <v>0</v>
      </c>
      <c r="P3352" t="s">
        <v>367</v>
      </c>
      <c r="Q3352" t="s">
        <v>191</v>
      </c>
      <c r="R3352" t="s">
        <v>191</v>
      </c>
      <c r="S3352" s="1">
        <v>46126</v>
      </c>
      <c r="T3352" s="1">
        <v>46126</v>
      </c>
      <c r="V3352" s="1">
        <v>46857</v>
      </c>
      <c r="W3352" t="s">
        <v>56</v>
      </c>
      <c r="Y3352" t="s">
        <v>49</v>
      </c>
      <c r="AA3352" t="s">
        <v>122</v>
      </c>
      <c r="AB3352">
        <v>24</v>
      </c>
      <c r="AC3352" t="s">
        <v>192</v>
      </c>
      <c r="AD3352" t="s">
        <v>149</v>
      </c>
      <c r="AE3352" t="s">
        <v>43</v>
      </c>
      <c r="AF3352" t="s">
        <v>96</v>
      </c>
      <c r="AG3352" t="str">
        <f t="shared" si="65"/>
        <v>Recorrente</v>
      </c>
      <c r="AH3352" t="str">
        <f t="shared" si="66"/>
        <v/>
      </c>
    </row>
    <row r="3353" spans="1:34">
      <c r="A3353">
        <v>2026</v>
      </c>
      <c r="B3353">
        <v>4</v>
      </c>
      <c r="C3353" s="83">
        <v>19435603799</v>
      </c>
      <c r="D3353" t="s">
        <v>2121</v>
      </c>
      <c r="E3353">
        <v>58646675543</v>
      </c>
      <c r="F3353">
        <v>637079</v>
      </c>
      <c r="G3353">
        <v>54282126424</v>
      </c>
      <c r="H3353" t="s">
        <v>35</v>
      </c>
      <c r="I3353" s="36">
        <v>5748</v>
      </c>
      <c r="J3353" s="36">
        <v>856.48049719999995</v>
      </c>
      <c r="K3353" s="85">
        <v>4891.5195030000004</v>
      </c>
      <c r="L3353" s="36">
        <v>71.373374760000004</v>
      </c>
      <c r="M3353" s="36">
        <v>0</v>
      </c>
      <c r="N3353" s="36">
        <v>71.373374760000004</v>
      </c>
      <c r="O3353" s="36">
        <v>0</v>
      </c>
      <c r="P3353" t="s">
        <v>367</v>
      </c>
      <c r="Q3353" t="s">
        <v>191</v>
      </c>
      <c r="R3353" t="s">
        <v>191</v>
      </c>
      <c r="S3353" s="1">
        <v>46126</v>
      </c>
      <c r="T3353" s="1">
        <v>46126</v>
      </c>
      <c r="V3353" s="1">
        <v>46857</v>
      </c>
      <c r="W3353" t="s">
        <v>56</v>
      </c>
      <c r="Y3353" t="s">
        <v>49</v>
      </c>
      <c r="AA3353" t="s">
        <v>122</v>
      </c>
      <c r="AB3353">
        <v>24</v>
      </c>
      <c r="AC3353" t="s">
        <v>192</v>
      </c>
      <c r="AD3353" t="s">
        <v>140</v>
      </c>
      <c r="AE3353" t="s">
        <v>46</v>
      </c>
      <c r="AF3353" t="s">
        <v>119</v>
      </c>
      <c r="AG3353" t="str">
        <f t="shared" si="65"/>
        <v>Recorrente</v>
      </c>
      <c r="AH3353" t="str">
        <f t="shared" si="66"/>
        <v/>
      </c>
    </row>
    <row r="3354" spans="1:34">
      <c r="A3354">
        <v>2026</v>
      </c>
      <c r="B3354">
        <v>4</v>
      </c>
      <c r="C3354" s="83">
        <v>19435603799</v>
      </c>
      <c r="D3354" t="s">
        <v>2121</v>
      </c>
      <c r="E3354">
        <v>59170175288</v>
      </c>
      <c r="F3354">
        <v>637080</v>
      </c>
      <c r="G3354">
        <v>54282668657</v>
      </c>
      <c r="H3354" t="s">
        <v>35</v>
      </c>
      <c r="I3354" s="36">
        <v>3490.44</v>
      </c>
      <c r="J3354" s="36">
        <v>3490.5</v>
      </c>
      <c r="K3354" s="85">
        <v>0</v>
      </c>
      <c r="L3354" s="36">
        <v>290.875</v>
      </c>
      <c r="M3354" s="36">
        <v>0</v>
      </c>
      <c r="N3354" s="36">
        <v>290.875</v>
      </c>
      <c r="O3354" s="36">
        <v>0</v>
      </c>
      <c r="P3354" t="s">
        <v>367</v>
      </c>
      <c r="Q3354" t="s">
        <v>191</v>
      </c>
      <c r="R3354" t="s">
        <v>191</v>
      </c>
      <c r="S3354" s="1">
        <v>46126</v>
      </c>
      <c r="T3354" s="1">
        <v>46126</v>
      </c>
      <c r="V3354" s="1">
        <v>46491</v>
      </c>
      <c r="W3354" t="s">
        <v>38</v>
      </c>
      <c r="X3354">
        <v>12</v>
      </c>
      <c r="Y3354" t="s">
        <v>49</v>
      </c>
      <c r="AA3354" t="s">
        <v>122</v>
      </c>
      <c r="AB3354">
        <v>12</v>
      </c>
      <c r="AC3354" t="s">
        <v>192</v>
      </c>
      <c r="AD3354" t="s">
        <v>362</v>
      </c>
      <c r="AE3354" t="s">
        <v>363</v>
      </c>
      <c r="AF3354" t="s">
        <v>59</v>
      </c>
      <c r="AG3354" t="str">
        <f t="shared" si="65"/>
        <v>Recorrente</v>
      </c>
      <c r="AH3354" t="str">
        <f t="shared" si="66"/>
        <v/>
      </c>
    </row>
    <row r="3355" spans="1:34">
      <c r="A3355">
        <v>2026</v>
      </c>
      <c r="B3355">
        <v>4</v>
      </c>
      <c r="C3355" s="83">
        <v>19435611682</v>
      </c>
      <c r="D3355" t="s">
        <v>2976</v>
      </c>
      <c r="E3355">
        <v>59724881505</v>
      </c>
      <c r="F3355">
        <v>627385</v>
      </c>
      <c r="G3355">
        <v>54950518153</v>
      </c>
      <c r="H3355" t="s">
        <v>35</v>
      </c>
      <c r="I3355" s="36">
        <v>8357.76</v>
      </c>
      <c r="J3355" s="36">
        <v>4563.3599999999997</v>
      </c>
      <c r="K3355" s="85">
        <v>3794.4</v>
      </c>
      <c r="L3355" s="36">
        <v>380.28</v>
      </c>
      <c r="M3355" s="36">
        <v>0</v>
      </c>
      <c r="N3355" s="36">
        <v>380.28</v>
      </c>
      <c r="O3355" s="36">
        <v>0</v>
      </c>
      <c r="P3355" t="s">
        <v>190</v>
      </c>
      <c r="Q3355" t="s">
        <v>191</v>
      </c>
      <c r="R3355" t="s">
        <v>191</v>
      </c>
      <c r="S3355" s="1">
        <v>46142</v>
      </c>
      <c r="T3355" s="1">
        <v>46142</v>
      </c>
      <c r="U3355" s="1">
        <v>46811</v>
      </c>
      <c r="V3355" s="1">
        <v>46811</v>
      </c>
      <c r="W3355" t="s">
        <v>102</v>
      </c>
      <c r="X3355">
        <v>22</v>
      </c>
      <c r="Y3355" t="s">
        <v>49</v>
      </c>
      <c r="Z3355" t="s">
        <v>324</v>
      </c>
      <c r="AA3355" t="s">
        <v>122</v>
      </c>
      <c r="AB3355">
        <v>21</v>
      </c>
      <c r="AC3355" t="s">
        <v>192</v>
      </c>
      <c r="AD3355" t="s">
        <v>94</v>
      </c>
      <c r="AE3355" t="s">
        <v>95</v>
      </c>
      <c r="AF3355" t="s">
        <v>96</v>
      </c>
      <c r="AG3355" t="str">
        <f t="shared" si="65"/>
        <v>Recorrente</v>
      </c>
      <c r="AH3355" t="str">
        <f t="shared" si="66"/>
        <v/>
      </c>
    </row>
    <row r="3356" spans="1:34">
      <c r="A3356">
        <v>2026</v>
      </c>
      <c r="B3356">
        <v>4</v>
      </c>
      <c r="C3356" s="83">
        <v>19435616861</v>
      </c>
      <c r="D3356" t="s">
        <v>2977</v>
      </c>
      <c r="E3356">
        <v>57983602084</v>
      </c>
      <c r="F3356">
        <v>533978</v>
      </c>
      <c r="G3356">
        <v>53225297569</v>
      </c>
      <c r="H3356" t="s">
        <v>35</v>
      </c>
      <c r="I3356" s="36">
        <v>5754</v>
      </c>
      <c r="J3356" s="36">
        <v>5754</v>
      </c>
      <c r="K3356" s="85">
        <v>0</v>
      </c>
      <c r="L3356" s="36">
        <v>479.5</v>
      </c>
      <c r="M3356" s="36">
        <v>0</v>
      </c>
      <c r="N3356" s="36">
        <v>94.45</v>
      </c>
      <c r="O3356" s="36">
        <v>385.05</v>
      </c>
      <c r="P3356" t="s">
        <v>165</v>
      </c>
      <c r="Q3356" t="s">
        <v>166</v>
      </c>
      <c r="R3356" t="s">
        <v>166</v>
      </c>
      <c r="S3356" s="1">
        <v>46139</v>
      </c>
      <c r="T3356" s="1">
        <v>46139</v>
      </c>
      <c r="U3356" s="1">
        <v>46140</v>
      </c>
      <c r="V3356" s="1">
        <v>46505</v>
      </c>
      <c r="W3356" t="s">
        <v>38</v>
      </c>
      <c r="X3356">
        <v>12</v>
      </c>
      <c r="Y3356" t="s">
        <v>49</v>
      </c>
      <c r="Z3356" t="s">
        <v>81</v>
      </c>
      <c r="AA3356" t="s">
        <v>112</v>
      </c>
      <c r="AB3356">
        <v>12</v>
      </c>
      <c r="AC3356" t="s">
        <v>166</v>
      </c>
      <c r="AD3356" t="s">
        <v>85</v>
      </c>
      <c r="AE3356" t="s">
        <v>46</v>
      </c>
      <c r="AF3356" t="s">
        <v>44</v>
      </c>
      <c r="AG3356" t="str">
        <f t="shared" si="65"/>
        <v>CC 12x</v>
      </c>
      <c r="AH3356" t="str">
        <f t="shared" si="66"/>
        <v/>
      </c>
    </row>
    <row r="3357" spans="1:34">
      <c r="A3357">
        <v>2026</v>
      </c>
      <c r="B3357">
        <v>4</v>
      </c>
      <c r="C3357" s="83">
        <v>19435617089</v>
      </c>
      <c r="D3357" t="s">
        <v>2978</v>
      </c>
      <c r="E3357">
        <v>58572541338</v>
      </c>
      <c r="F3357">
        <v>311098</v>
      </c>
      <c r="G3357">
        <v>53858217243</v>
      </c>
      <c r="H3357" t="s">
        <v>35</v>
      </c>
      <c r="I3357" s="36">
        <v>2730.24</v>
      </c>
      <c r="J3357" s="36">
        <v>2730.24</v>
      </c>
      <c r="K3357" s="85">
        <v>0</v>
      </c>
      <c r="L3357" s="36">
        <v>227.52</v>
      </c>
      <c r="M3357" s="36">
        <v>0</v>
      </c>
      <c r="N3357" s="36">
        <v>0</v>
      </c>
      <c r="O3357" s="36">
        <v>227.52500000000001</v>
      </c>
      <c r="P3357" t="s">
        <v>162</v>
      </c>
      <c r="Q3357" t="s">
        <v>111</v>
      </c>
      <c r="R3357" t="s">
        <v>111</v>
      </c>
      <c r="S3357" s="1">
        <v>46114</v>
      </c>
      <c r="T3357" s="1">
        <v>46114</v>
      </c>
      <c r="U3357" s="1">
        <v>46115</v>
      </c>
      <c r="V3357" s="1">
        <v>46480</v>
      </c>
      <c r="W3357" t="s">
        <v>38</v>
      </c>
      <c r="X3357">
        <v>12</v>
      </c>
      <c r="Y3357" t="s">
        <v>49</v>
      </c>
      <c r="Z3357" t="s">
        <v>76</v>
      </c>
      <c r="AA3357" t="s">
        <v>112</v>
      </c>
      <c r="AB3357">
        <v>12</v>
      </c>
      <c r="AC3357" t="s">
        <v>113</v>
      </c>
      <c r="AD3357" t="s">
        <v>140</v>
      </c>
      <c r="AE3357" t="s">
        <v>46</v>
      </c>
      <c r="AF3357" t="s">
        <v>119</v>
      </c>
      <c r="AG3357" t="str">
        <f t="shared" si="65"/>
        <v>CC 12x</v>
      </c>
      <c r="AH3357" t="str">
        <f t="shared" si="66"/>
        <v/>
      </c>
    </row>
    <row r="3358" spans="1:34">
      <c r="A3358">
        <v>2026</v>
      </c>
      <c r="B3358">
        <v>4</v>
      </c>
      <c r="C3358" s="83">
        <v>19435635716</v>
      </c>
      <c r="D3358" t="s">
        <v>2979</v>
      </c>
      <c r="E3358">
        <v>58133827345</v>
      </c>
      <c r="F3358">
        <v>637328</v>
      </c>
      <c r="G3358">
        <v>54699068557</v>
      </c>
      <c r="H3358" t="s">
        <v>35</v>
      </c>
      <c r="I3358" s="36">
        <v>9864</v>
      </c>
      <c r="J3358" s="36">
        <v>4932</v>
      </c>
      <c r="K3358" s="85">
        <v>4932</v>
      </c>
      <c r="L3358" s="36">
        <v>411</v>
      </c>
      <c r="M3358" s="36">
        <v>411</v>
      </c>
      <c r="N3358" s="36">
        <v>0</v>
      </c>
      <c r="O3358" s="36">
        <v>0</v>
      </c>
      <c r="P3358" t="s">
        <v>98</v>
      </c>
      <c r="Q3358" t="s">
        <v>37</v>
      </c>
      <c r="R3358" t="s">
        <v>37</v>
      </c>
      <c r="S3358" s="1">
        <v>46136</v>
      </c>
      <c r="T3358" s="1">
        <v>46136</v>
      </c>
      <c r="V3358" s="1">
        <v>46879</v>
      </c>
      <c r="W3358" t="s">
        <v>56</v>
      </c>
      <c r="X3358">
        <v>25</v>
      </c>
      <c r="Y3358" t="s">
        <v>49</v>
      </c>
      <c r="AA3358" t="s">
        <v>40</v>
      </c>
      <c r="AB3358">
        <v>1</v>
      </c>
      <c r="AC3358" t="s">
        <v>41</v>
      </c>
      <c r="AD3358" t="s">
        <v>53</v>
      </c>
      <c r="AE3358" t="s">
        <v>43</v>
      </c>
      <c r="AF3358" t="s">
        <v>44</v>
      </c>
      <c r="AG3358" t="str">
        <f t="shared" si="65"/>
        <v>À Vista</v>
      </c>
      <c r="AH3358" t="str">
        <f t="shared" si="66"/>
        <v/>
      </c>
    </row>
    <row r="3359" spans="1:34">
      <c r="A3359">
        <v>2026</v>
      </c>
      <c r="B3359">
        <v>4</v>
      </c>
      <c r="C3359" s="83">
        <v>19435644967</v>
      </c>
      <c r="D3359" t="s">
        <v>2980</v>
      </c>
      <c r="E3359">
        <v>19072702499</v>
      </c>
      <c r="F3359">
        <v>637138</v>
      </c>
      <c r="G3359">
        <v>54372563117</v>
      </c>
      <c r="H3359" t="s">
        <v>35</v>
      </c>
      <c r="I3359" s="36">
        <v>31482</v>
      </c>
      <c r="J3359" s="36">
        <v>10494</v>
      </c>
      <c r="K3359" s="85">
        <v>20988</v>
      </c>
      <c r="L3359" s="36">
        <v>874.5</v>
      </c>
      <c r="M3359" s="36">
        <v>874.5</v>
      </c>
      <c r="N3359" s="36">
        <v>0</v>
      </c>
      <c r="O3359" s="36">
        <v>0</v>
      </c>
      <c r="P3359" t="s">
        <v>98</v>
      </c>
      <c r="Q3359" t="s">
        <v>37</v>
      </c>
      <c r="R3359" t="s">
        <v>37</v>
      </c>
      <c r="S3359" s="1">
        <v>46128</v>
      </c>
      <c r="T3359" s="1">
        <v>46128</v>
      </c>
      <c r="V3359" s="1">
        <v>47236</v>
      </c>
      <c r="W3359" t="s">
        <v>102</v>
      </c>
      <c r="X3359">
        <v>36</v>
      </c>
      <c r="Y3359" t="s">
        <v>49</v>
      </c>
      <c r="AA3359" t="s">
        <v>40</v>
      </c>
      <c r="AB3359">
        <v>1</v>
      </c>
      <c r="AC3359" t="s">
        <v>41</v>
      </c>
      <c r="AD3359" t="s">
        <v>100</v>
      </c>
      <c r="AE3359" t="s">
        <v>46</v>
      </c>
      <c r="AF3359" t="s">
        <v>47</v>
      </c>
      <c r="AG3359" t="str">
        <f t="shared" si="65"/>
        <v>À Vista</v>
      </c>
      <c r="AH3359" t="str">
        <f t="shared" si="66"/>
        <v/>
      </c>
    </row>
    <row r="3360" spans="1:34">
      <c r="A3360">
        <v>2026</v>
      </c>
      <c r="B3360">
        <v>4</v>
      </c>
      <c r="C3360" s="83">
        <v>19435644967</v>
      </c>
      <c r="D3360" t="s">
        <v>2980</v>
      </c>
      <c r="E3360">
        <v>19072702499</v>
      </c>
      <c r="F3360">
        <v>637138</v>
      </c>
      <c r="G3360">
        <v>54372563118</v>
      </c>
      <c r="H3360" t="s">
        <v>35</v>
      </c>
      <c r="I3360" s="36">
        <v>17820</v>
      </c>
      <c r="J3360" s="36">
        <v>5940</v>
      </c>
      <c r="K3360" s="85">
        <v>11880</v>
      </c>
      <c r="L3360" s="36">
        <v>495</v>
      </c>
      <c r="M3360" s="36">
        <v>495</v>
      </c>
      <c r="N3360" s="36">
        <v>0</v>
      </c>
      <c r="O3360" s="36">
        <v>0</v>
      </c>
      <c r="P3360" t="s">
        <v>98</v>
      </c>
      <c r="Q3360" t="s">
        <v>37</v>
      </c>
      <c r="R3360" t="s">
        <v>37</v>
      </c>
      <c r="S3360" s="1">
        <v>46128</v>
      </c>
      <c r="T3360" s="1">
        <v>46128</v>
      </c>
      <c r="U3360" s="1"/>
      <c r="V3360" s="1">
        <v>47236</v>
      </c>
      <c r="W3360" t="s">
        <v>102</v>
      </c>
      <c r="X3360">
        <v>36</v>
      </c>
      <c r="Y3360" t="s">
        <v>49</v>
      </c>
      <c r="AA3360" t="s">
        <v>40</v>
      </c>
      <c r="AB3360">
        <v>1</v>
      </c>
      <c r="AC3360" t="s">
        <v>41</v>
      </c>
      <c r="AD3360" t="s">
        <v>70</v>
      </c>
      <c r="AE3360" t="s">
        <v>43</v>
      </c>
      <c r="AF3360" t="s">
        <v>47</v>
      </c>
      <c r="AG3360" t="str">
        <f t="shared" si="65"/>
        <v>À Vista</v>
      </c>
      <c r="AH3360" t="str">
        <f t="shared" si="66"/>
        <v/>
      </c>
    </row>
    <row r="3361" spans="1:34">
      <c r="A3361">
        <v>2026</v>
      </c>
      <c r="B3361">
        <v>4</v>
      </c>
      <c r="C3361" s="83">
        <v>19435659143</v>
      </c>
      <c r="D3361" t="s">
        <v>2981</v>
      </c>
      <c r="E3361">
        <v>57006673502</v>
      </c>
      <c r="F3361">
        <v>637239</v>
      </c>
      <c r="G3361">
        <v>54509506172</v>
      </c>
      <c r="H3361" t="s">
        <v>35</v>
      </c>
      <c r="I3361" s="36">
        <v>13932</v>
      </c>
      <c r="J3361" s="36">
        <v>13932</v>
      </c>
      <c r="K3361" s="85">
        <v>0</v>
      </c>
      <c r="L3361" s="36">
        <v>1161</v>
      </c>
      <c r="M3361" s="36">
        <v>1161</v>
      </c>
      <c r="N3361" s="36">
        <v>0</v>
      </c>
      <c r="O3361" s="36">
        <v>0</v>
      </c>
      <c r="P3361" t="s">
        <v>75</v>
      </c>
      <c r="Q3361" t="s">
        <v>37</v>
      </c>
      <c r="R3361" t="s">
        <v>37</v>
      </c>
      <c r="S3361" s="1">
        <v>46134</v>
      </c>
      <c r="T3361" s="1">
        <v>46134</v>
      </c>
      <c r="U3361" s="1"/>
      <c r="V3361" s="1">
        <v>46499</v>
      </c>
      <c r="W3361" t="s">
        <v>38</v>
      </c>
      <c r="X3361">
        <v>12</v>
      </c>
      <c r="Y3361" t="s">
        <v>49</v>
      </c>
      <c r="AA3361" t="s">
        <v>40</v>
      </c>
      <c r="AB3361">
        <v>1</v>
      </c>
      <c r="AC3361" t="s">
        <v>41</v>
      </c>
      <c r="AD3361" t="s">
        <v>53</v>
      </c>
      <c r="AE3361" t="s">
        <v>43</v>
      </c>
      <c r="AF3361" t="s">
        <v>44</v>
      </c>
      <c r="AG3361" t="str">
        <f t="shared" si="65"/>
        <v>À Vista</v>
      </c>
      <c r="AH3361" t="str">
        <f t="shared" si="66"/>
        <v/>
      </c>
    </row>
    <row r="3362" spans="1:34">
      <c r="A3362">
        <v>2026</v>
      </c>
      <c r="B3362">
        <v>4</v>
      </c>
      <c r="C3362" s="83">
        <v>19435659143</v>
      </c>
      <c r="D3362" t="s">
        <v>2981</v>
      </c>
      <c r="E3362">
        <v>57006673502</v>
      </c>
      <c r="F3362">
        <v>637239</v>
      </c>
      <c r="G3362">
        <v>54509506173</v>
      </c>
      <c r="H3362" t="s">
        <v>35</v>
      </c>
      <c r="I3362" s="36">
        <v>5436</v>
      </c>
      <c r="J3362" s="36">
        <v>5436</v>
      </c>
      <c r="K3362" s="85">
        <v>0</v>
      </c>
      <c r="L3362" s="36">
        <v>453</v>
      </c>
      <c r="M3362" s="36">
        <v>453</v>
      </c>
      <c r="N3362" s="36">
        <v>0</v>
      </c>
      <c r="O3362" s="36">
        <v>0</v>
      </c>
      <c r="P3362" t="s">
        <v>75</v>
      </c>
      <c r="Q3362" t="s">
        <v>37</v>
      </c>
      <c r="R3362" t="s">
        <v>37</v>
      </c>
      <c r="S3362" s="1">
        <v>46134</v>
      </c>
      <c r="T3362" s="1">
        <v>46134</v>
      </c>
      <c r="U3362" s="1"/>
      <c r="V3362" s="1">
        <v>46499</v>
      </c>
      <c r="W3362" t="s">
        <v>38</v>
      </c>
      <c r="X3362">
        <v>12</v>
      </c>
      <c r="Y3362" t="s">
        <v>49</v>
      </c>
      <c r="AA3362" t="s">
        <v>40</v>
      </c>
      <c r="AB3362">
        <v>1</v>
      </c>
      <c r="AC3362" t="s">
        <v>41</v>
      </c>
      <c r="AD3362" t="s">
        <v>54</v>
      </c>
      <c r="AE3362" t="s">
        <v>46</v>
      </c>
      <c r="AF3362" t="s">
        <v>44</v>
      </c>
      <c r="AG3362" t="str">
        <f t="shared" si="65"/>
        <v>À Vista</v>
      </c>
      <c r="AH3362" t="str">
        <f t="shared" si="66"/>
        <v/>
      </c>
    </row>
    <row r="3363" spans="1:34">
      <c r="A3363">
        <v>2026</v>
      </c>
      <c r="B3363">
        <v>4</v>
      </c>
      <c r="C3363" s="83">
        <v>19435659402</v>
      </c>
      <c r="D3363" t="s">
        <v>2982</v>
      </c>
      <c r="E3363">
        <v>59019291743</v>
      </c>
      <c r="F3363">
        <v>629013</v>
      </c>
      <c r="G3363">
        <v>54150116767</v>
      </c>
      <c r="H3363" t="s">
        <v>35</v>
      </c>
      <c r="I3363" s="36">
        <v>4198.32</v>
      </c>
      <c r="J3363" s="36">
        <v>4198.32</v>
      </c>
      <c r="K3363" s="85">
        <v>0</v>
      </c>
      <c r="L3363" s="36">
        <v>349.86</v>
      </c>
      <c r="M3363" s="36">
        <v>0</v>
      </c>
      <c r="N3363" s="36">
        <v>1.5629999999999999</v>
      </c>
      <c r="O3363" s="36">
        <v>348.3</v>
      </c>
      <c r="P3363" t="s">
        <v>133</v>
      </c>
      <c r="Q3363" t="s">
        <v>111</v>
      </c>
      <c r="R3363" t="s">
        <v>111</v>
      </c>
      <c r="S3363" s="1">
        <v>46122</v>
      </c>
      <c r="T3363" s="1">
        <v>46122</v>
      </c>
      <c r="U3363" s="1">
        <v>46136</v>
      </c>
      <c r="V3363" s="1">
        <v>46501</v>
      </c>
      <c r="W3363" t="s">
        <v>38</v>
      </c>
      <c r="X3363">
        <v>12</v>
      </c>
      <c r="Y3363" t="s">
        <v>49</v>
      </c>
      <c r="Z3363" t="s">
        <v>81</v>
      </c>
      <c r="AA3363" t="s">
        <v>112</v>
      </c>
      <c r="AB3363">
        <v>12</v>
      </c>
      <c r="AC3363" t="s">
        <v>113</v>
      </c>
      <c r="AD3363" t="s">
        <v>84</v>
      </c>
      <c r="AE3363" t="s">
        <v>43</v>
      </c>
      <c r="AF3363" t="s">
        <v>44</v>
      </c>
      <c r="AG3363" t="str">
        <f t="shared" si="65"/>
        <v>CC 12x</v>
      </c>
      <c r="AH3363" t="str">
        <f t="shared" si="66"/>
        <v/>
      </c>
    </row>
    <row r="3364" spans="1:34">
      <c r="A3364">
        <v>2026</v>
      </c>
      <c r="B3364">
        <v>4</v>
      </c>
      <c r="C3364" s="83">
        <v>19435662137</v>
      </c>
      <c r="D3364" t="s">
        <v>2983</v>
      </c>
      <c r="E3364">
        <v>58899283296</v>
      </c>
      <c r="F3364">
        <v>636917</v>
      </c>
      <c r="G3364">
        <v>54041797479</v>
      </c>
      <c r="H3364" t="s">
        <v>35</v>
      </c>
      <c r="I3364" s="36">
        <v>9361.68</v>
      </c>
      <c r="J3364" s="36">
        <v>2710.2269219999998</v>
      </c>
      <c r="K3364" s="85">
        <v>6651.4530779999996</v>
      </c>
      <c r="L3364" s="36">
        <v>225.85224349999999</v>
      </c>
      <c r="M3364" s="36">
        <v>0</v>
      </c>
      <c r="N3364" s="36">
        <v>225.85224349999999</v>
      </c>
      <c r="O3364" s="36">
        <v>0</v>
      </c>
      <c r="P3364" t="s">
        <v>190</v>
      </c>
      <c r="Q3364" t="s">
        <v>191</v>
      </c>
      <c r="R3364" t="s">
        <v>191</v>
      </c>
      <c r="S3364" s="1">
        <v>46119</v>
      </c>
      <c r="T3364" s="1">
        <v>46119</v>
      </c>
      <c r="V3364" s="1">
        <v>46850</v>
      </c>
      <c r="W3364" t="s">
        <v>56</v>
      </c>
      <c r="Y3364" t="s">
        <v>49</v>
      </c>
      <c r="AA3364" t="s">
        <v>122</v>
      </c>
      <c r="AB3364">
        <v>24</v>
      </c>
      <c r="AC3364" t="s">
        <v>192</v>
      </c>
      <c r="AD3364" t="s">
        <v>85</v>
      </c>
      <c r="AE3364" t="s">
        <v>46</v>
      </c>
      <c r="AF3364" t="s">
        <v>44</v>
      </c>
      <c r="AG3364" t="str">
        <f t="shared" si="65"/>
        <v>Recorrente</v>
      </c>
      <c r="AH3364" t="str">
        <f t="shared" si="66"/>
        <v/>
      </c>
    </row>
    <row r="3365" spans="1:34">
      <c r="A3365">
        <v>2026</v>
      </c>
      <c r="B3365">
        <v>4</v>
      </c>
      <c r="C3365" s="83">
        <v>19435662137</v>
      </c>
      <c r="D3365" t="s">
        <v>2983</v>
      </c>
      <c r="E3365">
        <v>58899283296</v>
      </c>
      <c r="F3365">
        <v>636917</v>
      </c>
      <c r="G3365">
        <v>54041797480</v>
      </c>
      <c r="H3365" t="s">
        <v>35</v>
      </c>
      <c r="I3365" s="36">
        <v>9658.08</v>
      </c>
      <c r="J3365" s="36">
        <v>2796.0120780000002</v>
      </c>
      <c r="K3365" s="85">
        <v>6862.0679220000002</v>
      </c>
      <c r="L3365" s="36">
        <v>233.00100649999999</v>
      </c>
      <c r="M3365" s="36">
        <v>0</v>
      </c>
      <c r="N3365" s="36">
        <v>233.00100649999999</v>
      </c>
      <c r="O3365" s="36">
        <v>0</v>
      </c>
      <c r="P3365" t="s">
        <v>190</v>
      </c>
      <c r="Q3365" t="s">
        <v>191</v>
      </c>
      <c r="R3365" t="s">
        <v>191</v>
      </c>
      <c r="S3365" s="1">
        <v>46119</v>
      </c>
      <c r="T3365" s="1">
        <v>46119</v>
      </c>
      <c r="V3365" s="1">
        <v>46850</v>
      </c>
      <c r="W3365" t="s">
        <v>56</v>
      </c>
      <c r="Y3365" t="s">
        <v>49</v>
      </c>
      <c r="AA3365" t="s">
        <v>122</v>
      </c>
      <c r="AB3365">
        <v>24</v>
      </c>
      <c r="AC3365" t="s">
        <v>192</v>
      </c>
      <c r="AD3365" t="s">
        <v>149</v>
      </c>
      <c r="AE3365" t="s">
        <v>43</v>
      </c>
      <c r="AF3365" t="s">
        <v>96</v>
      </c>
      <c r="AG3365" t="str">
        <f t="shared" si="65"/>
        <v>Recorrente</v>
      </c>
      <c r="AH3365" t="str">
        <f t="shared" si="66"/>
        <v/>
      </c>
    </row>
    <row r="3366" spans="1:34">
      <c r="A3366">
        <v>2026</v>
      </c>
      <c r="B3366">
        <v>4</v>
      </c>
      <c r="C3366" s="83">
        <v>19435665043</v>
      </c>
      <c r="D3366" t="s">
        <v>757</v>
      </c>
      <c r="E3366">
        <v>58935886263</v>
      </c>
      <c r="F3366">
        <v>636946</v>
      </c>
      <c r="G3366">
        <v>54119240568</v>
      </c>
      <c r="H3366" t="s">
        <v>35</v>
      </c>
      <c r="I3366" s="36">
        <v>18442.080000000002</v>
      </c>
      <c r="J3366" s="36">
        <v>2600.1995649999999</v>
      </c>
      <c r="K3366" s="85">
        <v>15841.880440000001</v>
      </c>
      <c r="L3366" s="36">
        <v>216.6832971</v>
      </c>
      <c r="M3366" s="36">
        <v>0</v>
      </c>
      <c r="N3366" s="36">
        <v>216.6832971</v>
      </c>
      <c r="O3366" s="36">
        <v>0</v>
      </c>
      <c r="P3366" t="s">
        <v>520</v>
      </c>
      <c r="Q3366" t="s">
        <v>191</v>
      </c>
      <c r="R3366" t="s">
        <v>191</v>
      </c>
      <c r="S3366" s="1">
        <v>46120</v>
      </c>
      <c r="T3366" s="1">
        <v>46120</v>
      </c>
      <c r="V3366" s="1">
        <v>47216</v>
      </c>
      <c r="W3366" t="s">
        <v>102</v>
      </c>
      <c r="Y3366" t="s">
        <v>49</v>
      </c>
      <c r="AA3366" t="s">
        <v>122</v>
      </c>
      <c r="AB3366">
        <v>36</v>
      </c>
      <c r="AC3366" t="s">
        <v>192</v>
      </c>
      <c r="AD3366" t="s">
        <v>362</v>
      </c>
      <c r="AE3366" t="s">
        <v>363</v>
      </c>
      <c r="AF3366" t="s">
        <v>59</v>
      </c>
      <c r="AG3366" t="str">
        <f t="shared" si="65"/>
        <v>Recorrente</v>
      </c>
      <c r="AH3366" t="str">
        <f t="shared" si="66"/>
        <v/>
      </c>
    </row>
    <row r="3367" spans="1:34">
      <c r="A3367">
        <v>2026</v>
      </c>
      <c r="B3367">
        <v>4</v>
      </c>
      <c r="C3367" s="83">
        <v>19435665043</v>
      </c>
      <c r="D3367" t="s">
        <v>757</v>
      </c>
      <c r="E3367">
        <v>58935886263</v>
      </c>
      <c r="F3367">
        <v>636946</v>
      </c>
      <c r="G3367">
        <v>54119240569</v>
      </c>
      <c r="H3367" t="s">
        <v>35</v>
      </c>
      <c r="I3367" s="36">
        <v>10368</v>
      </c>
      <c r="J3367" s="36">
        <v>1461.812541</v>
      </c>
      <c r="K3367" s="85">
        <v>8906.1874590000007</v>
      </c>
      <c r="L3367" s="36">
        <v>121.8177118</v>
      </c>
      <c r="M3367" s="36">
        <v>0</v>
      </c>
      <c r="N3367" s="36">
        <v>121.8177118</v>
      </c>
      <c r="O3367" s="36">
        <v>0</v>
      </c>
      <c r="P3367" t="s">
        <v>520</v>
      </c>
      <c r="Q3367" t="s">
        <v>191</v>
      </c>
      <c r="R3367" t="s">
        <v>191</v>
      </c>
      <c r="S3367" s="1">
        <v>46120</v>
      </c>
      <c r="T3367" s="1">
        <v>46120</v>
      </c>
      <c r="V3367" s="1">
        <v>47216</v>
      </c>
      <c r="W3367" t="s">
        <v>102</v>
      </c>
      <c r="Y3367" t="s">
        <v>49</v>
      </c>
      <c r="AA3367" t="s">
        <v>122</v>
      </c>
      <c r="AB3367">
        <v>36</v>
      </c>
      <c r="AC3367" t="s">
        <v>192</v>
      </c>
      <c r="AD3367" t="s">
        <v>142</v>
      </c>
      <c r="AE3367" t="s">
        <v>95</v>
      </c>
      <c r="AF3367" t="s">
        <v>44</v>
      </c>
      <c r="AG3367" t="str">
        <f t="shared" si="65"/>
        <v>Recorrente</v>
      </c>
      <c r="AH3367" t="str">
        <f t="shared" si="66"/>
        <v/>
      </c>
    </row>
    <row r="3368" spans="1:34">
      <c r="A3368">
        <v>2026</v>
      </c>
      <c r="B3368">
        <v>4</v>
      </c>
      <c r="C3368" s="83">
        <v>19435665043</v>
      </c>
      <c r="D3368" t="s">
        <v>757</v>
      </c>
      <c r="E3368">
        <v>58935886263</v>
      </c>
      <c r="F3368">
        <v>636946</v>
      </c>
      <c r="G3368">
        <v>54119240570</v>
      </c>
      <c r="H3368" t="s">
        <v>35</v>
      </c>
      <c r="I3368" s="36">
        <v>40150.800000000003</v>
      </c>
      <c r="J3368" s="36">
        <v>5660.9803000000002</v>
      </c>
      <c r="K3368" s="85">
        <v>34489.8197</v>
      </c>
      <c r="L3368" s="36">
        <v>471.74835830000001</v>
      </c>
      <c r="M3368" s="36">
        <v>0</v>
      </c>
      <c r="N3368" s="36">
        <v>471.74835830000001</v>
      </c>
      <c r="O3368" s="36">
        <v>0</v>
      </c>
      <c r="P3368" t="s">
        <v>520</v>
      </c>
      <c r="Q3368" t="s">
        <v>191</v>
      </c>
      <c r="R3368" t="s">
        <v>191</v>
      </c>
      <c r="S3368" s="1">
        <v>46120</v>
      </c>
      <c r="T3368" s="1">
        <v>46120</v>
      </c>
      <c r="U3368" s="1"/>
      <c r="V3368" s="1">
        <v>47216</v>
      </c>
      <c r="W3368" t="s">
        <v>102</v>
      </c>
      <c r="Y3368" t="s">
        <v>49</v>
      </c>
      <c r="AA3368" t="s">
        <v>122</v>
      </c>
      <c r="AB3368">
        <v>36</v>
      </c>
      <c r="AC3368" t="s">
        <v>192</v>
      </c>
      <c r="AD3368" t="s">
        <v>125</v>
      </c>
      <c r="AE3368" t="s">
        <v>43</v>
      </c>
      <c r="AF3368" t="s">
        <v>47</v>
      </c>
      <c r="AG3368" t="str">
        <f t="shared" si="65"/>
        <v>Recorrente</v>
      </c>
      <c r="AH3368" t="str">
        <f t="shared" si="66"/>
        <v/>
      </c>
    </row>
    <row r="3369" spans="1:34">
      <c r="A3369">
        <v>2026</v>
      </c>
      <c r="B3369">
        <v>4</v>
      </c>
      <c r="C3369" s="83">
        <v>19435665043</v>
      </c>
      <c r="D3369" t="s">
        <v>757</v>
      </c>
      <c r="E3369">
        <v>58935886263</v>
      </c>
      <c r="F3369">
        <v>636946</v>
      </c>
      <c r="G3369">
        <v>54119240571</v>
      </c>
      <c r="H3369" t="s">
        <v>35</v>
      </c>
      <c r="I3369" s="36">
        <v>18442.439999999999</v>
      </c>
      <c r="J3369" s="36">
        <v>2600.2449929999998</v>
      </c>
      <c r="K3369" s="85">
        <v>15842.195009999999</v>
      </c>
      <c r="L3369" s="36">
        <v>216.68708269999999</v>
      </c>
      <c r="M3369" s="36">
        <v>0</v>
      </c>
      <c r="N3369" s="36">
        <v>216.68708269999999</v>
      </c>
      <c r="O3369" s="36">
        <v>0</v>
      </c>
      <c r="P3369" t="s">
        <v>520</v>
      </c>
      <c r="Q3369" t="s">
        <v>191</v>
      </c>
      <c r="R3369" t="s">
        <v>191</v>
      </c>
      <c r="S3369" s="1">
        <v>46120</v>
      </c>
      <c r="T3369" s="1">
        <v>46120</v>
      </c>
      <c r="V3369" s="1">
        <v>47216</v>
      </c>
      <c r="W3369" t="s">
        <v>102</v>
      </c>
      <c r="Y3369" t="s">
        <v>49</v>
      </c>
      <c r="AA3369" t="s">
        <v>122</v>
      </c>
      <c r="AB3369">
        <v>36</v>
      </c>
      <c r="AC3369" t="s">
        <v>192</v>
      </c>
      <c r="AD3369" t="s">
        <v>256</v>
      </c>
      <c r="AE3369" t="s">
        <v>257</v>
      </c>
      <c r="AF3369" t="s">
        <v>59</v>
      </c>
      <c r="AG3369" t="str">
        <f t="shared" si="65"/>
        <v>Recorrente</v>
      </c>
      <c r="AH3369" t="str">
        <f t="shared" si="66"/>
        <v/>
      </c>
    </row>
    <row r="3370" spans="1:34">
      <c r="A3370">
        <v>2026</v>
      </c>
      <c r="B3370">
        <v>4</v>
      </c>
      <c r="C3370" s="83">
        <v>19435665043</v>
      </c>
      <c r="D3370" t="s">
        <v>757</v>
      </c>
      <c r="E3370">
        <v>58935886263</v>
      </c>
      <c r="F3370">
        <v>636946</v>
      </c>
      <c r="G3370">
        <v>54119240572</v>
      </c>
      <c r="H3370" t="s">
        <v>35</v>
      </c>
      <c r="I3370" s="36">
        <v>49433.760000000002</v>
      </c>
      <c r="J3370" s="36">
        <v>6969.8187010000001</v>
      </c>
      <c r="K3370" s="85">
        <v>42463.941299999999</v>
      </c>
      <c r="L3370" s="36">
        <v>580.81822509999995</v>
      </c>
      <c r="M3370" s="36">
        <v>0</v>
      </c>
      <c r="N3370" s="36">
        <v>580.81822509999995</v>
      </c>
      <c r="O3370" s="36">
        <v>0</v>
      </c>
      <c r="P3370" t="s">
        <v>520</v>
      </c>
      <c r="Q3370" t="s">
        <v>191</v>
      </c>
      <c r="R3370" t="s">
        <v>191</v>
      </c>
      <c r="S3370" s="1">
        <v>46120</v>
      </c>
      <c r="T3370" s="1">
        <v>46120</v>
      </c>
      <c r="V3370" s="1">
        <v>47216</v>
      </c>
      <c r="W3370" t="s">
        <v>102</v>
      </c>
      <c r="Y3370" t="s">
        <v>49</v>
      </c>
      <c r="AA3370" t="s">
        <v>122</v>
      </c>
      <c r="AB3370">
        <v>36</v>
      </c>
      <c r="AC3370" t="s">
        <v>192</v>
      </c>
      <c r="AD3370" t="s">
        <v>154</v>
      </c>
      <c r="AE3370" t="s">
        <v>46</v>
      </c>
      <c r="AF3370" t="s">
        <v>47</v>
      </c>
      <c r="AG3370" t="str">
        <f t="shared" si="65"/>
        <v>Recorrente</v>
      </c>
      <c r="AH3370" t="str">
        <f t="shared" si="66"/>
        <v/>
      </c>
    </row>
    <row r="3371" spans="1:34">
      <c r="A3371">
        <v>2026</v>
      </c>
      <c r="B3371">
        <v>4</v>
      </c>
      <c r="C3371" s="83">
        <v>19435670648</v>
      </c>
      <c r="D3371" t="s">
        <v>2984</v>
      </c>
      <c r="E3371">
        <v>55199378301</v>
      </c>
      <c r="F3371">
        <v>620632</v>
      </c>
      <c r="G3371">
        <v>54377591197</v>
      </c>
      <c r="H3371" t="s">
        <v>35</v>
      </c>
      <c r="I3371" s="36">
        <v>3528.12</v>
      </c>
      <c r="J3371" s="36">
        <v>8887.92</v>
      </c>
      <c r="K3371" s="85">
        <v>0</v>
      </c>
      <c r="L3371" s="36">
        <v>740.66</v>
      </c>
      <c r="M3371" s="36">
        <v>0</v>
      </c>
      <c r="N3371" s="36">
        <v>740.66</v>
      </c>
      <c r="O3371" s="36">
        <v>0</v>
      </c>
      <c r="P3371" t="s">
        <v>190</v>
      </c>
      <c r="Q3371" t="s">
        <v>191</v>
      </c>
      <c r="R3371" t="s">
        <v>191</v>
      </c>
      <c r="S3371" s="1">
        <v>46129</v>
      </c>
      <c r="T3371" s="1">
        <v>46129</v>
      </c>
      <c r="U3371" s="1">
        <v>46274</v>
      </c>
      <c r="V3371" s="1">
        <v>46274</v>
      </c>
      <c r="W3371" t="s">
        <v>38</v>
      </c>
      <c r="X3371">
        <v>5</v>
      </c>
      <c r="Y3371" t="s">
        <v>49</v>
      </c>
      <c r="Z3371" t="s">
        <v>324</v>
      </c>
      <c r="AA3371" t="s">
        <v>112</v>
      </c>
      <c r="AB3371">
        <v>5</v>
      </c>
      <c r="AC3371" t="s">
        <v>192</v>
      </c>
      <c r="AD3371" t="s">
        <v>351</v>
      </c>
      <c r="AE3371" t="s">
        <v>95</v>
      </c>
      <c r="AF3371" t="s">
        <v>96</v>
      </c>
      <c r="AG3371" t="str">
        <f t="shared" si="65"/>
        <v>CC 12x</v>
      </c>
      <c r="AH3371" t="str">
        <f t="shared" si="66"/>
        <v/>
      </c>
    </row>
    <row r="3372" spans="1:34">
      <c r="A3372">
        <v>2026</v>
      </c>
      <c r="B3372">
        <v>4</v>
      </c>
      <c r="C3372" s="83">
        <v>19435672345</v>
      </c>
      <c r="D3372" t="s">
        <v>2985</v>
      </c>
      <c r="E3372">
        <v>37360255063</v>
      </c>
      <c r="F3372">
        <v>637530</v>
      </c>
      <c r="G3372">
        <v>54917941926</v>
      </c>
      <c r="H3372" t="s">
        <v>35</v>
      </c>
      <c r="I3372" s="36">
        <v>26736</v>
      </c>
      <c r="J3372" s="36">
        <v>13368</v>
      </c>
      <c r="K3372" s="85">
        <v>13368</v>
      </c>
      <c r="L3372" s="36">
        <v>1114</v>
      </c>
      <c r="M3372" s="36">
        <v>1114</v>
      </c>
      <c r="N3372" s="36">
        <v>0</v>
      </c>
      <c r="O3372" s="36">
        <v>0</v>
      </c>
      <c r="P3372" t="s">
        <v>36</v>
      </c>
      <c r="Q3372" t="s">
        <v>37</v>
      </c>
      <c r="R3372" t="s">
        <v>37</v>
      </c>
      <c r="S3372" s="1">
        <v>46142</v>
      </c>
      <c r="T3372" s="1">
        <v>46142</v>
      </c>
      <c r="V3372" s="1">
        <v>46873</v>
      </c>
      <c r="W3372" t="s">
        <v>56</v>
      </c>
      <c r="X3372">
        <v>24</v>
      </c>
      <c r="Y3372" t="s">
        <v>49</v>
      </c>
      <c r="AA3372" t="s">
        <v>40</v>
      </c>
      <c r="AB3372">
        <v>1</v>
      </c>
      <c r="AC3372" t="s">
        <v>41</v>
      </c>
      <c r="AD3372" t="s">
        <v>100</v>
      </c>
      <c r="AE3372" t="s">
        <v>46</v>
      </c>
      <c r="AF3372" t="s">
        <v>47</v>
      </c>
      <c r="AG3372" t="str">
        <f t="shared" si="65"/>
        <v>À Vista</v>
      </c>
      <c r="AH3372" t="str">
        <f t="shared" si="66"/>
        <v/>
      </c>
    </row>
    <row r="3373" spans="1:34">
      <c r="A3373">
        <v>2026</v>
      </c>
      <c r="B3373">
        <v>4</v>
      </c>
      <c r="C3373" s="83">
        <v>19435672345</v>
      </c>
      <c r="D3373" t="s">
        <v>2985</v>
      </c>
      <c r="E3373">
        <v>37360255063</v>
      </c>
      <c r="F3373">
        <v>637530</v>
      </c>
      <c r="G3373">
        <v>54917941927</v>
      </c>
      <c r="H3373" t="s">
        <v>35</v>
      </c>
      <c r="I3373" s="36">
        <v>57984</v>
      </c>
      <c r="J3373" s="36">
        <v>28992</v>
      </c>
      <c r="K3373" s="85">
        <v>28992</v>
      </c>
      <c r="L3373" s="36">
        <v>2416</v>
      </c>
      <c r="M3373" s="36">
        <v>2416</v>
      </c>
      <c r="N3373" s="36">
        <v>0</v>
      </c>
      <c r="O3373" s="36">
        <v>0</v>
      </c>
      <c r="P3373" t="s">
        <v>36</v>
      </c>
      <c r="Q3373" t="s">
        <v>37</v>
      </c>
      <c r="R3373" t="s">
        <v>37</v>
      </c>
      <c r="S3373" s="1">
        <v>46142</v>
      </c>
      <c r="T3373" s="1">
        <v>46142</v>
      </c>
      <c r="V3373" s="1">
        <v>46873</v>
      </c>
      <c r="W3373" t="s">
        <v>56</v>
      </c>
      <c r="X3373">
        <v>24</v>
      </c>
      <c r="Y3373" t="s">
        <v>49</v>
      </c>
      <c r="AA3373" t="s">
        <v>40</v>
      </c>
      <c r="AB3373">
        <v>1</v>
      </c>
      <c r="AC3373" t="s">
        <v>41</v>
      </c>
      <c r="AD3373" t="s">
        <v>70</v>
      </c>
      <c r="AE3373" t="s">
        <v>43</v>
      </c>
      <c r="AF3373" t="s">
        <v>47</v>
      </c>
      <c r="AG3373" t="str">
        <f t="shared" si="65"/>
        <v>À Vista</v>
      </c>
      <c r="AH3373" t="str">
        <f t="shared" si="66"/>
        <v/>
      </c>
    </row>
    <row r="3374" spans="1:34">
      <c r="A3374">
        <v>2026</v>
      </c>
      <c r="B3374">
        <v>4</v>
      </c>
      <c r="C3374" s="83">
        <v>19435686041</v>
      </c>
      <c r="D3374" t="s">
        <v>2986</v>
      </c>
      <c r="E3374">
        <v>57481418294</v>
      </c>
      <c r="F3374">
        <v>636916</v>
      </c>
      <c r="G3374">
        <v>54041858089</v>
      </c>
      <c r="H3374" t="s">
        <v>35</v>
      </c>
      <c r="I3374" s="36">
        <v>42516</v>
      </c>
      <c r="J3374" s="36">
        <v>14172</v>
      </c>
      <c r="K3374" s="85">
        <v>28344</v>
      </c>
      <c r="L3374" s="36">
        <v>1181</v>
      </c>
      <c r="M3374" s="36">
        <v>1181</v>
      </c>
      <c r="N3374" s="36">
        <v>0</v>
      </c>
      <c r="O3374" s="36">
        <v>0</v>
      </c>
      <c r="P3374" t="s">
        <v>98</v>
      </c>
      <c r="Q3374" t="s">
        <v>37</v>
      </c>
      <c r="R3374" t="s">
        <v>37</v>
      </c>
      <c r="S3374" s="1">
        <v>46119</v>
      </c>
      <c r="T3374" s="1">
        <v>46119</v>
      </c>
      <c r="V3374" s="1">
        <v>47243</v>
      </c>
      <c r="W3374" t="s">
        <v>102</v>
      </c>
      <c r="X3374">
        <v>37</v>
      </c>
      <c r="Y3374" t="s">
        <v>49</v>
      </c>
      <c r="AA3374" t="s">
        <v>40</v>
      </c>
      <c r="AB3374">
        <v>1</v>
      </c>
      <c r="AC3374" t="s">
        <v>41</v>
      </c>
      <c r="AD3374" t="s">
        <v>100</v>
      </c>
      <c r="AE3374" t="s">
        <v>46</v>
      </c>
      <c r="AF3374" t="s">
        <v>47</v>
      </c>
      <c r="AG3374" t="str">
        <f t="shared" si="65"/>
        <v>À Vista</v>
      </c>
      <c r="AH3374" t="str">
        <f t="shared" si="66"/>
        <v/>
      </c>
    </row>
    <row r="3375" spans="1:34">
      <c r="A3375">
        <v>2026</v>
      </c>
      <c r="B3375">
        <v>4</v>
      </c>
      <c r="C3375" s="83">
        <v>19435686041</v>
      </c>
      <c r="D3375" t="s">
        <v>2986</v>
      </c>
      <c r="E3375">
        <v>57481418294</v>
      </c>
      <c r="F3375">
        <v>636916</v>
      </c>
      <c r="G3375">
        <v>54041858090</v>
      </c>
      <c r="H3375" t="s">
        <v>35</v>
      </c>
      <c r="I3375" s="36">
        <v>69228</v>
      </c>
      <c r="J3375" s="36">
        <v>23076</v>
      </c>
      <c r="K3375" s="85">
        <v>46152</v>
      </c>
      <c r="L3375" s="36">
        <v>1923</v>
      </c>
      <c r="M3375" s="36">
        <v>1923</v>
      </c>
      <c r="N3375" s="36">
        <v>0</v>
      </c>
      <c r="O3375" s="36">
        <v>0</v>
      </c>
      <c r="P3375" t="s">
        <v>98</v>
      </c>
      <c r="Q3375" t="s">
        <v>37</v>
      </c>
      <c r="R3375" t="s">
        <v>37</v>
      </c>
      <c r="S3375" s="1">
        <v>46119</v>
      </c>
      <c r="T3375" s="1">
        <v>46119</v>
      </c>
      <c r="V3375" s="1">
        <v>47243</v>
      </c>
      <c r="W3375" t="s">
        <v>102</v>
      </c>
      <c r="X3375">
        <v>37</v>
      </c>
      <c r="Y3375" t="s">
        <v>49</v>
      </c>
      <c r="AA3375" t="s">
        <v>40</v>
      </c>
      <c r="AB3375">
        <v>1</v>
      </c>
      <c r="AC3375" t="s">
        <v>41</v>
      </c>
      <c r="AD3375" t="s">
        <v>70</v>
      </c>
      <c r="AE3375" t="s">
        <v>43</v>
      </c>
      <c r="AF3375" t="s">
        <v>47</v>
      </c>
      <c r="AG3375" t="str">
        <f t="shared" si="65"/>
        <v>À Vista</v>
      </c>
      <c r="AH3375" t="str">
        <f t="shared" si="66"/>
        <v/>
      </c>
    </row>
    <row r="3376" spans="1:34">
      <c r="A3376">
        <v>2026</v>
      </c>
      <c r="B3376">
        <v>4</v>
      </c>
      <c r="C3376" s="83">
        <v>19435696756</v>
      </c>
      <c r="D3376" t="s">
        <v>2987</v>
      </c>
      <c r="E3376">
        <v>47742478153</v>
      </c>
      <c r="F3376">
        <v>629091</v>
      </c>
      <c r="G3376">
        <v>54462971410</v>
      </c>
      <c r="H3376" t="s">
        <v>35</v>
      </c>
      <c r="I3376" s="36">
        <v>31980</v>
      </c>
      <c r="J3376" s="36">
        <v>31980</v>
      </c>
      <c r="K3376" s="85">
        <v>0</v>
      </c>
      <c r="L3376" s="36">
        <v>2665</v>
      </c>
      <c r="M3376" s="36">
        <v>0</v>
      </c>
      <c r="N3376" s="36">
        <v>0</v>
      </c>
      <c r="O3376" s="36">
        <v>2665</v>
      </c>
      <c r="P3376" t="s">
        <v>98</v>
      </c>
      <c r="Q3376" t="s">
        <v>37</v>
      </c>
      <c r="R3376" t="s">
        <v>37</v>
      </c>
      <c r="S3376" s="1">
        <v>46132</v>
      </c>
      <c r="T3376" s="1">
        <v>46132</v>
      </c>
      <c r="U3376" s="1">
        <v>46141</v>
      </c>
      <c r="V3376" s="1">
        <v>46506</v>
      </c>
      <c r="W3376" t="s">
        <v>38</v>
      </c>
      <c r="X3376">
        <v>12</v>
      </c>
      <c r="Y3376" t="s">
        <v>49</v>
      </c>
      <c r="Z3376" t="s">
        <v>81</v>
      </c>
      <c r="AA3376" t="s">
        <v>40</v>
      </c>
      <c r="AB3376">
        <v>1</v>
      </c>
      <c r="AC3376" t="s">
        <v>41</v>
      </c>
      <c r="AD3376" t="s">
        <v>73</v>
      </c>
      <c r="AE3376" t="s">
        <v>51</v>
      </c>
      <c r="AF3376" t="s">
        <v>47</v>
      </c>
      <c r="AG3376" t="str">
        <f t="shared" si="65"/>
        <v>À Vista</v>
      </c>
      <c r="AH3376" t="str">
        <f t="shared" si="66"/>
        <v/>
      </c>
    </row>
    <row r="3377" spans="1:34">
      <c r="A3377">
        <v>2026</v>
      </c>
      <c r="B3377">
        <v>4</v>
      </c>
      <c r="C3377" s="83">
        <v>19435696808</v>
      </c>
      <c r="D3377" t="s">
        <v>2988</v>
      </c>
      <c r="E3377">
        <v>57579203244</v>
      </c>
      <c r="F3377">
        <v>533171</v>
      </c>
      <c r="G3377">
        <v>52853485959</v>
      </c>
      <c r="H3377" t="s">
        <v>35</v>
      </c>
      <c r="I3377" s="36">
        <v>4530.6000000000004</v>
      </c>
      <c r="J3377" s="36">
        <v>4530.6000000000004</v>
      </c>
      <c r="K3377" s="85">
        <v>0</v>
      </c>
      <c r="L3377" s="36">
        <v>377.55</v>
      </c>
      <c r="M3377" s="36">
        <v>0</v>
      </c>
      <c r="N3377" s="36">
        <v>65.05</v>
      </c>
      <c r="O3377" s="36">
        <v>312.5</v>
      </c>
      <c r="P3377" t="s">
        <v>165</v>
      </c>
      <c r="Q3377" t="s">
        <v>166</v>
      </c>
      <c r="R3377" t="s">
        <v>166</v>
      </c>
      <c r="S3377" s="1">
        <v>46131</v>
      </c>
      <c r="T3377" s="1">
        <v>46131</v>
      </c>
      <c r="U3377" s="1">
        <v>46131</v>
      </c>
      <c r="V3377" s="1">
        <v>46496</v>
      </c>
      <c r="W3377" t="s">
        <v>38</v>
      </c>
      <c r="X3377">
        <v>12</v>
      </c>
      <c r="Y3377" t="s">
        <v>49</v>
      </c>
      <c r="Z3377" t="s">
        <v>81</v>
      </c>
      <c r="AA3377" t="s">
        <v>112</v>
      </c>
      <c r="AB3377">
        <v>12</v>
      </c>
      <c r="AC3377" t="s">
        <v>166</v>
      </c>
      <c r="AD3377" t="s">
        <v>84</v>
      </c>
      <c r="AE3377" t="s">
        <v>43</v>
      </c>
      <c r="AF3377" t="s">
        <v>44</v>
      </c>
      <c r="AG3377" t="str">
        <f t="shared" si="65"/>
        <v>CC 12x</v>
      </c>
      <c r="AH3377" t="str">
        <f t="shared" si="66"/>
        <v/>
      </c>
    </row>
    <row r="3378" spans="1:34">
      <c r="A3378">
        <v>2026</v>
      </c>
      <c r="B3378">
        <v>4</v>
      </c>
      <c r="C3378" s="83">
        <v>19435696812</v>
      </c>
      <c r="D3378" t="s">
        <v>2989</v>
      </c>
      <c r="E3378">
        <v>58877025619</v>
      </c>
      <c r="F3378">
        <v>533049</v>
      </c>
      <c r="G3378">
        <v>54372528215</v>
      </c>
      <c r="H3378" t="s">
        <v>35</v>
      </c>
      <c r="I3378" s="36">
        <v>2328</v>
      </c>
      <c r="J3378" s="36">
        <v>2328</v>
      </c>
      <c r="K3378" s="85">
        <v>0</v>
      </c>
      <c r="L3378" s="36">
        <v>194</v>
      </c>
      <c r="M3378" s="36">
        <v>0</v>
      </c>
      <c r="N3378" s="36">
        <v>2.8021850000000001</v>
      </c>
      <c r="O3378" s="36">
        <v>191.2</v>
      </c>
      <c r="P3378" t="s">
        <v>116</v>
      </c>
      <c r="Q3378" t="s">
        <v>111</v>
      </c>
      <c r="R3378" t="s">
        <v>111</v>
      </c>
      <c r="S3378" s="1">
        <v>46128</v>
      </c>
      <c r="T3378" s="1">
        <v>46128</v>
      </c>
      <c r="U3378" s="1">
        <v>46130</v>
      </c>
      <c r="V3378" s="1">
        <v>46495</v>
      </c>
      <c r="W3378" t="s">
        <v>38</v>
      </c>
      <c r="X3378">
        <v>12</v>
      </c>
      <c r="Y3378" t="s">
        <v>49</v>
      </c>
      <c r="Z3378" t="s">
        <v>81</v>
      </c>
      <c r="AA3378" t="s">
        <v>112</v>
      </c>
      <c r="AB3378">
        <v>12</v>
      </c>
      <c r="AC3378" t="s">
        <v>113</v>
      </c>
      <c r="AD3378" t="s">
        <v>140</v>
      </c>
      <c r="AE3378" t="s">
        <v>46</v>
      </c>
      <c r="AF3378" t="s">
        <v>119</v>
      </c>
      <c r="AG3378" t="str">
        <f t="shared" si="65"/>
        <v>CC 12x</v>
      </c>
      <c r="AH3378" t="str">
        <f t="shared" si="66"/>
        <v/>
      </c>
    </row>
    <row r="3379" spans="1:34">
      <c r="A3379">
        <v>2026</v>
      </c>
      <c r="B3379">
        <v>4</v>
      </c>
      <c r="C3379" s="83">
        <v>19435699819</v>
      </c>
      <c r="D3379" t="s">
        <v>2990</v>
      </c>
      <c r="E3379">
        <v>59718957673</v>
      </c>
      <c r="F3379">
        <v>637408</v>
      </c>
      <c r="G3379">
        <v>54800525196</v>
      </c>
      <c r="H3379" t="s">
        <v>35</v>
      </c>
      <c r="I3379" s="36">
        <v>4530.6000000000004</v>
      </c>
      <c r="J3379" s="36">
        <v>4530.6000000000004</v>
      </c>
      <c r="K3379" s="85">
        <v>0</v>
      </c>
      <c r="L3379" s="36">
        <v>377.55</v>
      </c>
      <c r="M3379" s="36">
        <v>377.55</v>
      </c>
      <c r="N3379" s="36">
        <v>0</v>
      </c>
      <c r="O3379" s="36">
        <v>0</v>
      </c>
      <c r="P3379" t="s">
        <v>1073</v>
      </c>
      <c r="Q3379" t="s">
        <v>314</v>
      </c>
      <c r="R3379" t="s">
        <v>314</v>
      </c>
      <c r="S3379" s="1">
        <v>46139</v>
      </c>
      <c r="T3379" s="1">
        <v>46139</v>
      </c>
      <c r="V3379" s="1">
        <v>46504</v>
      </c>
      <c r="W3379" t="s">
        <v>38</v>
      </c>
      <c r="X3379">
        <v>12</v>
      </c>
      <c r="Y3379" t="s">
        <v>49</v>
      </c>
      <c r="AA3379" t="s">
        <v>122</v>
      </c>
      <c r="AB3379">
        <v>12</v>
      </c>
      <c r="AC3379" t="s">
        <v>315</v>
      </c>
      <c r="AD3379" t="s">
        <v>84</v>
      </c>
      <c r="AE3379" t="s">
        <v>43</v>
      </c>
      <c r="AF3379" t="s">
        <v>44</v>
      </c>
      <c r="AG3379" t="str">
        <f t="shared" si="65"/>
        <v>Recorrente</v>
      </c>
      <c r="AH3379" t="str">
        <f t="shared" si="66"/>
        <v/>
      </c>
    </row>
    <row r="3380" spans="1:34">
      <c r="A3380">
        <v>2026</v>
      </c>
      <c r="B3380">
        <v>4</v>
      </c>
      <c r="C3380" s="83">
        <v>19435699983</v>
      </c>
      <c r="D3380" t="s">
        <v>2991</v>
      </c>
      <c r="E3380">
        <v>59092059794</v>
      </c>
      <c r="F3380">
        <v>637030</v>
      </c>
      <c r="G3380">
        <v>54205147548</v>
      </c>
      <c r="H3380" t="s">
        <v>35</v>
      </c>
      <c r="I3380" s="36">
        <v>2299.1999999999998</v>
      </c>
      <c r="J3380" s="36">
        <v>2299.1999999999998</v>
      </c>
      <c r="K3380" s="85">
        <v>0</v>
      </c>
      <c r="L3380" s="36">
        <v>191.6</v>
      </c>
      <c r="M3380" s="36">
        <v>191.6</v>
      </c>
      <c r="N3380" s="36">
        <v>0</v>
      </c>
      <c r="O3380" s="36">
        <v>0</v>
      </c>
      <c r="P3380" t="s">
        <v>829</v>
      </c>
      <c r="Q3380" t="s">
        <v>300</v>
      </c>
      <c r="R3380" t="s">
        <v>300</v>
      </c>
      <c r="S3380" s="1">
        <v>46122</v>
      </c>
      <c r="T3380" s="1">
        <v>46122</v>
      </c>
      <c r="V3380" s="1">
        <v>46487</v>
      </c>
      <c r="W3380" t="s">
        <v>38</v>
      </c>
      <c r="X3380">
        <v>12</v>
      </c>
      <c r="Y3380" t="s">
        <v>49</v>
      </c>
      <c r="AA3380" t="s">
        <v>112</v>
      </c>
      <c r="AB3380">
        <v>12</v>
      </c>
      <c r="AC3380" t="s">
        <v>301</v>
      </c>
      <c r="AD3380" t="s">
        <v>140</v>
      </c>
      <c r="AE3380" t="s">
        <v>46</v>
      </c>
      <c r="AF3380" t="s">
        <v>119</v>
      </c>
      <c r="AG3380" t="str">
        <f t="shared" si="65"/>
        <v>CC 12x</v>
      </c>
      <c r="AH3380" t="str">
        <f t="shared" si="66"/>
        <v/>
      </c>
    </row>
    <row r="3381" spans="1:34">
      <c r="A3381">
        <v>2026</v>
      </c>
      <c r="B3381">
        <v>4</v>
      </c>
      <c r="C3381" s="83">
        <v>19435709240</v>
      </c>
      <c r="D3381" t="s">
        <v>89</v>
      </c>
      <c r="E3381">
        <v>59778226333</v>
      </c>
      <c r="F3381">
        <v>637428</v>
      </c>
      <c r="G3381">
        <v>54803943044</v>
      </c>
      <c r="H3381" t="s">
        <v>35</v>
      </c>
      <c r="I3381" s="36">
        <v>8184.12</v>
      </c>
      <c r="J3381" s="36">
        <v>4361.7049209999996</v>
      </c>
      <c r="K3381" s="85">
        <v>3822.4150789999999</v>
      </c>
      <c r="L3381" s="36">
        <v>363.47541009999998</v>
      </c>
      <c r="M3381" s="36">
        <v>0</v>
      </c>
      <c r="N3381" s="36">
        <v>363.47541009999998</v>
      </c>
      <c r="O3381" s="36">
        <v>0</v>
      </c>
      <c r="P3381" t="s">
        <v>190</v>
      </c>
      <c r="Q3381" t="s">
        <v>191</v>
      </c>
      <c r="R3381" t="s">
        <v>191</v>
      </c>
      <c r="S3381" s="1">
        <v>46140</v>
      </c>
      <c r="T3381" s="1">
        <v>46140</v>
      </c>
      <c r="U3381" s="1"/>
      <c r="V3381" s="1">
        <v>46519</v>
      </c>
      <c r="W3381" t="s">
        <v>38</v>
      </c>
      <c r="Y3381" t="s">
        <v>49</v>
      </c>
      <c r="AA3381" t="s">
        <v>92</v>
      </c>
      <c r="AB3381">
        <v>12</v>
      </c>
      <c r="AC3381" t="s">
        <v>192</v>
      </c>
      <c r="AD3381" t="s">
        <v>94</v>
      </c>
      <c r="AE3381" t="s">
        <v>95</v>
      </c>
      <c r="AF3381" t="s">
        <v>96</v>
      </c>
      <c r="AG3381" t="str">
        <f t="shared" si="65"/>
        <v>Recorrente</v>
      </c>
      <c r="AH3381" t="str">
        <f t="shared" si="66"/>
        <v/>
      </c>
    </row>
    <row r="3382" spans="1:34">
      <c r="A3382">
        <v>2026</v>
      </c>
      <c r="B3382">
        <v>4</v>
      </c>
      <c r="C3382" s="83">
        <v>19435709240</v>
      </c>
      <c r="D3382" t="s">
        <v>89</v>
      </c>
      <c r="E3382">
        <v>59778226333</v>
      </c>
      <c r="F3382">
        <v>637428</v>
      </c>
      <c r="G3382">
        <v>54803943045</v>
      </c>
      <c r="H3382" t="s">
        <v>35</v>
      </c>
      <c r="I3382" s="36">
        <v>1394.04</v>
      </c>
      <c r="J3382" s="36">
        <v>742.95357100000001</v>
      </c>
      <c r="K3382" s="85">
        <v>651.08642899999995</v>
      </c>
      <c r="L3382" s="36">
        <v>61.912797580000003</v>
      </c>
      <c r="M3382" s="36">
        <v>0</v>
      </c>
      <c r="N3382" s="36">
        <v>61.912797580000003</v>
      </c>
      <c r="O3382" s="36">
        <v>0</v>
      </c>
      <c r="P3382" t="s">
        <v>190</v>
      </c>
      <c r="Q3382" t="s">
        <v>191</v>
      </c>
      <c r="R3382" t="s">
        <v>191</v>
      </c>
      <c r="S3382" s="1">
        <v>46140</v>
      </c>
      <c r="T3382" s="1">
        <v>46140</v>
      </c>
      <c r="U3382" s="1"/>
      <c r="V3382" s="1">
        <v>46519</v>
      </c>
      <c r="W3382" t="s">
        <v>38</v>
      </c>
      <c r="Y3382" t="s">
        <v>49</v>
      </c>
      <c r="AA3382" t="s">
        <v>92</v>
      </c>
      <c r="AB3382">
        <v>12</v>
      </c>
      <c r="AC3382" t="s">
        <v>192</v>
      </c>
      <c r="AD3382" t="s">
        <v>256</v>
      </c>
      <c r="AE3382" t="s">
        <v>257</v>
      </c>
      <c r="AF3382" t="s">
        <v>59</v>
      </c>
      <c r="AG3382" t="str">
        <f t="shared" si="65"/>
        <v>Recorrente</v>
      </c>
      <c r="AH3382" t="str">
        <f t="shared" si="66"/>
        <v/>
      </c>
    </row>
    <row r="3383" spans="1:34">
      <c r="A3383">
        <v>2026</v>
      </c>
      <c r="B3383">
        <v>4</v>
      </c>
      <c r="C3383" s="83">
        <v>19435709240</v>
      </c>
      <c r="D3383" t="s">
        <v>89</v>
      </c>
      <c r="E3383">
        <v>59778226333</v>
      </c>
      <c r="F3383">
        <v>637428</v>
      </c>
      <c r="G3383">
        <v>54803943046</v>
      </c>
      <c r="H3383" t="s">
        <v>35</v>
      </c>
      <c r="I3383" s="36">
        <v>8394</v>
      </c>
      <c r="J3383" s="36">
        <v>4473.5435079999997</v>
      </c>
      <c r="K3383" s="85">
        <v>3920.4564919999998</v>
      </c>
      <c r="L3383" s="36">
        <v>372.79529239999999</v>
      </c>
      <c r="M3383" s="36">
        <v>0</v>
      </c>
      <c r="N3383" s="36">
        <v>372.79529239999999</v>
      </c>
      <c r="O3383" s="36">
        <v>0</v>
      </c>
      <c r="P3383" t="s">
        <v>190</v>
      </c>
      <c r="Q3383" t="s">
        <v>191</v>
      </c>
      <c r="R3383" t="s">
        <v>191</v>
      </c>
      <c r="S3383" s="1">
        <v>46140</v>
      </c>
      <c r="T3383" s="1">
        <v>46140</v>
      </c>
      <c r="U3383" s="1"/>
      <c r="V3383" s="1">
        <v>46519</v>
      </c>
      <c r="W3383" t="s">
        <v>38</v>
      </c>
      <c r="Y3383" t="s">
        <v>49</v>
      </c>
      <c r="AA3383" t="s">
        <v>92</v>
      </c>
      <c r="AB3383">
        <v>12</v>
      </c>
      <c r="AC3383" t="s">
        <v>192</v>
      </c>
      <c r="AD3383" t="s">
        <v>94</v>
      </c>
      <c r="AE3383" t="s">
        <v>95</v>
      </c>
      <c r="AF3383" t="s">
        <v>96</v>
      </c>
      <c r="AG3383" t="str">
        <f t="shared" si="65"/>
        <v>Recorrente</v>
      </c>
      <c r="AH3383" t="str">
        <f t="shared" si="66"/>
        <v/>
      </c>
    </row>
    <row r="3384" spans="1:34">
      <c r="A3384">
        <v>2026</v>
      </c>
      <c r="B3384">
        <v>4</v>
      </c>
      <c r="C3384" s="83">
        <v>19435714824</v>
      </c>
      <c r="D3384" t="s">
        <v>2992</v>
      </c>
      <c r="E3384">
        <v>44650599861</v>
      </c>
      <c r="F3384">
        <v>637224</v>
      </c>
      <c r="G3384">
        <v>54509884843</v>
      </c>
      <c r="H3384" t="s">
        <v>35</v>
      </c>
      <c r="I3384" s="36">
        <v>10872</v>
      </c>
      <c r="J3384" s="36">
        <v>5436</v>
      </c>
      <c r="K3384" s="85">
        <v>5436</v>
      </c>
      <c r="L3384" s="36">
        <v>453</v>
      </c>
      <c r="M3384" s="36">
        <v>453</v>
      </c>
      <c r="N3384" s="36">
        <v>0</v>
      </c>
      <c r="O3384" s="36">
        <v>0</v>
      </c>
      <c r="P3384" t="s">
        <v>36</v>
      </c>
      <c r="Q3384" t="s">
        <v>37</v>
      </c>
      <c r="R3384" t="s">
        <v>37</v>
      </c>
      <c r="S3384" s="1">
        <v>46134</v>
      </c>
      <c r="T3384" s="1">
        <v>46134</v>
      </c>
      <c r="U3384" s="1">
        <v>46107</v>
      </c>
      <c r="V3384" s="1">
        <v>46865</v>
      </c>
      <c r="W3384" t="s">
        <v>56</v>
      </c>
      <c r="X3384">
        <v>24</v>
      </c>
      <c r="Y3384" t="s">
        <v>49</v>
      </c>
      <c r="AA3384" t="s">
        <v>40</v>
      </c>
      <c r="AB3384">
        <v>1</v>
      </c>
      <c r="AC3384" t="s">
        <v>41</v>
      </c>
      <c r="AD3384" t="s">
        <v>54</v>
      </c>
      <c r="AE3384" t="s">
        <v>46</v>
      </c>
      <c r="AF3384" t="s">
        <v>44</v>
      </c>
      <c r="AG3384" t="str">
        <f t="shared" si="65"/>
        <v>À Vista</v>
      </c>
      <c r="AH3384" t="str">
        <f t="shared" si="66"/>
        <v/>
      </c>
    </row>
    <row r="3385" spans="1:34">
      <c r="A3385">
        <v>2026</v>
      </c>
      <c r="B3385">
        <v>4</v>
      </c>
      <c r="C3385" s="83">
        <v>19435714824</v>
      </c>
      <c r="D3385" t="s">
        <v>2992</v>
      </c>
      <c r="E3385">
        <v>44650599861</v>
      </c>
      <c r="F3385">
        <v>637224</v>
      </c>
      <c r="G3385">
        <v>54509884844</v>
      </c>
      <c r="H3385" t="s">
        <v>35</v>
      </c>
      <c r="I3385" s="36">
        <v>9288</v>
      </c>
      <c r="J3385" s="36">
        <v>4644</v>
      </c>
      <c r="K3385" s="85">
        <v>4644</v>
      </c>
      <c r="L3385" s="36">
        <v>387</v>
      </c>
      <c r="M3385" s="36">
        <v>387</v>
      </c>
      <c r="N3385" s="36">
        <v>0</v>
      </c>
      <c r="O3385" s="36">
        <v>0</v>
      </c>
      <c r="P3385" t="s">
        <v>36</v>
      </c>
      <c r="Q3385" t="s">
        <v>37</v>
      </c>
      <c r="R3385" t="s">
        <v>37</v>
      </c>
      <c r="S3385" s="1">
        <v>46134</v>
      </c>
      <c r="T3385" s="1">
        <v>46134</v>
      </c>
      <c r="U3385" s="1">
        <v>46107</v>
      </c>
      <c r="V3385" s="1">
        <v>46865</v>
      </c>
      <c r="W3385" t="s">
        <v>56</v>
      </c>
      <c r="X3385">
        <v>24</v>
      </c>
      <c r="Y3385" t="s">
        <v>49</v>
      </c>
      <c r="AA3385" t="s">
        <v>40</v>
      </c>
      <c r="AB3385">
        <v>1</v>
      </c>
      <c r="AC3385" t="s">
        <v>41</v>
      </c>
      <c r="AD3385" t="s">
        <v>53</v>
      </c>
      <c r="AE3385" t="s">
        <v>43</v>
      </c>
      <c r="AF3385" t="s">
        <v>44</v>
      </c>
      <c r="AG3385" t="str">
        <f t="shared" si="65"/>
        <v>À Vista</v>
      </c>
      <c r="AH3385" t="str">
        <f t="shared" si="66"/>
        <v/>
      </c>
    </row>
    <row r="3386" spans="1:34">
      <c r="A3386">
        <v>2026</v>
      </c>
      <c r="B3386">
        <v>4</v>
      </c>
      <c r="C3386" s="83">
        <v>19435715129</v>
      </c>
      <c r="D3386" t="s">
        <v>809</v>
      </c>
      <c r="E3386">
        <v>58648551499</v>
      </c>
      <c r="F3386">
        <v>635790</v>
      </c>
      <c r="G3386">
        <v>54006749447</v>
      </c>
      <c r="H3386" t="s">
        <v>35</v>
      </c>
      <c r="I3386" s="36">
        <v>6362.28</v>
      </c>
      <c r="J3386" s="36">
        <v>7798.68</v>
      </c>
      <c r="K3386" s="85">
        <v>0</v>
      </c>
      <c r="L3386" s="36">
        <v>649.89</v>
      </c>
      <c r="M3386" s="36">
        <v>0</v>
      </c>
      <c r="N3386" s="36">
        <v>649.89</v>
      </c>
      <c r="O3386" s="36">
        <v>0</v>
      </c>
      <c r="P3386" t="s">
        <v>367</v>
      </c>
      <c r="Q3386" t="s">
        <v>191</v>
      </c>
      <c r="R3386" t="s">
        <v>191</v>
      </c>
      <c r="S3386" s="1">
        <v>46118</v>
      </c>
      <c r="T3386" s="1">
        <v>46118</v>
      </c>
      <c r="U3386" s="1">
        <v>46416</v>
      </c>
      <c r="V3386" s="1">
        <v>46416</v>
      </c>
      <c r="W3386" t="s">
        <v>38</v>
      </c>
      <c r="X3386">
        <v>9</v>
      </c>
      <c r="Y3386" t="s">
        <v>49</v>
      </c>
      <c r="Z3386" t="s">
        <v>324</v>
      </c>
      <c r="AA3386" t="s">
        <v>92</v>
      </c>
      <c r="AB3386">
        <v>9</v>
      </c>
      <c r="AC3386" t="s">
        <v>192</v>
      </c>
      <c r="AD3386" t="s">
        <v>125</v>
      </c>
      <c r="AE3386" t="s">
        <v>43</v>
      </c>
      <c r="AF3386" t="s">
        <v>47</v>
      </c>
      <c r="AG3386" t="str">
        <f t="shared" si="65"/>
        <v>Recorrente</v>
      </c>
      <c r="AH3386" t="str">
        <f t="shared" si="66"/>
        <v/>
      </c>
    </row>
    <row r="3387" spans="1:34">
      <c r="A3387">
        <v>2026</v>
      </c>
      <c r="B3387">
        <v>4</v>
      </c>
      <c r="C3387" s="83">
        <v>19435715129</v>
      </c>
      <c r="D3387" t="s">
        <v>809</v>
      </c>
      <c r="E3387">
        <v>58648551499</v>
      </c>
      <c r="F3387">
        <v>635790</v>
      </c>
      <c r="G3387">
        <v>54006749449</v>
      </c>
      <c r="H3387" t="s">
        <v>35</v>
      </c>
      <c r="I3387" s="36">
        <v>6362.28</v>
      </c>
      <c r="J3387" s="36">
        <v>7798.68</v>
      </c>
      <c r="K3387" s="85">
        <v>0</v>
      </c>
      <c r="L3387" s="36">
        <v>649.89</v>
      </c>
      <c r="M3387" s="36">
        <v>0</v>
      </c>
      <c r="N3387" s="36">
        <v>649.89</v>
      </c>
      <c r="O3387" s="36">
        <v>0</v>
      </c>
      <c r="P3387" t="s">
        <v>367</v>
      </c>
      <c r="Q3387" t="s">
        <v>191</v>
      </c>
      <c r="R3387" t="s">
        <v>191</v>
      </c>
      <c r="S3387" s="1">
        <v>46118</v>
      </c>
      <c r="T3387" s="1">
        <v>46118</v>
      </c>
      <c r="U3387" s="1">
        <v>46416</v>
      </c>
      <c r="V3387" s="1">
        <v>46416</v>
      </c>
      <c r="W3387" t="s">
        <v>38</v>
      </c>
      <c r="X3387">
        <v>9</v>
      </c>
      <c r="Y3387" t="s">
        <v>49</v>
      </c>
      <c r="Z3387" t="s">
        <v>324</v>
      </c>
      <c r="AA3387" t="s">
        <v>92</v>
      </c>
      <c r="AB3387">
        <v>9</v>
      </c>
      <c r="AC3387" t="s">
        <v>192</v>
      </c>
      <c r="AD3387" t="s">
        <v>125</v>
      </c>
      <c r="AE3387" t="s">
        <v>43</v>
      </c>
      <c r="AF3387" t="s">
        <v>47</v>
      </c>
      <c r="AG3387" t="str">
        <f t="shared" si="65"/>
        <v>Recorrente</v>
      </c>
      <c r="AH3387" t="str">
        <f t="shared" si="66"/>
        <v/>
      </c>
    </row>
    <row r="3388" spans="1:34">
      <c r="A3388">
        <v>2026</v>
      </c>
      <c r="B3388">
        <v>4</v>
      </c>
      <c r="C3388" s="83">
        <v>19435717790</v>
      </c>
      <c r="D3388" t="s">
        <v>2993</v>
      </c>
      <c r="E3388">
        <v>57984148489</v>
      </c>
      <c r="F3388">
        <v>532947</v>
      </c>
      <c r="G3388">
        <v>54282758977</v>
      </c>
      <c r="H3388" t="s">
        <v>35</v>
      </c>
      <c r="I3388" s="36">
        <v>10716</v>
      </c>
      <c r="J3388" s="36">
        <v>10716</v>
      </c>
      <c r="K3388" s="85">
        <v>0</v>
      </c>
      <c r="L3388" s="36">
        <v>893</v>
      </c>
      <c r="M3388" s="36">
        <v>0</v>
      </c>
      <c r="N3388" s="36">
        <v>69.349999999999994</v>
      </c>
      <c r="O3388" s="36">
        <v>823.65</v>
      </c>
      <c r="P3388" t="s">
        <v>127</v>
      </c>
      <c r="Q3388" t="s">
        <v>111</v>
      </c>
      <c r="R3388" t="s">
        <v>111</v>
      </c>
      <c r="S3388" s="1">
        <v>46126</v>
      </c>
      <c r="T3388" s="1">
        <v>46126</v>
      </c>
      <c r="U3388" s="1">
        <v>46126</v>
      </c>
      <c r="V3388" s="1">
        <v>46491</v>
      </c>
      <c r="W3388" t="s">
        <v>38</v>
      </c>
      <c r="X3388">
        <v>12</v>
      </c>
      <c r="Y3388" t="s">
        <v>49</v>
      </c>
      <c r="Z3388" t="s">
        <v>81</v>
      </c>
      <c r="AA3388" t="s">
        <v>122</v>
      </c>
      <c r="AB3388">
        <v>12</v>
      </c>
      <c r="AC3388" t="s">
        <v>113</v>
      </c>
      <c r="AD3388" t="s">
        <v>146</v>
      </c>
      <c r="AE3388" t="s">
        <v>135</v>
      </c>
      <c r="AF3388" t="s">
        <v>96</v>
      </c>
      <c r="AG3388" t="str">
        <f t="shared" si="65"/>
        <v>Recorrente</v>
      </c>
      <c r="AH3388" t="str">
        <f t="shared" si="66"/>
        <v/>
      </c>
    </row>
    <row r="3389" spans="1:34">
      <c r="A3389">
        <v>2026</v>
      </c>
      <c r="B3389">
        <v>4</v>
      </c>
      <c r="C3389" s="83">
        <v>19435726682</v>
      </c>
      <c r="D3389" t="s">
        <v>2994</v>
      </c>
      <c r="E3389">
        <v>59717822866</v>
      </c>
      <c r="F3389">
        <v>533770</v>
      </c>
      <c r="G3389">
        <v>54801666949</v>
      </c>
      <c r="H3389" t="s">
        <v>35</v>
      </c>
      <c r="I3389" s="36">
        <v>6624.84</v>
      </c>
      <c r="J3389" s="36">
        <v>6624.84</v>
      </c>
      <c r="K3389" s="85">
        <v>0</v>
      </c>
      <c r="L3389" s="36">
        <v>552.07000000000005</v>
      </c>
      <c r="M3389" s="36">
        <v>0</v>
      </c>
      <c r="N3389" s="36">
        <v>68.875</v>
      </c>
      <c r="O3389" s="36">
        <v>483.2</v>
      </c>
      <c r="P3389" t="s">
        <v>121</v>
      </c>
      <c r="Q3389" t="s">
        <v>111</v>
      </c>
      <c r="R3389" t="s">
        <v>111</v>
      </c>
      <c r="S3389" s="1">
        <v>46140</v>
      </c>
      <c r="T3389" s="1">
        <v>46140</v>
      </c>
      <c r="U3389" s="1">
        <v>46139</v>
      </c>
      <c r="V3389" s="1">
        <v>46505</v>
      </c>
      <c r="W3389" t="s">
        <v>38</v>
      </c>
      <c r="X3389">
        <v>12</v>
      </c>
      <c r="Y3389" t="s">
        <v>49</v>
      </c>
      <c r="Z3389" t="s">
        <v>81</v>
      </c>
      <c r="AA3389" t="s">
        <v>122</v>
      </c>
      <c r="AB3389">
        <v>12</v>
      </c>
      <c r="AC3389" t="s">
        <v>113</v>
      </c>
      <c r="AD3389" t="s">
        <v>125</v>
      </c>
      <c r="AE3389" t="s">
        <v>43</v>
      </c>
      <c r="AF3389" t="s">
        <v>47</v>
      </c>
      <c r="AG3389" t="str">
        <f t="shared" si="65"/>
        <v>Recorrente</v>
      </c>
      <c r="AH3389" t="str">
        <f t="shared" si="66"/>
        <v/>
      </c>
    </row>
    <row r="3390" spans="1:34">
      <c r="A3390">
        <v>2026</v>
      </c>
      <c r="B3390">
        <v>4</v>
      </c>
      <c r="C3390" s="83">
        <v>194613609286</v>
      </c>
      <c r="D3390" t="s">
        <v>2995</v>
      </c>
      <c r="E3390">
        <v>58160742682</v>
      </c>
      <c r="F3390">
        <v>613831</v>
      </c>
      <c r="G3390">
        <v>54379623767</v>
      </c>
      <c r="H3390" t="s">
        <v>35</v>
      </c>
      <c r="I3390" s="36">
        <v>5718.6</v>
      </c>
      <c r="J3390" s="36">
        <v>5718.6</v>
      </c>
      <c r="K3390" s="85">
        <v>0</v>
      </c>
      <c r="L3390" s="36">
        <v>476.55</v>
      </c>
      <c r="M3390" s="36">
        <v>0</v>
      </c>
      <c r="N3390" s="36">
        <v>52.4</v>
      </c>
      <c r="O3390" s="36">
        <v>424.15</v>
      </c>
      <c r="P3390" t="s">
        <v>162</v>
      </c>
      <c r="Q3390" t="s">
        <v>111</v>
      </c>
      <c r="R3390" t="s">
        <v>111</v>
      </c>
      <c r="S3390" s="1">
        <v>46129</v>
      </c>
      <c r="T3390" s="1">
        <v>46129</v>
      </c>
      <c r="U3390" s="1">
        <v>46130</v>
      </c>
      <c r="V3390" s="1">
        <v>46495</v>
      </c>
      <c r="W3390" t="s">
        <v>38</v>
      </c>
      <c r="X3390">
        <v>12</v>
      </c>
      <c r="Y3390" t="s">
        <v>49</v>
      </c>
      <c r="Z3390" t="s">
        <v>81</v>
      </c>
      <c r="AA3390" t="s">
        <v>112</v>
      </c>
      <c r="AB3390">
        <v>12</v>
      </c>
      <c r="AC3390" t="s">
        <v>113</v>
      </c>
      <c r="AD3390" t="s">
        <v>158</v>
      </c>
      <c r="AE3390" t="s">
        <v>43</v>
      </c>
      <c r="AF3390" t="s">
        <v>47</v>
      </c>
      <c r="AG3390" t="str">
        <f t="shared" si="65"/>
        <v>CC 12x</v>
      </c>
      <c r="AH3390" t="str">
        <f t="shared" si="66"/>
        <v/>
      </c>
    </row>
    <row r="3391" spans="1:34">
      <c r="A3391">
        <v>2026</v>
      </c>
      <c r="B3391">
        <v>4</v>
      </c>
      <c r="C3391" s="83">
        <v>19485537064</v>
      </c>
      <c r="D3391" t="s">
        <v>2996</v>
      </c>
      <c r="E3391">
        <v>56948634654</v>
      </c>
      <c r="F3391">
        <v>532409</v>
      </c>
      <c r="G3391">
        <v>52222903130</v>
      </c>
      <c r="H3391" t="s">
        <v>35</v>
      </c>
      <c r="I3391" s="36">
        <v>5718.6</v>
      </c>
      <c r="J3391" s="36">
        <v>5718.6</v>
      </c>
      <c r="K3391" s="85">
        <v>0</v>
      </c>
      <c r="L3391" s="36">
        <v>476.55</v>
      </c>
      <c r="M3391" s="36">
        <v>0</v>
      </c>
      <c r="N3391" s="36">
        <v>96.55</v>
      </c>
      <c r="O3391" s="36">
        <v>380</v>
      </c>
      <c r="P3391" t="s">
        <v>165</v>
      </c>
      <c r="Q3391" t="s">
        <v>166</v>
      </c>
      <c r="R3391" t="s">
        <v>166</v>
      </c>
      <c r="S3391" s="1">
        <v>46122</v>
      </c>
      <c r="T3391" s="1">
        <v>46122</v>
      </c>
      <c r="U3391" s="1">
        <v>46122</v>
      </c>
      <c r="V3391" s="1">
        <v>46487</v>
      </c>
      <c r="W3391" t="s">
        <v>38</v>
      </c>
      <c r="X3391">
        <v>12</v>
      </c>
      <c r="Y3391" t="s">
        <v>49</v>
      </c>
      <c r="Z3391" t="s">
        <v>81</v>
      </c>
      <c r="AA3391" t="s">
        <v>112</v>
      </c>
      <c r="AB3391">
        <v>12</v>
      </c>
      <c r="AC3391" t="s">
        <v>166</v>
      </c>
      <c r="AD3391" t="s">
        <v>174</v>
      </c>
      <c r="AE3391" t="s">
        <v>43</v>
      </c>
      <c r="AF3391" t="s">
        <v>47</v>
      </c>
      <c r="AG3391" t="str">
        <f t="shared" si="65"/>
        <v>CC 12x</v>
      </c>
      <c r="AH3391" t="str">
        <f t="shared" si="66"/>
        <v/>
      </c>
    </row>
    <row r="3392" spans="1:34">
      <c r="A3392">
        <v>2026</v>
      </c>
      <c r="B3392">
        <v>4</v>
      </c>
      <c r="C3392" s="83">
        <v>19485546793</v>
      </c>
      <c r="D3392" t="s">
        <v>2997</v>
      </c>
      <c r="E3392">
        <v>59145611875</v>
      </c>
      <c r="F3392">
        <v>614400</v>
      </c>
      <c r="G3392">
        <v>54270342731</v>
      </c>
      <c r="H3392" t="s">
        <v>35</v>
      </c>
      <c r="I3392" s="36">
        <v>3576</v>
      </c>
      <c r="J3392" s="36">
        <v>3576</v>
      </c>
      <c r="K3392" s="85">
        <v>0</v>
      </c>
      <c r="L3392" s="36">
        <v>298</v>
      </c>
      <c r="M3392" s="36">
        <v>0</v>
      </c>
      <c r="N3392" s="36">
        <v>0</v>
      </c>
      <c r="O3392" s="36">
        <v>298</v>
      </c>
      <c r="P3392" t="s">
        <v>162</v>
      </c>
      <c r="Q3392" t="s">
        <v>111</v>
      </c>
      <c r="R3392" t="s">
        <v>111</v>
      </c>
      <c r="S3392" s="1">
        <v>46132</v>
      </c>
      <c r="T3392" s="1">
        <v>46132</v>
      </c>
      <c r="U3392" s="1">
        <v>46138</v>
      </c>
      <c r="V3392" s="1">
        <v>46503</v>
      </c>
      <c r="W3392" t="s">
        <v>38</v>
      </c>
      <c r="X3392">
        <v>12</v>
      </c>
      <c r="Y3392" t="s">
        <v>49</v>
      </c>
      <c r="Z3392" t="s">
        <v>81</v>
      </c>
      <c r="AA3392" t="s">
        <v>122</v>
      </c>
      <c r="AB3392">
        <v>12</v>
      </c>
      <c r="AC3392" t="s">
        <v>113</v>
      </c>
      <c r="AD3392" t="s">
        <v>142</v>
      </c>
      <c r="AE3392" t="s">
        <v>95</v>
      </c>
      <c r="AF3392" t="s">
        <v>44</v>
      </c>
      <c r="AG3392" t="str">
        <f t="shared" si="65"/>
        <v>Recorrente</v>
      </c>
      <c r="AH3392" t="str">
        <f t="shared" si="66"/>
        <v/>
      </c>
    </row>
    <row r="3393" spans="1:34">
      <c r="A3393">
        <v>2026</v>
      </c>
      <c r="B3393">
        <v>4</v>
      </c>
      <c r="C3393" s="83">
        <v>19485546793</v>
      </c>
      <c r="D3393" t="s">
        <v>2997</v>
      </c>
      <c r="E3393">
        <v>59851790719</v>
      </c>
      <c r="F3393">
        <v>631146</v>
      </c>
      <c r="G3393">
        <v>54917850204</v>
      </c>
      <c r="H3393" t="s">
        <v>35</v>
      </c>
      <c r="I3393" s="36">
        <v>490.56</v>
      </c>
      <c r="J3393" s="36">
        <v>2158.92</v>
      </c>
      <c r="K3393" s="85">
        <v>0</v>
      </c>
      <c r="L3393" s="36">
        <v>179.91</v>
      </c>
      <c r="M3393" s="36">
        <v>0</v>
      </c>
      <c r="N3393" s="36">
        <v>179.91</v>
      </c>
      <c r="O3393" s="36">
        <v>0</v>
      </c>
      <c r="P3393" t="s">
        <v>520</v>
      </c>
      <c r="Q3393" t="s">
        <v>191</v>
      </c>
      <c r="R3393" t="s">
        <v>191</v>
      </c>
      <c r="S3393" s="1">
        <v>46142</v>
      </c>
      <c r="T3393" s="1">
        <v>46142</v>
      </c>
      <c r="U3393" s="1">
        <v>46225</v>
      </c>
      <c r="V3393" s="1">
        <v>46225</v>
      </c>
      <c r="W3393" t="s">
        <v>38</v>
      </c>
      <c r="X3393">
        <v>3</v>
      </c>
      <c r="Y3393" t="s">
        <v>49</v>
      </c>
      <c r="Z3393" t="s">
        <v>324</v>
      </c>
      <c r="AA3393" t="s">
        <v>112</v>
      </c>
      <c r="AB3393">
        <v>2</v>
      </c>
      <c r="AC3393" t="s">
        <v>192</v>
      </c>
      <c r="AD3393" t="s">
        <v>84</v>
      </c>
      <c r="AE3393" t="s">
        <v>43</v>
      </c>
      <c r="AF3393" t="s">
        <v>44</v>
      </c>
      <c r="AG3393" t="str">
        <f t="shared" ref="AG3393:AG3456" si="67">IF(IFERROR(SEARCH("Recorrente",AA3393),0)&gt;0,"Recorrente",IF(AB3393=1,"À Vista",IF(AB3393&lt;=3,"CC 3x",IF(AB3393&lt;=12,"CC 12x",IF(AB3393&gt;12,"Recorrente","")))))</f>
        <v>CC 3x</v>
      </c>
      <c r="AH3393" t="str">
        <f t="shared" ref="AH3393:AH3456" si="68">IF(AND(SUMIF(E:E,E3393,I:I)&gt;=400000,Q3393="B2G"),"n","")</f>
        <v/>
      </c>
    </row>
    <row r="3394" spans="1:34">
      <c r="A3394">
        <v>2026</v>
      </c>
      <c r="B3394">
        <v>4</v>
      </c>
      <c r="C3394" s="83">
        <v>19485556617</v>
      </c>
      <c r="D3394" t="s">
        <v>1212</v>
      </c>
      <c r="E3394">
        <v>58248434517</v>
      </c>
      <c r="F3394">
        <v>636910</v>
      </c>
      <c r="G3394">
        <v>54035526578</v>
      </c>
      <c r="H3394" t="s">
        <v>35</v>
      </c>
      <c r="I3394" s="36">
        <v>7014.6</v>
      </c>
      <c r="J3394" s="36">
        <v>7014.6</v>
      </c>
      <c r="K3394" s="85">
        <v>0</v>
      </c>
      <c r="L3394" s="36">
        <v>584.54999999999995</v>
      </c>
      <c r="M3394" s="36">
        <v>0</v>
      </c>
      <c r="N3394" s="36">
        <v>584.54999999999995</v>
      </c>
      <c r="O3394" s="36">
        <v>0</v>
      </c>
      <c r="P3394" t="s">
        <v>367</v>
      </c>
      <c r="Q3394" t="s">
        <v>191</v>
      </c>
      <c r="R3394" t="s">
        <v>191</v>
      </c>
      <c r="S3394" s="1">
        <v>46119</v>
      </c>
      <c r="T3394" s="1">
        <v>46119</v>
      </c>
      <c r="U3394" s="1"/>
      <c r="V3394" s="1">
        <v>46484</v>
      </c>
      <c r="W3394" t="s">
        <v>38</v>
      </c>
      <c r="X3394">
        <v>12</v>
      </c>
      <c r="Y3394" t="s">
        <v>49</v>
      </c>
      <c r="AA3394" t="s">
        <v>112</v>
      </c>
      <c r="AB3394">
        <v>1</v>
      </c>
      <c r="AC3394" t="s">
        <v>192</v>
      </c>
      <c r="AD3394" t="s">
        <v>125</v>
      </c>
      <c r="AE3394" t="s">
        <v>43</v>
      </c>
      <c r="AF3394" t="s">
        <v>47</v>
      </c>
      <c r="AG3394" t="str">
        <f t="shared" si="67"/>
        <v>À Vista</v>
      </c>
      <c r="AH3394" t="str">
        <f t="shared" si="68"/>
        <v/>
      </c>
    </row>
    <row r="3395" spans="1:34">
      <c r="A3395">
        <v>2026</v>
      </c>
      <c r="B3395">
        <v>4</v>
      </c>
      <c r="C3395" s="83">
        <v>19485556617</v>
      </c>
      <c r="D3395" t="s">
        <v>1212</v>
      </c>
      <c r="E3395">
        <v>58248434517</v>
      </c>
      <c r="F3395">
        <v>636910</v>
      </c>
      <c r="G3395">
        <v>54035526579</v>
      </c>
      <c r="H3395" t="s">
        <v>35</v>
      </c>
      <c r="I3395" s="36">
        <v>3666.6</v>
      </c>
      <c r="J3395" s="36">
        <v>3666.6</v>
      </c>
      <c r="K3395" s="85">
        <v>0</v>
      </c>
      <c r="L3395" s="36">
        <v>305.55</v>
      </c>
      <c r="M3395" s="36">
        <v>0</v>
      </c>
      <c r="N3395" s="36">
        <v>305.55</v>
      </c>
      <c r="O3395" s="36">
        <v>0</v>
      </c>
      <c r="P3395" t="s">
        <v>367</v>
      </c>
      <c r="Q3395" t="s">
        <v>191</v>
      </c>
      <c r="R3395" t="s">
        <v>191</v>
      </c>
      <c r="S3395" s="1">
        <v>46119</v>
      </c>
      <c r="T3395" s="1">
        <v>46119</v>
      </c>
      <c r="U3395" s="1"/>
      <c r="V3395" s="1">
        <v>46484</v>
      </c>
      <c r="W3395" t="s">
        <v>38</v>
      </c>
      <c r="X3395">
        <v>12</v>
      </c>
      <c r="Y3395" t="s">
        <v>49</v>
      </c>
      <c r="AA3395" t="s">
        <v>112</v>
      </c>
      <c r="AB3395">
        <v>1</v>
      </c>
      <c r="AC3395" t="s">
        <v>192</v>
      </c>
      <c r="AD3395" t="s">
        <v>160</v>
      </c>
      <c r="AE3395" t="s">
        <v>43</v>
      </c>
      <c r="AF3395" t="s">
        <v>44</v>
      </c>
      <c r="AG3395" t="str">
        <f t="shared" si="67"/>
        <v>À Vista</v>
      </c>
      <c r="AH3395" t="str">
        <f t="shared" si="68"/>
        <v/>
      </c>
    </row>
    <row r="3396" spans="1:34">
      <c r="A3396">
        <v>2026</v>
      </c>
      <c r="B3396">
        <v>4</v>
      </c>
      <c r="C3396" s="83">
        <v>19485573303</v>
      </c>
      <c r="D3396" t="s">
        <v>2998</v>
      </c>
      <c r="E3396">
        <v>56573887901</v>
      </c>
      <c r="F3396">
        <v>307950</v>
      </c>
      <c r="G3396">
        <v>52307037523</v>
      </c>
      <c r="H3396" t="s">
        <v>35</v>
      </c>
      <c r="I3396" s="36">
        <v>4074</v>
      </c>
      <c r="J3396" s="36">
        <v>4074</v>
      </c>
      <c r="K3396" s="85">
        <v>0</v>
      </c>
      <c r="L3396" s="36">
        <v>339.5</v>
      </c>
      <c r="M3396" s="36">
        <v>0</v>
      </c>
      <c r="N3396" s="36">
        <v>92.3</v>
      </c>
      <c r="O3396" s="36">
        <v>247.2</v>
      </c>
      <c r="P3396" t="s">
        <v>165</v>
      </c>
      <c r="Q3396" t="s">
        <v>166</v>
      </c>
      <c r="R3396" t="s">
        <v>166</v>
      </c>
      <c r="S3396" s="1">
        <v>46117</v>
      </c>
      <c r="T3396" s="1">
        <v>46117</v>
      </c>
      <c r="U3396" s="1">
        <v>46117</v>
      </c>
      <c r="V3396" s="1">
        <v>46482</v>
      </c>
      <c r="W3396" t="s">
        <v>38</v>
      </c>
      <c r="X3396">
        <v>12</v>
      </c>
      <c r="Y3396" t="s">
        <v>49</v>
      </c>
      <c r="Z3396" t="s">
        <v>81</v>
      </c>
      <c r="AA3396" t="s">
        <v>122</v>
      </c>
      <c r="AB3396">
        <v>12</v>
      </c>
      <c r="AC3396" t="s">
        <v>166</v>
      </c>
      <c r="AD3396" t="s">
        <v>160</v>
      </c>
      <c r="AE3396" t="s">
        <v>43</v>
      </c>
      <c r="AF3396" t="s">
        <v>44</v>
      </c>
      <c r="AG3396" t="str">
        <f t="shared" si="67"/>
        <v>Recorrente</v>
      </c>
      <c r="AH3396" t="str">
        <f t="shared" si="68"/>
        <v/>
      </c>
    </row>
    <row r="3397" spans="1:34">
      <c r="A3397">
        <v>2026</v>
      </c>
      <c r="B3397">
        <v>4</v>
      </c>
      <c r="C3397" s="83">
        <v>19485589858</v>
      </c>
      <c r="D3397" t="s">
        <v>2999</v>
      </c>
      <c r="E3397">
        <v>54396520321</v>
      </c>
      <c r="F3397">
        <v>630105</v>
      </c>
      <c r="G3397">
        <v>54377554872</v>
      </c>
      <c r="H3397" t="s">
        <v>35</v>
      </c>
      <c r="I3397" s="36">
        <v>13368</v>
      </c>
      <c r="J3397" s="36">
        <v>13368</v>
      </c>
      <c r="K3397" s="85">
        <v>0</v>
      </c>
      <c r="L3397" s="36">
        <v>1114</v>
      </c>
      <c r="M3397" s="36">
        <v>0</v>
      </c>
      <c r="N3397" s="36">
        <v>0</v>
      </c>
      <c r="O3397" s="36">
        <v>1114</v>
      </c>
      <c r="P3397" t="s">
        <v>1165</v>
      </c>
      <c r="Q3397" t="s">
        <v>37</v>
      </c>
      <c r="R3397" t="s">
        <v>37</v>
      </c>
      <c r="S3397" s="1">
        <v>46129</v>
      </c>
      <c r="T3397" s="1">
        <v>46129</v>
      </c>
      <c r="U3397" s="1">
        <v>46179</v>
      </c>
      <c r="V3397" s="1">
        <v>46544</v>
      </c>
      <c r="W3397" t="s">
        <v>38</v>
      </c>
      <c r="X3397">
        <v>12</v>
      </c>
      <c r="Y3397" t="s">
        <v>49</v>
      </c>
      <c r="Z3397" t="s">
        <v>76</v>
      </c>
      <c r="AA3397" t="s">
        <v>40</v>
      </c>
      <c r="AB3397">
        <v>1</v>
      </c>
      <c r="AC3397" t="s">
        <v>41</v>
      </c>
      <c r="AD3397" t="s">
        <v>100</v>
      </c>
      <c r="AE3397" t="s">
        <v>46</v>
      </c>
      <c r="AF3397" t="s">
        <v>47</v>
      </c>
      <c r="AG3397" t="str">
        <f t="shared" si="67"/>
        <v>À Vista</v>
      </c>
      <c r="AH3397" t="str">
        <f t="shared" si="68"/>
        <v/>
      </c>
    </row>
    <row r="3398" spans="1:34">
      <c r="A3398">
        <v>2026</v>
      </c>
      <c r="B3398">
        <v>4</v>
      </c>
      <c r="C3398" s="83">
        <v>19485590111</v>
      </c>
      <c r="D3398" t="s">
        <v>3000</v>
      </c>
      <c r="E3398">
        <v>57987943483</v>
      </c>
      <c r="F3398">
        <v>532679</v>
      </c>
      <c r="G3398">
        <v>54280056989</v>
      </c>
      <c r="H3398" t="s">
        <v>35</v>
      </c>
      <c r="I3398" s="36">
        <v>4157.28</v>
      </c>
      <c r="J3398" s="36">
        <v>4157.28</v>
      </c>
      <c r="K3398" s="85">
        <v>0</v>
      </c>
      <c r="L3398" s="36">
        <v>346.44</v>
      </c>
      <c r="M3398" s="36">
        <v>0</v>
      </c>
      <c r="N3398" s="36">
        <v>9.6935450000000003</v>
      </c>
      <c r="O3398" s="36">
        <v>336.75</v>
      </c>
      <c r="P3398" t="s">
        <v>116</v>
      </c>
      <c r="Q3398" t="s">
        <v>111</v>
      </c>
      <c r="R3398" t="s">
        <v>111</v>
      </c>
      <c r="S3398" s="1">
        <v>46126</v>
      </c>
      <c r="T3398" s="1">
        <v>46126</v>
      </c>
      <c r="U3398" s="1">
        <v>46126</v>
      </c>
      <c r="V3398" s="1">
        <v>46491</v>
      </c>
      <c r="W3398" t="s">
        <v>38</v>
      </c>
      <c r="X3398">
        <v>12</v>
      </c>
      <c r="Y3398" t="s">
        <v>49</v>
      </c>
      <c r="Z3398" t="s">
        <v>81</v>
      </c>
      <c r="AA3398" t="s">
        <v>117</v>
      </c>
      <c r="AB3398">
        <v>1</v>
      </c>
      <c r="AC3398" t="s">
        <v>113</v>
      </c>
      <c r="AD3398" t="s">
        <v>85</v>
      </c>
      <c r="AE3398" t="s">
        <v>46</v>
      </c>
      <c r="AF3398" t="s">
        <v>44</v>
      </c>
      <c r="AG3398" t="str">
        <f t="shared" si="67"/>
        <v>À Vista</v>
      </c>
      <c r="AH3398" t="str">
        <f t="shared" si="68"/>
        <v/>
      </c>
    </row>
    <row r="3399" spans="1:34">
      <c r="A3399">
        <v>2026</v>
      </c>
      <c r="B3399">
        <v>4</v>
      </c>
      <c r="C3399" s="83">
        <v>19485596288</v>
      </c>
      <c r="D3399" t="s">
        <v>3001</v>
      </c>
      <c r="E3399">
        <v>37564864311</v>
      </c>
      <c r="F3399">
        <v>637518</v>
      </c>
      <c r="G3399">
        <v>54917811793</v>
      </c>
      <c r="H3399" t="s">
        <v>35</v>
      </c>
      <c r="I3399" s="36">
        <v>15980.16</v>
      </c>
      <c r="J3399" s="36">
        <v>7990.08</v>
      </c>
      <c r="K3399" s="85">
        <v>7990.08</v>
      </c>
      <c r="L3399" s="36">
        <v>665.84</v>
      </c>
      <c r="M3399" s="36">
        <v>665.84</v>
      </c>
      <c r="N3399" s="36">
        <v>0</v>
      </c>
      <c r="O3399" s="36">
        <v>0</v>
      </c>
      <c r="P3399" t="s">
        <v>1243</v>
      </c>
      <c r="Q3399" t="s">
        <v>37</v>
      </c>
      <c r="R3399" t="s">
        <v>37</v>
      </c>
      <c r="S3399" s="1">
        <v>46142</v>
      </c>
      <c r="T3399" s="1">
        <v>46142</v>
      </c>
      <c r="V3399" s="1">
        <v>46873</v>
      </c>
      <c r="W3399" t="s">
        <v>56</v>
      </c>
      <c r="X3399">
        <v>24</v>
      </c>
      <c r="Y3399" t="s">
        <v>49</v>
      </c>
      <c r="AA3399" t="s">
        <v>40</v>
      </c>
      <c r="AB3399">
        <v>1</v>
      </c>
      <c r="AC3399" t="s">
        <v>41</v>
      </c>
      <c r="AD3399" t="s">
        <v>50</v>
      </c>
      <c r="AE3399" t="s">
        <v>51</v>
      </c>
      <c r="AF3399" t="s">
        <v>44</v>
      </c>
      <c r="AG3399" t="str">
        <f t="shared" si="67"/>
        <v>À Vista</v>
      </c>
      <c r="AH3399" t="str">
        <f t="shared" si="68"/>
        <v/>
      </c>
    </row>
    <row r="3400" spans="1:34">
      <c r="A3400">
        <v>2026</v>
      </c>
      <c r="B3400">
        <v>4</v>
      </c>
      <c r="C3400" s="83">
        <v>19485596288</v>
      </c>
      <c r="D3400" t="s">
        <v>3001</v>
      </c>
      <c r="E3400">
        <v>37564864311</v>
      </c>
      <c r="F3400">
        <v>637518</v>
      </c>
      <c r="G3400">
        <v>54917811794</v>
      </c>
      <c r="H3400" t="s">
        <v>35</v>
      </c>
      <c r="I3400" s="36">
        <v>10872</v>
      </c>
      <c r="J3400" s="36">
        <v>5436</v>
      </c>
      <c r="K3400" s="85">
        <v>5436</v>
      </c>
      <c r="L3400" s="36">
        <v>453</v>
      </c>
      <c r="M3400" s="36">
        <v>453</v>
      </c>
      <c r="N3400" s="36">
        <v>0</v>
      </c>
      <c r="O3400" s="36">
        <v>0</v>
      </c>
      <c r="P3400" t="s">
        <v>1243</v>
      </c>
      <c r="Q3400" t="s">
        <v>37</v>
      </c>
      <c r="R3400" t="s">
        <v>37</v>
      </c>
      <c r="S3400" s="1">
        <v>46142</v>
      </c>
      <c r="T3400" s="1">
        <v>46142</v>
      </c>
      <c r="V3400" s="1">
        <v>46873</v>
      </c>
      <c r="W3400" t="s">
        <v>56</v>
      </c>
      <c r="X3400">
        <v>24</v>
      </c>
      <c r="Y3400" t="s">
        <v>49</v>
      </c>
      <c r="AA3400" t="s">
        <v>40</v>
      </c>
      <c r="AB3400">
        <v>1</v>
      </c>
      <c r="AC3400" t="s">
        <v>41</v>
      </c>
      <c r="AD3400" t="s">
        <v>54</v>
      </c>
      <c r="AE3400" t="s">
        <v>46</v>
      </c>
      <c r="AF3400" t="s">
        <v>44</v>
      </c>
      <c r="AG3400" t="str">
        <f t="shared" si="67"/>
        <v>À Vista</v>
      </c>
      <c r="AH3400" t="str">
        <f t="shared" si="68"/>
        <v/>
      </c>
    </row>
    <row r="3401" spans="1:34">
      <c r="A3401">
        <v>2026</v>
      </c>
      <c r="B3401">
        <v>4</v>
      </c>
      <c r="C3401" s="83">
        <v>19485599529</v>
      </c>
      <c r="D3401" t="s">
        <v>3002</v>
      </c>
      <c r="E3401">
        <v>58557472357</v>
      </c>
      <c r="F3401">
        <v>637500</v>
      </c>
      <c r="G3401">
        <v>54917798667</v>
      </c>
      <c r="H3401" t="s">
        <v>35</v>
      </c>
      <c r="I3401" s="36">
        <v>5370</v>
      </c>
      <c r="J3401" s="36">
        <v>5370</v>
      </c>
      <c r="K3401" s="85">
        <v>0</v>
      </c>
      <c r="L3401" s="36">
        <v>447.5</v>
      </c>
      <c r="M3401" s="36">
        <v>447.5</v>
      </c>
      <c r="N3401" s="36">
        <v>0</v>
      </c>
      <c r="O3401" s="36">
        <v>0</v>
      </c>
      <c r="P3401" t="s">
        <v>90</v>
      </c>
      <c r="Q3401" t="s">
        <v>91</v>
      </c>
      <c r="R3401" t="s">
        <v>91</v>
      </c>
      <c r="S3401" s="1">
        <v>46142</v>
      </c>
      <c r="T3401" s="1">
        <v>46142</v>
      </c>
      <c r="U3401" s="1"/>
      <c r="V3401" s="1">
        <v>46507</v>
      </c>
      <c r="W3401" t="s">
        <v>38</v>
      </c>
      <c r="X3401">
        <v>12</v>
      </c>
      <c r="Y3401" t="s">
        <v>49</v>
      </c>
      <c r="AA3401" t="s">
        <v>92</v>
      </c>
      <c r="AB3401">
        <v>12</v>
      </c>
      <c r="AC3401" t="s">
        <v>93</v>
      </c>
      <c r="AD3401" t="s">
        <v>256</v>
      </c>
      <c r="AE3401" t="s">
        <v>257</v>
      </c>
      <c r="AF3401" t="s">
        <v>59</v>
      </c>
      <c r="AG3401" t="str">
        <f t="shared" si="67"/>
        <v>Recorrente</v>
      </c>
      <c r="AH3401" t="str">
        <f t="shared" si="68"/>
        <v/>
      </c>
    </row>
    <row r="3402" spans="1:34">
      <c r="A3402">
        <v>2026</v>
      </c>
      <c r="B3402">
        <v>4</v>
      </c>
      <c r="C3402" s="83">
        <v>19485599529</v>
      </c>
      <c r="D3402" t="s">
        <v>3002</v>
      </c>
      <c r="E3402">
        <v>59728262939</v>
      </c>
      <c r="F3402">
        <v>637501</v>
      </c>
      <c r="G3402">
        <v>54917920633</v>
      </c>
      <c r="H3402" t="s">
        <v>673</v>
      </c>
      <c r="I3402" s="36">
        <v>7050.05</v>
      </c>
      <c r="J3402" s="36">
        <v>0</v>
      </c>
      <c r="K3402" s="85">
        <v>0</v>
      </c>
      <c r="L3402" s="36">
        <v>0</v>
      </c>
      <c r="M3402" s="36">
        <v>0</v>
      </c>
      <c r="N3402" s="36">
        <v>0</v>
      </c>
      <c r="O3402" s="36">
        <v>0</v>
      </c>
      <c r="P3402" t="s">
        <v>90</v>
      </c>
      <c r="Q3402" t="s">
        <v>91</v>
      </c>
      <c r="R3402" t="s">
        <v>91</v>
      </c>
      <c r="S3402" s="1">
        <v>46142</v>
      </c>
      <c r="T3402" s="1">
        <v>46142</v>
      </c>
      <c r="U3402" s="1"/>
      <c r="V3402" s="1">
        <v>46233</v>
      </c>
      <c r="W3402" t="s">
        <v>1228</v>
      </c>
      <c r="X3402">
        <v>3</v>
      </c>
      <c r="Y3402" t="s">
        <v>1229</v>
      </c>
      <c r="AA3402" t="s">
        <v>92</v>
      </c>
      <c r="AB3402">
        <v>3</v>
      </c>
      <c r="AC3402" t="s">
        <v>93</v>
      </c>
      <c r="AD3402" t="s">
        <v>3003</v>
      </c>
      <c r="AE3402" t="s">
        <v>257</v>
      </c>
      <c r="AF3402" t="s">
        <v>59</v>
      </c>
      <c r="AG3402" t="str">
        <f t="shared" si="67"/>
        <v>Recorrente</v>
      </c>
      <c r="AH3402" t="str">
        <f t="shared" si="68"/>
        <v/>
      </c>
    </row>
    <row r="3403" spans="1:34">
      <c r="A3403">
        <v>2026</v>
      </c>
      <c r="B3403">
        <v>4</v>
      </c>
      <c r="C3403" s="83">
        <v>19485910921</v>
      </c>
      <c r="D3403" t="s">
        <v>3004</v>
      </c>
      <c r="E3403">
        <v>58103327817</v>
      </c>
      <c r="F3403">
        <v>628795</v>
      </c>
      <c r="G3403">
        <v>54282712627</v>
      </c>
      <c r="H3403" t="s">
        <v>35</v>
      </c>
      <c r="I3403" s="36">
        <v>8500.92</v>
      </c>
      <c r="J3403" s="36">
        <v>8500.92</v>
      </c>
      <c r="K3403" s="85">
        <v>0</v>
      </c>
      <c r="L3403" s="36">
        <v>708.41</v>
      </c>
      <c r="M3403" s="36">
        <v>0</v>
      </c>
      <c r="N3403" s="36">
        <v>259.31</v>
      </c>
      <c r="O3403" s="36">
        <v>449.1</v>
      </c>
      <c r="P3403" t="s">
        <v>162</v>
      </c>
      <c r="Q3403" t="s">
        <v>111</v>
      </c>
      <c r="R3403" t="s">
        <v>111</v>
      </c>
      <c r="S3403" s="1">
        <v>46126</v>
      </c>
      <c r="T3403" s="1">
        <v>46126</v>
      </c>
      <c r="U3403" s="1">
        <v>46129</v>
      </c>
      <c r="V3403" s="1">
        <v>46494</v>
      </c>
      <c r="W3403" t="s">
        <v>38</v>
      </c>
      <c r="X3403">
        <v>12</v>
      </c>
      <c r="Y3403" t="s">
        <v>49</v>
      </c>
      <c r="Z3403" t="s">
        <v>81</v>
      </c>
      <c r="AA3403" t="s">
        <v>112</v>
      </c>
      <c r="AB3403">
        <v>12</v>
      </c>
      <c r="AC3403" t="s">
        <v>113</v>
      </c>
      <c r="AD3403" t="s">
        <v>146</v>
      </c>
      <c r="AE3403" t="s">
        <v>135</v>
      </c>
      <c r="AF3403" t="s">
        <v>96</v>
      </c>
      <c r="AG3403" t="str">
        <f t="shared" si="67"/>
        <v>CC 12x</v>
      </c>
      <c r="AH3403" t="str">
        <f t="shared" si="68"/>
        <v/>
      </c>
    </row>
    <row r="3404" spans="1:34">
      <c r="A3404">
        <v>2026</v>
      </c>
      <c r="B3404">
        <v>4</v>
      </c>
      <c r="C3404" s="83">
        <v>19485913876</v>
      </c>
      <c r="D3404" t="s">
        <v>3005</v>
      </c>
      <c r="E3404">
        <v>58021869134</v>
      </c>
      <c r="F3404">
        <v>627968</v>
      </c>
      <c r="G3404">
        <v>53808866907</v>
      </c>
      <c r="H3404" t="s">
        <v>35</v>
      </c>
      <c r="I3404" s="36">
        <v>11437.2</v>
      </c>
      <c r="J3404" s="36">
        <v>11437.2</v>
      </c>
      <c r="K3404" s="85">
        <v>0</v>
      </c>
      <c r="L3404" s="36">
        <v>953.1</v>
      </c>
      <c r="M3404" s="36">
        <v>0</v>
      </c>
      <c r="N3404" s="36">
        <v>0</v>
      </c>
      <c r="O3404" s="36">
        <v>953.1</v>
      </c>
      <c r="P3404" t="s">
        <v>162</v>
      </c>
      <c r="Q3404" t="s">
        <v>111</v>
      </c>
      <c r="R3404" t="s">
        <v>111</v>
      </c>
      <c r="S3404" s="1">
        <v>46118</v>
      </c>
      <c r="T3404" s="1">
        <v>46118</v>
      </c>
      <c r="U3404" s="1">
        <v>46108</v>
      </c>
      <c r="V3404" s="1">
        <v>46483</v>
      </c>
      <c r="W3404" t="s">
        <v>38</v>
      </c>
      <c r="X3404">
        <v>13</v>
      </c>
      <c r="Y3404" t="s">
        <v>49</v>
      </c>
      <c r="Z3404" t="s">
        <v>81</v>
      </c>
      <c r="AA3404" t="s">
        <v>112</v>
      </c>
      <c r="AB3404">
        <v>12</v>
      </c>
      <c r="AC3404" t="s">
        <v>113</v>
      </c>
      <c r="AD3404" t="s">
        <v>1167</v>
      </c>
      <c r="AE3404" t="s">
        <v>95</v>
      </c>
      <c r="AF3404" t="s">
        <v>96</v>
      </c>
      <c r="AG3404" t="str">
        <f t="shared" si="67"/>
        <v>CC 12x</v>
      </c>
      <c r="AH3404" t="str">
        <f t="shared" si="68"/>
        <v/>
      </c>
    </row>
    <row r="3405" spans="1:34">
      <c r="A3405">
        <v>2026</v>
      </c>
      <c r="B3405">
        <v>4</v>
      </c>
      <c r="C3405" s="83">
        <v>19485913876</v>
      </c>
      <c r="D3405" t="s">
        <v>3005</v>
      </c>
      <c r="E3405">
        <v>58021869134</v>
      </c>
      <c r="F3405">
        <v>627968</v>
      </c>
      <c r="G3405">
        <v>53808866908</v>
      </c>
      <c r="H3405" t="s">
        <v>35</v>
      </c>
      <c r="I3405" s="36">
        <v>11437.2</v>
      </c>
      <c r="J3405" s="36">
        <v>11437.2</v>
      </c>
      <c r="K3405" s="85">
        <v>0</v>
      </c>
      <c r="L3405" s="36">
        <v>953.1</v>
      </c>
      <c r="M3405" s="36">
        <v>0</v>
      </c>
      <c r="N3405" s="36">
        <v>0</v>
      </c>
      <c r="O3405" s="36">
        <v>953.1</v>
      </c>
      <c r="P3405" t="s">
        <v>162</v>
      </c>
      <c r="Q3405" t="s">
        <v>111</v>
      </c>
      <c r="R3405" t="s">
        <v>111</v>
      </c>
      <c r="S3405" s="1">
        <v>46118</v>
      </c>
      <c r="T3405" s="1">
        <v>46118</v>
      </c>
      <c r="U3405" s="1">
        <v>46108</v>
      </c>
      <c r="V3405" s="1">
        <v>46483</v>
      </c>
      <c r="W3405" t="s">
        <v>38</v>
      </c>
      <c r="X3405">
        <v>13</v>
      </c>
      <c r="Y3405" t="s">
        <v>49</v>
      </c>
      <c r="Z3405" t="s">
        <v>81</v>
      </c>
      <c r="AA3405" t="s">
        <v>112</v>
      </c>
      <c r="AB3405">
        <v>12</v>
      </c>
      <c r="AC3405" t="s">
        <v>113</v>
      </c>
      <c r="AD3405" t="s">
        <v>1167</v>
      </c>
      <c r="AE3405" t="s">
        <v>95</v>
      </c>
      <c r="AF3405" t="s">
        <v>96</v>
      </c>
      <c r="AG3405" t="str">
        <f t="shared" si="67"/>
        <v>CC 12x</v>
      </c>
      <c r="AH3405" t="str">
        <f t="shared" si="68"/>
        <v/>
      </c>
    </row>
    <row r="3406" spans="1:34">
      <c r="A3406">
        <v>2026</v>
      </c>
      <c r="B3406">
        <v>4</v>
      </c>
      <c r="C3406" s="83">
        <v>19485913876</v>
      </c>
      <c r="D3406" t="s">
        <v>3005</v>
      </c>
      <c r="E3406">
        <v>58021869134</v>
      </c>
      <c r="F3406">
        <v>627968</v>
      </c>
      <c r="G3406">
        <v>53808866909</v>
      </c>
      <c r="H3406" t="s">
        <v>35</v>
      </c>
      <c r="I3406" s="36">
        <v>11437.2</v>
      </c>
      <c r="J3406" s="36">
        <v>11437.2</v>
      </c>
      <c r="K3406" s="85">
        <v>0</v>
      </c>
      <c r="L3406" s="36">
        <v>953.1</v>
      </c>
      <c r="M3406" s="36">
        <v>0</v>
      </c>
      <c r="N3406" s="36">
        <v>0</v>
      </c>
      <c r="O3406" s="36">
        <v>953.1</v>
      </c>
      <c r="P3406" t="s">
        <v>162</v>
      </c>
      <c r="Q3406" t="s">
        <v>111</v>
      </c>
      <c r="R3406" t="s">
        <v>111</v>
      </c>
      <c r="S3406" s="1">
        <v>46118</v>
      </c>
      <c r="T3406" s="1">
        <v>46118</v>
      </c>
      <c r="U3406" s="1">
        <v>46108</v>
      </c>
      <c r="V3406" s="1">
        <v>46483</v>
      </c>
      <c r="W3406" t="s">
        <v>38</v>
      </c>
      <c r="X3406">
        <v>13</v>
      </c>
      <c r="Y3406" t="s">
        <v>49</v>
      </c>
      <c r="Z3406" t="s">
        <v>81</v>
      </c>
      <c r="AA3406" t="s">
        <v>112</v>
      </c>
      <c r="AB3406">
        <v>12</v>
      </c>
      <c r="AC3406" t="s">
        <v>113</v>
      </c>
      <c r="AD3406" t="s">
        <v>1167</v>
      </c>
      <c r="AE3406" t="s">
        <v>95</v>
      </c>
      <c r="AF3406" t="s">
        <v>96</v>
      </c>
      <c r="AG3406" t="str">
        <f t="shared" si="67"/>
        <v>CC 12x</v>
      </c>
      <c r="AH3406" t="str">
        <f t="shared" si="68"/>
        <v/>
      </c>
    </row>
    <row r="3407" spans="1:34">
      <c r="A3407">
        <v>2026</v>
      </c>
      <c r="B3407">
        <v>4</v>
      </c>
      <c r="C3407" s="83">
        <v>19485942557</v>
      </c>
      <c r="D3407" t="s">
        <v>3006</v>
      </c>
      <c r="E3407">
        <v>59050038620</v>
      </c>
      <c r="F3407">
        <v>636994</v>
      </c>
      <c r="G3407">
        <v>54154423470</v>
      </c>
      <c r="H3407" t="s">
        <v>35</v>
      </c>
      <c r="I3407" s="36">
        <v>3834</v>
      </c>
      <c r="J3407" s="36">
        <v>3834</v>
      </c>
      <c r="K3407" s="85">
        <v>0</v>
      </c>
      <c r="L3407" s="36">
        <v>319.5</v>
      </c>
      <c r="M3407" s="36">
        <v>319.5</v>
      </c>
      <c r="N3407" s="36">
        <v>0</v>
      </c>
      <c r="O3407" s="36">
        <v>0</v>
      </c>
      <c r="P3407" t="s">
        <v>668</v>
      </c>
      <c r="Q3407" t="s">
        <v>91</v>
      </c>
      <c r="R3407" t="s">
        <v>91</v>
      </c>
      <c r="S3407" s="1">
        <v>46121</v>
      </c>
      <c r="T3407" s="1">
        <v>46121</v>
      </c>
      <c r="V3407" s="1">
        <v>46486</v>
      </c>
      <c r="W3407" t="s">
        <v>38</v>
      </c>
      <c r="X3407">
        <v>12</v>
      </c>
      <c r="Y3407" t="s">
        <v>49</v>
      </c>
      <c r="AA3407" t="s">
        <v>112</v>
      </c>
      <c r="AB3407">
        <v>12</v>
      </c>
      <c r="AC3407" t="s">
        <v>93</v>
      </c>
      <c r="AD3407" t="s">
        <v>142</v>
      </c>
      <c r="AE3407" t="s">
        <v>95</v>
      </c>
      <c r="AF3407" t="s">
        <v>44</v>
      </c>
      <c r="AG3407" t="str">
        <f t="shared" si="67"/>
        <v>CC 12x</v>
      </c>
      <c r="AH3407" t="str">
        <f t="shared" si="68"/>
        <v/>
      </c>
    </row>
    <row r="3408" spans="1:34">
      <c r="A3408">
        <v>2026</v>
      </c>
      <c r="B3408">
        <v>4</v>
      </c>
      <c r="C3408" s="83">
        <v>19485942557</v>
      </c>
      <c r="D3408" t="s">
        <v>3006</v>
      </c>
      <c r="E3408">
        <v>59050038620</v>
      </c>
      <c r="F3408">
        <v>636994</v>
      </c>
      <c r="G3408">
        <v>54154423471</v>
      </c>
      <c r="H3408" t="s">
        <v>35</v>
      </c>
      <c r="I3408" s="36">
        <v>2874</v>
      </c>
      <c r="J3408" s="36">
        <v>2874</v>
      </c>
      <c r="K3408" s="85">
        <v>0</v>
      </c>
      <c r="L3408" s="36">
        <v>239.5</v>
      </c>
      <c r="M3408" s="36">
        <v>239.5</v>
      </c>
      <c r="N3408" s="36">
        <v>0</v>
      </c>
      <c r="O3408" s="36">
        <v>0</v>
      </c>
      <c r="P3408" t="s">
        <v>668</v>
      </c>
      <c r="Q3408" t="s">
        <v>91</v>
      </c>
      <c r="R3408" t="s">
        <v>91</v>
      </c>
      <c r="S3408" s="1">
        <v>46121</v>
      </c>
      <c r="T3408" s="1">
        <v>46121</v>
      </c>
      <c r="U3408" s="1"/>
      <c r="V3408" s="1">
        <v>46486</v>
      </c>
      <c r="W3408" t="s">
        <v>38</v>
      </c>
      <c r="X3408">
        <v>12</v>
      </c>
      <c r="Y3408" t="s">
        <v>49</v>
      </c>
      <c r="AA3408" t="s">
        <v>112</v>
      </c>
      <c r="AB3408">
        <v>12</v>
      </c>
      <c r="AC3408" t="s">
        <v>93</v>
      </c>
      <c r="AD3408" t="s">
        <v>118</v>
      </c>
      <c r="AE3408" t="s">
        <v>43</v>
      </c>
      <c r="AF3408" t="s">
        <v>119</v>
      </c>
      <c r="AG3408" t="str">
        <f t="shared" si="67"/>
        <v>CC 12x</v>
      </c>
      <c r="AH3408" t="str">
        <f t="shared" si="68"/>
        <v/>
      </c>
    </row>
    <row r="3409" spans="1:34">
      <c r="A3409">
        <v>2026</v>
      </c>
      <c r="B3409">
        <v>4</v>
      </c>
      <c r="C3409" s="83">
        <v>19485942557</v>
      </c>
      <c r="D3409" t="s">
        <v>3006</v>
      </c>
      <c r="E3409">
        <v>59050038620</v>
      </c>
      <c r="F3409">
        <v>636994</v>
      </c>
      <c r="G3409">
        <v>54154423472</v>
      </c>
      <c r="H3409" t="s">
        <v>35</v>
      </c>
      <c r="I3409" s="36">
        <v>2874</v>
      </c>
      <c r="J3409" s="36">
        <v>2874</v>
      </c>
      <c r="K3409" s="85">
        <v>0</v>
      </c>
      <c r="L3409" s="36">
        <v>239.5</v>
      </c>
      <c r="M3409" s="36">
        <v>239.5</v>
      </c>
      <c r="N3409" s="36">
        <v>0</v>
      </c>
      <c r="O3409" s="36">
        <v>0</v>
      </c>
      <c r="P3409" t="s">
        <v>668</v>
      </c>
      <c r="Q3409" t="s">
        <v>91</v>
      </c>
      <c r="R3409" t="s">
        <v>91</v>
      </c>
      <c r="S3409" s="1">
        <v>46121</v>
      </c>
      <c r="T3409" s="1">
        <v>46121</v>
      </c>
      <c r="U3409" s="1"/>
      <c r="V3409" s="1">
        <v>46486</v>
      </c>
      <c r="W3409" t="s">
        <v>38</v>
      </c>
      <c r="X3409">
        <v>12</v>
      </c>
      <c r="Y3409" t="s">
        <v>49</v>
      </c>
      <c r="AA3409" t="s">
        <v>112</v>
      </c>
      <c r="AB3409">
        <v>12</v>
      </c>
      <c r="AC3409" t="s">
        <v>93</v>
      </c>
      <c r="AD3409" t="s">
        <v>140</v>
      </c>
      <c r="AE3409" t="s">
        <v>46</v>
      </c>
      <c r="AF3409" t="s">
        <v>119</v>
      </c>
      <c r="AG3409" t="str">
        <f t="shared" si="67"/>
        <v>CC 12x</v>
      </c>
      <c r="AH3409" t="str">
        <f t="shared" si="68"/>
        <v/>
      </c>
    </row>
    <row r="3410" spans="1:34">
      <c r="A3410">
        <v>2026</v>
      </c>
      <c r="B3410">
        <v>4</v>
      </c>
      <c r="C3410" s="83">
        <v>19485949071</v>
      </c>
      <c r="D3410" t="s">
        <v>3007</v>
      </c>
      <c r="E3410">
        <v>47662706029</v>
      </c>
      <c r="F3410">
        <v>637073</v>
      </c>
      <c r="G3410">
        <v>54280025882</v>
      </c>
      <c r="H3410" t="s">
        <v>35</v>
      </c>
      <c r="I3410" s="36">
        <v>4530.6000000000004</v>
      </c>
      <c r="J3410" s="36">
        <v>4530.6000000000004</v>
      </c>
      <c r="K3410" s="85">
        <v>0</v>
      </c>
      <c r="L3410" s="36">
        <v>377.55</v>
      </c>
      <c r="M3410" s="36">
        <v>377.55</v>
      </c>
      <c r="N3410" s="36">
        <v>0</v>
      </c>
      <c r="O3410" s="36">
        <v>0</v>
      </c>
      <c r="P3410" t="s">
        <v>348</v>
      </c>
      <c r="Q3410" t="s">
        <v>349</v>
      </c>
      <c r="R3410" t="s">
        <v>349</v>
      </c>
      <c r="S3410" s="1">
        <v>46126</v>
      </c>
      <c r="T3410" s="1">
        <v>46126</v>
      </c>
      <c r="U3410" s="1"/>
      <c r="V3410" s="1">
        <v>46491</v>
      </c>
      <c r="W3410" t="s">
        <v>38</v>
      </c>
      <c r="X3410">
        <v>12</v>
      </c>
      <c r="Y3410" t="s">
        <v>49</v>
      </c>
      <c r="AA3410" t="s">
        <v>117</v>
      </c>
      <c r="AB3410">
        <v>1</v>
      </c>
      <c r="AC3410" t="s">
        <v>350</v>
      </c>
      <c r="AD3410" t="s">
        <v>84</v>
      </c>
      <c r="AE3410" t="s">
        <v>43</v>
      </c>
      <c r="AF3410" t="s">
        <v>44</v>
      </c>
      <c r="AG3410" t="str">
        <f t="shared" si="67"/>
        <v>À Vista</v>
      </c>
      <c r="AH3410" t="str">
        <f t="shared" si="68"/>
        <v/>
      </c>
    </row>
    <row r="3411" spans="1:34">
      <c r="A3411">
        <v>2026</v>
      </c>
      <c r="B3411">
        <v>4</v>
      </c>
      <c r="C3411" s="83">
        <v>19485958198</v>
      </c>
      <c r="D3411" t="s">
        <v>3008</v>
      </c>
      <c r="E3411">
        <v>58986906151</v>
      </c>
      <c r="F3411">
        <v>636940</v>
      </c>
      <c r="G3411">
        <v>54118798507</v>
      </c>
      <c r="H3411" t="s">
        <v>673</v>
      </c>
      <c r="I3411" s="36">
        <v>5000</v>
      </c>
      <c r="J3411" s="36">
        <v>0</v>
      </c>
      <c r="K3411" s="85">
        <v>0</v>
      </c>
      <c r="L3411" s="36">
        <v>0</v>
      </c>
      <c r="M3411" s="36">
        <v>0</v>
      </c>
      <c r="N3411" s="36">
        <v>0</v>
      </c>
      <c r="O3411" s="36">
        <v>0</v>
      </c>
      <c r="P3411" t="s">
        <v>520</v>
      </c>
      <c r="Q3411" t="s">
        <v>191</v>
      </c>
      <c r="R3411" t="s">
        <v>191</v>
      </c>
      <c r="S3411" s="1">
        <v>46120</v>
      </c>
      <c r="T3411" s="1">
        <v>46120</v>
      </c>
      <c r="U3411" s="1"/>
      <c r="V3411" s="1">
        <v>46485</v>
      </c>
      <c r="W3411" t="s">
        <v>38</v>
      </c>
      <c r="X3411">
        <v>12</v>
      </c>
      <c r="Y3411" t="s">
        <v>1229</v>
      </c>
      <c r="AA3411" t="s">
        <v>112</v>
      </c>
      <c r="AB3411">
        <v>6</v>
      </c>
      <c r="AC3411" t="s">
        <v>192</v>
      </c>
      <c r="AD3411" t="s">
        <v>674</v>
      </c>
      <c r="AE3411" t="s">
        <v>106</v>
      </c>
      <c r="AF3411" t="s">
        <v>59</v>
      </c>
      <c r="AG3411" t="str">
        <f t="shared" si="67"/>
        <v>CC 12x</v>
      </c>
      <c r="AH3411" t="str">
        <f t="shared" si="68"/>
        <v/>
      </c>
    </row>
    <row r="3412" spans="1:34">
      <c r="A3412">
        <v>2026</v>
      </c>
      <c r="B3412">
        <v>4</v>
      </c>
      <c r="C3412" s="83">
        <v>19485958241</v>
      </c>
      <c r="D3412" t="s">
        <v>3009</v>
      </c>
      <c r="E3412">
        <v>58967808322</v>
      </c>
      <c r="F3412">
        <v>636959</v>
      </c>
      <c r="G3412">
        <v>54118575253</v>
      </c>
      <c r="H3412" t="s">
        <v>35</v>
      </c>
      <c r="I3412" s="36">
        <v>16372.08</v>
      </c>
      <c r="J3412" s="36">
        <v>8186.1</v>
      </c>
      <c r="K3412" s="85">
        <v>8185.98</v>
      </c>
      <c r="L3412" s="36">
        <v>682.17499999999995</v>
      </c>
      <c r="M3412" s="36">
        <v>0</v>
      </c>
      <c r="N3412" s="36">
        <v>682.17499999999995</v>
      </c>
      <c r="O3412" s="36">
        <v>0</v>
      </c>
      <c r="P3412" t="s">
        <v>367</v>
      </c>
      <c r="Q3412" t="s">
        <v>191</v>
      </c>
      <c r="R3412" t="s">
        <v>191</v>
      </c>
      <c r="S3412" s="1">
        <v>46120</v>
      </c>
      <c r="T3412" s="1">
        <v>46120</v>
      </c>
      <c r="V3412" s="1">
        <v>46851</v>
      </c>
      <c r="W3412" t="s">
        <v>56</v>
      </c>
      <c r="X3412">
        <v>24</v>
      </c>
      <c r="Y3412" t="s">
        <v>49</v>
      </c>
      <c r="AA3412" t="s">
        <v>122</v>
      </c>
      <c r="AB3412">
        <v>24</v>
      </c>
      <c r="AC3412" t="s">
        <v>192</v>
      </c>
      <c r="AD3412" t="s">
        <v>146</v>
      </c>
      <c r="AE3412" t="s">
        <v>135</v>
      </c>
      <c r="AF3412" t="s">
        <v>96</v>
      </c>
      <c r="AG3412" t="str">
        <f t="shared" si="67"/>
        <v>Recorrente</v>
      </c>
      <c r="AH3412" t="str">
        <f t="shared" si="68"/>
        <v/>
      </c>
    </row>
    <row r="3413" spans="1:34">
      <c r="A3413">
        <v>2026</v>
      </c>
      <c r="B3413">
        <v>4</v>
      </c>
      <c r="C3413" s="83">
        <v>19485965154</v>
      </c>
      <c r="D3413" t="s">
        <v>3010</v>
      </c>
      <c r="E3413">
        <v>18692805245</v>
      </c>
      <c r="F3413">
        <v>637083</v>
      </c>
      <c r="G3413">
        <v>54282714185</v>
      </c>
      <c r="H3413" t="s">
        <v>35</v>
      </c>
      <c r="I3413" s="36">
        <v>74730</v>
      </c>
      <c r="J3413" s="36">
        <v>59784</v>
      </c>
      <c r="K3413" s="85">
        <v>14946</v>
      </c>
      <c r="L3413" s="36">
        <v>4982</v>
      </c>
      <c r="M3413" s="36">
        <v>4982</v>
      </c>
      <c r="N3413" s="36">
        <v>0</v>
      </c>
      <c r="O3413" s="36">
        <v>0</v>
      </c>
      <c r="P3413" t="s">
        <v>1192</v>
      </c>
      <c r="Q3413" t="s">
        <v>1193</v>
      </c>
      <c r="R3413" t="s">
        <v>1193</v>
      </c>
      <c r="S3413" s="1">
        <v>46126</v>
      </c>
      <c r="T3413" s="1">
        <v>46126</v>
      </c>
      <c r="V3413" s="1">
        <v>46582</v>
      </c>
      <c r="W3413" t="s">
        <v>1194</v>
      </c>
      <c r="X3413">
        <v>15</v>
      </c>
      <c r="Y3413" t="s">
        <v>49</v>
      </c>
      <c r="AA3413" t="s">
        <v>92</v>
      </c>
      <c r="AB3413">
        <v>15</v>
      </c>
      <c r="AC3413" t="s">
        <v>1195</v>
      </c>
      <c r="AD3413" t="s">
        <v>2217</v>
      </c>
      <c r="AE3413" t="s">
        <v>106</v>
      </c>
      <c r="AF3413" t="s">
        <v>59</v>
      </c>
      <c r="AG3413" t="str">
        <f t="shared" si="67"/>
        <v>Recorrente</v>
      </c>
      <c r="AH3413" t="str">
        <f t="shared" si="68"/>
        <v/>
      </c>
    </row>
    <row r="3414" spans="1:34">
      <c r="A3414">
        <v>2026</v>
      </c>
      <c r="B3414">
        <v>4</v>
      </c>
      <c r="C3414" s="83">
        <v>19485968532</v>
      </c>
      <c r="D3414" t="s">
        <v>3011</v>
      </c>
      <c r="E3414">
        <v>59171194509</v>
      </c>
      <c r="F3414">
        <v>637497</v>
      </c>
      <c r="G3414">
        <v>54884871495</v>
      </c>
      <c r="H3414" t="s">
        <v>35</v>
      </c>
      <c r="I3414" s="36">
        <v>3960</v>
      </c>
      <c r="J3414" s="36">
        <v>3960</v>
      </c>
      <c r="K3414" s="85">
        <v>0</v>
      </c>
      <c r="L3414" s="36">
        <v>330</v>
      </c>
      <c r="M3414" s="36">
        <v>330</v>
      </c>
      <c r="N3414" s="36">
        <v>0</v>
      </c>
      <c r="O3414" s="36">
        <v>0</v>
      </c>
      <c r="P3414" t="s">
        <v>1073</v>
      </c>
      <c r="Q3414" t="s">
        <v>314</v>
      </c>
      <c r="R3414" t="s">
        <v>314</v>
      </c>
      <c r="S3414" s="1">
        <v>46142</v>
      </c>
      <c r="T3414" s="1">
        <v>46142</v>
      </c>
      <c r="V3414" s="1">
        <v>46507</v>
      </c>
      <c r="W3414" t="s">
        <v>38</v>
      </c>
      <c r="X3414">
        <v>12</v>
      </c>
      <c r="Y3414" t="s">
        <v>49</v>
      </c>
      <c r="AA3414" t="s">
        <v>112</v>
      </c>
      <c r="AB3414">
        <v>12</v>
      </c>
      <c r="AC3414" t="s">
        <v>315</v>
      </c>
      <c r="AD3414" t="s">
        <v>163</v>
      </c>
      <c r="AE3414" t="s">
        <v>43</v>
      </c>
      <c r="AF3414" t="s">
        <v>96</v>
      </c>
      <c r="AG3414" t="str">
        <f t="shared" si="67"/>
        <v>CC 12x</v>
      </c>
      <c r="AH3414" t="str">
        <f t="shared" si="68"/>
        <v/>
      </c>
    </row>
    <row r="3415" spans="1:34">
      <c r="A3415">
        <v>2026</v>
      </c>
      <c r="B3415">
        <v>4</v>
      </c>
      <c r="C3415" s="83">
        <v>19485977900</v>
      </c>
      <c r="D3415" t="s">
        <v>3012</v>
      </c>
      <c r="E3415">
        <v>59218756624</v>
      </c>
      <c r="F3415">
        <v>637214</v>
      </c>
      <c r="G3415">
        <v>54463039017</v>
      </c>
      <c r="H3415" t="s">
        <v>35</v>
      </c>
      <c r="I3415" s="36">
        <v>2586.6</v>
      </c>
      <c r="J3415" s="36">
        <v>2586.6</v>
      </c>
      <c r="K3415" s="85">
        <v>0</v>
      </c>
      <c r="L3415" s="36">
        <v>215.55</v>
      </c>
      <c r="M3415" s="36">
        <v>215.55</v>
      </c>
      <c r="N3415" s="36">
        <v>0</v>
      </c>
      <c r="O3415" s="36">
        <v>0</v>
      </c>
      <c r="P3415" t="s">
        <v>90</v>
      </c>
      <c r="Q3415" t="s">
        <v>91</v>
      </c>
      <c r="R3415" t="s">
        <v>91</v>
      </c>
      <c r="S3415" s="1">
        <v>46132</v>
      </c>
      <c r="T3415" s="1">
        <v>46132</v>
      </c>
      <c r="V3415" s="1">
        <v>46497</v>
      </c>
      <c r="W3415" t="s">
        <v>38</v>
      </c>
      <c r="X3415">
        <v>12</v>
      </c>
      <c r="Y3415" t="s">
        <v>49</v>
      </c>
      <c r="AA3415" t="s">
        <v>117</v>
      </c>
      <c r="AB3415">
        <v>1</v>
      </c>
      <c r="AC3415" t="s">
        <v>93</v>
      </c>
      <c r="AD3415" t="s">
        <v>140</v>
      </c>
      <c r="AE3415" t="s">
        <v>46</v>
      </c>
      <c r="AF3415" t="s">
        <v>119</v>
      </c>
      <c r="AG3415" t="str">
        <f t="shared" si="67"/>
        <v>À Vista</v>
      </c>
      <c r="AH3415" t="str">
        <f t="shared" si="68"/>
        <v/>
      </c>
    </row>
    <row r="3416" spans="1:34">
      <c r="A3416">
        <v>2026</v>
      </c>
      <c r="B3416">
        <v>4</v>
      </c>
      <c r="C3416" s="83">
        <v>19485978015</v>
      </c>
      <c r="D3416" t="s">
        <v>204</v>
      </c>
      <c r="E3416">
        <v>58681116474</v>
      </c>
      <c r="F3416">
        <v>317640</v>
      </c>
      <c r="G3416">
        <v>53857538695</v>
      </c>
      <c r="H3416" t="s">
        <v>35</v>
      </c>
      <c r="I3416" s="36">
        <v>5845.44</v>
      </c>
      <c r="J3416" s="36">
        <v>5845.44</v>
      </c>
      <c r="K3416" s="85">
        <v>0</v>
      </c>
      <c r="L3416" s="36">
        <v>487.12</v>
      </c>
      <c r="M3416" s="36">
        <v>0</v>
      </c>
      <c r="N3416" s="36">
        <v>76.405000000000001</v>
      </c>
      <c r="O3416" s="36">
        <v>410.72</v>
      </c>
      <c r="P3416" t="s">
        <v>127</v>
      </c>
      <c r="Q3416" t="s">
        <v>111</v>
      </c>
      <c r="R3416" t="s">
        <v>111</v>
      </c>
      <c r="S3416" s="1">
        <v>46114</v>
      </c>
      <c r="T3416" s="1">
        <v>46114</v>
      </c>
      <c r="U3416" s="1">
        <v>46115</v>
      </c>
      <c r="V3416" s="1">
        <v>46480</v>
      </c>
      <c r="W3416" t="s">
        <v>38</v>
      </c>
      <c r="X3416">
        <v>12</v>
      </c>
      <c r="Y3416" t="s">
        <v>49</v>
      </c>
      <c r="Z3416" t="s">
        <v>81</v>
      </c>
      <c r="AA3416" t="s">
        <v>122</v>
      </c>
      <c r="AB3416">
        <v>12</v>
      </c>
      <c r="AC3416" t="s">
        <v>113</v>
      </c>
      <c r="AD3416" t="s">
        <v>125</v>
      </c>
      <c r="AE3416" t="s">
        <v>43</v>
      </c>
      <c r="AF3416" t="s">
        <v>47</v>
      </c>
      <c r="AG3416" t="str">
        <f t="shared" si="67"/>
        <v>Recorrente</v>
      </c>
      <c r="AH3416" t="str">
        <f t="shared" si="68"/>
        <v/>
      </c>
    </row>
    <row r="3417" spans="1:34">
      <c r="A3417">
        <v>2026</v>
      </c>
      <c r="B3417">
        <v>4</v>
      </c>
      <c r="C3417" s="83">
        <v>19485984051</v>
      </c>
      <c r="D3417" t="s">
        <v>3013</v>
      </c>
      <c r="E3417">
        <v>43264123060</v>
      </c>
      <c r="F3417">
        <v>637373</v>
      </c>
      <c r="G3417">
        <v>54741184070</v>
      </c>
      <c r="H3417" t="s">
        <v>35</v>
      </c>
      <c r="I3417" s="36">
        <v>53475</v>
      </c>
      <c r="J3417" s="36">
        <v>10695</v>
      </c>
      <c r="K3417" s="85">
        <v>42780</v>
      </c>
      <c r="L3417" s="36">
        <v>891.25</v>
      </c>
      <c r="M3417" s="36">
        <v>891.25</v>
      </c>
      <c r="N3417" s="36">
        <v>0</v>
      </c>
      <c r="O3417" s="36">
        <v>0</v>
      </c>
      <c r="P3417" t="s">
        <v>2068</v>
      </c>
      <c r="Q3417" t="s">
        <v>37</v>
      </c>
      <c r="R3417" t="s">
        <v>37</v>
      </c>
      <c r="S3417" s="1">
        <v>46139</v>
      </c>
      <c r="T3417" s="1">
        <v>46139</v>
      </c>
      <c r="V3417" s="1"/>
      <c r="W3417" t="s">
        <v>1633</v>
      </c>
      <c r="X3417">
        <v>60</v>
      </c>
      <c r="Y3417" t="s">
        <v>49</v>
      </c>
      <c r="AA3417" t="s">
        <v>40</v>
      </c>
      <c r="AB3417">
        <v>1</v>
      </c>
      <c r="AC3417" t="s">
        <v>41</v>
      </c>
      <c r="AD3417" t="s">
        <v>3014</v>
      </c>
      <c r="AE3417" t="s">
        <v>46</v>
      </c>
      <c r="AF3417" t="s">
        <v>47</v>
      </c>
      <c r="AG3417" t="str">
        <f t="shared" si="67"/>
        <v>À Vista</v>
      </c>
      <c r="AH3417" t="str">
        <f t="shared" si="68"/>
        <v/>
      </c>
    </row>
    <row r="3418" spans="1:34">
      <c r="A3418">
        <v>2026</v>
      </c>
      <c r="B3418">
        <v>4</v>
      </c>
      <c r="C3418" s="83">
        <v>19485984051</v>
      </c>
      <c r="D3418" t="s">
        <v>3013</v>
      </c>
      <c r="E3418">
        <v>43264123060</v>
      </c>
      <c r="F3418">
        <v>637373</v>
      </c>
      <c r="G3418">
        <v>54741184070</v>
      </c>
      <c r="H3418" t="s">
        <v>35</v>
      </c>
      <c r="I3418" s="36">
        <v>53475</v>
      </c>
      <c r="J3418" s="36">
        <v>10695</v>
      </c>
      <c r="K3418" s="85">
        <v>42780</v>
      </c>
      <c r="L3418" s="36">
        <v>891.25</v>
      </c>
      <c r="M3418" s="36">
        <v>891.25</v>
      </c>
      <c r="N3418" s="36">
        <v>0</v>
      </c>
      <c r="O3418" s="36">
        <v>0</v>
      </c>
      <c r="P3418" t="s">
        <v>66</v>
      </c>
      <c r="Q3418" t="s">
        <v>37</v>
      </c>
      <c r="R3418" t="s">
        <v>37</v>
      </c>
      <c r="S3418" s="1">
        <v>46139</v>
      </c>
      <c r="T3418" s="1">
        <v>46139</v>
      </c>
      <c r="V3418" s="1"/>
      <c r="W3418" t="s">
        <v>1633</v>
      </c>
      <c r="X3418">
        <v>60</v>
      </c>
      <c r="Y3418" t="s">
        <v>49</v>
      </c>
      <c r="AA3418" t="s">
        <v>40</v>
      </c>
      <c r="AB3418">
        <v>1</v>
      </c>
      <c r="AC3418" t="s">
        <v>41</v>
      </c>
      <c r="AD3418" t="s">
        <v>3014</v>
      </c>
      <c r="AE3418" t="s">
        <v>46</v>
      </c>
      <c r="AF3418" t="s">
        <v>47</v>
      </c>
      <c r="AG3418" t="str">
        <f t="shared" si="67"/>
        <v>À Vista</v>
      </c>
      <c r="AH3418" t="str">
        <f t="shared" si="68"/>
        <v/>
      </c>
    </row>
    <row r="3419" spans="1:34">
      <c r="A3419">
        <v>2026</v>
      </c>
      <c r="B3419">
        <v>4</v>
      </c>
      <c r="C3419" s="83">
        <v>19485984051</v>
      </c>
      <c r="D3419" t="s">
        <v>3013</v>
      </c>
      <c r="E3419">
        <v>43264123060</v>
      </c>
      <c r="F3419">
        <v>637373</v>
      </c>
      <c r="G3419">
        <v>54741184071</v>
      </c>
      <c r="H3419" t="s">
        <v>35</v>
      </c>
      <c r="I3419" s="36">
        <v>28995</v>
      </c>
      <c r="J3419" s="36">
        <v>5799</v>
      </c>
      <c r="K3419" s="85">
        <v>23196</v>
      </c>
      <c r="L3419" s="36">
        <v>483.25</v>
      </c>
      <c r="M3419" s="36">
        <v>483.25</v>
      </c>
      <c r="N3419" s="36">
        <v>0</v>
      </c>
      <c r="O3419" s="36">
        <v>0</v>
      </c>
      <c r="P3419" t="s">
        <v>2068</v>
      </c>
      <c r="Q3419" t="s">
        <v>37</v>
      </c>
      <c r="R3419" t="s">
        <v>37</v>
      </c>
      <c r="S3419" s="1">
        <v>46139</v>
      </c>
      <c r="T3419" s="1">
        <v>46139</v>
      </c>
      <c r="V3419" s="1"/>
      <c r="W3419" t="s">
        <v>1633</v>
      </c>
      <c r="X3419">
        <v>60</v>
      </c>
      <c r="Y3419" t="s">
        <v>49</v>
      </c>
      <c r="AA3419" t="s">
        <v>40</v>
      </c>
      <c r="AB3419">
        <v>1</v>
      </c>
      <c r="AC3419" t="s">
        <v>41</v>
      </c>
      <c r="AD3419" t="s">
        <v>1634</v>
      </c>
      <c r="AE3419" t="s">
        <v>43</v>
      </c>
      <c r="AF3419" t="s">
        <v>47</v>
      </c>
      <c r="AG3419" t="str">
        <f t="shared" si="67"/>
        <v>À Vista</v>
      </c>
      <c r="AH3419" t="str">
        <f t="shared" si="68"/>
        <v/>
      </c>
    </row>
    <row r="3420" spans="1:34">
      <c r="A3420">
        <v>2026</v>
      </c>
      <c r="B3420">
        <v>4</v>
      </c>
      <c r="C3420" s="83">
        <v>19485984051</v>
      </c>
      <c r="D3420" t="s">
        <v>3013</v>
      </c>
      <c r="E3420">
        <v>43264123060</v>
      </c>
      <c r="F3420">
        <v>637373</v>
      </c>
      <c r="G3420">
        <v>54741184071</v>
      </c>
      <c r="H3420" t="s">
        <v>35</v>
      </c>
      <c r="I3420" s="36">
        <v>28995</v>
      </c>
      <c r="J3420" s="36">
        <v>5799</v>
      </c>
      <c r="K3420" s="85">
        <v>23196</v>
      </c>
      <c r="L3420" s="36">
        <v>483.25</v>
      </c>
      <c r="M3420" s="36">
        <v>483.25</v>
      </c>
      <c r="N3420" s="36">
        <v>0</v>
      </c>
      <c r="O3420" s="36">
        <v>0</v>
      </c>
      <c r="P3420" t="s">
        <v>66</v>
      </c>
      <c r="Q3420" t="s">
        <v>37</v>
      </c>
      <c r="R3420" t="s">
        <v>37</v>
      </c>
      <c r="S3420" s="1">
        <v>46139</v>
      </c>
      <c r="T3420" s="1">
        <v>46139</v>
      </c>
      <c r="V3420" s="1"/>
      <c r="W3420" t="s">
        <v>1633</v>
      </c>
      <c r="X3420">
        <v>60</v>
      </c>
      <c r="Y3420" t="s">
        <v>49</v>
      </c>
      <c r="AA3420" t="s">
        <v>40</v>
      </c>
      <c r="AB3420">
        <v>1</v>
      </c>
      <c r="AC3420" t="s">
        <v>41</v>
      </c>
      <c r="AD3420" t="s">
        <v>1634</v>
      </c>
      <c r="AE3420" t="s">
        <v>43</v>
      </c>
      <c r="AF3420" t="s">
        <v>47</v>
      </c>
      <c r="AG3420" t="str">
        <f t="shared" si="67"/>
        <v>À Vista</v>
      </c>
      <c r="AH3420" t="str">
        <f t="shared" si="68"/>
        <v/>
      </c>
    </row>
    <row r="3421" spans="1:34">
      <c r="A3421">
        <v>2026</v>
      </c>
      <c r="B3421">
        <v>4</v>
      </c>
      <c r="C3421" s="83">
        <v>19485984051</v>
      </c>
      <c r="D3421" t="s">
        <v>3013</v>
      </c>
      <c r="E3421">
        <v>43264123060</v>
      </c>
      <c r="F3421">
        <v>637373</v>
      </c>
      <c r="G3421">
        <v>54741184072</v>
      </c>
      <c r="H3421" t="s">
        <v>35</v>
      </c>
      <c r="I3421" s="36">
        <v>53472</v>
      </c>
      <c r="J3421" s="36">
        <v>0</v>
      </c>
      <c r="K3421" s="85">
        <v>0</v>
      </c>
      <c r="L3421" s="36">
        <v>0</v>
      </c>
      <c r="M3421" s="36">
        <v>0</v>
      </c>
      <c r="N3421" s="36">
        <v>0</v>
      </c>
      <c r="O3421" s="36">
        <v>0</v>
      </c>
      <c r="P3421" t="s">
        <v>2068</v>
      </c>
      <c r="Q3421" t="s">
        <v>37</v>
      </c>
      <c r="R3421" t="s">
        <v>37</v>
      </c>
      <c r="S3421" s="1">
        <v>46139</v>
      </c>
      <c r="T3421" s="1">
        <v>46139</v>
      </c>
      <c r="U3421" s="1"/>
      <c r="V3421" s="1"/>
      <c r="W3421" t="s">
        <v>39</v>
      </c>
      <c r="Y3421" t="s">
        <v>39</v>
      </c>
      <c r="AA3421" t="s">
        <v>40</v>
      </c>
      <c r="AB3421">
        <v>1</v>
      </c>
      <c r="AC3421" t="s">
        <v>41</v>
      </c>
      <c r="AD3421" t="s">
        <v>3015</v>
      </c>
      <c r="AE3421" t="s">
        <v>46</v>
      </c>
      <c r="AF3421" t="s">
        <v>47</v>
      </c>
      <c r="AG3421" t="str">
        <f t="shared" si="67"/>
        <v>À Vista</v>
      </c>
      <c r="AH3421" t="str">
        <f t="shared" si="68"/>
        <v/>
      </c>
    </row>
    <row r="3422" spans="1:34">
      <c r="A3422">
        <v>2026</v>
      </c>
      <c r="B3422">
        <v>4</v>
      </c>
      <c r="C3422" s="83">
        <v>19485984051</v>
      </c>
      <c r="D3422" t="s">
        <v>3013</v>
      </c>
      <c r="E3422">
        <v>43264123060</v>
      </c>
      <c r="F3422">
        <v>637373</v>
      </c>
      <c r="G3422">
        <v>54741184072</v>
      </c>
      <c r="H3422" t="s">
        <v>35</v>
      </c>
      <c r="I3422" s="36">
        <v>53472</v>
      </c>
      <c r="J3422" s="36">
        <v>0</v>
      </c>
      <c r="K3422" s="85">
        <v>0</v>
      </c>
      <c r="L3422" s="36">
        <v>0</v>
      </c>
      <c r="M3422" s="36">
        <v>0</v>
      </c>
      <c r="N3422" s="36">
        <v>0</v>
      </c>
      <c r="O3422" s="36">
        <v>0</v>
      </c>
      <c r="P3422" t="s">
        <v>66</v>
      </c>
      <c r="Q3422" t="s">
        <v>37</v>
      </c>
      <c r="R3422" t="s">
        <v>37</v>
      </c>
      <c r="S3422" s="1">
        <v>46139</v>
      </c>
      <c r="T3422" s="1">
        <v>46139</v>
      </c>
      <c r="W3422" t="s">
        <v>39</v>
      </c>
      <c r="Y3422" t="s">
        <v>39</v>
      </c>
      <c r="AA3422" t="s">
        <v>40</v>
      </c>
      <c r="AB3422">
        <v>1</v>
      </c>
      <c r="AC3422" t="s">
        <v>41</v>
      </c>
      <c r="AD3422" t="s">
        <v>3015</v>
      </c>
      <c r="AE3422" t="s">
        <v>46</v>
      </c>
      <c r="AF3422" t="s">
        <v>47</v>
      </c>
      <c r="AG3422" t="str">
        <f t="shared" si="67"/>
        <v>À Vista</v>
      </c>
      <c r="AH3422" t="str">
        <f t="shared" si="68"/>
        <v/>
      </c>
    </row>
    <row r="3423" spans="1:34">
      <c r="A3423">
        <v>2026</v>
      </c>
      <c r="B3423">
        <v>4</v>
      </c>
      <c r="C3423" s="83">
        <v>19485984051</v>
      </c>
      <c r="D3423" t="s">
        <v>3013</v>
      </c>
      <c r="E3423">
        <v>43264123060</v>
      </c>
      <c r="F3423">
        <v>637373</v>
      </c>
      <c r="G3423">
        <v>54741184073</v>
      </c>
      <c r="H3423" t="s">
        <v>35</v>
      </c>
      <c r="I3423" s="36">
        <v>28992</v>
      </c>
      <c r="J3423" s="36">
        <v>0</v>
      </c>
      <c r="K3423" s="85">
        <v>0</v>
      </c>
      <c r="L3423" s="36">
        <v>0</v>
      </c>
      <c r="M3423" s="36">
        <v>0</v>
      </c>
      <c r="N3423" s="36">
        <v>0</v>
      </c>
      <c r="O3423" s="36">
        <v>0</v>
      </c>
      <c r="P3423" t="s">
        <v>2068</v>
      </c>
      <c r="Q3423" t="s">
        <v>37</v>
      </c>
      <c r="R3423" t="s">
        <v>37</v>
      </c>
      <c r="S3423" s="1">
        <v>46139</v>
      </c>
      <c r="T3423" s="1">
        <v>46139</v>
      </c>
      <c r="W3423" t="s">
        <v>39</v>
      </c>
      <c r="Y3423" t="s">
        <v>39</v>
      </c>
      <c r="AA3423" t="s">
        <v>40</v>
      </c>
      <c r="AB3423">
        <v>1</v>
      </c>
      <c r="AC3423" t="s">
        <v>41</v>
      </c>
      <c r="AD3423" t="s">
        <v>3016</v>
      </c>
      <c r="AE3423" t="s">
        <v>43</v>
      </c>
      <c r="AF3423" t="s">
        <v>47</v>
      </c>
      <c r="AG3423" t="str">
        <f t="shared" si="67"/>
        <v>À Vista</v>
      </c>
      <c r="AH3423" t="str">
        <f t="shared" si="68"/>
        <v/>
      </c>
    </row>
    <row r="3424" spans="1:34">
      <c r="A3424">
        <v>2026</v>
      </c>
      <c r="B3424">
        <v>4</v>
      </c>
      <c r="C3424" s="83">
        <v>19485984051</v>
      </c>
      <c r="D3424" t="s">
        <v>3013</v>
      </c>
      <c r="E3424">
        <v>43264123060</v>
      </c>
      <c r="F3424">
        <v>637373</v>
      </c>
      <c r="G3424">
        <v>54741184073</v>
      </c>
      <c r="H3424" t="s">
        <v>35</v>
      </c>
      <c r="I3424" s="36">
        <v>28992</v>
      </c>
      <c r="J3424" s="36">
        <v>0</v>
      </c>
      <c r="K3424" s="85">
        <v>0</v>
      </c>
      <c r="L3424" s="36">
        <v>0</v>
      </c>
      <c r="M3424" s="36">
        <v>0</v>
      </c>
      <c r="N3424" s="36">
        <v>0</v>
      </c>
      <c r="O3424" s="36">
        <v>0</v>
      </c>
      <c r="P3424" t="s">
        <v>66</v>
      </c>
      <c r="Q3424" t="s">
        <v>37</v>
      </c>
      <c r="R3424" t="s">
        <v>37</v>
      </c>
      <c r="S3424" s="1">
        <v>46139</v>
      </c>
      <c r="T3424" s="1">
        <v>46139</v>
      </c>
      <c r="W3424" t="s">
        <v>39</v>
      </c>
      <c r="Y3424" t="s">
        <v>39</v>
      </c>
      <c r="AA3424" t="s">
        <v>40</v>
      </c>
      <c r="AB3424">
        <v>1</v>
      </c>
      <c r="AC3424" t="s">
        <v>41</v>
      </c>
      <c r="AD3424" t="s">
        <v>3016</v>
      </c>
      <c r="AE3424" t="s">
        <v>43</v>
      </c>
      <c r="AF3424" t="s">
        <v>47</v>
      </c>
      <c r="AG3424" t="str">
        <f t="shared" si="67"/>
        <v>À Vista</v>
      </c>
      <c r="AH3424" t="str">
        <f t="shared" si="68"/>
        <v/>
      </c>
    </row>
    <row r="3425" spans="1:34">
      <c r="A3425">
        <v>2026</v>
      </c>
      <c r="B3425">
        <v>4</v>
      </c>
      <c r="C3425" s="83">
        <v>19485990977</v>
      </c>
      <c r="D3425" t="s">
        <v>3017</v>
      </c>
      <c r="E3425">
        <v>52855961239</v>
      </c>
      <c r="F3425">
        <v>637411</v>
      </c>
      <c r="G3425">
        <v>54703961470</v>
      </c>
      <c r="H3425" t="s">
        <v>35</v>
      </c>
      <c r="I3425" s="36">
        <v>8064</v>
      </c>
      <c r="J3425" s="36">
        <v>4032</v>
      </c>
      <c r="K3425" s="85">
        <v>4032</v>
      </c>
      <c r="L3425" s="36">
        <v>336</v>
      </c>
      <c r="M3425" s="36">
        <v>336</v>
      </c>
      <c r="N3425" s="36">
        <v>0</v>
      </c>
      <c r="O3425" s="36">
        <v>0</v>
      </c>
      <c r="P3425" t="s">
        <v>313</v>
      </c>
      <c r="Q3425" t="s">
        <v>349</v>
      </c>
      <c r="R3425" t="s">
        <v>349</v>
      </c>
      <c r="S3425" s="1">
        <v>46139</v>
      </c>
      <c r="T3425" s="1">
        <v>46139</v>
      </c>
      <c r="V3425" s="1">
        <v>46870</v>
      </c>
      <c r="W3425" t="s">
        <v>56</v>
      </c>
      <c r="X3425">
        <v>24</v>
      </c>
      <c r="Y3425" t="s">
        <v>49</v>
      </c>
      <c r="AA3425" t="s">
        <v>122</v>
      </c>
      <c r="AB3425">
        <v>24</v>
      </c>
      <c r="AC3425" t="s">
        <v>350</v>
      </c>
      <c r="AD3425" t="s">
        <v>84</v>
      </c>
      <c r="AE3425" t="s">
        <v>43</v>
      </c>
      <c r="AF3425" t="s">
        <v>44</v>
      </c>
      <c r="AG3425" t="str">
        <f t="shared" si="67"/>
        <v>Recorrente</v>
      </c>
      <c r="AH3425" t="str">
        <f t="shared" si="68"/>
        <v/>
      </c>
    </row>
    <row r="3426" spans="1:34">
      <c r="A3426">
        <v>2026</v>
      </c>
      <c r="B3426">
        <v>4</v>
      </c>
      <c r="C3426" s="83">
        <v>19485990987</v>
      </c>
      <c r="D3426" t="s">
        <v>2174</v>
      </c>
      <c r="E3426">
        <v>57142537751</v>
      </c>
      <c r="F3426">
        <v>531938</v>
      </c>
      <c r="G3426">
        <v>53451851631</v>
      </c>
      <c r="H3426" t="s">
        <v>35</v>
      </c>
      <c r="I3426" s="36">
        <v>8154.84</v>
      </c>
      <c r="J3426" s="36">
        <v>8154.84</v>
      </c>
      <c r="K3426" s="85">
        <v>0</v>
      </c>
      <c r="L3426" s="36">
        <v>679.57</v>
      </c>
      <c r="M3426" s="36">
        <v>0</v>
      </c>
      <c r="N3426" s="36">
        <v>239.47499999999999</v>
      </c>
      <c r="O3426" s="36">
        <v>440.1</v>
      </c>
      <c r="P3426" t="s">
        <v>121</v>
      </c>
      <c r="Q3426" t="s">
        <v>111</v>
      </c>
      <c r="R3426" t="s">
        <v>111</v>
      </c>
      <c r="S3426" s="1">
        <v>46118</v>
      </c>
      <c r="T3426" s="1">
        <v>46118</v>
      </c>
      <c r="U3426" s="1">
        <v>46116</v>
      </c>
      <c r="V3426" s="1">
        <v>46483</v>
      </c>
      <c r="W3426" t="s">
        <v>38</v>
      </c>
      <c r="X3426">
        <v>12</v>
      </c>
      <c r="Y3426" t="s">
        <v>49</v>
      </c>
      <c r="Z3426" t="s">
        <v>81</v>
      </c>
      <c r="AA3426" t="s">
        <v>122</v>
      </c>
      <c r="AB3426">
        <v>12</v>
      </c>
      <c r="AC3426" t="s">
        <v>113</v>
      </c>
      <c r="AD3426" t="s">
        <v>131</v>
      </c>
      <c r="AE3426" t="s">
        <v>46</v>
      </c>
      <c r="AF3426" t="s">
        <v>96</v>
      </c>
      <c r="AG3426" t="str">
        <f t="shared" si="67"/>
        <v>Recorrente</v>
      </c>
      <c r="AH3426" t="str">
        <f t="shared" si="68"/>
        <v/>
      </c>
    </row>
    <row r="3427" spans="1:34">
      <c r="A3427">
        <v>2026</v>
      </c>
      <c r="B3427">
        <v>4</v>
      </c>
      <c r="C3427" s="83">
        <v>19486017130</v>
      </c>
      <c r="D3427" t="s">
        <v>3018</v>
      </c>
      <c r="E3427">
        <v>59186209681</v>
      </c>
      <c r="F3427">
        <v>612997</v>
      </c>
      <c r="G3427">
        <v>54372623652</v>
      </c>
      <c r="H3427" t="s">
        <v>35</v>
      </c>
      <c r="I3427" s="36">
        <v>3917.04</v>
      </c>
      <c r="J3427" s="36">
        <v>3917.04</v>
      </c>
      <c r="K3427" s="85">
        <v>0</v>
      </c>
      <c r="L3427" s="36">
        <v>326.42</v>
      </c>
      <c r="M3427" s="36">
        <v>0</v>
      </c>
      <c r="N3427" s="36">
        <v>0</v>
      </c>
      <c r="O3427" s="36">
        <v>326.42</v>
      </c>
      <c r="P3427" t="s">
        <v>133</v>
      </c>
      <c r="Q3427" t="s">
        <v>111</v>
      </c>
      <c r="R3427" t="s">
        <v>111</v>
      </c>
      <c r="S3427" s="1">
        <v>46128</v>
      </c>
      <c r="T3427" s="1">
        <v>46128</v>
      </c>
      <c r="U3427" s="1">
        <v>46117</v>
      </c>
      <c r="V3427" s="1">
        <v>46493</v>
      </c>
      <c r="W3427" t="s">
        <v>38</v>
      </c>
      <c r="X3427">
        <v>12</v>
      </c>
      <c r="Y3427" t="s">
        <v>49</v>
      </c>
      <c r="Z3427" t="s">
        <v>81</v>
      </c>
      <c r="AA3427" t="s">
        <v>82</v>
      </c>
      <c r="AB3427">
        <v>1</v>
      </c>
      <c r="AC3427" t="s">
        <v>113</v>
      </c>
      <c r="AD3427" t="s">
        <v>163</v>
      </c>
      <c r="AE3427" t="s">
        <v>43</v>
      </c>
      <c r="AF3427" t="s">
        <v>96</v>
      </c>
      <c r="AG3427" t="str">
        <f t="shared" si="67"/>
        <v>À Vista</v>
      </c>
      <c r="AH3427" t="str">
        <f t="shared" si="68"/>
        <v/>
      </c>
    </row>
    <row r="3428" spans="1:34">
      <c r="A3428">
        <v>2026</v>
      </c>
      <c r="B3428">
        <v>4</v>
      </c>
      <c r="C3428" s="83">
        <v>19486017130</v>
      </c>
      <c r="D3428" t="s">
        <v>3018</v>
      </c>
      <c r="E3428">
        <v>59186209681</v>
      </c>
      <c r="F3428">
        <v>612997</v>
      </c>
      <c r="G3428">
        <v>54372623653</v>
      </c>
      <c r="H3428" t="s">
        <v>35</v>
      </c>
      <c r="I3428" s="36">
        <v>3917.04</v>
      </c>
      <c r="J3428" s="36">
        <v>3917.04</v>
      </c>
      <c r="K3428" s="85">
        <v>0</v>
      </c>
      <c r="L3428" s="36">
        <v>326.42</v>
      </c>
      <c r="M3428" s="36">
        <v>0</v>
      </c>
      <c r="N3428" s="36">
        <v>0</v>
      </c>
      <c r="O3428" s="36">
        <v>326.42</v>
      </c>
      <c r="P3428" t="s">
        <v>133</v>
      </c>
      <c r="Q3428" t="s">
        <v>111</v>
      </c>
      <c r="R3428" t="s">
        <v>111</v>
      </c>
      <c r="S3428" s="1">
        <v>46128</v>
      </c>
      <c r="T3428" s="1">
        <v>46128</v>
      </c>
      <c r="U3428" s="1">
        <v>46117</v>
      </c>
      <c r="V3428" s="1">
        <v>46493</v>
      </c>
      <c r="W3428" t="s">
        <v>38</v>
      </c>
      <c r="X3428">
        <v>12</v>
      </c>
      <c r="Y3428" t="s">
        <v>49</v>
      </c>
      <c r="Z3428" t="s">
        <v>81</v>
      </c>
      <c r="AA3428" t="s">
        <v>82</v>
      </c>
      <c r="AB3428">
        <v>1</v>
      </c>
      <c r="AC3428" t="s">
        <v>113</v>
      </c>
      <c r="AD3428" t="s">
        <v>163</v>
      </c>
      <c r="AE3428" t="s">
        <v>43</v>
      </c>
      <c r="AF3428" t="s">
        <v>96</v>
      </c>
      <c r="AG3428" t="str">
        <f t="shared" si="67"/>
        <v>À Vista</v>
      </c>
      <c r="AH3428" t="str">
        <f t="shared" si="68"/>
        <v/>
      </c>
    </row>
    <row r="3429" spans="1:34">
      <c r="A3429">
        <v>2026</v>
      </c>
      <c r="B3429">
        <v>4</v>
      </c>
      <c r="C3429" s="83">
        <v>19486017457</v>
      </c>
      <c r="D3429" t="s">
        <v>3019</v>
      </c>
      <c r="E3429">
        <v>56478711632</v>
      </c>
      <c r="F3429">
        <v>628201</v>
      </c>
      <c r="G3429">
        <v>51822935196</v>
      </c>
      <c r="H3429" t="s">
        <v>35</v>
      </c>
      <c r="I3429" s="36">
        <v>8418.6</v>
      </c>
      <c r="J3429" s="36">
        <v>8418.6</v>
      </c>
      <c r="K3429" s="85">
        <v>0</v>
      </c>
      <c r="L3429" s="36">
        <v>701.55</v>
      </c>
      <c r="M3429" s="36">
        <v>0</v>
      </c>
      <c r="N3429" s="36">
        <v>110.35</v>
      </c>
      <c r="O3429" s="36">
        <v>591.20000000000005</v>
      </c>
      <c r="P3429" t="s">
        <v>165</v>
      </c>
      <c r="Q3429" t="s">
        <v>166</v>
      </c>
      <c r="R3429" t="s">
        <v>166</v>
      </c>
      <c r="S3429" s="1">
        <v>46115</v>
      </c>
      <c r="T3429" s="1">
        <v>46115</v>
      </c>
      <c r="U3429" s="1">
        <v>46115</v>
      </c>
      <c r="V3429" s="1">
        <v>46480</v>
      </c>
      <c r="W3429" t="s">
        <v>38</v>
      </c>
      <c r="X3429">
        <v>12</v>
      </c>
      <c r="Y3429" t="s">
        <v>49</v>
      </c>
      <c r="Z3429" t="s">
        <v>81</v>
      </c>
      <c r="AA3429" t="s">
        <v>122</v>
      </c>
      <c r="AB3429">
        <v>12</v>
      </c>
      <c r="AC3429" t="s">
        <v>166</v>
      </c>
      <c r="AD3429" t="s">
        <v>134</v>
      </c>
      <c r="AE3429" t="s">
        <v>135</v>
      </c>
      <c r="AF3429" t="s">
        <v>44</v>
      </c>
      <c r="AG3429" t="str">
        <f t="shared" si="67"/>
        <v>Recorrente</v>
      </c>
      <c r="AH3429" t="str">
        <f t="shared" si="68"/>
        <v/>
      </c>
    </row>
    <row r="3430" spans="1:34">
      <c r="A3430">
        <v>2026</v>
      </c>
      <c r="B3430">
        <v>4</v>
      </c>
      <c r="C3430" s="83">
        <v>194961569899</v>
      </c>
      <c r="D3430" t="s">
        <v>1236</v>
      </c>
      <c r="E3430">
        <v>58566952010</v>
      </c>
      <c r="F3430">
        <v>635903</v>
      </c>
      <c r="G3430">
        <v>54271777117</v>
      </c>
      <c r="H3430" t="s">
        <v>35</v>
      </c>
      <c r="I3430" s="36">
        <v>361</v>
      </c>
      <c r="J3430" s="36">
        <v>4332</v>
      </c>
      <c r="K3430" s="85">
        <v>0</v>
      </c>
      <c r="L3430" s="36">
        <v>361</v>
      </c>
      <c r="M3430" s="36">
        <v>361</v>
      </c>
      <c r="N3430" s="36">
        <v>0</v>
      </c>
      <c r="O3430" s="36">
        <v>0</v>
      </c>
      <c r="P3430" t="s">
        <v>162</v>
      </c>
      <c r="Q3430" t="s">
        <v>111</v>
      </c>
      <c r="R3430" t="s">
        <v>111</v>
      </c>
      <c r="S3430" s="1">
        <v>46126</v>
      </c>
      <c r="T3430" s="1">
        <v>46126</v>
      </c>
      <c r="U3430" s="1">
        <v>46084</v>
      </c>
      <c r="V3430" s="1">
        <v>46155</v>
      </c>
      <c r="W3430" t="s">
        <v>679</v>
      </c>
      <c r="X3430">
        <v>1</v>
      </c>
      <c r="Y3430" t="s">
        <v>49</v>
      </c>
      <c r="Z3430" t="s">
        <v>3020</v>
      </c>
      <c r="AA3430" t="s">
        <v>112</v>
      </c>
      <c r="AB3430">
        <v>1</v>
      </c>
      <c r="AC3430" t="s">
        <v>113</v>
      </c>
      <c r="AD3430" t="s">
        <v>140</v>
      </c>
      <c r="AE3430" t="s">
        <v>46</v>
      </c>
      <c r="AF3430" t="s">
        <v>119</v>
      </c>
      <c r="AG3430" t="str">
        <f t="shared" si="67"/>
        <v>À Vista</v>
      </c>
      <c r="AH3430" t="str">
        <f t="shared" si="68"/>
        <v/>
      </c>
    </row>
    <row r="3431" spans="1:34">
      <c r="A3431">
        <v>2026</v>
      </c>
      <c r="B3431">
        <v>4</v>
      </c>
      <c r="C3431" s="83">
        <v>195213000236</v>
      </c>
      <c r="D3431" t="s">
        <v>1239</v>
      </c>
      <c r="E3431">
        <v>58962342792</v>
      </c>
      <c r="F3431">
        <v>635974</v>
      </c>
      <c r="G3431">
        <v>54118673817</v>
      </c>
      <c r="H3431" t="s">
        <v>35</v>
      </c>
      <c r="I3431" s="36">
        <v>2198.7600000000002</v>
      </c>
      <c r="J3431" s="36">
        <v>2641.92</v>
      </c>
      <c r="K3431" s="85">
        <v>0</v>
      </c>
      <c r="L3431" s="36">
        <v>220.16</v>
      </c>
      <c r="M3431" s="36">
        <v>0</v>
      </c>
      <c r="N3431" s="36">
        <v>220.16</v>
      </c>
      <c r="O3431" s="36">
        <v>0</v>
      </c>
      <c r="P3431" t="s">
        <v>323</v>
      </c>
      <c r="Q3431" t="s">
        <v>191</v>
      </c>
      <c r="R3431" t="s">
        <v>191</v>
      </c>
      <c r="S3431" s="1">
        <v>46120</v>
      </c>
      <c r="T3431" s="1">
        <v>46120</v>
      </c>
      <c r="U3431" s="1">
        <v>46424</v>
      </c>
      <c r="V3431" s="1">
        <v>46424</v>
      </c>
      <c r="W3431" t="s">
        <v>38</v>
      </c>
      <c r="X3431">
        <v>10</v>
      </c>
      <c r="Y3431" t="s">
        <v>49</v>
      </c>
      <c r="Z3431" t="s">
        <v>324</v>
      </c>
      <c r="AA3431" t="s">
        <v>122</v>
      </c>
      <c r="AB3431">
        <v>9</v>
      </c>
      <c r="AC3431" t="s">
        <v>192</v>
      </c>
      <c r="AD3431" t="s">
        <v>138</v>
      </c>
      <c r="AE3431" t="s">
        <v>135</v>
      </c>
      <c r="AF3431" t="s">
        <v>119</v>
      </c>
      <c r="AG3431" t="str">
        <f t="shared" si="67"/>
        <v>Recorrente</v>
      </c>
      <c r="AH3431" t="str">
        <f t="shared" si="68"/>
        <v/>
      </c>
    </row>
    <row r="3432" spans="1:34">
      <c r="A3432">
        <v>2026</v>
      </c>
      <c r="B3432">
        <v>4</v>
      </c>
      <c r="C3432" s="83">
        <v>19541077557</v>
      </c>
      <c r="D3432" t="s">
        <v>780</v>
      </c>
      <c r="E3432">
        <v>59803437236</v>
      </c>
      <c r="F3432">
        <v>625858</v>
      </c>
      <c r="G3432">
        <v>54878911547</v>
      </c>
      <c r="H3432" t="s">
        <v>35</v>
      </c>
      <c r="I3432" s="36">
        <v>3757.68</v>
      </c>
      <c r="J3432" s="36">
        <v>2161.56</v>
      </c>
      <c r="K3432" s="85">
        <v>1596.12</v>
      </c>
      <c r="L3432" s="36">
        <v>180.13</v>
      </c>
      <c r="M3432" s="36">
        <v>0</v>
      </c>
      <c r="N3432" s="36">
        <v>180.13</v>
      </c>
      <c r="O3432" s="36">
        <v>0</v>
      </c>
      <c r="P3432" t="s">
        <v>367</v>
      </c>
      <c r="Q3432" t="s">
        <v>191</v>
      </c>
      <c r="R3432" t="s">
        <v>191</v>
      </c>
      <c r="S3432" s="1">
        <v>46141</v>
      </c>
      <c r="T3432" s="1">
        <v>46141</v>
      </c>
      <c r="U3432" s="1">
        <v>46776</v>
      </c>
      <c r="V3432" s="1">
        <v>46776</v>
      </c>
      <c r="W3432" t="s">
        <v>102</v>
      </c>
      <c r="X3432">
        <v>21</v>
      </c>
      <c r="Y3432" t="s">
        <v>49</v>
      </c>
      <c r="Z3432" t="s">
        <v>324</v>
      </c>
      <c r="AA3432" t="s">
        <v>122</v>
      </c>
      <c r="AB3432">
        <v>20</v>
      </c>
      <c r="AC3432" t="s">
        <v>192</v>
      </c>
      <c r="AD3432" t="s">
        <v>84</v>
      </c>
      <c r="AE3432" t="s">
        <v>43</v>
      </c>
      <c r="AF3432" t="s">
        <v>44</v>
      </c>
      <c r="AG3432" t="str">
        <f t="shared" si="67"/>
        <v>Recorrente</v>
      </c>
      <c r="AH3432" t="str">
        <f t="shared" si="68"/>
        <v/>
      </c>
    </row>
    <row r="3433" spans="1:34">
      <c r="A3433">
        <v>2026</v>
      </c>
      <c r="B3433">
        <v>4</v>
      </c>
      <c r="C3433" s="83">
        <v>19541826564</v>
      </c>
      <c r="D3433" t="s">
        <v>3021</v>
      </c>
      <c r="E3433">
        <v>58217627308</v>
      </c>
      <c r="F3433">
        <v>636866</v>
      </c>
      <c r="G3433">
        <v>53857808718</v>
      </c>
      <c r="H3433" t="s">
        <v>35</v>
      </c>
      <c r="I3433" s="36">
        <v>4932</v>
      </c>
      <c r="J3433" s="36">
        <v>4932</v>
      </c>
      <c r="K3433" s="85">
        <v>0</v>
      </c>
      <c r="L3433" s="36">
        <v>411</v>
      </c>
      <c r="M3433" s="36">
        <v>411</v>
      </c>
      <c r="N3433" s="36">
        <v>0</v>
      </c>
      <c r="O3433" s="36">
        <v>0</v>
      </c>
      <c r="P3433" t="s">
        <v>75</v>
      </c>
      <c r="Q3433" t="s">
        <v>37</v>
      </c>
      <c r="R3433" t="s">
        <v>37</v>
      </c>
      <c r="S3433" s="1">
        <v>46114</v>
      </c>
      <c r="T3433" s="1">
        <v>46114</v>
      </c>
      <c r="U3433" s="1"/>
      <c r="V3433" s="1">
        <v>46513</v>
      </c>
      <c r="W3433" t="s">
        <v>38</v>
      </c>
      <c r="X3433">
        <v>13</v>
      </c>
      <c r="Y3433" t="s">
        <v>49</v>
      </c>
      <c r="AA3433" t="s">
        <v>40</v>
      </c>
      <c r="AB3433">
        <v>1</v>
      </c>
      <c r="AC3433" t="s">
        <v>41</v>
      </c>
      <c r="AD3433" t="s">
        <v>53</v>
      </c>
      <c r="AE3433" t="s">
        <v>43</v>
      </c>
      <c r="AF3433" t="s">
        <v>44</v>
      </c>
      <c r="AG3433" t="str">
        <f t="shared" si="67"/>
        <v>À Vista</v>
      </c>
      <c r="AH3433" t="str">
        <f t="shared" si="68"/>
        <v/>
      </c>
    </row>
    <row r="3434" spans="1:34">
      <c r="A3434">
        <v>2026</v>
      </c>
      <c r="B3434">
        <v>4</v>
      </c>
      <c r="C3434" s="83">
        <v>19541826564</v>
      </c>
      <c r="D3434" t="s">
        <v>3021</v>
      </c>
      <c r="E3434">
        <v>58217627308</v>
      </c>
      <c r="F3434">
        <v>636866</v>
      </c>
      <c r="G3434">
        <v>53857808719</v>
      </c>
      <c r="H3434" t="s">
        <v>35</v>
      </c>
      <c r="I3434" s="36">
        <v>5772</v>
      </c>
      <c r="J3434" s="36">
        <v>5772</v>
      </c>
      <c r="K3434" s="85">
        <v>0</v>
      </c>
      <c r="L3434" s="36">
        <v>481</v>
      </c>
      <c r="M3434" s="36">
        <v>481</v>
      </c>
      <c r="N3434" s="36">
        <v>0</v>
      </c>
      <c r="O3434" s="36">
        <v>0</v>
      </c>
      <c r="P3434" t="s">
        <v>75</v>
      </c>
      <c r="Q3434" t="s">
        <v>37</v>
      </c>
      <c r="R3434" t="s">
        <v>37</v>
      </c>
      <c r="S3434" s="1">
        <v>46114</v>
      </c>
      <c r="T3434" s="1">
        <v>46114</v>
      </c>
      <c r="U3434" s="1"/>
      <c r="V3434" s="1">
        <v>46513</v>
      </c>
      <c r="W3434" t="s">
        <v>38</v>
      </c>
      <c r="X3434">
        <v>13</v>
      </c>
      <c r="Y3434" t="s">
        <v>49</v>
      </c>
      <c r="AA3434" t="s">
        <v>40</v>
      </c>
      <c r="AB3434">
        <v>1</v>
      </c>
      <c r="AC3434" t="s">
        <v>41</v>
      </c>
      <c r="AD3434" t="s">
        <v>54</v>
      </c>
      <c r="AE3434" t="s">
        <v>46</v>
      </c>
      <c r="AF3434" t="s">
        <v>44</v>
      </c>
      <c r="AG3434" t="str">
        <f t="shared" si="67"/>
        <v>À Vista</v>
      </c>
      <c r="AH3434" t="str">
        <f t="shared" si="68"/>
        <v/>
      </c>
    </row>
    <row r="3435" spans="1:34">
      <c r="A3435">
        <v>2026</v>
      </c>
      <c r="B3435">
        <v>4</v>
      </c>
      <c r="C3435" s="83">
        <v>19542022580</v>
      </c>
      <c r="D3435" t="s">
        <v>3022</v>
      </c>
      <c r="E3435">
        <v>54190555771</v>
      </c>
      <c r="F3435">
        <v>636864</v>
      </c>
      <c r="G3435">
        <v>53858413988</v>
      </c>
      <c r="H3435" t="s">
        <v>35</v>
      </c>
      <c r="I3435" s="36">
        <v>13368</v>
      </c>
      <c r="J3435" s="36">
        <v>13368</v>
      </c>
      <c r="K3435" s="85">
        <v>0</v>
      </c>
      <c r="L3435" s="36">
        <v>1114</v>
      </c>
      <c r="M3435" s="36">
        <v>1114</v>
      </c>
      <c r="N3435" s="36">
        <v>0</v>
      </c>
      <c r="O3435" s="36">
        <v>0</v>
      </c>
      <c r="P3435" t="s">
        <v>1243</v>
      </c>
      <c r="Q3435" t="s">
        <v>37</v>
      </c>
      <c r="R3435" t="s">
        <v>37</v>
      </c>
      <c r="S3435" s="1">
        <v>46114</v>
      </c>
      <c r="T3435" s="1">
        <v>46114</v>
      </c>
      <c r="U3435" s="1"/>
      <c r="V3435" s="1">
        <v>46479</v>
      </c>
      <c r="W3435" t="s">
        <v>38</v>
      </c>
      <c r="X3435">
        <v>12</v>
      </c>
      <c r="Y3435" t="s">
        <v>49</v>
      </c>
      <c r="AA3435" t="s">
        <v>40</v>
      </c>
      <c r="AB3435">
        <v>1</v>
      </c>
      <c r="AC3435" t="s">
        <v>41</v>
      </c>
      <c r="AD3435" t="s">
        <v>100</v>
      </c>
      <c r="AE3435" t="s">
        <v>46</v>
      </c>
      <c r="AF3435" t="s">
        <v>47</v>
      </c>
      <c r="AG3435" t="str">
        <f t="shared" si="67"/>
        <v>À Vista</v>
      </c>
      <c r="AH3435" t="str">
        <f t="shared" si="68"/>
        <v/>
      </c>
    </row>
    <row r="3436" spans="1:34">
      <c r="A3436">
        <v>2026</v>
      </c>
      <c r="B3436">
        <v>4</v>
      </c>
      <c r="C3436" s="83">
        <v>19542022580</v>
      </c>
      <c r="D3436" t="s">
        <v>3022</v>
      </c>
      <c r="E3436">
        <v>54190555771</v>
      </c>
      <c r="F3436">
        <v>636864</v>
      </c>
      <c r="G3436">
        <v>53858413989</v>
      </c>
      <c r="H3436" t="s">
        <v>35</v>
      </c>
      <c r="I3436" s="36">
        <v>14496</v>
      </c>
      <c r="J3436" s="36">
        <v>14496</v>
      </c>
      <c r="K3436" s="85">
        <v>0</v>
      </c>
      <c r="L3436" s="36">
        <v>1208</v>
      </c>
      <c r="M3436" s="36">
        <v>1208</v>
      </c>
      <c r="N3436" s="36">
        <v>0</v>
      </c>
      <c r="O3436" s="36">
        <v>0</v>
      </c>
      <c r="P3436" t="s">
        <v>1243</v>
      </c>
      <c r="Q3436" t="s">
        <v>37</v>
      </c>
      <c r="R3436" t="s">
        <v>37</v>
      </c>
      <c r="S3436" s="1">
        <v>46114</v>
      </c>
      <c r="T3436" s="1">
        <v>46114</v>
      </c>
      <c r="U3436" s="1"/>
      <c r="V3436" s="1">
        <v>46479</v>
      </c>
      <c r="W3436" t="s">
        <v>38</v>
      </c>
      <c r="X3436">
        <v>12</v>
      </c>
      <c r="Y3436" t="s">
        <v>49</v>
      </c>
      <c r="AA3436" t="s">
        <v>40</v>
      </c>
      <c r="AB3436">
        <v>1</v>
      </c>
      <c r="AC3436" t="s">
        <v>41</v>
      </c>
      <c r="AD3436" t="s">
        <v>70</v>
      </c>
      <c r="AE3436" t="s">
        <v>43</v>
      </c>
      <c r="AF3436" t="s">
        <v>47</v>
      </c>
      <c r="AG3436" t="str">
        <f t="shared" si="67"/>
        <v>À Vista</v>
      </c>
      <c r="AH3436" t="str">
        <f t="shared" si="68"/>
        <v/>
      </c>
    </row>
    <row r="3437" spans="1:34">
      <c r="A3437">
        <v>2026</v>
      </c>
      <c r="B3437">
        <v>4</v>
      </c>
      <c r="C3437" s="83">
        <v>195587309837</v>
      </c>
      <c r="D3437" t="s">
        <v>3023</v>
      </c>
      <c r="E3437">
        <v>59777665303</v>
      </c>
      <c r="F3437">
        <v>637453</v>
      </c>
      <c r="G3437">
        <v>54878854418</v>
      </c>
      <c r="H3437" t="s">
        <v>35</v>
      </c>
      <c r="I3437" s="36">
        <v>259.5</v>
      </c>
      <c r="J3437" s="36">
        <v>3114</v>
      </c>
      <c r="K3437" s="85">
        <v>0</v>
      </c>
      <c r="L3437" s="36">
        <v>259.5</v>
      </c>
      <c r="M3437" s="36">
        <v>259.5</v>
      </c>
      <c r="N3437" s="36">
        <v>0</v>
      </c>
      <c r="O3437" s="36">
        <v>0</v>
      </c>
      <c r="P3437" t="s">
        <v>511</v>
      </c>
      <c r="Q3437" t="s">
        <v>300</v>
      </c>
      <c r="R3437" t="s">
        <v>300</v>
      </c>
      <c r="S3437" s="1">
        <v>46141</v>
      </c>
      <c r="T3437" s="1">
        <v>46141</v>
      </c>
      <c r="U3437" s="1"/>
      <c r="V3437" s="1"/>
      <c r="W3437" t="s">
        <v>2733</v>
      </c>
      <c r="Y3437" t="s">
        <v>49</v>
      </c>
      <c r="AA3437" t="s">
        <v>122</v>
      </c>
      <c r="AB3437">
        <v>1</v>
      </c>
      <c r="AC3437" t="s">
        <v>301</v>
      </c>
      <c r="AD3437" t="s">
        <v>2734</v>
      </c>
      <c r="AE3437" t="s">
        <v>106</v>
      </c>
      <c r="AF3437" t="s">
        <v>59</v>
      </c>
      <c r="AG3437" t="str">
        <f t="shared" si="67"/>
        <v>Recorrente</v>
      </c>
      <c r="AH3437" t="str">
        <f t="shared" si="68"/>
        <v/>
      </c>
    </row>
    <row r="3438" spans="1:34">
      <c r="A3438">
        <v>2026</v>
      </c>
      <c r="B3438">
        <v>4</v>
      </c>
      <c r="C3438" s="83">
        <v>196244184429</v>
      </c>
      <c r="D3438" t="s">
        <v>3024</v>
      </c>
      <c r="E3438">
        <v>59308518698</v>
      </c>
      <c r="F3438">
        <v>637190</v>
      </c>
      <c r="G3438">
        <v>54379572533</v>
      </c>
      <c r="H3438" t="s">
        <v>35</v>
      </c>
      <c r="I3438" s="36">
        <v>259.5</v>
      </c>
      <c r="J3438" s="36">
        <v>3114</v>
      </c>
      <c r="K3438" s="85">
        <v>0</v>
      </c>
      <c r="L3438" s="36">
        <v>259.5</v>
      </c>
      <c r="M3438" s="36">
        <v>259.5</v>
      </c>
      <c r="N3438" s="36">
        <v>0</v>
      </c>
      <c r="O3438" s="36">
        <v>0</v>
      </c>
      <c r="P3438" t="s">
        <v>2004</v>
      </c>
      <c r="Q3438" t="s">
        <v>300</v>
      </c>
      <c r="R3438" t="s">
        <v>300</v>
      </c>
      <c r="S3438" s="1">
        <v>46129</v>
      </c>
      <c r="T3438" s="1">
        <v>46129</v>
      </c>
      <c r="V3438" s="1"/>
      <c r="W3438" t="s">
        <v>2733</v>
      </c>
      <c r="Y3438" t="s">
        <v>49</v>
      </c>
      <c r="AA3438" t="s">
        <v>122</v>
      </c>
      <c r="AB3438">
        <v>1</v>
      </c>
      <c r="AC3438" t="s">
        <v>301</v>
      </c>
      <c r="AD3438" t="s">
        <v>2734</v>
      </c>
      <c r="AE3438" t="s">
        <v>106</v>
      </c>
      <c r="AF3438" t="s">
        <v>59</v>
      </c>
      <c r="AG3438" t="str">
        <f t="shared" si="67"/>
        <v>Recorrente</v>
      </c>
      <c r="AH3438" t="str">
        <f t="shared" si="68"/>
        <v/>
      </c>
    </row>
    <row r="3439" spans="1:34">
      <c r="A3439">
        <v>2026</v>
      </c>
      <c r="B3439">
        <v>4</v>
      </c>
      <c r="C3439" s="83">
        <v>19653547654</v>
      </c>
      <c r="D3439" t="s">
        <v>3025</v>
      </c>
      <c r="E3439">
        <v>58004728956</v>
      </c>
      <c r="F3439">
        <v>532814</v>
      </c>
      <c r="G3439">
        <v>54149718336</v>
      </c>
      <c r="H3439" t="s">
        <v>35</v>
      </c>
      <c r="I3439" s="36">
        <v>4459.0200000000004</v>
      </c>
      <c r="J3439" s="36">
        <v>4459.0200000000004</v>
      </c>
      <c r="K3439" s="85">
        <v>0</v>
      </c>
      <c r="L3439" s="36">
        <v>371.58499999999998</v>
      </c>
      <c r="M3439" s="36">
        <v>0</v>
      </c>
      <c r="N3439" s="36">
        <v>14.5875</v>
      </c>
      <c r="O3439" s="36">
        <v>357</v>
      </c>
      <c r="P3439" t="s">
        <v>133</v>
      </c>
      <c r="Q3439" t="s">
        <v>111</v>
      </c>
      <c r="R3439" t="s">
        <v>111</v>
      </c>
      <c r="S3439" s="1">
        <v>46127</v>
      </c>
      <c r="T3439" s="1">
        <v>46127</v>
      </c>
      <c r="U3439" s="1">
        <v>46125</v>
      </c>
      <c r="V3439" s="1">
        <v>46492</v>
      </c>
      <c r="W3439" t="s">
        <v>38</v>
      </c>
      <c r="X3439">
        <v>12</v>
      </c>
      <c r="Y3439" t="s">
        <v>49</v>
      </c>
      <c r="Z3439" t="s">
        <v>81</v>
      </c>
      <c r="AA3439" t="s">
        <v>122</v>
      </c>
      <c r="AB3439">
        <v>12</v>
      </c>
      <c r="AC3439" t="s">
        <v>113</v>
      </c>
      <c r="AD3439" t="s">
        <v>84</v>
      </c>
      <c r="AE3439" t="s">
        <v>43</v>
      </c>
      <c r="AF3439" t="s">
        <v>44</v>
      </c>
      <c r="AG3439" t="str">
        <f t="shared" si="67"/>
        <v>Recorrente</v>
      </c>
      <c r="AH3439" t="str">
        <f t="shared" si="68"/>
        <v/>
      </c>
    </row>
    <row r="3440" spans="1:34">
      <c r="A3440">
        <v>2026</v>
      </c>
      <c r="B3440">
        <v>4</v>
      </c>
      <c r="C3440" s="83">
        <v>19653547654</v>
      </c>
      <c r="D3440" t="s">
        <v>3025</v>
      </c>
      <c r="E3440">
        <v>58004728956</v>
      </c>
      <c r="F3440">
        <v>532814</v>
      </c>
      <c r="G3440">
        <v>54149718337</v>
      </c>
      <c r="H3440" t="s">
        <v>35</v>
      </c>
      <c r="I3440" s="36">
        <v>4459.0200000000004</v>
      </c>
      <c r="J3440" s="36">
        <v>4459.0200000000004</v>
      </c>
      <c r="K3440" s="85">
        <v>0</v>
      </c>
      <c r="L3440" s="36">
        <v>371.58499999999998</v>
      </c>
      <c r="M3440" s="36">
        <v>0</v>
      </c>
      <c r="N3440" s="36">
        <v>14.5875</v>
      </c>
      <c r="O3440" s="36">
        <v>357</v>
      </c>
      <c r="P3440" t="s">
        <v>133</v>
      </c>
      <c r="Q3440" t="s">
        <v>111</v>
      </c>
      <c r="R3440" t="s">
        <v>111</v>
      </c>
      <c r="S3440" s="1">
        <v>46127</v>
      </c>
      <c r="T3440" s="1">
        <v>46127</v>
      </c>
      <c r="U3440" s="1">
        <v>46125</v>
      </c>
      <c r="V3440" s="1">
        <v>46492</v>
      </c>
      <c r="W3440" t="s">
        <v>38</v>
      </c>
      <c r="X3440">
        <v>12</v>
      </c>
      <c r="Y3440" t="s">
        <v>49</v>
      </c>
      <c r="Z3440" t="s">
        <v>81</v>
      </c>
      <c r="AA3440" t="s">
        <v>122</v>
      </c>
      <c r="AB3440">
        <v>12</v>
      </c>
      <c r="AC3440" t="s">
        <v>113</v>
      </c>
      <c r="AD3440" t="s">
        <v>85</v>
      </c>
      <c r="AE3440" t="s">
        <v>46</v>
      </c>
      <c r="AF3440" t="s">
        <v>44</v>
      </c>
      <c r="AG3440" t="str">
        <f t="shared" si="67"/>
        <v>Recorrente</v>
      </c>
      <c r="AH3440" t="str">
        <f t="shared" si="68"/>
        <v/>
      </c>
    </row>
    <row r="3441" spans="1:34">
      <c r="A3441">
        <v>2026</v>
      </c>
      <c r="B3441">
        <v>4</v>
      </c>
      <c r="C3441" s="83">
        <v>19653558933</v>
      </c>
      <c r="D3441" t="s">
        <v>3026</v>
      </c>
      <c r="E3441">
        <v>58382974318</v>
      </c>
      <c r="F3441">
        <v>611983</v>
      </c>
      <c r="G3441">
        <v>53666811821</v>
      </c>
      <c r="H3441" t="s">
        <v>35</v>
      </c>
      <c r="I3441" s="36">
        <v>4782.24</v>
      </c>
      <c r="J3441" s="36">
        <v>4782.24</v>
      </c>
      <c r="K3441" s="85">
        <v>0</v>
      </c>
      <c r="L3441" s="36">
        <v>398.52</v>
      </c>
      <c r="M3441" s="36">
        <v>0</v>
      </c>
      <c r="N3441" s="36">
        <v>30.875</v>
      </c>
      <c r="O3441" s="36">
        <v>367.65</v>
      </c>
      <c r="P3441" t="s">
        <v>121</v>
      </c>
      <c r="Q3441" t="s">
        <v>111</v>
      </c>
      <c r="R3441" t="s">
        <v>111</v>
      </c>
      <c r="S3441" s="1">
        <v>46113</v>
      </c>
      <c r="T3441" s="1">
        <v>46113</v>
      </c>
      <c r="U3441" s="1">
        <v>46108</v>
      </c>
      <c r="V3441" s="1">
        <v>46478</v>
      </c>
      <c r="W3441" t="s">
        <v>38</v>
      </c>
      <c r="X3441">
        <v>13</v>
      </c>
      <c r="Y3441" t="s">
        <v>49</v>
      </c>
      <c r="Z3441" t="s">
        <v>81</v>
      </c>
      <c r="AA3441" t="s">
        <v>122</v>
      </c>
      <c r="AB3441">
        <v>12</v>
      </c>
      <c r="AC3441" t="s">
        <v>113</v>
      </c>
      <c r="AD3441" t="s">
        <v>84</v>
      </c>
      <c r="AE3441" t="s">
        <v>43</v>
      </c>
      <c r="AF3441" t="s">
        <v>44</v>
      </c>
      <c r="AG3441" t="str">
        <f t="shared" si="67"/>
        <v>Recorrente</v>
      </c>
      <c r="AH3441" t="str">
        <f t="shared" si="68"/>
        <v/>
      </c>
    </row>
    <row r="3442" spans="1:34">
      <c r="A3442">
        <v>2026</v>
      </c>
      <c r="B3442">
        <v>4</v>
      </c>
      <c r="C3442" s="83">
        <v>19653579686</v>
      </c>
      <c r="D3442" t="s">
        <v>173</v>
      </c>
      <c r="E3442">
        <v>58553207371</v>
      </c>
      <c r="F3442">
        <v>532418</v>
      </c>
      <c r="G3442">
        <v>54567788184</v>
      </c>
      <c r="H3442" t="s">
        <v>35</v>
      </c>
      <c r="I3442" s="36">
        <v>5718.6</v>
      </c>
      <c r="J3442" s="36">
        <v>5718.6</v>
      </c>
      <c r="K3442" s="85">
        <v>0</v>
      </c>
      <c r="L3442" s="36">
        <v>476.55</v>
      </c>
      <c r="M3442" s="36">
        <v>0</v>
      </c>
      <c r="N3442" s="36">
        <v>0</v>
      </c>
      <c r="O3442" s="36">
        <v>476.55</v>
      </c>
      <c r="P3442" t="s">
        <v>162</v>
      </c>
      <c r="Q3442" t="s">
        <v>111</v>
      </c>
      <c r="R3442" t="s">
        <v>111</v>
      </c>
      <c r="S3442" s="1">
        <v>46136</v>
      </c>
      <c r="T3442" s="1">
        <v>46136</v>
      </c>
      <c r="U3442" s="1">
        <v>46122</v>
      </c>
      <c r="V3442" s="1">
        <v>46501</v>
      </c>
      <c r="W3442" t="s">
        <v>38</v>
      </c>
      <c r="X3442">
        <v>12</v>
      </c>
      <c r="Y3442" t="s">
        <v>49</v>
      </c>
      <c r="Z3442" t="s">
        <v>81</v>
      </c>
      <c r="AA3442" t="s">
        <v>112</v>
      </c>
      <c r="AB3442">
        <v>12</v>
      </c>
      <c r="AC3442" t="s">
        <v>113</v>
      </c>
      <c r="AD3442" t="s">
        <v>174</v>
      </c>
      <c r="AE3442" t="s">
        <v>43</v>
      </c>
      <c r="AF3442" t="s">
        <v>47</v>
      </c>
      <c r="AG3442" t="str">
        <f t="shared" si="67"/>
        <v>CC 12x</v>
      </c>
      <c r="AH3442" t="str">
        <f t="shared" si="68"/>
        <v/>
      </c>
    </row>
    <row r="3443" spans="1:34">
      <c r="A3443">
        <v>2026</v>
      </c>
      <c r="B3443">
        <v>4</v>
      </c>
      <c r="C3443" s="83">
        <v>19699370073</v>
      </c>
      <c r="D3443" t="s">
        <v>3027</v>
      </c>
      <c r="E3443">
        <v>58103118111</v>
      </c>
      <c r="F3443">
        <v>533093</v>
      </c>
      <c r="G3443">
        <v>54269268136</v>
      </c>
      <c r="H3443" t="s">
        <v>35</v>
      </c>
      <c r="I3443" s="36">
        <v>5178.6000000000004</v>
      </c>
      <c r="J3443" s="36">
        <v>5178.6000000000004</v>
      </c>
      <c r="K3443" s="85">
        <v>0</v>
      </c>
      <c r="L3443" s="36">
        <v>431.55</v>
      </c>
      <c r="M3443" s="36">
        <v>0</v>
      </c>
      <c r="N3443" s="36">
        <v>0</v>
      </c>
      <c r="O3443" s="36">
        <v>431.55</v>
      </c>
      <c r="P3443" t="s">
        <v>121</v>
      </c>
      <c r="Q3443" t="s">
        <v>111</v>
      </c>
      <c r="R3443" t="s">
        <v>111</v>
      </c>
      <c r="S3443" s="1">
        <v>46125</v>
      </c>
      <c r="T3443" s="1">
        <v>46125</v>
      </c>
      <c r="U3443" s="1">
        <v>46129</v>
      </c>
      <c r="V3443" s="1">
        <v>46494</v>
      </c>
      <c r="W3443" t="s">
        <v>38</v>
      </c>
      <c r="X3443">
        <v>12</v>
      </c>
      <c r="Y3443" t="s">
        <v>49</v>
      </c>
      <c r="Z3443" t="s">
        <v>76</v>
      </c>
      <c r="AA3443" t="s">
        <v>112</v>
      </c>
      <c r="AB3443">
        <v>12</v>
      </c>
      <c r="AC3443" t="s">
        <v>113</v>
      </c>
      <c r="AD3443" t="s">
        <v>85</v>
      </c>
      <c r="AE3443" t="s">
        <v>46</v>
      </c>
      <c r="AF3443" t="s">
        <v>44</v>
      </c>
      <c r="AG3443" t="str">
        <f t="shared" si="67"/>
        <v>CC 12x</v>
      </c>
      <c r="AH3443" t="str">
        <f t="shared" si="68"/>
        <v/>
      </c>
    </row>
    <row r="3444" spans="1:34">
      <c r="A3444">
        <v>2026</v>
      </c>
      <c r="B3444">
        <v>4</v>
      </c>
      <c r="C3444" s="83">
        <v>19699717006</v>
      </c>
      <c r="D3444" t="s">
        <v>3028</v>
      </c>
      <c r="E3444">
        <v>56662794127</v>
      </c>
      <c r="F3444">
        <v>529766</v>
      </c>
      <c r="G3444">
        <v>52295162962</v>
      </c>
      <c r="H3444" t="s">
        <v>35</v>
      </c>
      <c r="I3444" s="36">
        <v>5754</v>
      </c>
      <c r="J3444" s="36">
        <v>5754</v>
      </c>
      <c r="K3444" s="85">
        <v>0</v>
      </c>
      <c r="L3444" s="36">
        <v>479.5</v>
      </c>
      <c r="M3444" s="36">
        <v>0</v>
      </c>
      <c r="N3444" s="36">
        <v>117.1</v>
      </c>
      <c r="O3444" s="36">
        <v>362.4</v>
      </c>
      <c r="P3444" t="s">
        <v>165</v>
      </c>
      <c r="Q3444" t="s">
        <v>166</v>
      </c>
      <c r="R3444" t="s">
        <v>166</v>
      </c>
      <c r="S3444" s="1">
        <v>46118</v>
      </c>
      <c r="T3444" s="1">
        <v>46118</v>
      </c>
      <c r="U3444" s="1">
        <v>46118</v>
      </c>
      <c r="V3444" s="1">
        <v>46483</v>
      </c>
      <c r="W3444" t="s">
        <v>38</v>
      </c>
      <c r="X3444">
        <v>12</v>
      </c>
      <c r="Y3444" t="s">
        <v>49</v>
      </c>
      <c r="Z3444" t="s">
        <v>81</v>
      </c>
      <c r="AA3444" t="s">
        <v>112</v>
      </c>
      <c r="AB3444">
        <v>12</v>
      </c>
      <c r="AC3444" t="s">
        <v>166</v>
      </c>
      <c r="AD3444" t="s">
        <v>85</v>
      </c>
      <c r="AE3444" t="s">
        <v>46</v>
      </c>
      <c r="AF3444" t="s">
        <v>44</v>
      </c>
      <c r="AG3444" t="str">
        <f t="shared" si="67"/>
        <v>CC 12x</v>
      </c>
      <c r="AH3444" t="str">
        <f t="shared" si="68"/>
        <v/>
      </c>
    </row>
    <row r="3445" spans="1:34">
      <c r="A3445">
        <v>2026</v>
      </c>
      <c r="B3445">
        <v>4</v>
      </c>
      <c r="C3445" s="83">
        <v>19699728190</v>
      </c>
      <c r="D3445" t="s">
        <v>1255</v>
      </c>
      <c r="E3445">
        <v>59086436363</v>
      </c>
      <c r="F3445">
        <v>637022</v>
      </c>
      <c r="G3445">
        <v>54150164082</v>
      </c>
      <c r="H3445" t="s">
        <v>35</v>
      </c>
      <c r="I3445" s="36">
        <v>927.72</v>
      </c>
      <c r="J3445" s="36">
        <v>927.76800000000003</v>
      </c>
      <c r="K3445" s="85">
        <v>0</v>
      </c>
      <c r="L3445" s="36">
        <v>77.313999999999993</v>
      </c>
      <c r="M3445" s="36">
        <v>0</v>
      </c>
      <c r="N3445" s="36">
        <v>77.313999999999993</v>
      </c>
      <c r="O3445" s="36">
        <v>0</v>
      </c>
      <c r="P3445" t="s">
        <v>367</v>
      </c>
      <c r="Q3445" t="s">
        <v>191</v>
      </c>
      <c r="R3445" t="s">
        <v>191</v>
      </c>
      <c r="S3445" s="1">
        <v>46122</v>
      </c>
      <c r="T3445" s="1">
        <v>46122</v>
      </c>
      <c r="U3445" s="1"/>
      <c r="V3445" s="1">
        <v>46487</v>
      </c>
      <c r="W3445" t="s">
        <v>38</v>
      </c>
      <c r="X3445">
        <v>12</v>
      </c>
      <c r="Y3445" t="s">
        <v>49</v>
      </c>
      <c r="AA3445" t="s">
        <v>92</v>
      </c>
      <c r="AB3445">
        <v>12</v>
      </c>
      <c r="AC3445" t="s">
        <v>192</v>
      </c>
      <c r="AD3445" t="s">
        <v>368</v>
      </c>
      <c r="AE3445" t="s">
        <v>95</v>
      </c>
      <c r="AF3445" t="s">
        <v>59</v>
      </c>
      <c r="AG3445" t="str">
        <f t="shared" si="67"/>
        <v>Recorrente</v>
      </c>
      <c r="AH3445" t="str">
        <f t="shared" si="68"/>
        <v/>
      </c>
    </row>
    <row r="3446" spans="1:34">
      <c r="A3446">
        <v>2026</v>
      </c>
      <c r="B3446">
        <v>4</v>
      </c>
      <c r="C3446" s="83">
        <v>19699728190</v>
      </c>
      <c r="D3446" t="s">
        <v>1255</v>
      </c>
      <c r="E3446">
        <v>59086436363</v>
      </c>
      <c r="F3446">
        <v>637022</v>
      </c>
      <c r="G3446">
        <v>54150164083</v>
      </c>
      <c r="H3446" t="s">
        <v>35</v>
      </c>
      <c r="I3446" s="36">
        <v>7218.84</v>
      </c>
      <c r="J3446" s="36">
        <v>7218.84</v>
      </c>
      <c r="K3446" s="85">
        <v>9.0949500000000005E-13</v>
      </c>
      <c r="L3446" s="36">
        <v>601.57000000000005</v>
      </c>
      <c r="M3446" s="36">
        <v>0</v>
      </c>
      <c r="N3446" s="36">
        <v>601.57000000000005</v>
      </c>
      <c r="O3446" s="36">
        <v>0</v>
      </c>
      <c r="P3446" t="s">
        <v>367</v>
      </c>
      <c r="Q3446" t="s">
        <v>191</v>
      </c>
      <c r="R3446" t="s">
        <v>191</v>
      </c>
      <c r="S3446" s="1">
        <v>46122</v>
      </c>
      <c r="T3446" s="1">
        <v>46122</v>
      </c>
      <c r="U3446" s="1"/>
      <c r="V3446" s="1">
        <v>46487</v>
      </c>
      <c r="W3446" t="s">
        <v>38</v>
      </c>
      <c r="X3446">
        <v>12</v>
      </c>
      <c r="Y3446" t="s">
        <v>49</v>
      </c>
      <c r="AA3446" t="s">
        <v>92</v>
      </c>
      <c r="AB3446">
        <v>12</v>
      </c>
      <c r="AC3446" t="s">
        <v>192</v>
      </c>
      <c r="AD3446" t="s">
        <v>94</v>
      </c>
      <c r="AE3446" t="s">
        <v>95</v>
      </c>
      <c r="AF3446" t="s">
        <v>96</v>
      </c>
      <c r="AG3446" t="str">
        <f t="shared" si="67"/>
        <v>Recorrente</v>
      </c>
      <c r="AH3446" t="str">
        <f t="shared" si="68"/>
        <v/>
      </c>
    </row>
    <row r="3447" spans="1:34">
      <c r="A3447">
        <v>2026</v>
      </c>
      <c r="B3447">
        <v>4</v>
      </c>
      <c r="C3447" s="83">
        <v>197110312267</v>
      </c>
      <c r="D3447" t="s">
        <v>3029</v>
      </c>
      <c r="E3447">
        <v>59146406008</v>
      </c>
      <c r="F3447">
        <v>637055</v>
      </c>
      <c r="G3447">
        <v>54233267554</v>
      </c>
      <c r="H3447" t="s">
        <v>104</v>
      </c>
      <c r="I3447" s="36">
        <v>1078.8</v>
      </c>
      <c r="J3447" s="36">
        <v>1078.8</v>
      </c>
      <c r="K3447" s="85">
        <v>0</v>
      </c>
      <c r="L3447" s="36">
        <v>89.9</v>
      </c>
      <c r="M3447" s="36">
        <v>89.9</v>
      </c>
      <c r="N3447" s="36">
        <v>0</v>
      </c>
      <c r="O3447" s="36">
        <v>0</v>
      </c>
      <c r="P3447" t="s">
        <v>497</v>
      </c>
      <c r="Q3447" t="s">
        <v>498</v>
      </c>
      <c r="R3447" t="s">
        <v>498</v>
      </c>
      <c r="S3447" s="1">
        <v>46125</v>
      </c>
      <c r="T3447" s="1">
        <v>46125</v>
      </c>
      <c r="U3447" s="1"/>
      <c r="V3447" s="1">
        <v>46490</v>
      </c>
      <c r="W3447" t="s">
        <v>38</v>
      </c>
      <c r="X3447">
        <v>12</v>
      </c>
      <c r="Y3447" t="s">
        <v>49</v>
      </c>
      <c r="AA3447" t="s">
        <v>117</v>
      </c>
      <c r="AB3447">
        <v>1</v>
      </c>
      <c r="AC3447" t="s">
        <v>499</v>
      </c>
      <c r="AD3447" t="s">
        <v>699</v>
      </c>
      <c r="AE3447" t="s">
        <v>106</v>
      </c>
      <c r="AF3447" t="s">
        <v>59</v>
      </c>
      <c r="AG3447" t="str">
        <f t="shared" si="67"/>
        <v>À Vista</v>
      </c>
      <c r="AH3447" t="str">
        <f t="shared" si="68"/>
        <v/>
      </c>
    </row>
    <row r="3448" spans="1:34">
      <c r="A3448">
        <v>2026</v>
      </c>
      <c r="B3448">
        <v>4</v>
      </c>
      <c r="C3448" s="83">
        <v>197110312267</v>
      </c>
      <c r="D3448" t="s">
        <v>3029</v>
      </c>
      <c r="E3448">
        <v>59239487296</v>
      </c>
      <c r="F3448">
        <v>637163</v>
      </c>
      <c r="G3448">
        <v>54332935024</v>
      </c>
      <c r="H3448" t="s">
        <v>104</v>
      </c>
      <c r="I3448" s="36">
        <v>718.8</v>
      </c>
      <c r="J3448" s="36">
        <v>718.8</v>
      </c>
      <c r="K3448" s="85">
        <v>0</v>
      </c>
      <c r="L3448" s="36">
        <v>59.9</v>
      </c>
      <c r="M3448" s="36">
        <v>59.9</v>
      </c>
      <c r="N3448" s="36">
        <v>0</v>
      </c>
      <c r="O3448" s="36">
        <v>0</v>
      </c>
      <c r="P3448" t="s">
        <v>497</v>
      </c>
      <c r="Q3448" t="s">
        <v>498</v>
      </c>
      <c r="R3448" t="s">
        <v>498</v>
      </c>
      <c r="S3448" s="1">
        <v>46129</v>
      </c>
      <c r="T3448" s="1">
        <v>46129</v>
      </c>
      <c r="U3448" s="1"/>
      <c r="V3448" s="1">
        <v>46494</v>
      </c>
      <c r="W3448" t="s">
        <v>38</v>
      </c>
      <c r="X3448">
        <v>12</v>
      </c>
      <c r="Y3448" t="s">
        <v>49</v>
      </c>
      <c r="AA3448" t="s">
        <v>117</v>
      </c>
      <c r="AB3448">
        <v>1</v>
      </c>
      <c r="AC3448" t="s">
        <v>499</v>
      </c>
      <c r="AD3448" t="s">
        <v>105</v>
      </c>
      <c r="AE3448" t="s">
        <v>106</v>
      </c>
      <c r="AF3448" t="s">
        <v>59</v>
      </c>
      <c r="AG3448" t="str">
        <f t="shared" si="67"/>
        <v>À Vista</v>
      </c>
      <c r="AH3448" t="str">
        <f t="shared" si="68"/>
        <v/>
      </c>
    </row>
    <row r="3449" spans="1:34">
      <c r="A3449">
        <v>2026</v>
      </c>
      <c r="B3449">
        <v>4</v>
      </c>
      <c r="C3449" s="83">
        <v>19732483423</v>
      </c>
      <c r="D3449" t="s">
        <v>3030</v>
      </c>
      <c r="E3449">
        <v>44737076275</v>
      </c>
      <c r="F3449">
        <v>530845</v>
      </c>
      <c r="G3449">
        <v>53858411056</v>
      </c>
      <c r="H3449" t="s">
        <v>35</v>
      </c>
      <c r="I3449" s="36">
        <v>5772</v>
      </c>
      <c r="J3449" s="36">
        <v>5772</v>
      </c>
      <c r="K3449" s="85">
        <v>0</v>
      </c>
      <c r="L3449" s="36">
        <v>481</v>
      </c>
      <c r="M3449" s="36">
        <v>0</v>
      </c>
      <c r="N3449" s="36">
        <v>28</v>
      </c>
      <c r="O3449" s="36">
        <v>453</v>
      </c>
      <c r="P3449" t="s">
        <v>1165</v>
      </c>
      <c r="Q3449" t="s">
        <v>79</v>
      </c>
      <c r="R3449" t="s">
        <v>79</v>
      </c>
      <c r="S3449" s="1">
        <v>46114</v>
      </c>
      <c r="T3449" s="1">
        <v>46114</v>
      </c>
      <c r="U3449" s="1">
        <v>46108</v>
      </c>
      <c r="V3449" s="1">
        <v>46479</v>
      </c>
      <c r="W3449" t="s">
        <v>38</v>
      </c>
      <c r="X3449">
        <v>13</v>
      </c>
      <c r="Y3449" t="s">
        <v>49</v>
      </c>
      <c r="Z3449" t="s">
        <v>76</v>
      </c>
      <c r="AA3449" t="s">
        <v>82</v>
      </c>
      <c r="AB3449">
        <v>1</v>
      </c>
      <c r="AC3449" t="s">
        <v>83</v>
      </c>
      <c r="AD3449" t="s">
        <v>54</v>
      </c>
      <c r="AE3449" t="s">
        <v>46</v>
      </c>
      <c r="AF3449" t="s">
        <v>44</v>
      </c>
      <c r="AG3449" t="str">
        <f t="shared" si="67"/>
        <v>À Vista</v>
      </c>
      <c r="AH3449" t="str">
        <f t="shared" si="68"/>
        <v/>
      </c>
    </row>
    <row r="3450" spans="1:34">
      <c r="A3450">
        <v>2026</v>
      </c>
      <c r="B3450">
        <v>4</v>
      </c>
      <c r="C3450" s="83">
        <v>19732527243</v>
      </c>
      <c r="D3450" t="s">
        <v>3031</v>
      </c>
      <c r="E3450">
        <v>57019690610</v>
      </c>
      <c r="F3450">
        <v>532422</v>
      </c>
      <c r="G3450">
        <v>54205214323</v>
      </c>
      <c r="H3450" t="s">
        <v>35</v>
      </c>
      <c r="I3450" s="36">
        <v>4896.24</v>
      </c>
      <c r="J3450" s="36">
        <v>4896.24</v>
      </c>
      <c r="K3450" s="85">
        <v>0</v>
      </c>
      <c r="L3450" s="36">
        <v>408.02</v>
      </c>
      <c r="M3450" s="36">
        <v>0</v>
      </c>
      <c r="N3450" s="36">
        <v>0</v>
      </c>
      <c r="O3450" s="36">
        <v>408.02499999999998</v>
      </c>
      <c r="P3450" t="s">
        <v>162</v>
      </c>
      <c r="Q3450" t="s">
        <v>111</v>
      </c>
      <c r="R3450" t="s">
        <v>111</v>
      </c>
      <c r="S3450" s="1">
        <v>46127</v>
      </c>
      <c r="T3450" s="1">
        <v>46127</v>
      </c>
      <c r="U3450" s="1">
        <v>46123</v>
      </c>
      <c r="V3450" s="1">
        <v>46490</v>
      </c>
      <c r="W3450" t="s">
        <v>38</v>
      </c>
      <c r="X3450">
        <v>12</v>
      </c>
      <c r="Y3450" t="s">
        <v>49</v>
      </c>
      <c r="Z3450" t="s">
        <v>81</v>
      </c>
      <c r="AA3450" t="s">
        <v>122</v>
      </c>
      <c r="AB3450">
        <v>12</v>
      </c>
      <c r="AC3450" t="s">
        <v>113</v>
      </c>
      <c r="AD3450" t="s">
        <v>163</v>
      </c>
      <c r="AE3450" t="s">
        <v>43</v>
      </c>
      <c r="AF3450" t="s">
        <v>96</v>
      </c>
      <c r="AG3450" t="str">
        <f t="shared" si="67"/>
        <v>Recorrente</v>
      </c>
      <c r="AH3450" t="str">
        <f t="shared" si="68"/>
        <v/>
      </c>
    </row>
    <row r="3451" spans="1:34">
      <c r="A3451">
        <v>2026</v>
      </c>
      <c r="B3451">
        <v>4</v>
      </c>
      <c r="C3451" s="83">
        <v>19733515383</v>
      </c>
      <c r="D3451" t="s">
        <v>3032</v>
      </c>
      <c r="E3451">
        <v>57558794813</v>
      </c>
      <c r="F3451">
        <v>312277</v>
      </c>
      <c r="G3451">
        <v>53812339572</v>
      </c>
      <c r="H3451" t="s">
        <v>35</v>
      </c>
      <c r="I3451" s="36">
        <v>5561.4</v>
      </c>
      <c r="J3451" s="36">
        <v>5561.4</v>
      </c>
      <c r="K3451" s="85">
        <v>0</v>
      </c>
      <c r="L3451" s="36">
        <v>463.45</v>
      </c>
      <c r="M3451" s="36">
        <v>0</v>
      </c>
      <c r="N3451" s="36">
        <v>0</v>
      </c>
      <c r="O3451" s="36">
        <v>463.45</v>
      </c>
      <c r="P3451" t="s">
        <v>127</v>
      </c>
      <c r="Q3451" t="s">
        <v>111</v>
      </c>
      <c r="R3451" t="s">
        <v>111</v>
      </c>
      <c r="S3451" s="1">
        <v>46114</v>
      </c>
      <c r="T3451" s="1">
        <v>46114</v>
      </c>
      <c r="U3451" s="1">
        <v>46130</v>
      </c>
      <c r="V3451" s="1">
        <v>46495</v>
      </c>
      <c r="W3451" t="s">
        <v>38</v>
      </c>
      <c r="X3451">
        <v>12</v>
      </c>
      <c r="Y3451" t="s">
        <v>49</v>
      </c>
      <c r="Z3451" t="s">
        <v>81</v>
      </c>
      <c r="AA3451" t="s">
        <v>122</v>
      </c>
      <c r="AB3451">
        <v>12</v>
      </c>
      <c r="AC3451" t="s">
        <v>113</v>
      </c>
      <c r="AD3451" t="s">
        <v>149</v>
      </c>
      <c r="AE3451" t="s">
        <v>43</v>
      </c>
      <c r="AF3451" t="s">
        <v>96</v>
      </c>
      <c r="AG3451" t="str">
        <f t="shared" si="67"/>
        <v>Recorrente</v>
      </c>
      <c r="AH3451" t="str">
        <f t="shared" si="68"/>
        <v/>
      </c>
    </row>
    <row r="3452" spans="1:34">
      <c r="A3452">
        <v>2026</v>
      </c>
      <c r="B3452">
        <v>4</v>
      </c>
      <c r="C3452" s="83">
        <v>19733623202</v>
      </c>
      <c r="D3452" t="s">
        <v>3033</v>
      </c>
      <c r="E3452">
        <v>56958013749</v>
      </c>
      <c r="F3452">
        <v>613221</v>
      </c>
      <c r="G3452">
        <v>52307502700</v>
      </c>
      <c r="H3452" t="s">
        <v>35</v>
      </c>
      <c r="I3452" s="36">
        <v>5034</v>
      </c>
      <c r="J3452" s="36">
        <v>5034</v>
      </c>
      <c r="K3452" s="85">
        <v>0</v>
      </c>
      <c r="L3452" s="36">
        <v>419.5</v>
      </c>
      <c r="M3452" s="36">
        <v>0</v>
      </c>
      <c r="N3452" s="36">
        <v>107</v>
      </c>
      <c r="O3452" s="36">
        <v>312.5</v>
      </c>
      <c r="P3452" t="s">
        <v>165</v>
      </c>
      <c r="Q3452" t="s">
        <v>166</v>
      </c>
      <c r="R3452" t="s">
        <v>166</v>
      </c>
      <c r="S3452" s="1">
        <v>46122</v>
      </c>
      <c r="T3452" s="1">
        <v>46122</v>
      </c>
      <c r="U3452" s="1">
        <v>46122</v>
      </c>
      <c r="V3452" s="1">
        <v>46487</v>
      </c>
      <c r="W3452" t="s">
        <v>38</v>
      </c>
      <c r="X3452">
        <v>12</v>
      </c>
      <c r="Y3452" t="s">
        <v>49</v>
      </c>
      <c r="Z3452" t="s">
        <v>81</v>
      </c>
      <c r="AA3452" t="s">
        <v>112</v>
      </c>
      <c r="AB3452">
        <v>12</v>
      </c>
      <c r="AC3452" t="s">
        <v>166</v>
      </c>
      <c r="AD3452" t="s">
        <v>84</v>
      </c>
      <c r="AE3452" t="s">
        <v>43</v>
      </c>
      <c r="AF3452" t="s">
        <v>44</v>
      </c>
      <c r="AG3452" t="str">
        <f t="shared" si="67"/>
        <v>CC 12x</v>
      </c>
      <c r="AH3452" t="str">
        <f t="shared" si="68"/>
        <v/>
      </c>
    </row>
    <row r="3453" spans="1:34">
      <c r="A3453">
        <v>2026</v>
      </c>
      <c r="B3453">
        <v>4</v>
      </c>
      <c r="C3453" s="83">
        <v>198335431072</v>
      </c>
      <c r="D3453" t="s">
        <v>3034</v>
      </c>
      <c r="E3453">
        <v>58894505127</v>
      </c>
      <c r="F3453">
        <v>636905</v>
      </c>
      <c r="G3453">
        <v>54005087083</v>
      </c>
      <c r="H3453" t="s">
        <v>35</v>
      </c>
      <c r="I3453" s="36">
        <v>5034</v>
      </c>
      <c r="J3453" s="36">
        <v>5034</v>
      </c>
      <c r="K3453" s="85">
        <v>0</v>
      </c>
      <c r="L3453" s="36">
        <v>419.5</v>
      </c>
      <c r="M3453" s="36">
        <v>419.5</v>
      </c>
      <c r="N3453" s="36">
        <v>0</v>
      </c>
      <c r="O3453" s="36">
        <v>0</v>
      </c>
      <c r="P3453" t="s">
        <v>497</v>
      </c>
      <c r="Q3453" t="s">
        <v>498</v>
      </c>
      <c r="R3453" t="s">
        <v>498</v>
      </c>
      <c r="S3453" s="1">
        <v>46119</v>
      </c>
      <c r="T3453" s="1">
        <v>46119</v>
      </c>
      <c r="V3453" s="1">
        <v>46484</v>
      </c>
      <c r="W3453" t="s">
        <v>38</v>
      </c>
      <c r="X3453">
        <v>12</v>
      </c>
      <c r="Y3453" t="s">
        <v>49</v>
      </c>
      <c r="AA3453" t="s">
        <v>112</v>
      </c>
      <c r="AB3453">
        <v>12</v>
      </c>
      <c r="AC3453" t="s">
        <v>499</v>
      </c>
      <c r="AD3453" t="s">
        <v>84</v>
      </c>
      <c r="AE3453" t="s">
        <v>43</v>
      </c>
      <c r="AF3453" t="s">
        <v>44</v>
      </c>
      <c r="AG3453" t="str">
        <f t="shared" si="67"/>
        <v>CC 12x</v>
      </c>
      <c r="AH3453" t="str">
        <f t="shared" si="68"/>
        <v/>
      </c>
    </row>
    <row r="3454" spans="1:34">
      <c r="A3454">
        <v>2026</v>
      </c>
      <c r="B3454">
        <v>4</v>
      </c>
      <c r="C3454" s="83">
        <v>199393465857</v>
      </c>
      <c r="D3454" t="s">
        <v>3035</v>
      </c>
      <c r="E3454">
        <v>59166426904</v>
      </c>
      <c r="F3454">
        <v>325176</v>
      </c>
      <c r="G3454">
        <v>54295032505</v>
      </c>
      <c r="H3454" t="s">
        <v>35</v>
      </c>
      <c r="I3454" s="36">
        <v>4962.6000000000004</v>
      </c>
      <c r="J3454" s="36">
        <v>4962.6000000000004</v>
      </c>
      <c r="K3454" s="85">
        <v>0</v>
      </c>
      <c r="L3454" s="36">
        <v>413.55</v>
      </c>
      <c r="M3454" s="36">
        <v>0</v>
      </c>
      <c r="N3454" s="36">
        <v>0</v>
      </c>
      <c r="O3454" s="36">
        <v>413.55</v>
      </c>
      <c r="P3454" t="s">
        <v>133</v>
      </c>
      <c r="Q3454" t="s">
        <v>111</v>
      </c>
      <c r="R3454" t="s">
        <v>111</v>
      </c>
      <c r="S3454" s="1">
        <v>46128</v>
      </c>
      <c r="T3454" s="1">
        <v>46128</v>
      </c>
      <c r="U3454" s="1">
        <v>46126</v>
      </c>
      <c r="V3454" s="1">
        <v>46493</v>
      </c>
      <c r="W3454" t="s">
        <v>38</v>
      </c>
      <c r="X3454">
        <v>12</v>
      </c>
      <c r="Y3454" t="s">
        <v>49</v>
      </c>
      <c r="Z3454" t="s">
        <v>76</v>
      </c>
      <c r="AA3454" t="s">
        <v>122</v>
      </c>
      <c r="AB3454">
        <v>12</v>
      </c>
      <c r="AC3454" t="s">
        <v>113</v>
      </c>
      <c r="AD3454" t="s">
        <v>138</v>
      </c>
      <c r="AE3454" t="s">
        <v>135</v>
      </c>
      <c r="AF3454" t="s">
        <v>119</v>
      </c>
      <c r="AG3454" t="str">
        <f t="shared" si="67"/>
        <v>Recorrente</v>
      </c>
      <c r="AH3454" t="str">
        <f t="shared" si="68"/>
        <v/>
      </c>
    </row>
    <row r="3455" spans="1:34">
      <c r="A3455">
        <v>2026</v>
      </c>
      <c r="B3455">
        <v>4</v>
      </c>
      <c r="C3455" s="83">
        <v>199393465857</v>
      </c>
      <c r="D3455" t="s">
        <v>3035</v>
      </c>
      <c r="E3455">
        <v>59273259617</v>
      </c>
      <c r="F3455">
        <v>325176</v>
      </c>
      <c r="G3455">
        <v>54379369067</v>
      </c>
      <c r="H3455" t="s">
        <v>35</v>
      </c>
      <c r="I3455" s="36">
        <v>2052.6</v>
      </c>
      <c r="J3455" s="36">
        <v>2059.8000000000002</v>
      </c>
      <c r="K3455" s="85">
        <v>0</v>
      </c>
      <c r="L3455" s="36">
        <v>171.65</v>
      </c>
      <c r="M3455" s="36">
        <v>0</v>
      </c>
      <c r="N3455" s="36">
        <v>171.65</v>
      </c>
      <c r="O3455" s="36">
        <v>0</v>
      </c>
      <c r="P3455" t="s">
        <v>133</v>
      </c>
      <c r="Q3455" t="s">
        <v>111</v>
      </c>
      <c r="R3455" t="s">
        <v>111</v>
      </c>
      <c r="S3455" s="1">
        <v>46129</v>
      </c>
      <c r="T3455" s="1">
        <v>46129</v>
      </c>
      <c r="U3455" s="1">
        <v>46493</v>
      </c>
      <c r="V3455" s="1">
        <v>46493</v>
      </c>
      <c r="W3455" t="s">
        <v>38</v>
      </c>
      <c r="X3455">
        <v>12</v>
      </c>
      <c r="Y3455" t="s">
        <v>49</v>
      </c>
      <c r="Z3455" t="s">
        <v>324</v>
      </c>
      <c r="AA3455" t="s">
        <v>122</v>
      </c>
      <c r="AB3455">
        <v>11</v>
      </c>
      <c r="AC3455" t="s">
        <v>598</v>
      </c>
      <c r="AD3455" t="s">
        <v>134</v>
      </c>
      <c r="AE3455" t="s">
        <v>135</v>
      </c>
      <c r="AF3455" t="s">
        <v>44</v>
      </c>
      <c r="AG3455" t="str">
        <f t="shared" si="67"/>
        <v>Recorrente</v>
      </c>
      <c r="AH3455" t="str">
        <f t="shared" si="68"/>
        <v/>
      </c>
    </row>
    <row r="3456" spans="1:34">
      <c r="A3456">
        <v>2026</v>
      </c>
      <c r="B3456">
        <v>4</v>
      </c>
      <c r="C3456" s="83">
        <v>199724533080</v>
      </c>
      <c r="D3456" t="s">
        <v>3036</v>
      </c>
      <c r="E3456">
        <v>58196193455</v>
      </c>
      <c r="F3456">
        <v>637111</v>
      </c>
      <c r="G3456">
        <v>54295218055</v>
      </c>
      <c r="H3456" t="s">
        <v>35</v>
      </c>
      <c r="I3456" s="36">
        <v>3114</v>
      </c>
      <c r="J3456" s="36">
        <v>3114</v>
      </c>
      <c r="K3456" s="85">
        <v>0</v>
      </c>
      <c r="L3456" s="36">
        <v>259.5</v>
      </c>
      <c r="M3456" s="36">
        <v>259.5</v>
      </c>
      <c r="N3456" s="36">
        <v>0</v>
      </c>
      <c r="O3456" s="36">
        <v>0</v>
      </c>
      <c r="P3456" t="s">
        <v>506</v>
      </c>
      <c r="Q3456" t="s">
        <v>300</v>
      </c>
      <c r="R3456" t="s">
        <v>300</v>
      </c>
      <c r="S3456" s="1">
        <v>46127</v>
      </c>
      <c r="T3456" s="1">
        <v>46127</v>
      </c>
      <c r="U3456" s="1"/>
      <c r="V3456" s="1"/>
      <c r="W3456" t="s">
        <v>2733</v>
      </c>
      <c r="Y3456" t="s">
        <v>49</v>
      </c>
      <c r="AA3456" t="s">
        <v>122</v>
      </c>
      <c r="AB3456">
        <v>12</v>
      </c>
      <c r="AC3456" t="s">
        <v>301</v>
      </c>
      <c r="AD3456" t="s">
        <v>2734</v>
      </c>
      <c r="AE3456" t="s">
        <v>106</v>
      </c>
      <c r="AF3456" t="s">
        <v>59</v>
      </c>
      <c r="AG3456" t="str">
        <f t="shared" si="67"/>
        <v>Recorrente</v>
      </c>
      <c r="AH3456" t="str">
        <f t="shared" si="68"/>
        <v/>
      </c>
    </row>
    <row r="3457" spans="1:34">
      <c r="A3457">
        <v>2026</v>
      </c>
      <c r="B3457">
        <v>4</v>
      </c>
      <c r="C3457" s="83">
        <v>200363544662</v>
      </c>
      <c r="D3457" t="s">
        <v>3037</v>
      </c>
      <c r="E3457">
        <v>59841646445</v>
      </c>
      <c r="F3457">
        <v>637528</v>
      </c>
      <c r="G3457">
        <v>54917841585</v>
      </c>
      <c r="H3457" t="s">
        <v>35</v>
      </c>
      <c r="I3457" s="36">
        <v>2442.84</v>
      </c>
      <c r="J3457" s="36">
        <v>2442.9</v>
      </c>
      <c r="K3457" s="85">
        <v>0</v>
      </c>
      <c r="L3457" s="36">
        <v>203.57499999999999</v>
      </c>
      <c r="M3457" s="36">
        <v>203.57499999999999</v>
      </c>
      <c r="N3457" s="36">
        <v>0</v>
      </c>
      <c r="O3457" s="36">
        <v>0</v>
      </c>
      <c r="P3457" t="s">
        <v>829</v>
      </c>
      <c r="Q3457" t="s">
        <v>300</v>
      </c>
      <c r="R3457" t="s">
        <v>300</v>
      </c>
      <c r="S3457" s="1">
        <v>46142</v>
      </c>
      <c r="T3457" s="1">
        <v>46142</v>
      </c>
      <c r="U3457" s="1"/>
      <c r="V3457" s="1">
        <v>46507</v>
      </c>
      <c r="W3457" t="s">
        <v>38</v>
      </c>
      <c r="X3457">
        <v>12</v>
      </c>
      <c r="Y3457" t="s">
        <v>49</v>
      </c>
      <c r="AA3457" t="s">
        <v>112</v>
      </c>
      <c r="AB3457">
        <v>12</v>
      </c>
      <c r="AC3457" t="s">
        <v>301</v>
      </c>
      <c r="AD3457" t="s">
        <v>140</v>
      </c>
      <c r="AE3457" t="s">
        <v>46</v>
      </c>
      <c r="AF3457" t="s">
        <v>119</v>
      </c>
      <c r="AG3457" t="str">
        <f t="shared" ref="AG3457:AG3520" si="69">IF(IFERROR(SEARCH("Recorrente",AA3457),0)&gt;0,"Recorrente",IF(AB3457=1,"À Vista",IF(AB3457&lt;=3,"CC 3x",IF(AB3457&lt;=12,"CC 12x",IF(AB3457&gt;12,"Recorrente","")))))</f>
        <v>CC 12x</v>
      </c>
      <c r="AH3457" t="str">
        <f t="shared" ref="AH3457:AH3520" si="70">IF(AND(SUMIF(E:E,E3457,I:I)&gt;=400000,Q3457="B2G"),"n","")</f>
        <v/>
      </c>
    </row>
    <row r="3458" spans="1:34">
      <c r="A3458">
        <v>2026</v>
      </c>
      <c r="B3458">
        <v>4</v>
      </c>
      <c r="C3458" s="83">
        <v>200593255237</v>
      </c>
      <c r="D3458" t="s">
        <v>3038</v>
      </c>
      <c r="E3458">
        <v>59102005505</v>
      </c>
      <c r="F3458">
        <v>637062</v>
      </c>
      <c r="G3458">
        <v>54150085236</v>
      </c>
      <c r="H3458" t="s">
        <v>35</v>
      </c>
      <c r="I3458" s="36">
        <v>2439.96</v>
      </c>
      <c r="J3458" s="36">
        <v>2439.9685199999999</v>
      </c>
      <c r="K3458" s="85">
        <v>0</v>
      </c>
      <c r="L3458" s="36">
        <v>203.33071000000001</v>
      </c>
      <c r="M3458" s="36">
        <v>203.33071000000001</v>
      </c>
      <c r="N3458" s="36">
        <v>0</v>
      </c>
      <c r="O3458" s="36">
        <v>0</v>
      </c>
      <c r="P3458" t="s">
        <v>511</v>
      </c>
      <c r="Q3458" t="s">
        <v>300</v>
      </c>
      <c r="R3458" t="s">
        <v>300</v>
      </c>
      <c r="S3458" s="1">
        <v>46125</v>
      </c>
      <c r="T3458" s="1">
        <v>46125</v>
      </c>
      <c r="V3458" s="1">
        <v>46490</v>
      </c>
      <c r="W3458" t="s">
        <v>38</v>
      </c>
      <c r="X3458">
        <v>12</v>
      </c>
      <c r="Y3458" t="s">
        <v>49</v>
      </c>
      <c r="AA3458" t="s">
        <v>117</v>
      </c>
      <c r="AB3458">
        <v>1</v>
      </c>
      <c r="AC3458" t="s">
        <v>301</v>
      </c>
      <c r="AD3458" t="s">
        <v>140</v>
      </c>
      <c r="AE3458" t="s">
        <v>46</v>
      </c>
      <c r="AF3458" t="s">
        <v>119</v>
      </c>
      <c r="AG3458" t="str">
        <f t="shared" si="69"/>
        <v>À Vista</v>
      </c>
      <c r="AH3458" t="str">
        <f t="shared" si="70"/>
        <v/>
      </c>
    </row>
    <row r="3459" spans="1:34">
      <c r="A3459">
        <v>2026</v>
      </c>
      <c r="B3459">
        <v>4</v>
      </c>
      <c r="C3459" s="83">
        <v>20113412270</v>
      </c>
      <c r="D3459" t="s">
        <v>3039</v>
      </c>
      <c r="E3459">
        <v>56486847395</v>
      </c>
      <c r="F3459">
        <v>612782</v>
      </c>
      <c r="G3459">
        <v>51759952459</v>
      </c>
      <c r="H3459" t="s">
        <v>35</v>
      </c>
      <c r="I3459" s="36">
        <v>3666.6</v>
      </c>
      <c r="J3459" s="36">
        <v>3666.6</v>
      </c>
      <c r="K3459" s="85">
        <v>0</v>
      </c>
      <c r="L3459" s="36">
        <v>305.55</v>
      </c>
      <c r="M3459" s="36">
        <v>0</v>
      </c>
      <c r="N3459" s="36">
        <v>69.17</v>
      </c>
      <c r="O3459" s="36">
        <v>236.38</v>
      </c>
      <c r="P3459" t="s">
        <v>165</v>
      </c>
      <c r="Q3459" t="s">
        <v>166</v>
      </c>
      <c r="R3459" t="s">
        <v>166</v>
      </c>
      <c r="S3459" s="1">
        <v>46115</v>
      </c>
      <c r="T3459" s="1">
        <v>46115</v>
      </c>
      <c r="U3459" s="1">
        <v>46115</v>
      </c>
      <c r="V3459" s="1">
        <v>46480</v>
      </c>
      <c r="W3459" t="s">
        <v>38</v>
      </c>
      <c r="X3459">
        <v>12</v>
      </c>
      <c r="Y3459" t="s">
        <v>49</v>
      </c>
      <c r="Z3459" t="s">
        <v>81</v>
      </c>
      <c r="AA3459" t="s">
        <v>112</v>
      </c>
      <c r="AB3459">
        <v>12</v>
      </c>
      <c r="AC3459" t="s">
        <v>166</v>
      </c>
      <c r="AD3459" t="s">
        <v>160</v>
      </c>
      <c r="AE3459" t="s">
        <v>43</v>
      </c>
      <c r="AF3459" t="s">
        <v>44</v>
      </c>
      <c r="AG3459" t="str">
        <f t="shared" si="69"/>
        <v>CC 12x</v>
      </c>
      <c r="AH3459" t="str">
        <f t="shared" si="70"/>
        <v/>
      </c>
    </row>
    <row r="3460" spans="1:34">
      <c r="A3460">
        <v>2026</v>
      </c>
      <c r="B3460">
        <v>4</v>
      </c>
      <c r="C3460" s="83">
        <v>20113466173</v>
      </c>
      <c r="D3460" t="s">
        <v>3040</v>
      </c>
      <c r="E3460">
        <v>56255049067</v>
      </c>
      <c r="F3460">
        <v>612137</v>
      </c>
      <c r="G3460">
        <v>51563369810</v>
      </c>
      <c r="H3460" t="s">
        <v>35</v>
      </c>
      <c r="I3460" s="36">
        <v>8418.6</v>
      </c>
      <c r="J3460" s="36">
        <v>8418.6</v>
      </c>
      <c r="K3460" s="85">
        <v>0</v>
      </c>
      <c r="L3460" s="36">
        <v>701.55</v>
      </c>
      <c r="M3460" s="36">
        <v>0</v>
      </c>
      <c r="N3460" s="36">
        <v>136.21</v>
      </c>
      <c r="O3460" s="36">
        <v>565.34</v>
      </c>
      <c r="P3460" t="s">
        <v>165</v>
      </c>
      <c r="Q3460" t="s">
        <v>166</v>
      </c>
      <c r="R3460" t="s">
        <v>166</v>
      </c>
      <c r="S3460" s="1">
        <v>46113</v>
      </c>
      <c r="T3460" s="1">
        <v>46113</v>
      </c>
      <c r="U3460" s="1">
        <v>46113</v>
      </c>
      <c r="V3460" s="1">
        <v>46478</v>
      </c>
      <c r="W3460" t="s">
        <v>38</v>
      </c>
      <c r="X3460">
        <v>12</v>
      </c>
      <c r="Y3460" t="s">
        <v>49</v>
      </c>
      <c r="Z3460" t="s">
        <v>81</v>
      </c>
      <c r="AA3460" t="s">
        <v>122</v>
      </c>
      <c r="AB3460">
        <v>12</v>
      </c>
      <c r="AC3460" t="s">
        <v>166</v>
      </c>
      <c r="AD3460" t="s">
        <v>134</v>
      </c>
      <c r="AE3460" t="s">
        <v>135</v>
      </c>
      <c r="AF3460" t="s">
        <v>44</v>
      </c>
      <c r="AG3460" t="str">
        <f t="shared" si="69"/>
        <v>Recorrente</v>
      </c>
      <c r="AH3460" t="str">
        <f t="shared" si="70"/>
        <v/>
      </c>
    </row>
    <row r="3461" spans="1:34">
      <c r="A3461">
        <v>2026</v>
      </c>
      <c r="B3461">
        <v>4</v>
      </c>
      <c r="C3461" s="83">
        <v>20153101728</v>
      </c>
      <c r="D3461" t="s">
        <v>3041</v>
      </c>
      <c r="E3461">
        <v>57000741746</v>
      </c>
      <c r="F3461">
        <v>612558</v>
      </c>
      <c r="G3461">
        <v>52296865707</v>
      </c>
      <c r="H3461" t="s">
        <v>35</v>
      </c>
      <c r="I3461" s="36">
        <v>2874</v>
      </c>
      <c r="J3461" s="36">
        <v>2874</v>
      </c>
      <c r="K3461" s="85">
        <v>0</v>
      </c>
      <c r="L3461" s="36">
        <v>239.5</v>
      </c>
      <c r="M3461" s="36">
        <v>0</v>
      </c>
      <c r="N3461" s="36">
        <v>50.97</v>
      </c>
      <c r="O3461" s="36">
        <v>188.53</v>
      </c>
      <c r="P3461" t="s">
        <v>165</v>
      </c>
      <c r="Q3461" t="s">
        <v>166</v>
      </c>
      <c r="R3461" t="s">
        <v>166</v>
      </c>
      <c r="S3461" s="1">
        <v>46123</v>
      </c>
      <c r="T3461" s="1">
        <v>46123</v>
      </c>
      <c r="U3461" s="1">
        <v>46123</v>
      </c>
      <c r="V3461" s="1">
        <v>46488</v>
      </c>
      <c r="W3461" t="s">
        <v>38</v>
      </c>
      <c r="X3461">
        <v>12</v>
      </c>
      <c r="Y3461" t="s">
        <v>49</v>
      </c>
      <c r="Z3461" t="s">
        <v>81</v>
      </c>
      <c r="AA3461" t="s">
        <v>112</v>
      </c>
      <c r="AB3461">
        <v>12</v>
      </c>
      <c r="AC3461" t="s">
        <v>166</v>
      </c>
      <c r="AD3461" t="s">
        <v>140</v>
      </c>
      <c r="AE3461" t="s">
        <v>46</v>
      </c>
      <c r="AF3461" t="s">
        <v>119</v>
      </c>
      <c r="AG3461" t="str">
        <f t="shared" si="69"/>
        <v>CC 12x</v>
      </c>
      <c r="AH3461" t="str">
        <f t="shared" si="70"/>
        <v/>
      </c>
    </row>
    <row r="3462" spans="1:34">
      <c r="A3462">
        <v>2026</v>
      </c>
      <c r="B3462">
        <v>4</v>
      </c>
      <c r="C3462" s="83">
        <v>20153693029</v>
      </c>
      <c r="D3462" t="s">
        <v>3042</v>
      </c>
      <c r="E3462">
        <v>56552300553</v>
      </c>
      <c r="F3462">
        <v>613037</v>
      </c>
      <c r="G3462">
        <v>51892429841</v>
      </c>
      <c r="H3462" t="s">
        <v>35</v>
      </c>
      <c r="I3462" s="36">
        <v>4962.6000000000004</v>
      </c>
      <c r="J3462" s="36">
        <v>4962.6000000000004</v>
      </c>
      <c r="K3462" s="85">
        <v>0</v>
      </c>
      <c r="L3462" s="36">
        <v>413.55</v>
      </c>
      <c r="M3462" s="36">
        <v>0</v>
      </c>
      <c r="N3462" s="36">
        <v>85.37</v>
      </c>
      <c r="O3462" s="36">
        <v>328.18</v>
      </c>
      <c r="P3462" t="s">
        <v>165</v>
      </c>
      <c r="Q3462" t="s">
        <v>166</v>
      </c>
      <c r="R3462" t="s">
        <v>166</v>
      </c>
      <c r="S3462" s="1">
        <v>46117</v>
      </c>
      <c r="T3462" s="1">
        <v>46117</v>
      </c>
      <c r="U3462" s="1">
        <v>46117</v>
      </c>
      <c r="V3462" s="1">
        <v>46482</v>
      </c>
      <c r="W3462" t="s">
        <v>38</v>
      </c>
      <c r="X3462">
        <v>12</v>
      </c>
      <c r="Y3462" t="s">
        <v>49</v>
      </c>
      <c r="Z3462" t="s">
        <v>81</v>
      </c>
      <c r="AA3462" t="s">
        <v>122</v>
      </c>
      <c r="AB3462">
        <v>12</v>
      </c>
      <c r="AC3462" t="s">
        <v>166</v>
      </c>
      <c r="AD3462" t="s">
        <v>138</v>
      </c>
      <c r="AE3462" t="s">
        <v>135</v>
      </c>
      <c r="AF3462" t="s">
        <v>119</v>
      </c>
      <c r="AG3462" t="str">
        <f t="shared" si="69"/>
        <v>Recorrente</v>
      </c>
      <c r="AH3462" t="str">
        <f t="shared" si="70"/>
        <v/>
      </c>
    </row>
    <row r="3463" spans="1:34">
      <c r="A3463">
        <v>2026</v>
      </c>
      <c r="B3463">
        <v>4</v>
      </c>
      <c r="C3463" s="83">
        <v>20153747600</v>
      </c>
      <c r="D3463" t="s">
        <v>3043</v>
      </c>
      <c r="E3463">
        <v>56622727006</v>
      </c>
      <c r="F3463">
        <v>613040</v>
      </c>
      <c r="G3463">
        <v>52302134814</v>
      </c>
      <c r="H3463" t="s">
        <v>35</v>
      </c>
      <c r="I3463" s="36">
        <v>6354</v>
      </c>
      <c r="J3463" s="36">
        <v>6354</v>
      </c>
      <c r="K3463" s="85">
        <v>0</v>
      </c>
      <c r="L3463" s="36">
        <v>529.5</v>
      </c>
      <c r="M3463" s="36">
        <v>0</v>
      </c>
      <c r="N3463" s="36">
        <v>105.35</v>
      </c>
      <c r="O3463" s="36">
        <v>424.15</v>
      </c>
      <c r="P3463" t="s">
        <v>165</v>
      </c>
      <c r="Q3463" t="s">
        <v>166</v>
      </c>
      <c r="R3463" t="s">
        <v>166</v>
      </c>
      <c r="S3463" s="1">
        <v>46117</v>
      </c>
      <c r="T3463" s="1">
        <v>46117</v>
      </c>
      <c r="U3463" s="1">
        <v>46117</v>
      </c>
      <c r="V3463" s="1">
        <v>46482</v>
      </c>
      <c r="W3463" t="s">
        <v>38</v>
      </c>
      <c r="X3463">
        <v>12</v>
      </c>
      <c r="Y3463" t="s">
        <v>49</v>
      </c>
      <c r="Z3463" t="s">
        <v>81</v>
      </c>
      <c r="AA3463" t="s">
        <v>122</v>
      </c>
      <c r="AB3463">
        <v>12</v>
      </c>
      <c r="AC3463" t="s">
        <v>166</v>
      </c>
      <c r="AD3463" t="s">
        <v>149</v>
      </c>
      <c r="AE3463" t="s">
        <v>43</v>
      </c>
      <c r="AF3463" t="s">
        <v>96</v>
      </c>
      <c r="AG3463" t="str">
        <f t="shared" si="69"/>
        <v>Recorrente</v>
      </c>
      <c r="AH3463" t="str">
        <f t="shared" si="70"/>
        <v/>
      </c>
    </row>
    <row r="3464" spans="1:34">
      <c r="A3464">
        <v>2026</v>
      </c>
      <c r="B3464">
        <v>4</v>
      </c>
      <c r="C3464" s="83">
        <v>201594907269</v>
      </c>
      <c r="D3464" t="s">
        <v>3044</v>
      </c>
      <c r="E3464">
        <v>58702642280</v>
      </c>
      <c r="F3464">
        <v>634539</v>
      </c>
      <c r="G3464">
        <v>53857739615</v>
      </c>
      <c r="H3464" t="s">
        <v>35</v>
      </c>
      <c r="I3464" s="36">
        <v>645</v>
      </c>
      <c r="J3464" s="36">
        <v>1080.72</v>
      </c>
      <c r="K3464" s="85">
        <v>0</v>
      </c>
      <c r="L3464" s="36">
        <v>90.06</v>
      </c>
      <c r="M3464" s="36">
        <v>0</v>
      </c>
      <c r="N3464" s="36">
        <v>90.06</v>
      </c>
      <c r="O3464" s="36">
        <v>0</v>
      </c>
      <c r="P3464" t="s">
        <v>323</v>
      </c>
      <c r="Q3464" t="s">
        <v>191</v>
      </c>
      <c r="R3464" t="s">
        <v>191</v>
      </c>
      <c r="S3464" s="1">
        <v>46114</v>
      </c>
      <c r="T3464" s="1">
        <v>46114</v>
      </c>
      <c r="U3464" s="1">
        <v>46332</v>
      </c>
      <c r="V3464" s="1">
        <v>46332</v>
      </c>
      <c r="W3464" t="s">
        <v>38</v>
      </c>
      <c r="X3464">
        <v>7</v>
      </c>
      <c r="Y3464" t="s">
        <v>49</v>
      </c>
      <c r="Z3464" t="s">
        <v>324</v>
      </c>
      <c r="AA3464" t="s">
        <v>122</v>
      </c>
      <c r="AB3464">
        <v>7</v>
      </c>
      <c r="AC3464" t="s">
        <v>192</v>
      </c>
      <c r="AD3464" t="s">
        <v>229</v>
      </c>
      <c r="AE3464" t="s">
        <v>43</v>
      </c>
      <c r="AF3464" t="s">
        <v>96</v>
      </c>
      <c r="AG3464" t="str">
        <f t="shared" si="69"/>
        <v>Recorrente</v>
      </c>
      <c r="AH3464" t="str">
        <f t="shared" si="70"/>
        <v/>
      </c>
    </row>
    <row r="3465" spans="1:34">
      <c r="A3465">
        <v>2026</v>
      </c>
      <c r="B3465">
        <v>4</v>
      </c>
      <c r="C3465" s="83">
        <v>202120360057</v>
      </c>
      <c r="D3465" t="s">
        <v>3045</v>
      </c>
      <c r="E3465">
        <v>58011697677</v>
      </c>
      <c r="F3465">
        <v>628381</v>
      </c>
      <c r="G3465">
        <v>53218757941</v>
      </c>
      <c r="H3465" t="s">
        <v>35</v>
      </c>
      <c r="I3465" s="36">
        <v>5845.44</v>
      </c>
      <c r="J3465" s="36">
        <v>5845.44</v>
      </c>
      <c r="K3465" s="85">
        <v>0</v>
      </c>
      <c r="L3465" s="36">
        <v>487.12</v>
      </c>
      <c r="M3465" s="36">
        <v>0</v>
      </c>
      <c r="N3465" s="36">
        <v>115.095</v>
      </c>
      <c r="O3465" s="36">
        <v>372.03</v>
      </c>
      <c r="P3465" t="s">
        <v>165</v>
      </c>
      <c r="Q3465" t="s">
        <v>166</v>
      </c>
      <c r="R3465" t="s">
        <v>166</v>
      </c>
      <c r="S3465" s="1">
        <v>46139</v>
      </c>
      <c r="T3465" s="1">
        <v>46139</v>
      </c>
      <c r="U3465" s="1">
        <v>46142</v>
      </c>
      <c r="V3465" s="1">
        <v>46507</v>
      </c>
      <c r="W3465" t="s">
        <v>38</v>
      </c>
      <c r="X3465">
        <v>12</v>
      </c>
      <c r="Y3465" t="s">
        <v>49</v>
      </c>
      <c r="Z3465" t="s">
        <v>81</v>
      </c>
      <c r="AA3465" t="s">
        <v>122</v>
      </c>
      <c r="AB3465">
        <v>12</v>
      </c>
      <c r="AC3465" t="s">
        <v>166</v>
      </c>
      <c r="AD3465" t="s">
        <v>125</v>
      </c>
      <c r="AE3465" t="s">
        <v>43</v>
      </c>
      <c r="AF3465" t="s">
        <v>47</v>
      </c>
      <c r="AG3465" t="str">
        <f t="shared" si="69"/>
        <v>Recorrente</v>
      </c>
      <c r="AH3465" t="str">
        <f t="shared" si="70"/>
        <v/>
      </c>
    </row>
    <row r="3466" spans="1:34">
      <c r="A3466">
        <v>2026</v>
      </c>
      <c r="B3466">
        <v>4</v>
      </c>
      <c r="C3466" s="83">
        <v>202930446438</v>
      </c>
      <c r="D3466" t="s">
        <v>3046</v>
      </c>
      <c r="E3466">
        <v>59823447157</v>
      </c>
      <c r="F3466">
        <v>637515</v>
      </c>
      <c r="G3466">
        <v>54917846810</v>
      </c>
      <c r="H3466" t="s">
        <v>35</v>
      </c>
      <c r="I3466" s="36">
        <v>3865.44</v>
      </c>
      <c r="J3466" s="36">
        <v>3865.5</v>
      </c>
      <c r="K3466" s="85">
        <v>0</v>
      </c>
      <c r="L3466" s="36">
        <v>322.125</v>
      </c>
      <c r="M3466" s="36">
        <v>322.125</v>
      </c>
      <c r="N3466" s="36">
        <v>0</v>
      </c>
      <c r="O3466" s="36">
        <v>0</v>
      </c>
      <c r="P3466" t="s">
        <v>506</v>
      </c>
      <c r="Q3466" t="s">
        <v>300</v>
      </c>
      <c r="R3466" t="s">
        <v>300</v>
      </c>
      <c r="S3466" s="1">
        <v>46142</v>
      </c>
      <c r="T3466" s="1">
        <v>46142</v>
      </c>
      <c r="U3466" s="1"/>
      <c r="V3466" s="1">
        <v>46507</v>
      </c>
      <c r="W3466" t="s">
        <v>38</v>
      </c>
      <c r="X3466">
        <v>12</v>
      </c>
      <c r="Y3466" t="s">
        <v>49</v>
      </c>
      <c r="AA3466" t="s">
        <v>117</v>
      </c>
      <c r="AB3466">
        <v>1</v>
      </c>
      <c r="AC3466" t="s">
        <v>301</v>
      </c>
      <c r="AD3466" t="s">
        <v>229</v>
      </c>
      <c r="AE3466" t="s">
        <v>43</v>
      </c>
      <c r="AF3466" t="s">
        <v>96</v>
      </c>
      <c r="AG3466" t="str">
        <f t="shared" si="69"/>
        <v>À Vista</v>
      </c>
      <c r="AH3466" t="str">
        <f t="shared" si="70"/>
        <v/>
      </c>
    </row>
    <row r="3467" spans="1:34">
      <c r="A3467">
        <v>2026</v>
      </c>
      <c r="B3467">
        <v>4</v>
      </c>
      <c r="C3467" s="83">
        <v>203002570849</v>
      </c>
      <c r="D3467" t="s">
        <v>3047</v>
      </c>
      <c r="E3467">
        <v>59047093681</v>
      </c>
      <c r="F3467">
        <v>636987</v>
      </c>
      <c r="G3467">
        <v>54149659243</v>
      </c>
      <c r="H3467" t="s">
        <v>35</v>
      </c>
      <c r="I3467" s="36">
        <v>3114</v>
      </c>
      <c r="J3467" s="36">
        <v>3114</v>
      </c>
      <c r="K3467" s="85">
        <v>0</v>
      </c>
      <c r="L3467" s="36">
        <v>259.5</v>
      </c>
      <c r="M3467" s="36">
        <v>259.5</v>
      </c>
      <c r="N3467" s="36">
        <v>0</v>
      </c>
      <c r="O3467" s="36">
        <v>0</v>
      </c>
      <c r="P3467" t="s">
        <v>506</v>
      </c>
      <c r="Q3467" t="s">
        <v>300</v>
      </c>
      <c r="R3467" t="s">
        <v>300</v>
      </c>
      <c r="S3467" s="1">
        <v>46121</v>
      </c>
      <c r="T3467" s="1">
        <v>46121</v>
      </c>
      <c r="U3467" s="1"/>
      <c r="V3467" s="1"/>
      <c r="W3467" t="s">
        <v>2733</v>
      </c>
      <c r="Y3467" t="s">
        <v>49</v>
      </c>
      <c r="AA3467" t="s">
        <v>122</v>
      </c>
      <c r="AB3467">
        <v>12</v>
      </c>
      <c r="AC3467" t="s">
        <v>301</v>
      </c>
      <c r="AD3467" t="s">
        <v>2734</v>
      </c>
      <c r="AE3467" t="s">
        <v>106</v>
      </c>
      <c r="AF3467" t="s">
        <v>59</v>
      </c>
      <c r="AG3467" t="str">
        <f t="shared" si="69"/>
        <v>Recorrente</v>
      </c>
      <c r="AH3467" t="str">
        <f t="shared" si="70"/>
        <v/>
      </c>
    </row>
    <row r="3468" spans="1:34">
      <c r="A3468">
        <v>2026</v>
      </c>
      <c r="B3468">
        <v>4</v>
      </c>
      <c r="C3468" s="83">
        <v>203657174802</v>
      </c>
      <c r="D3468" t="s">
        <v>3048</v>
      </c>
      <c r="E3468">
        <v>58897461429</v>
      </c>
      <c r="F3468">
        <v>636914</v>
      </c>
      <c r="G3468">
        <v>54038821677</v>
      </c>
      <c r="H3468" t="s">
        <v>35</v>
      </c>
      <c r="I3468" s="36">
        <v>6249.96</v>
      </c>
      <c r="J3468" s="36">
        <v>6249.96</v>
      </c>
      <c r="K3468" s="85">
        <v>9.0949500000000005E-13</v>
      </c>
      <c r="L3468" s="36">
        <v>520.83000000000004</v>
      </c>
      <c r="M3468" s="36">
        <v>520.83000000000004</v>
      </c>
      <c r="N3468" s="36">
        <v>0</v>
      </c>
      <c r="O3468" s="36">
        <v>0</v>
      </c>
      <c r="P3468" t="s">
        <v>1073</v>
      </c>
      <c r="Q3468" t="s">
        <v>314</v>
      </c>
      <c r="R3468" t="s">
        <v>314</v>
      </c>
      <c r="S3468" s="1">
        <v>46119</v>
      </c>
      <c r="T3468" s="1">
        <v>46119</v>
      </c>
      <c r="U3468" s="1"/>
      <c r="V3468" s="1">
        <v>46484</v>
      </c>
      <c r="W3468" t="s">
        <v>38</v>
      </c>
      <c r="X3468">
        <v>12</v>
      </c>
      <c r="Y3468" t="s">
        <v>49</v>
      </c>
      <c r="AA3468" t="s">
        <v>112</v>
      </c>
      <c r="AB3468">
        <v>1</v>
      </c>
      <c r="AC3468" t="s">
        <v>315</v>
      </c>
      <c r="AD3468" t="s">
        <v>131</v>
      </c>
      <c r="AE3468" t="s">
        <v>46</v>
      </c>
      <c r="AF3468" t="s">
        <v>96</v>
      </c>
      <c r="AG3468" t="str">
        <f t="shared" si="69"/>
        <v>À Vista</v>
      </c>
      <c r="AH3468" t="str">
        <f t="shared" si="70"/>
        <v/>
      </c>
    </row>
    <row r="3469" spans="1:34">
      <c r="A3469">
        <v>2026</v>
      </c>
      <c r="B3469">
        <v>4</v>
      </c>
      <c r="C3469" s="83">
        <v>203679679040</v>
      </c>
      <c r="D3469" t="s">
        <v>3049</v>
      </c>
      <c r="E3469">
        <v>57971904387</v>
      </c>
      <c r="F3469">
        <v>533782</v>
      </c>
      <c r="G3469">
        <v>53193239471</v>
      </c>
      <c r="H3469" t="s">
        <v>35</v>
      </c>
      <c r="I3469" s="36">
        <v>5754</v>
      </c>
      <c r="J3469" s="36">
        <v>5754</v>
      </c>
      <c r="K3469" s="85">
        <v>0</v>
      </c>
      <c r="L3469" s="36">
        <v>479.5</v>
      </c>
      <c r="M3469" s="36">
        <v>0</v>
      </c>
      <c r="N3469" s="36">
        <v>38.299999999999997</v>
      </c>
      <c r="O3469" s="36">
        <v>441.2</v>
      </c>
      <c r="P3469" t="s">
        <v>165</v>
      </c>
      <c r="Q3469" t="s">
        <v>166</v>
      </c>
      <c r="R3469" t="s">
        <v>166</v>
      </c>
      <c r="S3469" s="1">
        <v>46139</v>
      </c>
      <c r="T3469" s="1">
        <v>46139</v>
      </c>
      <c r="U3469" s="1">
        <v>46139</v>
      </c>
      <c r="V3469" s="1">
        <v>46504</v>
      </c>
      <c r="W3469" t="s">
        <v>38</v>
      </c>
      <c r="X3469">
        <v>12</v>
      </c>
      <c r="Y3469" t="s">
        <v>49</v>
      </c>
      <c r="Z3469" t="s">
        <v>81</v>
      </c>
      <c r="AA3469" t="s">
        <v>122</v>
      </c>
      <c r="AB3469">
        <v>8</v>
      </c>
      <c r="AC3469" t="s">
        <v>166</v>
      </c>
      <c r="AD3469" t="s">
        <v>85</v>
      </c>
      <c r="AE3469" t="s">
        <v>46</v>
      </c>
      <c r="AF3469" t="s">
        <v>44</v>
      </c>
      <c r="AG3469" t="str">
        <f t="shared" si="69"/>
        <v>Recorrente</v>
      </c>
      <c r="AH3469" t="str">
        <f t="shared" si="70"/>
        <v/>
      </c>
    </row>
    <row r="3470" spans="1:34">
      <c r="A3470">
        <v>2026</v>
      </c>
      <c r="B3470">
        <v>4</v>
      </c>
      <c r="C3470" s="83">
        <v>203696541473</v>
      </c>
      <c r="D3470" t="s">
        <v>3050</v>
      </c>
      <c r="E3470">
        <v>58525072970</v>
      </c>
      <c r="F3470">
        <v>533200</v>
      </c>
      <c r="G3470">
        <v>54803927206</v>
      </c>
      <c r="H3470" t="s">
        <v>35</v>
      </c>
      <c r="I3470" s="36">
        <v>3046.62</v>
      </c>
      <c r="J3470" s="36">
        <v>3046.62</v>
      </c>
      <c r="K3470" s="85">
        <v>0</v>
      </c>
      <c r="L3470" s="36">
        <v>253.88499999999999</v>
      </c>
      <c r="M3470" s="36">
        <v>0</v>
      </c>
      <c r="N3470" s="36">
        <v>9.6875</v>
      </c>
      <c r="O3470" s="36">
        <v>244.2</v>
      </c>
      <c r="P3470" t="s">
        <v>121</v>
      </c>
      <c r="Q3470" t="s">
        <v>111</v>
      </c>
      <c r="R3470" t="s">
        <v>111</v>
      </c>
      <c r="S3470" s="1">
        <v>46141</v>
      </c>
      <c r="T3470" s="1">
        <v>46141</v>
      </c>
      <c r="U3470" s="1">
        <v>46140</v>
      </c>
      <c r="V3470" s="1">
        <v>46506</v>
      </c>
      <c r="W3470" t="s">
        <v>38</v>
      </c>
      <c r="X3470">
        <v>12</v>
      </c>
      <c r="Y3470" t="s">
        <v>49</v>
      </c>
      <c r="Z3470" t="s">
        <v>76</v>
      </c>
      <c r="AA3470" t="s">
        <v>122</v>
      </c>
      <c r="AB3470">
        <v>12</v>
      </c>
      <c r="AC3470" t="s">
        <v>113</v>
      </c>
      <c r="AD3470" t="s">
        <v>243</v>
      </c>
      <c r="AE3470" t="s">
        <v>95</v>
      </c>
      <c r="AF3470" t="s">
        <v>244</v>
      </c>
      <c r="AG3470" t="str">
        <f t="shared" si="69"/>
        <v>Recorrente</v>
      </c>
      <c r="AH3470" t="str">
        <f t="shared" si="70"/>
        <v/>
      </c>
    </row>
    <row r="3471" spans="1:34">
      <c r="A3471">
        <v>2026</v>
      </c>
      <c r="B3471">
        <v>4</v>
      </c>
      <c r="C3471" s="83">
        <v>203696541473</v>
      </c>
      <c r="D3471" t="s">
        <v>3050</v>
      </c>
      <c r="E3471">
        <v>58525072970</v>
      </c>
      <c r="F3471">
        <v>533200</v>
      </c>
      <c r="G3471">
        <v>54803927207</v>
      </c>
      <c r="H3471" t="s">
        <v>35</v>
      </c>
      <c r="I3471" s="36">
        <v>3046.62</v>
      </c>
      <c r="J3471" s="36">
        <v>3046.62</v>
      </c>
      <c r="K3471" s="85">
        <v>0</v>
      </c>
      <c r="L3471" s="36">
        <v>253.88499999999999</v>
      </c>
      <c r="M3471" s="36">
        <v>0</v>
      </c>
      <c r="N3471" s="36">
        <v>9.6875</v>
      </c>
      <c r="O3471" s="36">
        <v>244.2</v>
      </c>
      <c r="P3471" t="s">
        <v>121</v>
      </c>
      <c r="Q3471" t="s">
        <v>111</v>
      </c>
      <c r="R3471" t="s">
        <v>111</v>
      </c>
      <c r="S3471" s="1">
        <v>46141</v>
      </c>
      <c r="T3471" s="1">
        <v>46141</v>
      </c>
      <c r="U3471" s="1">
        <v>46140</v>
      </c>
      <c r="V3471" s="1">
        <v>46506</v>
      </c>
      <c r="W3471" t="s">
        <v>38</v>
      </c>
      <c r="X3471">
        <v>12</v>
      </c>
      <c r="Y3471" t="s">
        <v>49</v>
      </c>
      <c r="Z3471" t="s">
        <v>76</v>
      </c>
      <c r="AA3471" t="s">
        <v>122</v>
      </c>
      <c r="AB3471">
        <v>12</v>
      </c>
      <c r="AC3471" t="s">
        <v>113</v>
      </c>
      <c r="AD3471" t="s">
        <v>138</v>
      </c>
      <c r="AE3471" t="s">
        <v>135</v>
      </c>
      <c r="AF3471" t="s">
        <v>119</v>
      </c>
      <c r="AG3471" t="str">
        <f t="shared" si="69"/>
        <v>Recorrente</v>
      </c>
      <c r="AH3471" t="str">
        <f t="shared" si="70"/>
        <v/>
      </c>
    </row>
    <row r="3472" spans="1:34">
      <c r="A3472">
        <v>2026</v>
      </c>
      <c r="B3472">
        <v>4</v>
      </c>
      <c r="C3472" s="83">
        <v>203696634737</v>
      </c>
      <c r="D3472" t="s">
        <v>3051</v>
      </c>
      <c r="E3472">
        <v>59447613011</v>
      </c>
      <c r="F3472">
        <v>637238</v>
      </c>
      <c r="G3472">
        <v>54509565772</v>
      </c>
      <c r="H3472" t="s">
        <v>35</v>
      </c>
      <c r="I3472" s="36">
        <v>3258.84</v>
      </c>
      <c r="J3472" s="36">
        <v>3258.9</v>
      </c>
      <c r="K3472" s="85">
        <v>0</v>
      </c>
      <c r="L3472" s="36">
        <v>271.57499999999999</v>
      </c>
      <c r="M3472" s="36">
        <v>271.57499999999999</v>
      </c>
      <c r="N3472" s="36">
        <v>0</v>
      </c>
      <c r="O3472" s="36">
        <v>0</v>
      </c>
      <c r="P3472" t="s">
        <v>829</v>
      </c>
      <c r="Q3472" t="s">
        <v>300</v>
      </c>
      <c r="R3472" t="s">
        <v>300</v>
      </c>
      <c r="S3472" s="1">
        <v>46134</v>
      </c>
      <c r="T3472" s="1">
        <v>46134</v>
      </c>
      <c r="V3472" s="1">
        <v>46499</v>
      </c>
      <c r="W3472" t="s">
        <v>38</v>
      </c>
      <c r="X3472">
        <v>12</v>
      </c>
      <c r="Y3472" t="s">
        <v>49</v>
      </c>
      <c r="AA3472" t="s">
        <v>122</v>
      </c>
      <c r="AB3472">
        <v>12</v>
      </c>
      <c r="AC3472" t="s">
        <v>301</v>
      </c>
      <c r="AD3472" t="s">
        <v>142</v>
      </c>
      <c r="AE3472" t="s">
        <v>95</v>
      </c>
      <c r="AF3472" t="s">
        <v>44</v>
      </c>
      <c r="AG3472" t="str">
        <f t="shared" si="69"/>
        <v>Recorrente</v>
      </c>
      <c r="AH3472" t="str">
        <f t="shared" si="70"/>
        <v/>
      </c>
    </row>
    <row r="3473" spans="1:34">
      <c r="A3473">
        <v>2026</v>
      </c>
      <c r="B3473">
        <v>4</v>
      </c>
      <c r="C3473" s="83">
        <v>203837750143</v>
      </c>
      <c r="D3473" t="s">
        <v>3052</v>
      </c>
      <c r="E3473">
        <v>59230059915</v>
      </c>
      <c r="F3473">
        <v>637118</v>
      </c>
      <c r="G3473">
        <v>54294749200</v>
      </c>
      <c r="H3473" t="s">
        <v>35</v>
      </c>
      <c r="I3473" s="36">
        <v>3114</v>
      </c>
      <c r="J3473" s="36">
        <v>3114</v>
      </c>
      <c r="K3473" s="85">
        <v>0</v>
      </c>
      <c r="L3473" s="36">
        <v>259.5</v>
      </c>
      <c r="M3473" s="36">
        <v>259.5</v>
      </c>
      <c r="N3473" s="36">
        <v>0</v>
      </c>
      <c r="O3473" s="36">
        <v>0</v>
      </c>
      <c r="P3473" t="s">
        <v>2004</v>
      </c>
      <c r="Q3473" t="s">
        <v>300</v>
      </c>
      <c r="R3473" t="s">
        <v>300</v>
      </c>
      <c r="S3473" s="1">
        <v>46127</v>
      </c>
      <c r="T3473" s="1">
        <v>46127</v>
      </c>
      <c r="V3473" s="1"/>
      <c r="W3473" t="s">
        <v>2733</v>
      </c>
      <c r="Y3473" t="s">
        <v>49</v>
      </c>
      <c r="AA3473" t="s">
        <v>122</v>
      </c>
      <c r="AB3473">
        <v>12</v>
      </c>
      <c r="AC3473" t="s">
        <v>301</v>
      </c>
      <c r="AD3473" t="s">
        <v>2734</v>
      </c>
      <c r="AE3473" t="s">
        <v>106</v>
      </c>
      <c r="AF3473" t="s">
        <v>59</v>
      </c>
      <c r="AG3473" t="str">
        <f t="shared" si="69"/>
        <v>Recorrente</v>
      </c>
      <c r="AH3473" t="str">
        <f t="shared" si="70"/>
        <v/>
      </c>
    </row>
    <row r="3474" spans="1:34">
      <c r="A3474">
        <v>2026</v>
      </c>
      <c r="B3474">
        <v>4</v>
      </c>
      <c r="C3474" s="83">
        <v>204543545751</v>
      </c>
      <c r="D3474" t="s">
        <v>3053</v>
      </c>
      <c r="E3474">
        <v>59219752203</v>
      </c>
      <c r="F3474">
        <v>637137</v>
      </c>
      <c r="G3474">
        <v>54348168217</v>
      </c>
      <c r="H3474" t="s">
        <v>35</v>
      </c>
      <c r="I3474" s="36">
        <v>2874</v>
      </c>
      <c r="J3474" s="36">
        <v>2874</v>
      </c>
      <c r="K3474" s="85">
        <v>0</v>
      </c>
      <c r="L3474" s="36">
        <v>239.5</v>
      </c>
      <c r="M3474" s="36">
        <v>239.5</v>
      </c>
      <c r="N3474" s="36">
        <v>0</v>
      </c>
      <c r="O3474" s="36">
        <v>0</v>
      </c>
      <c r="P3474" t="s">
        <v>497</v>
      </c>
      <c r="Q3474" t="s">
        <v>498</v>
      </c>
      <c r="R3474" t="s">
        <v>498</v>
      </c>
      <c r="S3474" s="1">
        <v>46128</v>
      </c>
      <c r="T3474" s="1">
        <v>46128</v>
      </c>
      <c r="U3474" s="1"/>
      <c r="V3474" s="1">
        <v>46493</v>
      </c>
      <c r="W3474" t="s">
        <v>38</v>
      </c>
      <c r="X3474">
        <v>12</v>
      </c>
      <c r="Y3474" t="s">
        <v>49</v>
      </c>
      <c r="AA3474" t="s">
        <v>112</v>
      </c>
      <c r="AB3474">
        <v>12</v>
      </c>
      <c r="AC3474" t="s">
        <v>499</v>
      </c>
      <c r="AD3474" t="s">
        <v>140</v>
      </c>
      <c r="AE3474" t="s">
        <v>46</v>
      </c>
      <c r="AF3474" t="s">
        <v>119</v>
      </c>
      <c r="AG3474" t="str">
        <f t="shared" si="69"/>
        <v>CC 12x</v>
      </c>
      <c r="AH3474" t="str">
        <f t="shared" si="70"/>
        <v/>
      </c>
    </row>
    <row r="3475" spans="1:34">
      <c r="A3475">
        <v>2026</v>
      </c>
      <c r="B3475">
        <v>4</v>
      </c>
      <c r="C3475" s="83">
        <v>205361510836</v>
      </c>
      <c r="D3475" t="s">
        <v>3054</v>
      </c>
      <c r="E3475">
        <v>58269757075</v>
      </c>
      <c r="F3475">
        <v>628919</v>
      </c>
      <c r="G3475">
        <v>54635446343</v>
      </c>
      <c r="H3475" t="s">
        <v>35</v>
      </c>
      <c r="I3475" s="36">
        <v>5612.4</v>
      </c>
      <c r="J3475" s="36">
        <v>5612.4</v>
      </c>
      <c r="K3475" s="85">
        <v>0</v>
      </c>
      <c r="L3475" s="36">
        <v>467.7</v>
      </c>
      <c r="M3475" s="36">
        <v>0</v>
      </c>
      <c r="N3475" s="36">
        <v>24.3</v>
      </c>
      <c r="O3475" s="36">
        <v>443.4</v>
      </c>
      <c r="P3475" t="s">
        <v>162</v>
      </c>
      <c r="Q3475" t="s">
        <v>111</v>
      </c>
      <c r="R3475" t="s">
        <v>111</v>
      </c>
      <c r="S3475" s="1">
        <v>46136</v>
      </c>
      <c r="T3475" s="1">
        <v>46136</v>
      </c>
      <c r="U3475" s="1">
        <v>46135</v>
      </c>
      <c r="V3475" s="1">
        <v>46501</v>
      </c>
      <c r="W3475" t="s">
        <v>38</v>
      </c>
      <c r="X3475">
        <v>12</v>
      </c>
      <c r="Y3475" t="s">
        <v>49</v>
      </c>
      <c r="Z3475" t="s">
        <v>81</v>
      </c>
      <c r="AA3475" t="s">
        <v>117</v>
      </c>
      <c r="AB3475">
        <v>1</v>
      </c>
      <c r="AC3475" t="s">
        <v>113</v>
      </c>
      <c r="AD3475" t="s">
        <v>134</v>
      </c>
      <c r="AE3475" t="s">
        <v>135</v>
      </c>
      <c r="AF3475" t="s">
        <v>44</v>
      </c>
      <c r="AG3475" t="str">
        <f t="shared" si="69"/>
        <v>À Vista</v>
      </c>
      <c r="AH3475" t="str">
        <f t="shared" si="70"/>
        <v/>
      </c>
    </row>
    <row r="3476" spans="1:34">
      <c r="A3476">
        <v>2026</v>
      </c>
      <c r="B3476">
        <v>4</v>
      </c>
      <c r="C3476" s="83">
        <v>205567853145</v>
      </c>
      <c r="D3476" t="s">
        <v>3055</v>
      </c>
      <c r="E3476">
        <v>59182501897</v>
      </c>
      <c r="F3476">
        <v>637099</v>
      </c>
      <c r="G3476">
        <v>54293903262</v>
      </c>
      <c r="H3476" t="s">
        <v>35</v>
      </c>
      <c r="I3476" s="36">
        <v>2634</v>
      </c>
      <c r="J3476" s="36">
        <v>2634</v>
      </c>
      <c r="K3476" s="85">
        <v>0</v>
      </c>
      <c r="L3476" s="36">
        <v>219.5</v>
      </c>
      <c r="M3476" s="36">
        <v>219.5</v>
      </c>
      <c r="N3476" s="36">
        <v>0</v>
      </c>
      <c r="O3476" s="36">
        <v>0</v>
      </c>
      <c r="P3476" t="s">
        <v>829</v>
      </c>
      <c r="Q3476" t="s">
        <v>300</v>
      </c>
      <c r="R3476" t="s">
        <v>300</v>
      </c>
      <c r="S3476" s="1">
        <v>46127</v>
      </c>
      <c r="T3476" s="1">
        <v>46127</v>
      </c>
      <c r="U3476" s="1"/>
      <c r="V3476" s="1">
        <v>46492</v>
      </c>
      <c r="W3476" t="s">
        <v>38</v>
      </c>
      <c r="X3476">
        <v>12</v>
      </c>
      <c r="Y3476" t="s">
        <v>49</v>
      </c>
      <c r="AA3476" t="s">
        <v>112</v>
      </c>
      <c r="AB3476">
        <v>12</v>
      </c>
      <c r="AC3476" t="s">
        <v>301</v>
      </c>
      <c r="AD3476" t="s">
        <v>3056</v>
      </c>
      <c r="AE3476" t="s">
        <v>106</v>
      </c>
      <c r="AF3476" t="s">
        <v>59</v>
      </c>
      <c r="AG3476" t="str">
        <f t="shared" si="69"/>
        <v>CC 12x</v>
      </c>
      <c r="AH3476" t="str">
        <f t="shared" si="70"/>
        <v/>
      </c>
    </row>
    <row r="3477" spans="1:34">
      <c r="A3477">
        <v>2026</v>
      </c>
      <c r="B3477">
        <v>4</v>
      </c>
      <c r="C3477" s="83">
        <v>205606785628</v>
      </c>
      <c r="D3477" t="s">
        <v>3057</v>
      </c>
      <c r="E3477">
        <v>59170830466</v>
      </c>
      <c r="F3477">
        <v>637129</v>
      </c>
      <c r="G3477">
        <v>54293915781</v>
      </c>
      <c r="H3477" t="s">
        <v>35</v>
      </c>
      <c r="I3477" s="36">
        <v>3114</v>
      </c>
      <c r="J3477" s="36">
        <v>3114</v>
      </c>
      <c r="K3477" s="85">
        <v>0</v>
      </c>
      <c r="L3477" s="36">
        <v>259.5</v>
      </c>
      <c r="M3477" s="36">
        <v>259.5</v>
      </c>
      <c r="N3477" s="36">
        <v>0</v>
      </c>
      <c r="O3477" s="36">
        <v>0</v>
      </c>
      <c r="P3477" t="s">
        <v>1073</v>
      </c>
      <c r="Q3477" t="s">
        <v>314</v>
      </c>
      <c r="R3477" t="s">
        <v>314</v>
      </c>
      <c r="S3477" s="1">
        <v>46128</v>
      </c>
      <c r="T3477" s="1">
        <v>46128</v>
      </c>
      <c r="V3477" s="1"/>
      <c r="W3477" t="s">
        <v>2733</v>
      </c>
      <c r="Y3477" t="s">
        <v>49</v>
      </c>
      <c r="AA3477" t="s">
        <v>122</v>
      </c>
      <c r="AB3477">
        <v>12</v>
      </c>
      <c r="AC3477" t="s">
        <v>315</v>
      </c>
      <c r="AD3477" t="s">
        <v>2734</v>
      </c>
      <c r="AE3477" t="s">
        <v>106</v>
      </c>
      <c r="AF3477" t="s">
        <v>59</v>
      </c>
      <c r="AG3477" t="str">
        <f t="shared" si="69"/>
        <v>Recorrente</v>
      </c>
      <c r="AH3477" t="str">
        <f t="shared" si="70"/>
        <v/>
      </c>
    </row>
    <row r="3478" spans="1:34">
      <c r="A3478">
        <v>2026</v>
      </c>
      <c r="B3478">
        <v>4</v>
      </c>
      <c r="C3478" s="83">
        <v>2059377</v>
      </c>
      <c r="D3478" t="s">
        <v>3058</v>
      </c>
      <c r="E3478">
        <v>59418418522</v>
      </c>
      <c r="F3478">
        <v>270474</v>
      </c>
      <c r="G3478">
        <v>54699231100</v>
      </c>
      <c r="H3478" t="s">
        <v>35</v>
      </c>
      <c r="I3478" s="36">
        <v>3997.8</v>
      </c>
      <c r="J3478" s="36">
        <v>3842.88</v>
      </c>
      <c r="K3478" s="85">
        <v>154.91999999999999</v>
      </c>
      <c r="L3478" s="36">
        <v>320.24</v>
      </c>
      <c r="M3478" s="36">
        <v>0</v>
      </c>
      <c r="N3478" s="36">
        <v>320.24</v>
      </c>
      <c r="O3478" s="36">
        <v>0</v>
      </c>
      <c r="P3478" t="s">
        <v>323</v>
      </c>
      <c r="Q3478" t="s">
        <v>191</v>
      </c>
      <c r="R3478" t="s">
        <v>191</v>
      </c>
      <c r="S3478" s="1">
        <v>46139</v>
      </c>
      <c r="T3478" s="1">
        <v>46139</v>
      </c>
      <c r="U3478" s="1">
        <v>46520</v>
      </c>
      <c r="V3478" s="1">
        <v>46520</v>
      </c>
      <c r="W3478" t="s">
        <v>38</v>
      </c>
      <c r="X3478">
        <v>13</v>
      </c>
      <c r="Y3478" t="s">
        <v>49</v>
      </c>
      <c r="Z3478" t="s">
        <v>324</v>
      </c>
      <c r="AA3478" t="s">
        <v>122</v>
      </c>
      <c r="AB3478">
        <v>12</v>
      </c>
      <c r="AC3478" t="s">
        <v>192</v>
      </c>
      <c r="AD3478" t="s">
        <v>134</v>
      </c>
      <c r="AE3478" t="s">
        <v>135</v>
      </c>
      <c r="AF3478" t="s">
        <v>44</v>
      </c>
      <c r="AG3478" t="str">
        <f t="shared" si="69"/>
        <v>Recorrente</v>
      </c>
      <c r="AH3478" t="str">
        <f t="shared" si="70"/>
        <v/>
      </c>
    </row>
    <row r="3479" spans="1:34">
      <c r="A3479">
        <v>2026</v>
      </c>
      <c r="B3479">
        <v>4</v>
      </c>
      <c r="C3479" s="83">
        <v>2060176</v>
      </c>
      <c r="D3479" t="s">
        <v>3059</v>
      </c>
      <c r="E3479">
        <v>59094808978</v>
      </c>
      <c r="F3479">
        <v>637053</v>
      </c>
      <c r="G3479">
        <v>54269074056</v>
      </c>
      <c r="H3479" t="s">
        <v>35</v>
      </c>
      <c r="I3479" s="36">
        <v>2299.1999999999998</v>
      </c>
      <c r="J3479" s="36">
        <v>2299.1999999999998</v>
      </c>
      <c r="K3479" s="85">
        <v>0</v>
      </c>
      <c r="L3479" s="36">
        <v>191.6</v>
      </c>
      <c r="M3479" s="36">
        <v>0</v>
      </c>
      <c r="N3479" s="36">
        <v>191.6</v>
      </c>
      <c r="O3479" s="36">
        <v>0</v>
      </c>
      <c r="P3479" t="s">
        <v>804</v>
      </c>
      <c r="Q3479" t="s">
        <v>191</v>
      </c>
      <c r="R3479" t="s">
        <v>191</v>
      </c>
      <c r="S3479" s="1">
        <v>46125</v>
      </c>
      <c r="T3479" s="1">
        <v>46125</v>
      </c>
      <c r="U3479" s="1">
        <v>46228</v>
      </c>
      <c r="V3479" s="1">
        <v>46490</v>
      </c>
      <c r="W3479" t="s">
        <v>38</v>
      </c>
      <c r="X3479">
        <v>12</v>
      </c>
      <c r="Y3479" t="s">
        <v>49</v>
      </c>
      <c r="AA3479" t="s">
        <v>122</v>
      </c>
      <c r="AB3479">
        <v>12</v>
      </c>
      <c r="AC3479" t="s">
        <v>192</v>
      </c>
      <c r="AD3479" t="s">
        <v>118</v>
      </c>
      <c r="AE3479" t="s">
        <v>43</v>
      </c>
      <c r="AF3479" t="s">
        <v>119</v>
      </c>
      <c r="AG3479" t="str">
        <f t="shared" si="69"/>
        <v>Recorrente</v>
      </c>
      <c r="AH3479" t="str">
        <f t="shared" si="70"/>
        <v/>
      </c>
    </row>
    <row r="3480" spans="1:34">
      <c r="A3480">
        <v>2026</v>
      </c>
      <c r="B3480">
        <v>4</v>
      </c>
      <c r="C3480" s="83">
        <v>20614128499</v>
      </c>
      <c r="D3480" t="s">
        <v>3060</v>
      </c>
      <c r="E3480">
        <v>57978753963</v>
      </c>
      <c r="F3480">
        <v>636841</v>
      </c>
      <c r="G3480">
        <v>53808868472</v>
      </c>
      <c r="H3480" t="s">
        <v>35</v>
      </c>
      <c r="I3480" s="36">
        <v>12072.6</v>
      </c>
      <c r="J3480" s="36">
        <v>12072.6</v>
      </c>
      <c r="K3480" s="85">
        <v>1.8189900000000001E-12</v>
      </c>
      <c r="L3480" s="36">
        <v>1006.05</v>
      </c>
      <c r="M3480" s="36">
        <v>1006.05</v>
      </c>
      <c r="N3480" s="36">
        <v>0</v>
      </c>
      <c r="O3480" s="36">
        <v>0</v>
      </c>
      <c r="P3480" t="s">
        <v>348</v>
      </c>
      <c r="Q3480" t="s">
        <v>349</v>
      </c>
      <c r="R3480" t="s">
        <v>349</v>
      </c>
      <c r="S3480" s="1">
        <v>46113</v>
      </c>
      <c r="T3480" s="1">
        <v>46113</v>
      </c>
      <c r="U3480" s="1"/>
      <c r="V3480" s="1">
        <v>46478</v>
      </c>
      <c r="W3480" t="s">
        <v>38</v>
      </c>
      <c r="X3480">
        <v>12</v>
      </c>
      <c r="Y3480" t="s">
        <v>49</v>
      </c>
      <c r="AA3480" t="s">
        <v>112</v>
      </c>
      <c r="AB3480">
        <v>12</v>
      </c>
      <c r="AC3480" t="s">
        <v>350</v>
      </c>
      <c r="AD3480" t="s">
        <v>149</v>
      </c>
      <c r="AE3480" t="s">
        <v>43</v>
      </c>
      <c r="AF3480" t="s">
        <v>96</v>
      </c>
      <c r="AG3480" t="str">
        <f t="shared" si="69"/>
        <v>CC 12x</v>
      </c>
      <c r="AH3480" t="str">
        <f t="shared" si="70"/>
        <v/>
      </c>
    </row>
    <row r="3481" spans="1:34">
      <c r="A3481">
        <v>2026</v>
      </c>
      <c r="B3481">
        <v>4</v>
      </c>
      <c r="C3481" s="83">
        <v>2062006</v>
      </c>
      <c r="D3481" t="s">
        <v>3061</v>
      </c>
      <c r="E3481">
        <v>58002661468</v>
      </c>
      <c r="F3481">
        <v>292384</v>
      </c>
      <c r="G3481">
        <v>53214427714</v>
      </c>
      <c r="H3481" t="s">
        <v>35</v>
      </c>
      <c r="I3481" s="36">
        <v>8418.6</v>
      </c>
      <c r="J3481" s="36">
        <v>8418.6</v>
      </c>
      <c r="K3481" s="85">
        <v>0</v>
      </c>
      <c r="L3481" s="36">
        <v>701.55</v>
      </c>
      <c r="M3481" s="36">
        <v>0</v>
      </c>
      <c r="N3481" s="36">
        <v>136.22</v>
      </c>
      <c r="O3481" s="36">
        <v>565.33000000000004</v>
      </c>
      <c r="P3481" t="s">
        <v>165</v>
      </c>
      <c r="Q3481" t="s">
        <v>166</v>
      </c>
      <c r="R3481" t="s">
        <v>166</v>
      </c>
      <c r="S3481" s="1">
        <v>46139</v>
      </c>
      <c r="T3481" s="1">
        <v>46139</v>
      </c>
      <c r="U3481" s="1">
        <v>46141</v>
      </c>
      <c r="V3481" s="1">
        <v>46506</v>
      </c>
      <c r="W3481" t="s">
        <v>38</v>
      </c>
      <c r="X3481">
        <v>12</v>
      </c>
      <c r="Y3481" t="s">
        <v>49</v>
      </c>
      <c r="Z3481" t="s">
        <v>81</v>
      </c>
      <c r="AA3481" t="s">
        <v>122</v>
      </c>
      <c r="AB3481">
        <v>12</v>
      </c>
      <c r="AC3481" t="s">
        <v>166</v>
      </c>
      <c r="AD3481" t="s">
        <v>134</v>
      </c>
      <c r="AE3481" t="s">
        <v>135</v>
      </c>
      <c r="AF3481" t="s">
        <v>44</v>
      </c>
      <c r="AG3481" t="str">
        <f t="shared" si="69"/>
        <v>Recorrente</v>
      </c>
      <c r="AH3481" t="str">
        <f t="shared" si="70"/>
        <v/>
      </c>
    </row>
    <row r="3482" spans="1:34">
      <c r="A3482">
        <v>2026</v>
      </c>
      <c r="B3482">
        <v>4</v>
      </c>
      <c r="C3482" s="83">
        <v>2062128</v>
      </c>
      <c r="D3482" t="s">
        <v>3062</v>
      </c>
      <c r="E3482">
        <v>58934506279</v>
      </c>
      <c r="F3482">
        <v>636964</v>
      </c>
      <c r="G3482">
        <v>54119332783</v>
      </c>
      <c r="H3482" t="s">
        <v>35</v>
      </c>
      <c r="I3482" s="36">
        <v>4603.2</v>
      </c>
      <c r="J3482" s="36">
        <v>4603.2</v>
      </c>
      <c r="K3482" s="85">
        <v>0</v>
      </c>
      <c r="L3482" s="36">
        <v>383.6</v>
      </c>
      <c r="M3482" s="36">
        <v>383.6</v>
      </c>
      <c r="N3482" s="36">
        <v>0</v>
      </c>
      <c r="O3482" s="36">
        <v>0</v>
      </c>
      <c r="P3482" t="s">
        <v>506</v>
      </c>
      <c r="Q3482" t="s">
        <v>300</v>
      </c>
      <c r="R3482" t="s">
        <v>300</v>
      </c>
      <c r="S3482" s="1">
        <v>46121</v>
      </c>
      <c r="T3482" s="1">
        <v>46121</v>
      </c>
      <c r="V3482" s="1">
        <v>46486</v>
      </c>
      <c r="W3482" t="s">
        <v>38</v>
      </c>
      <c r="X3482">
        <v>12</v>
      </c>
      <c r="Y3482" t="s">
        <v>49</v>
      </c>
      <c r="AA3482" t="s">
        <v>112</v>
      </c>
      <c r="AB3482">
        <v>12</v>
      </c>
      <c r="AC3482" t="s">
        <v>301</v>
      </c>
      <c r="AD3482" t="s">
        <v>85</v>
      </c>
      <c r="AE3482" t="s">
        <v>46</v>
      </c>
      <c r="AF3482" t="s">
        <v>44</v>
      </c>
      <c r="AG3482" t="str">
        <f t="shared" si="69"/>
        <v>CC 12x</v>
      </c>
      <c r="AH3482" t="str">
        <f t="shared" si="70"/>
        <v/>
      </c>
    </row>
    <row r="3483" spans="1:34">
      <c r="A3483">
        <v>2026</v>
      </c>
      <c r="B3483">
        <v>4</v>
      </c>
      <c r="C3483" s="83">
        <v>2062740</v>
      </c>
      <c r="D3483" t="s">
        <v>3063</v>
      </c>
      <c r="E3483">
        <v>56551236149</v>
      </c>
      <c r="F3483">
        <v>612894</v>
      </c>
      <c r="G3483">
        <v>51823321642</v>
      </c>
      <c r="H3483" t="s">
        <v>35</v>
      </c>
      <c r="I3483" s="36">
        <v>2586.6</v>
      </c>
      <c r="J3483" s="36">
        <v>2586.6</v>
      </c>
      <c r="K3483" s="85">
        <v>0</v>
      </c>
      <c r="L3483" s="36">
        <v>215.55</v>
      </c>
      <c r="M3483" s="36">
        <v>0</v>
      </c>
      <c r="N3483" s="36">
        <v>32.71</v>
      </c>
      <c r="O3483" s="36">
        <v>182.84</v>
      </c>
      <c r="P3483" t="s">
        <v>165</v>
      </c>
      <c r="Q3483" t="s">
        <v>166</v>
      </c>
      <c r="R3483" t="s">
        <v>166</v>
      </c>
      <c r="S3483" s="1">
        <v>46116</v>
      </c>
      <c r="T3483" s="1">
        <v>46116</v>
      </c>
      <c r="U3483" s="1">
        <v>46116</v>
      </c>
      <c r="V3483" s="1">
        <v>46481</v>
      </c>
      <c r="W3483" t="s">
        <v>38</v>
      </c>
      <c r="X3483">
        <v>12</v>
      </c>
      <c r="Y3483" t="s">
        <v>49</v>
      </c>
      <c r="Z3483" t="s">
        <v>81</v>
      </c>
      <c r="AA3483" t="s">
        <v>112</v>
      </c>
      <c r="AB3483">
        <v>12</v>
      </c>
      <c r="AC3483" t="s">
        <v>166</v>
      </c>
      <c r="AD3483" t="s">
        <v>118</v>
      </c>
      <c r="AE3483" t="s">
        <v>43</v>
      </c>
      <c r="AF3483" t="s">
        <v>119</v>
      </c>
      <c r="AG3483" t="str">
        <f t="shared" si="69"/>
        <v>CC 12x</v>
      </c>
      <c r="AH3483" t="str">
        <f t="shared" si="70"/>
        <v/>
      </c>
    </row>
    <row r="3484" spans="1:34">
      <c r="A3484">
        <v>2026</v>
      </c>
      <c r="B3484">
        <v>4</v>
      </c>
      <c r="C3484" s="83">
        <v>2063205</v>
      </c>
      <c r="D3484" t="s">
        <v>3064</v>
      </c>
      <c r="E3484">
        <v>57485131641</v>
      </c>
      <c r="F3484">
        <v>312916</v>
      </c>
      <c r="G3484">
        <v>52761328296</v>
      </c>
      <c r="H3484" t="s">
        <v>35</v>
      </c>
      <c r="I3484" s="36">
        <v>5514</v>
      </c>
      <c r="J3484" s="36">
        <v>5514</v>
      </c>
      <c r="K3484" s="85">
        <v>0</v>
      </c>
      <c r="L3484" s="36">
        <v>459.5</v>
      </c>
      <c r="M3484" s="36">
        <v>0</v>
      </c>
      <c r="N3484" s="36">
        <v>73.400000000000006</v>
      </c>
      <c r="O3484" s="36">
        <v>386.1</v>
      </c>
      <c r="P3484" t="s">
        <v>165</v>
      </c>
      <c r="Q3484" t="s">
        <v>166</v>
      </c>
      <c r="R3484" t="s">
        <v>166</v>
      </c>
      <c r="S3484" s="1">
        <v>46126</v>
      </c>
      <c r="T3484" s="1">
        <v>46126</v>
      </c>
      <c r="U3484" s="1">
        <v>46126</v>
      </c>
      <c r="V3484" s="1">
        <v>46491</v>
      </c>
      <c r="W3484" t="s">
        <v>38</v>
      </c>
      <c r="X3484">
        <v>12</v>
      </c>
      <c r="Y3484" t="s">
        <v>49</v>
      </c>
      <c r="Z3484" t="s">
        <v>81</v>
      </c>
      <c r="AA3484" t="s">
        <v>122</v>
      </c>
      <c r="AB3484">
        <v>12</v>
      </c>
      <c r="AC3484" t="s">
        <v>166</v>
      </c>
      <c r="AD3484" t="s">
        <v>138</v>
      </c>
      <c r="AE3484" t="s">
        <v>135</v>
      </c>
      <c r="AF3484" t="s">
        <v>119</v>
      </c>
      <c r="AG3484" t="str">
        <f t="shared" si="69"/>
        <v>Recorrente</v>
      </c>
      <c r="AH3484" t="str">
        <f t="shared" si="70"/>
        <v/>
      </c>
    </row>
    <row r="3485" spans="1:34">
      <c r="A3485">
        <v>2026</v>
      </c>
      <c r="B3485">
        <v>4</v>
      </c>
      <c r="C3485" s="83">
        <v>206346858319</v>
      </c>
      <c r="D3485" t="s">
        <v>2236</v>
      </c>
      <c r="E3485">
        <v>59032362854</v>
      </c>
      <c r="F3485">
        <v>636996</v>
      </c>
      <c r="G3485">
        <v>54154663348</v>
      </c>
      <c r="H3485" t="s">
        <v>35</v>
      </c>
      <c r="I3485" s="36">
        <v>4896.24</v>
      </c>
      <c r="J3485" s="36">
        <v>4896.3</v>
      </c>
      <c r="K3485" s="85">
        <v>0</v>
      </c>
      <c r="L3485" s="36">
        <v>408.02499999999998</v>
      </c>
      <c r="M3485" s="36">
        <v>0</v>
      </c>
      <c r="N3485" s="36">
        <v>408.02499999999998</v>
      </c>
      <c r="O3485" s="36">
        <v>0</v>
      </c>
      <c r="P3485" t="s">
        <v>511</v>
      </c>
      <c r="Q3485" t="s">
        <v>300</v>
      </c>
      <c r="R3485" t="s">
        <v>191</v>
      </c>
      <c r="S3485" s="1">
        <v>46121</v>
      </c>
      <c r="T3485" s="1">
        <v>46121</v>
      </c>
      <c r="V3485" s="1">
        <v>46493</v>
      </c>
      <c r="W3485" t="s">
        <v>38</v>
      </c>
      <c r="X3485">
        <v>12</v>
      </c>
      <c r="Y3485" t="s">
        <v>49</v>
      </c>
      <c r="AA3485" t="s">
        <v>122</v>
      </c>
      <c r="AB3485">
        <v>12</v>
      </c>
      <c r="AC3485" t="s">
        <v>192</v>
      </c>
      <c r="AD3485" t="s">
        <v>229</v>
      </c>
      <c r="AE3485" t="s">
        <v>43</v>
      </c>
      <c r="AF3485" t="s">
        <v>96</v>
      </c>
      <c r="AG3485" t="str">
        <f t="shared" si="69"/>
        <v>Recorrente</v>
      </c>
      <c r="AH3485" t="str">
        <f t="shared" si="70"/>
        <v/>
      </c>
    </row>
    <row r="3486" spans="1:34">
      <c r="A3486">
        <v>2026</v>
      </c>
      <c r="B3486">
        <v>4</v>
      </c>
      <c r="C3486" s="83">
        <v>206458820146</v>
      </c>
      <c r="D3486" t="s">
        <v>731</v>
      </c>
      <c r="E3486">
        <v>56950668072</v>
      </c>
      <c r="F3486">
        <v>637159</v>
      </c>
      <c r="G3486">
        <v>54372453278</v>
      </c>
      <c r="H3486" t="s">
        <v>35</v>
      </c>
      <c r="I3486" s="36">
        <v>1969.44</v>
      </c>
      <c r="J3486" s="36">
        <v>189.70588000000001</v>
      </c>
      <c r="K3486" s="85">
        <v>1779.7341200000001</v>
      </c>
      <c r="L3486" s="36">
        <v>15.808823329999999</v>
      </c>
      <c r="M3486" s="36">
        <v>0</v>
      </c>
      <c r="N3486" s="36">
        <v>15.808823329999999</v>
      </c>
      <c r="O3486" s="36">
        <v>0</v>
      </c>
      <c r="P3486" t="s">
        <v>367</v>
      </c>
      <c r="Q3486" t="s">
        <v>191</v>
      </c>
      <c r="R3486" t="s">
        <v>191</v>
      </c>
      <c r="S3486" s="1">
        <v>46128</v>
      </c>
      <c r="T3486" s="1">
        <v>46128</v>
      </c>
      <c r="U3486" s="1"/>
      <c r="V3486" s="1">
        <v>46859</v>
      </c>
      <c r="W3486" t="s">
        <v>56</v>
      </c>
      <c r="Y3486" t="s">
        <v>49</v>
      </c>
      <c r="AA3486" t="s">
        <v>122</v>
      </c>
      <c r="AB3486">
        <v>24</v>
      </c>
      <c r="AC3486" t="s">
        <v>192</v>
      </c>
      <c r="AD3486" t="s">
        <v>368</v>
      </c>
      <c r="AE3486" t="s">
        <v>95</v>
      </c>
      <c r="AF3486" t="s">
        <v>59</v>
      </c>
      <c r="AG3486" t="str">
        <f t="shared" si="69"/>
        <v>Recorrente</v>
      </c>
      <c r="AH3486" t="str">
        <f t="shared" si="70"/>
        <v/>
      </c>
    </row>
    <row r="3487" spans="1:34">
      <c r="A3487">
        <v>2026</v>
      </c>
      <c r="B3487">
        <v>4</v>
      </c>
      <c r="C3487" s="83">
        <v>206458820146</v>
      </c>
      <c r="D3487" t="s">
        <v>731</v>
      </c>
      <c r="E3487">
        <v>56950668072</v>
      </c>
      <c r="F3487">
        <v>637159</v>
      </c>
      <c r="G3487">
        <v>54372453279</v>
      </c>
      <c r="H3487" t="s">
        <v>35</v>
      </c>
      <c r="I3487" s="36">
        <v>4510.8</v>
      </c>
      <c r="J3487" s="36">
        <v>434.5075377</v>
      </c>
      <c r="K3487" s="85">
        <v>4076.2924619999999</v>
      </c>
      <c r="L3487" s="36">
        <v>36.208961469999998</v>
      </c>
      <c r="M3487" s="36">
        <v>0</v>
      </c>
      <c r="N3487" s="36">
        <v>36.208961469999998</v>
      </c>
      <c r="O3487" s="36">
        <v>0</v>
      </c>
      <c r="P3487" t="s">
        <v>367</v>
      </c>
      <c r="Q3487" t="s">
        <v>191</v>
      </c>
      <c r="R3487" t="s">
        <v>191</v>
      </c>
      <c r="S3487" s="1">
        <v>46128</v>
      </c>
      <c r="T3487" s="1">
        <v>46128</v>
      </c>
      <c r="V3487" s="1">
        <v>46859</v>
      </c>
      <c r="W3487" t="s">
        <v>56</v>
      </c>
      <c r="Y3487" t="s">
        <v>49</v>
      </c>
      <c r="AA3487" t="s">
        <v>122</v>
      </c>
      <c r="AB3487">
        <v>24</v>
      </c>
      <c r="AC3487" t="s">
        <v>192</v>
      </c>
      <c r="AD3487" t="s">
        <v>256</v>
      </c>
      <c r="AE3487" t="s">
        <v>257</v>
      </c>
      <c r="AF3487" t="s">
        <v>59</v>
      </c>
      <c r="AG3487" t="str">
        <f t="shared" si="69"/>
        <v>Recorrente</v>
      </c>
      <c r="AH3487" t="str">
        <f t="shared" si="70"/>
        <v/>
      </c>
    </row>
    <row r="3488" spans="1:34">
      <c r="A3488">
        <v>2026</v>
      </c>
      <c r="B3488">
        <v>4</v>
      </c>
      <c r="C3488" s="83">
        <v>206458820146</v>
      </c>
      <c r="D3488" t="s">
        <v>731</v>
      </c>
      <c r="E3488">
        <v>56950668072</v>
      </c>
      <c r="F3488">
        <v>637159</v>
      </c>
      <c r="G3488">
        <v>54372453280</v>
      </c>
      <c r="H3488" t="s">
        <v>35</v>
      </c>
      <c r="I3488" s="36">
        <v>17514.48</v>
      </c>
      <c r="J3488" s="36">
        <v>1687.0951170000001</v>
      </c>
      <c r="K3488" s="85">
        <v>15827.38488</v>
      </c>
      <c r="L3488" s="36">
        <v>140.59125979999999</v>
      </c>
      <c r="M3488" s="36">
        <v>0</v>
      </c>
      <c r="N3488" s="36">
        <v>140.59125979999999</v>
      </c>
      <c r="O3488" s="36">
        <v>0</v>
      </c>
      <c r="P3488" t="s">
        <v>367</v>
      </c>
      <c r="Q3488" t="s">
        <v>191</v>
      </c>
      <c r="R3488" t="s">
        <v>191</v>
      </c>
      <c r="S3488" s="1">
        <v>46128</v>
      </c>
      <c r="T3488" s="1">
        <v>46128</v>
      </c>
      <c r="U3488" s="1"/>
      <c r="V3488" s="1">
        <v>46859</v>
      </c>
      <c r="W3488" t="s">
        <v>56</v>
      </c>
      <c r="Y3488" t="s">
        <v>49</v>
      </c>
      <c r="AA3488" t="s">
        <v>122</v>
      </c>
      <c r="AB3488">
        <v>24</v>
      </c>
      <c r="AC3488" t="s">
        <v>192</v>
      </c>
      <c r="AD3488" t="s">
        <v>131</v>
      </c>
      <c r="AE3488" t="s">
        <v>46</v>
      </c>
      <c r="AF3488" t="s">
        <v>96</v>
      </c>
      <c r="AG3488" t="str">
        <f t="shared" si="69"/>
        <v>Recorrente</v>
      </c>
      <c r="AH3488" t="str">
        <f t="shared" si="70"/>
        <v/>
      </c>
    </row>
    <row r="3489" spans="1:34">
      <c r="A3489">
        <v>2026</v>
      </c>
      <c r="B3489">
        <v>4</v>
      </c>
      <c r="C3489" s="83">
        <v>206458820146</v>
      </c>
      <c r="D3489" t="s">
        <v>731</v>
      </c>
      <c r="E3489">
        <v>56950668072</v>
      </c>
      <c r="F3489">
        <v>637159</v>
      </c>
      <c r="G3489">
        <v>54372453281</v>
      </c>
      <c r="H3489" t="s">
        <v>35</v>
      </c>
      <c r="I3489" s="36">
        <v>9189.84</v>
      </c>
      <c r="J3489" s="36">
        <v>885.22376699999995</v>
      </c>
      <c r="K3489" s="85">
        <v>8304.6162330000006</v>
      </c>
      <c r="L3489" s="36">
        <v>73.768647250000001</v>
      </c>
      <c r="M3489" s="36">
        <v>0</v>
      </c>
      <c r="N3489" s="36">
        <v>73.768647250000001</v>
      </c>
      <c r="O3489" s="36">
        <v>0</v>
      </c>
      <c r="P3489" t="s">
        <v>367</v>
      </c>
      <c r="Q3489" t="s">
        <v>191</v>
      </c>
      <c r="R3489" t="s">
        <v>191</v>
      </c>
      <c r="S3489" s="1">
        <v>46128</v>
      </c>
      <c r="T3489" s="1">
        <v>46128</v>
      </c>
      <c r="U3489" s="1"/>
      <c r="V3489" s="1">
        <v>46859</v>
      </c>
      <c r="W3489" t="s">
        <v>56</v>
      </c>
      <c r="Y3489" t="s">
        <v>49</v>
      </c>
      <c r="AA3489" t="s">
        <v>122</v>
      </c>
      <c r="AB3489">
        <v>24</v>
      </c>
      <c r="AC3489" t="s">
        <v>192</v>
      </c>
      <c r="AD3489" t="s">
        <v>84</v>
      </c>
      <c r="AE3489" t="s">
        <v>43</v>
      </c>
      <c r="AF3489" t="s">
        <v>44</v>
      </c>
      <c r="AG3489" t="str">
        <f t="shared" si="69"/>
        <v>Recorrente</v>
      </c>
      <c r="AH3489" t="str">
        <f t="shared" si="70"/>
        <v/>
      </c>
    </row>
    <row r="3490" spans="1:34">
      <c r="A3490">
        <v>2026</v>
      </c>
      <c r="B3490">
        <v>4</v>
      </c>
      <c r="C3490" s="83">
        <v>206458820146</v>
      </c>
      <c r="D3490" t="s">
        <v>731</v>
      </c>
      <c r="E3490">
        <v>56950668072</v>
      </c>
      <c r="F3490">
        <v>637159</v>
      </c>
      <c r="G3490">
        <v>54372453282</v>
      </c>
      <c r="H3490" t="s">
        <v>35</v>
      </c>
      <c r="I3490" s="36">
        <v>23199.119999999999</v>
      </c>
      <c r="J3490" s="36">
        <v>2234.688842</v>
      </c>
      <c r="K3490" s="85">
        <v>20964.43116</v>
      </c>
      <c r="L3490" s="36">
        <v>186.2240702</v>
      </c>
      <c r="M3490" s="36">
        <v>0</v>
      </c>
      <c r="N3490" s="36">
        <v>186.2240702</v>
      </c>
      <c r="O3490" s="36">
        <v>0</v>
      </c>
      <c r="P3490" t="s">
        <v>367</v>
      </c>
      <c r="Q3490" t="s">
        <v>191</v>
      </c>
      <c r="R3490" t="s">
        <v>191</v>
      </c>
      <c r="S3490" s="1">
        <v>46128</v>
      </c>
      <c r="T3490" s="1">
        <v>46128</v>
      </c>
      <c r="V3490" s="1">
        <v>46859</v>
      </c>
      <c r="W3490" t="s">
        <v>56</v>
      </c>
      <c r="Y3490" t="s">
        <v>49</v>
      </c>
      <c r="AA3490" t="s">
        <v>122</v>
      </c>
      <c r="AB3490">
        <v>24</v>
      </c>
      <c r="AC3490" t="s">
        <v>192</v>
      </c>
      <c r="AD3490" t="s">
        <v>351</v>
      </c>
      <c r="AE3490" t="s">
        <v>95</v>
      </c>
      <c r="AF3490" t="s">
        <v>96</v>
      </c>
      <c r="AG3490" t="str">
        <f t="shared" si="69"/>
        <v>Recorrente</v>
      </c>
      <c r="AH3490" t="str">
        <f t="shared" si="70"/>
        <v/>
      </c>
    </row>
    <row r="3491" spans="1:34">
      <c r="A3491">
        <v>2026</v>
      </c>
      <c r="B3491">
        <v>4</v>
      </c>
      <c r="C3491" s="83">
        <v>2064990</v>
      </c>
      <c r="D3491" t="s">
        <v>3065</v>
      </c>
      <c r="E3491">
        <v>58015689643</v>
      </c>
      <c r="F3491">
        <v>629166</v>
      </c>
      <c r="G3491">
        <v>53215390123</v>
      </c>
      <c r="H3491" t="s">
        <v>35</v>
      </c>
      <c r="I3491" s="36">
        <v>4638.6000000000004</v>
      </c>
      <c r="J3491" s="36">
        <v>4638.6000000000004</v>
      </c>
      <c r="K3491" s="85">
        <v>0</v>
      </c>
      <c r="L3491" s="36">
        <v>386.55</v>
      </c>
      <c r="M3491" s="36">
        <v>0</v>
      </c>
      <c r="N3491" s="36">
        <v>56.28</v>
      </c>
      <c r="O3491" s="36">
        <v>330.27</v>
      </c>
      <c r="P3491" t="s">
        <v>165</v>
      </c>
      <c r="Q3491" t="s">
        <v>166</v>
      </c>
      <c r="R3491" t="s">
        <v>166</v>
      </c>
      <c r="S3491" s="1">
        <v>46139</v>
      </c>
      <c r="T3491" s="1">
        <v>46139</v>
      </c>
      <c r="U3491" s="1">
        <v>46142</v>
      </c>
      <c r="V3491" s="1">
        <v>46507</v>
      </c>
      <c r="W3491" t="s">
        <v>38</v>
      </c>
      <c r="X3491">
        <v>12</v>
      </c>
      <c r="Y3491" t="s">
        <v>49</v>
      </c>
      <c r="Z3491" t="s">
        <v>81</v>
      </c>
      <c r="AA3491" t="s">
        <v>112</v>
      </c>
      <c r="AB3491">
        <v>12</v>
      </c>
      <c r="AC3491" t="s">
        <v>166</v>
      </c>
      <c r="AD3491" t="s">
        <v>163</v>
      </c>
      <c r="AE3491" t="s">
        <v>43</v>
      </c>
      <c r="AF3491" t="s">
        <v>96</v>
      </c>
      <c r="AG3491" t="str">
        <f t="shared" si="69"/>
        <v>CC 12x</v>
      </c>
      <c r="AH3491" t="str">
        <f t="shared" si="70"/>
        <v/>
      </c>
    </row>
    <row r="3492" spans="1:34">
      <c r="A3492">
        <v>2026</v>
      </c>
      <c r="B3492">
        <v>4</v>
      </c>
      <c r="C3492" s="83">
        <v>2065033</v>
      </c>
      <c r="D3492" t="s">
        <v>3066</v>
      </c>
      <c r="E3492">
        <v>58880033794</v>
      </c>
      <c r="F3492">
        <v>532287</v>
      </c>
      <c r="G3492">
        <v>54118556422</v>
      </c>
      <c r="H3492" t="s">
        <v>35</v>
      </c>
      <c r="I3492" s="36">
        <v>4099.68</v>
      </c>
      <c r="J3492" s="36">
        <v>4099.68</v>
      </c>
      <c r="K3492" s="85">
        <v>0</v>
      </c>
      <c r="L3492" s="36">
        <v>341.64</v>
      </c>
      <c r="M3492" s="36">
        <v>0</v>
      </c>
      <c r="N3492" s="36">
        <v>191.000955</v>
      </c>
      <c r="O3492" s="36">
        <v>150.63800000000001</v>
      </c>
      <c r="P3492" t="s">
        <v>110</v>
      </c>
      <c r="Q3492" t="s">
        <v>111</v>
      </c>
      <c r="R3492" t="s">
        <v>111</v>
      </c>
      <c r="S3492" s="1">
        <v>46120</v>
      </c>
      <c r="T3492" s="1">
        <v>46120</v>
      </c>
      <c r="U3492" s="1">
        <v>46118</v>
      </c>
      <c r="V3492" s="1">
        <v>46485</v>
      </c>
      <c r="W3492" t="s">
        <v>38</v>
      </c>
      <c r="X3492">
        <v>12</v>
      </c>
      <c r="Y3492" t="s">
        <v>49</v>
      </c>
      <c r="Z3492" t="s">
        <v>81</v>
      </c>
      <c r="AA3492" t="s">
        <v>112</v>
      </c>
      <c r="AB3492">
        <v>12</v>
      </c>
      <c r="AC3492" t="s">
        <v>113</v>
      </c>
      <c r="AD3492" t="s">
        <v>85</v>
      </c>
      <c r="AE3492" t="s">
        <v>46</v>
      </c>
      <c r="AF3492" t="s">
        <v>44</v>
      </c>
      <c r="AG3492" t="str">
        <f t="shared" si="69"/>
        <v>CC 12x</v>
      </c>
      <c r="AH3492" t="str">
        <f t="shared" si="70"/>
        <v/>
      </c>
    </row>
    <row r="3493" spans="1:34">
      <c r="A3493">
        <v>2026</v>
      </c>
      <c r="B3493">
        <v>4</v>
      </c>
      <c r="C3493" s="83">
        <v>2065614</v>
      </c>
      <c r="D3493" t="s">
        <v>3067</v>
      </c>
      <c r="E3493">
        <v>59148958072</v>
      </c>
      <c r="F3493">
        <v>637127</v>
      </c>
      <c r="G3493">
        <v>54294836883</v>
      </c>
      <c r="H3493" t="s">
        <v>35</v>
      </c>
      <c r="I3493" s="36">
        <v>4603.2</v>
      </c>
      <c r="J3493" s="36">
        <v>4603.2</v>
      </c>
      <c r="K3493" s="85">
        <v>0</v>
      </c>
      <c r="L3493" s="36">
        <v>383.6</v>
      </c>
      <c r="M3493" s="36">
        <v>383.6</v>
      </c>
      <c r="N3493" s="36">
        <v>0</v>
      </c>
      <c r="O3493" s="36">
        <v>0</v>
      </c>
      <c r="P3493" t="s">
        <v>506</v>
      </c>
      <c r="Q3493" t="s">
        <v>300</v>
      </c>
      <c r="R3493" t="s">
        <v>300</v>
      </c>
      <c r="S3493" s="1">
        <v>46128</v>
      </c>
      <c r="T3493" s="1">
        <v>46128</v>
      </c>
      <c r="V3493" s="1">
        <v>46493</v>
      </c>
      <c r="W3493" t="s">
        <v>38</v>
      </c>
      <c r="X3493">
        <v>12</v>
      </c>
      <c r="Y3493" t="s">
        <v>49</v>
      </c>
      <c r="AA3493" t="s">
        <v>112</v>
      </c>
      <c r="AB3493">
        <v>12</v>
      </c>
      <c r="AC3493" t="s">
        <v>301</v>
      </c>
      <c r="AD3493" t="s">
        <v>85</v>
      </c>
      <c r="AE3493" t="s">
        <v>46</v>
      </c>
      <c r="AF3493" t="s">
        <v>44</v>
      </c>
      <c r="AG3493" t="str">
        <f t="shared" si="69"/>
        <v>CC 12x</v>
      </c>
      <c r="AH3493" t="str">
        <f t="shared" si="70"/>
        <v/>
      </c>
    </row>
    <row r="3494" spans="1:34">
      <c r="A3494">
        <v>2026</v>
      </c>
      <c r="B3494">
        <v>4</v>
      </c>
      <c r="C3494" s="83">
        <v>2065696</v>
      </c>
      <c r="D3494" t="s">
        <v>3068</v>
      </c>
      <c r="E3494">
        <v>59167019383</v>
      </c>
      <c r="F3494">
        <v>312934</v>
      </c>
      <c r="G3494">
        <v>54801464359</v>
      </c>
      <c r="H3494" t="s">
        <v>35</v>
      </c>
      <c r="I3494" s="36">
        <v>2328</v>
      </c>
      <c r="J3494" s="36">
        <v>2328</v>
      </c>
      <c r="K3494" s="85">
        <v>0</v>
      </c>
      <c r="L3494" s="36">
        <v>194</v>
      </c>
      <c r="M3494" s="36">
        <v>0</v>
      </c>
      <c r="N3494" s="36">
        <v>0</v>
      </c>
      <c r="O3494" s="36">
        <v>194.002185</v>
      </c>
      <c r="P3494" t="s">
        <v>116</v>
      </c>
      <c r="Q3494" t="s">
        <v>111</v>
      </c>
      <c r="R3494" t="s">
        <v>111</v>
      </c>
      <c r="S3494" s="1">
        <v>46140</v>
      </c>
      <c r="T3494" s="1">
        <v>46140</v>
      </c>
      <c r="U3494" s="1">
        <v>46139</v>
      </c>
      <c r="V3494" s="1">
        <v>46505</v>
      </c>
      <c r="W3494" t="s">
        <v>38</v>
      </c>
      <c r="X3494">
        <v>12</v>
      </c>
      <c r="Y3494" t="s">
        <v>49</v>
      </c>
      <c r="Z3494" t="s">
        <v>81</v>
      </c>
      <c r="AA3494" t="s">
        <v>112</v>
      </c>
      <c r="AB3494">
        <v>12</v>
      </c>
      <c r="AC3494" t="s">
        <v>113</v>
      </c>
      <c r="AD3494" t="s">
        <v>118</v>
      </c>
      <c r="AE3494" t="s">
        <v>43</v>
      </c>
      <c r="AF3494" t="s">
        <v>119</v>
      </c>
      <c r="AG3494" t="str">
        <f t="shared" si="69"/>
        <v>CC 12x</v>
      </c>
      <c r="AH3494" t="str">
        <f t="shared" si="70"/>
        <v/>
      </c>
    </row>
    <row r="3495" spans="1:34">
      <c r="A3495">
        <v>2026</v>
      </c>
      <c r="B3495">
        <v>4</v>
      </c>
      <c r="C3495" s="83">
        <v>2067238</v>
      </c>
      <c r="D3495" t="s">
        <v>3069</v>
      </c>
      <c r="E3495">
        <v>59566639451</v>
      </c>
      <c r="F3495">
        <v>627666</v>
      </c>
      <c r="G3495">
        <v>54781467947</v>
      </c>
      <c r="H3495" t="s">
        <v>35</v>
      </c>
      <c r="I3495" s="36">
        <v>9100.44</v>
      </c>
      <c r="J3495" s="36">
        <v>4803.72</v>
      </c>
      <c r="K3495" s="85">
        <v>4296.72</v>
      </c>
      <c r="L3495" s="36">
        <v>400.31</v>
      </c>
      <c r="M3495" s="36">
        <v>0</v>
      </c>
      <c r="N3495" s="36">
        <v>400.31</v>
      </c>
      <c r="O3495" s="36">
        <v>0</v>
      </c>
      <c r="P3495" t="s">
        <v>367</v>
      </c>
      <c r="Q3495" t="s">
        <v>191</v>
      </c>
      <c r="R3495" t="s">
        <v>191</v>
      </c>
      <c r="S3495" s="1">
        <v>46140</v>
      </c>
      <c r="T3495" s="1">
        <v>46140</v>
      </c>
      <c r="U3495" s="1">
        <v>46831</v>
      </c>
      <c r="V3495" s="1">
        <v>46831</v>
      </c>
      <c r="W3495" t="s">
        <v>102</v>
      </c>
      <c r="X3495">
        <v>23</v>
      </c>
      <c r="Y3495" t="s">
        <v>49</v>
      </c>
      <c r="Z3495" t="s">
        <v>324</v>
      </c>
      <c r="AA3495" t="s">
        <v>122</v>
      </c>
      <c r="AB3495">
        <v>22</v>
      </c>
      <c r="AC3495" t="s">
        <v>192</v>
      </c>
      <c r="AD3495" t="s">
        <v>154</v>
      </c>
      <c r="AE3495" t="s">
        <v>46</v>
      </c>
      <c r="AF3495" t="s">
        <v>47</v>
      </c>
      <c r="AG3495" t="str">
        <f t="shared" si="69"/>
        <v>Recorrente</v>
      </c>
      <c r="AH3495" t="str">
        <f t="shared" si="70"/>
        <v/>
      </c>
    </row>
    <row r="3496" spans="1:34">
      <c r="A3496">
        <v>2026</v>
      </c>
      <c r="B3496">
        <v>4</v>
      </c>
      <c r="C3496" s="83">
        <v>2067431</v>
      </c>
      <c r="D3496" t="s">
        <v>3070</v>
      </c>
      <c r="E3496">
        <v>58997391965</v>
      </c>
      <c r="F3496">
        <v>311259</v>
      </c>
      <c r="G3496">
        <v>54149714230</v>
      </c>
      <c r="H3496" t="s">
        <v>35</v>
      </c>
      <c r="I3496" s="36">
        <v>3508.68</v>
      </c>
      <c r="J3496" s="36">
        <v>3508.68</v>
      </c>
      <c r="K3496" s="85">
        <v>0</v>
      </c>
      <c r="L3496" s="36">
        <v>292.39</v>
      </c>
      <c r="M3496" s="36">
        <v>0</v>
      </c>
      <c r="N3496" s="36">
        <v>2.14</v>
      </c>
      <c r="O3496" s="36">
        <v>290.25</v>
      </c>
      <c r="P3496" t="s">
        <v>133</v>
      </c>
      <c r="Q3496" t="s">
        <v>111</v>
      </c>
      <c r="R3496" t="s">
        <v>111</v>
      </c>
      <c r="S3496" s="1">
        <v>46122</v>
      </c>
      <c r="T3496" s="1">
        <v>46122</v>
      </c>
      <c r="U3496" s="1">
        <v>46120</v>
      </c>
      <c r="V3496" s="1">
        <v>46487</v>
      </c>
      <c r="W3496" t="s">
        <v>38</v>
      </c>
      <c r="X3496">
        <v>12</v>
      </c>
      <c r="Y3496" t="s">
        <v>49</v>
      </c>
      <c r="Z3496" t="s">
        <v>81</v>
      </c>
      <c r="AA3496" t="s">
        <v>117</v>
      </c>
      <c r="AB3496">
        <v>1</v>
      </c>
      <c r="AC3496" t="s">
        <v>113</v>
      </c>
      <c r="AD3496" t="s">
        <v>84</v>
      </c>
      <c r="AE3496" t="s">
        <v>43</v>
      </c>
      <c r="AF3496" t="s">
        <v>44</v>
      </c>
      <c r="AG3496" t="str">
        <f t="shared" si="69"/>
        <v>À Vista</v>
      </c>
      <c r="AH3496" t="str">
        <f t="shared" si="70"/>
        <v/>
      </c>
    </row>
    <row r="3497" spans="1:34">
      <c r="A3497">
        <v>2026</v>
      </c>
      <c r="B3497">
        <v>4</v>
      </c>
      <c r="C3497" s="83">
        <v>2068220</v>
      </c>
      <c r="D3497" t="s">
        <v>3071</v>
      </c>
      <c r="E3497">
        <v>59168007483</v>
      </c>
      <c r="F3497">
        <v>637103</v>
      </c>
      <c r="G3497">
        <v>54293914492</v>
      </c>
      <c r="H3497" t="s">
        <v>35</v>
      </c>
      <c r="I3497" s="36">
        <v>2874</v>
      </c>
      <c r="J3497" s="36">
        <v>2874</v>
      </c>
      <c r="K3497" s="85">
        <v>0</v>
      </c>
      <c r="L3497" s="36">
        <v>239.5</v>
      </c>
      <c r="M3497" s="36">
        <v>239.5</v>
      </c>
      <c r="N3497" s="36">
        <v>0</v>
      </c>
      <c r="O3497" s="36">
        <v>0</v>
      </c>
      <c r="P3497" t="s">
        <v>1073</v>
      </c>
      <c r="Q3497" t="s">
        <v>314</v>
      </c>
      <c r="R3497" t="s">
        <v>314</v>
      </c>
      <c r="S3497" s="1">
        <v>46127</v>
      </c>
      <c r="T3497" s="1">
        <v>46127</v>
      </c>
      <c r="U3497" s="1"/>
      <c r="V3497" s="1">
        <v>46492</v>
      </c>
      <c r="W3497" t="s">
        <v>38</v>
      </c>
      <c r="X3497">
        <v>12</v>
      </c>
      <c r="Y3497" t="s">
        <v>49</v>
      </c>
      <c r="AA3497" t="s">
        <v>122</v>
      </c>
      <c r="AB3497">
        <v>12</v>
      </c>
      <c r="AC3497" t="s">
        <v>315</v>
      </c>
      <c r="AD3497" t="s">
        <v>140</v>
      </c>
      <c r="AE3497" t="s">
        <v>46</v>
      </c>
      <c r="AF3497" t="s">
        <v>119</v>
      </c>
      <c r="AG3497" t="str">
        <f t="shared" si="69"/>
        <v>Recorrente</v>
      </c>
      <c r="AH3497" t="str">
        <f t="shared" si="70"/>
        <v/>
      </c>
    </row>
    <row r="3498" spans="1:34">
      <c r="A3498">
        <v>2026</v>
      </c>
      <c r="B3498">
        <v>4</v>
      </c>
      <c r="C3498" s="83">
        <v>2068827</v>
      </c>
      <c r="D3498" t="s">
        <v>3072</v>
      </c>
      <c r="E3498">
        <v>59246295952</v>
      </c>
      <c r="F3498">
        <v>628695</v>
      </c>
      <c r="G3498">
        <v>54804050970</v>
      </c>
      <c r="H3498" t="s">
        <v>35</v>
      </c>
      <c r="I3498" s="36">
        <v>4452.6000000000004</v>
      </c>
      <c r="J3498" s="36">
        <v>4452.6000000000004</v>
      </c>
      <c r="K3498" s="85">
        <v>0</v>
      </c>
      <c r="L3498" s="36">
        <v>371.05</v>
      </c>
      <c r="M3498" s="36">
        <v>0</v>
      </c>
      <c r="N3498" s="36">
        <v>6.3962500000000002</v>
      </c>
      <c r="O3498" s="36">
        <v>364.65</v>
      </c>
      <c r="P3498" t="s">
        <v>110</v>
      </c>
      <c r="Q3498" t="s">
        <v>111</v>
      </c>
      <c r="R3498" t="s">
        <v>111</v>
      </c>
      <c r="S3498" s="1">
        <v>46141</v>
      </c>
      <c r="T3498" s="1">
        <v>46141</v>
      </c>
      <c r="U3498" s="1">
        <v>46127</v>
      </c>
      <c r="V3498" s="1">
        <v>46506</v>
      </c>
      <c r="W3498" t="s">
        <v>38</v>
      </c>
      <c r="X3498">
        <v>12</v>
      </c>
      <c r="Y3498" t="s">
        <v>49</v>
      </c>
      <c r="Z3498" t="s">
        <v>81</v>
      </c>
      <c r="AA3498" t="s">
        <v>112</v>
      </c>
      <c r="AB3498">
        <v>12</v>
      </c>
      <c r="AC3498" t="s">
        <v>113</v>
      </c>
      <c r="AD3498" t="s">
        <v>138</v>
      </c>
      <c r="AE3498" t="s">
        <v>135</v>
      </c>
      <c r="AF3498" t="s">
        <v>119</v>
      </c>
      <c r="AG3498" t="str">
        <f t="shared" si="69"/>
        <v>CC 12x</v>
      </c>
      <c r="AH3498" t="str">
        <f t="shared" si="70"/>
        <v/>
      </c>
    </row>
    <row r="3499" spans="1:34">
      <c r="A3499">
        <v>2026</v>
      </c>
      <c r="B3499">
        <v>4</v>
      </c>
      <c r="C3499" s="83">
        <v>2068913</v>
      </c>
      <c r="D3499" t="s">
        <v>3073</v>
      </c>
      <c r="E3499">
        <v>59767553355</v>
      </c>
      <c r="F3499">
        <v>637443</v>
      </c>
      <c r="G3499">
        <v>54803956142</v>
      </c>
      <c r="H3499" t="s">
        <v>35</v>
      </c>
      <c r="I3499" s="36">
        <v>2874</v>
      </c>
      <c r="J3499" s="36">
        <v>2874</v>
      </c>
      <c r="K3499" s="85">
        <v>0</v>
      </c>
      <c r="L3499" s="36">
        <v>239.5</v>
      </c>
      <c r="M3499" s="36">
        <v>239.5</v>
      </c>
      <c r="N3499" s="36">
        <v>0</v>
      </c>
      <c r="O3499" s="36">
        <v>0</v>
      </c>
      <c r="P3499" t="s">
        <v>829</v>
      </c>
      <c r="Q3499" t="s">
        <v>300</v>
      </c>
      <c r="R3499" t="s">
        <v>300</v>
      </c>
      <c r="S3499" s="1">
        <v>46140</v>
      </c>
      <c r="T3499" s="1">
        <v>46140</v>
      </c>
      <c r="U3499" s="1"/>
      <c r="V3499" s="1">
        <v>46505</v>
      </c>
      <c r="W3499" t="s">
        <v>38</v>
      </c>
      <c r="X3499">
        <v>12</v>
      </c>
      <c r="Y3499" t="s">
        <v>49</v>
      </c>
      <c r="AA3499" t="s">
        <v>122</v>
      </c>
      <c r="AB3499">
        <v>12</v>
      </c>
      <c r="AC3499" t="s">
        <v>301</v>
      </c>
      <c r="AD3499" t="s">
        <v>140</v>
      </c>
      <c r="AE3499" t="s">
        <v>46</v>
      </c>
      <c r="AF3499" t="s">
        <v>119</v>
      </c>
      <c r="AG3499" t="str">
        <f t="shared" si="69"/>
        <v>Recorrente</v>
      </c>
      <c r="AH3499" t="str">
        <f t="shared" si="70"/>
        <v/>
      </c>
    </row>
    <row r="3500" spans="1:34">
      <c r="A3500">
        <v>2026</v>
      </c>
      <c r="B3500">
        <v>4</v>
      </c>
      <c r="C3500" s="83">
        <v>2069042</v>
      </c>
      <c r="D3500" t="s">
        <v>807</v>
      </c>
      <c r="E3500">
        <v>58952394411</v>
      </c>
      <c r="F3500">
        <v>623569</v>
      </c>
      <c r="G3500">
        <v>54079687709</v>
      </c>
      <c r="H3500" t="s">
        <v>35</v>
      </c>
      <c r="I3500" s="36">
        <v>3666.6</v>
      </c>
      <c r="J3500" s="36">
        <v>6171.96</v>
      </c>
      <c r="K3500" s="85">
        <v>0</v>
      </c>
      <c r="L3500" s="36">
        <v>514.33000000000004</v>
      </c>
      <c r="M3500" s="36">
        <v>0</v>
      </c>
      <c r="N3500" s="36">
        <v>514.33000000000004</v>
      </c>
      <c r="O3500" s="36">
        <v>0</v>
      </c>
      <c r="P3500" t="s">
        <v>469</v>
      </c>
      <c r="Q3500" t="s">
        <v>191</v>
      </c>
      <c r="R3500" t="s">
        <v>191</v>
      </c>
      <c r="S3500" s="1">
        <v>46120</v>
      </c>
      <c r="T3500" s="1">
        <v>46120</v>
      </c>
      <c r="U3500" s="1">
        <v>46337</v>
      </c>
      <c r="V3500" s="1">
        <v>46337</v>
      </c>
      <c r="W3500" t="s">
        <v>38</v>
      </c>
      <c r="X3500">
        <v>7</v>
      </c>
      <c r="Y3500" t="s">
        <v>49</v>
      </c>
      <c r="Z3500" t="s">
        <v>324</v>
      </c>
      <c r="AA3500" t="s">
        <v>122</v>
      </c>
      <c r="AB3500">
        <v>7</v>
      </c>
      <c r="AC3500" t="s">
        <v>192</v>
      </c>
      <c r="AD3500" t="s">
        <v>160</v>
      </c>
      <c r="AE3500" t="s">
        <v>43</v>
      </c>
      <c r="AF3500" t="s">
        <v>44</v>
      </c>
      <c r="AG3500" t="str">
        <f t="shared" si="69"/>
        <v>Recorrente</v>
      </c>
      <c r="AH3500" t="str">
        <f t="shared" si="70"/>
        <v/>
      </c>
    </row>
    <row r="3501" spans="1:34">
      <c r="A3501">
        <v>2026</v>
      </c>
      <c r="B3501">
        <v>4</v>
      </c>
      <c r="C3501" s="83">
        <v>2070063</v>
      </c>
      <c r="D3501" t="s">
        <v>3074</v>
      </c>
      <c r="E3501">
        <v>59235100995</v>
      </c>
      <c r="F3501">
        <v>637170</v>
      </c>
      <c r="G3501">
        <v>54372629423</v>
      </c>
      <c r="H3501" t="s">
        <v>35</v>
      </c>
      <c r="I3501" s="36">
        <v>3114</v>
      </c>
      <c r="J3501" s="36">
        <v>3114</v>
      </c>
      <c r="K3501" s="85">
        <v>0</v>
      </c>
      <c r="L3501" s="36">
        <v>259.5</v>
      </c>
      <c r="M3501" s="36">
        <v>259.5</v>
      </c>
      <c r="N3501" s="36">
        <v>0</v>
      </c>
      <c r="O3501" s="36">
        <v>0</v>
      </c>
      <c r="P3501" t="s">
        <v>511</v>
      </c>
      <c r="Q3501" t="s">
        <v>300</v>
      </c>
      <c r="R3501" t="s">
        <v>300</v>
      </c>
      <c r="S3501" s="1">
        <v>46129</v>
      </c>
      <c r="T3501" s="1">
        <v>46129</v>
      </c>
      <c r="U3501" s="1"/>
      <c r="V3501" s="1"/>
      <c r="W3501" t="s">
        <v>2733</v>
      </c>
      <c r="Y3501" t="s">
        <v>49</v>
      </c>
      <c r="AA3501" t="s">
        <v>122</v>
      </c>
      <c r="AB3501">
        <v>12</v>
      </c>
      <c r="AC3501" t="s">
        <v>301</v>
      </c>
      <c r="AD3501" t="s">
        <v>2734</v>
      </c>
      <c r="AE3501" t="s">
        <v>106</v>
      </c>
      <c r="AF3501" t="s">
        <v>59</v>
      </c>
      <c r="AG3501" t="str">
        <f t="shared" si="69"/>
        <v>Recorrente</v>
      </c>
      <c r="AH3501" t="str">
        <f t="shared" si="70"/>
        <v/>
      </c>
    </row>
    <row r="3502" spans="1:34">
      <c r="A3502">
        <v>2026</v>
      </c>
      <c r="B3502">
        <v>4</v>
      </c>
      <c r="C3502" s="83">
        <v>2072584</v>
      </c>
      <c r="D3502" t="s">
        <v>3075</v>
      </c>
      <c r="E3502">
        <v>56622511269</v>
      </c>
      <c r="F3502">
        <v>628337</v>
      </c>
      <c r="G3502">
        <v>51916043101</v>
      </c>
      <c r="H3502" t="s">
        <v>35</v>
      </c>
      <c r="I3502" s="36">
        <v>5178.6000000000004</v>
      </c>
      <c r="J3502" s="36">
        <v>5178.6000000000004</v>
      </c>
      <c r="K3502" s="85">
        <v>0</v>
      </c>
      <c r="L3502" s="36">
        <v>431.55</v>
      </c>
      <c r="M3502" s="36">
        <v>0</v>
      </c>
      <c r="N3502" s="36">
        <v>69.150000000000006</v>
      </c>
      <c r="O3502" s="36">
        <v>362.4</v>
      </c>
      <c r="P3502" t="s">
        <v>165</v>
      </c>
      <c r="Q3502" t="s">
        <v>166</v>
      </c>
      <c r="R3502" t="s">
        <v>166</v>
      </c>
      <c r="S3502" s="1">
        <v>46117</v>
      </c>
      <c r="T3502" s="1">
        <v>46117</v>
      </c>
      <c r="U3502" s="1">
        <v>46117</v>
      </c>
      <c r="V3502" s="1">
        <v>46482</v>
      </c>
      <c r="W3502" t="s">
        <v>38</v>
      </c>
      <c r="X3502">
        <v>12</v>
      </c>
      <c r="Y3502" t="s">
        <v>49</v>
      </c>
      <c r="Z3502" t="s">
        <v>81</v>
      </c>
      <c r="AA3502" t="s">
        <v>122</v>
      </c>
      <c r="AB3502">
        <v>12</v>
      </c>
      <c r="AC3502" t="s">
        <v>166</v>
      </c>
      <c r="AD3502" t="s">
        <v>85</v>
      </c>
      <c r="AE3502" t="s">
        <v>46</v>
      </c>
      <c r="AF3502" t="s">
        <v>44</v>
      </c>
      <c r="AG3502" t="str">
        <f t="shared" si="69"/>
        <v>Recorrente</v>
      </c>
      <c r="AH3502" t="str">
        <f t="shared" si="70"/>
        <v/>
      </c>
    </row>
    <row r="3503" spans="1:34">
      <c r="A3503">
        <v>2026</v>
      </c>
      <c r="B3503">
        <v>4</v>
      </c>
      <c r="C3503" s="83">
        <v>2074322</v>
      </c>
      <c r="D3503" t="s">
        <v>3076</v>
      </c>
      <c r="E3503">
        <v>59148582069</v>
      </c>
      <c r="F3503">
        <v>637240</v>
      </c>
      <c r="G3503">
        <v>54510198456</v>
      </c>
      <c r="H3503" t="s">
        <v>35</v>
      </c>
      <c r="I3503" s="36">
        <v>3114</v>
      </c>
      <c r="J3503" s="36">
        <v>3114</v>
      </c>
      <c r="K3503" s="85">
        <v>0</v>
      </c>
      <c r="L3503" s="36">
        <v>259.5</v>
      </c>
      <c r="M3503" s="36">
        <v>259.5</v>
      </c>
      <c r="N3503" s="36">
        <v>0</v>
      </c>
      <c r="O3503" s="36">
        <v>0</v>
      </c>
      <c r="P3503" t="s">
        <v>829</v>
      </c>
      <c r="Q3503" t="s">
        <v>300</v>
      </c>
      <c r="R3503" t="s">
        <v>300</v>
      </c>
      <c r="S3503" s="1">
        <v>46134</v>
      </c>
      <c r="T3503" s="1">
        <v>46134</v>
      </c>
      <c r="U3503" s="1"/>
      <c r="V3503" s="1">
        <v>46499</v>
      </c>
      <c r="W3503" t="s">
        <v>38</v>
      </c>
      <c r="X3503">
        <v>12</v>
      </c>
      <c r="Y3503" t="s">
        <v>49</v>
      </c>
      <c r="AA3503" t="s">
        <v>122</v>
      </c>
      <c r="AB3503">
        <v>12</v>
      </c>
      <c r="AC3503" t="s">
        <v>301</v>
      </c>
      <c r="AD3503" t="s">
        <v>2734</v>
      </c>
      <c r="AE3503" t="s">
        <v>106</v>
      </c>
      <c r="AF3503" t="s">
        <v>59</v>
      </c>
      <c r="AG3503" t="str">
        <f t="shared" si="69"/>
        <v>Recorrente</v>
      </c>
      <c r="AH3503" t="str">
        <f t="shared" si="70"/>
        <v/>
      </c>
    </row>
    <row r="3504" spans="1:34">
      <c r="A3504">
        <v>2026</v>
      </c>
      <c r="B3504">
        <v>4</v>
      </c>
      <c r="C3504" s="83">
        <v>2074774</v>
      </c>
      <c r="D3504" t="s">
        <v>3077</v>
      </c>
      <c r="E3504">
        <v>58322454628</v>
      </c>
      <c r="F3504">
        <v>313280</v>
      </c>
      <c r="G3504">
        <v>54282112802</v>
      </c>
      <c r="H3504" t="s">
        <v>35</v>
      </c>
      <c r="I3504" s="36">
        <v>7155.84</v>
      </c>
      <c r="J3504" s="36">
        <v>7155.84</v>
      </c>
      <c r="K3504" s="85">
        <v>0</v>
      </c>
      <c r="L3504" s="36">
        <v>596.32000000000005</v>
      </c>
      <c r="M3504" s="36">
        <v>0</v>
      </c>
      <c r="N3504" s="36">
        <v>79.02</v>
      </c>
      <c r="O3504" s="36">
        <v>517.29999999999995</v>
      </c>
      <c r="P3504" t="s">
        <v>162</v>
      </c>
      <c r="Q3504" t="s">
        <v>111</v>
      </c>
      <c r="R3504" t="s">
        <v>111</v>
      </c>
      <c r="S3504" s="1">
        <v>46136</v>
      </c>
      <c r="T3504" s="1">
        <v>46136</v>
      </c>
      <c r="U3504" s="1">
        <v>46136</v>
      </c>
      <c r="V3504" s="1">
        <v>46501</v>
      </c>
      <c r="W3504" t="s">
        <v>38</v>
      </c>
      <c r="X3504">
        <v>12</v>
      </c>
      <c r="Y3504" t="s">
        <v>49</v>
      </c>
      <c r="Z3504" t="s">
        <v>81</v>
      </c>
      <c r="AA3504" t="s">
        <v>112</v>
      </c>
      <c r="AB3504">
        <v>12</v>
      </c>
      <c r="AC3504" t="s">
        <v>113</v>
      </c>
      <c r="AD3504" t="s">
        <v>134</v>
      </c>
      <c r="AE3504" t="s">
        <v>135</v>
      </c>
      <c r="AF3504" t="s">
        <v>44</v>
      </c>
      <c r="AG3504" t="str">
        <f t="shared" si="69"/>
        <v>CC 12x</v>
      </c>
      <c r="AH3504" t="str">
        <f t="shared" si="70"/>
        <v/>
      </c>
    </row>
    <row r="3505" spans="1:34">
      <c r="A3505">
        <v>2026</v>
      </c>
      <c r="B3505">
        <v>4</v>
      </c>
      <c r="C3505" s="83">
        <v>2075269</v>
      </c>
      <c r="D3505" t="s">
        <v>3078</v>
      </c>
      <c r="E3505">
        <v>59170129317</v>
      </c>
      <c r="F3505">
        <v>637089</v>
      </c>
      <c r="G3505">
        <v>54283336302</v>
      </c>
      <c r="H3505" t="s">
        <v>35</v>
      </c>
      <c r="I3505" s="36">
        <v>3114</v>
      </c>
      <c r="J3505" s="36">
        <v>3114</v>
      </c>
      <c r="K3505" s="85">
        <v>0</v>
      </c>
      <c r="L3505" s="36">
        <v>259.5</v>
      </c>
      <c r="M3505" s="36">
        <v>259.5</v>
      </c>
      <c r="N3505" s="36">
        <v>0</v>
      </c>
      <c r="O3505" s="36">
        <v>0</v>
      </c>
      <c r="P3505" t="s">
        <v>506</v>
      </c>
      <c r="Q3505" t="s">
        <v>300</v>
      </c>
      <c r="R3505" t="s">
        <v>300</v>
      </c>
      <c r="S3505" s="1">
        <v>46126</v>
      </c>
      <c r="T3505" s="1">
        <v>46126</v>
      </c>
      <c r="U3505" s="1"/>
      <c r="V3505" s="1"/>
      <c r="W3505" t="s">
        <v>2733</v>
      </c>
      <c r="Y3505" t="s">
        <v>49</v>
      </c>
      <c r="AA3505" t="s">
        <v>122</v>
      </c>
      <c r="AB3505">
        <v>12</v>
      </c>
      <c r="AC3505" t="s">
        <v>301</v>
      </c>
      <c r="AD3505" t="s">
        <v>2734</v>
      </c>
      <c r="AE3505" t="s">
        <v>106</v>
      </c>
      <c r="AF3505" t="s">
        <v>59</v>
      </c>
      <c r="AG3505" t="str">
        <f t="shared" si="69"/>
        <v>Recorrente</v>
      </c>
      <c r="AH3505" t="str">
        <f t="shared" si="70"/>
        <v/>
      </c>
    </row>
    <row r="3506" spans="1:34">
      <c r="A3506">
        <v>2026</v>
      </c>
      <c r="B3506">
        <v>4</v>
      </c>
      <c r="C3506" s="83">
        <v>2076813</v>
      </c>
      <c r="D3506" t="s">
        <v>3079</v>
      </c>
      <c r="E3506">
        <v>57484668948</v>
      </c>
      <c r="F3506">
        <v>532799</v>
      </c>
      <c r="G3506">
        <v>52771960726</v>
      </c>
      <c r="H3506" t="s">
        <v>35</v>
      </c>
      <c r="I3506" s="36">
        <v>4315.4399999999996</v>
      </c>
      <c r="J3506" s="36">
        <v>4315.4399999999996</v>
      </c>
      <c r="K3506" s="85">
        <v>0</v>
      </c>
      <c r="L3506" s="36">
        <v>359.62</v>
      </c>
      <c r="M3506" s="36">
        <v>0</v>
      </c>
      <c r="N3506" s="36">
        <v>70.875</v>
      </c>
      <c r="O3506" s="36">
        <v>288.75</v>
      </c>
      <c r="P3506" t="s">
        <v>165</v>
      </c>
      <c r="Q3506" t="s">
        <v>166</v>
      </c>
      <c r="R3506" t="s">
        <v>166</v>
      </c>
      <c r="S3506" s="1">
        <v>46125</v>
      </c>
      <c r="T3506" s="1">
        <v>46125</v>
      </c>
      <c r="U3506" s="1">
        <v>46125</v>
      </c>
      <c r="V3506" s="1">
        <v>46490</v>
      </c>
      <c r="W3506" t="s">
        <v>38</v>
      </c>
      <c r="X3506">
        <v>12</v>
      </c>
      <c r="Y3506" t="s">
        <v>49</v>
      </c>
      <c r="Z3506" t="s">
        <v>81</v>
      </c>
      <c r="AA3506" t="s">
        <v>112</v>
      </c>
      <c r="AB3506">
        <v>12</v>
      </c>
      <c r="AC3506" t="s">
        <v>166</v>
      </c>
      <c r="AD3506" t="s">
        <v>85</v>
      </c>
      <c r="AE3506" t="s">
        <v>46</v>
      </c>
      <c r="AF3506" t="s">
        <v>44</v>
      </c>
      <c r="AG3506" t="str">
        <f t="shared" si="69"/>
        <v>CC 12x</v>
      </c>
      <c r="AH3506" t="str">
        <f t="shared" si="70"/>
        <v/>
      </c>
    </row>
    <row r="3507" spans="1:34">
      <c r="A3507">
        <v>2026</v>
      </c>
      <c r="B3507">
        <v>4</v>
      </c>
      <c r="C3507" s="83">
        <v>2077400</v>
      </c>
      <c r="D3507" t="s">
        <v>3080</v>
      </c>
      <c r="E3507">
        <v>58959130419</v>
      </c>
      <c r="F3507">
        <v>636971</v>
      </c>
      <c r="G3507">
        <v>54118571078</v>
      </c>
      <c r="H3507" t="s">
        <v>35</v>
      </c>
      <c r="I3507" s="36">
        <v>3114</v>
      </c>
      <c r="J3507" s="36">
        <v>3114</v>
      </c>
      <c r="K3507" s="85">
        <v>0</v>
      </c>
      <c r="L3507" s="36">
        <v>259.5</v>
      </c>
      <c r="M3507" s="36">
        <v>259.5</v>
      </c>
      <c r="N3507" s="36">
        <v>0</v>
      </c>
      <c r="O3507" s="36">
        <v>0</v>
      </c>
      <c r="P3507" t="s">
        <v>2004</v>
      </c>
      <c r="Q3507" t="s">
        <v>300</v>
      </c>
      <c r="R3507" t="s">
        <v>300</v>
      </c>
      <c r="S3507" s="1">
        <v>46121</v>
      </c>
      <c r="T3507" s="1">
        <v>46121</v>
      </c>
      <c r="U3507" s="1"/>
      <c r="V3507" s="1"/>
      <c r="W3507" t="s">
        <v>2733</v>
      </c>
      <c r="Y3507" t="s">
        <v>49</v>
      </c>
      <c r="AA3507" t="s">
        <v>122</v>
      </c>
      <c r="AB3507">
        <v>12</v>
      </c>
      <c r="AC3507" t="s">
        <v>301</v>
      </c>
      <c r="AD3507" t="s">
        <v>2734</v>
      </c>
      <c r="AE3507" t="s">
        <v>106</v>
      </c>
      <c r="AF3507" t="s">
        <v>59</v>
      </c>
      <c r="AG3507" t="str">
        <f t="shared" si="69"/>
        <v>Recorrente</v>
      </c>
      <c r="AH3507" t="str">
        <f t="shared" si="70"/>
        <v/>
      </c>
    </row>
    <row r="3508" spans="1:34">
      <c r="A3508">
        <v>2026</v>
      </c>
      <c r="B3508">
        <v>4</v>
      </c>
      <c r="C3508" s="83">
        <v>2078097</v>
      </c>
      <c r="D3508" t="s">
        <v>3081</v>
      </c>
      <c r="E3508">
        <v>56951407734</v>
      </c>
      <c r="F3508">
        <v>628471</v>
      </c>
      <c r="G3508">
        <v>52196856607</v>
      </c>
      <c r="H3508" t="s">
        <v>35</v>
      </c>
      <c r="I3508" s="36">
        <v>3450.6</v>
      </c>
      <c r="J3508" s="36">
        <v>3450.6</v>
      </c>
      <c r="K3508" s="85">
        <v>0</v>
      </c>
      <c r="L3508" s="36">
        <v>287.55</v>
      </c>
      <c r="M3508" s="36">
        <v>0</v>
      </c>
      <c r="N3508" s="36">
        <v>49.15</v>
      </c>
      <c r="O3508" s="36">
        <v>238.4</v>
      </c>
      <c r="P3508" t="s">
        <v>165</v>
      </c>
      <c r="Q3508" t="s">
        <v>166</v>
      </c>
      <c r="R3508" t="s">
        <v>166</v>
      </c>
      <c r="S3508" s="1">
        <v>46122</v>
      </c>
      <c r="T3508" s="1">
        <v>46122</v>
      </c>
      <c r="U3508" s="1">
        <v>46122</v>
      </c>
      <c r="V3508" s="1">
        <v>46487</v>
      </c>
      <c r="W3508" t="s">
        <v>38</v>
      </c>
      <c r="X3508">
        <v>12</v>
      </c>
      <c r="Y3508" t="s">
        <v>49</v>
      </c>
      <c r="Z3508" t="s">
        <v>81</v>
      </c>
      <c r="AA3508" t="s">
        <v>122</v>
      </c>
      <c r="AB3508">
        <v>12</v>
      </c>
      <c r="AC3508" t="s">
        <v>166</v>
      </c>
      <c r="AD3508" t="s">
        <v>142</v>
      </c>
      <c r="AE3508" t="s">
        <v>95</v>
      </c>
      <c r="AF3508" t="s">
        <v>44</v>
      </c>
      <c r="AG3508" t="str">
        <f t="shared" si="69"/>
        <v>Recorrente</v>
      </c>
      <c r="AH3508" t="str">
        <f t="shared" si="70"/>
        <v/>
      </c>
    </row>
    <row r="3509" spans="1:34">
      <c r="A3509">
        <v>2026</v>
      </c>
      <c r="B3509">
        <v>4</v>
      </c>
      <c r="C3509" s="83">
        <v>2078241</v>
      </c>
      <c r="D3509" t="s">
        <v>3082</v>
      </c>
      <c r="E3509">
        <v>59146492182</v>
      </c>
      <c r="F3509">
        <v>637056</v>
      </c>
      <c r="G3509">
        <v>54269302123</v>
      </c>
      <c r="H3509" t="s">
        <v>35</v>
      </c>
      <c r="I3509" s="36">
        <v>3825.84</v>
      </c>
      <c r="J3509" s="36">
        <v>3825.84</v>
      </c>
      <c r="K3509" s="85">
        <v>0</v>
      </c>
      <c r="L3509" s="36">
        <v>318.82</v>
      </c>
      <c r="M3509" s="36">
        <v>318.82</v>
      </c>
      <c r="N3509" s="36">
        <v>0</v>
      </c>
      <c r="O3509" s="36">
        <v>0</v>
      </c>
      <c r="P3509" t="s">
        <v>829</v>
      </c>
      <c r="Q3509" t="s">
        <v>300</v>
      </c>
      <c r="R3509" t="s">
        <v>300</v>
      </c>
      <c r="S3509" s="1">
        <v>46125</v>
      </c>
      <c r="T3509" s="1">
        <v>46125</v>
      </c>
      <c r="U3509" s="1"/>
      <c r="V3509" s="1">
        <v>46490</v>
      </c>
      <c r="W3509" t="s">
        <v>38</v>
      </c>
      <c r="X3509">
        <v>12</v>
      </c>
      <c r="Y3509" t="s">
        <v>49</v>
      </c>
      <c r="AA3509" t="s">
        <v>112</v>
      </c>
      <c r="AB3509">
        <v>1</v>
      </c>
      <c r="AC3509" t="s">
        <v>301</v>
      </c>
      <c r="AD3509" t="s">
        <v>84</v>
      </c>
      <c r="AE3509" t="s">
        <v>43</v>
      </c>
      <c r="AF3509" t="s">
        <v>44</v>
      </c>
      <c r="AG3509" t="str">
        <f t="shared" si="69"/>
        <v>À Vista</v>
      </c>
      <c r="AH3509" t="str">
        <f t="shared" si="70"/>
        <v/>
      </c>
    </row>
    <row r="3510" spans="1:34">
      <c r="A3510">
        <v>2026</v>
      </c>
      <c r="B3510">
        <v>4</v>
      </c>
      <c r="C3510" s="83">
        <v>2079338</v>
      </c>
      <c r="D3510" t="s">
        <v>3083</v>
      </c>
      <c r="E3510">
        <v>57516539278</v>
      </c>
      <c r="F3510">
        <v>312287</v>
      </c>
      <c r="G3510">
        <v>52743555487</v>
      </c>
      <c r="H3510" t="s">
        <v>35</v>
      </c>
      <c r="I3510" s="36">
        <v>3666.6</v>
      </c>
      <c r="J3510" s="36">
        <v>3666.6</v>
      </c>
      <c r="K3510" s="85">
        <v>0</v>
      </c>
      <c r="L3510" s="36">
        <v>305.55</v>
      </c>
      <c r="M3510" s="36">
        <v>0</v>
      </c>
      <c r="N3510" s="36">
        <v>58.35</v>
      </c>
      <c r="O3510" s="36">
        <v>247.2</v>
      </c>
      <c r="P3510" t="s">
        <v>165</v>
      </c>
      <c r="Q3510" t="s">
        <v>166</v>
      </c>
      <c r="R3510" t="s">
        <v>166</v>
      </c>
      <c r="S3510" s="1">
        <v>46124</v>
      </c>
      <c r="T3510" s="1">
        <v>46124</v>
      </c>
      <c r="U3510" s="1">
        <v>46124</v>
      </c>
      <c r="V3510" s="1">
        <v>46489</v>
      </c>
      <c r="W3510" t="s">
        <v>38</v>
      </c>
      <c r="X3510">
        <v>12</v>
      </c>
      <c r="Y3510" t="s">
        <v>49</v>
      </c>
      <c r="Z3510" t="s">
        <v>81</v>
      </c>
      <c r="AA3510" t="s">
        <v>112</v>
      </c>
      <c r="AB3510">
        <v>12</v>
      </c>
      <c r="AC3510" t="s">
        <v>166</v>
      </c>
      <c r="AD3510" t="s">
        <v>114</v>
      </c>
      <c r="AE3510" t="s">
        <v>43</v>
      </c>
      <c r="AF3510" t="s">
        <v>44</v>
      </c>
      <c r="AG3510" t="str">
        <f t="shared" si="69"/>
        <v>CC 12x</v>
      </c>
      <c r="AH3510" t="str">
        <f t="shared" si="70"/>
        <v/>
      </c>
    </row>
    <row r="3511" spans="1:34">
      <c r="A3511">
        <v>2026</v>
      </c>
      <c r="B3511">
        <v>4</v>
      </c>
      <c r="C3511" s="83">
        <v>2079345</v>
      </c>
      <c r="D3511" t="s">
        <v>3084</v>
      </c>
      <c r="E3511">
        <v>58865031096</v>
      </c>
      <c r="F3511">
        <v>612613</v>
      </c>
      <c r="G3511">
        <v>54006912796</v>
      </c>
      <c r="H3511" t="s">
        <v>35</v>
      </c>
      <c r="I3511" s="36">
        <v>8418.6</v>
      </c>
      <c r="J3511" s="36">
        <v>8418.6</v>
      </c>
      <c r="K3511" s="85">
        <v>0</v>
      </c>
      <c r="L3511" s="36">
        <v>701.55</v>
      </c>
      <c r="M3511" s="36">
        <v>0</v>
      </c>
      <c r="N3511" s="36">
        <v>104.81</v>
      </c>
      <c r="O3511" s="36">
        <v>596.74</v>
      </c>
      <c r="P3511" t="s">
        <v>162</v>
      </c>
      <c r="Q3511" t="s">
        <v>111</v>
      </c>
      <c r="R3511" t="s">
        <v>111</v>
      </c>
      <c r="S3511" s="1">
        <v>46118</v>
      </c>
      <c r="T3511" s="1">
        <v>46118</v>
      </c>
      <c r="U3511" s="1">
        <v>46117</v>
      </c>
      <c r="V3511" s="1">
        <v>46483</v>
      </c>
      <c r="W3511" t="s">
        <v>38</v>
      </c>
      <c r="X3511">
        <v>12</v>
      </c>
      <c r="Y3511" t="s">
        <v>49</v>
      </c>
      <c r="Z3511" t="s">
        <v>81</v>
      </c>
      <c r="AA3511" t="s">
        <v>112</v>
      </c>
      <c r="AB3511">
        <v>12</v>
      </c>
      <c r="AC3511" t="s">
        <v>113</v>
      </c>
      <c r="AD3511" t="s">
        <v>134</v>
      </c>
      <c r="AE3511" t="s">
        <v>135</v>
      </c>
      <c r="AF3511" t="s">
        <v>44</v>
      </c>
      <c r="AG3511" t="str">
        <f t="shared" si="69"/>
        <v>CC 12x</v>
      </c>
      <c r="AH3511" t="str">
        <f t="shared" si="70"/>
        <v/>
      </c>
    </row>
    <row r="3512" spans="1:34">
      <c r="A3512">
        <v>2026</v>
      </c>
      <c r="B3512">
        <v>4</v>
      </c>
      <c r="C3512" s="83">
        <v>2079884</v>
      </c>
      <c r="D3512" t="s">
        <v>3085</v>
      </c>
      <c r="E3512">
        <v>58911587456</v>
      </c>
      <c r="F3512">
        <v>636918</v>
      </c>
      <c r="G3512">
        <v>54041986651</v>
      </c>
      <c r="H3512" t="s">
        <v>35</v>
      </c>
      <c r="I3512" s="36">
        <v>8557.68</v>
      </c>
      <c r="J3512" s="36">
        <v>4278.8496599999999</v>
      </c>
      <c r="K3512" s="85">
        <v>4278.8303400000004</v>
      </c>
      <c r="L3512" s="36">
        <v>356.57080500000001</v>
      </c>
      <c r="M3512" s="36">
        <v>356.57080500000001</v>
      </c>
      <c r="N3512" s="36">
        <v>0</v>
      </c>
      <c r="O3512" s="36">
        <v>0</v>
      </c>
      <c r="P3512" t="s">
        <v>367</v>
      </c>
      <c r="Q3512" t="s">
        <v>191</v>
      </c>
      <c r="R3512" t="s">
        <v>300</v>
      </c>
      <c r="S3512" s="1">
        <v>46119</v>
      </c>
      <c r="T3512" s="1">
        <v>46119</v>
      </c>
      <c r="V3512" s="1">
        <v>46850</v>
      </c>
      <c r="W3512" t="s">
        <v>56</v>
      </c>
      <c r="X3512">
        <v>24</v>
      </c>
      <c r="Y3512" t="s">
        <v>49</v>
      </c>
      <c r="AA3512" t="s">
        <v>122</v>
      </c>
      <c r="AB3512">
        <v>24</v>
      </c>
      <c r="AC3512" t="s">
        <v>301</v>
      </c>
      <c r="AD3512" t="s">
        <v>84</v>
      </c>
      <c r="AE3512" t="s">
        <v>43</v>
      </c>
      <c r="AF3512" t="s">
        <v>44</v>
      </c>
      <c r="AG3512" t="str">
        <f t="shared" si="69"/>
        <v>Recorrente</v>
      </c>
      <c r="AH3512" t="str">
        <f t="shared" si="70"/>
        <v/>
      </c>
    </row>
    <row r="3513" spans="1:34">
      <c r="A3513">
        <v>2026</v>
      </c>
      <c r="B3513">
        <v>4</v>
      </c>
      <c r="C3513" s="83">
        <v>2079907</v>
      </c>
      <c r="D3513" t="s">
        <v>3086</v>
      </c>
      <c r="E3513">
        <v>59224745304</v>
      </c>
      <c r="F3513">
        <v>637166</v>
      </c>
      <c r="G3513">
        <v>54377561666</v>
      </c>
      <c r="H3513" t="s">
        <v>35</v>
      </c>
      <c r="I3513" s="36">
        <v>2759.04</v>
      </c>
      <c r="J3513" s="36">
        <v>2759.04</v>
      </c>
      <c r="K3513" s="85">
        <v>0</v>
      </c>
      <c r="L3513" s="36">
        <v>229.92</v>
      </c>
      <c r="M3513" s="36">
        <v>229.92</v>
      </c>
      <c r="N3513" s="36">
        <v>0</v>
      </c>
      <c r="O3513" s="36">
        <v>0</v>
      </c>
      <c r="P3513" t="s">
        <v>829</v>
      </c>
      <c r="Q3513" t="s">
        <v>300</v>
      </c>
      <c r="R3513" t="s">
        <v>300</v>
      </c>
      <c r="S3513" s="1">
        <v>46129</v>
      </c>
      <c r="T3513" s="1">
        <v>46129</v>
      </c>
      <c r="U3513" s="1"/>
      <c r="V3513" s="1">
        <v>46494</v>
      </c>
      <c r="W3513" t="s">
        <v>38</v>
      </c>
      <c r="X3513">
        <v>12</v>
      </c>
      <c r="Y3513" t="s">
        <v>49</v>
      </c>
      <c r="AA3513" t="s">
        <v>112</v>
      </c>
      <c r="AB3513">
        <v>12</v>
      </c>
      <c r="AC3513" t="s">
        <v>301</v>
      </c>
      <c r="AD3513" t="s">
        <v>118</v>
      </c>
      <c r="AE3513" t="s">
        <v>43</v>
      </c>
      <c r="AF3513" t="s">
        <v>119</v>
      </c>
      <c r="AG3513" t="str">
        <f t="shared" si="69"/>
        <v>CC 12x</v>
      </c>
      <c r="AH3513" t="str">
        <f t="shared" si="70"/>
        <v/>
      </c>
    </row>
    <row r="3514" spans="1:34">
      <c r="A3514">
        <v>2026</v>
      </c>
      <c r="B3514">
        <v>4</v>
      </c>
      <c r="C3514" s="83">
        <v>2080360</v>
      </c>
      <c r="D3514" t="s">
        <v>1438</v>
      </c>
      <c r="E3514">
        <v>59718316212</v>
      </c>
      <c r="F3514">
        <v>629034</v>
      </c>
      <c r="G3514">
        <v>54878857008</v>
      </c>
      <c r="H3514" t="s">
        <v>35</v>
      </c>
      <c r="I3514" s="36">
        <v>2320.8000000000002</v>
      </c>
      <c r="J3514" s="36">
        <v>2320.8000000000002</v>
      </c>
      <c r="K3514" s="85">
        <v>0</v>
      </c>
      <c r="L3514" s="36">
        <v>193.4</v>
      </c>
      <c r="M3514" s="36">
        <v>0</v>
      </c>
      <c r="N3514" s="36">
        <v>14.14625</v>
      </c>
      <c r="O3514" s="36">
        <v>179.25</v>
      </c>
      <c r="P3514" t="s">
        <v>116</v>
      </c>
      <c r="Q3514" t="s">
        <v>111</v>
      </c>
      <c r="R3514" t="s">
        <v>111</v>
      </c>
      <c r="S3514" s="1">
        <v>46141</v>
      </c>
      <c r="T3514" s="1">
        <v>46141</v>
      </c>
      <c r="U3514" s="1">
        <v>46140</v>
      </c>
      <c r="V3514" s="1">
        <v>46506</v>
      </c>
      <c r="W3514" t="s">
        <v>38</v>
      </c>
      <c r="X3514">
        <v>12</v>
      </c>
      <c r="Y3514" t="s">
        <v>49</v>
      </c>
      <c r="Z3514" t="s">
        <v>81</v>
      </c>
      <c r="AA3514" t="s">
        <v>122</v>
      </c>
      <c r="AB3514">
        <v>12</v>
      </c>
      <c r="AC3514" t="s">
        <v>113</v>
      </c>
      <c r="AD3514" t="s">
        <v>118</v>
      </c>
      <c r="AE3514" t="s">
        <v>43</v>
      </c>
      <c r="AF3514" t="s">
        <v>119</v>
      </c>
      <c r="AG3514" t="str">
        <f t="shared" si="69"/>
        <v>Recorrente</v>
      </c>
      <c r="AH3514" t="str">
        <f t="shared" si="70"/>
        <v/>
      </c>
    </row>
    <row r="3515" spans="1:34">
      <c r="A3515">
        <v>2026</v>
      </c>
      <c r="B3515">
        <v>4</v>
      </c>
      <c r="C3515" s="83">
        <v>2080360</v>
      </c>
      <c r="D3515" t="s">
        <v>1438</v>
      </c>
      <c r="E3515">
        <v>59718316212</v>
      </c>
      <c r="F3515">
        <v>629034</v>
      </c>
      <c r="G3515">
        <v>54878857009</v>
      </c>
      <c r="H3515" t="s">
        <v>35</v>
      </c>
      <c r="I3515" s="36">
        <v>2320.8000000000002</v>
      </c>
      <c r="J3515" s="36">
        <v>2320.8000000000002</v>
      </c>
      <c r="K3515" s="85">
        <v>0</v>
      </c>
      <c r="L3515" s="36">
        <v>193.4</v>
      </c>
      <c r="M3515" s="36">
        <v>0</v>
      </c>
      <c r="N3515" s="36">
        <v>14.14625</v>
      </c>
      <c r="O3515" s="36">
        <v>179.25</v>
      </c>
      <c r="P3515" t="s">
        <v>116</v>
      </c>
      <c r="Q3515" t="s">
        <v>111</v>
      </c>
      <c r="R3515" t="s">
        <v>111</v>
      </c>
      <c r="S3515" s="1">
        <v>46141</v>
      </c>
      <c r="T3515" s="1">
        <v>46141</v>
      </c>
      <c r="U3515" s="1">
        <v>46140</v>
      </c>
      <c r="V3515" s="1">
        <v>46506</v>
      </c>
      <c r="W3515" t="s">
        <v>38</v>
      </c>
      <c r="X3515">
        <v>12</v>
      </c>
      <c r="Y3515" t="s">
        <v>49</v>
      </c>
      <c r="Z3515" t="s">
        <v>81</v>
      </c>
      <c r="AA3515" t="s">
        <v>122</v>
      </c>
      <c r="AB3515">
        <v>12</v>
      </c>
      <c r="AC3515" t="s">
        <v>113</v>
      </c>
      <c r="AD3515" t="s">
        <v>118</v>
      </c>
      <c r="AE3515" t="s">
        <v>43</v>
      </c>
      <c r="AF3515" t="s">
        <v>119</v>
      </c>
      <c r="AG3515" t="str">
        <f t="shared" si="69"/>
        <v>Recorrente</v>
      </c>
      <c r="AH3515" t="str">
        <f t="shared" si="70"/>
        <v/>
      </c>
    </row>
    <row r="3516" spans="1:34">
      <c r="A3516">
        <v>2026</v>
      </c>
      <c r="B3516">
        <v>4</v>
      </c>
      <c r="C3516" s="83">
        <v>2080943</v>
      </c>
      <c r="D3516" t="s">
        <v>3087</v>
      </c>
      <c r="E3516">
        <v>57841673485</v>
      </c>
      <c r="F3516">
        <v>509907</v>
      </c>
      <c r="G3516">
        <v>53083914348</v>
      </c>
      <c r="H3516" t="s">
        <v>35</v>
      </c>
      <c r="I3516" s="36">
        <v>5754</v>
      </c>
      <c r="J3516" s="36">
        <v>5754</v>
      </c>
      <c r="K3516" s="85">
        <v>0</v>
      </c>
      <c r="L3516" s="36">
        <v>479.5</v>
      </c>
      <c r="M3516" s="36">
        <v>0</v>
      </c>
      <c r="N3516" s="36">
        <v>94.45</v>
      </c>
      <c r="O3516" s="36">
        <v>385.05</v>
      </c>
      <c r="P3516" t="s">
        <v>165</v>
      </c>
      <c r="Q3516" t="s">
        <v>166</v>
      </c>
      <c r="R3516" t="s">
        <v>166</v>
      </c>
      <c r="S3516" s="1">
        <v>46136</v>
      </c>
      <c r="T3516" s="1">
        <v>46136</v>
      </c>
      <c r="U3516" s="1">
        <v>46136</v>
      </c>
      <c r="V3516" s="1">
        <v>46501</v>
      </c>
      <c r="W3516" t="s">
        <v>38</v>
      </c>
      <c r="X3516">
        <v>12</v>
      </c>
      <c r="Y3516" t="s">
        <v>49</v>
      </c>
      <c r="Z3516" t="s">
        <v>81</v>
      </c>
      <c r="AA3516" t="s">
        <v>122</v>
      </c>
      <c r="AB3516">
        <v>12</v>
      </c>
      <c r="AC3516" t="s">
        <v>166</v>
      </c>
      <c r="AD3516" t="s">
        <v>85</v>
      </c>
      <c r="AE3516" t="s">
        <v>46</v>
      </c>
      <c r="AF3516" t="s">
        <v>44</v>
      </c>
      <c r="AG3516" t="str">
        <f t="shared" si="69"/>
        <v>Recorrente</v>
      </c>
      <c r="AH3516" t="str">
        <f t="shared" si="70"/>
        <v/>
      </c>
    </row>
    <row r="3517" spans="1:34">
      <c r="A3517">
        <v>2026</v>
      </c>
      <c r="B3517">
        <v>4</v>
      </c>
      <c r="C3517" s="83">
        <v>2081010</v>
      </c>
      <c r="D3517" t="s">
        <v>3088</v>
      </c>
      <c r="E3517">
        <v>56945233838</v>
      </c>
      <c r="F3517">
        <v>628469</v>
      </c>
      <c r="G3517">
        <v>52197165095</v>
      </c>
      <c r="H3517" t="s">
        <v>35</v>
      </c>
      <c r="I3517" s="36">
        <v>2586.6</v>
      </c>
      <c r="J3517" s="36">
        <v>2586.6</v>
      </c>
      <c r="K3517" s="85">
        <v>0</v>
      </c>
      <c r="L3517" s="36">
        <v>215.55</v>
      </c>
      <c r="M3517" s="36">
        <v>0</v>
      </c>
      <c r="N3517" s="36">
        <v>24.35</v>
      </c>
      <c r="O3517" s="36">
        <v>191.2</v>
      </c>
      <c r="P3517" t="s">
        <v>165</v>
      </c>
      <c r="Q3517" t="s">
        <v>166</v>
      </c>
      <c r="R3517" t="s">
        <v>166</v>
      </c>
      <c r="S3517" s="1">
        <v>46122</v>
      </c>
      <c r="T3517" s="1">
        <v>46122</v>
      </c>
      <c r="U3517" s="1">
        <v>46122</v>
      </c>
      <c r="V3517" s="1">
        <v>46487</v>
      </c>
      <c r="W3517" t="s">
        <v>38</v>
      </c>
      <c r="X3517">
        <v>12</v>
      </c>
      <c r="Y3517" t="s">
        <v>49</v>
      </c>
      <c r="Z3517" t="s">
        <v>81</v>
      </c>
      <c r="AA3517" t="s">
        <v>112</v>
      </c>
      <c r="AB3517">
        <v>12</v>
      </c>
      <c r="AC3517" t="s">
        <v>166</v>
      </c>
      <c r="AD3517" t="s">
        <v>140</v>
      </c>
      <c r="AE3517" t="s">
        <v>46</v>
      </c>
      <c r="AF3517" t="s">
        <v>119</v>
      </c>
      <c r="AG3517" t="str">
        <f t="shared" si="69"/>
        <v>CC 12x</v>
      </c>
      <c r="AH3517" t="str">
        <f t="shared" si="70"/>
        <v/>
      </c>
    </row>
    <row r="3518" spans="1:34">
      <c r="A3518">
        <v>2026</v>
      </c>
      <c r="B3518">
        <v>4</v>
      </c>
      <c r="C3518" s="83">
        <v>2081226</v>
      </c>
      <c r="D3518" t="s">
        <v>3089</v>
      </c>
      <c r="E3518">
        <v>59086936415</v>
      </c>
      <c r="F3518">
        <v>637040</v>
      </c>
      <c r="G3518">
        <v>54205275053</v>
      </c>
      <c r="H3518" t="s">
        <v>35</v>
      </c>
      <c r="I3518" s="36">
        <v>4530.6000000000004</v>
      </c>
      <c r="J3518" s="36">
        <v>4530.6000000000004</v>
      </c>
      <c r="K3518" s="85">
        <v>0</v>
      </c>
      <c r="L3518" s="36">
        <v>377.55</v>
      </c>
      <c r="M3518" s="36">
        <v>377.55</v>
      </c>
      <c r="N3518" s="36">
        <v>0</v>
      </c>
      <c r="O3518" s="36">
        <v>0</v>
      </c>
      <c r="P3518" t="s">
        <v>367</v>
      </c>
      <c r="Q3518" t="s">
        <v>191</v>
      </c>
      <c r="R3518" t="s">
        <v>300</v>
      </c>
      <c r="S3518" s="1">
        <v>46122</v>
      </c>
      <c r="T3518" s="1">
        <v>46122</v>
      </c>
      <c r="V3518" s="1">
        <v>46487</v>
      </c>
      <c r="W3518" t="s">
        <v>38</v>
      </c>
      <c r="X3518">
        <v>12</v>
      </c>
      <c r="Y3518" t="s">
        <v>49</v>
      </c>
      <c r="AA3518" t="s">
        <v>122</v>
      </c>
      <c r="AB3518">
        <v>12</v>
      </c>
      <c r="AC3518" t="s">
        <v>301</v>
      </c>
      <c r="AD3518" t="s">
        <v>84</v>
      </c>
      <c r="AE3518" t="s">
        <v>43</v>
      </c>
      <c r="AF3518" t="s">
        <v>44</v>
      </c>
      <c r="AG3518" t="str">
        <f t="shared" si="69"/>
        <v>Recorrente</v>
      </c>
      <c r="AH3518" t="str">
        <f t="shared" si="70"/>
        <v/>
      </c>
    </row>
    <row r="3519" spans="1:34">
      <c r="A3519">
        <v>2026</v>
      </c>
      <c r="B3519">
        <v>4</v>
      </c>
      <c r="C3519" s="83">
        <v>208182693491</v>
      </c>
      <c r="D3519" t="s">
        <v>3090</v>
      </c>
      <c r="E3519">
        <v>59151375874</v>
      </c>
      <c r="F3519">
        <v>637068</v>
      </c>
      <c r="G3519">
        <v>54271827296</v>
      </c>
      <c r="H3519" t="s">
        <v>104</v>
      </c>
      <c r="I3519" s="36">
        <v>718.8</v>
      </c>
      <c r="J3519" s="36">
        <v>718.8</v>
      </c>
      <c r="K3519" s="85">
        <v>0</v>
      </c>
      <c r="L3519" s="36">
        <v>59.9</v>
      </c>
      <c r="M3519" s="36">
        <v>59.9</v>
      </c>
      <c r="N3519" s="36">
        <v>0</v>
      </c>
      <c r="O3519" s="36">
        <v>0</v>
      </c>
      <c r="P3519" t="s">
        <v>497</v>
      </c>
      <c r="Q3519" t="s">
        <v>498</v>
      </c>
      <c r="R3519" t="s">
        <v>498</v>
      </c>
      <c r="S3519" s="1">
        <v>46125</v>
      </c>
      <c r="T3519" s="1">
        <v>46125</v>
      </c>
      <c r="U3519" s="1"/>
      <c r="V3519" s="1">
        <v>46490</v>
      </c>
      <c r="W3519" t="s">
        <v>38</v>
      </c>
      <c r="X3519">
        <v>12</v>
      </c>
      <c r="Y3519" t="s">
        <v>49</v>
      </c>
      <c r="AA3519" t="s">
        <v>112</v>
      </c>
      <c r="AB3519">
        <v>1</v>
      </c>
      <c r="AC3519" t="s">
        <v>499</v>
      </c>
      <c r="AD3519" t="s">
        <v>105</v>
      </c>
      <c r="AE3519" t="s">
        <v>106</v>
      </c>
      <c r="AF3519" t="s">
        <v>59</v>
      </c>
      <c r="AG3519" t="str">
        <f t="shared" si="69"/>
        <v>À Vista</v>
      </c>
      <c r="AH3519" t="str">
        <f t="shared" si="70"/>
        <v/>
      </c>
    </row>
    <row r="3520" spans="1:34">
      <c r="A3520">
        <v>2026</v>
      </c>
      <c r="B3520">
        <v>4</v>
      </c>
      <c r="C3520" s="83">
        <v>2083181</v>
      </c>
      <c r="D3520" t="s">
        <v>3091</v>
      </c>
      <c r="E3520">
        <v>58006426692</v>
      </c>
      <c r="F3520">
        <v>629155</v>
      </c>
      <c r="G3520">
        <v>53221736319</v>
      </c>
      <c r="H3520" t="s">
        <v>35</v>
      </c>
      <c r="I3520" s="36">
        <v>4530.6000000000004</v>
      </c>
      <c r="J3520" s="36">
        <v>4530.6000000000004</v>
      </c>
      <c r="K3520" s="85">
        <v>0</v>
      </c>
      <c r="L3520" s="36">
        <v>377.55</v>
      </c>
      <c r="M3520" s="36">
        <v>0</v>
      </c>
      <c r="N3520" s="36">
        <v>48.6</v>
      </c>
      <c r="O3520" s="36">
        <v>328.95</v>
      </c>
      <c r="P3520" t="s">
        <v>165</v>
      </c>
      <c r="Q3520" t="s">
        <v>166</v>
      </c>
      <c r="R3520" t="s">
        <v>166</v>
      </c>
      <c r="S3520" s="1">
        <v>46139</v>
      </c>
      <c r="T3520" s="1">
        <v>46139</v>
      </c>
      <c r="U3520" s="1">
        <v>46141</v>
      </c>
      <c r="V3520" s="1">
        <v>46506</v>
      </c>
      <c r="W3520" t="s">
        <v>38</v>
      </c>
      <c r="X3520">
        <v>12</v>
      </c>
      <c r="Y3520" t="s">
        <v>49</v>
      </c>
      <c r="Z3520" t="s">
        <v>81</v>
      </c>
      <c r="AA3520" t="s">
        <v>112</v>
      </c>
      <c r="AB3520">
        <v>12</v>
      </c>
      <c r="AC3520" t="s">
        <v>166</v>
      </c>
      <c r="AD3520" t="s">
        <v>84</v>
      </c>
      <c r="AE3520" t="s">
        <v>43</v>
      </c>
      <c r="AF3520" t="s">
        <v>44</v>
      </c>
      <c r="AG3520" t="str">
        <f t="shared" si="69"/>
        <v>CC 12x</v>
      </c>
      <c r="AH3520" t="str">
        <f t="shared" si="70"/>
        <v/>
      </c>
    </row>
    <row r="3521" spans="1:34">
      <c r="A3521">
        <v>2026</v>
      </c>
      <c r="B3521">
        <v>4</v>
      </c>
      <c r="C3521" s="83">
        <v>2083534</v>
      </c>
      <c r="D3521" t="s">
        <v>1450</v>
      </c>
      <c r="E3521">
        <v>56982880626</v>
      </c>
      <c r="F3521">
        <v>628569</v>
      </c>
      <c r="G3521">
        <v>52192428817</v>
      </c>
      <c r="H3521" t="s">
        <v>35</v>
      </c>
      <c r="I3521" s="36">
        <v>2874</v>
      </c>
      <c r="J3521" s="36">
        <v>2874</v>
      </c>
      <c r="K3521" s="85">
        <v>0</v>
      </c>
      <c r="L3521" s="36">
        <v>239.5</v>
      </c>
      <c r="M3521" s="36">
        <v>0</v>
      </c>
      <c r="N3521" s="36">
        <v>24.4</v>
      </c>
      <c r="O3521" s="36">
        <v>215.1</v>
      </c>
      <c r="P3521" t="s">
        <v>165</v>
      </c>
      <c r="Q3521" t="s">
        <v>166</v>
      </c>
      <c r="R3521" t="s">
        <v>166</v>
      </c>
      <c r="S3521" s="1">
        <v>46123</v>
      </c>
      <c r="T3521" s="1">
        <v>46123</v>
      </c>
      <c r="U3521" s="1">
        <v>46123</v>
      </c>
      <c r="V3521" s="1">
        <v>46488</v>
      </c>
      <c r="W3521" t="s">
        <v>38</v>
      </c>
      <c r="X3521">
        <v>12</v>
      </c>
      <c r="Y3521" t="s">
        <v>49</v>
      </c>
      <c r="Z3521" t="s">
        <v>81</v>
      </c>
      <c r="AA3521" t="s">
        <v>112</v>
      </c>
      <c r="AB3521">
        <v>12</v>
      </c>
      <c r="AC3521" t="s">
        <v>166</v>
      </c>
      <c r="AD3521" t="s">
        <v>118</v>
      </c>
      <c r="AE3521" t="s">
        <v>43</v>
      </c>
      <c r="AF3521" t="s">
        <v>119</v>
      </c>
      <c r="AG3521" t="str">
        <f t="shared" ref="AG3521:AG3584" si="71">IF(IFERROR(SEARCH("Recorrente",AA3521),0)&gt;0,"Recorrente",IF(AB3521=1,"À Vista",IF(AB3521&lt;=3,"CC 3x",IF(AB3521&lt;=12,"CC 12x",IF(AB3521&gt;12,"Recorrente","")))))</f>
        <v>CC 12x</v>
      </c>
      <c r="AH3521" t="str">
        <f t="shared" ref="AH3521:AH3584" si="72">IF(AND(SUMIF(E:E,E3521,I:I)&gt;=400000,Q3521="B2G"),"n","")</f>
        <v/>
      </c>
    </row>
    <row r="3522" spans="1:34">
      <c r="A3522">
        <v>2026</v>
      </c>
      <c r="B3522">
        <v>4</v>
      </c>
      <c r="C3522" s="83">
        <v>208375600131</v>
      </c>
      <c r="D3522" t="s">
        <v>3092</v>
      </c>
      <c r="E3522">
        <v>59779169144</v>
      </c>
      <c r="F3522">
        <v>637493</v>
      </c>
      <c r="G3522">
        <v>54881212523</v>
      </c>
      <c r="H3522" t="s">
        <v>35</v>
      </c>
      <c r="I3522" s="36">
        <v>5986.2</v>
      </c>
      <c r="J3522" s="36">
        <v>5986.2</v>
      </c>
      <c r="K3522" s="85">
        <v>0</v>
      </c>
      <c r="L3522" s="36">
        <v>498.85</v>
      </c>
      <c r="M3522" s="36">
        <v>498.85</v>
      </c>
      <c r="N3522" s="36">
        <v>0</v>
      </c>
      <c r="O3522" s="36">
        <v>0</v>
      </c>
      <c r="P3522" t="s">
        <v>1073</v>
      </c>
      <c r="Q3522" t="s">
        <v>314</v>
      </c>
      <c r="R3522" t="s">
        <v>314</v>
      </c>
      <c r="S3522" s="1">
        <v>46142</v>
      </c>
      <c r="T3522" s="1">
        <v>46142</v>
      </c>
      <c r="U3522" s="1"/>
      <c r="V3522" s="1">
        <v>46507</v>
      </c>
      <c r="W3522" t="s">
        <v>38</v>
      </c>
      <c r="X3522">
        <v>12</v>
      </c>
      <c r="Y3522" t="s">
        <v>49</v>
      </c>
      <c r="AA3522" t="s">
        <v>112</v>
      </c>
      <c r="AB3522">
        <v>12</v>
      </c>
      <c r="AC3522" t="s">
        <v>315</v>
      </c>
      <c r="AD3522" t="s">
        <v>125</v>
      </c>
      <c r="AE3522" t="s">
        <v>43</v>
      </c>
      <c r="AF3522" t="s">
        <v>47</v>
      </c>
      <c r="AG3522" t="str">
        <f t="shared" si="71"/>
        <v>CC 12x</v>
      </c>
      <c r="AH3522" t="str">
        <f t="shared" si="72"/>
        <v/>
      </c>
    </row>
    <row r="3523" spans="1:34">
      <c r="A3523">
        <v>2026</v>
      </c>
      <c r="B3523">
        <v>4</v>
      </c>
      <c r="C3523" s="83">
        <v>2084297</v>
      </c>
      <c r="D3523" t="s">
        <v>3093</v>
      </c>
      <c r="E3523">
        <v>58812821904</v>
      </c>
      <c r="F3523">
        <v>532019</v>
      </c>
      <c r="G3523">
        <v>53934359042</v>
      </c>
      <c r="H3523" t="s">
        <v>35</v>
      </c>
      <c r="I3523" s="36">
        <v>2586.6</v>
      </c>
      <c r="J3523" s="36">
        <v>2586.6</v>
      </c>
      <c r="K3523" s="85">
        <v>0</v>
      </c>
      <c r="L3523" s="36">
        <v>215.55</v>
      </c>
      <c r="M3523" s="36">
        <v>0</v>
      </c>
      <c r="N3523" s="36">
        <v>0</v>
      </c>
      <c r="O3523" s="36">
        <v>215.55</v>
      </c>
      <c r="P3523" t="s">
        <v>162</v>
      </c>
      <c r="Q3523" t="s">
        <v>111</v>
      </c>
      <c r="R3523" t="s">
        <v>111</v>
      </c>
      <c r="S3523" s="1">
        <v>46120</v>
      </c>
      <c r="T3523" s="1">
        <v>46120</v>
      </c>
      <c r="U3523" s="1">
        <v>46117</v>
      </c>
      <c r="V3523" s="1">
        <v>46485</v>
      </c>
      <c r="W3523" t="s">
        <v>38</v>
      </c>
      <c r="X3523">
        <v>12</v>
      </c>
      <c r="Y3523" t="s">
        <v>49</v>
      </c>
      <c r="Z3523" t="s">
        <v>76</v>
      </c>
      <c r="AA3523" t="s">
        <v>112</v>
      </c>
      <c r="AB3523">
        <v>12</v>
      </c>
      <c r="AC3523" t="s">
        <v>113</v>
      </c>
      <c r="AD3523" t="s">
        <v>118</v>
      </c>
      <c r="AE3523" t="s">
        <v>43</v>
      </c>
      <c r="AF3523" t="s">
        <v>119</v>
      </c>
      <c r="AG3523" t="str">
        <f t="shared" si="71"/>
        <v>CC 12x</v>
      </c>
      <c r="AH3523" t="str">
        <f t="shared" si="72"/>
        <v/>
      </c>
    </row>
    <row r="3524" spans="1:34">
      <c r="A3524">
        <v>2026</v>
      </c>
      <c r="B3524">
        <v>4</v>
      </c>
      <c r="C3524" s="83">
        <v>2084297</v>
      </c>
      <c r="D3524" t="s">
        <v>3093</v>
      </c>
      <c r="E3524">
        <v>58987029869</v>
      </c>
      <c r="F3524">
        <v>636950</v>
      </c>
      <c r="G3524">
        <v>54119246740</v>
      </c>
      <c r="H3524" t="s">
        <v>35</v>
      </c>
      <c r="I3524" s="36">
        <v>3736.08</v>
      </c>
      <c r="J3524" s="36">
        <v>1868.1</v>
      </c>
      <c r="K3524" s="85">
        <v>1867.98</v>
      </c>
      <c r="L3524" s="36">
        <v>155.67500000000001</v>
      </c>
      <c r="M3524" s="36">
        <v>0</v>
      </c>
      <c r="N3524" s="36">
        <v>155.67500000000001</v>
      </c>
      <c r="O3524" s="36">
        <v>0</v>
      </c>
      <c r="P3524" t="s">
        <v>129</v>
      </c>
      <c r="Q3524" t="s">
        <v>91</v>
      </c>
      <c r="R3524" t="s">
        <v>191</v>
      </c>
      <c r="S3524" s="1">
        <v>46120</v>
      </c>
      <c r="T3524" s="1">
        <v>46120</v>
      </c>
      <c r="V3524" s="1">
        <v>46851</v>
      </c>
      <c r="W3524" t="s">
        <v>56</v>
      </c>
      <c r="X3524">
        <v>24</v>
      </c>
      <c r="Y3524" t="s">
        <v>49</v>
      </c>
      <c r="AA3524" t="s">
        <v>122</v>
      </c>
      <c r="AB3524">
        <v>24</v>
      </c>
      <c r="AC3524" t="s">
        <v>192</v>
      </c>
      <c r="AD3524" t="s">
        <v>140</v>
      </c>
      <c r="AE3524" t="s">
        <v>46</v>
      </c>
      <c r="AF3524" t="s">
        <v>119</v>
      </c>
      <c r="AG3524" t="str">
        <f t="shared" si="71"/>
        <v>Recorrente</v>
      </c>
      <c r="AH3524" t="str">
        <f t="shared" si="72"/>
        <v/>
      </c>
    </row>
    <row r="3525" spans="1:34">
      <c r="A3525">
        <v>2026</v>
      </c>
      <c r="B3525">
        <v>4</v>
      </c>
      <c r="C3525" s="83">
        <v>2084441</v>
      </c>
      <c r="D3525" t="s">
        <v>3094</v>
      </c>
      <c r="E3525">
        <v>59218920491</v>
      </c>
      <c r="F3525">
        <v>637533</v>
      </c>
      <c r="G3525">
        <v>54947595577</v>
      </c>
      <c r="H3525" t="s">
        <v>35</v>
      </c>
      <c r="I3525" s="36">
        <v>4453.08</v>
      </c>
      <c r="J3525" s="36">
        <v>4453.08</v>
      </c>
      <c r="K3525" s="85">
        <v>0</v>
      </c>
      <c r="L3525" s="36">
        <v>371.09</v>
      </c>
      <c r="M3525" s="36">
        <v>371.09</v>
      </c>
      <c r="N3525" s="36">
        <v>0</v>
      </c>
      <c r="O3525" s="36">
        <v>0</v>
      </c>
      <c r="P3525" t="s">
        <v>1073</v>
      </c>
      <c r="Q3525" t="s">
        <v>314</v>
      </c>
      <c r="R3525" t="s">
        <v>314</v>
      </c>
      <c r="S3525" s="1">
        <v>46142</v>
      </c>
      <c r="T3525" s="1">
        <v>46142</v>
      </c>
      <c r="U3525" s="1"/>
      <c r="V3525" s="1">
        <v>46507</v>
      </c>
      <c r="W3525" t="s">
        <v>38</v>
      </c>
      <c r="X3525">
        <v>12</v>
      </c>
      <c r="Y3525" t="s">
        <v>49</v>
      </c>
      <c r="AA3525" t="s">
        <v>112</v>
      </c>
      <c r="AB3525">
        <v>12</v>
      </c>
      <c r="AC3525" t="s">
        <v>315</v>
      </c>
      <c r="AD3525" t="s">
        <v>163</v>
      </c>
      <c r="AE3525" t="s">
        <v>43</v>
      </c>
      <c r="AF3525" t="s">
        <v>96</v>
      </c>
      <c r="AG3525" t="str">
        <f t="shared" si="71"/>
        <v>CC 12x</v>
      </c>
      <c r="AH3525" t="str">
        <f t="shared" si="72"/>
        <v/>
      </c>
    </row>
    <row r="3526" spans="1:34">
      <c r="A3526">
        <v>2026</v>
      </c>
      <c r="B3526">
        <v>4</v>
      </c>
      <c r="C3526" s="83">
        <v>2084491</v>
      </c>
      <c r="D3526" t="s">
        <v>3095</v>
      </c>
      <c r="E3526">
        <v>59574493275</v>
      </c>
      <c r="F3526">
        <v>637420</v>
      </c>
      <c r="G3526">
        <v>54801568638</v>
      </c>
      <c r="H3526" t="s">
        <v>35</v>
      </c>
      <c r="I3526" s="36">
        <v>2586.6</v>
      </c>
      <c r="J3526" s="36">
        <v>2586.6</v>
      </c>
      <c r="K3526" s="85">
        <v>0</v>
      </c>
      <c r="L3526" s="36">
        <v>215.55</v>
      </c>
      <c r="M3526" s="36">
        <v>215.55</v>
      </c>
      <c r="N3526" s="36">
        <v>0</v>
      </c>
      <c r="O3526" s="36">
        <v>0</v>
      </c>
      <c r="P3526" t="s">
        <v>511</v>
      </c>
      <c r="Q3526" t="s">
        <v>300</v>
      </c>
      <c r="R3526" t="s">
        <v>300</v>
      </c>
      <c r="S3526" s="1">
        <v>46139</v>
      </c>
      <c r="T3526" s="1">
        <v>46139</v>
      </c>
      <c r="U3526" s="1"/>
      <c r="V3526" s="1">
        <v>46504</v>
      </c>
      <c r="W3526" t="s">
        <v>38</v>
      </c>
      <c r="X3526">
        <v>12</v>
      </c>
      <c r="Y3526" t="s">
        <v>49</v>
      </c>
      <c r="AA3526" t="s">
        <v>112</v>
      </c>
      <c r="AB3526">
        <v>12</v>
      </c>
      <c r="AC3526" t="s">
        <v>301</v>
      </c>
      <c r="AD3526" t="s">
        <v>140</v>
      </c>
      <c r="AE3526" t="s">
        <v>46</v>
      </c>
      <c r="AF3526" t="s">
        <v>119</v>
      </c>
      <c r="AG3526" t="str">
        <f t="shared" si="71"/>
        <v>CC 12x</v>
      </c>
      <c r="AH3526" t="str">
        <f t="shared" si="72"/>
        <v/>
      </c>
    </row>
    <row r="3527" spans="1:34">
      <c r="A3527">
        <v>2026</v>
      </c>
      <c r="B3527">
        <v>4</v>
      </c>
      <c r="C3527" s="83">
        <v>2084896</v>
      </c>
      <c r="D3527" t="s">
        <v>3096</v>
      </c>
      <c r="E3527">
        <v>58065855381</v>
      </c>
      <c r="F3527">
        <v>532913</v>
      </c>
      <c r="G3527">
        <v>54372626064</v>
      </c>
      <c r="H3527" t="s">
        <v>35</v>
      </c>
      <c r="I3527" s="36">
        <v>4401.84</v>
      </c>
      <c r="J3527" s="36">
        <v>4401.84</v>
      </c>
      <c r="K3527" s="85">
        <v>0</v>
      </c>
      <c r="L3527" s="36">
        <v>366.82</v>
      </c>
      <c r="M3527" s="36">
        <v>0</v>
      </c>
      <c r="N3527" s="36">
        <v>40.647500000000001</v>
      </c>
      <c r="O3527" s="36">
        <v>326.17</v>
      </c>
      <c r="P3527" t="s">
        <v>110</v>
      </c>
      <c r="Q3527" t="s">
        <v>111</v>
      </c>
      <c r="R3527" t="s">
        <v>111</v>
      </c>
      <c r="S3527" s="1">
        <v>46128</v>
      </c>
      <c r="T3527" s="1">
        <v>46128</v>
      </c>
      <c r="U3527" s="1">
        <v>46128</v>
      </c>
      <c r="V3527" s="1">
        <v>46493</v>
      </c>
      <c r="W3527" t="s">
        <v>38</v>
      </c>
      <c r="X3527">
        <v>12</v>
      </c>
      <c r="Y3527" t="s">
        <v>49</v>
      </c>
      <c r="Z3527" t="s">
        <v>81</v>
      </c>
      <c r="AA3527" t="s">
        <v>112</v>
      </c>
      <c r="AB3527">
        <v>12</v>
      </c>
      <c r="AC3527" t="s">
        <v>113</v>
      </c>
      <c r="AD3527" t="s">
        <v>85</v>
      </c>
      <c r="AE3527" t="s">
        <v>46</v>
      </c>
      <c r="AF3527" t="s">
        <v>44</v>
      </c>
      <c r="AG3527" t="str">
        <f t="shared" si="71"/>
        <v>CC 12x</v>
      </c>
      <c r="AH3527" t="str">
        <f t="shared" si="72"/>
        <v/>
      </c>
    </row>
    <row r="3528" spans="1:34">
      <c r="A3528">
        <v>2026</v>
      </c>
      <c r="B3528">
        <v>4</v>
      </c>
      <c r="C3528" s="83">
        <v>2084897</v>
      </c>
      <c r="D3528" t="s">
        <v>3097</v>
      </c>
      <c r="E3528">
        <v>59152830527</v>
      </c>
      <c r="F3528">
        <v>532941</v>
      </c>
      <c r="G3528">
        <v>54271746843</v>
      </c>
      <c r="H3528" t="s">
        <v>35</v>
      </c>
      <c r="I3528" s="36">
        <v>4065</v>
      </c>
      <c r="J3528" s="36">
        <v>4065</v>
      </c>
      <c r="K3528" s="85">
        <v>0</v>
      </c>
      <c r="L3528" s="36">
        <v>338.75</v>
      </c>
      <c r="M3528" s="36">
        <v>0</v>
      </c>
      <c r="N3528" s="36">
        <v>9.8000000000000007</v>
      </c>
      <c r="O3528" s="36">
        <v>328.95</v>
      </c>
      <c r="P3528" t="s">
        <v>162</v>
      </c>
      <c r="Q3528" t="s">
        <v>111</v>
      </c>
      <c r="R3528" t="s">
        <v>111</v>
      </c>
      <c r="S3528" s="1">
        <v>46126</v>
      </c>
      <c r="T3528" s="1">
        <v>46126</v>
      </c>
      <c r="U3528" s="1">
        <v>46126</v>
      </c>
      <c r="V3528" s="1">
        <v>46491</v>
      </c>
      <c r="W3528" t="s">
        <v>38</v>
      </c>
      <c r="X3528">
        <v>12</v>
      </c>
      <c r="Y3528" t="s">
        <v>49</v>
      </c>
      <c r="Z3528" t="s">
        <v>81</v>
      </c>
      <c r="AA3528" t="s">
        <v>112</v>
      </c>
      <c r="AB3528">
        <v>12</v>
      </c>
      <c r="AC3528" t="s">
        <v>113</v>
      </c>
      <c r="AD3528" t="s">
        <v>84</v>
      </c>
      <c r="AE3528" t="s">
        <v>43</v>
      </c>
      <c r="AF3528" t="s">
        <v>44</v>
      </c>
      <c r="AG3528" t="str">
        <f t="shared" si="71"/>
        <v>CC 12x</v>
      </c>
      <c r="AH3528" t="str">
        <f t="shared" si="72"/>
        <v/>
      </c>
    </row>
    <row r="3529" spans="1:34">
      <c r="A3529">
        <v>2026</v>
      </c>
      <c r="B3529">
        <v>4</v>
      </c>
      <c r="C3529" s="83">
        <v>2085024</v>
      </c>
      <c r="D3529" t="s">
        <v>3098</v>
      </c>
      <c r="E3529">
        <v>58880564491</v>
      </c>
      <c r="F3529">
        <v>311290</v>
      </c>
      <c r="G3529">
        <v>54038756005</v>
      </c>
      <c r="H3529" t="s">
        <v>35</v>
      </c>
      <c r="I3529" s="36">
        <v>5969.16</v>
      </c>
      <c r="J3529" s="36">
        <v>5969.16</v>
      </c>
      <c r="K3529" s="85">
        <v>0</v>
      </c>
      <c r="L3529" s="36">
        <v>497.43</v>
      </c>
      <c r="M3529" s="36">
        <v>0</v>
      </c>
      <c r="N3529" s="36">
        <v>54.033166000000001</v>
      </c>
      <c r="O3529" s="36">
        <v>443.4</v>
      </c>
      <c r="P3529" t="s">
        <v>121</v>
      </c>
      <c r="Q3529" t="s">
        <v>111</v>
      </c>
      <c r="R3529" t="s">
        <v>111</v>
      </c>
      <c r="S3529" s="1">
        <v>46121</v>
      </c>
      <c r="T3529" s="1">
        <v>46121</v>
      </c>
      <c r="U3529" s="1">
        <v>46135</v>
      </c>
      <c r="V3529" s="1">
        <v>46500</v>
      </c>
      <c r="W3529" t="s">
        <v>38</v>
      </c>
      <c r="X3529">
        <v>12</v>
      </c>
      <c r="Y3529" t="s">
        <v>49</v>
      </c>
      <c r="Z3529" t="s">
        <v>81</v>
      </c>
      <c r="AA3529" t="s">
        <v>117</v>
      </c>
      <c r="AB3529">
        <v>1</v>
      </c>
      <c r="AC3529" t="s">
        <v>113</v>
      </c>
      <c r="AD3529" t="s">
        <v>134</v>
      </c>
      <c r="AE3529" t="s">
        <v>135</v>
      </c>
      <c r="AF3529" t="s">
        <v>44</v>
      </c>
      <c r="AG3529" t="str">
        <f t="shared" si="71"/>
        <v>À Vista</v>
      </c>
      <c r="AH3529" t="str">
        <f t="shared" si="72"/>
        <v/>
      </c>
    </row>
    <row r="3530" spans="1:34">
      <c r="A3530">
        <v>2026</v>
      </c>
      <c r="B3530">
        <v>4</v>
      </c>
      <c r="C3530" s="83">
        <v>2085215</v>
      </c>
      <c r="D3530" t="s">
        <v>3099</v>
      </c>
      <c r="E3530">
        <v>59169508654</v>
      </c>
      <c r="F3530">
        <v>637521</v>
      </c>
      <c r="G3530">
        <v>54803905285</v>
      </c>
      <c r="H3530" t="s">
        <v>35</v>
      </c>
      <c r="I3530" s="36">
        <v>259.5</v>
      </c>
      <c r="J3530" s="36">
        <v>3114</v>
      </c>
      <c r="K3530" s="85">
        <v>0</v>
      </c>
      <c r="L3530" s="36">
        <v>259.5</v>
      </c>
      <c r="M3530" s="36">
        <v>259.5</v>
      </c>
      <c r="N3530" s="36">
        <v>0</v>
      </c>
      <c r="O3530" s="36">
        <v>0</v>
      </c>
      <c r="P3530" t="s">
        <v>511</v>
      </c>
      <c r="Q3530" t="s">
        <v>300</v>
      </c>
      <c r="R3530" t="s">
        <v>300</v>
      </c>
      <c r="S3530" s="1">
        <v>46142</v>
      </c>
      <c r="T3530" s="1">
        <v>46142</v>
      </c>
      <c r="V3530" s="1"/>
      <c r="W3530" t="s">
        <v>2733</v>
      </c>
      <c r="Y3530" t="s">
        <v>49</v>
      </c>
      <c r="AA3530" t="s">
        <v>122</v>
      </c>
      <c r="AB3530">
        <v>1</v>
      </c>
      <c r="AC3530" t="s">
        <v>301</v>
      </c>
      <c r="AD3530" t="s">
        <v>2734</v>
      </c>
      <c r="AE3530" t="s">
        <v>106</v>
      </c>
      <c r="AF3530" t="s">
        <v>59</v>
      </c>
      <c r="AG3530" t="str">
        <f t="shared" si="71"/>
        <v>Recorrente</v>
      </c>
      <c r="AH3530" t="str">
        <f t="shared" si="72"/>
        <v/>
      </c>
    </row>
    <row r="3531" spans="1:34">
      <c r="A3531">
        <v>2026</v>
      </c>
      <c r="B3531">
        <v>4</v>
      </c>
      <c r="C3531" s="83">
        <v>2085575</v>
      </c>
      <c r="D3531" t="s">
        <v>3100</v>
      </c>
      <c r="E3531">
        <v>56546813286</v>
      </c>
      <c r="F3531">
        <v>507878</v>
      </c>
      <c r="G3531">
        <v>51842338055</v>
      </c>
      <c r="H3531" t="s">
        <v>35</v>
      </c>
      <c r="I3531" s="36">
        <v>3666.6</v>
      </c>
      <c r="J3531" s="36">
        <v>3666.6</v>
      </c>
      <c r="K3531" s="85">
        <v>0</v>
      </c>
      <c r="L3531" s="36">
        <v>305.55</v>
      </c>
      <c r="M3531" s="36">
        <v>0</v>
      </c>
      <c r="N3531" s="36">
        <v>69.17</v>
      </c>
      <c r="O3531" s="36">
        <v>236.38</v>
      </c>
      <c r="P3531" t="s">
        <v>165</v>
      </c>
      <c r="Q3531" t="s">
        <v>166</v>
      </c>
      <c r="R3531" t="s">
        <v>166</v>
      </c>
      <c r="S3531" s="1">
        <v>46116</v>
      </c>
      <c r="T3531" s="1">
        <v>46116</v>
      </c>
      <c r="U3531" s="1">
        <v>46116</v>
      </c>
      <c r="V3531" s="1">
        <v>46481</v>
      </c>
      <c r="W3531" t="s">
        <v>38</v>
      </c>
      <c r="X3531">
        <v>12</v>
      </c>
      <c r="Y3531" t="s">
        <v>49</v>
      </c>
      <c r="Z3531" t="s">
        <v>81</v>
      </c>
      <c r="AA3531" t="s">
        <v>122</v>
      </c>
      <c r="AB3531">
        <v>12</v>
      </c>
      <c r="AC3531" t="s">
        <v>166</v>
      </c>
      <c r="AD3531" t="s">
        <v>160</v>
      </c>
      <c r="AE3531" t="s">
        <v>43</v>
      </c>
      <c r="AF3531" t="s">
        <v>44</v>
      </c>
      <c r="AG3531" t="str">
        <f t="shared" si="71"/>
        <v>Recorrente</v>
      </c>
      <c r="AH3531" t="str">
        <f t="shared" si="72"/>
        <v/>
      </c>
    </row>
    <row r="3532" spans="1:34">
      <c r="A3532">
        <v>2026</v>
      </c>
      <c r="B3532">
        <v>4</v>
      </c>
      <c r="C3532" s="83">
        <v>2085704</v>
      </c>
      <c r="D3532" t="s">
        <v>3101</v>
      </c>
      <c r="E3532">
        <v>56466209042</v>
      </c>
      <c r="F3532">
        <v>311062</v>
      </c>
      <c r="G3532">
        <v>51757585999</v>
      </c>
      <c r="H3532" t="s">
        <v>35</v>
      </c>
      <c r="I3532" s="36">
        <v>4530.6000000000004</v>
      </c>
      <c r="J3532" s="36">
        <v>4530.6000000000004</v>
      </c>
      <c r="K3532" s="85">
        <v>0</v>
      </c>
      <c r="L3532" s="36">
        <v>377.55</v>
      </c>
      <c r="M3532" s="36">
        <v>0</v>
      </c>
      <c r="N3532" s="36">
        <v>81.5</v>
      </c>
      <c r="O3532" s="36">
        <v>296.05</v>
      </c>
      <c r="P3532" t="s">
        <v>165</v>
      </c>
      <c r="Q3532" t="s">
        <v>166</v>
      </c>
      <c r="R3532" t="s">
        <v>166</v>
      </c>
      <c r="S3532" s="1">
        <v>46115</v>
      </c>
      <c r="T3532" s="1">
        <v>46115</v>
      </c>
      <c r="U3532" s="1">
        <v>46115</v>
      </c>
      <c r="V3532" s="1">
        <v>46480</v>
      </c>
      <c r="W3532" t="s">
        <v>38</v>
      </c>
      <c r="X3532">
        <v>12</v>
      </c>
      <c r="Y3532" t="s">
        <v>49</v>
      </c>
      <c r="Z3532" t="s">
        <v>81</v>
      </c>
      <c r="AA3532" t="s">
        <v>122</v>
      </c>
      <c r="AB3532">
        <v>12</v>
      </c>
      <c r="AC3532" t="s">
        <v>166</v>
      </c>
      <c r="AD3532" t="s">
        <v>84</v>
      </c>
      <c r="AE3532" t="s">
        <v>43</v>
      </c>
      <c r="AF3532" t="s">
        <v>44</v>
      </c>
      <c r="AG3532" t="str">
        <f t="shared" si="71"/>
        <v>Recorrente</v>
      </c>
      <c r="AH3532" t="str">
        <f t="shared" si="72"/>
        <v/>
      </c>
    </row>
    <row r="3533" spans="1:34">
      <c r="A3533">
        <v>2026</v>
      </c>
      <c r="B3533">
        <v>4</v>
      </c>
      <c r="C3533" s="83">
        <v>2085779</v>
      </c>
      <c r="D3533" t="s">
        <v>3102</v>
      </c>
      <c r="E3533">
        <v>58103441515</v>
      </c>
      <c r="F3533">
        <v>533015</v>
      </c>
      <c r="G3533">
        <v>54800519284</v>
      </c>
      <c r="H3533" t="s">
        <v>35</v>
      </c>
      <c r="I3533" s="36">
        <v>5718.6</v>
      </c>
      <c r="J3533" s="36">
        <v>5718.6</v>
      </c>
      <c r="K3533" s="85">
        <v>0</v>
      </c>
      <c r="L3533" s="36">
        <v>476.55</v>
      </c>
      <c r="M3533" s="36">
        <v>0</v>
      </c>
      <c r="N3533" s="36">
        <v>37.520000000000003</v>
      </c>
      <c r="O3533" s="36">
        <v>439.03</v>
      </c>
      <c r="P3533" t="s">
        <v>137</v>
      </c>
      <c r="Q3533" t="s">
        <v>111</v>
      </c>
      <c r="R3533" t="s">
        <v>111</v>
      </c>
      <c r="S3533" s="1">
        <v>46139</v>
      </c>
      <c r="T3533" s="1">
        <v>46139</v>
      </c>
      <c r="U3533" s="1">
        <v>46129</v>
      </c>
      <c r="V3533" s="1">
        <v>46504</v>
      </c>
      <c r="W3533" t="s">
        <v>38</v>
      </c>
      <c r="X3533">
        <v>12</v>
      </c>
      <c r="Y3533" t="s">
        <v>49</v>
      </c>
      <c r="Z3533" t="s">
        <v>81</v>
      </c>
      <c r="AA3533" t="s">
        <v>122</v>
      </c>
      <c r="AB3533">
        <v>12</v>
      </c>
      <c r="AC3533" t="s">
        <v>113</v>
      </c>
      <c r="AD3533" t="s">
        <v>149</v>
      </c>
      <c r="AE3533" t="s">
        <v>43</v>
      </c>
      <c r="AF3533" t="s">
        <v>96</v>
      </c>
      <c r="AG3533" t="str">
        <f t="shared" si="71"/>
        <v>Recorrente</v>
      </c>
      <c r="AH3533" t="str">
        <f t="shared" si="72"/>
        <v/>
      </c>
    </row>
    <row r="3534" spans="1:34">
      <c r="A3534">
        <v>2026</v>
      </c>
      <c r="B3534">
        <v>4</v>
      </c>
      <c r="C3534" s="83">
        <v>208588986737</v>
      </c>
      <c r="D3534" t="s">
        <v>3103</v>
      </c>
      <c r="E3534">
        <v>57542252347</v>
      </c>
      <c r="F3534">
        <v>532676</v>
      </c>
      <c r="G3534">
        <v>52773655204</v>
      </c>
      <c r="H3534" t="s">
        <v>35</v>
      </c>
      <c r="I3534" s="36">
        <v>4962.6000000000004</v>
      </c>
      <c r="J3534" s="36">
        <v>4962.6000000000004</v>
      </c>
      <c r="K3534" s="85">
        <v>0</v>
      </c>
      <c r="L3534" s="36">
        <v>413.55</v>
      </c>
      <c r="M3534" s="36">
        <v>0</v>
      </c>
      <c r="N3534" s="36">
        <v>48.9</v>
      </c>
      <c r="O3534" s="36">
        <v>364.65</v>
      </c>
      <c r="P3534" t="s">
        <v>165</v>
      </c>
      <c r="Q3534" t="s">
        <v>166</v>
      </c>
      <c r="R3534" t="s">
        <v>166</v>
      </c>
      <c r="S3534" s="1">
        <v>46125</v>
      </c>
      <c r="T3534" s="1">
        <v>46125</v>
      </c>
      <c r="U3534" s="1">
        <v>46125</v>
      </c>
      <c r="V3534" s="1">
        <v>46490</v>
      </c>
      <c r="W3534" t="s">
        <v>38</v>
      </c>
      <c r="X3534">
        <v>12</v>
      </c>
      <c r="Y3534" t="s">
        <v>49</v>
      </c>
      <c r="Z3534" t="s">
        <v>81</v>
      </c>
      <c r="AA3534" t="s">
        <v>112</v>
      </c>
      <c r="AB3534">
        <v>12</v>
      </c>
      <c r="AC3534" t="s">
        <v>166</v>
      </c>
      <c r="AD3534" t="s">
        <v>138</v>
      </c>
      <c r="AE3534" t="s">
        <v>135</v>
      </c>
      <c r="AF3534" t="s">
        <v>119</v>
      </c>
      <c r="AG3534" t="str">
        <f t="shared" si="71"/>
        <v>CC 12x</v>
      </c>
      <c r="AH3534" t="str">
        <f t="shared" si="72"/>
        <v/>
      </c>
    </row>
    <row r="3535" spans="1:34">
      <c r="A3535">
        <v>2026</v>
      </c>
      <c r="B3535">
        <v>4</v>
      </c>
      <c r="C3535" s="83">
        <v>2086596</v>
      </c>
      <c r="D3535" t="s">
        <v>3104</v>
      </c>
      <c r="E3535">
        <v>59268867636</v>
      </c>
      <c r="F3535">
        <v>637363</v>
      </c>
      <c r="G3535">
        <v>54699235603</v>
      </c>
      <c r="H3535" t="s">
        <v>35</v>
      </c>
      <c r="I3535" s="36">
        <v>2442.84</v>
      </c>
      <c r="J3535" s="36">
        <v>2442.9</v>
      </c>
      <c r="K3535" s="85">
        <v>0</v>
      </c>
      <c r="L3535" s="36">
        <v>203.57499999999999</v>
      </c>
      <c r="M3535" s="36">
        <v>203.57499999999999</v>
      </c>
      <c r="N3535" s="36">
        <v>0</v>
      </c>
      <c r="O3535" s="36">
        <v>0</v>
      </c>
      <c r="P3535" t="s">
        <v>2004</v>
      </c>
      <c r="Q3535" t="s">
        <v>300</v>
      </c>
      <c r="R3535" t="s">
        <v>300</v>
      </c>
      <c r="S3535" s="1">
        <v>46139</v>
      </c>
      <c r="T3535" s="1">
        <v>46139</v>
      </c>
      <c r="V3535" s="1">
        <v>46504</v>
      </c>
      <c r="W3535" t="s">
        <v>38</v>
      </c>
      <c r="X3535">
        <v>12</v>
      </c>
      <c r="Y3535" t="s">
        <v>49</v>
      </c>
      <c r="AA3535" t="s">
        <v>112</v>
      </c>
      <c r="AB3535">
        <v>12</v>
      </c>
      <c r="AC3535" t="s">
        <v>301</v>
      </c>
      <c r="AD3535" t="s">
        <v>118</v>
      </c>
      <c r="AE3535" t="s">
        <v>43</v>
      </c>
      <c r="AF3535" t="s">
        <v>119</v>
      </c>
      <c r="AG3535" t="str">
        <f t="shared" si="71"/>
        <v>CC 12x</v>
      </c>
      <c r="AH3535" t="str">
        <f t="shared" si="72"/>
        <v/>
      </c>
    </row>
    <row r="3536" spans="1:34">
      <c r="A3536">
        <v>2026</v>
      </c>
      <c r="B3536">
        <v>4</v>
      </c>
      <c r="C3536" s="83">
        <v>2087707</v>
      </c>
      <c r="D3536" t="s">
        <v>3105</v>
      </c>
      <c r="E3536">
        <v>59165805441</v>
      </c>
      <c r="F3536">
        <v>637087</v>
      </c>
      <c r="G3536">
        <v>54280034866</v>
      </c>
      <c r="H3536" t="s">
        <v>35</v>
      </c>
      <c r="I3536" s="36">
        <v>2586.6</v>
      </c>
      <c r="J3536" s="36">
        <v>2586.6</v>
      </c>
      <c r="K3536" s="85">
        <v>0</v>
      </c>
      <c r="L3536" s="36">
        <v>215.55</v>
      </c>
      <c r="M3536" s="36">
        <v>215.55</v>
      </c>
      <c r="N3536" s="36">
        <v>0</v>
      </c>
      <c r="O3536" s="36">
        <v>0</v>
      </c>
      <c r="P3536" t="s">
        <v>829</v>
      </c>
      <c r="Q3536" t="s">
        <v>300</v>
      </c>
      <c r="R3536" t="s">
        <v>300</v>
      </c>
      <c r="S3536" s="1">
        <v>46126</v>
      </c>
      <c r="T3536" s="1">
        <v>46126</v>
      </c>
      <c r="U3536" s="1"/>
      <c r="V3536" s="1">
        <v>46491</v>
      </c>
      <c r="W3536" t="s">
        <v>38</v>
      </c>
      <c r="X3536">
        <v>12</v>
      </c>
      <c r="Y3536" t="s">
        <v>49</v>
      </c>
      <c r="AA3536" t="s">
        <v>112</v>
      </c>
      <c r="AB3536">
        <v>12</v>
      </c>
      <c r="AC3536" t="s">
        <v>301</v>
      </c>
      <c r="AD3536" t="s">
        <v>118</v>
      </c>
      <c r="AE3536" t="s">
        <v>43</v>
      </c>
      <c r="AF3536" t="s">
        <v>119</v>
      </c>
      <c r="AG3536" t="str">
        <f t="shared" si="71"/>
        <v>CC 12x</v>
      </c>
      <c r="AH3536" t="str">
        <f t="shared" si="72"/>
        <v/>
      </c>
    </row>
    <row r="3537" spans="1:34">
      <c r="A3537">
        <v>2026</v>
      </c>
      <c r="B3537">
        <v>4</v>
      </c>
      <c r="C3537" s="83">
        <v>208807244217</v>
      </c>
      <c r="D3537" t="s">
        <v>3106</v>
      </c>
      <c r="E3537">
        <v>58851314556</v>
      </c>
      <c r="F3537">
        <v>508496</v>
      </c>
      <c r="G3537">
        <v>54269750602</v>
      </c>
      <c r="H3537" t="s">
        <v>35</v>
      </c>
      <c r="I3537" s="36">
        <v>7202.52</v>
      </c>
      <c r="J3537" s="36">
        <v>7202.52</v>
      </c>
      <c r="K3537" s="85">
        <v>0</v>
      </c>
      <c r="L3537" s="36">
        <v>600.21</v>
      </c>
      <c r="M3537" s="36">
        <v>0</v>
      </c>
      <c r="N3537" s="36">
        <v>0</v>
      </c>
      <c r="O3537" s="36">
        <v>600.21500000000003</v>
      </c>
      <c r="P3537" t="s">
        <v>121</v>
      </c>
      <c r="Q3537" t="s">
        <v>111</v>
      </c>
      <c r="R3537" t="s">
        <v>111</v>
      </c>
      <c r="S3537" s="1">
        <v>46126</v>
      </c>
      <c r="T3537" s="1">
        <v>46126</v>
      </c>
      <c r="U3537" s="1">
        <v>46130</v>
      </c>
      <c r="V3537" s="1">
        <v>46495</v>
      </c>
      <c r="W3537" t="s">
        <v>38</v>
      </c>
      <c r="X3537">
        <v>12</v>
      </c>
      <c r="Y3537" t="s">
        <v>49</v>
      </c>
      <c r="Z3537" t="s">
        <v>81</v>
      </c>
      <c r="AA3537" t="s">
        <v>112</v>
      </c>
      <c r="AB3537">
        <v>12</v>
      </c>
      <c r="AC3537" t="s">
        <v>113</v>
      </c>
      <c r="AD3537" t="s">
        <v>134</v>
      </c>
      <c r="AE3537" t="s">
        <v>135</v>
      </c>
      <c r="AF3537" t="s">
        <v>44</v>
      </c>
      <c r="AG3537" t="str">
        <f t="shared" si="71"/>
        <v>CC 12x</v>
      </c>
      <c r="AH3537" t="str">
        <f t="shared" si="72"/>
        <v/>
      </c>
    </row>
    <row r="3538" spans="1:34">
      <c r="A3538">
        <v>2026</v>
      </c>
      <c r="B3538">
        <v>4</v>
      </c>
      <c r="C3538" s="83">
        <v>2088743</v>
      </c>
      <c r="D3538" t="s">
        <v>3107</v>
      </c>
      <c r="E3538">
        <v>58952711021</v>
      </c>
      <c r="F3538">
        <v>636939</v>
      </c>
      <c r="G3538">
        <v>54119044103</v>
      </c>
      <c r="H3538" t="s">
        <v>35</v>
      </c>
      <c r="I3538" s="36">
        <v>4411.2</v>
      </c>
      <c r="J3538" s="36">
        <v>4411.2</v>
      </c>
      <c r="K3538" s="85">
        <v>0</v>
      </c>
      <c r="L3538" s="36">
        <v>367.6</v>
      </c>
      <c r="M3538" s="36">
        <v>367.6</v>
      </c>
      <c r="N3538" s="36">
        <v>0</v>
      </c>
      <c r="O3538" s="36">
        <v>0</v>
      </c>
      <c r="P3538" t="s">
        <v>1073</v>
      </c>
      <c r="Q3538" t="s">
        <v>314</v>
      </c>
      <c r="R3538" t="s">
        <v>314</v>
      </c>
      <c r="S3538" s="1">
        <v>46120</v>
      </c>
      <c r="T3538" s="1">
        <v>46120</v>
      </c>
      <c r="U3538" s="1"/>
      <c r="V3538" s="1">
        <v>46485</v>
      </c>
      <c r="W3538" t="s">
        <v>38</v>
      </c>
      <c r="X3538">
        <v>12</v>
      </c>
      <c r="Y3538" t="s">
        <v>49</v>
      </c>
      <c r="AA3538" t="s">
        <v>112</v>
      </c>
      <c r="AB3538">
        <v>12</v>
      </c>
      <c r="AC3538" t="s">
        <v>315</v>
      </c>
      <c r="AD3538" t="s">
        <v>138</v>
      </c>
      <c r="AE3538" t="s">
        <v>135</v>
      </c>
      <c r="AF3538" t="s">
        <v>119</v>
      </c>
      <c r="AG3538" t="str">
        <f t="shared" si="71"/>
        <v>CC 12x</v>
      </c>
      <c r="AH3538" t="str">
        <f t="shared" si="72"/>
        <v/>
      </c>
    </row>
    <row r="3539" spans="1:34">
      <c r="A3539">
        <v>2026</v>
      </c>
      <c r="B3539">
        <v>4</v>
      </c>
      <c r="C3539" s="83">
        <v>2089510</v>
      </c>
      <c r="D3539" t="s">
        <v>3108</v>
      </c>
      <c r="E3539">
        <v>57721682288</v>
      </c>
      <c r="F3539">
        <v>628485</v>
      </c>
      <c r="G3539">
        <v>52980152630</v>
      </c>
      <c r="H3539" t="s">
        <v>35</v>
      </c>
      <c r="I3539" s="36">
        <v>5754</v>
      </c>
      <c r="J3539" s="36">
        <v>5754</v>
      </c>
      <c r="K3539" s="85">
        <v>0</v>
      </c>
      <c r="L3539" s="36">
        <v>479.5</v>
      </c>
      <c r="M3539" s="36">
        <v>0</v>
      </c>
      <c r="N3539" s="36">
        <v>94.45</v>
      </c>
      <c r="O3539" s="36">
        <v>385.05</v>
      </c>
      <c r="P3539" t="s">
        <v>165</v>
      </c>
      <c r="Q3539" t="s">
        <v>166</v>
      </c>
      <c r="R3539" t="s">
        <v>166</v>
      </c>
      <c r="S3539" s="1">
        <v>46134</v>
      </c>
      <c r="T3539" s="1">
        <v>46134</v>
      </c>
      <c r="U3539" s="1">
        <v>46134</v>
      </c>
      <c r="V3539" s="1">
        <v>46499</v>
      </c>
      <c r="W3539" t="s">
        <v>38</v>
      </c>
      <c r="X3539">
        <v>12</v>
      </c>
      <c r="Y3539" t="s">
        <v>49</v>
      </c>
      <c r="Z3539" t="s">
        <v>81</v>
      </c>
      <c r="AA3539" t="s">
        <v>122</v>
      </c>
      <c r="AB3539">
        <v>12</v>
      </c>
      <c r="AC3539" t="s">
        <v>166</v>
      </c>
      <c r="AD3539" t="s">
        <v>85</v>
      </c>
      <c r="AE3539" t="s">
        <v>46</v>
      </c>
      <c r="AF3539" t="s">
        <v>44</v>
      </c>
      <c r="AG3539" t="str">
        <f t="shared" si="71"/>
        <v>Recorrente</v>
      </c>
      <c r="AH3539" t="str">
        <f t="shared" si="72"/>
        <v/>
      </c>
    </row>
    <row r="3540" spans="1:34">
      <c r="A3540">
        <v>2026</v>
      </c>
      <c r="B3540">
        <v>4</v>
      </c>
      <c r="C3540" s="83">
        <v>2089516</v>
      </c>
      <c r="D3540" t="s">
        <v>3109</v>
      </c>
      <c r="E3540">
        <v>59146776410</v>
      </c>
      <c r="F3540">
        <v>637058</v>
      </c>
      <c r="G3540">
        <v>54269057432</v>
      </c>
      <c r="H3540" t="s">
        <v>35</v>
      </c>
      <c r="I3540" s="36">
        <v>4416</v>
      </c>
      <c r="J3540" s="36">
        <v>4416</v>
      </c>
      <c r="K3540" s="85">
        <v>0</v>
      </c>
      <c r="L3540" s="36">
        <v>368</v>
      </c>
      <c r="M3540" s="36">
        <v>368</v>
      </c>
      <c r="N3540" s="36">
        <v>0</v>
      </c>
      <c r="O3540" s="36">
        <v>0</v>
      </c>
      <c r="P3540" t="s">
        <v>511</v>
      </c>
      <c r="Q3540" t="s">
        <v>300</v>
      </c>
      <c r="R3540" t="s">
        <v>300</v>
      </c>
      <c r="S3540" s="1">
        <v>46125</v>
      </c>
      <c r="T3540" s="1">
        <v>46125</v>
      </c>
      <c r="V3540" s="1">
        <v>46490</v>
      </c>
      <c r="W3540" t="s">
        <v>38</v>
      </c>
      <c r="X3540">
        <v>12</v>
      </c>
      <c r="Y3540" t="s">
        <v>49</v>
      </c>
      <c r="AA3540" t="s">
        <v>112</v>
      </c>
      <c r="AB3540">
        <v>12</v>
      </c>
      <c r="AC3540" t="s">
        <v>301</v>
      </c>
      <c r="AD3540" t="s">
        <v>138</v>
      </c>
      <c r="AE3540" t="s">
        <v>135</v>
      </c>
      <c r="AF3540" t="s">
        <v>119</v>
      </c>
      <c r="AG3540" t="str">
        <f t="shared" si="71"/>
        <v>CC 12x</v>
      </c>
      <c r="AH3540" t="str">
        <f t="shared" si="72"/>
        <v/>
      </c>
    </row>
    <row r="3541" spans="1:34">
      <c r="A3541">
        <v>2026</v>
      </c>
      <c r="B3541">
        <v>4</v>
      </c>
      <c r="C3541" s="83">
        <v>2089541</v>
      </c>
      <c r="D3541" t="s">
        <v>3110</v>
      </c>
      <c r="E3541">
        <v>59168943942</v>
      </c>
      <c r="F3541">
        <v>637085</v>
      </c>
      <c r="G3541">
        <v>54282713237</v>
      </c>
      <c r="H3541" t="s">
        <v>35</v>
      </c>
      <c r="I3541" s="36">
        <v>4943.28</v>
      </c>
      <c r="J3541" s="36">
        <v>2471.64</v>
      </c>
      <c r="K3541" s="85">
        <v>2471.64</v>
      </c>
      <c r="L3541" s="36">
        <v>205.97</v>
      </c>
      <c r="M3541" s="36">
        <v>205.97</v>
      </c>
      <c r="N3541" s="36">
        <v>0</v>
      </c>
      <c r="O3541" s="36">
        <v>0</v>
      </c>
      <c r="P3541" t="s">
        <v>2004</v>
      </c>
      <c r="Q3541" t="s">
        <v>300</v>
      </c>
      <c r="R3541" t="s">
        <v>300</v>
      </c>
      <c r="S3541" s="1">
        <v>46126</v>
      </c>
      <c r="T3541" s="1">
        <v>46126</v>
      </c>
      <c r="V3541" s="1">
        <v>46857</v>
      </c>
      <c r="W3541" t="s">
        <v>56</v>
      </c>
      <c r="X3541">
        <v>24</v>
      </c>
      <c r="Y3541" t="s">
        <v>49</v>
      </c>
      <c r="AA3541" t="s">
        <v>122</v>
      </c>
      <c r="AB3541">
        <v>24</v>
      </c>
      <c r="AC3541" t="s">
        <v>301</v>
      </c>
      <c r="AD3541" t="s">
        <v>118</v>
      </c>
      <c r="AE3541" t="s">
        <v>43</v>
      </c>
      <c r="AF3541" t="s">
        <v>119</v>
      </c>
      <c r="AG3541" t="str">
        <f t="shared" si="71"/>
        <v>Recorrente</v>
      </c>
      <c r="AH3541" t="str">
        <f t="shared" si="72"/>
        <v/>
      </c>
    </row>
    <row r="3542" spans="1:34">
      <c r="A3542">
        <v>2026</v>
      </c>
      <c r="B3542">
        <v>4</v>
      </c>
      <c r="C3542" s="83">
        <v>2089804</v>
      </c>
      <c r="D3542" t="s">
        <v>3111</v>
      </c>
      <c r="E3542">
        <v>59123013193</v>
      </c>
      <c r="F3542">
        <v>611030</v>
      </c>
      <c r="G3542">
        <v>54635758339</v>
      </c>
      <c r="H3542" t="s">
        <v>35</v>
      </c>
      <c r="I3542" s="36">
        <v>3289.8</v>
      </c>
      <c r="J3542" s="36">
        <v>3289.8</v>
      </c>
      <c r="K3542" s="85">
        <v>0</v>
      </c>
      <c r="L3542" s="36">
        <v>274.14999999999998</v>
      </c>
      <c r="M3542" s="36">
        <v>0</v>
      </c>
      <c r="N3542" s="36">
        <v>11.49625</v>
      </c>
      <c r="O3542" s="36">
        <v>262.64999999999998</v>
      </c>
      <c r="P3542" t="s">
        <v>110</v>
      </c>
      <c r="Q3542" t="s">
        <v>111</v>
      </c>
      <c r="R3542" t="s">
        <v>111</v>
      </c>
      <c r="S3542" s="1">
        <v>46136</v>
      </c>
      <c r="T3542" s="1">
        <v>46136</v>
      </c>
      <c r="U3542" s="1">
        <v>46123</v>
      </c>
      <c r="V3542" s="1">
        <v>46501</v>
      </c>
      <c r="W3542" t="s">
        <v>38</v>
      </c>
      <c r="X3542">
        <v>12</v>
      </c>
      <c r="Y3542" t="s">
        <v>49</v>
      </c>
      <c r="Z3542" t="s">
        <v>81</v>
      </c>
      <c r="AA3542" t="s">
        <v>112</v>
      </c>
      <c r="AB3542">
        <v>12</v>
      </c>
      <c r="AC3542" t="s">
        <v>113</v>
      </c>
      <c r="AD3542" t="s">
        <v>160</v>
      </c>
      <c r="AE3542" t="s">
        <v>43</v>
      </c>
      <c r="AF3542" t="s">
        <v>44</v>
      </c>
      <c r="AG3542" t="str">
        <f t="shared" si="71"/>
        <v>CC 12x</v>
      </c>
      <c r="AH3542" t="str">
        <f t="shared" si="72"/>
        <v/>
      </c>
    </row>
    <row r="3543" spans="1:34">
      <c r="A3543">
        <v>2026</v>
      </c>
      <c r="B3543">
        <v>4</v>
      </c>
      <c r="C3543" s="83">
        <v>209038896713</v>
      </c>
      <c r="D3543" t="s">
        <v>3112</v>
      </c>
      <c r="E3543">
        <v>56274164240</v>
      </c>
      <c r="F3543">
        <v>628105</v>
      </c>
      <c r="G3543">
        <v>51572341558</v>
      </c>
      <c r="H3543" t="s">
        <v>35</v>
      </c>
      <c r="I3543" s="36">
        <v>4962.6000000000004</v>
      </c>
      <c r="J3543" s="36">
        <v>4962.6000000000004</v>
      </c>
      <c r="K3543" s="85">
        <v>0</v>
      </c>
      <c r="L3543" s="36">
        <v>413.55</v>
      </c>
      <c r="M3543" s="36">
        <v>0</v>
      </c>
      <c r="N3543" s="36">
        <v>48.9</v>
      </c>
      <c r="O3543" s="36">
        <v>364.65</v>
      </c>
      <c r="P3543" t="s">
        <v>165</v>
      </c>
      <c r="Q3543" t="s">
        <v>166</v>
      </c>
      <c r="R3543" t="s">
        <v>166</v>
      </c>
      <c r="S3543" s="1">
        <v>46113</v>
      </c>
      <c r="T3543" s="1">
        <v>46113</v>
      </c>
      <c r="U3543" s="1">
        <v>46113</v>
      </c>
      <c r="V3543" s="1">
        <v>46478</v>
      </c>
      <c r="W3543" t="s">
        <v>38</v>
      </c>
      <c r="X3543">
        <v>12</v>
      </c>
      <c r="Y3543" t="s">
        <v>49</v>
      </c>
      <c r="Z3543" t="s">
        <v>81</v>
      </c>
      <c r="AA3543" t="s">
        <v>112</v>
      </c>
      <c r="AB3543">
        <v>12</v>
      </c>
      <c r="AC3543" t="s">
        <v>166</v>
      </c>
      <c r="AD3543" t="s">
        <v>138</v>
      </c>
      <c r="AE3543" t="s">
        <v>135</v>
      </c>
      <c r="AF3543" t="s">
        <v>119</v>
      </c>
      <c r="AG3543" t="str">
        <f t="shared" si="71"/>
        <v>CC 12x</v>
      </c>
      <c r="AH3543" t="str">
        <f t="shared" si="72"/>
        <v/>
      </c>
    </row>
    <row r="3544" spans="1:34">
      <c r="A3544">
        <v>2026</v>
      </c>
      <c r="B3544">
        <v>4</v>
      </c>
      <c r="C3544" s="83">
        <v>2090468</v>
      </c>
      <c r="D3544" t="s">
        <v>3113</v>
      </c>
      <c r="E3544">
        <v>57504908289</v>
      </c>
      <c r="F3544">
        <v>312246</v>
      </c>
      <c r="G3544">
        <v>52771182896</v>
      </c>
      <c r="H3544" t="s">
        <v>35</v>
      </c>
      <c r="I3544" s="36">
        <v>12954.6</v>
      </c>
      <c r="J3544" s="36">
        <v>12954.6</v>
      </c>
      <c r="K3544" s="85">
        <v>1.8189900000000001E-12</v>
      </c>
      <c r="L3544" s="36">
        <v>1079.55</v>
      </c>
      <c r="M3544" s="36">
        <v>0</v>
      </c>
      <c r="N3544" s="36">
        <v>132.65</v>
      </c>
      <c r="O3544" s="36">
        <v>946.9</v>
      </c>
      <c r="P3544" t="s">
        <v>165</v>
      </c>
      <c r="Q3544" t="s">
        <v>166</v>
      </c>
      <c r="R3544" t="s">
        <v>166</v>
      </c>
      <c r="S3544" s="1">
        <v>46130</v>
      </c>
      <c r="T3544" s="1">
        <v>46130</v>
      </c>
      <c r="U3544" s="1">
        <v>46130</v>
      </c>
      <c r="V3544" s="1">
        <v>46495</v>
      </c>
      <c r="W3544" t="s">
        <v>38</v>
      </c>
      <c r="X3544">
        <v>12</v>
      </c>
      <c r="Y3544" t="s">
        <v>49</v>
      </c>
      <c r="Z3544" t="s">
        <v>81</v>
      </c>
      <c r="AA3544" t="s">
        <v>122</v>
      </c>
      <c r="AB3544">
        <v>12</v>
      </c>
      <c r="AC3544" t="s">
        <v>166</v>
      </c>
      <c r="AD3544" t="s">
        <v>154</v>
      </c>
      <c r="AE3544" t="s">
        <v>46</v>
      </c>
      <c r="AF3544" t="s">
        <v>47</v>
      </c>
      <c r="AG3544" t="str">
        <f t="shared" si="71"/>
        <v>Recorrente</v>
      </c>
      <c r="AH3544" t="str">
        <f t="shared" si="72"/>
        <v/>
      </c>
    </row>
    <row r="3545" spans="1:34">
      <c r="A3545">
        <v>2026</v>
      </c>
      <c r="B3545">
        <v>4</v>
      </c>
      <c r="C3545" s="83">
        <v>2091913</v>
      </c>
      <c r="D3545" t="s">
        <v>3114</v>
      </c>
      <c r="E3545">
        <v>58333129559</v>
      </c>
      <c r="F3545">
        <v>312802</v>
      </c>
      <c r="G3545">
        <v>53491141742</v>
      </c>
      <c r="H3545" t="s">
        <v>35</v>
      </c>
      <c r="I3545" s="36">
        <v>3859.08</v>
      </c>
      <c r="J3545" s="36">
        <v>3859.08</v>
      </c>
      <c r="K3545" s="85">
        <v>0</v>
      </c>
      <c r="L3545" s="36">
        <v>321.58999999999997</v>
      </c>
      <c r="M3545" s="36">
        <v>0</v>
      </c>
      <c r="N3545" s="36">
        <v>31.34</v>
      </c>
      <c r="O3545" s="36">
        <v>290.25</v>
      </c>
      <c r="P3545" t="s">
        <v>127</v>
      </c>
      <c r="Q3545" t="s">
        <v>111</v>
      </c>
      <c r="R3545" t="s">
        <v>111</v>
      </c>
      <c r="S3545" s="1">
        <v>46106</v>
      </c>
      <c r="T3545" s="1">
        <v>46113</v>
      </c>
      <c r="U3545" s="1">
        <v>46136</v>
      </c>
      <c r="V3545" s="1">
        <v>46501</v>
      </c>
      <c r="W3545" t="s">
        <v>38</v>
      </c>
      <c r="X3545">
        <v>12</v>
      </c>
      <c r="Y3545" t="s">
        <v>49</v>
      </c>
      <c r="Z3545" t="s">
        <v>81</v>
      </c>
      <c r="AA3545" t="s">
        <v>112</v>
      </c>
      <c r="AB3545">
        <v>1</v>
      </c>
      <c r="AC3545" t="s">
        <v>113</v>
      </c>
      <c r="AD3545" t="s">
        <v>84</v>
      </c>
      <c r="AE3545" t="s">
        <v>43</v>
      </c>
      <c r="AF3545" t="s">
        <v>44</v>
      </c>
      <c r="AG3545" t="str">
        <f t="shared" si="71"/>
        <v>À Vista</v>
      </c>
      <c r="AH3545" t="str">
        <f t="shared" si="72"/>
        <v/>
      </c>
    </row>
    <row r="3546" spans="1:34">
      <c r="A3546">
        <v>2026</v>
      </c>
      <c r="B3546">
        <v>4</v>
      </c>
      <c r="C3546" s="83">
        <v>2093430</v>
      </c>
      <c r="D3546" t="s">
        <v>518</v>
      </c>
      <c r="E3546">
        <v>56365285929</v>
      </c>
      <c r="F3546">
        <v>620744</v>
      </c>
      <c r="G3546">
        <v>51634742443</v>
      </c>
      <c r="H3546" t="s">
        <v>35</v>
      </c>
      <c r="I3546" s="36">
        <v>5718.6</v>
      </c>
      <c r="J3546" s="36">
        <v>5718.6</v>
      </c>
      <c r="K3546" s="85">
        <v>0</v>
      </c>
      <c r="L3546" s="36">
        <v>476.55</v>
      </c>
      <c r="M3546" s="36">
        <v>0</v>
      </c>
      <c r="N3546" s="36">
        <v>91.55</v>
      </c>
      <c r="O3546" s="36">
        <v>385</v>
      </c>
      <c r="P3546" t="s">
        <v>165</v>
      </c>
      <c r="Q3546" t="s">
        <v>166</v>
      </c>
      <c r="R3546" t="s">
        <v>166</v>
      </c>
      <c r="S3546" s="1">
        <v>46114</v>
      </c>
      <c r="T3546" s="1">
        <v>46114</v>
      </c>
      <c r="U3546" s="1">
        <v>46114</v>
      </c>
      <c r="V3546" s="1">
        <v>46479</v>
      </c>
      <c r="W3546" t="s">
        <v>38</v>
      </c>
      <c r="X3546">
        <v>12</v>
      </c>
      <c r="Y3546" t="s">
        <v>49</v>
      </c>
      <c r="Z3546" t="s">
        <v>81</v>
      </c>
      <c r="AA3546" t="s">
        <v>122</v>
      </c>
      <c r="AB3546">
        <v>12</v>
      </c>
      <c r="AC3546" t="s">
        <v>166</v>
      </c>
      <c r="AD3546" t="s">
        <v>174</v>
      </c>
      <c r="AE3546" t="s">
        <v>43</v>
      </c>
      <c r="AF3546" t="s">
        <v>47</v>
      </c>
      <c r="AG3546" t="str">
        <f t="shared" si="71"/>
        <v>Recorrente</v>
      </c>
      <c r="AH3546" t="str">
        <f t="shared" si="72"/>
        <v/>
      </c>
    </row>
    <row r="3547" spans="1:34">
      <c r="A3547">
        <v>2026</v>
      </c>
      <c r="B3547">
        <v>4</v>
      </c>
      <c r="C3547" s="83">
        <v>2093598</v>
      </c>
      <c r="D3547" t="s">
        <v>3115</v>
      </c>
      <c r="E3547">
        <v>56463787656</v>
      </c>
      <c r="F3547">
        <v>612883</v>
      </c>
      <c r="G3547">
        <v>51761266841</v>
      </c>
      <c r="H3547" t="s">
        <v>35</v>
      </c>
      <c r="I3547" s="36">
        <v>3666.6</v>
      </c>
      <c r="J3547" s="36">
        <v>3666.6</v>
      </c>
      <c r="K3547" s="85">
        <v>0</v>
      </c>
      <c r="L3547" s="36">
        <v>305.55</v>
      </c>
      <c r="M3547" s="36">
        <v>0</v>
      </c>
      <c r="N3547" s="36">
        <v>42.9</v>
      </c>
      <c r="O3547" s="36">
        <v>262.64999999999998</v>
      </c>
      <c r="P3547" t="s">
        <v>165</v>
      </c>
      <c r="Q3547" t="s">
        <v>166</v>
      </c>
      <c r="R3547" t="s">
        <v>166</v>
      </c>
      <c r="S3547" s="1">
        <v>46116</v>
      </c>
      <c r="T3547" s="1">
        <v>46116</v>
      </c>
      <c r="U3547" s="1">
        <v>46116</v>
      </c>
      <c r="V3547" s="1">
        <v>46481</v>
      </c>
      <c r="W3547" t="s">
        <v>38</v>
      </c>
      <c r="X3547">
        <v>12</v>
      </c>
      <c r="Y3547" t="s">
        <v>49</v>
      </c>
      <c r="Z3547" t="s">
        <v>81</v>
      </c>
      <c r="AA3547" t="s">
        <v>112</v>
      </c>
      <c r="AB3547">
        <v>12</v>
      </c>
      <c r="AC3547" t="s">
        <v>166</v>
      </c>
      <c r="AD3547" t="s">
        <v>160</v>
      </c>
      <c r="AE3547" t="s">
        <v>43</v>
      </c>
      <c r="AF3547" t="s">
        <v>44</v>
      </c>
      <c r="AG3547" t="str">
        <f t="shared" si="71"/>
        <v>CC 12x</v>
      </c>
      <c r="AH3547" t="str">
        <f t="shared" si="72"/>
        <v/>
      </c>
    </row>
    <row r="3548" spans="1:34">
      <c r="A3548">
        <v>2026</v>
      </c>
      <c r="B3548">
        <v>4</v>
      </c>
      <c r="C3548" s="83">
        <v>2094472</v>
      </c>
      <c r="D3548" t="s">
        <v>3116</v>
      </c>
      <c r="E3548">
        <v>58888183060</v>
      </c>
      <c r="F3548">
        <v>312110</v>
      </c>
      <c r="G3548">
        <v>54118802705</v>
      </c>
      <c r="H3548" t="s">
        <v>35</v>
      </c>
      <c r="I3548" s="36">
        <v>5178.6000000000004</v>
      </c>
      <c r="J3548" s="36">
        <v>5178.6000000000004</v>
      </c>
      <c r="K3548" s="85">
        <v>0</v>
      </c>
      <c r="L3548" s="36">
        <v>431.55</v>
      </c>
      <c r="M3548" s="36">
        <v>0</v>
      </c>
      <c r="N3548" s="36">
        <v>14.24</v>
      </c>
      <c r="O3548" s="36">
        <v>417.31</v>
      </c>
      <c r="P3548" t="s">
        <v>137</v>
      </c>
      <c r="Q3548" t="s">
        <v>111</v>
      </c>
      <c r="R3548" t="s">
        <v>111</v>
      </c>
      <c r="S3548" s="1">
        <v>46125</v>
      </c>
      <c r="T3548" s="1">
        <v>46125</v>
      </c>
      <c r="U3548" s="1">
        <v>46118</v>
      </c>
      <c r="V3548" s="1">
        <v>46491</v>
      </c>
      <c r="W3548" t="s">
        <v>38</v>
      </c>
      <c r="X3548">
        <v>12</v>
      </c>
      <c r="Y3548" t="s">
        <v>49</v>
      </c>
      <c r="Z3548" t="s">
        <v>81</v>
      </c>
      <c r="AA3548" t="s">
        <v>122</v>
      </c>
      <c r="AB3548">
        <v>12</v>
      </c>
      <c r="AC3548" t="s">
        <v>113</v>
      </c>
      <c r="AD3548" t="s">
        <v>85</v>
      </c>
      <c r="AE3548" t="s">
        <v>46</v>
      </c>
      <c r="AF3548" t="s">
        <v>44</v>
      </c>
      <c r="AG3548" t="str">
        <f t="shared" si="71"/>
        <v>Recorrente</v>
      </c>
      <c r="AH3548" t="str">
        <f t="shared" si="72"/>
        <v/>
      </c>
    </row>
    <row r="3549" spans="1:34">
      <c r="A3549">
        <v>2026</v>
      </c>
      <c r="B3549">
        <v>4</v>
      </c>
      <c r="C3549" s="83">
        <v>20945088774</v>
      </c>
      <c r="D3549" t="s">
        <v>1470</v>
      </c>
      <c r="E3549">
        <v>58372963346</v>
      </c>
      <c r="F3549">
        <v>530786</v>
      </c>
      <c r="G3549">
        <v>54884666715</v>
      </c>
      <c r="H3549" t="s">
        <v>35</v>
      </c>
      <c r="I3549" s="36">
        <v>5400.84</v>
      </c>
      <c r="J3549" s="36">
        <v>5400.84</v>
      </c>
      <c r="K3549" s="85">
        <v>0</v>
      </c>
      <c r="L3549" s="36">
        <v>450.07</v>
      </c>
      <c r="M3549" s="36">
        <v>0</v>
      </c>
      <c r="N3549" s="36">
        <v>223.40625</v>
      </c>
      <c r="O3549" s="36">
        <v>226.66874999999999</v>
      </c>
      <c r="P3549" t="s">
        <v>110</v>
      </c>
      <c r="Q3549" t="s">
        <v>111</v>
      </c>
      <c r="R3549" t="s">
        <v>111</v>
      </c>
      <c r="S3549" s="1">
        <v>46141</v>
      </c>
      <c r="T3549" s="1">
        <v>46141</v>
      </c>
      <c r="U3549" s="1">
        <v>46086</v>
      </c>
      <c r="V3549" s="1">
        <v>46506</v>
      </c>
      <c r="W3549" t="s">
        <v>38</v>
      </c>
      <c r="X3549">
        <v>13</v>
      </c>
      <c r="Y3549" t="s">
        <v>49</v>
      </c>
      <c r="Z3549" t="s">
        <v>81</v>
      </c>
      <c r="AA3549" t="s">
        <v>112</v>
      </c>
      <c r="AB3549">
        <v>1</v>
      </c>
      <c r="AC3549" t="s">
        <v>113</v>
      </c>
      <c r="AD3549" t="s">
        <v>149</v>
      </c>
      <c r="AE3549" t="s">
        <v>43</v>
      </c>
      <c r="AF3549" t="s">
        <v>96</v>
      </c>
      <c r="AG3549" t="str">
        <f t="shared" si="71"/>
        <v>À Vista</v>
      </c>
      <c r="AH3549" t="str">
        <f t="shared" si="72"/>
        <v/>
      </c>
    </row>
    <row r="3550" spans="1:34">
      <c r="A3550">
        <v>2026</v>
      </c>
      <c r="B3550">
        <v>4</v>
      </c>
      <c r="C3550" s="83">
        <v>20945162588</v>
      </c>
      <c r="D3550" t="s">
        <v>3117</v>
      </c>
      <c r="E3550">
        <v>59828019636</v>
      </c>
      <c r="F3550">
        <v>328825</v>
      </c>
      <c r="G3550">
        <v>54884871505</v>
      </c>
      <c r="H3550" t="s">
        <v>35</v>
      </c>
      <c r="I3550" s="36">
        <v>3672.24</v>
      </c>
      <c r="J3550" s="36">
        <v>3672.24</v>
      </c>
      <c r="K3550" s="85">
        <v>0</v>
      </c>
      <c r="L3550" s="36">
        <v>306.02</v>
      </c>
      <c r="M3550" s="36">
        <v>0</v>
      </c>
      <c r="N3550" s="36">
        <v>0</v>
      </c>
      <c r="O3550" s="36">
        <v>306.01875000000001</v>
      </c>
      <c r="P3550" t="s">
        <v>110</v>
      </c>
      <c r="Q3550" t="s">
        <v>111</v>
      </c>
      <c r="R3550" t="s">
        <v>111</v>
      </c>
      <c r="S3550" s="1">
        <v>46142</v>
      </c>
      <c r="T3550" s="1">
        <v>46142</v>
      </c>
      <c r="U3550" s="1">
        <v>46139</v>
      </c>
      <c r="V3550" s="1">
        <v>46507</v>
      </c>
      <c r="W3550" t="s">
        <v>38</v>
      </c>
      <c r="X3550">
        <v>12</v>
      </c>
      <c r="Y3550" t="s">
        <v>49</v>
      </c>
      <c r="Z3550" t="s">
        <v>81</v>
      </c>
      <c r="AA3550" t="s">
        <v>112</v>
      </c>
      <c r="AB3550">
        <v>12</v>
      </c>
      <c r="AC3550" t="s">
        <v>113</v>
      </c>
      <c r="AD3550" t="s">
        <v>163</v>
      </c>
      <c r="AE3550" t="s">
        <v>43</v>
      </c>
      <c r="AF3550" t="s">
        <v>96</v>
      </c>
      <c r="AG3550" t="str">
        <f t="shared" si="71"/>
        <v>CC 12x</v>
      </c>
      <c r="AH3550" t="str">
        <f t="shared" si="72"/>
        <v/>
      </c>
    </row>
    <row r="3551" spans="1:34">
      <c r="A3551">
        <v>2026</v>
      </c>
      <c r="B3551">
        <v>4</v>
      </c>
      <c r="C3551" s="83">
        <v>20945280870</v>
      </c>
      <c r="D3551" t="s">
        <v>3118</v>
      </c>
      <c r="E3551">
        <v>58902385523</v>
      </c>
      <c r="F3551">
        <v>636931</v>
      </c>
      <c r="G3551">
        <v>54079598378</v>
      </c>
      <c r="H3551" t="s">
        <v>673</v>
      </c>
      <c r="I3551" s="36">
        <v>11480</v>
      </c>
      <c r="J3551" s="36">
        <v>0</v>
      </c>
      <c r="K3551" s="85">
        <v>0</v>
      </c>
      <c r="L3551" s="36">
        <v>0</v>
      </c>
      <c r="M3551" s="36">
        <v>0</v>
      </c>
      <c r="N3551" s="36">
        <v>0</v>
      </c>
      <c r="O3551" s="36">
        <v>0</v>
      </c>
      <c r="P3551" t="s">
        <v>367</v>
      </c>
      <c r="Q3551" t="s">
        <v>191</v>
      </c>
      <c r="R3551" t="s">
        <v>191</v>
      </c>
      <c r="S3551" s="1">
        <v>46119</v>
      </c>
      <c r="T3551" s="1">
        <v>46119</v>
      </c>
      <c r="U3551" s="1"/>
      <c r="V3551" s="1">
        <v>46488</v>
      </c>
      <c r="W3551" t="s">
        <v>38</v>
      </c>
      <c r="X3551">
        <v>12</v>
      </c>
      <c r="Y3551" t="s">
        <v>1229</v>
      </c>
      <c r="AA3551" t="s">
        <v>92</v>
      </c>
      <c r="AB3551">
        <v>6</v>
      </c>
      <c r="AC3551" t="s">
        <v>192</v>
      </c>
      <c r="AD3551" t="s">
        <v>3119</v>
      </c>
      <c r="AE3551" t="s">
        <v>106</v>
      </c>
      <c r="AF3551" t="s">
        <v>59</v>
      </c>
      <c r="AG3551" t="str">
        <f t="shared" si="71"/>
        <v>Recorrente</v>
      </c>
      <c r="AH3551" t="str">
        <f t="shared" si="72"/>
        <v/>
      </c>
    </row>
    <row r="3552" spans="1:34">
      <c r="A3552">
        <v>2026</v>
      </c>
      <c r="B3552">
        <v>4</v>
      </c>
      <c r="C3552" s="83">
        <v>20945280870</v>
      </c>
      <c r="D3552" t="s">
        <v>3118</v>
      </c>
      <c r="E3552">
        <v>58934110032</v>
      </c>
      <c r="F3552">
        <v>612705</v>
      </c>
      <c r="G3552">
        <v>54086516576</v>
      </c>
      <c r="H3552" t="s">
        <v>35</v>
      </c>
      <c r="I3552" s="36">
        <v>4142.0879999999997</v>
      </c>
      <c r="J3552" s="36">
        <v>4142.0879999999997</v>
      </c>
      <c r="K3552" s="85">
        <v>0</v>
      </c>
      <c r="L3552" s="36">
        <v>345.17399999999998</v>
      </c>
      <c r="M3552" s="36">
        <v>0</v>
      </c>
      <c r="N3552" s="36">
        <v>103.97499999999999</v>
      </c>
      <c r="O3552" s="36">
        <v>241.2</v>
      </c>
      <c r="P3552" t="s">
        <v>367</v>
      </c>
      <c r="Q3552" t="s">
        <v>191</v>
      </c>
      <c r="R3552" t="s">
        <v>191</v>
      </c>
      <c r="S3552" s="1">
        <v>46119</v>
      </c>
      <c r="T3552" s="1">
        <v>46119</v>
      </c>
      <c r="U3552" s="1">
        <v>46121</v>
      </c>
      <c r="V3552" s="1">
        <v>46486</v>
      </c>
      <c r="W3552" t="s">
        <v>38</v>
      </c>
      <c r="X3552">
        <v>12</v>
      </c>
      <c r="Y3552" t="s">
        <v>49</v>
      </c>
      <c r="Z3552" t="s">
        <v>76</v>
      </c>
      <c r="AA3552" t="s">
        <v>92</v>
      </c>
      <c r="AB3552">
        <v>12</v>
      </c>
      <c r="AC3552" t="s">
        <v>192</v>
      </c>
      <c r="AD3552" t="s">
        <v>94</v>
      </c>
      <c r="AE3552" t="s">
        <v>95</v>
      </c>
      <c r="AF3552" t="s">
        <v>96</v>
      </c>
      <c r="AG3552" t="str">
        <f t="shared" si="71"/>
        <v>Recorrente</v>
      </c>
      <c r="AH3552" t="str">
        <f t="shared" si="72"/>
        <v/>
      </c>
    </row>
    <row r="3553" spans="1:34">
      <c r="A3553">
        <v>2026</v>
      </c>
      <c r="B3553">
        <v>4</v>
      </c>
      <c r="C3553" s="83">
        <v>20945280870</v>
      </c>
      <c r="D3553" t="s">
        <v>3118</v>
      </c>
      <c r="E3553">
        <v>58934110032</v>
      </c>
      <c r="F3553">
        <v>612705</v>
      </c>
      <c r="G3553">
        <v>54086516577</v>
      </c>
      <c r="H3553" t="s">
        <v>35</v>
      </c>
      <c r="I3553" s="36">
        <v>4142.0879999999997</v>
      </c>
      <c r="J3553" s="36">
        <v>4142.0879999999997</v>
      </c>
      <c r="K3553" s="85">
        <v>0</v>
      </c>
      <c r="L3553" s="36">
        <v>345.17399999999998</v>
      </c>
      <c r="M3553" s="36">
        <v>0</v>
      </c>
      <c r="N3553" s="36">
        <v>103.97499999999999</v>
      </c>
      <c r="O3553" s="36">
        <v>241.2</v>
      </c>
      <c r="P3553" t="s">
        <v>367</v>
      </c>
      <c r="Q3553" t="s">
        <v>191</v>
      </c>
      <c r="R3553" t="s">
        <v>191</v>
      </c>
      <c r="S3553" s="1">
        <v>46119</v>
      </c>
      <c r="T3553" s="1">
        <v>46119</v>
      </c>
      <c r="U3553" s="1">
        <v>46121</v>
      </c>
      <c r="V3553" s="1">
        <v>46486</v>
      </c>
      <c r="W3553" t="s">
        <v>38</v>
      </c>
      <c r="X3553">
        <v>12</v>
      </c>
      <c r="Y3553" t="s">
        <v>49</v>
      </c>
      <c r="Z3553" t="s">
        <v>76</v>
      </c>
      <c r="AA3553" t="s">
        <v>92</v>
      </c>
      <c r="AB3553">
        <v>12</v>
      </c>
      <c r="AC3553" t="s">
        <v>192</v>
      </c>
      <c r="AD3553" t="s">
        <v>256</v>
      </c>
      <c r="AE3553" t="s">
        <v>257</v>
      </c>
      <c r="AF3553" t="s">
        <v>59</v>
      </c>
      <c r="AG3553" t="str">
        <f t="shared" si="71"/>
        <v>Recorrente</v>
      </c>
      <c r="AH3553" t="str">
        <f t="shared" si="72"/>
        <v/>
      </c>
    </row>
    <row r="3554" spans="1:34">
      <c r="A3554">
        <v>2026</v>
      </c>
      <c r="B3554">
        <v>4</v>
      </c>
      <c r="C3554" s="83">
        <v>20945280870</v>
      </c>
      <c r="D3554" t="s">
        <v>3118</v>
      </c>
      <c r="E3554">
        <v>58934110032</v>
      </c>
      <c r="F3554">
        <v>612705</v>
      </c>
      <c r="G3554">
        <v>54086516578</v>
      </c>
      <c r="H3554" t="s">
        <v>35</v>
      </c>
      <c r="I3554" s="36">
        <v>4142.0879999999997</v>
      </c>
      <c r="J3554" s="36">
        <v>4142.0879999999997</v>
      </c>
      <c r="K3554" s="85">
        <v>0</v>
      </c>
      <c r="L3554" s="36">
        <v>345.17399999999998</v>
      </c>
      <c r="M3554" s="36">
        <v>0</v>
      </c>
      <c r="N3554" s="36">
        <v>103.97499999999999</v>
      </c>
      <c r="O3554" s="36">
        <v>241.2</v>
      </c>
      <c r="P3554" t="s">
        <v>367</v>
      </c>
      <c r="Q3554" t="s">
        <v>191</v>
      </c>
      <c r="R3554" t="s">
        <v>191</v>
      </c>
      <c r="S3554" s="1">
        <v>46119</v>
      </c>
      <c r="T3554" s="1">
        <v>46119</v>
      </c>
      <c r="U3554" s="1">
        <v>46121</v>
      </c>
      <c r="V3554" s="1">
        <v>46486</v>
      </c>
      <c r="W3554" t="s">
        <v>38</v>
      </c>
      <c r="X3554">
        <v>12</v>
      </c>
      <c r="Y3554" t="s">
        <v>49</v>
      </c>
      <c r="Z3554" t="s">
        <v>76</v>
      </c>
      <c r="AA3554" t="s">
        <v>92</v>
      </c>
      <c r="AB3554">
        <v>12</v>
      </c>
      <c r="AC3554" t="s">
        <v>192</v>
      </c>
      <c r="AD3554" t="s">
        <v>288</v>
      </c>
      <c r="AE3554" t="s">
        <v>289</v>
      </c>
      <c r="AF3554" t="s">
        <v>59</v>
      </c>
      <c r="AG3554" t="str">
        <f t="shared" si="71"/>
        <v>Recorrente</v>
      </c>
      <c r="AH3554" t="str">
        <f t="shared" si="72"/>
        <v/>
      </c>
    </row>
    <row r="3555" spans="1:34">
      <c r="A3555">
        <v>2026</v>
      </c>
      <c r="B3555">
        <v>4</v>
      </c>
      <c r="C3555" s="83">
        <v>20945280870</v>
      </c>
      <c r="D3555" t="s">
        <v>3118</v>
      </c>
      <c r="E3555">
        <v>58934110032</v>
      </c>
      <c r="F3555">
        <v>612705</v>
      </c>
      <c r="G3555">
        <v>54086516579</v>
      </c>
      <c r="H3555" t="s">
        <v>35</v>
      </c>
      <c r="I3555" s="36">
        <v>4142.0879999999997</v>
      </c>
      <c r="J3555" s="36">
        <v>4142.0879999999997</v>
      </c>
      <c r="K3555" s="85">
        <v>0</v>
      </c>
      <c r="L3555" s="36">
        <v>345.17399999999998</v>
      </c>
      <c r="M3555" s="36">
        <v>0</v>
      </c>
      <c r="N3555" s="36">
        <v>103.97499999999999</v>
      </c>
      <c r="O3555" s="36">
        <v>241.2</v>
      </c>
      <c r="P3555" t="s">
        <v>367</v>
      </c>
      <c r="Q3555" t="s">
        <v>191</v>
      </c>
      <c r="R3555" t="s">
        <v>191</v>
      </c>
      <c r="S3555" s="1">
        <v>46119</v>
      </c>
      <c r="T3555" s="1">
        <v>46119</v>
      </c>
      <c r="U3555" s="1">
        <v>46121</v>
      </c>
      <c r="V3555" s="1">
        <v>46486</v>
      </c>
      <c r="W3555" t="s">
        <v>38</v>
      </c>
      <c r="X3555">
        <v>12</v>
      </c>
      <c r="Y3555" t="s">
        <v>49</v>
      </c>
      <c r="Z3555" t="s">
        <v>76</v>
      </c>
      <c r="AA3555" t="s">
        <v>92</v>
      </c>
      <c r="AB3555">
        <v>12</v>
      </c>
      <c r="AC3555" t="s">
        <v>192</v>
      </c>
      <c r="AD3555" t="s">
        <v>362</v>
      </c>
      <c r="AE3555" t="s">
        <v>363</v>
      </c>
      <c r="AF3555" t="s">
        <v>59</v>
      </c>
      <c r="AG3555" t="str">
        <f t="shared" si="71"/>
        <v>Recorrente</v>
      </c>
      <c r="AH3555" t="str">
        <f t="shared" si="72"/>
        <v/>
      </c>
    </row>
    <row r="3556" spans="1:34">
      <c r="A3556">
        <v>2026</v>
      </c>
      <c r="B3556">
        <v>4</v>
      </c>
      <c r="C3556" s="83">
        <v>20945280870</v>
      </c>
      <c r="D3556" t="s">
        <v>3118</v>
      </c>
      <c r="E3556">
        <v>58934110032</v>
      </c>
      <c r="F3556">
        <v>612705</v>
      </c>
      <c r="G3556">
        <v>54086516580</v>
      </c>
      <c r="H3556" t="s">
        <v>35</v>
      </c>
      <c r="I3556" s="36">
        <v>4142.0879999999997</v>
      </c>
      <c r="J3556" s="36">
        <v>4142.0879999999997</v>
      </c>
      <c r="K3556" s="85">
        <v>0</v>
      </c>
      <c r="L3556" s="36">
        <v>345.17399999999998</v>
      </c>
      <c r="M3556" s="36">
        <v>0</v>
      </c>
      <c r="N3556" s="36">
        <v>103.97499999999999</v>
      </c>
      <c r="O3556" s="36">
        <v>241.2</v>
      </c>
      <c r="P3556" t="s">
        <v>367</v>
      </c>
      <c r="Q3556" t="s">
        <v>191</v>
      </c>
      <c r="R3556" t="s">
        <v>191</v>
      </c>
      <c r="S3556" s="1">
        <v>46119</v>
      </c>
      <c r="T3556" s="1">
        <v>46119</v>
      </c>
      <c r="U3556" s="1">
        <v>46121</v>
      </c>
      <c r="V3556" s="1">
        <v>46486</v>
      </c>
      <c r="W3556" t="s">
        <v>38</v>
      </c>
      <c r="X3556">
        <v>12</v>
      </c>
      <c r="Y3556" t="s">
        <v>49</v>
      </c>
      <c r="Z3556" t="s">
        <v>76</v>
      </c>
      <c r="AA3556" t="s">
        <v>92</v>
      </c>
      <c r="AB3556">
        <v>12</v>
      </c>
      <c r="AC3556" t="s">
        <v>192</v>
      </c>
      <c r="AD3556" t="s">
        <v>134</v>
      </c>
      <c r="AE3556" t="s">
        <v>135</v>
      </c>
      <c r="AF3556" t="s">
        <v>44</v>
      </c>
      <c r="AG3556" t="str">
        <f t="shared" si="71"/>
        <v>Recorrente</v>
      </c>
      <c r="AH3556" t="str">
        <f t="shared" si="72"/>
        <v/>
      </c>
    </row>
    <row r="3557" spans="1:34">
      <c r="A3557">
        <v>2026</v>
      </c>
      <c r="B3557">
        <v>4</v>
      </c>
      <c r="C3557" s="83">
        <v>20945406284</v>
      </c>
      <c r="D3557" t="s">
        <v>2330</v>
      </c>
      <c r="E3557">
        <v>58967943320</v>
      </c>
      <c r="F3557">
        <v>533182</v>
      </c>
      <c r="G3557">
        <v>54150040356</v>
      </c>
      <c r="H3557" t="s">
        <v>35</v>
      </c>
      <c r="I3557" s="36">
        <v>6726.84</v>
      </c>
      <c r="J3557" s="36">
        <v>6726.84</v>
      </c>
      <c r="K3557" s="85">
        <v>0</v>
      </c>
      <c r="L3557" s="36">
        <v>560.57000000000005</v>
      </c>
      <c r="M3557" s="36">
        <v>0</v>
      </c>
      <c r="N3557" s="36">
        <v>142.58750000000001</v>
      </c>
      <c r="O3557" s="36">
        <v>417.98750000000001</v>
      </c>
      <c r="P3557" t="s">
        <v>121</v>
      </c>
      <c r="Q3557" t="s">
        <v>111</v>
      </c>
      <c r="R3557" t="s">
        <v>111</v>
      </c>
      <c r="S3557" s="1">
        <v>46124</v>
      </c>
      <c r="T3557" s="1">
        <v>46124</v>
      </c>
      <c r="U3557" s="1">
        <v>46132</v>
      </c>
      <c r="V3557" s="1">
        <v>46497</v>
      </c>
      <c r="W3557" t="s">
        <v>38</v>
      </c>
      <c r="X3557">
        <v>12</v>
      </c>
      <c r="Y3557" t="s">
        <v>49</v>
      </c>
      <c r="Z3557" t="s">
        <v>76</v>
      </c>
      <c r="AA3557" t="s">
        <v>122</v>
      </c>
      <c r="AB3557">
        <v>12</v>
      </c>
      <c r="AC3557" t="s">
        <v>113</v>
      </c>
      <c r="AD3557" t="s">
        <v>146</v>
      </c>
      <c r="AE3557" t="s">
        <v>135</v>
      </c>
      <c r="AF3557" t="s">
        <v>96</v>
      </c>
      <c r="AG3557" t="str">
        <f t="shared" si="71"/>
        <v>Recorrente</v>
      </c>
      <c r="AH3557" t="str">
        <f t="shared" si="72"/>
        <v/>
      </c>
    </row>
    <row r="3558" spans="1:34">
      <c r="A3558">
        <v>2026</v>
      </c>
      <c r="B3558">
        <v>4</v>
      </c>
      <c r="C3558" s="83">
        <v>20945406284</v>
      </c>
      <c r="D3558" t="s">
        <v>2330</v>
      </c>
      <c r="E3558">
        <v>58967943320</v>
      </c>
      <c r="F3558">
        <v>533182</v>
      </c>
      <c r="G3558">
        <v>54150040357</v>
      </c>
      <c r="H3558" t="s">
        <v>35</v>
      </c>
      <c r="I3558" s="36">
        <v>6726.84</v>
      </c>
      <c r="J3558" s="36">
        <v>6726.84</v>
      </c>
      <c r="K3558" s="85">
        <v>0</v>
      </c>
      <c r="L3558" s="36">
        <v>560.57000000000005</v>
      </c>
      <c r="M3558" s="36">
        <v>0</v>
      </c>
      <c r="N3558" s="36">
        <v>142.58750000000001</v>
      </c>
      <c r="O3558" s="36">
        <v>417.98750000000001</v>
      </c>
      <c r="P3558" t="s">
        <v>121</v>
      </c>
      <c r="Q3558" t="s">
        <v>111</v>
      </c>
      <c r="R3558" t="s">
        <v>111</v>
      </c>
      <c r="S3558" s="1">
        <v>46124</v>
      </c>
      <c r="T3558" s="1">
        <v>46124</v>
      </c>
      <c r="U3558" s="1">
        <v>46132</v>
      </c>
      <c r="V3558" s="1">
        <v>46497</v>
      </c>
      <c r="W3558" t="s">
        <v>38</v>
      </c>
      <c r="X3558">
        <v>12</v>
      </c>
      <c r="Y3558" t="s">
        <v>49</v>
      </c>
      <c r="Z3558" t="s">
        <v>76</v>
      </c>
      <c r="AA3558" t="s">
        <v>122</v>
      </c>
      <c r="AB3558">
        <v>12</v>
      </c>
      <c r="AC3558" t="s">
        <v>113</v>
      </c>
      <c r="AD3558" t="s">
        <v>149</v>
      </c>
      <c r="AE3558" t="s">
        <v>43</v>
      </c>
      <c r="AF3558" t="s">
        <v>96</v>
      </c>
      <c r="AG3558" t="str">
        <f t="shared" si="71"/>
        <v>Recorrente</v>
      </c>
      <c r="AH3558" t="str">
        <f t="shared" si="72"/>
        <v/>
      </c>
    </row>
    <row r="3559" spans="1:34">
      <c r="A3559">
        <v>2026</v>
      </c>
      <c r="B3559">
        <v>4</v>
      </c>
      <c r="C3559" s="83">
        <v>20945406284</v>
      </c>
      <c r="D3559" t="s">
        <v>2330</v>
      </c>
      <c r="E3559">
        <v>58967943320</v>
      </c>
      <c r="F3559">
        <v>533182</v>
      </c>
      <c r="G3559">
        <v>54150040358</v>
      </c>
      <c r="H3559" t="s">
        <v>35</v>
      </c>
      <c r="I3559" s="36">
        <v>6726.84</v>
      </c>
      <c r="J3559" s="36">
        <v>6726.84</v>
      </c>
      <c r="K3559" s="85">
        <v>0</v>
      </c>
      <c r="L3559" s="36">
        <v>560.57000000000005</v>
      </c>
      <c r="M3559" s="36">
        <v>0</v>
      </c>
      <c r="N3559" s="36">
        <v>142.58750000000001</v>
      </c>
      <c r="O3559" s="36">
        <v>417.98750000000001</v>
      </c>
      <c r="P3559" t="s">
        <v>121</v>
      </c>
      <c r="Q3559" t="s">
        <v>111</v>
      </c>
      <c r="R3559" t="s">
        <v>111</v>
      </c>
      <c r="S3559" s="1">
        <v>46124</v>
      </c>
      <c r="T3559" s="1">
        <v>46124</v>
      </c>
      <c r="U3559" s="1">
        <v>46132</v>
      </c>
      <c r="V3559" s="1">
        <v>46497</v>
      </c>
      <c r="W3559" t="s">
        <v>38</v>
      </c>
      <c r="X3559">
        <v>12</v>
      </c>
      <c r="Y3559" t="s">
        <v>49</v>
      </c>
      <c r="Z3559" t="s">
        <v>76</v>
      </c>
      <c r="AA3559" t="s">
        <v>122</v>
      </c>
      <c r="AB3559">
        <v>12</v>
      </c>
      <c r="AC3559" t="s">
        <v>113</v>
      </c>
      <c r="AD3559" t="s">
        <v>149</v>
      </c>
      <c r="AE3559" t="s">
        <v>43</v>
      </c>
      <c r="AF3559" t="s">
        <v>96</v>
      </c>
      <c r="AG3559" t="str">
        <f t="shared" si="71"/>
        <v>Recorrente</v>
      </c>
      <c r="AH3559" t="str">
        <f t="shared" si="72"/>
        <v/>
      </c>
    </row>
    <row r="3560" spans="1:34">
      <c r="A3560">
        <v>2026</v>
      </c>
      <c r="B3560">
        <v>4</v>
      </c>
      <c r="C3560" s="83">
        <v>20945406284</v>
      </c>
      <c r="D3560" t="s">
        <v>2330</v>
      </c>
      <c r="E3560">
        <v>58967943320</v>
      </c>
      <c r="F3560">
        <v>533182</v>
      </c>
      <c r="G3560">
        <v>54150040359</v>
      </c>
      <c r="H3560" t="s">
        <v>35</v>
      </c>
      <c r="I3560" s="36">
        <v>6726.84</v>
      </c>
      <c r="J3560" s="36">
        <v>6726.84</v>
      </c>
      <c r="K3560" s="85">
        <v>0</v>
      </c>
      <c r="L3560" s="36">
        <v>560.57000000000005</v>
      </c>
      <c r="M3560" s="36">
        <v>0</v>
      </c>
      <c r="N3560" s="36">
        <v>142.58750000000001</v>
      </c>
      <c r="O3560" s="36">
        <v>417.98750000000001</v>
      </c>
      <c r="P3560" t="s">
        <v>121</v>
      </c>
      <c r="Q3560" t="s">
        <v>111</v>
      </c>
      <c r="R3560" t="s">
        <v>111</v>
      </c>
      <c r="S3560" s="1">
        <v>46124</v>
      </c>
      <c r="T3560" s="1">
        <v>46124</v>
      </c>
      <c r="U3560" s="1">
        <v>46132</v>
      </c>
      <c r="V3560" s="1">
        <v>46497</v>
      </c>
      <c r="W3560" t="s">
        <v>38</v>
      </c>
      <c r="X3560">
        <v>12</v>
      </c>
      <c r="Y3560" t="s">
        <v>49</v>
      </c>
      <c r="Z3560" t="s">
        <v>76</v>
      </c>
      <c r="AA3560" t="s">
        <v>122</v>
      </c>
      <c r="AB3560">
        <v>12</v>
      </c>
      <c r="AC3560" t="s">
        <v>113</v>
      </c>
      <c r="AD3560" t="s">
        <v>149</v>
      </c>
      <c r="AE3560" t="s">
        <v>43</v>
      </c>
      <c r="AF3560" t="s">
        <v>96</v>
      </c>
      <c r="AG3560" t="str">
        <f t="shared" si="71"/>
        <v>Recorrente</v>
      </c>
      <c r="AH3560" t="str">
        <f t="shared" si="72"/>
        <v/>
      </c>
    </row>
    <row r="3561" spans="1:34">
      <c r="A3561">
        <v>2026</v>
      </c>
      <c r="B3561">
        <v>4</v>
      </c>
      <c r="C3561" s="83">
        <v>2094993</v>
      </c>
      <c r="D3561" t="s">
        <v>3120</v>
      </c>
      <c r="E3561">
        <v>58015738413</v>
      </c>
      <c r="F3561">
        <v>312812</v>
      </c>
      <c r="G3561">
        <v>53211117324</v>
      </c>
      <c r="H3561" t="s">
        <v>35</v>
      </c>
      <c r="I3561" s="36">
        <v>4962.6000000000004</v>
      </c>
      <c r="J3561" s="36">
        <v>4962.6000000000004</v>
      </c>
      <c r="K3561" s="85">
        <v>0</v>
      </c>
      <c r="L3561" s="36">
        <v>413.55</v>
      </c>
      <c r="M3561" s="36">
        <v>0</v>
      </c>
      <c r="N3561" s="36">
        <v>85.37</v>
      </c>
      <c r="O3561" s="36">
        <v>328.18</v>
      </c>
      <c r="P3561" t="s">
        <v>165</v>
      </c>
      <c r="Q3561" t="s">
        <v>166</v>
      </c>
      <c r="R3561" t="s">
        <v>166</v>
      </c>
      <c r="S3561" s="1">
        <v>46139</v>
      </c>
      <c r="T3561" s="1">
        <v>46139</v>
      </c>
      <c r="U3561" s="1">
        <v>46142</v>
      </c>
      <c r="V3561" s="1">
        <v>46507</v>
      </c>
      <c r="W3561" t="s">
        <v>38</v>
      </c>
      <c r="X3561">
        <v>12</v>
      </c>
      <c r="Y3561" t="s">
        <v>49</v>
      </c>
      <c r="Z3561" t="s">
        <v>81</v>
      </c>
      <c r="AA3561" t="s">
        <v>122</v>
      </c>
      <c r="AB3561">
        <v>12</v>
      </c>
      <c r="AC3561" t="s">
        <v>166</v>
      </c>
      <c r="AD3561" t="s">
        <v>138</v>
      </c>
      <c r="AE3561" t="s">
        <v>135</v>
      </c>
      <c r="AF3561" t="s">
        <v>119</v>
      </c>
      <c r="AG3561" t="str">
        <f t="shared" si="71"/>
        <v>Recorrente</v>
      </c>
      <c r="AH3561" t="str">
        <f t="shared" si="72"/>
        <v/>
      </c>
    </row>
    <row r="3562" spans="1:34">
      <c r="A3562">
        <v>2026</v>
      </c>
      <c r="B3562">
        <v>4</v>
      </c>
      <c r="C3562" s="83">
        <v>2095539</v>
      </c>
      <c r="D3562" t="s">
        <v>3121</v>
      </c>
      <c r="E3562">
        <v>59718370566</v>
      </c>
      <c r="F3562">
        <v>533884</v>
      </c>
      <c r="G3562">
        <v>54803859557</v>
      </c>
      <c r="H3562" t="s">
        <v>35</v>
      </c>
      <c r="I3562" s="36">
        <v>15576.12</v>
      </c>
      <c r="J3562" s="36">
        <v>15576.12</v>
      </c>
      <c r="K3562" s="85">
        <v>1.8189900000000001E-12</v>
      </c>
      <c r="L3562" s="36">
        <v>1298.01</v>
      </c>
      <c r="M3562" s="36">
        <v>0</v>
      </c>
      <c r="N3562" s="36">
        <v>142.85935000000001</v>
      </c>
      <c r="O3562" s="36">
        <v>1155.1500000000001</v>
      </c>
      <c r="P3562" t="s">
        <v>137</v>
      </c>
      <c r="Q3562" t="s">
        <v>111</v>
      </c>
      <c r="R3562" t="s">
        <v>111</v>
      </c>
      <c r="S3562" s="1">
        <v>46142</v>
      </c>
      <c r="T3562" s="1">
        <v>46142</v>
      </c>
      <c r="U3562" s="1">
        <v>46139</v>
      </c>
      <c r="V3562" s="1">
        <v>46507</v>
      </c>
      <c r="W3562" t="s">
        <v>38</v>
      </c>
      <c r="X3562">
        <v>12</v>
      </c>
      <c r="Y3562" t="s">
        <v>49</v>
      </c>
      <c r="Z3562" t="s">
        <v>81</v>
      </c>
      <c r="AA3562" t="s">
        <v>122</v>
      </c>
      <c r="AB3562">
        <v>12</v>
      </c>
      <c r="AC3562" t="s">
        <v>113</v>
      </c>
      <c r="AD3562" t="s">
        <v>336</v>
      </c>
      <c r="AE3562" t="s">
        <v>135</v>
      </c>
      <c r="AF3562" t="s">
        <v>47</v>
      </c>
      <c r="AG3562" t="str">
        <f t="shared" si="71"/>
        <v>Recorrente</v>
      </c>
      <c r="AH3562" t="str">
        <f t="shared" si="72"/>
        <v/>
      </c>
    </row>
    <row r="3563" spans="1:34">
      <c r="A3563">
        <v>2026</v>
      </c>
      <c r="B3563">
        <v>4</v>
      </c>
      <c r="C3563" s="83">
        <v>2095578</v>
      </c>
      <c r="D3563" t="s">
        <v>3122</v>
      </c>
      <c r="E3563">
        <v>58856922178</v>
      </c>
      <c r="F3563">
        <v>311361</v>
      </c>
      <c r="G3563">
        <v>53934348906</v>
      </c>
      <c r="H3563" t="s">
        <v>35</v>
      </c>
      <c r="I3563" s="36">
        <v>2320.8000000000002</v>
      </c>
      <c r="J3563" s="36">
        <v>2320.8000000000002</v>
      </c>
      <c r="K3563" s="85">
        <v>0</v>
      </c>
      <c r="L3563" s="36">
        <v>193.4</v>
      </c>
      <c r="M3563" s="36">
        <v>0</v>
      </c>
      <c r="N3563" s="36">
        <v>0</v>
      </c>
      <c r="O3563" s="36">
        <v>193.4</v>
      </c>
      <c r="P3563" t="s">
        <v>133</v>
      </c>
      <c r="Q3563" t="s">
        <v>111</v>
      </c>
      <c r="R3563" t="s">
        <v>111</v>
      </c>
      <c r="S3563" s="1">
        <v>46121</v>
      </c>
      <c r="T3563" s="1">
        <v>46121</v>
      </c>
      <c r="U3563" s="1">
        <v>46116</v>
      </c>
      <c r="V3563" s="1">
        <v>46486</v>
      </c>
      <c r="W3563" t="s">
        <v>38</v>
      </c>
      <c r="X3563">
        <v>12</v>
      </c>
      <c r="Y3563" t="s">
        <v>49</v>
      </c>
      <c r="Z3563" t="s">
        <v>81</v>
      </c>
      <c r="AA3563" t="s">
        <v>82</v>
      </c>
      <c r="AB3563">
        <v>1</v>
      </c>
      <c r="AC3563" t="s">
        <v>113</v>
      </c>
      <c r="AD3563" t="s">
        <v>140</v>
      </c>
      <c r="AE3563" t="s">
        <v>46</v>
      </c>
      <c r="AF3563" t="s">
        <v>119</v>
      </c>
      <c r="AG3563" t="str">
        <f t="shared" si="71"/>
        <v>À Vista</v>
      </c>
      <c r="AH3563" t="str">
        <f t="shared" si="72"/>
        <v/>
      </c>
    </row>
    <row r="3564" spans="1:34">
      <c r="A3564">
        <v>2026</v>
      </c>
      <c r="B3564">
        <v>4</v>
      </c>
      <c r="C3564" s="83">
        <v>209572507815</v>
      </c>
      <c r="D3564" t="s">
        <v>3123</v>
      </c>
      <c r="E3564">
        <v>58498807869</v>
      </c>
      <c r="F3564">
        <v>612758</v>
      </c>
      <c r="G3564">
        <v>53812334483</v>
      </c>
      <c r="H3564" t="s">
        <v>35</v>
      </c>
      <c r="I3564" s="36">
        <v>3851.04</v>
      </c>
      <c r="J3564" s="36">
        <v>3851.04</v>
      </c>
      <c r="K3564" s="85">
        <v>0</v>
      </c>
      <c r="L3564" s="36">
        <v>320.92</v>
      </c>
      <c r="M3564" s="36">
        <v>0</v>
      </c>
      <c r="N3564" s="36">
        <v>25.611695000000001</v>
      </c>
      <c r="O3564" s="36">
        <v>295.31</v>
      </c>
      <c r="P3564" t="s">
        <v>116</v>
      </c>
      <c r="Q3564" t="s">
        <v>111</v>
      </c>
      <c r="R3564" t="s">
        <v>111</v>
      </c>
      <c r="S3564" s="1">
        <v>46114</v>
      </c>
      <c r="T3564" s="1">
        <v>46114</v>
      </c>
      <c r="U3564" s="1">
        <v>46116</v>
      </c>
      <c r="V3564" s="1">
        <v>46481</v>
      </c>
      <c r="W3564" t="s">
        <v>38</v>
      </c>
      <c r="X3564">
        <v>12</v>
      </c>
      <c r="Y3564" t="s">
        <v>49</v>
      </c>
      <c r="Z3564" t="s">
        <v>81</v>
      </c>
      <c r="AA3564" t="s">
        <v>122</v>
      </c>
      <c r="AB3564">
        <v>12</v>
      </c>
      <c r="AC3564" t="s">
        <v>113</v>
      </c>
      <c r="AD3564" t="s">
        <v>84</v>
      </c>
      <c r="AE3564" t="s">
        <v>43</v>
      </c>
      <c r="AF3564" t="s">
        <v>44</v>
      </c>
      <c r="AG3564" t="str">
        <f t="shared" si="71"/>
        <v>Recorrente</v>
      </c>
      <c r="AH3564" t="str">
        <f t="shared" si="72"/>
        <v/>
      </c>
    </row>
    <row r="3565" spans="1:34">
      <c r="A3565">
        <v>2026</v>
      </c>
      <c r="B3565">
        <v>4</v>
      </c>
      <c r="C3565" s="83">
        <v>2097499</v>
      </c>
      <c r="D3565" t="s">
        <v>3124</v>
      </c>
      <c r="E3565">
        <v>59808105891</v>
      </c>
      <c r="F3565">
        <v>637462</v>
      </c>
      <c r="G3565">
        <v>54880613928</v>
      </c>
      <c r="H3565" t="s">
        <v>35</v>
      </c>
      <c r="I3565" s="36">
        <v>2442.84</v>
      </c>
      <c r="J3565" s="36">
        <v>2442.9</v>
      </c>
      <c r="K3565" s="85">
        <v>0</v>
      </c>
      <c r="L3565" s="36">
        <v>203.57499999999999</v>
      </c>
      <c r="M3565" s="36">
        <v>203.57499999999999</v>
      </c>
      <c r="N3565" s="36">
        <v>0</v>
      </c>
      <c r="O3565" s="36">
        <v>0</v>
      </c>
      <c r="P3565" t="s">
        <v>2004</v>
      </c>
      <c r="Q3565" t="s">
        <v>300</v>
      </c>
      <c r="R3565" t="s">
        <v>300</v>
      </c>
      <c r="S3565" s="1">
        <v>46141</v>
      </c>
      <c r="T3565" s="1">
        <v>46141</v>
      </c>
      <c r="U3565" s="1"/>
      <c r="V3565" s="1">
        <v>46506</v>
      </c>
      <c r="W3565" t="s">
        <v>38</v>
      </c>
      <c r="X3565">
        <v>12</v>
      </c>
      <c r="Y3565" t="s">
        <v>49</v>
      </c>
      <c r="AA3565" t="s">
        <v>112</v>
      </c>
      <c r="AB3565">
        <v>12</v>
      </c>
      <c r="AC3565" t="s">
        <v>301</v>
      </c>
      <c r="AD3565" t="s">
        <v>118</v>
      </c>
      <c r="AE3565" t="s">
        <v>43</v>
      </c>
      <c r="AF3565" t="s">
        <v>119</v>
      </c>
      <c r="AG3565" t="str">
        <f t="shared" si="71"/>
        <v>CC 12x</v>
      </c>
      <c r="AH3565" t="str">
        <f t="shared" si="72"/>
        <v/>
      </c>
    </row>
    <row r="3566" spans="1:34">
      <c r="A3566">
        <v>2026</v>
      </c>
      <c r="B3566">
        <v>4</v>
      </c>
      <c r="C3566" s="83">
        <v>20975245717</v>
      </c>
      <c r="D3566" t="s">
        <v>3125</v>
      </c>
      <c r="E3566">
        <v>58415570574</v>
      </c>
      <c r="F3566">
        <v>508080</v>
      </c>
      <c r="G3566">
        <v>54038749853</v>
      </c>
      <c r="H3566" t="s">
        <v>35</v>
      </c>
      <c r="I3566" s="36">
        <v>5130.84</v>
      </c>
      <c r="J3566" s="36">
        <v>5130.84</v>
      </c>
      <c r="K3566" s="85">
        <v>0</v>
      </c>
      <c r="L3566" s="36">
        <v>427.57</v>
      </c>
      <c r="M3566" s="36">
        <v>0</v>
      </c>
      <c r="N3566" s="36">
        <v>68.290000000000006</v>
      </c>
      <c r="O3566" s="36">
        <v>359.28</v>
      </c>
      <c r="P3566" t="s">
        <v>162</v>
      </c>
      <c r="Q3566" t="s">
        <v>111</v>
      </c>
      <c r="R3566" t="s">
        <v>111</v>
      </c>
      <c r="S3566" s="1">
        <v>46119</v>
      </c>
      <c r="T3566" s="1">
        <v>46119</v>
      </c>
      <c r="U3566" s="1">
        <v>46113</v>
      </c>
      <c r="V3566" s="1">
        <v>46484</v>
      </c>
      <c r="W3566" t="s">
        <v>38</v>
      </c>
      <c r="X3566">
        <v>12</v>
      </c>
      <c r="Y3566" t="s">
        <v>49</v>
      </c>
      <c r="Z3566" t="s">
        <v>81</v>
      </c>
      <c r="AA3566" t="s">
        <v>112</v>
      </c>
      <c r="AB3566">
        <v>12</v>
      </c>
      <c r="AC3566" t="s">
        <v>113</v>
      </c>
      <c r="AD3566" t="s">
        <v>174</v>
      </c>
      <c r="AE3566" t="s">
        <v>43</v>
      </c>
      <c r="AF3566" t="s">
        <v>47</v>
      </c>
      <c r="AG3566" t="str">
        <f t="shared" si="71"/>
        <v>CC 12x</v>
      </c>
      <c r="AH3566" t="str">
        <f t="shared" si="72"/>
        <v/>
      </c>
    </row>
    <row r="3567" spans="1:34">
      <c r="A3567">
        <v>2026</v>
      </c>
      <c r="B3567">
        <v>4</v>
      </c>
      <c r="C3567" s="83">
        <v>2098342</v>
      </c>
      <c r="D3567" t="s">
        <v>543</v>
      </c>
      <c r="E3567">
        <v>59020827402</v>
      </c>
      <c r="F3567">
        <v>635509</v>
      </c>
      <c r="G3567">
        <v>54154290182</v>
      </c>
      <c r="H3567" t="s">
        <v>35</v>
      </c>
      <c r="I3567" s="36">
        <v>2871.96</v>
      </c>
      <c r="J3567" s="36">
        <v>3842.64</v>
      </c>
      <c r="K3567" s="85">
        <v>0</v>
      </c>
      <c r="L3567" s="36">
        <v>320.22000000000003</v>
      </c>
      <c r="M3567" s="36">
        <v>0</v>
      </c>
      <c r="N3567" s="36">
        <v>320.22000000000003</v>
      </c>
      <c r="O3567" s="36">
        <v>0</v>
      </c>
      <c r="P3567" t="s">
        <v>323</v>
      </c>
      <c r="Q3567" t="s">
        <v>191</v>
      </c>
      <c r="R3567" t="s">
        <v>191</v>
      </c>
      <c r="S3567" s="1">
        <v>46121</v>
      </c>
      <c r="T3567" s="1">
        <v>46121</v>
      </c>
      <c r="U3567" s="1">
        <v>46394</v>
      </c>
      <c r="V3567" s="1">
        <v>46394</v>
      </c>
      <c r="W3567" t="s">
        <v>38</v>
      </c>
      <c r="X3567">
        <v>9</v>
      </c>
      <c r="Y3567" t="s">
        <v>49</v>
      </c>
      <c r="Z3567" t="s">
        <v>324</v>
      </c>
      <c r="AA3567" t="s">
        <v>112</v>
      </c>
      <c r="AB3567">
        <v>10</v>
      </c>
      <c r="AC3567" t="s">
        <v>192</v>
      </c>
      <c r="AD3567" t="s">
        <v>134</v>
      </c>
      <c r="AE3567" t="s">
        <v>135</v>
      </c>
      <c r="AF3567" t="s">
        <v>44</v>
      </c>
      <c r="AG3567" t="str">
        <f t="shared" si="71"/>
        <v>CC 12x</v>
      </c>
      <c r="AH3567" t="str">
        <f t="shared" si="72"/>
        <v/>
      </c>
    </row>
    <row r="3568" spans="1:34">
      <c r="A3568">
        <v>2026</v>
      </c>
      <c r="B3568">
        <v>4</v>
      </c>
      <c r="C3568" s="83">
        <v>2099919</v>
      </c>
      <c r="D3568" t="s">
        <v>3126</v>
      </c>
      <c r="E3568">
        <v>59670297360</v>
      </c>
      <c r="F3568">
        <v>637331</v>
      </c>
      <c r="G3568">
        <v>54699072660</v>
      </c>
      <c r="H3568" t="s">
        <v>35</v>
      </c>
      <c r="I3568" s="36">
        <v>9354</v>
      </c>
      <c r="J3568" s="36">
        <v>9354</v>
      </c>
      <c r="K3568" s="85">
        <v>0</v>
      </c>
      <c r="L3568" s="36">
        <v>779.5</v>
      </c>
      <c r="M3568" s="36">
        <v>779.5</v>
      </c>
      <c r="N3568" s="36">
        <v>0</v>
      </c>
      <c r="O3568" s="36">
        <v>0</v>
      </c>
      <c r="P3568" t="s">
        <v>829</v>
      </c>
      <c r="Q3568" t="s">
        <v>300</v>
      </c>
      <c r="R3568" t="s">
        <v>300</v>
      </c>
      <c r="S3568" s="1">
        <v>46136</v>
      </c>
      <c r="T3568" s="1">
        <v>46136</v>
      </c>
      <c r="U3568" s="1"/>
      <c r="V3568" s="1">
        <v>46501</v>
      </c>
      <c r="W3568" t="s">
        <v>38</v>
      </c>
      <c r="X3568">
        <v>12</v>
      </c>
      <c r="Y3568" t="s">
        <v>49</v>
      </c>
      <c r="AA3568" t="s">
        <v>122</v>
      </c>
      <c r="AB3568">
        <v>12</v>
      </c>
      <c r="AC3568" t="s">
        <v>301</v>
      </c>
      <c r="AD3568" t="s">
        <v>134</v>
      </c>
      <c r="AE3568" t="s">
        <v>135</v>
      </c>
      <c r="AF3568" t="s">
        <v>44</v>
      </c>
      <c r="AG3568" t="str">
        <f t="shared" si="71"/>
        <v>Recorrente</v>
      </c>
      <c r="AH3568" t="str">
        <f t="shared" si="72"/>
        <v/>
      </c>
    </row>
    <row r="3569" spans="1:34">
      <c r="A3569">
        <v>2026</v>
      </c>
      <c r="B3569">
        <v>4</v>
      </c>
      <c r="C3569" s="83">
        <v>2100188</v>
      </c>
      <c r="D3569" t="s">
        <v>3127</v>
      </c>
      <c r="E3569">
        <v>57001509900</v>
      </c>
      <c r="F3569">
        <v>304488</v>
      </c>
      <c r="G3569">
        <v>53414538541</v>
      </c>
      <c r="H3569" t="s">
        <v>35</v>
      </c>
      <c r="I3569" s="36">
        <v>5514</v>
      </c>
      <c r="J3569" s="36">
        <v>5514</v>
      </c>
      <c r="K3569" s="85">
        <v>0</v>
      </c>
      <c r="L3569" s="36">
        <v>459.5</v>
      </c>
      <c r="M3569" s="36">
        <v>0</v>
      </c>
      <c r="N3569" s="36">
        <v>116.3</v>
      </c>
      <c r="O3569" s="36">
        <v>343.2</v>
      </c>
      <c r="P3569" t="s">
        <v>165</v>
      </c>
      <c r="Q3569" t="s">
        <v>166</v>
      </c>
      <c r="R3569" t="s">
        <v>166</v>
      </c>
      <c r="S3569" s="1">
        <v>46123</v>
      </c>
      <c r="T3569" s="1">
        <v>46123</v>
      </c>
      <c r="U3569" s="1">
        <v>46123</v>
      </c>
      <c r="V3569" s="1">
        <v>46488</v>
      </c>
      <c r="W3569" t="s">
        <v>38</v>
      </c>
      <c r="X3569">
        <v>12</v>
      </c>
      <c r="Y3569" t="s">
        <v>49</v>
      </c>
      <c r="Z3569" t="s">
        <v>81</v>
      </c>
      <c r="AA3569" t="s">
        <v>112</v>
      </c>
      <c r="AB3569">
        <v>12</v>
      </c>
      <c r="AC3569" t="s">
        <v>166</v>
      </c>
      <c r="AD3569" t="s">
        <v>138</v>
      </c>
      <c r="AE3569" t="s">
        <v>135</v>
      </c>
      <c r="AF3569" t="s">
        <v>119</v>
      </c>
      <c r="AG3569" t="str">
        <f t="shared" si="71"/>
        <v>CC 12x</v>
      </c>
      <c r="AH3569" t="str">
        <f t="shared" si="72"/>
        <v/>
      </c>
    </row>
    <row r="3570" spans="1:34">
      <c r="A3570">
        <v>2026</v>
      </c>
      <c r="B3570">
        <v>4</v>
      </c>
      <c r="C3570" s="83">
        <v>210100599876</v>
      </c>
      <c r="D3570" t="s">
        <v>3128</v>
      </c>
      <c r="E3570">
        <v>58575842963</v>
      </c>
      <c r="F3570">
        <v>628921</v>
      </c>
      <c r="G3570">
        <v>54372653325</v>
      </c>
      <c r="H3570" t="s">
        <v>35</v>
      </c>
      <c r="I3570" s="36">
        <v>4660.8</v>
      </c>
      <c r="J3570" s="36">
        <v>4660.8</v>
      </c>
      <c r="K3570" s="85">
        <v>0</v>
      </c>
      <c r="L3570" s="36">
        <v>388.4</v>
      </c>
      <c r="M3570" s="36">
        <v>0</v>
      </c>
      <c r="N3570" s="36">
        <v>3.35</v>
      </c>
      <c r="O3570" s="36">
        <v>385.05</v>
      </c>
      <c r="P3570" t="s">
        <v>162</v>
      </c>
      <c r="Q3570" t="s">
        <v>111</v>
      </c>
      <c r="R3570" t="s">
        <v>111</v>
      </c>
      <c r="S3570" s="1">
        <v>46128</v>
      </c>
      <c r="T3570" s="1">
        <v>46128</v>
      </c>
      <c r="U3570" s="1">
        <v>46135</v>
      </c>
      <c r="V3570" s="1">
        <v>46500</v>
      </c>
      <c r="W3570" t="s">
        <v>38</v>
      </c>
      <c r="X3570">
        <v>12</v>
      </c>
      <c r="Y3570" t="s">
        <v>49</v>
      </c>
      <c r="Z3570" t="s">
        <v>81</v>
      </c>
      <c r="AA3570" t="s">
        <v>112</v>
      </c>
      <c r="AB3570">
        <v>12</v>
      </c>
      <c r="AC3570" t="s">
        <v>113</v>
      </c>
      <c r="AD3570" t="s">
        <v>85</v>
      </c>
      <c r="AE3570" t="s">
        <v>46</v>
      </c>
      <c r="AF3570" t="s">
        <v>44</v>
      </c>
      <c r="AG3570" t="str">
        <f t="shared" si="71"/>
        <v>CC 12x</v>
      </c>
      <c r="AH3570" t="str">
        <f t="shared" si="72"/>
        <v/>
      </c>
    </row>
    <row r="3571" spans="1:34">
      <c r="A3571">
        <v>2026</v>
      </c>
      <c r="B3571">
        <v>4</v>
      </c>
      <c r="C3571" s="83">
        <v>2101650</v>
      </c>
      <c r="D3571" t="s">
        <v>3129</v>
      </c>
      <c r="E3571">
        <v>56610161436</v>
      </c>
      <c r="F3571">
        <v>311363</v>
      </c>
      <c r="G3571">
        <v>51861496679</v>
      </c>
      <c r="H3571" t="s">
        <v>35</v>
      </c>
      <c r="I3571" s="36">
        <v>2874</v>
      </c>
      <c r="J3571" s="36">
        <v>2874</v>
      </c>
      <c r="K3571" s="85">
        <v>0</v>
      </c>
      <c r="L3571" s="36">
        <v>239.5</v>
      </c>
      <c r="M3571" s="36">
        <v>0</v>
      </c>
      <c r="N3571" s="36">
        <v>0.5</v>
      </c>
      <c r="O3571" s="36">
        <v>239</v>
      </c>
      <c r="P3571" t="s">
        <v>165</v>
      </c>
      <c r="Q3571" t="s">
        <v>166</v>
      </c>
      <c r="R3571" t="s">
        <v>166</v>
      </c>
      <c r="S3571" s="1">
        <v>46117</v>
      </c>
      <c r="T3571" s="1">
        <v>46117</v>
      </c>
      <c r="U3571" s="1">
        <v>46117</v>
      </c>
      <c r="V3571" s="1">
        <v>46482</v>
      </c>
      <c r="W3571" t="s">
        <v>38</v>
      </c>
      <c r="X3571">
        <v>12</v>
      </c>
      <c r="Y3571" t="s">
        <v>49</v>
      </c>
      <c r="Z3571" t="s">
        <v>81</v>
      </c>
      <c r="AA3571" t="s">
        <v>122</v>
      </c>
      <c r="AB3571">
        <v>12</v>
      </c>
      <c r="AC3571" t="s">
        <v>166</v>
      </c>
      <c r="AD3571" t="s">
        <v>118</v>
      </c>
      <c r="AE3571" t="s">
        <v>43</v>
      </c>
      <c r="AF3571" t="s">
        <v>119</v>
      </c>
      <c r="AG3571" t="str">
        <f t="shared" si="71"/>
        <v>Recorrente</v>
      </c>
      <c r="AH3571" t="str">
        <f t="shared" si="72"/>
        <v/>
      </c>
    </row>
    <row r="3572" spans="1:34">
      <c r="A3572">
        <v>2026</v>
      </c>
      <c r="B3572">
        <v>4</v>
      </c>
      <c r="C3572" s="83">
        <v>2102514</v>
      </c>
      <c r="D3572" t="s">
        <v>3130</v>
      </c>
      <c r="E3572">
        <v>58015841938</v>
      </c>
      <c r="F3572">
        <v>313166</v>
      </c>
      <c r="G3572">
        <v>53226803110</v>
      </c>
      <c r="H3572" t="s">
        <v>35</v>
      </c>
      <c r="I3572" s="36">
        <v>4530.6000000000004</v>
      </c>
      <c r="J3572" s="36">
        <v>4530.6000000000004</v>
      </c>
      <c r="K3572" s="85">
        <v>0</v>
      </c>
      <c r="L3572" s="36">
        <v>377.55</v>
      </c>
      <c r="M3572" s="36">
        <v>0</v>
      </c>
      <c r="N3572" s="36">
        <v>98.8</v>
      </c>
      <c r="O3572" s="36">
        <v>278.75</v>
      </c>
      <c r="P3572" t="s">
        <v>165</v>
      </c>
      <c r="Q3572" t="s">
        <v>166</v>
      </c>
      <c r="R3572" t="s">
        <v>166</v>
      </c>
      <c r="S3572" s="1">
        <v>46139</v>
      </c>
      <c r="T3572" s="1">
        <v>46139</v>
      </c>
      <c r="U3572" s="1">
        <v>46142</v>
      </c>
      <c r="V3572" s="1">
        <v>46507</v>
      </c>
      <c r="W3572" t="s">
        <v>38</v>
      </c>
      <c r="X3572">
        <v>12</v>
      </c>
      <c r="Y3572" t="s">
        <v>49</v>
      </c>
      <c r="Z3572" t="s">
        <v>81</v>
      </c>
      <c r="AA3572" t="s">
        <v>112</v>
      </c>
      <c r="AB3572">
        <v>12</v>
      </c>
      <c r="AC3572" t="s">
        <v>166</v>
      </c>
      <c r="AD3572" t="s">
        <v>84</v>
      </c>
      <c r="AE3572" t="s">
        <v>43</v>
      </c>
      <c r="AF3572" t="s">
        <v>44</v>
      </c>
      <c r="AG3572" t="str">
        <f t="shared" si="71"/>
        <v>CC 12x</v>
      </c>
      <c r="AH3572" t="str">
        <f t="shared" si="72"/>
        <v/>
      </c>
    </row>
    <row r="3573" spans="1:34">
      <c r="A3573">
        <v>2026</v>
      </c>
      <c r="B3573">
        <v>4</v>
      </c>
      <c r="C3573" s="83">
        <v>2102967</v>
      </c>
      <c r="D3573" t="s">
        <v>3131</v>
      </c>
      <c r="E3573">
        <v>59219999605</v>
      </c>
      <c r="F3573">
        <v>637115</v>
      </c>
      <c r="G3573">
        <v>54295488162</v>
      </c>
      <c r="H3573" t="s">
        <v>35</v>
      </c>
      <c r="I3573" s="36">
        <v>5754</v>
      </c>
      <c r="J3573" s="36">
        <v>5754</v>
      </c>
      <c r="K3573" s="85">
        <v>0</v>
      </c>
      <c r="L3573" s="36">
        <v>479.5</v>
      </c>
      <c r="M3573" s="36">
        <v>479.5</v>
      </c>
      <c r="N3573" s="36">
        <v>0</v>
      </c>
      <c r="O3573" s="36">
        <v>0</v>
      </c>
      <c r="P3573" t="s">
        <v>511</v>
      </c>
      <c r="Q3573" t="s">
        <v>300</v>
      </c>
      <c r="R3573" t="s">
        <v>300</v>
      </c>
      <c r="S3573" s="1">
        <v>46127</v>
      </c>
      <c r="T3573" s="1">
        <v>46127</v>
      </c>
      <c r="U3573" s="1"/>
      <c r="V3573" s="1">
        <v>46492</v>
      </c>
      <c r="W3573" t="s">
        <v>38</v>
      </c>
      <c r="X3573">
        <v>12</v>
      </c>
      <c r="Y3573" t="s">
        <v>49</v>
      </c>
      <c r="AA3573" t="s">
        <v>122</v>
      </c>
      <c r="AB3573">
        <v>12</v>
      </c>
      <c r="AC3573" t="s">
        <v>301</v>
      </c>
      <c r="AD3573" t="s">
        <v>85</v>
      </c>
      <c r="AE3573" t="s">
        <v>46</v>
      </c>
      <c r="AF3573" t="s">
        <v>44</v>
      </c>
      <c r="AG3573" t="str">
        <f t="shared" si="71"/>
        <v>Recorrente</v>
      </c>
      <c r="AH3573" t="str">
        <f t="shared" si="72"/>
        <v/>
      </c>
    </row>
    <row r="3574" spans="1:34">
      <c r="A3574">
        <v>2026</v>
      </c>
      <c r="B3574">
        <v>4</v>
      </c>
      <c r="C3574" s="83">
        <v>2103172</v>
      </c>
      <c r="D3574" t="s">
        <v>3132</v>
      </c>
      <c r="E3574">
        <v>58945361706</v>
      </c>
      <c r="F3574">
        <v>628384</v>
      </c>
      <c r="G3574">
        <v>54205118897</v>
      </c>
      <c r="H3574" t="s">
        <v>35</v>
      </c>
      <c r="I3574" s="36">
        <v>3666.6</v>
      </c>
      <c r="J3574" s="36">
        <v>3666.6</v>
      </c>
      <c r="K3574" s="85">
        <v>0</v>
      </c>
      <c r="L3574" s="36">
        <v>305.55</v>
      </c>
      <c r="M3574" s="36">
        <v>0</v>
      </c>
      <c r="N3574" s="36">
        <v>69.17</v>
      </c>
      <c r="O3574" s="36">
        <v>236.38</v>
      </c>
      <c r="P3574" t="s">
        <v>121</v>
      </c>
      <c r="Q3574" t="s">
        <v>111</v>
      </c>
      <c r="R3574" t="s">
        <v>111</v>
      </c>
      <c r="S3574" s="1">
        <v>46130</v>
      </c>
      <c r="T3574" s="1">
        <v>46130</v>
      </c>
      <c r="U3574" s="1">
        <v>46120</v>
      </c>
      <c r="V3574" s="1">
        <v>46495</v>
      </c>
      <c r="W3574" t="s">
        <v>38</v>
      </c>
      <c r="X3574">
        <v>12</v>
      </c>
      <c r="Y3574" t="s">
        <v>49</v>
      </c>
      <c r="Z3574" t="s">
        <v>81</v>
      </c>
      <c r="AA3574" t="s">
        <v>122</v>
      </c>
      <c r="AB3574">
        <v>12</v>
      </c>
      <c r="AC3574" t="s">
        <v>113</v>
      </c>
      <c r="AD3574" t="s">
        <v>160</v>
      </c>
      <c r="AE3574" t="s">
        <v>43</v>
      </c>
      <c r="AF3574" t="s">
        <v>44</v>
      </c>
      <c r="AG3574" t="str">
        <f t="shared" si="71"/>
        <v>Recorrente</v>
      </c>
      <c r="AH3574" t="str">
        <f t="shared" si="72"/>
        <v/>
      </c>
    </row>
    <row r="3575" spans="1:34">
      <c r="A3575">
        <v>2026</v>
      </c>
      <c r="B3575">
        <v>4</v>
      </c>
      <c r="C3575" s="83">
        <v>210330434614</v>
      </c>
      <c r="D3575" t="s">
        <v>989</v>
      </c>
      <c r="E3575">
        <v>59018162948</v>
      </c>
      <c r="F3575">
        <v>327874</v>
      </c>
      <c r="G3575">
        <v>54154532459</v>
      </c>
      <c r="H3575" t="s">
        <v>35</v>
      </c>
      <c r="I3575" s="36">
        <v>2998.32</v>
      </c>
      <c r="J3575" s="36">
        <v>3842.88</v>
      </c>
      <c r="K3575" s="85">
        <v>0</v>
      </c>
      <c r="L3575" s="36">
        <v>320.24</v>
      </c>
      <c r="M3575" s="36">
        <v>0</v>
      </c>
      <c r="N3575" s="36">
        <v>320.24</v>
      </c>
      <c r="O3575" s="36">
        <v>0</v>
      </c>
      <c r="P3575" t="s">
        <v>367</v>
      </c>
      <c r="Q3575" t="s">
        <v>191</v>
      </c>
      <c r="R3575" t="s">
        <v>191</v>
      </c>
      <c r="S3575" s="1">
        <v>46121</v>
      </c>
      <c r="T3575" s="1">
        <v>46121</v>
      </c>
      <c r="U3575" s="1">
        <v>46406</v>
      </c>
      <c r="V3575" s="1">
        <v>46406</v>
      </c>
      <c r="W3575" t="s">
        <v>38</v>
      </c>
      <c r="X3575">
        <v>9</v>
      </c>
      <c r="Y3575" t="s">
        <v>49</v>
      </c>
      <c r="Z3575" t="s">
        <v>324</v>
      </c>
      <c r="AA3575" t="s">
        <v>122</v>
      </c>
      <c r="AB3575">
        <v>9</v>
      </c>
      <c r="AC3575" t="s">
        <v>192</v>
      </c>
      <c r="AD3575" t="s">
        <v>131</v>
      </c>
      <c r="AE3575" t="s">
        <v>46</v>
      </c>
      <c r="AF3575" t="s">
        <v>96</v>
      </c>
      <c r="AG3575" t="str">
        <f t="shared" si="71"/>
        <v>Recorrente</v>
      </c>
      <c r="AH3575" t="str">
        <f t="shared" si="72"/>
        <v/>
      </c>
    </row>
    <row r="3576" spans="1:34">
      <c r="A3576">
        <v>2026</v>
      </c>
      <c r="B3576">
        <v>4</v>
      </c>
      <c r="C3576" s="83">
        <v>2103422</v>
      </c>
      <c r="D3576" t="s">
        <v>3133</v>
      </c>
      <c r="E3576">
        <v>58897280855</v>
      </c>
      <c r="F3576">
        <v>636922</v>
      </c>
      <c r="G3576">
        <v>54038769414</v>
      </c>
      <c r="H3576" t="s">
        <v>35</v>
      </c>
      <c r="I3576" s="36">
        <v>2580.84</v>
      </c>
      <c r="J3576" s="36">
        <v>2580.8519999999999</v>
      </c>
      <c r="K3576" s="85">
        <v>0</v>
      </c>
      <c r="L3576" s="36">
        <v>215.071</v>
      </c>
      <c r="M3576" s="36">
        <v>215.071</v>
      </c>
      <c r="N3576" s="36">
        <v>0</v>
      </c>
      <c r="O3576" s="36">
        <v>0</v>
      </c>
      <c r="P3576" t="s">
        <v>506</v>
      </c>
      <c r="Q3576" t="s">
        <v>300</v>
      </c>
      <c r="R3576" t="s">
        <v>300</v>
      </c>
      <c r="S3576" s="1">
        <v>46119</v>
      </c>
      <c r="T3576" s="1">
        <v>46119</v>
      </c>
      <c r="U3576" s="1"/>
      <c r="V3576" s="1">
        <v>46484</v>
      </c>
      <c r="W3576" t="s">
        <v>38</v>
      </c>
      <c r="X3576">
        <v>12</v>
      </c>
      <c r="Y3576" t="s">
        <v>49</v>
      </c>
      <c r="AA3576" t="s">
        <v>112</v>
      </c>
      <c r="AB3576">
        <v>12</v>
      </c>
      <c r="AC3576" t="s">
        <v>301</v>
      </c>
      <c r="AD3576" t="s">
        <v>140</v>
      </c>
      <c r="AE3576" t="s">
        <v>46</v>
      </c>
      <c r="AF3576" t="s">
        <v>119</v>
      </c>
      <c r="AG3576" t="str">
        <f t="shared" si="71"/>
        <v>CC 12x</v>
      </c>
      <c r="AH3576" t="str">
        <f t="shared" si="72"/>
        <v/>
      </c>
    </row>
    <row r="3577" spans="1:34">
      <c r="A3577">
        <v>2026</v>
      </c>
      <c r="B3577">
        <v>4</v>
      </c>
      <c r="C3577" s="83">
        <v>210409151870</v>
      </c>
      <c r="D3577" t="s">
        <v>3134</v>
      </c>
      <c r="E3577">
        <v>58662647068</v>
      </c>
      <c r="F3577">
        <v>508180</v>
      </c>
      <c r="G3577">
        <v>53857851911</v>
      </c>
      <c r="H3577" t="s">
        <v>35</v>
      </c>
      <c r="I3577" s="36">
        <v>5553.24</v>
      </c>
      <c r="J3577" s="36">
        <v>5553.24</v>
      </c>
      <c r="K3577" s="85">
        <v>0</v>
      </c>
      <c r="L3577" s="36">
        <v>462.77</v>
      </c>
      <c r="M3577" s="36">
        <v>0</v>
      </c>
      <c r="N3577" s="36">
        <v>163.36875000000001</v>
      </c>
      <c r="O3577" s="36">
        <v>299.39999999999998</v>
      </c>
      <c r="P3577" t="s">
        <v>110</v>
      </c>
      <c r="Q3577" t="s">
        <v>111</v>
      </c>
      <c r="R3577" t="s">
        <v>111</v>
      </c>
      <c r="S3577" s="1">
        <v>46114</v>
      </c>
      <c r="T3577" s="1">
        <v>46114</v>
      </c>
      <c r="U3577" s="1">
        <v>46103</v>
      </c>
      <c r="V3577" s="1">
        <v>46479</v>
      </c>
      <c r="W3577" t="s">
        <v>38</v>
      </c>
      <c r="X3577">
        <v>13</v>
      </c>
      <c r="Y3577" t="s">
        <v>49</v>
      </c>
      <c r="Z3577" t="s">
        <v>81</v>
      </c>
      <c r="AA3577" t="s">
        <v>122</v>
      </c>
      <c r="AB3577">
        <v>12</v>
      </c>
      <c r="AC3577" t="s">
        <v>113</v>
      </c>
      <c r="AD3577" t="s">
        <v>125</v>
      </c>
      <c r="AE3577" t="s">
        <v>43</v>
      </c>
      <c r="AF3577" t="s">
        <v>47</v>
      </c>
      <c r="AG3577" t="str">
        <f t="shared" si="71"/>
        <v>Recorrente</v>
      </c>
      <c r="AH3577" t="str">
        <f t="shared" si="72"/>
        <v/>
      </c>
    </row>
    <row r="3578" spans="1:34">
      <c r="A3578">
        <v>2026</v>
      </c>
      <c r="B3578">
        <v>4</v>
      </c>
      <c r="C3578" s="83">
        <v>2105155</v>
      </c>
      <c r="D3578" t="s">
        <v>3135</v>
      </c>
      <c r="E3578">
        <v>59229049643</v>
      </c>
      <c r="F3578">
        <v>637539</v>
      </c>
      <c r="G3578">
        <v>54884874798</v>
      </c>
      <c r="H3578" t="s">
        <v>35</v>
      </c>
      <c r="I3578" s="36">
        <v>4764</v>
      </c>
      <c r="J3578" s="36">
        <v>4764</v>
      </c>
      <c r="K3578" s="85">
        <v>0</v>
      </c>
      <c r="L3578" s="36">
        <v>397</v>
      </c>
      <c r="M3578" s="36">
        <v>397</v>
      </c>
      <c r="N3578" s="36">
        <v>0</v>
      </c>
      <c r="O3578" s="36">
        <v>0</v>
      </c>
      <c r="P3578" t="s">
        <v>1073</v>
      </c>
      <c r="Q3578" t="s">
        <v>314</v>
      </c>
      <c r="R3578" t="s">
        <v>314</v>
      </c>
      <c r="S3578" s="1">
        <v>46142</v>
      </c>
      <c r="T3578" s="1">
        <v>46142</v>
      </c>
      <c r="U3578" s="1"/>
      <c r="V3578" s="1">
        <v>46507</v>
      </c>
      <c r="W3578" t="s">
        <v>38</v>
      </c>
      <c r="X3578">
        <v>12</v>
      </c>
      <c r="Y3578" t="s">
        <v>49</v>
      </c>
      <c r="AA3578" t="s">
        <v>112</v>
      </c>
      <c r="AB3578">
        <v>12</v>
      </c>
      <c r="AC3578" t="s">
        <v>315</v>
      </c>
      <c r="AD3578" t="s">
        <v>138</v>
      </c>
      <c r="AE3578" t="s">
        <v>135</v>
      </c>
      <c r="AF3578" t="s">
        <v>119</v>
      </c>
      <c r="AG3578" t="str">
        <f t="shared" si="71"/>
        <v>CC 12x</v>
      </c>
      <c r="AH3578" t="str">
        <f t="shared" si="72"/>
        <v/>
      </c>
    </row>
    <row r="3579" spans="1:34">
      <c r="A3579">
        <v>2026</v>
      </c>
      <c r="B3579">
        <v>4</v>
      </c>
      <c r="C3579" s="83">
        <v>210579232108</v>
      </c>
      <c r="D3579" t="s">
        <v>3136</v>
      </c>
      <c r="E3579">
        <v>58634164408</v>
      </c>
      <c r="F3579">
        <v>637165</v>
      </c>
      <c r="G3579">
        <v>54377545827</v>
      </c>
      <c r="H3579" t="s">
        <v>35</v>
      </c>
      <c r="I3579" s="36">
        <v>16520.400000000001</v>
      </c>
      <c r="J3579" s="36">
        <v>8260.2000000000007</v>
      </c>
      <c r="K3579" s="85">
        <v>8260.2000000000007</v>
      </c>
      <c r="L3579" s="36">
        <v>688.35</v>
      </c>
      <c r="M3579" s="36">
        <v>0</v>
      </c>
      <c r="N3579" s="36">
        <v>688.35</v>
      </c>
      <c r="O3579" s="36">
        <v>0</v>
      </c>
      <c r="P3579" t="s">
        <v>367</v>
      </c>
      <c r="Q3579" t="s">
        <v>191</v>
      </c>
      <c r="R3579" t="s">
        <v>191</v>
      </c>
      <c r="S3579" s="1">
        <v>46129</v>
      </c>
      <c r="T3579" s="1">
        <v>46129</v>
      </c>
      <c r="V3579" s="1">
        <v>46860</v>
      </c>
      <c r="W3579" t="s">
        <v>56</v>
      </c>
      <c r="X3579">
        <v>24</v>
      </c>
      <c r="Y3579" t="s">
        <v>49</v>
      </c>
      <c r="AA3579" t="s">
        <v>122</v>
      </c>
      <c r="AB3579">
        <v>24</v>
      </c>
      <c r="AC3579" t="s">
        <v>192</v>
      </c>
      <c r="AD3579" t="s">
        <v>351</v>
      </c>
      <c r="AE3579" t="s">
        <v>95</v>
      </c>
      <c r="AF3579" t="s">
        <v>96</v>
      </c>
      <c r="AG3579" t="str">
        <f t="shared" si="71"/>
        <v>Recorrente</v>
      </c>
      <c r="AH3579" t="str">
        <f t="shared" si="72"/>
        <v/>
      </c>
    </row>
    <row r="3580" spans="1:34">
      <c r="A3580">
        <v>2026</v>
      </c>
      <c r="B3580">
        <v>4</v>
      </c>
      <c r="C3580" s="83">
        <v>2105814</v>
      </c>
      <c r="D3580" t="s">
        <v>3137</v>
      </c>
      <c r="E3580">
        <v>57581316944</v>
      </c>
      <c r="F3580">
        <v>311323</v>
      </c>
      <c r="G3580">
        <v>54283316336</v>
      </c>
      <c r="H3580" t="s">
        <v>35</v>
      </c>
      <c r="I3580" s="36">
        <v>3851.04</v>
      </c>
      <c r="J3580" s="36">
        <v>3851.04</v>
      </c>
      <c r="K3580" s="85">
        <v>0</v>
      </c>
      <c r="L3580" s="36">
        <v>320.92</v>
      </c>
      <c r="M3580" s="36">
        <v>0</v>
      </c>
      <c r="N3580" s="36">
        <v>11.9175</v>
      </c>
      <c r="O3580" s="36">
        <v>309</v>
      </c>
      <c r="P3580" t="s">
        <v>110</v>
      </c>
      <c r="Q3580" t="s">
        <v>111</v>
      </c>
      <c r="R3580" t="s">
        <v>111</v>
      </c>
      <c r="S3580" s="1">
        <v>46126</v>
      </c>
      <c r="T3580" s="1">
        <v>46126</v>
      </c>
      <c r="U3580" s="1">
        <v>46126</v>
      </c>
      <c r="V3580" s="1">
        <v>46491</v>
      </c>
      <c r="W3580" t="s">
        <v>38</v>
      </c>
      <c r="X3580">
        <v>12</v>
      </c>
      <c r="Y3580" t="s">
        <v>49</v>
      </c>
      <c r="Z3580" t="s">
        <v>81</v>
      </c>
      <c r="AA3580" t="s">
        <v>117</v>
      </c>
      <c r="AB3580">
        <v>1</v>
      </c>
      <c r="AC3580" t="s">
        <v>113</v>
      </c>
      <c r="AD3580" t="s">
        <v>84</v>
      </c>
      <c r="AE3580" t="s">
        <v>43</v>
      </c>
      <c r="AF3580" t="s">
        <v>44</v>
      </c>
      <c r="AG3580" t="str">
        <f t="shared" si="71"/>
        <v>À Vista</v>
      </c>
      <c r="AH3580" t="str">
        <f t="shared" si="72"/>
        <v/>
      </c>
    </row>
    <row r="3581" spans="1:34">
      <c r="A3581">
        <v>2026</v>
      </c>
      <c r="B3581">
        <v>4</v>
      </c>
      <c r="C3581" s="83">
        <v>2107101</v>
      </c>
      <c r="D3581" t="s">
        <v>3138</v>
      </c>
      <c r="E3581">
        <v>58708199176</v>
      </c>
      <c r="F3581">
        <v>636936</v>
      </c>
      <c r="G3581">
        <v>54086460323</v>
      </c>
      <c r="H3581" t="s">
        <v>35</v>
      </c>
      <c r="I3581" s="36">
        <v>2592</v>
      </c>
      <c r="J3581" s="36">
        <v>2592.0031199999999</v>
      </c>
      <c r="K3581" s="85">
        <v>0</v>
      </c>
      <c r="L3581" s="36">
        <v>216.00026</v>
      </c>
      <c r="M3581" s="36">
        <v>216.00026</v>
      </c>
      <c r="N3581" s="36">
        <v>0</v>
      </c>
      <c r="O3581" s="36">
        <v>0</v>
      </c>
      <c r="P3581" t="s">
        <v>511</v>
      </c>
      <c r="Q3581" t="s">
        <v>300</v>
      </c>
      <c r="R3581" t="s">
        <v>300</v>
      </c>
      <c r="S3581" s="1">
        <v>46120</v>
      </c>
      <c r="T3581" s="1">
        <v>46120</v>
      </c>
      <c r="U3581" s="1"/>
      <c r="V3581" s="1">
        <v>46485</v>
      </c>
      <c r="W3581" t="s">
        <v>38</v>
      </c>
      <c r="X3581">
        <v>12</v>
      </c>
      <c r="Y3581" t="s">
        <v>49</v>
      </c>
      <c r="AA3581" t="s">
        <v>112</v>
      </c>
      <c r="AB3581">
        <v>12</v>
      </c>
      <c r="AC3581" t="s">
        <v>301</v>
      </c>
      <c r="AD3581" t="s">
        <v>140</v>
      </c>
      <c r="AE3581" t="s">
        <v>46</v>
      </c>
      <c r="AF3581" t="s">
        <v>119</v>
      </c>
      <c r="AG3581" t="str">
        <f t="shared" si="71"/>
        <v>CC 12x</v>
      </c>
      <c r="AH3581" t="str">
        <f t="shared" si="72"/>
        <v/>
      </c>
    </row>
    <row r="3582" spans="1:34">
      <c r="A3582">
        <v>2026</v>
      </c>
      <c r="B3582">
        <v>4</v>
      </c>
      <c r="C3582" s="83">
        <v>2107484</v>
      </c>
      <c r="D3582" t="s">
        <v>3139</v>
      </c>
      <c r="E3582">
        <v>58879562093</v>
      </c>
      <c r="F3582">
        <v>636908</v>
      </c>
      <c r="G3582">
        <v>54038737174</v>
      </c>
      <c r="H3582" t="s">
        <v>35</v>
      </c>
      <c r="I3582" s="36">
        <v>4742.04</v>
      </c>
      <c r="J3582" s="36">
        <v>4742.04</v>
      </c>
      <c r="K3582" s="85">
        <v>0</v>
      </c>
      <c r="L3582" s="36">
        <v>395.17</v>
      </c>
      <c r="M3582" s="36">
        <v>395.17</v>
      </c>
      <c r="N3582" s="36">
        <v>0</v>
      </c>
      <c r="O3582" s="36">
        <v>0</v>
      </c>
      <c r="P3582" t="s">
        <v>2004</v>
      </c>
      <c r="Q3582" t="s">
        <v>300</v>
      </c>
      <c r="R3582" t="s">
        <v>300</v>
      </c>
      <c r="S3582" s="1">
        <v>46119</v>
      </c>
      <c r="T3582" s="1">
        <v>46119</v>
      </c>
      <c r="V3582" s="1">
        <v>46484</v>
      </c>
      <c r="W3582" t="s">
        <v>38</v>
      </c>
      <c r="X3582">
        <v>12</v>
      </c>
      <c r="Y3582" t="s">
        <v>49</v>
      </c>
      <c r="AA3582" t="s">
        <v>117</v>
      </c>
      <c r="AB3582">
        <v>1</v>
      </c>
      <c r="AC3582" t="s">
        <v>301</v>
      </c>
      <c r="AD3582" t="s">
        <v>138</v>
      </c>
      <c r="AE3582" t="s">
        <v>135</v>
      </c>
      <c r="AF3582" t="s">
        <v>119</v>
      </c>
      <c r="AG3582" t="str">
        <f t="shared" si="71"/>
        <v>À Vista</v>
      </c>
      <c r="AH3582" t="str">
        <f t="shared" si="72"/>
        <v/>
      </c>
    </row>
    <row r="3583" spans="1:34">
      <c r="A3583">
        <v>2026</v>
      </c>
      <c r="B3583">
        <v>4</v>
      </c>
      <c r="C3583" s="83">
        <v>2107855</v>
      </c>
      <c r="D3583" t="s">
        <v>3140</v>
      </c>
      <c r="E3583">
        <v>58000421553</v>
      </c>
      <c r="F3583">
        <v>629092</v>
      </c>
      <c r="G3583">
        <v>53223680109</v>
      </c>
      <c r="H3583" t="s">
        <v>35</v>
      </c>
      <c r="I3583" s="36">
        <v>5754</v>
      </c>
      <c r="J3583" s="36">
        <v>5754</v>
      </c>
      <c r="K3583" s="85">
        <v>0</v>
      </c>
      <c r="L3583" s="36">
        <v>479.5</v>
      </c>
      <c r="M3583" s="36">
        <v>0</v>
      </c>
      <c r="N3583" s="36">
        <v>94.45</v>
      </c>
      <c r="O3583" s="36">
        <v>385.05</v>
      </c>
      <c r="P3583" t="s">
        <v>165</v>
      </c>
      <c r="Q3583" t="s">
        <v>166</v>
      </c>
      <c r="R3583" t="s">
        <v>166</v>
      </c>
      <c r="S3583" s="1">
        <v>46139</v>
      </c>
      <c r="T3583" s="1">
        <v>46139</v>
      </c>
      <c r="U3583" s="1">
        <v>46141</v>
      </c>
      <c r="V3583" s="1">
        <v>46506</v>
      </c>
      <c r="W3583" t="s">
        <v>38</v>
      </c>
      <c r="X3583">
        <v>12</v>
      </c>
      <c r="Y3583" t="s">
        <v>49</v>
      </c>
      <c r="Z3583" t="s">
        <v>81</v>
      </c>
      <c r="AA3583" t="s">
        <v>122</v>
      </c>
      <c r="AB3583">
        <v>12</v>
      </c>
      <c r="AC3583" t="s">
        <v>166</v>
      </c>
      <c r="AD3583" t="s">
        <v>85</v>
      </c>
      <c r="AE3583" t="s">
        <v>46</v>
      </c>
      <c r="AF3583" t="s">
        <v>44</v>
      </c>
      <c r="AG3583" t="str">
        <f t="shared" si="71"/>
        <v>Recorrente</v>
      </c>
      <c r="AH3583" t="str">
        <f t="shared" si="72"/>
        <v/>
      </c>
    </row>
    <row r="3584" spans="1:34">
      <c r="A3584">
        <v>2026</v>
      </c>
      <c r="B3584">
        <v>4</v>
      </c>
      <c r="C3584" s="83">
        <v>2107958</v>
      </c>
      <c r="D3584" t="s">
        <v>3141</v>
      </c>
      <c r="E3584">
        <v>58259045425</v>
      </c>
      <c r="F3584">
        <v>532742</v>
      </c>
      <c r="G3584">
        <v>53857535311</v>
      </c>
      <c r="H3584" t="s">
        <v>35</v>
      </c>
      <c r="I3584" s="36">
        <v>2586.6</v>
      </c>
      <c r="J3584" s="36">
        <v>2586.6</v>
      </c>
      <c r="K3584" s="85">
        <v>0</v>
      </c>
      <c r="L3584" s="36">
        <v>215.55</v>
      </c>
      <c r="M3584" s="36">
        <v>0</v>
      </c>
      <c r="N3584" s="36">
        <v>12.4</v>
      </c>
      <c r="O3584" s="36">
        <v>203.15</v>
      </c>
      <c r="P3584" t="s">
        <v>133</v>
      </c>
      <c r="Q3584" t="s">
        <v>111</v>
      </c>
      <c r="R3584" t="s">
        <v>111</v>
      </c>
      <c r="S3584" s="1">
        <v>46119</v>
      </c>
      <c r="T3584" s="1">
        <v>46119</v>
      </c>
      <c r="U3584" s="1">
        <v>46135</v>
      </c>
      <c r="V3584" s="1">
        <v>46500</v>
      </c>
      <c r="W3584" t="s">
        <v>38</v>
      </c>
      <c r="X3584">
        <v>12</v>
      </c>
      <c r="Y3584" t="s">
        <v>49</v>
      </c>
      <c r="Z3584" t="s">
        <v>81</v>
      </c>
      <c r="AA3584" t="s">
        <v>122</v>
      </c>
      <c r="AB3584">
        <v>12</v>
      </c>
      <c r="AC3584" t="s">
        <v>113</v>
      </c>
      <c r="AD3584" t="s">
        <v>118</v>
      </c>
      <c r="AE3584" t="s">
        <v>43</v>
      </c>
      <c r="AF3584" t="s">
        <v>119</v>
      </c>
      <c r="AG3584" t="str">
        <f t="shared" si="71"/>
        <v>Recorrente</v>
      </c>
      <c r="AH3584" t="str">
        <f t="shared" si="72"/>
        <v/>
      </c>
    </row>
    <row r="3585" spans="1:34">
      <c r="A3585">
        <v>2026</v>
      </c>
      <c r="B3585">
        <v>4</v>
      </c>
      <c r="C3585" s="83">
        <v>210908875302</v>
      </c>
      <c r="D3585" t="s">
        <v>3142</v>
      </c>
      <c r="E3585">
        <v>58267936544</v>
      </c>
      <c r="F3585">
        <v>637093</v>
      </c>
      <c r="G3585">
        <v>54284107012</v>
      </c>
      <c r="H3585" t="s">
        <v>35</v>
      </c>
      <c r="I3585" s="36">
        <v>2644.08</v>
      </c>
      <c r="J3585" s="36">
        <v>2644.08</v>
      </c>
      <c r="K3585" s="85">
        <v>0</v>
      </c>
      <c r="L3585" s="36">
        <v>220.34</v>
      </c>
      <c r="M3585" s="36">
        <v>220.34</v>
      </c>
      <c r="N3585" s="36">
        <v>0</v>
      </c>
      <c r="O3585" s="36">
        <v>0</v>
      </c>
      <c r="P3585" t="s">
        <v>506</v>
      </c>
      <c r="Q3585" t="s">
        <v>300</v>
      </c>
      <c r="R3585" t="s">
        <v>300</v>
      </c>
      <c r="S3585" s="1">
        <v>46126</v>
      </c>
      <c r="T3585" s="1">
        <v>46126</v>
      </c>
      <c r="V3585" s="1">
        <v>46491</v>
      </c>
      <c r="W3585" t="s">
        <v>38</v>
      </c>
      <c r="X3585">
        <v>12</v>
      </c>
      <c r="Y3585" t="s">
        <v>49</v>
      </c>
      <c r="AA3585" t="s">
        <v>112</v>
      </c>
      <c r="AB3585">
        <v>3</v>
      </c>
      <c r="AC3585" t="s">
        <v>301</v>
      </c>
      <c r="AD3585" t="s">
        <v>140</v>
      </c>
      <c r="AE3585" t="s">
        <v>46</v>
      </c>
      <c r="AF3585" t="s">
        <v>119</v>
      </c>
      <c r="AG3585" t="str">
        <f t="shared" ref="AG3585:AG3648" si="73">IF(IFERROR(SEARCH("Recorrente",AA3585),0)&gt;0,"Recorrente",IF(AB3585=1,"À Vista",IF(AB3585&lt;=3,"CC 3x",IF(AB3585&lt;=12,"CC 12x",IF(AB3585&gt;12,"Recorrente","")))))</f>
        <v>CC 3x</v>
      </c>
      <c r="AH3585" t="str">
        <f t="shared" ref="AH3585:AH3648" si="74">IF(AND(SUMIF(E:E,E3585,I:I)&gt;=400000,Q3585="B2G"),"n","")</f>
        <v/>
      </c>
    </row>
    <row r="3586" spans="1:34">
      <c r="A3586">
        <v>2026</v>
      </c>
      <c r="B3586">
        <v>4</v>
      </c>
      <c r="C3586" s="83">
        <v>2109610</v>
      </c>
      <c r="D3586" t="s">
        <v>1503</v>
      </c>
      <c r="E3586">
        <v>58950370929</v>
      </c>
      <c r="F3586">
        <v>636930</v>
      </c>
      <c r="G3586">
        <v>54086453903</v>
      </c>
      <c r="H3586" t="s">
        <v>35</v>
      </c>
      <c r="I3586" s="36">
        <v>4278.84</v>
      </c>
      <c r="J3586" s="36">
        <v>4278.8999999999996</v>
      </c>
      <c r="K3586" s="85">
        <v>0</v>
      </c>
      <c r="L3586" s="36">
        <v>356.57499999999999</v>
      </c>
      <c r="M3586" s="36">
        <v>0</v>
      </c>
      <c r="N3586" s="36">
        <v>356.57499999999999</v>
      </c>
      <c r="O3586" s="36">
        <v>0</v>
      </c>
      <c r="P3586" t="s">
        <v>520</v>
      </c>
      <c r="Q3586" t="s">
        <v>191</v>
      </c>
      <c r="R3586" t="s">
        <v>191</v>
      </c>
      <c r="S3586" s="1">
        <v>46119</v>
      </c>
      <c r="T3586" s="1">
        <v>46119</v>
      </c>
      <c r="U3586" s="1"/>
      <c r="V3586" s="1">
        <v>46484</v>
      </c>
      <c r="W3586" t="s">
        <v>38</v>
      </c>
      <c r="X3586">
        <v>12</v>
      </c>
      <c r="Y3586" t="s">
        <v>49</v>
      </c>
      <c r="AA3586" t="s">
        <v>117</v>
      </c>
      <c r="AB3586">
        <v>1</v>
      </c>
      <c r="AC3586" t="s">
        <v>192</v>
      </c>
      <c r="AD3586" t="s">
        <v>84</v>
      </c>
      <c r="AE3586" t="s">
        <v>43</v>
      </c>
      <c r="AF3586" t="s">
        <v>44</v>
      </c>
      <c r="AG3586" t="str">
        <f t="shared" si="73"/>
        <v>À Vista</v>
      </c>
      <c r="AH3586" t="str">
        <f t="shared" si="74"/>
        <v/>
      </c>
    </row>
    <row r="3587" spans="1:34">
      <c r="A3587">
        <v>2026</v>
      </c>
      <c r="B3587">
        <v>4</v>
      </c>
      <c r="C3587" s="83">
        <v>211027662613</v>
      </c>
      <c r="D3587" t="s">
        <v>3143</v>
      </c>
      <c r="E3587">
        <v>58427467012</v>
      </c>
      <c r="F3587">
        <v>637192</v>
      </c>
      <c r="G3587">
        <v>54294759793</v>
      </c>
      <c r="H3587" t="s">
        <v>35</v>
      </c>
      <c r="I3587" s="36">
        <v>3911.04</v>
      </c>
      <c r="J3587" s="36">
        <v>3911.04</v>
      </c>
      <c r="K3587" s="85">
        <v>0</v>
      </c>
      <c r="L3587" s="36">
        <v>325.92</v>
      </c>
      <c r="M3587" s="36">
        <v>325.92</v>
      </c>
      <c r="N3587" s="36">
        <v>0</v>
      </c>
      <c r="O3587" s="36">
        <v>0</v>
      </c>
      <c r="P3587" t="s">
        <v>829</v>
      </c>
      <c r="Q3587" t="s">
        <v>300</v>
      </c>
      <c r="R3587" t="s">
        <v>300</v>
      </c>
      <c r="S3587" s="1">
        <v>46129</v>
      </c>
      <c r="T3587" s="1">
        <v>46129</v>
      </c>
      <c r="V3587" s="1">
        <v>46494</v>
      </c>
      <c r="W3587" t="s">
        <v>38</v>
      </c>
      <c r="X3587">
        <v>12</v>
      </c>
      <c r="Y3587" t="s">
        <v>49</v>
      </c>
      <c r="AA3587" t="s">
        <v>112</v>
      </c>
      <c r="AB3587">
        <v>12</v>
      </c>
      <c r="AC3587" t="s">
        <v>301</v>
      </c>
      <c r="AD3587" t="s">
        <v>160</v>
      </c>
      <c r="AE3587" t="s">
        <v>43</v>
      </c>
      <c r="AF3587" t="s">
        <v>44</v>
      </c>
      <c r="AG3587" t="str">
        <f t="shared" si="73"/>
        <v>CC 12x</v>
      </c>
      <c r="AH3587" t="str">
        <f t="shared" si="74"/>
        <v/>
      </c>
    </row>
    <row r="3588" spans="1:34">
      <c r="A3588">
        <v>2026</v>
      </c>
      <c r="B3588">
        <v>4</v>
      </c>
      <c r="C3588" s="83">
        <v>2111257</v>
      </c>
      <c r="D3588" t="s">
        <v>3144</v>
      </c>
      <c r="E3588">
        <v>59663057323</v>
      </c>
      <c r="F3588">
        <v>637336</v>
      </c>
      <c r="G3588">
        <v>54763352434</v>
      </c>
      <c r="H3588" t="s">
        <v>104</v>
      </c>
      <c r="I3588" s="36">
        <v>718.8</v>
      </c>
      <c r="J3588" s="36">
        <v>718.8</v>
      </c>
      <c r="K3588" s="85">
        <v>0</v>
      </c>
      <c r="L3588" s="36">
        <v>59.9</v>
      </c>
      <c r="M3588" s="36">
        <v>59.9</v>
      </c>
      <c r="N3588" s="36">
        <v>0</v>
      </c>
      <c r="O3588" s="36">
        <v>0</v>
      </c>
      <c r="P3588" t="s">
        <v>497</v>
      </c>
      <c r="Q3588" t="s">
        <v>498</v>
      </c>
      <c r="R3588" t="s">
        <v>498</v>
      </c>
      <c r="S3588" s="1">
        <v>46137</v>
      </c>
      <c r="T3588" s="1">
        <v>46137</v>
      </c>
      <c r="V3588" s="1">
        <v>46502</v>
      </c>
      <c r="W3588" t="s">
        <v>38</v>
      </c>
      <c r="X3588">
        <v>12</v>
      </c>
      <c r="Y3588" t="s">
        <v>49</v>
      </c>
      <c r="AA3588" t="s">
        <v>112</v>
      </c>
      <c r="AB3588">
        <v>12</v>
      </c>
      <c r="AC3588" t="s">
        <v>499</v>
      </c>
      <c r="AD3588" t="s">
        <v>105</v>
      </c>
      <c r="AE3588" t="s">
        <v>106</v>
      </c>
      <c r="AF3588" t="s">
        <v>59</v>
      </c>
      <c r="AG3588" t="str">
        <f t="shared" si="73"/>
        <v>CC 12x</v>
      </c>
      <c r="AH3588" t="str">
        <f t="shared" si="74"/>
        <v/>
      </c>
    </row>
    <row r="3589" spans="1:34">
      <c r="A3589">
        <v>2026</v>
      </c>
      <c r="B3589">
        <v>4</v>
      </c>
      <c r="C3589" s="83">
        <v>2111962</v>
      </c>
      <c r="D3589" t="s">
        <v>3145</v>
      </c>
      <c r="E3589">
        <v>56954156469</v>
      </c>
      <c r="F3589">
        <v>613257</v>
      </c>
      <c r="G3589">
        <v>52184481612</v>
      </c>
      <c r="H3589" t="s">
        <v>35</v>
      </c>
      <c r="I3589" s="36">
        <v>2874</v>
      </c>
      <c r="J3589" s="36">
        <v>2874</v>
      </c>
      <c r="K3589" s="85">
        <v>0</v>
      </c>
      <c r="L3589" s="36">
        <v>239.5</v>
      </c>
      <c r="M3589" s="36">
        <v>0</v>
      </c>
      <c r="N3589" s="36">
        <v>0.5</v>
      </c>
      <c r="O3589" s="36">
        <v>239</v>
      </c>
      <c r="P3589" t="s">
        <v>165</v>
      </c>
      <c r="Q3589" t="s">
        <v>166</v>
      </c>
      <c r="R3589" t="s">
        <v>166</v>
      </c>
      <c r="S3589" s="1">
        <v>46122</v>
      </c>
      <c r="T3589" s="1">
        <v>46122</v>
      </c>
      <c r="U3589" s="1">
        <v>46122</v>
      </c>
      <c r="V3589" s="1">
        <v>46487</v>
      </c>
      <c r="W3589" t="s">
        <v>38</v>
      </c>
      <c r="X3589">
        <v>12</v>
      </c>
      <c r="Y3589" t="s">
        <v>49</v>
      </c>
      <c r="Z3589" t="s">
        <v>81</v>
      </c>
      <c r="AA3589" t="s">
        <v>112</v>
      </c>
      <c r="AB3589">
        <v>6</v>
      </c>
      <c r="AC3589" t="s">
        <v>166</v>
      </c>
      <c r="AD3589" t="s">
        <v>140</v>
      </c>
      <c r="AE3589" t="s">
        <v>46</v>
      </c>
      <c r="AF3589" t="s">
        <v>119</v>
      </c>
      <c r="AG3589" t="str">
        <f t="shared" si="73"/>
        <v>CC 12x</v>
      </c>
      <c r="AH3589" t="str">
        <f t="shared" si="74"/>
        <v/>
      </c>
    </row>
    <row r="3590" spans="1:34">
      <c r="A3590">
        <v>2026</v>
      </c>
      <c r="B3590">
        <v>4</v>
      </c>
      <c r="C3590" s="83">
        <v>2112011</v>
      </c>
      <c r="D3590" t="s">
        <v>3146</v>
      </c>
      <c r="E3590">
        <v>59135739043</v>
      </c>
      <c r="F3590">
        <v>324407</v>
      </c>
      <c r="G3590">
        <v>54269806649</v>
      </c>
      <c r="H3590" t="s">
        <v>35</v>
      </c>
      <c r="I3590" s="36">
        <v>4401.84</v>
      </c>
      <c r="J3590" s="36">
        <v>4401.84</v>
      </c>
      <c r="K3590" s="85">
        <v>0</v>
      </c>
      <c r="L3590" s="36">
        <v>366.82</v>
      </c>
      <c r="M3590" s="36">
        <v>0</v>
      </c>
      <c r="N3590" s="36">
        <v>4.4222950000000001</v>
      </c>
      <c r="O3590" s="36">
        <v>362.4</v>
      </c>
      <c r="P3590" t="s">
        <v>116</v>
      </c>
      <c r="Q3590" t="s">
        <v>111</v>
      </c>
      <c r="R3590" t="s">
        <v>111</v>
      </c>
      <c r="S3590" s="1">
        <v>46125</v>
      </c>
      <c r="T3590" s="1">
        <v>46125</v>
      </c>
      <c r="U3590" s="1">
        <v>46124</v>
      </c>
      <c r="V3590" s="1">
        <v>46490</v>
      </c>
      <c r="W3590" t="s">
        <v>38</v>
      </c>
      <c r="X3590">
        <v>12</v>
      </c>
      <c r="Y3590" t="s">
        <v>49</v>
      </c>
      <c r="Z3590" t="s">
        <v>81</v>
      </c>
      <c r="AA3590" t="s">
        <v>112</v>
      </c>
      <c r="AB3590">
        <v>12</v>
      </c>
      <c r="AC3590" t="s">
        <v>113</v>
      </c>
      <c r="AD3590" t="s">
        <v>85</v>
      </c>
      <c r="AE3590" t="s">
        <v>46</v>
      </c>
      <c r="AF3590" t="s">
        <v>44</v>
      </c>
      <c r="AG3590" t="str">
        <f t="shared" si="73"/>
        <v>CC 12x</v>
      </c>
      <c r="AH3590" t="str">
        <f t="shared" si="74"/>
        <v/>
      </c>
    </row>
    <row r="3591" spans="1:34">
      <c r="A3591">
        <v>2026</v>
      </c>
      <c r="B3591">
        <v>4</v>
      </c>
      <c r="C3591" s="83">
        <v>2112049</v>
      </c>
      <c r="D3591" t="s">
        <v>3147</v>
      </c>
      <c r="E3591">
        <v>56291342248</v>
      </c>
      <c r="F3591">
        <v>628112</v>
      </c>
      <c r="G3591">
        <v>51623870583</v>
      </c>
      <c r="H3591" t="s">
        <v>35</v>
      </c>
      <c r="I3591" s="36">
        <v>9354</v>
      </c>
      <c r="J3591" s="36">
        <v>9354</v>
      </c>
      <c r="K3591" s="85">
        <v>0</v>
      </c>
      <c r="L3591" s="36">
        <v>779.5</v>
      </c>
      <c r="M3591" s="36">
        <v>0</v>
      </c>
      <c r="N3591" s="36">
        <v>151.35</v>
      </c>
      <c r="O3591" s="36">
        <v>628.15</v>
      </c>
      <c r="P3591" t="s">
        <v>165</v>
      </c>
      <c r="Q3591" t="s">
        <v>166</v>
      </c>
      <c r="R3591" t="s">
        <v>166</v>
      </c>
      <c r="S3591" s="1">
        <v>46113</v>
      </c>
      <c r="T3591" s="1">
        <v>46113</v>
      </c>
      <c r="U3591" s="1">
        <v>46113</v>
      </c>
      <c r="V3591" s="1">
        <v>46478</v>
      </c>
      <c r="W3591" t="s">
        <v>38</v>
      </c>
      <c r="X3591">
        <v>12</v>
      </c>
      <c r="Y3591" t="s">
        <v>49</v>
      </c>
      <c r="Z3591" t="s">
        <v>81</v>
      </c>
      <c r="AA3591" t="s">
        <v>122</v>
      </c>
      <c r="AB3591">
        <v>12</v>
      </c>
      <c r="AC3591" t="s">
        <v>166</v>
      </c>
      <c r="AD3591" t="s">
        <v>134</v>
      </c>
      <c r="AE3591" t="s">
        <v>135</v>
      </c>
      <c r="AF3591" t="s">
        <v>44</v>
      </c>
      <c r="AG3591" t="str">
        <f t="shared" si="73"/>
        <v>Recorrente</v>
      </c>
      <c r="AH3591" t="str">
        <f t="shared" si="74"/>
        <v/>
      </c>
    </row>
    <row r="3592" spans="1:34">
      <c r="A3592">
        <v>2026</v>
      </c>
      <c r="B3592">
        <v>4</v>
      </c>
      <c r="C3592" s="83">
        <v>2112228</v>
      </c>
      <c r="D3592" t="s">
        <v>3148</v>
      </c>
      <c r="E3592">
        <v>58814672898</v>
      </c>
      <c r="F3592">
        <v>508378</v>
      </c>
      <c r="G3592">
        <v>54279569302</v>
      </c>
      <c r="H3592" t="s">
        <v>35</v>
      </c>
      <c r="I3592" s="36">
        <v>4401.84</v>
      </c>
      <c r="J3592" s="36">
        <v>4401.84</v>
      </c>
      <c r="K3592" s="85">
        <v>0</v>
      </c>
      <c r="L3592" s="36">
        <v>366.82</v>
      </c>
      <c r="M3592" s="36">
        <v>0</v>
      </c>
      <c r="N3592" s="36">
        <v>33.482295000000001</v>
      </c>
      <c r="O3592" s="36">
        <v>333.34</v>
      </c>
      <c r="P3592" t="s">
        <v>116</v>
      </c>
      <c r="Q3592" t="s">
        <v>111</v>
      </c>
      <c r="R3592" t="s">
        <v>111</v>
      </c>
      <c r="S3592" s="1">
        <v>46126</v>
      </c>
      <c r="T3592" s="1">
        <v>46126</v>
      </c>
      <c r="U3592" s="1">
        <v>46115</v>
      </c>
      <c r="V3592" s="1">
        <v>46491</v>
      </c>
      <c r="W3592" t="s">
        <v>38</v>
      </c>
      <c r="X3592">
        <v>12</v>
      </c>
      <c r="Y3592" t="s">
        <v>49</v>
      </c>
      <c r="Z3592" t="s">
        <v>81</v>
      </c>
      <c r="AA3592" t="s">
        <v>112</v>
      </c>
      <c r="AB3592">
        <v>12</v>
      </c>
      <c r="AC3592" t="s">
        <v>113</v>
      </c>
      <c r="AD3592" t="s">
        <v>85</v>
      </c>
      <c r="AE3592" t="s">
        <v>46</v>
      </c>
      <c r="AF3592" t="s">
        <v>44</v>
      </c>
      <c r="AG3592" t="str">
        <f t="shared" si="73"/>
        <v>CC 12x</v>
      </c>
      <c r="AH3592" t="str">
        <f t="shared" si="74"/>
        <v/>
      </c>
    </row>
    <row r="3593" spans="1:34">
      <c r="A3593">
        <v>2026</v>
      </c>
      <c r="B3593">
        <v>4</v>
      </c>
      <c r="C3593" s="83">
        <v>2112330</v>
      </c>
      <c r="D3593" t="s">
        <v>3149</v>
      </c>
      <c r="E3593">
        <v>59240051515</v>
      </c>
      <c r="F3593">
        <v>313339</v>
      </c>
      <c r="G3593">
        <v>54800518313</v>
      </c>
      <c r="H3593" t="s">
        <v>35</v>
      </c>
      <c r="I3593" s="36">
        <v>4045.44</v>
      </c>
      <c r="J3593" s="36">
        <v>4045.44</v>
      </c>
      <c r="K3593" s="85">
        <v>0</v>
      </c>
      <c r="L3593" s="36">
        <v>337.12</v>
      </c>
      <c r="M3593" s="36">
        <v>0</v>
      </c>
      <c r="N3593" s="36">
        <v>1.125</v>
      </c>
      <c r="O3593" s="36">
        <v>336</v>
      </c>
      <c r="P3593" t="s">
        <v>116</v>
      </c>
      <c r="Q3593" t="s">
        <v>111</v>
      </c>
      <c r="R3593" t="s">
        <v>111</v>
      </c>
      <c r="S3593" s="1">
        <v>46139</v>
      </c>
      <c r="T3593" s="1">
        <v>46139</v>
      </c>
      <c r="U3593" s="1">
        <v>46137</v>
      </c>
      <c r="V3593" s="1">
        <v>46504</v>
      </c>
      <c r="W3593" t="s">
        <v>38</v>
      </c>
      <c r="X3593">
        <v>12</v>
      </c>
      <c r="Y3593" t="s">
        <v>49</v>
      </c>
      <c r="Z3593" t="s">
        <v>81</v>
      </c>
      <c r="AA3593" t="s">
        <v>112</v>
      </c>
      <c r="AB3593">
        <v>12</v>
      </c>
      <c r="AC3593" t="s">
        <v>113</v>
      </c>
      <c r="AD3593" t="s">
        <v>84</v>
      </c>
      <c r="AE3593" t="s">
        <v>43</v>
      </c>
      <c r="AF3593" t="s">
        <v>44</v>
      </c>
      <c r="AG3593" t="str">
        <f t="shared" si="73"/>
        <v>CC 12x</v>
      </c>
      <c r="AH3593" t="str">
        <f t="shared" si="74"/>
        <v/>
      </c>
    </row>
    <row r="3594" spans="1:34">
      <c r="A3594">
        <v>2026</v>
      </c>
      <c r="B3594">
        <v>4</v>
      </c>
      <c r="C3594" s="83">
        <v>2112330</v>
      </c>
      <c r="D3594" t="s">
        <v>3149</v>
      </c>
      <c r="E3594">
        <v>59240051515</v>
      </c>
      <c r="F3594">
        <v>313339</v>
      </c>
      <c r="G3594">
        <v>54800518314</v>
      </c>
      <c r="H3594" t="s">
        <v>35</v>
      </c>
      <c r="I3594" s="36">
        <v>4045.44</v>
      </c>
      <c r="J3594" s="36">
        <v>4045.44</v>
      </c>
      <c r="K3594" s="85">
        <v>0</v>
      </c>
      <c r="L3594" s="36">
        <v>337.12</v>
      </c>
      <c r="M3594" s="36">
        <v>0</v>
      </c>
      <c r="N3594" s="36">
        <v>1.125</v>
      </c>
      <c r="O3594" s="36">
        <v>336</v>
      </c>
      <c r="P3594" t="s">
        <v>116</v>
      </c>
      <c r="Q3594" t="s">
        <v>111</v>
      </c>
      <c r="R3594" t="s">
        <v>111</v>
      </c>
      <c r="S3594" s="1">
        <v>46139</v>
      </c>
      <c r="T3594" s="1">
        <v>46139</v>
      </c>
      <c r="U3594" s="1">
        <v>46137</v>
      </c>
      <c r="V3594" s="1">
        <v>46504</v>
      </c>
      <c r="W3594" t="s">
        <v>38</v>
      </c>
      <c r="X3594">
        <v>12</v>
      </c>
      <c r="Y3594" t="s">
        <v>49</v>
      </c>
      <c r="Z3594" t="s">
        <v>81</v>
      </c>
      <c r="AA3594" t="s">
        <v>112</v>
      </c>
      <c r="AB3594">
        <v>12</v>
      </c>
      <c r="AC3594" t="s">
        <v>113</v>
      </c>
      <c r="AD3594" t="s">
        <v>85</v>
      </c>
      <c r="AE3594" t="s">
        <v>46</v>
      </c>
      <c r="AF3594" t="s">
        <v>44</v>
      </c>
      <c r="AG3594" t="str">
        <f t="shared" si="73"/>
        <v>CC 12x</v>
      </c>
      <c r="AH3594" t="str">
        <f t="shared" si="74"/>
        <v/>
      </c>
    </row>
    <row r="3595" spans="1:34">
      <c r="A3595">
        <v>2026</v>
      </c>
      <c r="B3595">
        <v>4</v>
      </c>
      <c r="C3595" s="83">
        <v>2112997</v>
      </c>
      <c r="D3595" t="s">
        <v>3150</v>
      </c>
      <c r="E3595">
        <v>58843502884</v>
      </c>
      <c r="F3595">
        <v>636885</v>
      </c>
      <c r="G3595">
        <v>54000960549</v>
      </c>
      <c r="H3595" t="s">
        <v>35</v>
      </c>
      <c r="I3595" s="36">
        <v>2874</v>
      </c>
      <c r="J3595" s="36">
        <v>2874</v>
      </c>
      <c r="K3595" s="85">
        <v>0</v>
      </c>
      <c r="L3595" s="36">
        <v>239.5</v>
      </c>
      <c r="M3595" s="36">
        <v>239.5</v>
      </c>
      <c r="N3595" s="36">
        <v>0</v>
      </c>
      <c r="O3595" s="36">
        <v>0</v>
      </c>
      <c r="P3595" t="s">
        <v>497</v>
      </c>
      <c r="Q3595" t="s">
        <v>498</v>
      </c>
      <c r="R3595" t="s">
        <v>498</v>
      </c>
      <c r="S3595" s="1">
        <v>46116</v>
      </c>
      <c r="T3595" s="1">
        <v>46116</v>
      </c>
      <c r="U3595" s="1"/>
      <c r="V3595" s="1">
        <v>46481</v>
      </c>
      <c r="W3595" t="s">
        <v>38</v>
      </c>
      <c r="X3595">
        <v>12</v>
      </c>
      <c r="Y3595" t="s">
        <v>49</v>
      </c>
      <c r="AA3595" t="s">
        <v>112</v>
      </c>
      <c r="AB3595">
        <v>6</v>
      </c>
      <c r="AC3595" t="s">
        <v>499</v>
      </c>
      <c r="AD3595" t="s">
        <v>118</v>
      </c>
      <c r="AE3595" t="s">
        <v>43</v>
      </c>
      <c r="AF3595" t="s">
        <v>119</v>
      </c>
      <c r="AG3595" t="str">
        <f t="shared" si="73"/>
        <v>CC 12x</v>
      </c>
      <c r="AH3595" t="str">
        <f t="shared" si="74"/>
        <v/>
      </c>
    </row>
    <row r="3596" spans="1:34">
      <c r="A3596">
        <v>2026</v>
      </c>
      <c r="B3596">
        <v>4</v>
      </c>
      <c r="C3596" s="83">
        <v>2113898</v>
      </c>
      <c r="D3596" t="s">
        <v>3151</v>
      </c>
      <c r="E3596">
        <v>56471089728</v>
      </c>
      <c r="F3596">
        <v>311068</v>
      </c>
      <c r="G3596">
        <v>51752173162</v>
      </c>
      <c r="H3596" t="s">
        <v>35</v>
      </c>
      <c r="I3596" s="36">
        <v>2874</v>
      </c>
      <c r="J3596" s="36">
        <v>2874</v>
      </c>
      <c r="K3596" s="85">
        <v>0</v>
      </c>
      <c r="L3596" s="36">
        <v>239.5</v>
      </c>
      <c r="M3596" s="36">
        <v>0</v>
      </c>
      <c r="N3596" s="36">
        <v>0.5</v>
      </c>
      <c r="O3596" s="36">
        <v>239</v>
      </c>
      <c r="P3596" t="s">
        <v>165</v>
      </c>
      <c r="Q3596" t="s">
        <v>166</v>
      </c>
      <c r="R3596" t="s">
        <v>166</v>
      </c>
      <c r="S3596" s="1">
        <v>46116</v>
      </c>
      <c r="T3596" s="1">
        <v>46116</v>
      </c>
      <c r="U3596" s="1">
        <v>46116</v>
      </c>
      <c r="V3596" s="1">
        <v>46481</v>
      </c>
      <c r="W3596" t="s">
        <v>38</v>
      </c>
      <c r="X3596">
        <v>12</v>
      </c>
      <c r="Y3596" t="s">
        <v>49</v>
      </c>
      <c r="Z3596" t="s">
        <v>81</v>
      </c>
      <c r="AA3596" t="s">
        <v>112</v>
      </c>
      <c r="AB3596">
        <v>12</v>
      </c>
      <c r="AC3596" t="s">
        <v>166</v>
      </c>
      <c r="AD3596" t="s">
        <v>140</v>
      </c>
      <c r="AE3596" t="s">
        <v>46</v>
      </c>
      <c r="AF3596" t="s">
        <v>119</v>
      </c>
      <c r="AG3596" t="str">
        <f t="shared" si="73"/>
        <v>CC 12x</v>
      </c>
      <c r="AH3596" t="str">
        <f t="shared" si="74"/>
        <v/>
      </c>
    </row>
    <row r="3597" spans="1:34">
      <c r="A3597">
        <v>2026</v>
      </c>
      <c r="B3597">
        <v>4</v>
      </c>
      <c r="C3597" s="83">
        <v>2114264</v>
      </c>
      <c r="D3597" t="s">
        <v>3152</v>
      </c>
      <c r="E3597">
        <v>58571911054</v>
      </c>
      <c r="F3597">
        <v>533898</v>
      </c>
      <c r="G3597">
        <v>54282738761</v>
      </c>
      <c r="H3597" t="s">
        <v>35</v>
      </c>
      <c r="I3597" s="36">
        <v>3859.8</v>
      </c>
      <c r="J3597" s="36">
        <v>3859.8</v>
      </c>
      <c r="K3597" s="85">
        <v>0</v>
      </c>
      <c r="L3597" s="36">
        <v>321.64999999999998</v>
      </c>
      <c r="M3597" s="36">
        <v>0</v>
      </c>
      <c r="N3597" s="36">
        <v>105.6083333</v>
      </c>
      <c r="O3597" s="36">
        <v>216.04166670000001</v>
      </c>
      <c r="P3597" t="s">
        <v>133</v>
      </c>
      <c r="Q3597" t="s">
        <v>111</v>
      </c>
      <c r="R3597" t="s">
        <v>111</v>
      </c>
      <c r="S3597" s="1">
        <v>46139</v>
      </c>
      <c r="T3597" s="1">
        <v>46139</v>
      </c>
      <c r="U3597" s="1">
        <v>46139</v>
      </c>
      <c r="V3597" s="1">
        <v>46504</v>
      </c>
      <c r="W3597" t="s">
        <v>38</v>
      </c>
      <c r="X3597">
        <v>12</v>
      </c>
      <c r="Y3597" t="s">
        <v>49</v>
      </c>
      <c r="Z3597" t="s">
        <v>81</v>
      </c>
      <c r="AA3597" t="s">
        <v>122</v>
      </c>
      <c r="AB3597">
        <v>12</v>
      </c>
      <c r="AC3597" t="s">
        <v>113</v>
      </c>
      <c r="AD3597" t="s">
        <v>138</v>
      </c>
      <c r="AE3597" t="s">
        <v>135</v>
      </c>
      <c r="AF3597" t="s">
        <v>119</v>
      </c>
      <c r="AG3597" t="str">
        <f t="shared" si="73"/>
        <v>Recorrente</v>
      </c>
      <c r="AH3597" t="str">
        <f t="shared" si="74"/>
        <v/>
      </c>
    </row>
    <row r="3598" spans="1:34">
      <c r="A3598">
        <v>2026</v>
      </c>
      <c r="B3598">
        <v>4</v>
      </c>
      <c r="C3598" s="83">
        <v>2114335</v>
      </c>
      <c r="D3598" t="s">
        <v>3153</v>
      </c>
      <c r="E3598">
        <v>59235689077</v>
      </c>
      <c r="F3598">
        <v>637132</v>
      </c>
      <c r="G3598">
        <v>54295399179</v>
      </c>
      <c r="H3598" t="s">
        <v>35</v>
      </c>
      <c r="I3598" s="36">
        <v>2874</v>
      </c>
      <c r="J3598" s="36">
        <v>2874</v>
      </c>
      <c r="K3598" s="85">
        <v>0</v>
      </c>
      <c r="L3598" s="36">
        <v>239.5</v>
      </c>
      <c r="M3598" s="36">
        <v>239.5</v>
      </c>
      <c r="N3598" s="36">
        <v>0</v>
      </c>
      <c r="O3598" s="36">
        <v>0</v>
      </c>
      <c r="P3598" t="s">
        <v>506</v>
      </c>
      <c r="Q3598" t="s">
        <v>300</v>
      </c>
      <c r="R3598" t="s">
        <v>300</v>
      </c>
      <c r="S3598" s="1">
        <v>46128</v>
      </c>
      <c r="T3598" s="1">
        <v>46128</v>
      </c>
      <c r="U3598" s="1"/>
      <c r="V3598" s="1">
        <v>46493</v>
      </c>
      <c r="W3598" t="s">
        <v>38</v>
      </c>
      <c r="X3598">
        <v>12</v>
      </c>
      <c r="Y3598" t="s">
        <v>49</v>
      </c>
      <c r="AA3598" t="s">
        <v>122</v>
      </c>
      <c r="AB3598">
        <v>12</v>
      </c>
      <c r="AC3598" t="s">
        <v>301</v>
      </c>
      <c r="AD3598" t="s">
        <v>140</v>
      </c>
      <c r="AE3598" t="s">
        <v>46</v>
      </c>
      <c r="AF3598" t="s">
        <v>119</v>
      </c>
      <c r="AG3598" t="str">
        <f t="shared" si="73"/>
        <v>Recorrente</v>
      </c>
      <c r="AH3598" t="str">
        <f t="shared" si="74"/>
        <v/>
      </c>
    </row>
    <row r="3599" spans="1:34">
      <c r="A3599">
        <v>2026</v>
      </c>
      <c r="B3599">
        <v>4</v>
      </c>
      <c r="C3599" s="83">
        <v>2115269</v>
      </c>
      <c r="D3599" t="s">
        <v>3154</v>
      </c>
      <c r="E3599">
        <v>58681626396</v>
      </c>
      <c r="F3599">
        <v>311065</v>
      </c>
      <c r="G3599">
        <v>53857871454</v>
      </c>
      <c r="H3599" t="s">
        <v>35</v>
      </c>
      <c r="I3599" s="36">
        <v>4860.84</v>
      </c>
      <c r="J3599" s="36">
        <v>4860.84</v>
      </c>
      <c r="K3599" s="85">
        <v>0</v>
      </c>
      <c r="L3599" s="36">
        <v>405.07</v>
      </c>
      <c r="M3599" s="36">
        <v>0</v>
      </c>
      <c r="N3599" s="36">
        <v>0</v>
      </c>
      <c r="O3599" s="36">
        <v>405.0675</v>
      </c>
      <c r="P3599" t="s">
        <v>137</v>
      </c>
      <c r="Q3599" t="s">
        <v>111</v>
      </c>
      <c r="R3599" t="s">
        <v>111</v>
      </c>
      <c r="S3599" s="1">
        <v>46114</v>
      </c>
      <c r="T3599" s="1">
        <v>46114</v>
      </c>
      <c r="U3599" s="1">
        <v>46115</v>
      </c>
      <c r="V3599" s="1">
        <v>46480</v>
      </c>
      <c r="W3599" t="s">
        <v>38</v>
      </c>
      <c r="X3599">
        <v>12</v>
      </c>
      <c r="Y3599" t="s">
        <v>49</v>
      </c>
      <c r="Z3599" t="s">
        <v>81</v>
      </c>
      <c r="AA3599" t="s">
        <v>117</v>
      </c>
      <c r="AB3599">
        <v>1</v>
      </c>
      <c r="AC3599" t="s">
        <v>113</v>
      </c>
      <c r="AD3599" t="s">
        <v>149</v>
      </c>
      <c r="AE3599" t="s">
        <v>43</v>
      </c>
      <c r="AF3599" t="s">
        <v>96</v>
      </c>
      <c r="AG3599" t="str">
        <f t="shared" si="73"/>
        <v>À Vista</v>
      </c>
      <c r="AH3599" t="str">
        <f t="shared" si="74"/>
        <v/>
      </c>
    </row>
    <row r="3600" spans="1:34">
      <c r="A3600">
        <v>2026</v>
      </c>
      <c r="B3600">
        <v>4</v>
      </c>
      <c r="C3600" s="83">
        <v>2115939</v>
      </c>
      <c r="D3600" t="s">
        <v>3155</v>
      </c>
      <c r="E3600">
        <v>57498881933</v>
      </c>
      <c r="F3600">
        <v>312957</v>
      </c>
      <c r="G3600">
        <v>52752745366</v>
      </c>
      <c r="H3600" t="s">
        <v>35</v>
      </c>
      <c r="I3600" s="36">
        <v>5754</v>
      </c>
      <c r="J3600" s="36">
        <v>5754</v>
      </c>
      <c r="K3600" s="85">
        <v>0</v>
      </c>
      <c r="L3600" s="36">
        <v>479.5</v>
      </c>
      <c r="M3600" s="36">
        <v>0</v>
      </c>
      <c r="N3600" s="36">
        <v>26.5</v>
      </c>
      <c r="O3600" s="36">
        <v>453</v>
      </c>
      <c r="P3600" t="s">
        <v>165</v>
      </c>
      <c r="Q3600" t="s">
        <v>166</v>
      </c>
      <c r="R3600" t="s">
        <v>166</v>
      </c>
      <c r="S3600" s="1">
        <v>46126</v>
      </c>
      <c r="T3600" s="1">
        <v>46126</v>
      </c>
      <c r="U3600" s="1">
        <v>46126</v>
      </c>
      <c r="V3600" s="1">
        <v>46491</v>
      </c>
      <c r="W3600" t="s">
        <v>38</v>
      </c>
      <c r="X3600">
        <v>12</v>
      </c>
      <c r="Y3600" t="s">
        <v>49</v>
      </c>
      <c r="Z3600" t="s">
        <v>81</v>
      </c>
      <c r="AA3600" t="s">
        <v>112</v>
      </c>
      <c r="AB3600">
        <v>12</v>
      </c>
      <c r="AC3600" t="s">
        <v>166</v>
      </c>
      <c r="AD3600" t="s">
        <v>85</v>
      </c>
      <c r="AE3600" t="s">
        <v>46</v>
      </c>
      <c r="AF3600" t="s">
        <v>44</v>
      </c>
      <c r="AG3600" t="str">
        <f t="shared" si="73"/>
        <v>CC 12x</v>
      </c>
      <c r="AH3600" t="str">
        <f t="shared" si="74"/>
        <v/>
      </c>
    </row>
    <row r="3601" spans="1:34">
      <c r="A3601">
        <v>2026</v>
      </c>
      <c r="B3601">
        <v>4</v>
      </c>
      <c r="C3601" s="83">
        <v>211611820546</v>
      </c>
      <c r="D3601" t="s">
        <v>3156</v>
      </c>
      <c r="E3601">
        <v>58251844384</v>
      </c>
      <c r="F3601">
        <v>628886</v>
      </c>
      <c r="G3601">
        <v>54741316752</v>
      </c>
      <c r="H3601" t="s">
        <v>35</v>
      </c>
      <c r="I3601" s="36">
        <v>4278.84</v>
      </c>
      <c r="J3601" s="36">
        <v>4278.84</v>
      </c>
      <c r="K3601" s="85">
        <v>0</v>
      </c>
      <c r="L3601" s="36">
        <v>356.57</v>
      </c>
      <c r="M3601" s="36">
        <v>0</v>
      </c>
      <c r="N3601" s="36">
        <v>8.2750000000000004</v>
      </c>
      <c r="O3601" s="36">
        <v>348.3</v>
      </c>
      <c r="P3601" t="s">
        <v>133</v>
      </c>
      <c r="Q3601" t="s">
        <v>111</v>
      </c>
      <c r="R3601" t="s">
        <v>111</v>
      </c>
      <c r="S3601" s="1">
        <v>46139</v>
      </c>
      <c r="T3601" s="1">
        <v>46139</v>
      </c>
      <c r="U3601" s="1">
        <v>46134</v>
      </c>
      <c r="V3601" s="1">
        <v>46504</v>
      </c>
      <c r="W3601" t="s">
        <v>38</v>
      </c>
      <c r="X3601">
        <v>12</v>
      </c>
      <c r="Y3601" t="s">
        <v>49</v>
      </c>
      <c r="Z3601" t="s">
        <v>81</v>
      </c>
      <c r="AA3601" t="s">
        <v>122</v>
      </c>
      <c r="AB3601">
        <v>12</v>
      </c>
      <c r="AC3601" t="s">
        <v>113</v>
      </c>
      <c r="AD3601" t="s">
        <v>84</v>
      </c>
      <c r="AE3601" t="s">
        <v>43</v>
      </c>
      <c r="AF3601" t="s">
        <v>44</v>
      </c>
      <c r="AG3601" t="str">
        <f t="shared" si="73"/>
        <v>Recorrente</v>
      </c>
      <c r="AH3601" t="str">
        <f t="shared" si="74"/>
        <v/>
      </c>
    </row>
    <row r="3602" spans="1:34">
      <c r="A3602">
        <v>2026</v>
      </c>
      <c r="B3602">
        <v>4</v>
      </c>
      <c r="C3602" s="83">
        <v>2116119</v>
      </c>
      <c r="D3602" t="s">
        <v>3157</v>
      </c>
      <c r="E3602">
        <v>57713737048</v>
      </c>
      <c r="F3602">
        <v>628899</v>
      </c>
      <c r="G3602">
        <v>52978919431</v>
      </c>
      <c r="H3602" t="s">
        <v>35</v>
      </c>
      <c r="I3602" s="36">
        <v>5754</v>
      </c>
      <c r="J3602" s="36">
        <v>5754</v>
      </c>
      <c r="K3602" s="85">
        <v>0</v>
      </c>
      <c r="L3602" s="36">
        <v>479.5</v>
      </c>
      <c r="M3602" s="36">
        <v>0</v>
      </c>
      <c r="N3602" s="36">
        <v>94.45</v>
      </c>
      <c r="O3602" s="36">
        <v>385.05</v>
      </c>
      <c r="P3602" t="s">
        <v>165</v>
      </c>
      <c r="Q3602" t="s">
        <v>166</v>
      </c>
      <c r="R3602" t="s">
        <v>166</v>
      </c>
      <c r="S3602" s="1">
        <v>46134</v>
      </c>
      <c r="T3602" s="1">
        <v>46134</v>
      </c>
      <c r="U3602" s="1">
        <v>46134</v>
      </c>
      <c r="V3602" s="1">
        <v>46499</v>
      </c>
      <c r="W3602" t="s">
        <v>38</v>
      </c>
      <c r="X3602">
        <v>12</v>
      </c>
      <c r="Y3602" t="s">
        <v>49</v>
      </c>
      <c r="Z3602" t="s">
        <v>81</v>
      </c>
      <c r="AA3602" t="s">
        <v>112</v>
      </c>
      <c r="AB3602">
        <v>12</v>
      </c>
      <c r="AC3602" t="s">
        <v>166</v>
      </c>
      <c r="AD3602" t="s">
        <v>85</v>
      </c>
      <c r="AE3602" t="s">
        <v>46</v>
      </c>
      <c r="AF3602" t="s">
        <v>44</v>
      </c>
      <c r="AG3602" t="str">
        <f t="shared" si="73"/>
        <v>CC 12x</v>
      </c>
      <c r="AH3602" t="str">
        <f t="shared" si="74"/>
        <v/>
      </c>
    </row>
    <row r="3603" spans="1:34">
      <c r="A3603">
        <v>2026</v>
      </c>
      <c r="B3603">
        <v>4</v>
      </c>
      <c r="C3603" s="83">
        <v>2116522</v>
      </c>
      <c r="D3603" t="s">
        <v>3158</v>
      </c>
      <c r="E3603">
        <v>58946350172</v>
      </c>
      <c r="F3603">
        <v>636934</v>
      </c>
      <c r="G3603">
        <v>54086394518</v>
      </c>
      <c r="H3603" t="s">
        <v>35</v>
      </c>
      <c r="I3603" s="36">
        <v>3114</v>
      </c>
      <c r="J3603" s="36">
        <v>3114</v>
      </c>
      <c r="K3603" s="85">
        <v>0</v>
      </c>
      <c r="L3603" s="36">
        <v>259.5</v>
      </c>
      <c r="M3603" s="36">
        <v>259.5</v>
      </c>
      <c r="N3603" s="36">
        <v>0</v>
      </c>
      <c r="O3603" s="36">
        <v>0</v>
      </c>
      <c r="P3603" t="s">
        <v>511</v>
      </c>
      <c r="Q3603" t="s">
        <v>300</v>
      </c>
      <c r="R3603" t="s">
        <v>300</v>
      </c>
      <c r="S3603" s="1">
        <v>46119</v>
      </c>
      <c r="T3603" s="1">
        <v>46119</v>
      </c>
      <c r="U3603" s="1"/>
      <c r="V3603" s="1"/>
      <c r="W3603" t="s">
        <v>2733</v>
      </c>
      <c r="Y3603" t="s">
        <v>49</v>
      </c>
      <c r="AA3603" t="s">
        <v>122</v>
      </c>
      <c r="AB3603">
        <v>12</v>
      </c>
      <c r="AC3603" t="s">
        <v>301</v>
      </c>
      <c r="AD3603" t="s">
        <v>2734</v>
      </c>
      <c r="AE3603" t="s">
        <v>106</v>
      </c>
      <c r="AF3603" t="s">
        <v>59</v>
      </c>
      <c r="AG3603" t="str">
        <f t="shared" si="73"/>
        <v>Recorrente</v>
      </c>
      <c r="AH3603" t="str">
        <f t="shared" si="74"/>
        <v/>
      </c>
    </row>
    <row r="3604" spans="1:34">
      <c r="A3604">
        <v>2026</v>
      </c>
      <c r="B3604">
        <v>4</v>
      </c>
      <c r="C3604" s="83">
        <v>2116955</v>
      </c>
      <c r="D3604" t="s">
        <v>3159</v>
      </c>
      <c r="E3604">
        <v>59231901585</v>
      </c>
      <c r="F3604">
        <v>637187</v>
      </c>
      <c r="G3604">
        <v>54381596239</v>
      </c>
      <c r="H3604" t="s">
        <v>35</v>
      </c>
      <c r="I3604" s="36">
        <v>10928.88</v>
      </c>
      <c r="J3604" s="36">
        <v>5464.44</v>
      </c>
      <c r="K3604" s="85">
        <v>5464.44</v>
      </c>
      <c r="L3604" s="36">
        <v>455.37</v>
      </c>
      <c r="M3604" s="36">
        <v>455.37</v>
      </c>
      <c r="N3604" s="36">
        <v>0</v>
      </c>
      <c r="O3604" s="36">
        <v>0</v>
      </c>
      <c r="P3604" t="s">
        <v>2004</v>
      </c>
      <c r="Q3604" t="s">
        <v>300</v>
      </c>
      <c r="R3604" t="s">
        <v>300</v>
      </c>
      <c r="S3604" s="1">
        <v>46129</v>
      </c>
      <c r="T3604" s="1">
        <v>46129</v>
      </c>
      <c r="V3604" s="1">
        <v>46860</v>
      </c>
      <c r="W3604" t="s">
        <v>56</v>
      </c>
      <c r="X3604">
        <v>24</v>
      </c>
      <c r="Y3604" t="s">
        <v>49</v>
      </c>
      <c r="AA3604" t="s">
        <v>122</v>
      </c>
      <c r="AB3604">
        <v>24</v>
      </c>
      <c r="AC3604" t="s">
        <v>301</v>
      </c>
      <c r="AD3604" t="s">
        <v>149</v>
      </c>
      <c r="AE3604" t="s">
        <v>43</v>
      </c>
      <c r="AF3604" t="s">
        <v>96</v>
      </c>
      <c r="AG3604" t="str">
        <f t="shared" si="73"/>
        <v>Recorrente</v>
      </c>
      <c r="AH3604" t="str">
        <f t="shared" si="74"/>
        <v/>
      </c>
    </row>
    <row r="3605" spans="1:34">
      <c r="A3605">
        <v>2026</v>
      </c>
      <c r="B3605">
        <v>4</v>
      </c>
      <c r="C3605" s="83">
        <v>211763448885</v>
      </c>
      <c r="D3605" t="s">
        <v>3160</v>
      </c>
      <c r="E3605">
        <v>59080831805</v>
      </c>
      <c r="F3605">
        <v>637034</v>
      </c>
      <c r="G3605">
        <v>54150175499</v>
      </c>
      <c r="H3605" t="s">
        <v>35</v>
      </c>
      <c r="I3605" s="36">
        <v>11508</v>
      </c>
      <c r="J3605" s="36">
        <v>1401.6</v>
      </c>
      <c r="K3605" s="85">
        <v>10106.4</v>
      </c>
      <c r="L3605" s="36">
        <v>116.8</v>
      </c>
      <c r="M3605" s="36">
        <v>0</v>
      </c>
      <c r="N3605" s="36">
        <v>116.8</v>
      </c>
      <c r="O3605" s="36">
        <v>0</v>
      </c>
      <c r="P3605" t="s">
        <v>520</v>
      </c>
      <c r="Q3605" t="s">
        <v>191</v>
      </c>
      <c r="R3605" t="s">
        <v>191</v>
      </c>
      <c r="S3605" s="1">
        <v>46122</v>
      </c>
      <c r="T3605" s="1">
        <v>46122</v>
      </c>
      <c r="U3605" s="1"/>
      <c r="V3605" s="1">
        <v>46853</v>
      </c>
      <c r="W3605" t="s">
        <v>56</v>
      </c>
      <c r="Y3605" t="s">
        <v>49</v>
      </c>
      <c r="AA3605" t="s">
        <v>122</v>
      </c>
      <c r="AB3605">
        <v>24</v>
      </c>
      <c r="AC3605" t="s">
        <v>192</v>
      </c>
      <c r="AD3605" t="s">
        <v>85</v>
      </c>
      <c r="AE3605" t="s">
        <v>46</v>
      </c>
      <c r="AF3605" t="s">
        <v>44</v>
      </c>
      <c r="AG3605" t="str">
        <f t="shared" si="73"/>
        <v>Recorrente</v>
      </c>
      <c r="AH3605" t="str">
        <f t="shared" si="74"/>
        <v/>
      </c>
    </row>
    <row r="3606" spans="1:34">
      <c r="A3606">
        <v>2026</v>
      </c>
      <c r="B3606">
        <v>4</v>
      </c>
      <c r="C3606" s="83">
        <v>2117776</v>
      </c>
      <c r="D3606" t="s">
        <v>3161</v>
      </c>
      <c r="E3606">
        <v>59185277106</v>
      </c>
      <c r="F3606">
        <v>637456</v>
      </c>
      <c r="G3606">
        <v>54372640568</v>
      </c>
      <c r="H3606" t="s">
        <v>35</v>
      </c>
      <c r="I3606" s="36">
        <v>1035.96</v>
      </c>
      <c r="J3606" s="36">
        <v>1035.96</v>
      </c>
      <c r="K3606" s="85">
        <v>0</v>
      </c>
      <c r="L3606" s="36">
        <v>86.33</v>
      </c>
      <c r="M3606" s="36">
        <v>86.33</v>
      </c>
      <c r="N3606" s="36">
        <v>0</v>
      </c>
      <c r="O3606" s="36">
        <v>0</v>
      </c>
      <c r="P3606" t="s">
        <v>137</v>
      </c>
      <c r="Q3606" t="s">
        <v>111</v>
      </c>
      <c r="R3606" t="s">
        <v>111</v>
      </c>
      <c r="S3606" s="1">
        <v>46141</v>
      </c>
      <c r="T3606" s="1">
        <v>46141</v>
      </c>
      <c r="U3606" s="1"/>
      <c r="V3606" s="1">
        <v>46506</v>
      </c>
      <c r="W3606" t="s">
        <v>38</v>
      </c>
      <c r="X3606">
        <v>12</v>
      </c>
      <c r="Y3606" t="s">
        <v>49</v>
      </c>
      <c r="AA3606" t="s">
        <v>112</v>
      </c>
      <c r="AB3606">
        <v>1</v>
      </c>
      <c r="AC3606" t="s">
        <v>113</v>
      </c>
      <c r="AD3606" t="s">
        <v>85</v>
      </c>
      <c r="AE3606" t="s">
        <v>46</v>
      </c>
      <c r="AF3606" t="s">
        <v>44</v>
      </c>
      <c r="AG3606" t="str">
        <f t="shared" si="73"/>
        <v>À Vista</v>
      </c>
      <c r="AH3606" t="str">
        <f t="shared" si="74"/>
        <v/>
      </c>
    </row>
    <row r="3607" spans="1:34">
      <c r="A3607">
        <v>2026</v>
      </c>
      <c r="B3607">
        <v>4</v>
      </c>
      <c r="C3607" s="83">
        <v>2118509</v>
      </c>
      <c r="D3607" t="s">
        <v>3162</v>
      </c>
      <c r="E3607">
        <v>59148590494</v>
      </c>
      <c r="F3607">
        <v>532789</v>
      </c>
      <c r="G3607">
        <v>54282106267</v>
      </c>
      <c r="H3607" t="s">
        <v>35</v>
      </c>
      <c r="I3607" s="36">
        <v>9634.44</v>
      </c>
      <c r="J3607" s="36">
        <v>9634.44</v>
      </c>
      <c r="K3607" s="85">
        <v>0</v>
      </c>
      <c r="L3607" s="36">
        <v>802.87</v>
      </c>
      <c r="M3607" s="36">
        <v>0</v>
      </c>
      <c r="N3607" s="36">
        <v>95.37</v>
      </c>
      <c r="O3607" s="36">
        <v>707.5</v>
      </c>
      <c r="P3607" t="s">
        <v>121</v>
      </c>
      <c r="Q3607" t="s">
        <v>111</v>
      </c>
      <c r="R3607" t="s">
        <v>111</v>
      </c>
      <c r="S3607" s="1">
        <v>46126</v>
      </c>
      <c r="T3607" s="1">
        <v>46126</v>
      </c>
      <c r="U3607" s="1">
        <v>46125</v>
      </c>
      <c r="V3607" s="1">
        <v>46491</v>
      </c>
      <c r="W3607" t="s">
        <v>38</v>
      </c>
      <c r="X3607">
        <v>12</v>
      </c>
      <c r="Y3607" t="s">
        <v>49</v>
      </c>
      <c r="Z3607" t="s">
        <v>81</v>
      </c>
      <c r="AA3607" t="s">
        <v>112</v>
      </c>
      <c r="AB3607">
        <v>12</v>
      </c>
      <c r="AC3607" t="s">
        <v>113</v>
      </c>
      <c r="AD3607" t="s">
        <v>146</v>
      </c>
      <c r="AE3607" t="s">
        <v>135</v>
      </c>
      <c r="AF3607" t="s">
        <v>96</v>
      </c>
      <c r="AG3607" t="str">
        <f t="shared" si="73"/>
        <v>CC 12x</v>
      </c>
      <c r="AH3607" t="str">
        <f t="shared" si="74"/>
        <v/>
      </c>
    </row>
    <row r="3608" spans="1:34">
      <c r="A3608">
        <v>2026</v>
      </c>
      <c r="B3608">
        <v>4</v>
      </c>
      <c r="C3608" s="83">
        <v>2119153</v>
      </c>
      <c r="D3608" t="s">
        <v>535</v>
      </c>
      <c r="E3608">
        <v>59762185853</v>
      </c>
      <c r="F3608">
        <v>635496</v>
      </c>
      <c r="G3608">
        <v>54876234874</v>
      </c>
      <c r="H3608" t="s">
        <v>35</v>
      </c>
      <c r="I3608" s="36">
        <v>1792.08</v>
      </c>
      <c r="J3608" s="36">
        <v>2587.3200000000002</v>
      </c>
      <c r="K3608" s="85">
        <v>0</v>
      </c>
      <c r="L3608" s="36">
        <v>215.61</v>
      </c>
      <c r="M3608" s="36">
        <v>0</v>
      </c>
      <c r="N3608" s="36">
        <v>215.61</v>
      </c>
      <c r="O3608" s="36">
        <v>0</v>
      </c>
      <c r="P3608" t="s">
        <v>804</v>
      </c>
      <c r="Q3608" t="s">
        <v>191</v>
      </c>
      <c r="R3608" t="s">
        <v>191</v>
      </c>
      <c r="S3608" s="1">
        <v>46141</v>
      </c>
      <c r="T3608" s="1">
        <v>46141</v>
      </c>
      <c r="U3608" s="1">
        <v>46393</v>
      </c>
      <c r="V3608" s="1">
        <v>46393</v>
      </c>
      <c r="W3608" t="s">
        <v>38</v>
      </c>
      <c r="X3608">
        <v>9</v>
      </c>
      <c r="Y3608" t="s">
        <v>49</v>
      </c>
      <c r="Z3608" t="s">
        <v>324</v>
      </c>
      <c r="AA3608" t="s">
        <v>122</v>
      </c>
      <c r="AB3608">
        <v>8</v>
      </c>
      <c r="AC3608" t="s">
        <v>192</v>
      </c>
      <c r="AD3608" t="s">
        <v>140</v>
      </c>
      <c r="AE3608" t="s">
        <v>46</v>
      </c>
      <c r="AF3608" t="s">
        <v>119</v>
      </c>
      <c r="AG3608" t="str">
        <f t="shared" si="73"/>
        <v>Recorrente</v>
      </c>
      <c r="AH3608" t="str">
        <f t="shared" si="74"/>
        <v/>
      </c>
    </row>
    <row r="3609" spans="1:34">
      <c r="A3609">
        <v>2026</v>
      </c>
      <c r="B3609">
        <v>4</v>
      </c>
      <c r="C3609" s="83">
        <v>2119164</v>
      </c>
      <c r="D3609" t="s">
        <v>3163</v>
      </c>
      <c r="E3609">
        <v>59218206723</v>
      </c>
      <c r="F3609">
        <v>614606</v>
      </c>
      <c r="G3609">
        <v>54881214374</v>
      </c>
      <c r="H3609" t="s">
        <v>35</v>
      </c>
      <c r="I3609" s="36">
        <v>3840</v>
      </c>
      <c r="J3609" s="36">
        <v>3840</v>
      </c>
      <c r="K3609" s="85">
        <v>0</v>
      </c>
      <c r="L3609" s="36">
        <v>320</v>
      </c>
      <c r="M3609" s="36">
        <v>0</v>
      </c>
      <c r="N3609" s="36">
        <v>10.398795</v>
      </c>
      <c r="O3609" s="36">
        <v>309.60000000000002</v>
      </c>
      <c r="P3609" t="s">
        <v>110</v>
      </c>
      <c r="Q3609" t="s">
        <v>111</v>
      </c>
      <c r="R3609" t="s">
        <v>111</v>
      </c>
      <c r="S3609" s="1">
        <v>46142</v>
      </c>
      <c r="T3609" s="1">
        <v>46142</v>
      </c>
      <c r="U3609" s="1">
        <v>46142</v>
      </c>
      <c r="V3609" s="1">
        <v>46507</v>
      </c>
      <c r="W3609" t="s">
        <v>38</v>
      </c>
      <c r="X3609">
        <v>12</v>
      </c>
      <c r="Y3609" t="s">
        <v>49</v>
      </c>
      <c r="Z3609" t="s">
        <v>81</v>
      </c>
      <c r="AA3609" t="s">
        <v>112</v>
      </c>
      <c r="AB3609">
        <v>12</v>
      </c>
      <c r="AC3609" t="s">
        <v>113</v>
      </c>
      <c r="AD3609" t="s">
        <v>84</v>
      </c>
      <c r="AE3609" t="s">
        <v>43</v>
      </c>
      <c r="AF3609" t="s">
        <v>44</v>
      </c>
      <c r="AG3609" t="str">
        <f t="shared" si="73"/>
        <v>CC 12x</v>
      </c>
      <c r="AH3609" t="str">
        <f t="shared" si="74"/>
        <v/>
      </c>
    </row>
    <row r="3610" spans="1:34">
      <c r="A3610">
        <v>2026</v>
      </c>
      <c r="B3610">
        <v>4</v>
      </c>
      <c r="C3610" s="83">
        <v>2119728</v>
      </c>
      <c r="D3610" t="s">
        <v>3164</v>
      </c>
      <c r="E3610">
        <v>58136204914</v>
      </c>
      <c r="F3610">
        <v>636933</v>
      </c>
      <c r="G3610">
        <v>54041870089</v>
      </c>
      <c r="H3610" t="s">
        <v>35</v>
      </c>
      <c r="I3610" s="36">
        <v>5034</v>
      </c>
      <c r="J3610" s="36">
        <v>5034</v>
      </c>
      <c r="K3610" s="85">
        <v>0</v>
      </c>
      <c r="L3610" s="36">
        <v>419.5</v>
      </c>
      <c r="M3610" s="36">
        <v>0</v>
      </c>
      <c r="N3610" s="36">
        <v>419.5</v>
      </c>
      <c r="O3610" s="36">
        <v>0</v>
      </c>
      <c r="P3610" t="s">
        <v>520</v>
      </c>
      <c r="Q3610" t="s">
        <v>191</v>
      </c>
      <c r="R3610" t="s">
        <v>191</v>
      </c>
      <c r="S3610" s="1">
        <v>46119</v>
      </c>
      <c r="T3610" s="1">
        <v>46119</v>
      </c>
      <c r="V3610" s="1">
        <v>46484</v>
      </c>
      <c r="W3610" t="s">
        <v>38</v>
      </c>
      <c r="X3610">
        <v>12</v>
      </c>
      <c r="Y3610" t="s">
        <v>49</v>
      </c>
      <c r="AA3610" t="s">
        <v>122</v>
      </c>
      <c r="AB3610">
        <v>12</v>
      </c>
      <c r="AC3610" t="s">
        <v>192</v>
      </c>
      <c r="AD3610" t="s">
        <v>84</v>
      </c>
      <c r="AE3610" t="s">
        <v>43</v>
      </c>
      <c r="AF3610" t="s">
        <v>44</v>
      </c>
      <c r="AG3610" t="str">
        <f t="shared" si="73"/>
        <v>Recorrente</v>
      </c>
      <c r="AH3610" t="str">
        <f t="shared" si="74"/>
        <v/>
      </c>
    </row>
    <row r="3611" spans="1:34">
      <c r="A3611">
        <v>2026</v>
      </c>
      <c r="B3611">
        <v>4</v>
      </c>
      <c r="C3611" s="83">
        <v>2119728</v>
      </c>
      <c r="D3611" t="s">
        <v>3164</v>
      </c>
      <c r="E3611">
        <v>58918100606</v>
      </c>
      <c r="F3611">
        <v>537971</v>
      </c>
      <c r="G3611">
        <v>54079682878</v>
      </c>
      <c r="H3611" t="s">
        <v>35</v>
      </c>
      <c r="I3611" s="36">
        <v>260.39999999999998</v>
      </c>
      <c r="J3611" s="36">
        <v>1321.08</v>
      </c>
      <c r="K3611" s="85">
        <v>0</v>
      </c>
      <c r="L3611" s="36">
        <v>110.09</v>
      </c>
      <c r="M3611" s="36">
        <v>0</v>
      </c>
      <c r="N3611" s="36">
        <v>110.09</v>
      </c>
      <c r="O3611" s="36">
        <v>0</v>
      </c>
      <c r="P3611" t="s">
        <v>520</v>
      </c>
      <c r="Q3611" t="s">
        <v>191</v>
      </c>
      <c r="R3611" t="s">
        <v>191</v>
      </c>
      <c r="S3611" s="1">
        <v>46120</v>
      </c>
      <c r="T3611" s="1">
        <v>46120</v>
      </c>
      <c r="U3611" s="1">
        <v>46192</v>
      </c>
      <c r="V3611" s="1">
        <v>46192</v>
      </c>
      <c r="W3611" t="s">
        <v>38</v>
      </c>
      <c r="X3611">
        <v>2</v>
      </c>
      <c r="Y3611" t="s">
        <v>49</v>
      </c>
      <c r="Z3611" t="s">
        <v>324</v>
      </c>
      <c r="AA3611" t="s">
        <v>122</v>
      </c>
      <c r="AB3611">
        <v>2</v>
      </c>
      <c r="AC3611" t="s">
        <v>192</v>
      </c>
      <c r="AD3611" t="s">
        <v>149</v>
      </c>
      <c r="AE3611" t="s">
        <v>43</v>
      </c>
      <c r="AF3611" t="s">
        <v>96</v>
      </c>
      <c r="AG3611" t="str">
        <f t="shared" si="73"/>
        <v>Recorrente</v>
      </c>
      <c r="AH3611" t="str">
        <f t="shared" si="74"/>
        <v/>
      </c>
    </row>
    <row r="3612" spans="1:34">
      <c r="A3612">
        <v>2026</v>
      </c>
      <c r="B3612">
        <v>4</v>
      </c>
      <c r="C3612" s="83">
        <v>2120425</v>
      </c>
      <c r="D3612" t="s">
        <v>3165</v>
      </c>
      <c r="E3612">
        <v>59702377267</v>
      </c>
      <c r="F3612">
        <v>312927</v>
      </c>
      <c r="G3612">
        <v>54804049258</v>
      </c>
      <c r="H3612" t="s">
        <v>35</v>
      </c>
      <c r="I3612" s="36">
        <v>4829.04</v>
      </c>
      <c r="J3612" s="36">
        <v>4829.04</v>
      </c>
      <c r="K3612" s="85">
        <v>0</v>
      </c>
      <c r="L3612" s="36">
        <v>402.42</v>
      </c>
      <c r="M3612" s="36">
        <v>0</v>
      </c>
      <c r="N3612" s="36">
        <v>34.840000000000003</v>
      </c>
      <c r="O3612" s="36">
        <v>367.58</v>
      </c>
      <c r="P3612" t="s">
        <v>116</v>
      </c>
      <c r="Q3612" t="s">
        <v>111</v>
      </c>
      <c r="R3612" t="s">
        <v>111</v>
      </c>
      <c r="S3612" s="1">
        <v>46142</v>
      </c>
      <c r="T3612" s="1">
        <v>46142</v>
      </c>
      <c r="U3612" s="1">
        <v>46138</v>
      </c>
      <c r="V3612" s="1">
        <v>46507</v>
      </c>
      <c r="W3612" t="s">
        <v>38</v>
      </c>
      <c r="X3612">
        <v>12</v>
      </c>
      <c r="Y3612" t="s">
        <v>49</v>
      </c>
      <c r="Z3612" t="s">
        <v>81</v>
      </c>
      <c r="AA3612" t="s">
        <v>122</v>
      </c>
      <c r="AB3612">
        <v>12</v>
      </c>
      <c r="AC3612" t="s">
        <v>113</v>
      </c>
      <c r="AD3612" t="s">
        <v>149</v>
      </c>
      <c r="AE3612" t="s">
        <v>43</v>
      </c>
      <c r="AF3612" t="s">
        <v>96</v>
      </c>
      <c r="AG3612" t="str">
        <f t="shared" si="73"/>
        <v>Recorrente</v>
      </c>
      <c r="AH3612" t="str">
        <f t="shared" si="74"/>
        <v/>
      </c>
    </row>
    <row r="3613" spans="1:34">
      <c r="A3613">
        <v>2026</v>
      </c>
      <c r="B3613">
        <v>4</v>
      </c>
      <c r="C3613" s="83">
        <v>2120516</v>
      </c>
      <c r="D3613" t="s">
        <v>3166</v>
      </c>
      <c r="E3613">
        <v>58844940453</v>
      </c>
      <c r="F3613">
        <v>636886</v>
      </c>
      <c r="G3613">
        <v>53995650966</v>
      </c>
      <c r="H3613" t="s">
        <v>35</v>
      </c>
      <c r="I3613" s="36">
        <v>2874</v>
      </c>
      <c r="J3613" s="36">
        <v>2874</v>
      </c>
      <c r="K3613" s="85">
        <v>0</v>
      </c>
      <c r="L3613" s="36">
        <v>239.5</v>
      </c>
      <c r="M3613" s="36">
        <v>239.5</v>
      </c>
      <c r="N3613" s="36">
        <v>0</v>
      </c>
      <c r="O3613" s="36">
        <v>0</v>
      </c>
      <c r="P3613" t="s">
        <v>497</v>
      </c>
      <c r="Q3613" t="s">
        <v>498</v>
      </c>
      <c r="R3613" t="s">
        <v>498</v>
      </c>
      <c r="S3613" s="1">
        <v>46116</v>
      </c>
      <c r="T3613" s="1">
        <v>46116</v>
      </c>
      <c r="U3613" s="1"/>
      <c r="V3613" s="1">
        <v>46481</v>
      </c>
      <c r="W3613" t="s">
        <v>38</v>
      </c>
      <c r="X3613">
        <v>12</v>
      </c>
      <c r="Y3613" t="s">
        <v>49</v>
      </c>
      <c r="AA3613" t="s">
        <v>112</v>
      </c>
      <c r="AB3613">
        <v>12</v>
      </c>
      <c r="AC3613" t="s">
        <v>499</v>
      </c>
      <c r="AD3613" t="s">
        <v>140</v>
      </c>
      <c r="AE3613" t="s">
        <v>46</v>
      </c>
      <c r="AF3613" t="s">
        <v>119</v>
      </c>
      <c r="AG3613" t="str">
        <f t="shared" si="73"/>
        <v>CC 12x</v>
      </c>
      <c r="AH3613" t="str">
        <f t="shared" si="74"/>
        <v/>
      </c>
    </row>
    <row r="3614" spans="1:34">
      <c r="A3614">
        <v>2026</v>
      </c>
      <c r="B3614">
        <v>4</v>
      </c>
      <c r="C3614" s="83">
        <v>212115587213</v>
      </c>
      <c r="D3614" t="s">
        <v>3167</v>
      </c>
      <c r="E3614">
        <v>59245377160</v>
      </c>
      <c r="F3614">
        <v>637128</v>
      </c>
      <c r="G3614">
        <v>54295278095</v>
      </c>
      <c r="H3614" t="s">
        <v>35</v>
      </c>
      <c r="I3614" s="36">
        <v>2442.84</v>
      </c>
      <c r="J3614" s="36">
        <v>2442.9</v>
      </c>
      <c r="K3614" s="85">
        <v>0</v>
      </c>
      <c r="L3614" s="36">
        <v>203.57499999999999</v>
      </c>
      <c r="M3614" s="36">
        <v>203.57499999999999</v>
      </c>
      <c r="N3614" s="36">
        <v>0</v>
      </c>
      <c r="O3614" s="36">
        <v>0</v>
      </c>
      <c r="P3614" t="s">
        <v>506</v>
      </c>
      <c r="Q3614" t="s">
        <v>300</v>
      </c>
      <c r="R3614" t="s">
        <v>300</v>
      </c>
      <c r="S3614" s="1">
        <v>46128</v>
      </c>
      <c r="T3614" s="1">
        <v>46128</v>
      </c>
      <c r="U3614" s="1"/>
      <c r="V3614" s="1">
        <v>46493</v>
      </c>
      <c r="W3614" t="s">
        <v>38</v>
      </c>
      <c r="X3614">
        <v>12</v>
      </c>
      <c r="Y3614" t="s">
        <v>49</v>
      </c>
      <c r="AA3614" t="s">
        <v>117</v>
      </c>
      <c r="AB3614">
        <v>1</v>
      </c>
      <c r="AC3614" t="s">
        <v>301</v>
      </c>
      <c r="AD3614" t="s">
        <v>140</v>
      </c>
      <c r="AE3614" t="s">
        <v>46</v>
      </c>
      <c r="AF3614" t="s">
        <v>119</v>
      </c>
      <c r="AG3614" t="str">
        <f t="shared" si="73"/>
        <v>À Vista</v>
      </c>
      <c r="AH3614" t="str">
        <f t="shared" si="74"/>
        <v/>
      </c>
    </row>
    <row r="3615" spans="1:34">
      <c r="A3615">
        <v>2026</v>
      </c>
      <c r="B3615">
        <v>4</v>
      </c>
      <c r="C3615" s="83">
        <v>2122880</v>
      </c>
      <c r="D3615" t="s">
        <v>3168</v>
      </c>
      <c r="E3615">
        <v>56468548773</v>
      </c>
      <c r="F3615">
        <v>628265</v>
      </c>
      <c r="G3615">
        <v>51836470941</v>
      </c>
      <c r="H3615" t="s">
        <v>35</v>
      </c>
      <c r="I3615" s="36">
        <v>4962.6000000000004</v>
      </c>
      <c r="J3615" s="36">
        <v>4962.6000000000004</v>
      </c>
      <c r="K3615" s="85">
        <v>0</v>
      </c>
      <c r="L3615" s="36">
        <v>413.55</v>
      </c>
      <c r="M3615" s="36">
        <v>0</v>
      </c>
      <c r="N3615" s="36">
        <v>48.9</v>
      </c>
      <c r="O3615" s="36">
        <v>364.65</v>
      </c>
      <c r="P3615" t="s">
        <v>165</v>
      </c>
      <c r="Q3615" t="s">
        <v>166</v>
      </c>
      <c r="R3615" t="s">
        <v>166</v>
      </c>
      <c r="S3615" s="1">
        <v>46116</v>
      </c>
      <c r="T3615" s="1">
        <v>46116</v>
      </c>
      <c r="U3615" s="1">
        <v>46116</v>
      </c>
      <c r="V3615" s="1">
        <v>46481</v>
      </c>
      <c r="W3615" t="s">
        <v>38</v>
      </c>
      <c r="X3615">
        <v>12</v>
      </c>
      <c r="Y3615" t="s">
        <v>49</v>
      </c>
      <c r="Z3615" t="s">
        <v>81</v>
      </c>
      <c r="AA3615" t="s">
        <v>112</v>
      </c>
      <c r="AB3615">
        <v>12</v>
      </c>
      <c r="AC3615" t="s">
        <v>166</v>
      </c>
      <c r="AD3615" t="s">
        <v>138</v>
      </c>
      <c r="AE3615" t="s">
        <v>135</v>
      </c>
      <c r="AF3615" t="s">
        <v>119</v>
      </c>
      <c r="AG3615" t="str">
        <f t="shared" si="73"/>
        <v>CC 12x</v>
      </c>
      <c r="AH3615" t="str">
        <f t="shared" si="74"/>
        <v/>
      </c>
    </row>
    <row r="3616" spans="1:34">
      <c r="A3616">
        <v>2026</v>
      </c>
      <c r="B3616">
        <v>4</v>
      </c>
      <c r="C3616" s="83">
        <v>212361891708</v>
      </c>
      <c r="D3616" t="s">
        <v>3169</v>
      </c>
      <c r="E3616">
        <v>58867942670</v>
      </c>
      <c r="F3616">
        <v>636932</v>
      </c>
      <c r="G3616">
        <v>54041678165</v>
      </c>
      <c r="H3616" t="s">
        <v>35</v>
      </c>
      <c r="I3616" s="36">
        <v>3114</v>
      </c>
      <c r="J3616" s="36">
        <v>3114</v>
      </c>
      <c r="K3616" s="85">
        <v>0</v>
      </c>
      <c r="L3616" s="36">
        <v>259.5</v>
      </c>
      <c r="M3616" s="36">
        <v>259.5</v>
      </c>
      <c r="N3616" s="36">
        <v>0</v>
      </c>
      <c r="O3616" s="36">
        <v>0</v>
      </c>
      <c r="P3616" t="s">
        <v>2004</v>
      </c>
      <c r="Q3616" t="s">
        <v>300</v>
      </c>
      <c r="R3616" t="s">
        <v>300</v>
      </c>
      <c r="S3616" s="1">
        <v>46119</v>
      </c>
      <c r="T3616" s="1">
        <v>46119</v>
      </c>
      <c r="V3616" s="1"/>
      <c r="W3616" t="s">
        <v>2733</v>
      </c>
      <c r="Y3616" t="s">
        <v>49</v>
      </c>
      <c r="AA3616" t="s">
        <v>122</v>
      </c>
      <c r="AB3616">
        <v>12</v>
      </c>
      <c r="AC3616" t="s">
        <v>301</v>
      </c>
      <c r="AD3616" t="s">
        <v>2734</v>
      </c>
      <c r="AE3616" t="s">
        <v>106</v>
      </c>
      <c r="AF3616" t="s">
        <v>59</v>
      </c>
      <c r="AG3616" t="str">
        <f t="shared" si="73"/>
        <v>Recorrente</v>
      </c>
      <c r="AH3616" t="str">
        <f t="shared" si="74"/>
        <v/>
      </c>
    </row>
    <row r="3617" spans="1:34">
      <c r="A3617">
        <v>2026</v>
      </c>
      <c r="B3617">
        <v>4</v>
      </c>
      <c r="C3617" s="83">
        <v>2123927</v>
      </c>
      <c r="D3617" t="s">
        <v>3170</v>
      </c>
      <c r="E3617">
        <v>59087083375</v>
      </c>
      <c r="F3617">
        <v>628504</v>
      </c>
      <c r="G3617">
        <v>54268555362</v>
      </c>
      <c r="H3617" t="s">
        <v>35</v>
      </c>
      <c r="I3617" s="36">
        <v>361</v>
      </c>
      <c r="J3617" s="36">
        <v>4332</v>
      </c>
      <c r="K3617" s="85">
        <v>0</v>
      </c>
      <c r="L3617" s="36">
        <v>361</v>
      </c>
      <c r="M3617" s="36">
        <v>361</v>
      </c>
      <c r="N3617" s="36">
        <v>0</v>
      </c>
      <c r="O3617" s="36">
        <v>0</v>
      </c>
      <c r="P3617" t="s">
        <v>162</v>
      </c>
      <c r="Q3617" t="s">
        <v>111</v>
      </c>
      <c r="R3617" t="s">
        <v>111</v>
      </c>
      <c r="S3617" s="1">
        <v>46125</v>
      </c>
      <c r="T3617" s="1">
        <v>46125</v>
      </c>
      <c r="U3617" s="1">
        <v>46487</v>
      </c>
      <c r="V3617" s="1">
        <v>46155</v>
      </c>
      <c r="W3617" t="s">
        <v>679</v>
      </c>
      <c r="X3617">
        <v>1</v>
      </c>
      <c r="Y3617" t="s">
        <v>49</v>
      </c>
      <c r="Z3617" t="s">
        <v>3020</v>
      </c>
      <c r="AA3617" t="s">
        <v>112</v>
      </c>
      <c r="AB3617">
        <v>1</v>
      </c>
      <c r="AC3617" t="s">
        <v>113</v>
      </c>
      <c r="AD3617" t="s">
        <v>140</v>
      </c>
      <c r="AE3617" t="s">
        <v>46</v>
      </c>
      <c r="AF3617" t="s">
        <v>119</v>
      </c>
      <c r="AG3617" t="str">
        <f t="shared" si="73"/>
        <v>À Vista</v>
      </c>
      <c r="AH3617" t="str">
        <f t="shared" si="74"/>
        <v/>
      </c>
    </row>
    <row r="3618" spans="1:34">
      <c r="A3618">
        <v>2026</v>
      </c>
      <c r="B3618">
        <v>4</v>
      </c>
      <c r="C3618" s="83">
        <v>2124797</v>
      </c>
      <c r="D3618" t="s">
        <v>3171</v>
      </c>
      <c r="E3618">
        <v>57498411618</v>
      </c>
      <c r="F3618">
        <v>532701</v>
      </c>
      <c r="G3618">
        <v>52763637672</v>
      </c>
      <c r="H3618" t="s">
        <v>35</v>
      </c>
      <c r="I3618" s="36">
        <v>7014.6</v>
      </c>
      <c r="J3618" s="36">
        <v>7014.6</v>
      </c>
      <c r="K3618" s="85">
        <v>0</v>
      </c>
      <c r="L3618" s="36">
        <v>584.54999999999995</v>
      </c>
      <c r="M3618" s="36">
        <v>0</v>
      </c>
      <c r="N3618" s="36">
        <v>101.35</v>
      </c>
      <c r="O3618" s="36">
        <v>483.2</v>
      </c>
      <c r="P3618" t="s">
        <v>165</v>
      </c>
      <c r="Q3618" t="s">
        <v>166</v>
      </c>
      <c r="R3618" t="s">
        <v>166</v>
      </c>
      <c r="S3618" s="1">
        <v>46124</v>
      </c>
      <c r="T3618" s="1">
        <v>46124</v>
      </c>
      <c r="U3618" s="1">
        <v>46124</v>
      </c>
      <c r="V3618" s="1">
        <v>46489</v>
      </c>
      <c r="W3618" t="s">
        <v>38</v>
      </c>
      <c r="X3618">
        <v>12</v>
      </c>
      <c r="Y3618" t="s">
        <v>49</v>
      </c>
      <c r="Z3618" t="s">
        <v>81</v>
      </c>
      <c r="AA3618" t="s">
        <v>112</v>
      </c>
      <c r="AB3618">
        <v>12</v>
      </c>
      <c r="AC3618" t="s">
        <v>166</v>
      </c>
      <c r="AD3618" t="s">
        <v>125</v>
      </c>
      <c r="AE3618" t="s">
        <v>43</v>
      </c>
      <c r="AF3618" t="s">
        <v>47</v>
      </c>
      <c r="AG3618" t="str">
        <f t="shared" si="73"/>
        <v>CC 12x</v>
      </c>
      <c r="AH3618" t="str">
        <f t="shared" si="74"/>
        <v/>
      </c>
    </row>
    <row r="3619" spans="1:34">
      <c r="A3619">
        <v>2026</v>
      </c>
      <c r="B3619">
        <v>4</v>
      </c>
      <c r="C3619" s="83">
        <v>212486108200</v>
      </c>
      <c r="D3619" t="s">
        <v>3172</v>
      </c>
      <c r="E3619">
        <v>58652923311</v>
      </c>
      <c r="F3619">
        <v>636836</v>
      </c>
      <c r="G3619">
        <v>53812310427</v>
      </c>
      <c r="H3619" t="s">
        <v>35</v>
      </c>
      <c r="I3619" s="36">
        <v>2586.6</v>
      </c>
      <c r="J3619" s="36">
        <v>2586.6</v>
      </c>
      <c r="K3619" s="85">
        <v>0</v>
      </c>
      <c r="L3619" s="36">
        <v>215.55</v>
      </c>
      <c r="M3619" s="36">
        <v>215.55</v>
      </c>
      <c r="N3619" s="36">
        <v>0</v>
      </c>
      <c r="O3619" s="36">
        <v>0</v>
      </c>
      <c r="P3619" t="s">
        <v>506</v>
      </c>
      <c r="Q3619" t="s">
        <v>300</v>
      </c>
      <c r="R3619" t="s">
        <v>300</v>
      </c>
      <c r="S3619" s="1">
        <v>46113</v>
      </c>
      <c r="T3619" s="1">
        <v>46113</v>
      </c>
      <c r="V3619" s="1">
        <v>46478</v>
      </c>
      <c r="W3619" t="s">
        <v>38</v>
      </c>
      <c r="X3619">
        <v>12</v>
      </c>
      <c r="Y3619" t="s">
        <v>49</v>
      </c>
      <c r="AA3619" t="s">
        <v>112</v>
      </c>
      <c r="AB3619">
        <v>12</v>
      </c>
      <c r="AC3619" t="s">
        <v>301</v>
      </c>
      <c r="AD3619" t="s">
        <v>118</v>
      </c>
      <c r="AE3619" t="s">
        <v>43</v>
      </c>
      <c r="AF3619" t="s">
        <v>119</v>
      </c>
      <c r="AG3619" t="str">
        <f t="shared" si="73"/>
        <v>CC 12x</v>
      </c>
      <c r="AH3619" t="str">
        <f t="shared" si="74"/>
        <v/>
      </c>
    </row>
    <row r="3620" spans="1:34">
      <c r="A3620">
        <v>2026</v>
      </c>
      <c r="B3620">
        <v>4</v>
      </c>
      <c r="C3620" s="83">
        <v>2125395</v>
      </c>
      <c r="D3620" t="s">
        <v>3173</v>
      </c>
      <c r="E3620">
        <v>59024038285</v>
      </c>
      <c r="F3620">
        <v>637008</v>
      </c>
      <c r="G3620">
        <v>54149674618</v>
      </c>
      <c r="H3620" t="s">
        <v>35</v>
      </c>
      <c r="I3620" s="36">
        <v>4278.84</v>
      </c>
      <c r="J3620" s="36">
        <v>4278.8999999999996</v>
      </c>
      <c r="K3620" s="85">
        <v>0</v>
      </c>
      <c r="L3620" s="36">
        <v>356.57499999999999</v>
      </c>
      <c r="M3620" s="36">
        <v>356.57499999999999</v>
      </c>
      <c r="N3620" s="36">
        <v>0</v>
      </c>
      <c r="O3620" s="36">
        <v>0</v>
      </c>
      <c r="P3620" t="s">
        <v>2004</v>
      </c>
      <c r="Q3620" t="s">
        <v>300</v>
      </c>
      <c r="R3620" t="s">
        <v>300</v>
      </c>
      <c r="S3620" s="1">
        <v>46122</v>
      </c>
      <c r="T3620" s="1">
        <v>46122</v>
      </c>
      <c r="V3620" s="1">
        <v>46487</v>
      </c>
      <c r="W3620" t="s">
        <v>38</v>
      </c>
      <c r="X3620">
        <v>12</v>
      </c>
      <c r="Y3620" t="s">
        <v>49</v>
      </c>
      <c r="AA3620" t="s">
        <v>112</v>
      </c>
      <c r="AB3620">
        <v>12</v>
      </c>
      <c r="AC3620" t="s">
        <v>301</v>
      </c>
      <c r="AD3620" t="s">
        <v>84</v>
      </c>
      <c r="AE3620" t="s">
        <v>43</v>
      </c>
      <c r="AF3620" t="s">
        <v>44</v>
      </c>
      <c r="AG3620" t="str">
        <f t="shared" si="73"/>
        <v>CC 12x</v>
      </c>
      <c r="AH3620" t="str">
        <f t="shared" si="74"/>
        <v/>
      </c>
    </row>
    <row r="3621" spans="1:34">
      <c r="A3621">
        <v>2026</v>
      </c>
      <c r="B3621">
        <v>4</v>
      </c>
      <c r="C3621" s="83">
        <v>2125507</v>
      </c>
      <c r="D3621" t="s">
        <v>3174</v>
      </c>
      <c r="E3621">
        <v>59612958221</v>
      </c>
      <c r="F3621">
        <v>625498</v>
      </c>
      <c r="G3621">
        <v>54880563294</v>
      </c>
      <c r="H3621" t="s">
        <v>35</v>
      </c>
      <c r="I3621" s="36">
        <v>6256.44</v>
      </c>
      <c r="J3621" s="36">
        <v>2452.92</v>
      </c>
      <c r="K3621" s="85">
        <v>3803.52</v>
      </c>
      <c r="L3621" s="36">
        <v>204.41</v>
      </c>
      <c r="M3621" s="36">
        <v>0</v>
      </c>
      <c r="N3621" s="36">
        <v>204.41</v>
      </c>
      <c r="O3621" s="36">
        <v>0</v>
      </c>
      <c r="P3621" t="s">
        <v>469</v>
      </c>
      <c r="Q3621" t="s">
        <v>191</v>
      </c>
      <c r="R3621" t="s">
        <v>191</v>
      </c>
      <c r="S3621" s="1">
        <v>46141</v>
      </c>
      <c r="T3621" s="1">
        <v>46141</v>
      </c>
      <c r="U3621" s="1">
        <v>46767</v>
      </c>
      <c r="V3621" s="1">
        <v>46767</v>
      </c>
      <c r="W3621" t="s">
        <v>102</v>
      </c>
      <c r="X3621">
        <v>21</v>
      </c>
      <c r="Y3621" t="s">
        <v>49</v>
      </c>
      <c r="Z3621" t="s">
        <v>324</v>
      </c>
      <c r="AA3621" t="s">
        <v>122</v>
      </c>
      <c r="AB3621">
        <v>20</v>
      </c>
      <c r="AC3621" t="s">
        <v>192</v>
      </c>
      <c r="AD3621" t="s">
        <v>131</v>
      </c>
      <c r="AE3621" t="s">
        <v>46</v>
      </c>
      <c r="AF3621" t="s">
        <v>96</v>
      </c>
      <c r="AG3621" t="str">
        <f t="shared" si="73"/>
        <v>Recorrente</v>
      </c>
      <c r="AH3621" t="str">
        <f t="shared" si="74"/>
        <v/>
      </c>
    </row>
    <row r="3622" spans="1:34">
      <c r="A3622">
        <v>2026</v>
      </c>
      <c r="B3622">
        <v>4</v>
      </c>
      <c r="C3622" s="83">
        <v>2125507</v>
      </c>
      <c r="D3622" t="s">
        <v>3174</v>
      </c>
      <c r="E3622">
        <v>59612958221</v>
      </c>
      <c r="F3622">
        <v>625498</v>
      </c>
      <c r="G3622">
        <v>54880563295</v>
      </c>
      <c r="H3622" t="s">
        <v>35</v>
      </c>
      <c r="I3622" s="36">
        <v>2151</v>
      </c>
      <c r="J3622" s="36">
        <v>2452.92</v>
      </c>
      <c r="K3622" s="85">
        <v>0</v>
      </c>
      <c r="L3622" s="36">
        <v>204.41</v>
      </c>
      <c r="M3622" s="36">
        <v>0</v>
      </c>
      <c r="N3622" s="36">
        <v>204.41</v>
      </c>
      <c r="O3622" s="36">
        <v>0</v>
      </c>
      <c r="P3622" t="s">
        <v>469</v>
      </c>
      <c r="Q3622" t="s">
        <v>191</v>
      </c>
      <c r="R3622" t="s">
        <v>191</v>
      </c>
      <c r="S3622" s="1">
        <v>46141</v>
      </c>
      <c r="T3622" s="1">
        <v>46141</v>
      </c>
      <c r="U3622" s="1">
        <v>46767</v>
      </c>
      <c r="V3622" s="1">
        <v>46767</v>
      </c>
      <c r="W3622" t="s">
        <v>102</v>
      </c>
      <c r="X3622">
        <v>21</v>
      </c>
      <c r="Y3622" t="s">
        <v>49</v>
      </c>
      <c r="Z3622" t="s">
        <v>324</v>
      </c>
      <c r="AA3622" t="s">
        <v>122</v>
      </c>
      <c r="AB3622">
        <v>20</v>
      </c>
      <c r="AC3622" t="s">
        <v>192</v>
      </c>
      <c r="AD3622" t="s">
        <v>149</v>
      </c>
      <c r="AE3622" t="s">
        <v>43</v>
      </c>
      <c r="AF3622" t="s">
        <v>96</v>
      </c>
      <c r="AG3622" t="str">
        <f t="shared" si="73"/>
        <v>Recorrente</v>
      </c>
      <c r="AH3622" t="str">
        <f t="shared" si="74"/>
        <v/>
      </c>
    </row>
    <row r="3623" spans="1:34">
      <c r="A3623">
        <v>2026</v>
      </c>
      <c r="B3623">
        <v>4</v>
      </c>
      <c r="C3623" s="83">
        <v>2126594</v>
      </c>
      <c r="D3623" t="s">
        <v>3175</v>
      </c>
      <c r="E3623">
        <v>59164744199</v>
      </c>
      <c r="F3623">
        <v>510223</v>
      </c>
      <c r="G3623">
        <v>54699215004</v>
      </c>
      <c r="H3623" t="s">
        <v>35</v>
      </c>
      <c r="I3623" s="36">
        <v>13401.84</v>
      </c>
      <c r="J3623" s="36">
        <v>13401.84</v>
      </c>
      <c r="K3623" s="85">
        <v>0</v>
      </c>
      <c r="L3623" s="36">
        <v>1116.82</v>
      </c>
      <c r="M3623" s="36">
        <v>0</v>
      </c>
      <c r="N3623" s="36">
        <v>0</v>
      </c>
      <c r="O3623" s="36">
        <v>1116.82</v>
      </c>
      <c r="P3623" t="s">
        <v>116</v>
      </c>
      <c r="Q3623" t="s">
        <v>111</v>
      </c>
      <c r="R3623" t="s">
        <v>111</v>
      </c>
      <c r="S3623" s="1">
        <v>46139</v>
      </c>
      <c r="T3623" s="1">
        <v>46139</v>
      </c>
      <c r="U3623" s="1">
        <v>46140</v>
      </c>
      <c r="V3623" s="1">
        <v>46505</v>
      </c>
      <c r="W3623" t="s">
        <v>38</v>
      </c>
      <c r="X3623">
        <v>12</v>
      </c>
      <c r="Y3623" t="s">
        <v>49</v>
      </c>
      <c r="Z3623" t="s">
        <v>81</v>
      </c>
      <c r="AA3623" t="s">
        <v>122</v>
      </c>
      <c r="AB3623">
        <v>12</v>
      </c>
      <c r="AC3623" t="s">
        <v>113</v>
      </c>
      <c r="AD3623" t="s">
        <v>336</v>
      </c>
      <c r="AE3623" t="s">
        <v>135</v>
      </c>
      <c r="AF3623" t="s">
        <v>47</v>
      </c>
      <c r="AG3623" t="str">
        <f t="shared" si="73"/>
        <v>Recorrente</v>
      </c>
      <c r="AH3623" t="str">
        <f t="shared" si="74"/>
        <v/>
      </c>
    </row>
    <row r="3624" spans="1:34">
      <c r="A3624">
        <v>2026</v>
      </c>
      <c r="B3624">
        <v>4</v>
      </c>
      <c r="C3624" s="83">
        <v>2126734</v>
      </c>
      <c r="D3624" t="s">
        <v>3176</v>
      </c>
      <c r="E3624">
        <v>56752510835</v>
      </c>
      <c r="F3624">
        <v>611928</v>
      </c>
      <c r="G3624">
        <v>52047055800</v>
      </c>
      <c r="H3624" t="s">
        <v>35</v>
      </c>
      <c r="I3624" s="36">
        <v>5514</v>
      </c>
      <c r="J3624" s="36">
        <v>5514</v>
      </c>
      <c r="K3624" s="85">
        <v>0</v>
      </c>
      <c r="L3624" s="36">
        <v>459.5</v>
      </c>
      <c r="M3624" s="36">
        <v>0</v>
      </c>
      <c r="N3624" s="36">
        <v>30.5</v>
      </c>
      <c r="O3624" s="36">
        <v>429</v>
      </c>
      <c r="P3624" t="s">
        <v>165</v>
      </c>
      <c r="Q3624" t="s">
        <v>166</v>
      </c>
      <c r="R3624" t="s">
        <v>166</v>
      </c>
      <c r="S3624" s="1">
        <v>46120</v>
      </c>
      <c r="T3624" s="1">
        <v>46120</v>
      </c>
      <c r="U3624" s="1">
        <v>46120</v>
      </c>
      <c r="V3624" s="1">
        <v>46485</v>
      </c>
      <c r="W3624" t="s">
        <v>38</v>
      </c>
      <c r="X3624">
        <v>12</v>
      </c>
      <c r="Y3624" t="s">
        <v>49</v>
      </c>
      <c r="Z3624" t="s">
        <v>81</v>
      </c>
      <c r="AA3624" t="s">
        <v>112</v>
      </c>
      <c r="AB3624">
        <v>12</v>
      </c>
      <c r="AC3624" t="s">
        <v>166</v>
      </c>
      <c r="AD3624" t="s">
        <v>138</v>
      </c>
      <c r="AE3624" t="s">
        <v>135</v>
      </c>
      <c r="AF3624" t="s">
        <v>119</v>
      </c>
      <c r="AG3624" t="str">
        <f t="shared" si="73"/>
        <v>CC 12x</v>
      </c>
      <c r="AH3624" t="str">
        <f t="shared" si="74"/>
        <v/>
      </c>
    </row>
    <row r="3625" spans="1:34">
      <c r="A3625">
        <v>2026</v>
      </c>
      <c r="B3625">
        <v>4</v>
      </c>
      <c r="C3625" s="83">
        <v>2126929</v>
      </c>
      <c r="D3625" t="s">
        <v>3177</v>
      </c>
      <c r="E3625">
        <v>58638349160</v>
      </c>
      <c r="F3625">
        <v>636849</v>
      </c>
      <c r="G3625">
        <v>53850832558</v>
      </c>
      <c r="H3625" t="s">
        <v>35</v>
      </c>
      <c r="I3625" s="36">
        <v>2586.6</v>
      </c>
      <c r="J3625" s="36">
        <v>2586.6</v>
      </c>
      <c r="K3625" s="85">
        <v>0</v>
      </c>
      <c r="L3625" s="36">
        <v>215.55</v>
      </c>
      <c r="M3625" s="36">
        <v>215.55</v>
      </c>
      <c r="N3625" s="36">
        <v>0</v>
      </c>
      <c r="O3625" s="36">
        <v>0</v>
      </c>
      <c r="P3625" t="s">
        <v>506</v>
      </c>
      <c r="Q3625" t="s">
        <v>300</v>
      </c>
      <c r="R3625" t="s">
        <v>300</v>
      </c>
      <c r="S3625" s="1">
        <v>46113</v>
      </c>
      <c r="T3625" s="1">
        <v>46113</v>
      </c>
      <c r="V3625" s="1">
        <v>46478</v>
      </c>
      <c r="W3625" t="s">
        <v>38</v>
      </c>
      <c r="X3625">
        <v>12</v>
      </c>
      <c r="Y3625" t="s">
        <v>49</v>
      </c>
      <c r="AA3625" t="s">
        <v>112</v>
      </c>
      <c r="AB3625">
        <v>12</v>
      </c>
      <c r="AC3625" t="s">
        <v>301</v>
      </c>
      <c r="AD3625" t="s">
        <v>118</v>
      </c>
      <c r="AE3625" t="s">
        <v>43</v>
      </c>
      <c r="AF3625" t="s">
        <v>119</v>
      </c>
      <c r="AG3625" t="str">
        <f t="shared" si="73"/>
        <v>CC 12x</v>
      </c>
      <c r="AH3625" t="str">
        <f t="shared" si="74"/>
        <v/>
      </c>
    </row>
    <row r="3626" spans="1:34">
      <c r="A3626">
        <v>2026</v>
      </c>
      <c r="B3626">
        <v>4</v>
      </c>
      <c r="C3626" s="83">
        <v>2127307</v>
      </c>
      <c r="D3626" t="s">
        <v>3178</v>
      </c>
      <c r="E3626">
        <v>58522435629</v>
      </c>
      <c r="F3626">
        <v>637199</v>
      </c>
      <c r="G3626">
        <v>54462950465</v>
      </c>
      <c r="H3626" t="s">
        <v>35</v>
      </c>
      <c r="I3626" s="36">
        <v>4603.2</v>
      </c>
      <c r="J3626" s="36">
        <v>4603.2</v>
      </c>
      <c r="K3626" s="85">
        <v>0</v>
      </c>
      <c r="L3626" s="36">
        <v>383.6</v>
      </c>
      <c r="M3626" s="36">
        <v>383.6</v>
      </c>
      <c r="N3626" s="36">
        <v>0</v>
      </c>
      <c r="O3626" s="36">
        <v>0</v>
      </c>
      <c r="P3626" t="s">
        <v>3179</v>
      </c>
      <c r="Q3626" t="s">
        <v>300</v>
      </c>
      <c r="R3626" t="s">
        <v>300</v>
      </c>
      <c r="S3626" s="1">
        <v>46132</v>
      </c>
      <c r="T3626" s="1">
        <v>46132</v>
      </c>
      <c r="V3626" s="1">
        <v>46497</v>
      </c>
      <c r="W3626" t="s">
        <v>38</v>
      </c>
      <c r="X3626">
        <v>12</v>
      </c>
      <c r="Y3626" t="s">
        <v>49</v>
      </c>
      <c r="AA3626" t="s">
        <v>112</v>
      </c>
      <c r="AB3626">
        <v>12</v>
      </c>
      <c r="AC3626" t="s">
        <v>301</v>
      </c>
      <c r="AD3626" t="s">
        <v>85</v>
      </c>
      <c r="AE3626" t="s">
        <v>46</v>
      </c>
      <c r="AF3626" t="s">
        <v>44</v>
      </c>
      <c r="AG3626" t="str">
        <f t="shared" si="73"/>
        <v>CC 12x</v>
      </c>
      <c r="AH3626" t="str">
        <f t="shared" si="74"/>
        <v/>
      </c>
    </row>
    <row r="3627" spans="1:34">
      <c r="A3627">
        <v>2026</v>
      </c>
      <c r="B3627">
        <v>4</v>
      </c>
      <c r="C3627" s="83">
        <v>212804431283</v>
      </c>
      <c r="D3627" t="s">
        <v>3180</v>
      </c>
      <c r="E3627">
        <v>58657373566</v>
      </c>
      <c r="F3627">
        <v>612875</v>
      </c>
      <c r="G3627">
        <v>53808802725</v>
      </c>
      <c r="H3627" t="s">
        <v>35</v>
      </c>
      <c r="I3627" s="36">
        <v>3558.24</v>
      </c>
      <c r="J3627" s="36">
        <v>3558.24</v>
      </c>
      <c r="K3627" s="85">
        <v>0</v>
      </c>
      <c r="L3627" s="36">
        <v>296.52</v>
      </c>
      <c r="M3627" s="36">
        <v>0</v>
      </c>
      <c r="N3627" s="36">
        <v>47.02</v>
      </c>
      <c r="O3627" s="36">
        <v>249.5</v>
      </c>
      <c r="P3627" t="s">
        <v>116</v>
      </c>
      <c r="Q3627" t="s">
        <v>111</v>
      </c>
      <c r="R3627" t="s">
        <v>111</v>
      </c>
      <c r="S3627" s="1">
        <v>46113</v>
      </c>
      <c r="T3627" s="1">
        <v>46113</v>
      </c>
      <c r="U3627" s="1">
        <v>46116</v>
      </c>
      <c r="V3627" s="1">
        <v>46481</v>
      </c>
      <c r="W3627" t="s">
        <v>38</v>
      </c>
      <c r="X3627">
        <v>12</v>
      </c>
      <c r="Y3627" t="s">
        <v>49</v>
      </c>
      <c r="Z3627" t="s">
        <v>81</v>
      </c>
      <c r="AA3627" t="s">
        <v>117</v>
      </c>
      <c r="AB3627">
        <v>1</v>
      </c>
      <c r="AC3627" t="s">
        <v>113</v>
      </c>
      <c r="AD3627" t="s">
        <v>149</v>
      </c>
      <c r="AE3627" t="s">
        <v>43</v>
      </c>
      <c r="AF3627" t="s">
        <v>96</v>
      </c>
      <c r="AG3627" t="str">
        <f t="shared" si="73"/>
        <v>À Vista</v>
      </c>
      <c r="AH3627" t="str">
        <f t="shared" si="74"/>
        <v/>
      </c>
    </row>
    <row r="3628" spans="1:34">
      <c r="A3628">
        <v>2026</v>
      </c>
      <c r="B3628">
        <v>4</v>
      </c>
      <c r="C3628" s="83">
        <v>2128062</v>
      </c>
      <c r="D3628" t="s">
        <v>3181</v>
      </c>
      <c r="E3628">
        <v>59666514337</v>
      </c>
      <c r="F3628">
        <v>533742</v>
      </c>
      <c r="G3628">
        <v>54699306047</v>
      </c>
      <c r="H3628" t="s">
        <v>35</v>
      </c>
      <c r="I3628" s="36">
        <v>6664.68</v>
      </c>
      <c r="J3628" s="36">
        <v>6664.68</v>
      </c>
      <c r="K3628" s="85">
        <v>0</v>
      </c>
      <c r="L3628" s="36">
        <v>555.39</v>
      </c>
      <c r="M3628" s="36">
        <v>0</v>
      </c>
      <c r="N3628" s="36">
        <v>305.49791670000002</v>
      </c>
      <c r="O3628" s="36">
        <v>249.89583329999999</v>
      </c>
      <c r="P3628" t="s">
        <v>137</v>
      </c>
      <c r="Q3628" t="s">
        <v>111</v>
      </c>
      <c r="R3628" t="s">
        <v>111</v>
      </c>
      <c r="S3628" s="1">
        <v>46140</v>
      </c>
      <c r="T3628" s="1">
        <v>46140</v>
      </c>
      <c r="U3628" s="1">
        <v>46138</v>
      </c>
      <c r="V3628" s="1">
        <v>46505</v>
      </c>
      <c r="W3628" t="s">
        <v>38</v>
      </c>
      <c r="X3628">
        <v>12</v>
      </c>
      <c r="Y3628" t="s">
        <v>49</v>
      </c>
      <c r="Z3628" t="s">
        <v>76</v>
      </c>
      <c r="AA3628" t="s">
        <v>122</v>
      </c>
      <c r="AB3628">
        <v>12</v>
      </c>
      <c r="AC3628" t="s">
        <v>113</v>
      </c>
      <c r="AD3628" t="s">
        <v>134</v>
      </c>
      <c r="AE3628" t="s">
        <v>135</v>
      </c>
      <c r="AF3628" t="s">
        <v>44</v>
      </c>
      <c r="AG3628" t="str">
        <f t="shared" si="73"/>
        <v>Recorrente</v>
      </c>
      <c r="AH3628" t="str">
        <f t="shared" si="74"/>
        <v/>
      </c>
    </row>
    <row r="3629" spans="1:34">
      <c r="A3629">
        <v>2026</v>
      </c>
      <c r="B3629">
        <v>4</v>
      </c>
      <c r="C3629" s="83">
        <v>2128289</v>
      </c>
      <c r="D3629" t="s">
        <v>3182</v>
      </c>
      <c r="E3629">
        <v>59226040498</v>
      </c>
      <c r="F3629">
        <v>510013</v>
      </c>
      <c r="G3629">
        <v>54379686189</v>
      </c>
      <c r="H3629" t="s">
        <v>35</v>
      </c>
      <c r="I3629" s="36">
        <v>2320.8000000000002</v>
      </c>
      <c r="J3629" s="36">
        <v>2320.8000000000002</v>
      </c>
      <c r="K3629" s="85">
        <v>0</v>
      </c>
      <c r="L3629" s="36">
        <v>193.4</v>
      </c>
      <c r="M3629" s="36">
        <v>0</v>
      </c>
      <c r="N3629" s="36">
        <v>0</v>
      </c>
      <c r="O3629" s="36">
        <v>193.39625000000001</v>
      </c>
      <c r="P3629" t="s">
        <v>110</v>
      </c>
      <c r="Q3629" t="s">
        <v>111</v>
      </c>
      <c r="R3629" t="s">
        <v>111</v>
      </c>
      <c r="S3629" s="1">
        <v>46129</v>
      </c>
      <c r="T3629" s="1">
        <v>46129</v>
      </c>
      <c r="U3629" s="1">
        <v>46139</v>
      </c>
      <c r="V3629" s="1">
        <v>46504</v>
      </c>
      <c r="W3629" t="s">
        <v>38</v>
      </c>
      <c r="X3629">
        <v>12</v>
      </c>
      <c r="Y3629" t="s">
        <v>49</v>
      </c>
      <c r="Z3629" t="s">
        <v>81</v>
      </c>
      <c r="AA3629" t="s">
        <v>112</v>
      </c>
      <c r="AB3629">
        <v>12</v>
      </c>
      <c r="AC3629" t="s">
        <v>113</v>
      </c>
      <c r="AD3629" t="s">
        <v>140</v>
      </c>
      <c r="AE3629" t="s">
        <v>46</v>
      </c>
      <c r="AF3629" t="s">
        <v>119</v>
      </c>
      <c r="AG3629" t="str">
        <f t="shared" si="73"/>
        <v>CC 12x</v>
      </c>
      <c r="AH3629" t="str">
        <f t="shared" si="74"/>
        <v/>
      </c>
    </row>
    <row r="3630" spans="1:34">
      <c r="A3630">
        <v>2026</v>
      </c>
      <c r="B3630">
        <v>4</v>
      </c>
      <c r="C3630" s="83">
        <v>2128385</v>
      </c>
      <c r="D3630" t="s">
        <v>3183</v>
      </c>
      <c r="E3630">
        <v>58542211387</v>
      </c>
      <c r="F3630">
        <v>614460</v>
      </c>
      <c r="G3630">
        <v>53857856431</v>
      </c>
      <c r="H3630" t="s">
        <v>35</v>
      </c>
      <c r="I3630" s="36">
        <v>3462.84</v>
      </c>
      <c r="J3630" s="36">
        <v>3462.84</v>
      </c>
      <c r="K3630" s="85">
        <v>0</v>
      </c>
      <c r="L3630" s="36">
        <v>288.57</v>
      </c>
      <c r="M3630" s="36">
        <v>0</v>
      </c>
      <c r="N3630" s="36">
        <v>25.925000000000001</v>
      </c>
      <c r="O3630" s="36">
        <v>262.64999999999998</v>
      </c>
      <c r="P3630" t="s">
        <v>121</v>
      </c>
      <c r="Q3630" t="s">
        <v>111</v>
      </c>
      <c r="R3630" t="s">
        <v>111</v>
      </c>
      <c r="S3630" s="1">
        <v>46127</v>
      </c>
      <c r="T3630" s="1">
        <v>46127</v>
      </c>
      <c r="U3630" s="1">
        <v>46141</v>
      </c>
      <c r="V3630" s="1">
        <v>46506</v>
      </c>
      <c r="W3630" t="s">
        <v>38</v>
      </c>
      <c r="X3630">
        <v>12</v>
      </c>
      <c r="Y3630" t="s">
        <v>49</v>
      </c>
      <c r="Z3630" t="s">
        <v>81</v>
      </c>
      <c r="AA3630" t="s">
        <v>122</v>
      </c>
      <c r="AB3630">
        <v>12</v>
      </c>
      <c r="AC3630" t="s">
        <v>113</v>
      </c>
      <c r="AD3630" t="s">
        <v>160</v>
      </c>
      <c r="AE3630" t="s">
        <v>43</v>
      </c>
      <c r="AF3630" t="s">
        <v>44</v>
      </c>
      <c r="AG3630" t="str">
        <f t="shared" si="73"/>
        <v>Recorrente</v>
      </c>
      <c r="AH3630" t="str">
        <f t="shared" si="74"/>
        <v/>
      </c>
    </row>
    <row r="3631" spans="1:34">
      <c r="A3631">
        <v>2026</v>
      </c>
      <c r="B3631">
        <v>4</v>
      </c>
      <c r="C3631" s="83">
        <v>2128543</v>
      </c>
      <c r="D3631" t="s">
        <v>3184</v>
      </c>
      <c r="E3631">
        <v>58632383534</v>
      </c>
      <c r="F3631">
        <v>613387</v>
      </c>
      <c r="G3631">
        <v>54154357028</v>
      </c>
      <c r="H3631" t="s">
        <v>35</v>
      </c>
      <c r="I3631" s="36">
        <v>3289.8</v>
      </c>
      <c r="J3631" s="36">
        <v>3289.8</v>
      </c>
      <c r="K3631" s="85">
        <v>0</v>
      </c>
      <c r="L3631" s="36">
        <v>274.14999999999998</v>
      </c>
      <c r="M3631" s="36">
        <v>0</v>
      </c>
      <c r="N3631" s="36">
        <v>26.949645</v>
      </c>
      <c r="O3631" s="36">
        <v>247.2</v>
      </c>
      <c r="P3631" t="s">
        <v>110</v>
      </c>
      <c r="Q3631" t="s">
        <v>111</v>
      </c>
      <c r="R3631" t="s">
        <v>111</v>
      </c>
      <c r="S3631" s="1">
        <v>46122</v>
      </c>
      <c r="T3631" s="1">
        <v>46122</v>
      </c>
      <c r="U3631" s="1">
        <v>46124</v>
      </c>
      <c r="V3631" s="1">
        <v>46489</v>
      </c>
      <c r="W3631" t="s">
        <v>38</v>
      </c>
      <c r="X3631">
        <v>12</v>
      </c>
      <c r="Y3631" t="s">
        <v>49</v>
      </c>
      <c r="Z3631" t="s">
        <v>81</v>
      </c>
      <c r="AA3631" t="s">
        <v>122</v>
      </c>
      <c r="AB3631">
        <v>12</v>
      </c>
      <c r="AC3631" t="s">
        <v>113</v>
      </c>
      <c r="AD3631" t="s">
        <v>114</v>
      </c>
      <c r="AE3631" t="s">
        <v>43</v>
      </c>
      <c r="AF3631" t="s">
        <v>44</v>
      </c>
      <c r="AG3631" t="str">
        <f t="shared" si="73"/>
        <v>Recorrente</v>
      </c>
      <c r="AH3631" t="str">
        <f t="shared" si="74"/>
        <v/>
      </c>
    </row>
    <row r="3632" spans="1:34">
      <c r="A3632">
        <v>2026</v>
      </c>
      <c r="B3632">
        <v>4</v>
      </c>
      <c r="C3632" s="83">
        <v>2128712</v>
      </c>
      <c r="D3632" t="s">
        <v>3185</v>
      </c>
      <c r="E3632">
        <v>59090630547</v>
      </c>
      <c r="F3632">
        <v>532606</v>
      </c>
      <c r="G3632">
        <v>54269788420</v>
      </c>
      <c r="H3632" t="s">
        <v>35</v>
      </c>
      <c r="I3632" s="36">
        <v>2442.84</v>
      </c>
      <c r="J3632" s="36">
        <v>2442.84</v>
      </c>
      <c r="K3632" s="85">
        <v>0</v>
      </c>
      <c r="L3632" s="36">
        <v>203.57</v>
      </c>
      <c r="M3632" s="36">
        <v>0</v>
      </c>
      <c r="N3632" s="36">
        <v>32.655000000000001</v>
      </c>
      <c r="O3632" s="36">
        <v>170.92</v>
      </c>
      <c r="P3632" t="s">
        <v>121</v>
      </c>
      <c r="Q3632" t="s">
        <v>111</v>
      </c>
      <c r="R3632" t="s">
        <v>111</v>
      </c>
      <c r="S3632" s="1">
        <v>46125</v>
      </c>
      <c r="T3632" s="1">
        <v>46125</v>
      </c>
      <c r="U3632" s="1">
        <v>46123</v>
      </c>
      <c r="V3632" s="1">
        <v>46490</v>
      </c>
      <c r="W3632" t="s">
        <v>38</v>
      </c>
      <c r="X3632">
        <v>12</v>
      </c>
      <c r="Y3632" t="s">
        <v>49</v>
      </c>
      <c r="Z3632" t="s">
        <v>81</v>
      </c>
      <c r="AA3632" t="s">
        <v>117</v>
      </c>
      <c r="AB3632">
        <v>1</v>
      </c>
      <c r="AC3632" t="s">
        <v>113</v>
      </c>
      <c r="AD3632" t="s">
        <v>140</v>
      </c>
      <c r="AE3632" t="s">
        <v>46</v>
      </c>
      <c r="AF3632" t="s">
        <v>119</v>
      </c>
      <c r="AG3632" t="str">
        <f t="shared" si="73"/>
        <v>À Vista</v>
      </c>
      <c r="AH3632" t="str">
        <f t="shared" si="74"/>
        <v/>
      </c>
    </row>
    <row r="3633" spans="1:34">
      <c r="A3633">
        <v>2026</v>
      </c>
      <c r="B3633">
        <v>4</v>
      </c>
      <c r="C3633" s="83">
        <v>2129102</v>
      </c>
      <c r="D3633" t="s">
        <v>3186</v>
      </c>
      <c r="E3633">
        <v>56849629368</v>
      </c>
      <c r="F3633">
        <v>628400</v>
      </c>
      <c r="G3633">
        <v>52047109247</v>
      </c>
      <c r="H3633" t="s">
        <v>35</v>
      </c>
      <c r="I3633" s="36">
        <v>2874</v>
      </c>
      <c r="J3633" s="36">
        <v>2874</v>
      </c>
      <c r="K3633" s="85">
        <v>0</v>
      </c>
      <c r="L3633" s="36">
        <v>239.5</v>
      </c>
      <c r="M3633" s="36">
        <v>0</v>
      </c>
      <c r="N3633" s="36">
        <v>0.5</v>
      </c>
      <c r="O3633" s="36">
        <v>239</v>
      </c>
      <c r="P3633" t="s">
        <v>165</v>
      </c>
      <c r="Q3633" t="s">
        <v>166</v>
      </c>
      <c r="R3633" t="s">
        <v>166</v>
      </c>
      <c r="S3633" s="1">
        <v>46121</v>
      </c>
      <c r="T3633" s="1">
        <v>46121</v>
      </c>
      <c r="U3633" s="1">
        <v>46121</v>
      </c>
      <c r="V3633" s="1">
        <v>46486</v>
      </c>
      <c r="W3633" t="s">
        <v>38</v>
      </c>
      <c r="X3633">
        <v>12</v>
      </c>
      <c r="Y3633" t="s">
        <v>49</v>
      </c>
      <c r="Z3633" t="s">
        <v>81</v>
      </c>
      <c r="AA3633" t="s">
        <v>122</v>
      </c>
      <c r="AB3633">
        <v>12</v>
      </c>
      <c r="AC3633" t="s">
        <v>166</v>
      </c>
      <c r="AD3633" t="s">
        <v>118</v>
      </c>
      <c r="AE3633" t="s">
        <v>43</v>
      </c>
      <c r="AF3633" t="s">
        <v>119</v>
      </c>
      <c r="AG3633" t="str">
        <f t="shared" si="73"/>
        <v>Recorrente</v>
      </c>
      <c r="AH3633" t="str">
        <f t="shared" si="74"/>
        <v/>
      </c>
    </row>
    <row r="3634" spans="1:34">
      <c r="A3634">
        <v>2026</v>
      </c>
      <c r="B3634">
        <v>4</v>
      </c>
      <c r="C3634" s="83">
        <v>212955765356</v>
      </c>
      <c r="D3634" t="s">
        <v>3187</v>
      </c>
      <c r="E3634">
        <v>57578123397</v>
      </c>
      <c r="F3634">
        <v>311320</v>
      </c>
      <c r="G3634">
        <v>53808677761</v>
      </c>
      <c r="H3634" t="s">
        <v>35</v>
      </c>
      <c r="I3634" s="36">
        <v>4304.04</v>
      </c>
      <c r="J3634" s="36">
        <v>4304.04</v>
      </c>
      <c r="K3634" s="85">
        <v>0</v>
      </c>
      <c r="L3634" s="36">
        <v>358.67</v>
      </c>
      <c r="M3634" s="36">
        <v>0</v>
      </c>
      <c r="N3634" s="36">
        <v>0</v>
      </c>
      <c r="O3634" s="36">
        <v>358.67250000000001</v>
      </c>
      <c r="P3634" t="s">
        <v>116</v>
      </c>
      <c r="Q3634" t="s">
        <v>111</v>
      </c>
      <c r="R3634" t="s">
        <v>111</v>
      </c>
      <c r="S3634" s="1">
        <v>46114</v>
      </c>
      <c r="T3634" s="1">
        <v>46114</v>
      </c>
      <c r="U3634" s="1">
        <v>46117</v>
      </c>
      <c r="V3634" s="1">
        <v>46482</v>
      </c>
      <c r="W3634" t="s">
        <v>38</v>
      </c>
      <c r="X3634">
        <v>12</v>
      </c>
      <c r="Y3634" t="s">
        <v>49</v>
      </c>
      <c r="Z3634" t="s">
        <v>81</v>
      </c>
      <c r="AA3634" t="s">
        <v>122</v>
      </c>
      <c r="AB3634">
        <v>12</v>
      </c>
      <c r="AC3634" t="s">
        <v>113</v>
      </c>
      <c r="AD3634" t="s">
        <v>84</v>
      </c>
      <c r="AE3634" t="s">
        <v>43</v>
      </c>
      <c r="AF3634" t="s">
        <v>44</v>
      </c>
      <c r="AG3634" t="str">
        <f t="shared" si="73"/>
        <v>Recorrente</v>
      </c>
      <c r="AH3634" t="str">
        <f t="shared" si="74"/>
        <v/>
      </c>
    </row>
    <row r="3635" spans="1:34">
      <c r="A3635">
        <v>2026</v>
      </c>
      <c r="B3635">
        <v>4</v>
      </c>
      <c r="C3635" s="83">
        <v>212975430031</v>
      </c>
      <c r="D3635" t="s">
        <v>3188</v>
      </c>
      <c r="E3635">
        <v>58649383839</v>
      </c>
      <c r="F3635">
        <v>636838</v>
      </c>
      <c r="G3635">
        <v>53810167965</v>
      </c>
      <c r="H3635" t="s">
        <v>104</v>
      </c>
      <c r="I3635" s="36">
        <v>718.8</v>
      </c>
      <c r="J3635" s="36">
        <v>718.8</v>
      </c>
      <c r="K3635" s="85">
        <v>0</v>
      </c>
      <c r="L3635" s="36">
        <v>59.9</v>
      </c>
      <c r="M3635" s="36">
        <v>59.9</v>
      </c>
      <c r="N3635" s="36">
        <v>0</v>
      </c>
      <c r="O3635" s="36">
        <v>0</v>
      </c>
      <c r="P3635" t="s">
        <v>497</v>
      </c>
      <c r="Q3635" t="s">
        <v>498</v>
      </c>
      <c r="R3635" t="s">
        <v>498</v>
      </c>
      <c r="S3635" s="1">
        <v>46113</v>
      </c>
      <c r="T3635" s="1">
        <v>46113</v>
      </c>
      <c r="U3635" s="1"/>
      <c r="V3635" s="1">
        <v>46478</v>
      </c>
      <c r="W3635" t="s">
        <v>38</v>
      </c>
      <c r="X3635">
        <v>12</v>
      </c>
      <c r="Y3635" t="s">
        <v>49</v>
      </c>
      <c r="AA3635" t="s">
        <v>112</v>
      </c>
      <c r="AB3635">
        <v>12</v>
      </c>
      <c r="AC3635" t="s">
        <v>499</v>
      </c>
      <c r="AD3635" t="s">
        <v>105</v>
      </c>
      <c r="AE3635" t="s">
        <v>106</v>
      </c>
      <c r="AF3635" t="s">
        <v>59</v>
      </c>
      <c r="AG3635" t="str">
        <f t="shared" si="73"/>
        <v>CC 12x</v>
      </c>
      <c r="AH3635" t="str">
        <f t="shared" si="74"/>
        <v/>
      </c>
    </row>
    <row r="3636" spans="1:34">
      <c r="A3636">
        <v>2026</v>
      </c>
      <c r="B3636">
        <v>4</v>
      </c>
      <c r="C3636" s="83">
        <v>213008654765</v>
      </c>
      <c r="D3636" t="s">
        <v>3189</v>
      </c>
      <c r="E3636">
        <v>58878199437</v>
      </c>
      <c r="F3636">
        <v>636890</v>
      </c>
      <c r="G3636">
        <v>53934333973</v>
      </c>
      <c r="H3636" t="s">
        <v>35</v>
      </c>
      <c r="I3636" s="36">
        <v>4411.2</v>
      </c>
      <c r="J3636" s="36">
        <v>4411.2</v>
      </c>
      <c r="K3636" s="85">
        <v>0</v>
      </c>
      <c r="L3636" s="36">
        <v>367.6</v>
      </c>
      <c r="M3636" s="36">
        <v>367.6</v>
      </c>
      <c r="N3636" s="36">
        <v>0</v>
      </c>
      <c r="O3636" s="36">
        <v>0</v>
      </c>
      <c r="P3636" t="s">
        <v>829</v>
      </c>
      <c r="Q3636" t="s">
        <v>300</v>
      </c>
      <c r="R3636" t="s">
        <v>300</v>
      </c>
      <c r="S3636" s="1">
        <v>46118</v>
      </c>
      <c r="T3636" s="1">
        <v>46118</v>
      </c>
      <c r="U3636" s="1"/>
      <c r="V3636" s="1">
        <v>46483</v>
      </c>
      <c r="W3636" t="s">
        <v>38</v>
      </c>
      <c r="X3636">
        <v>12</v>
      </c>
      <c r="Y3636" t="s">
        <v>49</v>
      </c>
      <c r="AA3636" t="s">
        <v>112</v>
      </c>
      <c r="AB3636">
        <v>12</v>
      </c>
      <c r="AC3636" t="s">
        <v>301</v>
      </c>
      <c r="AD3636" t="s">
        <v>138</v>
      </c>
      <c r="AE3636" t="s">
        <v>135</v>
      </c>
      <c r="AF3636" t="s">
        <v>119</v>
      </c>
      <c r="AG3636" t="str">
        <f t="shared" si="73"/>
        <v>CC 12x</v>
      </c>
      <c r="AH3636" t="str">
        <f t="shared" si="74"/>
        <v/>
      </c>
    </row>
    <row r="3637" spans="1:34">
      <c r="A3637">
        <v>2026</v>
      </c>
      <c r="B3637">
        <v>4</v>
      </c>
      <c r="C3637" s="83">
        <v>213008669080</v>
      </c>
      <c r="D3637" t="s">
        <v>3190</v>
      </c>
      <c r="E3637">
        <v>58176354935</v>
      </c>
      <c r="F3637">
        <v>251101</v>
      </c>
      <c r="G3637">
        <v>54295300105</v>
      </c>
      <c r="H3637" t="s">
        <v>35</v>
      </c>
      <c r="I3637" s="36">
        <v>4452.6000000000004</v>
      </c>
      <c r="J3637" s="36">
        <v>4452.6000000000004</v>
      </c>
      <c r="K3637" s="85">
        <v>0</v>
      </c>
      <c r="L3637" s="36">
        <v>371.05</v>
      </c>
      <c r="M3637" s="36">
        <v>0</v>
      </c>
      <c r="N3637" s="36">
        <v>6.3962500000000002</v>
      </c>
      <c r="O3637" s="36">
        <v>364.65</v>
      </c>
      <c r="P3637" t="s">
        <v>137</v>
      </c>
      <c r="Q3637" t="s">
        <v>111</v>
      </c>
      <c r="R3637" t="s">
        <v>111</v>
      </c>
      <c r="S3637" s="1">
        <v>46128</v>
      </c>
      <c r="T3637" s="1">
        <v>46128</v>
      </c>
      <c r="U3637" s="1">
        <v>46131</v>
      </c>
      <c r="V3637" s="1">
        <v>46496</v>
      </c>
      <c r="W3637" t="s">
        <v>38</v>
      </c>
      <c r="X3637">
        <v>12</v>
      </c>
      <c r="Y3637" t="s">
        <v>49</v>
      </c>
      <c r="Z3637" t="s">
        <v>81</v>
      </c>
      <c r="AA3637" t="s">
        <v>122</v>
      </c>
      <c r="AB3637">
        <v>12</v>
      </c>
      <c r="AC3637" t="s">
        <v>113</v>
      </c>
      <c r="AD3637" t="s">
        <v>138</v>
      </c>
      <c r="AE3637" t="s">
        <v>135</v>
      </c>
      <c r="AF3637" t="s">
        <v>119</v>
      </c>
      <c r="AG3637" t="str">
        <f t="shared" si="73"/>
        <v>Recorrente</v>
      </c>
      <c r="AH3637" t="str">
        <f t="shared" si="74"/>
        <v/>
      </c>
    </row>
    <row r="3638" spans="1:34">
      <c r="A3638">
        <v>2026</v>
      </c>
      <c r="B3638">
        <v>4</v>
      </c>
      <c r="C3638" s="83">
        <v>213049525287</v>
      </c>
      <c r="D3638" t="s">
        <v>3191</v>
      </c>
      <c r="E3638">
        <v>58100955194</v>
      </c>
      <c r="F3638">
        <v>613725</v>
      </c>
      <c r="G3638">
        <v>53854136198</v>
      </c>
      <c r="H3638" t="s">
        <v>35</v>
      </c>
      <c r="I3638" s="36">
        <v>5183.76</v>
      </c>
      <c r="J3638" s="36">
        <v>5183.76</v>
      </c>
      <c r="K3638" s="85">
        <v>0</v>
      </c>
      <c r="L3638" s="36">
        <v>431.98</v>
      </c>
      <c r="M3638" s="36">
        <v>0</v>
      </c>
      <c r="N3638" s="36">
        <v>1.6315500000000001</v>
      </c>
      <c r="O3638" s="36">
        <v>430.35</v>
      </c>
      <c r="P3638" t="s">
        <v>137</v>
      </c>
      <c r="Q3638" t="s">
        <v>111</v>
      </c>
      <c r="R3638" t="s">
        <v>111</v>
      </c>
      <c r="S3638" s="1">
        <v>46113</v>
      </c>
      <c r="T3638" s="1">
        <v>46113</v>
      </c>
      <c r="U3638" s="1">
        <v>46129</v>
      </c>
      <c r="V3638" s="1">
        <v>46494</v>
      </c>
      <c r="W3638" t="s">
        <v>38</v>
      </c>
      <c r="X3638">
        <v>12</v>
      </c>
      <c r="Y3638" t="s">
        <v>49</v>
      </c>
      <c r="Z3638" t="s">
        <v>81</v>
      </c>
      <c r="AA3638" t="s">
        <v>112</v>
      </c>
      <c r="AB3638">
        <v>12</v>
      </c>
      <c r="AC3638" t="s">
        <v>113</v>
      </c>
      <c r="AD3638" t="s">
        <v>85</v>
      </c>
      <c r="AE3638" t="s">
        <v>46</v>
      </c>
      <c r="AF3638" t="s">
        <v>44</v>
      </c>
      <c r="AG3638" t="str">
        <f t="shared" si="73"/>
        <v>CC 12x</v>
      </c>
      <c r="AH3638" t="str">
        <f t="shared" si="74"/>
        <v/>
      </c>
    </row>
    <row r="3639" spans="1:34">
      <c r="A3639">
        <v>2026</v>
      </c>
      <c r="B3639">
        <v>4</v>
      </c>
      <c r="C3639" s="83">
        <v>21307427751</v>
      </c>
      <c r="D3639" t="s">
        <v>3192</v>
      </c>
      <c r="E3639">
        <v>59103580676</v>
      </c>
      <c r="F3639">
        <v>637421</v>
      </c>
      <c r="G3639">
        <v>54800521065</v>
      </c>
      <c r="H3639" t="s">
        <v>35</v>
      </c>
      <c r="I3639" s="36">
        <v>2442.84</v>
      </c>
      <c r="J3639" s="36">
        <v>2442.9</v>
      </c>
      <c r="K3639" s="85">
        <v>0</v>
      </c>
      <c r="L3639" s="36">
        <v>203.57499999999999</v>
      </c>
      <c r="M3639" s="36">
        <v>203.57499999999999</v>
      </c>
      <c r="N3639" s="36">
        <v>0</v>
      </c>
      <c r="O3639" s="36">
        <v>0</v>
      </c>
      <c r="P3639" t="s">
        <v>90</v>
      </c>
      <c r="Q3639" t="s">
        <v>91</v>
      </c>
      <c r="R3639" t="s">
        <v>91</v>
      </c>
      <c r="S3639" s="1">
        <v>46140</v>
      </c>
      <c r="T3639" s="1">
        <v>46140</v>
      </c>
      <c r="U3639" s="1"/>
      <c r="V3639" s="1">
        <v>46505</v>
      </c>
      <c r="W3639" t="s">
        <v>38</v>
      </c>
      <c r="X3639">
        <v>12</v>
      </c>
      <c r="Y3639" t="s">
        <v>49</v>
      </c>
      <c r="AA3639" t="s">
        <v>92</v>
      </c>
      <c r="AB3639">
        <v>12</v>
      </c>
      <c r="AC3639" t="s">
        <v>93</v>
      </c>
      <c r="AD3639" t="s">
        <v>140</v>
      </c>
      <c r="AE3639" t="s">
        <v>46</v>
      </c>
      <c r="AF3639" t="s">
        <v>119</v>
      </c>
      <c r="AG3639" t="str">
        <f t="shared" si="73"/>
        <v>Recorrente</v>
      </c>
      <c r="AH3639" t="str">
        <f t="shared" si="74"/>
        <v/>
      </c>
    </row>
    <row r="3640" spans="1:34">
      <c r="A3640">
        <v>2026</v>
      </c>
      <c r="B3640">
        <v>4</v>
      </c>
      <c r="C3640" s="83">
        <v>2130917</v>
      </c>
      <c r="D3640" t="s">
        <v>3193</v>
      </c>
      <c r="E3640">
        <v>57844854410</v>
      </c>
      <c r="F3640">
        <v>313243</v>
      </c>
      <c r="G3640">
        <v>53084259420</v>
      </c>
      <c r="H3640" t="s">
        <v>35</v>
      </c>
      <c r="I3640" s="36">
        <v>2874</v>
      </c>
      <c r="J3640" s="36">
        <v>2874</v>
      </c>
      <c r="K3640" s="85">
        <v>0</v>
      </c>
      <c r="L3640" s="36">
        <v>239.5</v>
      </c>
      <c r="M3640" s="36">
        <v>0</v>
      </c>
      <c r="N3640" s="36">
        <v>46.51</v>
      </c>
      <c r="O3640" s="36">
        <v>192.99</v>
      </c>
      <c r="P3640" t="s">
        <v>165</v>
      </c>
      <c r="Q3640" t="s">
        <v>166</v>
      </c>
      <c r="R3640" t="s">
        <v>166</v>
      </c>
      <c r="S3640" s="1">
        <v>46136</v>
      </c>
      <c r="T3640" s="1">
        <v>46136</v>
      </c>
      <c r="U3640" s="1">
        <v>46136</v>
      </c>
      <c r="V3640" s="1">
        <v>46501</v>
      </c>
      <c r="W3640" t="s">
        <v>38</v>
      </c>
      <c r="X3640">
        <v>12</v>
      </c>
      <c r="Y3640" t="s">
        <v>49</v>
      </c>
      <c r="Z3640" t="s">
        <v>81</v>
      </c>
      <c r="AA3640" t="s">
        <v>122</v>
      </c>
      <c r="AB3640">
        <v>12</v>
      </c>
      <c r="AC3640" t="s">
        <v>166</v>
      </c>
      <c r="AD3640" t="s">
        <v>140</v>
      </c>
      <c r="AE3640" t="s">
        <v>46</v>
      </c>
      <c r="AF3640" t="s">
        <v>119</v>
      </c>
      <c r="AG3640" t="str">
        <f t="shared" si="73"/>
        <v>Recorrente</v>
      </c>
      <c r="AH3640" t="str">
        <f t="shared" si="74"/>
        <v/>
      </c>
    </row>
    <row r="3641" spans="1:34">
      <c r="A3641">
        <v>2026</v>
      </c>
      <c r="B3641">
        <v>4</v>
      </c>
      <c r="C3641" s="83">
        <v>2132722</v>
      </c>
      <c r="D3641" t="s">
        <v>3194</v>
      </c>
      <c r="E3641">
        <v>58637873671</v>
      </c>
      <c r="F3641">
        <v>313197</v>
      </c>
      <c r="G3641">
        <v>54269822319</v>
      </c>
      <c r="H3641" t="s">
        <v>35</v>
      </c>
      <c r="I3641" s="36">
        <v>3516.6</v>
      </c>
      <c r="J3641" s="36">
        <v>3516.6</v>
      </c>
      <c r="K3641" s="85">
        <v>0</v>
      </c>
      <c r="L3641" s="36">
        <v>293.05</v>
      </c>
      <c r="M3641" s="36">
        <v>0</v>
      </c>
      <c r="N3641" s="36">
        <v>0</v>
      </c>
      <c r="O3641" s="36">
        <v>293.05052000000001</v>
      </c>
      <c r="P3641" t="s">
        <v>116</v>
      </c>
      <c r="Q3641" t="s">
        <v>111</v>
      </c>
      <c r="R3641" t="s">
        <v>111</v>
      </c>
      <c r="S3641" s="1">
        <v>46125</v>
      </c>
      <c r="T3641" s="1">
        <v>46125</v>
      </c>
      <c r="U3641" s="1">
        <v>46136</v>
      </c>
      <c r="V3641" s="1">
        <v>46501</v>
      </c>
      <c r="W3641" t="s">
        <v>38</v>
      </c>
      <c r="X3641">
        <v>12</v>
      </c>
      <c r="Y3641" t="s">
        <v>49</v>
      </c>
      <c r="Z3641" t="s">
        <v>76</v>
      </c>
      <c r="AA3641" t="s">
        <v>112</v>
      </c>
      <c r="AB3641">
        <v>12</v>
      </c>
      <c r="AC3641" t="s">
        <v>113</v>
      </c>
      <c r="AD3641" t="s">
        <v>118</v>
      </c>
      <c r="AE3641" t="s">
        <v>43</v>
      </c>
      <c r="AF3641" t="s">
        <v>119</v>
      </c>
      <c r="AG3641" t="str">
        <f t="shared" si="73"/>
        <v>CC 12x</v>
      </c>
      <c r="AH3641" t="str">
        <f t="shared" si="74"/>
        <v/>
      </c>
    </row>
    <row r="3642" spans="1:34">
      <c r="A3642">
        <v>2026</v>
      </c>
      <c r="B3642">
        <v>4</v>
      </c>
      <c r="C3642" s="83">
        <v>2132722</v>
      </c>
      <c r="D3642" t="s">
        <v>3194</v>
      </c>
      <c r="E3642">
        <v>58637873671</v>
      </c>
      <c r="F3642">
        <v>313197</v>
      </c>
      <c r="G3642">
        <v>54269822320</v>
      </c>
      <c r="H3642" t="s">
        <v>35</v>
      </c>
      <c r="I3642" s="36">
        <v>3516.6</v>
      </c>
      <c r="J3642" s="36">
        <v>3516.6</v>
      </c>
      <c r="K3642" s="85">
        <v>0</v>
      </c>
      <c r="L3642" s="36">
        <v>293.05</v>
      </c>
      <c r="M3642" s="36">
        <v>0</v>
      </c>
      <c r="N3642" s="36">
        <v>0</v>
      </c>
      <c r="O3642" s="36">
        <v>293.05052000000001</v>
      </c>
      <c r="P3642" t="s">
        <v>116</v>
      </c>
      <c r="Q3642" t="s">
        <v>111</v>
      </c>
      <c r="R3642" t="s">
        <v>111</v>
      </c>
      <c r="S3642" s="1">
        <v>46125</v>
      </c>
      <c r="T3642" s="1">
        <v>46125</v>
      </c>
      <c r="U3642" s="1">
        <v>46136</v>
      </c>
      <c r="V3642" s="1">
        <v>46501</v>
      </c>
      <c r="W3642" t="s">
        <v>38</v>
      </c>
      <c r="X3642">
        <v>12</v>
      </c>
      <c r="Y3642" t="s">
        <v>49</v>
      </c>
      <c r="Z3642" t="s">
        <v>76</v>
      </c>
      <c r="AA3642" t="s">
        <v>112</v>
      </c>
      <c r="AB3642">
        <v>12</v>
      </c>
      <c r="AC3642" t="s">
        <v>113</v>
      </c>
      <c r="AD3642" t="s">
        <v>149</v>
      </c>
      <c r="AE3642" t="s">
        <v>43</v>
      </c>
      <c r="AF3642" t="s">
        <v>96</v>
      </c>
      <c r="AG3642" t="str">
        <f t="shared" si="73"/>
        <v>CC 12x</v>
      </c>
      <c r="AH3642" t="str">
        <f t="shared" si="74"/>
        <v/>
      </c>
    </row>
    <row r="3643" spans="1:34">
      <c r="A3643">
        <v>2026</v>
      </c>
      <c r="B3643">
        <v>4</v>
      </c>
      <c r="C3643" s="83">
        <v>2132791</v>
      </c>
      <c r="D3643" t="s">
        <v>3195</v>
      </c>
      <c r="E3643">
        <v>59101698651</v>
      </c>
      <c r="F3643">
        <v>624748</v>
      </c>
      <c r="G3643">
        <v>54293896615</v>
      </c>
      <c r="H3643" t="s">
        <v>35</v>
      </c>
      <c r="I3643" s="36">
        <v>4400.16</v>
      </c>
      <c r="J3643" s="36">
        <v>6725.04</v>
      </c>
      <c r="K3643" s="85">
        <v>0</v>
      </c>
      <c r="L3643" s="36">
        <v>560.41999999999996</v>
      </c>
      <c r="M3643" s="36">
        <v>0</v>
      </c>
      <c r="N3643" s="36">
        <v>560.41999999999996</v>
      </c>
      <c r="O3643" s="36">
        <v>0</v>
      </c>
      <c r="P3643" t="s">
        <v>804</v>
      </c>
      <c r="Q3643" t="s">
        <v>191</v>
      </c>
      <c r="R3643" t="s">
        <v>191</v>
      </c>
      <c r="S3643" s="1">
        <v>46127</v>
      </c>
      <c r="T3643" s="1">
        <v>46127</v>
      </c>
      <c r="U3643" s="1">
        <v>46366</v>
      </c>
      <c r="V3643" s="1">
        <v>46366</v>
      </c>
      <c r="W3643" t="s">
        <v>38</v>
      </c>
      <c r="X3643">
        <v>8</v>
      </c>
      <c r="Y3643" t="s">
        <v>49</v>
      </c>
      <c r="Z3643" t="s">
        <v>324</v>
      </c>
      <c r="AA3643" t="s">
        <v>122</v>
      </c>
      <c r="AB3643">
        <v>7</v>
      </c>
      <c r="AC3643" t="s">
        <v>192</v>
      </c>
      <c r="AD3643" t="s">
        <v>131</v>
      </c>
      <c r="AE3643" t="s">
        <v>46</v>
      </c>
      <c r="AF3643" t="s">
        <v>96</v>
      </c>
      <c r="AG3643" t="str">
        <f t="shared" si="73"/>
        <v>Recorrente</v>
      </c>
      <c r="AH3643" t="str">
        <f t="shared" si="74"/>
        <v/>
      </c>
    </row>
    <row r="3644" spans="1:34">
      <c r="A3644">
        <v>2026</v>
      </c>
      <c r="B3644">
        <v>4</v>
      </c>
      <c r="C3644" s="83">
        <v>2133486</v>
      </c>
      <c r="D3644" t="s">
        <v>3196</v>
      </c>
      <c r="E3644">
        <v>58639105672</v>
      </c>
      <c r="F3644">
        <v>636859</v>
      </c>
      <c r="G3644">
        <v>53857653001</v>
      </c>
      <c r="H3644" t="s">
        <v>35</v>
      </c>
      <c r="I3644" s="36">
        <v>2874</v>
      </c>
      <c r="J3644" s="36">
        <v>2874</v>
      </c>
      <c r="K3644" s="85">
        <v>0</v>
      </c>
      <c r="L3644" s="36">
        <v>239.5</v>
      </c>
      <c r="M3644" s="36">
        <v>239.5</v>
      </c>
      <c r="N3644" s="36">
        <v>0</v>
      </c>
      <c r="O3644" s="36">
        <v>0</v>
      </c>
      <c r="P3644" t="s">
        <v>129</v>
      </c>
      <c r="Q3644" t="s">
        <v>91</v>
      </c>
      <c r="R3644" t="s">
        <v>91</v>
      </c>
      <c r="S3644" s="1">
        <v>46114</v>
      </c>
      <c r="T3644" s="1">
        <v>46114</v>
      </c>
      <c r="U3644" s="1"/>
      <c r="V3644" s="1">
        <v>46479</v>
      </c>
      <c r="W3644" t="s">
        <v>38</v>
      </c>
      <c r="X3644">
        <v>12</v>
      </c>
      <c r="Y3644" t="s">
        <v>49</v>
      </c>
      <c r="AA3644" t="s">
        <v>92</v>
      </c>
      <c r="AB3644">
        <v>12</v>
      </c>
      <c r="AC3644" t="s">
        <v>93</v>
      </c>
      <c r="AD3644" t="s">
        <v>118</v>
      </c>
      <c r="AE3644" t="s">
        <v>43</v>
      </c>
      <c r="AF3644" t="s">
        <v>119</v>
      </c>
      <c r="AG3644" t="str">
        <f t="shared" si="73"/>
        <v>Recorrente</v>
      </c>
      <c r="AH3644" t="str">
        <f t="shared" si="74"/>
        <v/>
      </c>
    </row>
    <row r="3645" spans="1:34">
      <c r="A3645">
        <v>2026</v>
      </c>
      <c r="B3645">
        <v>4</v>
      </c>
      <c r="C3645" s="83">
        <v>2133939</v>
      </c>
      <c r="D3645" t="s">
        <v>3197</v>
      </c>
      <c r="E3645">
        <v>57497120170</v>
      </c>
      <c r="F3645">
        <v>310981</v>
      </c>
      <c r="G3645">
        <v>54119249481</v>
      </c>
      <c r="H3645" t="s">
        <v>35</v>
      </c>
      <c r="I3645" s="36">
        <v>2730.24</v>
      </c>
      <c r="J3645" s="36">
        <v>2730.24</v>
      </c>
      <c r="K3645" s="85">
        <v>0</v>
      </c>
      <c r="L3645" s="36">
        <v>227.52</v>
      </c>
      <c r="M3645" s="36">
        <v>0</v>
      </c>
      <c r="N3645" s="36">
        <v>2.5249999999999999</v>
      </c>
      <c r="O3645" s="36">
        <v>225</v>
      </c>
      <c r="P3645" t="s">
        <v>133</v>
      </c>
      <c r="Q3645" t="s">
        <v>111</v>
      </c>
      <c r="R3645" t="s">
        <v>111</v>
      </c>
      <c r="S3645" s="1">
        <v>46121</v>
      </c>
      <c r="T3645" s="1">
        <v>46121</v>
      </c>
      <c r="U3645" s="1">
        <v>46115</v>
      </c>
      <c r="V3645" s="1">
        <v>46486</v>
      </c>
      <c r="W3645" t="s">
        <v>38</v>
      </c>
      <c r="X3645">
        <v>12</v>
      </c>
      <c r="Y3645" t="s">
        <v>49</v>
      </c>
      <c r="Z3645" t="s">
        <v>81</v>
      </c>
      <c r="AA3645" t="s">
        <v>122</v>
      </c>
      <c r="AB3645">
        <v>12</v>
      </c>
      <c r="AC3645" t="s">
        <v>113</v>
      </c>
      <c r="AD3645" t="s">
        <v>140</v>
      </c>
      <c r="AE3645" t="s">
        <v>46</v>
      </c>
      <c r="AF3645" t="s">
        <v>119</v>
      </c>
      <c r="AG3645" t="str">
        <f t="shared" si="73"/>
        <v>Recorrente</v>
      </c>
      <c r="AH3645" t="str">
        <f t="shared" si="74"/>
        <v/>
      </c>
    </row>
    <row r="3646" spans="1:34">
      <c r="A3646">
        <v>2026</v>
      </c>
      <c r="B3646">
        <v>4</v>
      </c>
      <c r="C3646" s="83">
        <v>213442354181</v>
      </c>
      <c r="D3646" t="s">
        <v>3198</v>
      </c>
      <c r="E3646">
        <v>58732715776</v>
      </c>
      <c r="F3646">
        <v>636882</v>
      </c>
      <c r="G3646">
        <v>53889923505</v>
      </c>
      <c r="H3646" t="s">
        <v>104</v>
      </c>
      <c r="I3646" s="36">
        <v>718.8</v>
      </c>
      <c r="J3646" s="36">
        <v>718.8</v>
      </c>
      <c r="K3646" s="85">
        <v>0</v>
      </c>
      <c r="L3646" s="36">
        <v>59.9</v>
      </c>
      <c r="M3646" s="36">
        <v>59.9</v>
      </c>
      <c r="N3646" s="36">
        <v>0</v>
      </c>
      <c r="O3646" s="36">
        <v>0</v>
      </c>
      <c r="P3646" t="s">
        <v>497</v>
      </c>
      <c r="Q3646" t="s">
        <v>498</v>
      </c>
      <c r="R3646" t="s">
        <v>498</v>
      </c>
      <c r="S3646" s="1">
        <v>46115</v>
      </c>
      <c r="T3646" s="1">
        <v>46115</v>
      </c>
      <c r="U3646" s="1"/>
      <c r="V3646" s="1">
        <v>46480</v>
      </c>
      <c r="W3646" t="s">
        <v>38</v>
      </c>
      <c r="X3646">
        <v>12</v>
      </c>
      <c r="Y3646" t="s">
        <v>49</v>
      </c>
      <c r="AA3646" t="s">
        <v>112</v>
      </c>
      <c r="AB3646">
        <v>12</v>
      </c>
      <c r="AC3646" t="s">
        <v>499</v>
      </c>
      <c r="AD3646" t="s">
        <v>105</v>
      </c>
      <c r="AE3646" t="s">
        <v>106</v>
      </c>
      <c r="AF3646" t="s">
        <v>59</v>
      </c>
      <c r="AG3646" t="str">
        <f t="shared" si="73"/>
        <v>CC 12x</v>
      </c>
      <c r="AH3646" t="str">
        <f t="shared" si="74"/>
        <v/>
      </c>
    </row>
    <row r="3647" spans="1:34">
      <c r="A3647">
        <v>2026</v>
      </c>
      <c r="B3647">
        <v>4</v>
      </c>
      <c r="C3647" s="83">
        <v>2134669</v>
      </c>
      <c r="D3647" t="s">
        <v>3199</v>
      </c>
      <c r="E3647">
        <v>59221488287</v>
      </c>
      <c r="F3647">
        <v>313187</v>
      </c>
      <c r="G3647">
        <v>54379507748</v>
      </c>
      <c r="H3647" t="s">
        <v>35</v>
      </c>
      <c r="I3647" s="36">
        <v>5130.84</v>
      </c>
      <c r="J3647" s="36">
        <v>5130.84</v>
      </c>
      <c r="K3647" s="85">
        <v>0</v>
      </c>
      <c r="L3647" s="36">
        <v>427.57</v>
      </c>
      <c r="M3647" s="36">
        <v>0</v>
      </c>
      <c r="N3647" s="36">
        <v>42.521250000000002</v>
      </c>
      <c r="O3647" s="36">
        <v>385.05</v>
      </c>
      <c r="P3647" t="s">
        <v>110</v>
      </c>
      <c r="Q3647" t="s">
        <v>111</v>
      </c>
      <c r="R3647" t="s">
        <v>111</v>
      </c>
      <c r="S3647" s="1">
        <v>46129</v>
      </c>
      <c r="T3647" s="1">
        <v>46129</v>
      </c>
      <c r="U3647" s="1">
        <v>46136</v>
      </c>
      <c r="V3647" s="1">
        <v>46501</v>
      </c>
      <c r="W3647" t="s">
        <v>38</v>
      </c>
      <c r="X3647">
        <v>12</v>
      </c>
      <c r="Y3647" t="s">
        <v>49</v>
      </c>
      <c r="Z3647" t="s">
        <v>81</v>
      </c>
      <c r="AA3647" t="s">
        <v>112</v>
      </c>
      <c r="AB3647">
        <v>12</v>
      </c>
      <c r="AC3647" t="s">
        <v>113</v>
      </c>
      <c r="AD3647" t="s">
        <v>158</v>
      </c>
      <c r="AE3647" t="s">
        <v>43</v>
      </c>
      <c r="AF3647" t="s">
        <v>47</v>
      </c>
      <c r="AG3647" t="str">
        <f t="shared" si="73"/>
        <v>CC 12x</v>
      </c>
      <c r="AH3647" t="str">
        <f t="shared" si="74"/>
        <v/>
      </c>
    </row>
    <row r="3648" spans="1:34">
      <c r="A3648">
        <v>2026</v>
      </c>
      <c r="B3648">
        <v>4</v>
      </c>
      <c r="C3648" s="83">
        <v>213494001807</v>
      </c>
      <c r="D3648" t="s">
        <v>3200</v>
      </c>
      <c r="E3648">
        <v>58880814765</v>
      </c>
      <c r="F3648">
        <v>620873</v>
      </c>
      <c r="G3648">
        <v>53971308295</v>
      </c>
      <c r="H3648" t="s">
        <v>35</v>
      </c>
      <c r="I3648" s="36">
        <v>5554.8</v>
      </c>
      <c r="J3648" s="36">
        <v>3842.88</v>
      </c>
      <c r="K3648" s="85">
        <v>1711.92</v>
      </c>
      <c r="L3648" s="36">
        <v>320.24</v>
      </c>
      <c r="M3648" s="36">
        <v>0</v>
      </c>
      <c r="N3648" s="36">
        <v>320.24</v>
      </c>
      <c r="O3648" s="36">
        <v>0</v>
      </c>
      <c r="P3648" t="s">
        <v>520</v>
      </c>
      <c r="Q3648" t="s">
        <v>191</v>
      </c>
      <c r="R3648" t="s">
        <v>191</v>
      </c>
      <c r="S3648" s="1">
        <v>46119</v>
      </c>
      <c r="T3648" s="1">
        <v>46119</v>
      </c>
      <c r="U3648" s="1">
        <v>46646</v>
      </c>
      <c r="V3648" s="1">
        <v>46646</v>
      </c>
      <c r="W3648" t="s">
        <v>102</v>
      </c>
      <c r="X3648">
        <v>17</v>
      </c>
      <c r="Y3648" t="s">
        <v>49</v>
      </c>
      <c r="Z3648" t="s">
        <v>324</v>
      </c>
      <c r="AA3648" t="s">
        <v>122</v>
      </c>
      <c r="AB3648">
        <v>17</v>
      </c>
      <c r="AC3648" t="s">
        <v>192</v>
      </c>
      <c r="AD3648" t="s">
        <v>131</v>
      </c>
      <c r="AE3648" t="s">
        <v>46</v>
      </c>
      <c r="AF3648" t="s">
        <v>96</v>
      </c>
      <c r="AG3648" t="str">
        <f t="shared" si="73"/>
        <v>Recorrente</v>
      </c>
      <c r="AH3648" t="str">
        <f t="shared" si="74"/>
        <v/>
      </c>
    </row>
    <row r="3649" spans="1:34">
      <c r="A3649">
        <v>2026</v>
      </c>
      <c r="B3649">
        <v>4</v>
      </c>
      <c r="C3649" s="83">
        <v>213494138137</v>
      </c>
      <c r="D3649" t="s">
        <v>3201</v>
      </c>
      <c r="E3649">
        <v>59153657499</v>
      </c>
      <c r="F3649">
        <v>637031</v>
      </c>
      <c r="G3649">
        <v>54205060876</v>
      </c>
      <c r="H3649" t="s">
        <v>35</v>
      </c>
      <c r="I3649" s="36">
        <v>3114</v>
      </c>
      <c r="J3649" s="36">
        <v>3114</v>
      </c>
      <c r="K3649" s="85">
        <v>0</v>
      </c>
      <c r="L3649" s="36">
        <v>259.5</v>
      </c>
      <c r="M3649" s="36">
        <v>259.5</v>
      </c>
      <c r="N3649" s="36">
        <v>0</v>
      </c>
      <c r="O3649" s="36">
        <v>0</v>
      </c>
      <c r="P3649" t="s">
        <v>2004</v>
      </c>
      <c r="Q3649" t="s">
        <v>300</v>
      </c>
      <c r="R3649" t="s">
        <v>300</v>
      </c>
      <c r="S3649" s="1">
        <v>46122</v>
      </c>
      <c r="T3649" s="1">
        <v>46122</v>
      </c>
      <c r="U3649" s="1"/>
      <c r="V3649" s="1"/>
      <c r="W3649" t="s">
        <v>2733</v>
      </c>
      <c r="Y3649" t="s">
        <v>49</v>
      </c>
      <c r="AA3649" t="s">
        <v>122</v>
      </c>
      <c r="AB3649">
        <v>12</v>
      </c>
      <c r="AC3649" t="s">
        <v>301</v>
      </c>
      <c r="AD3649" t="s">
        <v>2734</v>
      </c>
      <c r="AE3649" t="s">
        <v>106</v>
      </c>
      <c r="AF3649" t="s">
        <v>59</v>
      </c>
      <c r="AG3649" t="str">
        <f t="shared" ref="AG3649:AG3712" si="75">IF(IFERROR(SEARCH("Recorrente",AA3649),0)&gt;0,"Recorrente",IF(AB3649=1,"À Vista",IF(AB3649&lt;=3,"CC 3x",IF(AB3649&lt;=12,"CC 12x",IF(AB3649&gt;12,"Recorrente","")))))</f>
        <v>Recorrente</v>
      </c>
      <c r="AH3649" t="str">
        <f t="shared" ref="AH3649:AH3712" si="76">IF(AND(SUMIF(E:E,E3649,I:I)&gt;=400000,Q3649="B2G"),"n","")</f>
        <v/>
      </c>
    </row>
    <row r="3650" spans="1:34">
      <c r="A3650">
        <v>2026</v>
      </c>
      <c r="B3650">
        <v>4</v>
      </c>
      <c r="C3650" s="83">
        <v>213549981010</v>
      </c>
      <c r="D3650" t="s">
        <v>3202</v>
      </c>
      <c r="E3650">
        <v>58866854495</v>
      </c>
      <c r="F3650">
        <v>636909</v>
      </c>
      <c r="G3650">
        <v>54038731061</v>
      </c>
      <c r="H3650" t="s">
        <v>35</v>
      </c>
      <c r="I3650" s="36">
        <v>2299.1999999999998</v>
      </c>
      <c r="J3650" s="36">
        <v>2299.1999999999998</v>
      </c>
      <c r="K3650" s="85">
        <v>0</v>
      </c>
      <c r="L3650" s="36">
        <v>191.6</v>
      </c>
      <c r="M3650" s="36">
        <v>191.6</v>
      </c>
      <c r="N3650" s="36">
        <v>0</v>
      </c>
      <c r="O3650" s="36">
        <v>0</v>
      </c>
      <c r="P3650" t="s">
        <v>506</v>
      </c>
      <c r="Q3650" t="s">
        <v>300</v>
      </c>
      <c r="R3650" t="s">
        <v>300</v>
      </c>
      <c r="S3650" s="1">
        <v>46119</v>
      </c>
      <c r="T3650" s="1">
        <v>46119</v>
      </c>
      <c r="U3650" s="1"/>
      <c r="V3650" s="1">
        <v>46484</v>
      </c>
      <c r="W3650" t="s">
        <v>38</v>
      </c>
      <c r="X3650">
        <v>12</v>
      </c>
      <c r="Y3650" t="s">
        <v>49</v>
      </c>
      <c r="AA3650" t="s">
        <v>112</v>
      </c>
      <c r="AB3650">
        <v>12</v>
      </c>
      <c r="AC3650" t="s">
        <v>301</v>
      </c>
      <c r="AD3650" t="s">
        <v>140</v>
      </c>
      <c r="AE3650" t="s">
        <v>46</v>
      </c>
      <c r="AF3650" t="s">
        <v>119</v>
      </c>
      <c r="AG3650" t="str">
        <f t="shared" si="75"/>
        <v>CC 12x</v>
      </c>
      <c r="AH3650" t="str">
        <f t="shared" si="76"/>
        <v/>
      </c>
    </row>
    <row r="3651" spans="1:34">
      <c r="A3651">
        <v>2026</v>
      </c>
      <c r="B3651">
        <v>4</v>
      </c>
      <c r="C3651" s="83">
        <v>213632589347</v>
      </c>
      <c r="D3651" t="s">
        <v>3203</v>
      </c>
      <c r="E3651">
        <v>58896456231</v>
      </c>
      <c r="F3651">
        <v>636912</v>
      </c>
      <c r="G3651">
        <v>54038776633</v>
      </c>
      <c r="H3651" t="s">
        <v>35</v>
      </c>
      <c r="I3651" s="36">
        <v>4962.6000000000004</v>
      </c>
      <c r="J3651" s="36">
        <v>4962.6000000000004</v>
      </c>
      <c r="K3651" s="85">
        <v>0</v>
      </c>
      <c r="L3651" s="36">
        <v>413.55</v>
      </c>
      <c r="M3651" s="36">
        <v>413.55</v>
      </c>
      <c r="N3651" s="36">
        <v>0</v>
      </c>
      <c r="O3651" s="36">
        <v>0</v>
      </c>
      <c r="P3651" t="s">
        <v>506</v>
      </c>
      <c r="Q3651" t="s">
        <v>300</v>
      </c>
      <c r="R3651" t="s">
        <v>300</v>
      </c>
      <c r="S3651" s="1">
        <v>46119</v>
      </c>
      <c r="T3651" s="1">
        <v>46119</v>
      </c>
      <c r="U3651" s="1"/>
      <c r="V3651" s="1">
        <v>46484</v>
      </c>
      <c r="W3651" t="s">
        <v>38</v>
      </c>
      <c r="X3651">
        <v>12</v>
      </c>
      <c r="Y3651" t="s">
        <v>49</v>
      </c>
      <c r="AA3651" t="s">
        <v>122</v>
      </c>
      <c r="AB3651">
        <v>12</v>
      </c>
      <c r="AC3651" t="s">
        <v>301</v>
      </c>
      <c r="AD3651" t="s">
        <v>138</v>
      </c>
      <c r="AE3651" t="s">
        <v>135</v>
      </c>
      <c r="AF3651" t="s">
        <v>119</v>
      </c>
      <c r="AG3651" t="str">
        <f t="shared" si="75"/>
        <v>Recorrente</v>
      </c>
      <c r="AH3651" t="str">
        <f t="shared" si="76"/>
        <v/>
      </c>
    </row>
    <row r="3652" spans="1:34">
      <c r="A3652">
        <v>2026</v>
      </c>
      <c r="B3652">
        <v>4</v>
      </c>
      <c r="C3652" s="83">
        <v>213650917482</v>
      </c>
      <c r="D3652" t="s">
        <v>3204</v>
      </c>
      <c r="E3652">
        <v>58883695282</v>
      </c>
      <c r="F3652">
        <v>636965</v>
      </c>
      <c r="G3652">
        <v>54118656814</v>
      </c>
      <c r="H3652" t="s">
        <v>35</v>
      </c>
      <c r="I3652" s="36">
        <v>2644.08</v>
      </c>
      <c r="J3652" s="36">
        <v>2644.08</v>
      </c>
      <c r="K3652" s="85">
        <v>0</v>
      </c>
      <c r="L3652" s="36">
        <v>220.34</v>
      </c>
      <c r="M3652" s="36">
        <v>220.34</v>
      </c>
      <c r="N3652" s="36">
        <v>0</v>
      </c>
      <c r="O3652" s="36">
        <v>0</v>
      </c>
      <c r="P3652" t="s">
        <v>2004</v>
      </c>
      <c r="Q3652" t="s">
        <v>300</v>
      </c>
      <c r="R3652" t="s">
        <v>300</v>
      </c>
      <c r="S3652" s="1">
        <v>46121</v>
      </c>
      <c r="T3652" s="1">
        <v>46121</v>
      </c>
      <c r="V3652" s="1">
        <v>46486</v>
      </c>
      <c r="W3652" t="s">
        <v>38</v>
      </c>
      <c r="X3652">
        <v>12</v>
      </c>
      <c r="Y3652" t="s">
        <v>49</v>
      </c>
      <c r="AA3652" t="s">
        <v>112</v>
      </c>
      <c r="AB3652">
        <v>12</v>
      </c>
      <c r="AC3652" t="s">
        <v>301</v>
      </c>
      <c r="AD3652" t="s">
        <v>140</v>
      </c>
      <c r="AE3652" t="s">
        <v>46</v>
      </c>
      <c r="AF3652" t="s">
        <v>119</v>
      </c>
      <c r="AG3652" t="str">
        <f t="shared" si="75"/>
        <v>CC 12x</v>
      </c>
      <c r="AH3652" t="str">
        <f t="shared" si="76"/>
        <v/>
      </c>
    </row>
    <row r="3653" spans="1:34">
      <c r="A3653">
        <v>2026</v>
      </c>
      <c r="B3653">
        <v>4</v>
      </c>
      <c r="C3653" s="83">
        <v>213673050668</v>
      </c>
      <c r="D3653" t="s">
        <v>3205</v>
      </c>
      <c r="E3653">
        <v>59183603728</v>
      </c>
      <c r="F3653">
        <v>627564</v>
      </c>
      <c r="G3653">
        <v>54293913457</v>
      </c>
      <c r="H3653" t="s">
        <v>35</v>
      </c>
      <c r="I3653" s="36">
        <v>2328</v>
      </c>
      <c r="J3653" s="36">
        <v>2328</v>
      </c>
      <c r="K3653" s="85">
        <v>0</v>
      </c>
      <c r="L3653" s="36">
        <v>194</v>
      </c>
      <c r="M3653" s="36">
        <v>0</v>
      </c>
      <c r="N3653" s="36">
        <v>0</v>
      </c>
      <c r="O3653" s="36">
        <v>194.002185</v>
      </c>
      <c r="P3653" t="s">
        <v>116</v>
      </c>
      <c r="Q3653" t="s">
        <v>111</v>
      </c>
      <c r="R3653" t="s">
        <v>111</v>
      </c>
      <c r="S3653" s="1">
        <v>46127</v>
      </c>
      <c r="T3653" s="1">
        <v>46127</v>
      </c>
      <c r="U3653" s="1">
        <v>46100</v>
      </c>
      <c r="V3653" s="1">
        <v>46492</v>
      </c>
      <c r="W3653" t="s">
        <v>38</v>
      </c>
      <c r="X3653">
        <v>13</v>
      </c>
      <c r="Y3653" t="s">
        <v>49</v>
      </c>
      <c r="Z3653" t="s">
        <v>81</v>
      </c>
      <c r="AA3653" t="s">
        <v>112</v>
      </c>
      <c r="AB3653">
        <v>12</v>
      </c>
      <c r="AC3653" t="s">
        <v>113</v>
      </c>
      <c r="AD3653" t="s">
        <v>140</v>
      </c>
      <c r="AE3653" t="s">
        <v>46</v>
      </c>
      <c r="AF3653" t="s">
        <v>119</v>
      </c>
      <c r="AG3653" t="str">
        <f t="shared" si="75"/>
        <v>CC 12x</v>
      </c>
      <c r="AH3653" t="str">
        <f t="shared" si="76"/>
        <v/>
      </c>
    </row>
    <row r="3654" spans="1:34">
      <c r="A3654">
        <v>2026</v>
      </c>
      <c r="B3654">
        <v>4</v>
      </c>
      <c r="C3654" s="83">
        <v>2137126</v>
      </c>
      <c r="D3654" t="s">
        <v>3206</v>
      </c>
      <c r="E3654">
        <v>58685898522</v>
      </c>
      <c r="F3654">
        <v>637046</v>
      </c>
      <c r="G3654">
        <v>54150052281</v>
      </c>
      <c r="H3654" t="s">
        <v>35</v>
      </c>
      <c r="I3654" s="36">
        <v>1035.96</v>
      </c>
      <c r="J3654" s="36">
        <v>1035.9960000000001</v>
      </c>
      <c r="K3654" s="85">
        <v>0</v>
      </c>
      <c r="L3654" s="36">
        <v>86.332999999999998</v>
      </c>
      <c r="M3654" s="36">
        <v>86.332999999999998</v>
      </c>
      <c r="N3654" s="36">
        <v>0</v>
      </c>
      <c r="O3654" s="36">
        <v>0</v>
      </c>
      <c r="P3654" t="s">
        <v>162</v>
      </c>
      <c r="Q3654" t="s">
        <v>111</v>
      </c>
      <c r="R3654" t="s">
        <v>111</v>
      </c>
      <c r="S3654" s="1">
        <v>46123</v>
      </c>
      <c r="T3654" s="1">
        <v>46123</v>
      </c>
      <c r="V3654" s="1">
        <v>46488</v>
      </c>
      <c r="W3654" t="s">
        <v>38</v>
      </c>
      <c r="X3654">
        <v>12</v>
      </c>
      <c r="Y3654" t="s">
        <v>49</v>
      </c>
      <c r="AA3654" t="s">
        <v>112</v>
      </c>
      <c r="AB3654">
        <v>1</v>
      </c>
      <c r="AC3654" t="s">
        <v>113</v>
      </c>
      <c r="AD3654" t="s">
        <v>85</v>
      </c>
      <c r="AE3654" t="s">
        <v>46</v>
      </c>
      <c r="AF3654" t="s">
        <v>44</v>
      </c>
      <c r="AG3654" t="str">
        <f t="shared" si="75"/>
        <v>À Vista</v>
      </c>
      <c r="AH3654" t="str">
        <f t="shared" si="76"/>
        <v/>
      </c>
    </row>
    <row r="3655" spans="1:34">
      <c r="A3655">
        <v>2026</v>
      </c>
      <c r="B3655">
        <v>4</v>
      </c>
      <c r="C3655" s="83">
        <v>2137409</v>
      </c>
      <c r="D3655" t="s">
        <v>3207</v>
      </c>
      <c r="E3655">
        <v>59330562185</v>
      </c>
      <c r="F3655">
        <v>509623</v>
      </c>
      <c r="G3655">
        <v>54466242401</v>
      </c>
      <c r="H3655" t="s">
        <v>35</v>
      </c>
      <c r="I3655" s="36">
        <v>3289.8</v>
      </c>
      <c r="J3655" s="36">
        <v>3289.8</v>
      </c>
      <c r="K3655" s="85">
        <v>0</v>
      </c>
      <c r="L3655" s="36">
        <v>274.14999999999998</v>
      </c>
      <c r="M3655" s="36">
        <v>0</v>
      </c>
      <c r="N3655" s="36">
        <v>26.946249999999999</v>
      </c>
      <c r="O3655" s="36">
        <v>247.2</v>
      </c>
      <c r="P3655" t="s">
        <v>137</v>
      </c>
      <c r="Q3655" t="s">
        <v>111</v>
      </c>
      <c r="R3655" t="s">
        <v>111</v>
      </c>
      <c r="S3655" s="1">
        <v>46135</v>
      </c>
      <c r="T3655" s="1">
        <v>46135</v>
      </c>
      <c r="U3655" s="1">
        <v>46130</v>
      </c>
      <c r="V3655" s="1">
        <v>46500</v>
      </c>
      <c r="W3655" t="s">
        <v>38</v>
      </c>
      <c r="X3655">
        <v>12</v>
      </c>
      <c r="Y3655" t="s">
        <v>49</v>
      </c>
      <c r="Z3655" t="s">
        <v>81</v>
      </c>
      <c r="AA3655" t="s">
        <v>112</v>
      </c>
      <c r="AB3655">
        <v>12</v>
      </c>
      <c r="AC3655" t="s">
        <v>113</v>
      </c>
      <c r="AD3655" t="s">
        <v>160</v>
      </c>
      <c r="AE3655" t="s">
        <v>43</v>
      </c>
      <c r="AF3655" t="s">
        <v>44</v>
      </c>
      <c r="AG3655" t="str">
        <f t="shared" si="75"/>
        <v>CC 12x</v>
      </c>
      <c r="AH3655" t="str">
        <f t="shared" si="76"/>
        <v/>
      </c>
    </row>
    <row r="3656" spans="1:34">
      <c r="A3656">
        <v>2026</v>
      </c>
      <c r="B3656">
        <v>4</v>
      </c>
      <c r="C3656" s="83">
        <v>213813755147</v>
      </c>
      <c r="D3656" t="s">
        <v>3208</v>
      </c>
      <c r="E3656">
        <v>59003144523</v>
      </c>
      <c r="F3656">
        <v>636943</v>
      </c>
      <c r="G3656">
        <v>54118803857</v>
      </c>
      <c r="H3656" t="s">
        <v>35</v>
      </c>
      <c r="I3656" s="36">
        <v>2586.6</v>
      </c>
      <c r="J3656" s="36">
        <v>2586.6</v>
      </c>
      <c r="K3656" s="85">
        <v>0</v>
      </c>
      <c r="L3656" s="36">
        <v>215.55</v>
      </c>
      <c r="M3656" s="36">
        <v>215.55</v>
      </c>
      <c r="N3656" s="36">
        <v>0</v>
      </c>
      <c r="O3656" s="36">
        <v>0</v>
      </c>
      <c r="P3656" t="s">
        <v>506</v>
      </c>
      <c r="Q3656" t="s">
        <v>300</v>
      </c>
      <c r="R3656" t="s">
        <v>300</v>
      </c>
      <c r="S3656" s="1">
        <v>46120</v>
      </c>
      <c r="T3656" s="1">
        <v>46120</v>
      </c>
      <c r="U3656" s="1"/>
      <c r="V3656" s="1">
        <v>46485</v>
      </c>
      <c r="W3656" t="s">
        <v>38</v>
      </c>
      <c r="X3656">
        <v>12</v>
      </c>
      <c r="Y3656" t="s">
        <v>49</v>
      </c>
      <c r="AA3656" t="s">
        <v>112</v>
      </c>
      <c r="AB3656">
        <v>1</v>
      </c>
      <c r="AC3656" t="s">
        <v>301</v>
      </c>
      <c r="AD3656" t="s">
        <v>140</v>
      </c>
      <c r="AE3656" t="s">
        <v>46</v>
      </c>
      <c r="AF3656" t="s">
        <v>119</v>
      </c>
      <c r="AG3656" t="str">
        <f t="shared" si="75"/>
        <v>À Vista</v>
      </c>
      <c r="AH3656" t="str">
        <f t="shared" si="76"/>
        <v/>
      </c>
    </row>
    <row r="3657" spans="1:34">
      <c r="A3657">
        <v>2026</v>
      </c>
      <c r="B3657">
        <v>4</v>
      </c>
      <c r="C3657" s="83">
        <v>213899067255</v>
      </c>
      <c r="D3657" t="s">
        <v>3209</v>
      </c>
      <c r="E3657">
        <v>58176355139</v>
      </c>
      <c r="F3657">
        <v>533296</v>
      </c>
      <c r="G3657">
        <v>54149976064</v>
      </c>
      <c r="H3657" t="s">
        <v>35</v>
      </c>
      <c r="I3657" s="36">
        <v>7747.2</v>
      </c>
      <c r="J3657" s="36">
        <v>7747.2</v>
      </c>
      <c r="K3657" s="85">
        <v>0</v>
      </c>
      <c r="L3657" s="36">
        <v>645.6</v>
      </c>
      <c r="M3657" s="36">
        <v>0</v>
      </c>
      <c r="N3657" s="36">
        <v>0</v>
      </c>
      <c r="O3657" s="36">
        <v>645.6</v>
      </c>
      <c r="P3657" t="s">
        <v>127</v>
      </c>
      <c r="Q3657" t="s">
        <v>111</v>
      </c>
      <c r="R3657" t="s">
        <v>111</v>
      </c>
      <c r="S3657" s="1">
        <v>46122</v>
      </c>
      <c r="T3657" s="1">
        <v>46122</v>
      </c>
      <c r="U3657" s="1">
        <v>46131</v>
      </c>
      <c r="V3657" s="1">
        <v>46496</v>
      </c>
      <c r="W3657" t="s">
        <v>38</v>
      </c>
      <c r="X3657">
        <v>12</v>
      </c>
      <c r="Y3657" t="s">
        <v>49</v>
      </c>
      <c r="Z3657" t="s">
        <v>81</v>
      </c>
      <c r="AA3657" t="s">
        <v>122</v>
      </c>
      <c r="AB3657">
        <v>12</v>
      </c>
      <c r="AC3657" t="s">
        <v>113</v>
      </c>
      <c r="AD3657" t="s">
        <v>131</v>
      </c>
      <c r="AE3657" t="s">
        <v>46</v>
      </c>
      <c r="AF3657" t="s">
        <v>96</v>
      </c>
      <c r="AG3657" t="str">
        <f t="shared" si="75"/>
        <v>Recorrente</v>
      </c>
      <c r="AH3657" t="str">
        <f t="shared" si="76"/>
        <v/>
      </c>
    </row>
    <row r="3658" spans="1:34">
      <c r="A3658">
        <v>2026</v>
      </c>
      <c r="B3658">
        <v>4</v>
      </c>
      <c r="C3658" s="83">
        <v>213899067255</v>
      </c>
      <c r="D3658" t="s">
        <v>3209</v>
      </c>
      <c r="E3658">
        <v>58842629732</v>
      </c>
      <c r="F3658">
        <v>636884</v>
      </c>
      <c r="G3658">
        <v>54006377142</v>
      </c>
      <c r="H3658" t="s">
        <v>104</v>
      </c>
      <c r="I3658" s="36">
        <v>718.8</v>
      </c>
      <c r="J3658" s="36">
        <v>718.8</v>
      </c>
      <c r="K3658" s="85">
        <v>0</v>
      </c>
      <c r="L3658" s="36">
        <v>59.9</v>
      </c>
      <c r="M3658" s="36">
        <v>59.9</v>
      </c>
      <c r="N3658" s="36">
        <v>0</v>
      </c>
      <c r="O3658" s="36">
        <v>0</v>
      </c>
      <c r="P3658" t="s">
        <v>497</v>
      </c>
      <c r="Q3658" t="s">
        <v>498</v>
      </c>
      <c r="R3658" t="s">
        <v>498</v>
      </c>
      <c r="S3658" s="1">
        <v>46116</v>
      </c>
      <c r="T3658" s="1">
        <v>46116</v>
      </c>
      <c r="V3658" s="1">
        <v>46481</v>
      </c>
      <c r="W3658" t="s">
        <v>38</v>
      </c>
      <c r="X3658">
        <v>12</v>
      </c>
      <c r="Y3658" t="s">
        <v>49</v>
      </c>
      <c r="AA3658" t="s">
        <v>112</v>
      </c>
      <c r="AB3658">
        <v>3</v>
      </c>
      <c r="AC3658" t="s">
        <v>499</v>
      </c>
      <c r="AD3658" t="s">
        <v>105</v>
      </c>
      <c r="AE3658" t="s">
        <v>106</v>
      </c>
      <c r="AF3658" t="s">
        <v>59</v>
      </c>
      <c r="AG3658" t="str">
        <f t="shared" si="75"/>
        <v>CC 3x</v>
      </c>
      <c r="AH3658" t="str">
        <f t="shared" si="76"/>
        <v/>
      </c>
    </row>
    <row r="3659" spans="1:34">
      <c r="A3659">
        <v>2026</v>
      </c>
      <c r="B3659">
        <v>4</v>
      </c>
      <c r="C3659" s="83">
        <v>213912141743</v>
      </c>
      <c r="D3659" t="s">
        <v>3210</v>
      </c>
      <c r="E3659">
        <v>58878250865</v>
      </c>
      <c r="F3659">
        <v>637007</v>
      </c>
      <c r="G3659">
        <v>54205124508</v>
      </c>
      <c r="H3659" t="s">
        <v>35</v>
      </c>
      <c r="I3659" s="36">
        <v>2400.12</v>
      </c>
      <c r="J3659" s="36">
        <v>2400.0774000000001</v>
      </c>
      <c r="K3659" s="85">
        <v>4.2599999999999999E-2</v>
      </c>
      <c r="L3659" s="36">
        <v>200.00645</v>
      </c>
      <c r="M3659" s="36">
        <v>200.00645</v>
      </c>
      <c r="N3659" s="36">
        <v>0</v>
      </c>
      <c r="O3659" s="36">
        <v>0</v>
      </c>
      <c r="P3659" t="s">
        <v>506</v>
      </c>
      <c r="Q3659" t="s">
        <v>300</v>
      </c>
      <c r="R3659" t="s">
        <v>300</v>
      </c>
      <c r="S3659" s="1">
        <v>46122</v>
      </c>
      <c r="T3659" s="1">
        <v>46122</v>
      </c>
      <c r="V3659" s="1">
        <v>46487</v>
      </c>
      <c r="W3659" t="s">
        <v>38</v>
      </c>
      <c r="X3659">
        <v>12</v>
      </c>
      <c r="Y3659" t="s">
        <v>49</v>
      </c>
      <c r="AA3659" t="s">
        <v>112</v>
      </c>
      <c r="AB3659">
        <v>12</v>
      </c>
      <c r="AC3659" t="s">
        <v>301</v>
      </c>
      <c r="AD3659" t="s">
        <v>118</v>
      </c>
      <c r="AE3659" t="s">
        <v>43</v>
      </c>
      <c r="AF3659" t="s">
        <v>119</v>
      </c>
      <c r="AG3659" t="str">
        <f t="shared" si="75"/>
        <v>CC 12x</v>
      </c>
      <c r="AH3659" t="str">
        <f t="shared" si="76"/>
        <v/>
      </c>
    </row>
    <row r="3660" spans="1:34">
      <c r="A3660">
        <v>2026</v>
      </c>
      <c r="B3660">
        <v>4</v>
      </c>
      <c r="C3660" s="83">
        <v>213939354761</v>
      </c>
      <c r="D3660" t="s">
        <v>3211</v>
      </c>
      <c r="E3660">
        <v>58892680628</v>
      </c>
      <c r="F3660">
        <v>628382</v>
      </c>
      <c r="G3660">
        <v>54035532460</v>
      </c>
      <c r="H3660" t="s">
        <v>35</v>
      </c>
      <c r="I3660" s="36">
        <v>4890.84</v>
      </c>
      <c r="J3660" s="36">
        <v>4890.84</v>
      </c>
      <c r="K3660" s="85">
        <v>0</v>
      </c>
      <c r="L3660" s="36">
        <v>407.57</v>
      </c>
      <c r="M3660" s="36">
        <v>0</v>
      </c>
      <c r="N3660" s="36">
        <v>22.524999999999999</v>
      </c>
      <c r="O3660" s="36">
        <v>385.05</v>
      </c>
      <c r="P3660" t="s">
        <v>121</v>
      </c>
      <c r="Q3660" t="s">
        <v>111</v>
      </c>
      <c r="R3660" t="s">
        <v>111</v>
      </c>
      <c r="S3660" s="1">
        <v>46120</v>
      </c>
      <c r="T3660" s="1">
        <v>46120</v>
      </c>
      <c r="U3660" s="1">
        <v>46120</v>
      </c>
      <c r="V3660" s="1">
        <v>46485</v>
      </c>
      <c r="W3660" t="s">
        <v>38</v>
      </c>
      <c r="X3660">
        <v>12</v>
      </c>
      <c r="Y3660" t="s">
        <v>49</v>
      </c>
      <c r="Z3660" t="s">
        <v>81</v>
      </c>
      <c r="AA3660" t="s">
        <v>122</v>
      </c>
      <c r="AB3660">
        <v>12</v>
      </c>
      <c r="AC3660" t="s">
        <v>113</v>
      </c>
      <c r="AD3660" t="s">
        <v>85</v>
      </c>
      <c r="AE3660" t="s">
        <v>46</v>
      </c>
      <c r="AF3660" t="s">
        <v>44</v>
      </c>
      <c r="AG3660" t="str">
        <f t="shared" si="75"/>
        <v>Recorrente</v>
      </c>
      <c r="AH3660" t="str">
        <f t="shared" si="76"/>
        <v/>
      </c>
    </row>
    <row r="3661" spans="1:34">
      <c r="A3661">
        <v>2026</v>
      </c>
      <c r="B3661">
        <v>4</v>
      </c>
      <c r="C3661" s="83">
        <v>2139430</v>
      </c>
      <c r="D3661" t="s">
        <v>215</v>
      </c>
      <c r="E3661">
        <v>59851364183</v>
      </c>
      <c r="F3661">
        <v>274882</v>
      </c>
      <c r="G3661">
        <v>54884894292</v>
      </c>
      <c r="H3661" t="s">
        <v>35</v>
      </c>
      <c r="I3661" s="36">
        <v>2769</v>
      </c>
      <c r="J3661" s="36">
        <v>4029.72</v>
      </c>
      <c r="K3661" s="85">
        <v>0</v>
      </c>
      <c r="L3661" s="36">
        <v>335.81</v>
      </c>
      <c r="M3661" s="36">
        <v>0</v>
      </c>
      <c r="N3661" s="36">
        <v>335.81</v>
      </c>
      <c r="O3661" s="36">
        <v>0</v>
      </c>
      <c r="P3661" t="s">
        <v>469</v>
      </c>
      <c r="Q3661" t="s">
        <v>191</v>
      </c>
      <c r="R3661" t="s">
        <v>191</v>
      </c>
      <c r="S3661" s="1">
        <v>46142</v>
      </c>
      <c r="T3661" s="1">
        <v>46142</v>
      </c>
      <c r="U3661" s="1">
        <v>46393</v>
      </c>
      <c r="V3661" s="1">
        <v>46393</v>
      </c>
      <c r="W3661" t="s">
        <v>38</v>
      </c>
      <c r="X3661">
        <v>9</v>
      </c>
      <c r="Y3661" t="s">
        <v>49</v>
      </c>
      <c r="Z3661" t="s">
        <v>324</v>
      </c>
      <c r="AA3661" t="s">
        <v>122</v>
      </c>
      <c r="AB3661">
        <v>8</v>
      </c>
      <c r="AC3661" t="s">
        <v>192</v>
      </c>
      <c r="AD3661" t="s">
        <v>85</v>
      </c>
      <c r="AE3661" t="s">
        <v>46</v>
      </c>
      <c r="AF3661" t="s">
        <v>44</v>
      </c>
      <c r="AG3661" t="str">
        <f t="shared" si="75"/>
        <v>Recorrente</v>
      </c>
      <c r="AH3661" t="str">
        <f t="shared" si="76"/>
        <v/>
      </c>
    </row>
    <row r="3662" spans="1:34">
      <c r="A3662">
        <v>2026</v>
      </c>
      <c r="B3662">
        <v>4</v>
      </c>
      <c r="C3662" s="83">
        <v>213993755456</v>
      </c>
      <c r="D3662" t="s">
        <v>3212</v>
      </c>
      <c r="E3662">
        <v>59000646667</v>
      </c>
      <c r="F3662">
        <v>637100</v>
      </c>
      <c r="G3662">
        <v>54118631196</v>
      </c>
      <c r="H3662" t="s">
        <v>35</v>
      </c>
      <c r="I3662" s="36">
        <v>2644.08</v>
      </c>
      <c r="J3662" s="36">
        <v>2644.08</v>
      </c>
      <c r="K3662" s="85">
        <v>0</v>
      </c>
      <c r="L3662" s="36">
        <v>220.34</v>
      </c>
      <c r="M3662" s="36">
        <v>220.34</v>
      </c>
      <c r="N3662" s="36">
        <v>0</v>
      </c>
      <c r="O3662" s="36">
        <v>0</v>
      </c>
      <c r="P3662" t="s">
        <v>2004</v>
      </c>
      <c r="Q3662" t="s">
        <v>300</v>
      </c>
      <c r="R3662" t="s">
        <v>300</v>
      </c>
      <c r="S3662" s="1">
        <v>46127</v>
      </c>
      <c r="T3662" s="1">
        <v>46127</v>
      </c>
      <c r="V3662" s="1">
        <v>46492</v>
      </c>
      <c r="W3662" t="s">
        <v>38</v>
      </c>
      <c r="X3662">
        <v>12</v>
      </c>
      <c r="Y3662" t="s">
        <v>49</v>
      </c>
      <c r="AA3662" t="s">
        <v>112</v>
      </c>
      <c r="AB3662">
        <v>12</v>
      </c>
      <c r="AC3662" t="s">
        <v>301</v>
      </c>
      <c r="AD3662" t="s">
        <v>118</v>
      </c>
      <c r="AE3662" t="s">
        <v>43</v>
      </c>
      <c r="AF3662" t="s">
        <v>119</v>
      </c>
      <c r="AG3662" t="str">
        <f t="shared" si="75"/>
        <v>CC 12x</v>
      </c>
      <c r="AH3662" t="str">
        <f t="shared" si="76"/>
        <v/>
      </c>
    </row>
    <row r="3663" spans="1:34">
      <c r="A3663">
        <v>2026</v>
      </c>
      <c r="B3663">
        <v>4</v>
      </c>
      <c r="C3663" s="83">
        <v>213994353803</v>
      </c>
      <c r="D3663" t="s">
        <v>3213</v>
      </c>
      <c r="E3663">
        <v>58884722346</v>
      </c>
      <c r="F3663">
        <v>636900</v>
      </c>
      <c r="G3663">
        <v>54018371368</v>
      </c>
      <c r="H3663" t="s">
        <v>104</v>
      </c>
      <c r="I3663" s="36">
        <v>718.8</v>
      </c>
      <c r="J3663" s="36">
        <v>718.8</v>
      </c>
      <c r="K3663" s="85">
        <v>0</v>
      </c>
      <c r="L3663" s="36">
        <v>59.9</v>
      </c>
      <c r="M3663" s="36">
        <v>59.9</v>
      </c>
      <c r="N3663" s="36">
        <v>0</v>
      </c>
      <c r="O3663" s="36">
        <v>0</v>
      </c>
      <c r="P3663" t="s">
        <v>497</v>
      </c>
      <c r="Q3663" t="s">
        <v>498</v>
      </c>
      <c r="R3663" t="s">
        <v>498</v>
      </c>
      <c r="S3663" s="1">
        <v>46118</v>
      </c>
      <c r="T3663" s="1">
        <v>46118</v>
      </c>
      <c r="U3663" s="1"/>
      <c r="V3663" s="1">
        <v>46483</v>
      </c>
      <c r="W3663" t="s">
        <v>38</v>
      </c>
      <c r="X3663">
        <v>12</v>
      </c>
      <c r="Y3663" t="s">
        <v>49</v>
      </c>
      <c r="AA3663" t="s">
        <v>112</v>
      </c>
      <c r="AB3663">
        <v>12</v>
      </c>
      <c r="AC3663" t="s">
        <v>499</v>
      </c>
      <c r="AD3663" t="s">
        <v>105</v>
      </c>
      <c r="AE3663" t="s">
        <v>106</v>
      </c>
      <c r="AF3663" t="s">
        <v>59</v>
      </c>
      <c r="AG3663" t="str">
        <f t="shared" si="75"/>
        <v>CC 12x</v>
      </c>
      <c r="AH3663" t="str">
        <f t="shared" si="76"/>
        <v/>
      </c>
    </row>
    <row r="3664" spans="1:34">
      <c r="A3664">
        <v>2026</v>
      </c>
      <c r="B3664">
        <v>4</v>
      </c>
      <c r="C3664" s="83">
        <v>214006541351</v>
      </c>
      <c r="D3664" t="s">
        <v>3214</v>
      </c>
      <c r="E3664">
        <v>58914001159</v>
      </c>
      <c r="F3664">
        <v>636926</v>
      </c>
      <c r="G3664">
        <v>54041614655</v>
      </c>
      <c r="H3664" t="s">
        <v>35</v>
      </c>
      <c r="I3664" s="36">
        <v>3114</v>
      </c>
      <c r="J3664" s="36">
        <v>3114</v>
      </c>
      <c r="K3664" s="85">
        <v>0</v>
      </c>
      <c r="L3664" s="36">
        <v>259.5</v>
      </c>
      <c r="M3664" s="36">
        <v>259.5</v>
      </c>
      <c r="N3664" s="36">
        <v>0</v>
      </c>
      <c r="O3664" s="36">
        <v>0</v>
      </c>
      <c r="P3664" t="s">
        <v>2004</v>
      </c>
      <c r="Q3664" t="s">
        <v>300</v>
      </c>
      <c r="R3664" t="s">
        <v>300</v>
      </c>
      <c r="S3664" s="1">
        <v>46119</v>
      </c>
      <c r="T3664" s="1">
        <v>46119</v>
      </c>
      <c r="V3664" s="1"/>
      <c r="W3664" t="s">
        <v>2733</v>
      </c>
      <c r="Y3664" t="s">
        <v>49</v>
      </c>
      <c r="AA3664" t="s">
        <v>122</v>
      </c>
      <c r="AB3664">
        <v>12</v>
      </c>
      <c r="AC3664" t="s">
        <v>301</v>
      </c>
      <c r="AD3664" t="s">
        <v>2734</v>
      </c>
      <c r="AE3664" t="s">
        <v>106</v>
      </c>
      <c r="AF3664" t="s">
        <v>59</v>
      </c>
      <c r="AG3664" t="str">
        <f t="shared" si="75"/>
        <v>Recorrente</v>
      </c>
      <c r="AH3664" t="str">
        <f t="shared" si="76"/>
        <v/>
      </c>
    </row>
    <row r="3665" spans="1:34">
      <c r="A3665">
        <v>2026</v>
      </c>
      <c r="B3665">
        <v>4</v>
      </c>
      <c r="C3665" s="83">
        <v>214087069700</v>
      </c>
      <c r="D3665" t="s">
        <v>3215</v>
      </c>
      <c r="E3665">
        <v>58962664233</v>
      </c>
      <c r="F3665">
        <v>636973</v>
      </c>
      <c r="G3665">
        <v>54154637652</v>
      </c>
      <c r="H3665" t="s">
        <v>35</v>
      </c>
      <c r="I3665" s="36">
        <v>3114</v>
      </c>
      <c r="J3665" s="36">
        <v>3114</v>
      </c>
      <c r="K3665" s="85">
        <v>0</v>
      </c>
      <c r="L3665" s="36">
        <v>259.5</v>
      </c>
      <c r="M3665" s="36">
        <v>259.5</v>
      </c>
      <c r="N3665" s="36">
        <v>0</v>
      </c>
      <c r="O3665" s="36">
        <v>0</v>
      </c>
      <c r="P3665" t="s">
        <v>506</v>
      </c>
      <c r="Q3665" t="s">
        <v>300</v>
      </c>
      <c r="R3665" t="s">
        <v>300</v>
      </c>
      <c r="S3665" s="1">
        <v>46121</v>
      </c>
      <c r="T3665" s="1">
        <v>46121</v>
      </c>
      <c r="U3665" s="1"/>
      <c r="V3665" s="1"/>
      <c r="W3665" t="s">
        <v>2733</v>
      </c>
      <c r="Y3665" t="s">
        <v>49</v>
      </c>
      <c r="AA3665" t="s">
        <v>122</v>
      </c>
      <c r="AB3665">
        <v>12</v>
      </c>
      <c r="AC3665" t="s">
        <v>301</v>
      </c>
      <c r="AD3665" t="s">
        <v>2734</v>
      </c>
      <c r="AE3665" t="s">
        <v>106</v>
      </c>
      <c r="AF3665" t="s">
        <v>59</v>
      </c>
      <c r="AG3665" t="str">
        <f t="shared" si="75"/>
        <v>Recorrente</v>
      </c>
      <c r="AH3665" t="str">
        <f t="shared" si="76"/>
        <v/>
      </c>
    </row>
    <row r="3666" spans="1:34">
      <c r="A3666">
        <v>2026</v>
      </c>
      <c r="B3666">
        <v>4</v>
      </c>
      <c r="C3666" s="83">
        <v>2141106</v>
      </c>
      <c r="D3666" t="s">
        <v>3216</v>
      </c>
      <c r="E3666">
        <v>59297526533</v>
      </c>
      <c r="F3666">
        <v>637185</v>
      </c>
      <c r="G3666">
        <v>54381782883</v>
      </c>
      <c r="H3666" t="s">
        <v>35</v>
      </c>
      <c r="I3666" s="36">
        <v>4890.84</v>
      </c>
      <c r="J3666" s="36">
        <v>4890.8999999999996</v>
      </c>
      <c r="K3666" s="85">
        <v>0</v>
      </c>
      <c r="L3666" s="36">
        <v>407.57499999999999</v>
      </c>
      <c r="M3666" s="36">
        <v>407.57499999999999</v>
      </c>
      <c r="N3666" s="36">
        <v>0</v>
      </c>
      <c r="O3666" s="36">
        <v>0</v>
      </c>
      <c r="P3666" t="s">
        <v>1073</v>
      </c>
      <c r="Q3666" t="s">
        <v>314</v>
      </c>
      <c r="R3666" t="s">
        <v>314</v>
      </c>
      <c r="S3666" s="1">
        <v>46129</v>
      </c>
      <c r="T3666" s="1">
        <v>46129</v>
      </c>
      <c r="V3666" s="1">
        <v>46494</v>
      </c>
      <c r="W3666" t="s">
        <v>38</v>
      </c>
      <c r="X3666">
        <v>12</v>
      </c>
      <c r="Y3666" t="s">
        <v>49</v>
      </c>
      <c r="AA3666" t="s">
        <v>112</v>
      </c>
      <c r="AB3666">
        <v>12</v>
      </c>
      <c r="AC3666" t="s">
        <v>315</v>
      </c>
      <c r="AD3666" t="s">
        <v>85</v>
      </c>
      <c r="AE3666" t="s">
        <v>46</v>
      </c>
      <c r="AF3666" t="s">
        <v>44</v>
      </c>
      <c r="AG3666" t="str">
        <f t="shared" si="75"/>
        <v>CC 12x</v>
      </c>
      <c r="AH3666" t="str">
        <f t="shared" si="76"/>
        <v/>
      </c>
    </row>
    <row r="3667" spans="1:34">
      <c r="A3667">
        <v>2026</v>
      </c>
      <c r="B3667">
        <v>4</v>
      </c>
      <c r="C3667" s="83">
        <v>214141238833</v>
      </c>
      <c r="D3667" t="s">
        <v>3217</v>
      </c>
      <c r="E3667">
        <v>58805011326</v>
      </c>
      <c r="F3667">
        <v>529539</v>
      </c>
      <c r="G3667">
        <v>54041677670</v>
      </c>
      <c r="H3667" t="s">
        <v>35</v>
      </c>
      <c r="I3667" s="36">
        <v>4401.84</v>
      </c>
      <c r="J3667" s="36">
        <v>4401.84</v>
      </c>
      <c r="K3667" s="85">
        <v>0</v>
      </c>
      <c r="L3667" s="36">
        <v>366.82</v>
      </c>
      <c r="M3667" s="36">
        <v>0</v>
      </c>
      <c r="N3667" s="36">
        <v>0</v>
      </c>
      <c r="O3667" s="36">
        <v>366.8175</v>
      </c>
      <c r="P3667" t="s">
        <v>116</v>
      </c>
      <c r="Q3667" t="s">
        <v>111</v>
      </c>
      <c r="R3667" t="s">
        <v>111</v>
      </c>
      <c r="S3667" s="1">
        <v>46119</v>
      </c>
      <c r="T3667" s="1">
        <v>46119</v>
      </c>
      <c r="U3667" s="1">
        <v>46115</v>
      </c>
      <c r="V3667" s="1">
        <v>46484</v>
      </c>
      <c r="W3667" t="s">
        <v>38</v>
      </c>
      <c r="X3667">
        <v>12</v>
      </c>
      <c r="Y3667" t="s">
        <v>49</v>
      </c>
      <c r="Z3667" t="s">
        <v>76</v>
      </c>
      <c r="AA3667" t="s">
        <v>112</v>
      </c>
      <c r="AB3667">
        <v>6</v>
      </c>
      <c r="AC3667" t="s">
        <v>113</v>
      </c>
      <c r="AD3667" t="s">
        <v>85</v>
      </c>
      <c r="AE3667" t="s">
        <v>46</v>
      </c>
      <c r="AF3667" t="s">
        <v>44</v>
      </c>
      <c r="AG3667" t="str">
        <f t="shared" si="75"/>
        <v>CC 12x</v>
      </c>
      <c r="AH3667" t="str">
        <f t="shared" si="76"/>
        <v/>
      </c>
    </row>
    <row r="3668" spans="1:34">
      <c r="A3668">
        <v>2026</v>
      </c>
      <c r="B3668">
        <v>4</v>
      </c>
      <c r="C3668" s="83">
        <v>2141511</v>
      </c>
      <c r="D3668" t="s">
        <v>3218</v>
      </c>
      <c r="E3668">
        <v>59136347515</v>
      </c>
      <c r="F3668">
        <v>637063</v>
      </c>
      <c r="G3668">
        <v>54270337208</v>
      </c>
      <c r="H3668" t="s">
        <v>35</v>
      </c>
      <c r="I3668" s="36">
        <v>2874</v>
      </c>
      <c r="J3668" s="36">
        <v>2874</v>
      </c>
      <c r="K3668" s="85">
        <v>0</v>
      </c>
      <c r="L3668" s="36">
        <v>239.5</v>
      </c>
      <c r="M3668" s="36">
        <v>239.5</v>
      </c>
      <c r="N3668" s="36">
        <v>0</v>
      </c>
      <c r="O3668" s="36">
        <v>0</v>
      </c>
      <c r="P3668" t="s">
        <v>2004</v>
      </c>
      <c r="Q3668" t="s">
        <v>300</v>
      </c>
      <c r="R3668" t="s">
        <v>300</v>
      </c>
      <c r="S3668" s="1">
        <v>46125</v>
      </c>
      <c r="T3668" s="1">
        <v>46125</v>
      </c>
      <c r="U3668" s="1"/>
      <c r="V3668" s="1">
        <v>46490</v>
      </c>
      <c r="W3668" t="s">
        <v>38</v>
      </c>
      <c r="X3668">
        <v>12</v>
      </c>
      <c r="Y3668" t="s">
        <v>49</v>
      </c>
      <c r="AA3668" t="s">
        <v>122</v>
      </c>
      <c r="AB3668">
        <v>12</v>
      </c>
      <c r="AC3668" t="s">
        <v>301</v>
      </c>
      <c r="AD3668" t="s">
        <v>118</v>
      </c>
      <c r="AE3668" t="s">
        <v>43</v>
      </c>
      <c r="AF3668" t="s">
        <v>119</v>
      </c>
      <c r="AG3668" t="str">
        <f t="shared" si="75"/>
        <v>Recorrente</v>
      </c>
      <c r="AH3668" t="str">
        <f t="shared" si="76"/>
        <v/>
      </c>
    </row>
    <row r="3669" spans="1:34">
      <c r="A3669">
        <v>2026</v>
      </c>
      <c r="B3669">
        <v>4</v>
      </c>
      <c r="C3669" s="83">
        <v>2141511</v>
      </c>
      <c r="D3669" t="s">
        <v>3218</v>
      </c>
      <c r="E3669">
        <v>59845088581</v>
      </c>
      <c r="F3669">
        <v>637063</v>
      </c>
      <c r="G3669">
        <v>54881311496</v>
      </c>
      <c r="H3669" t="s">
        <v>35</v>
      </c>
      <c r="I3669" s="36">
        <v>3317.88</v>
      </c>
      <c r="J3669" s="36">
        <v>3482.52</v>
      </c>
      <c r="K3669" s="85">
        <v>0</v>
      </c>
      <c r="L3669" s="36">
        <v>290.20999999999998</v>
      </c>
      <c r="M3669" s="36">
        <v>0</v>
      </c>
      <c r="N3669" s="36">
        <v>290.20999999999998</v>
      </c>
      <c r="O3669" s="36">
        <v>0</v>
      </c>
      <c r="P3669" t="s">
        <v>2004</v>
      </c>
      <c r="Q3669" t="s">
        <v>300</v>
      </c>
      <c r="R3669" t="s">
        <v>300</v>
      </c>
      <c r="S3669" s="1">
        <v>46142</v>
      </c>
      <c r="T3669" s="1">
        <v>46142</v>
      </c>
      <c r="U3669" s="1">
        <v>46490</v>
      </c>
      <c r="V3669" s="1">
        <v>46490</v>
      </c>
      <c r="W3669" t="s">
        <v>38</v>
      </c>
      <c r="X3669">
        <v>12</v>
      </c>
      <c r="Y3669" t="s">
        <v>49</v>
      </c>
      <c r="Z3669" t="s">
        <v>324</v>
      </c>
      <c r="AA3669" t="s">
        <v>122</v>
      </c>
      <c r="AB3669">
        <v>11</v>
      </c>
      <c r="AC3669" t="s">
        <v>301</v>
      </c>
      <c r="AD3669" t="s">
        <v>149</v>
      </c>
      <c r="AE3669" t="s">
        <v>43</v>
      </c>
      <c r="AF3669" t="s">
        <v>96</v>
      </c>
      <c r="AG3669" t="str">
        <f t="shared" si="75"/>
        <v>Recorrente</v>
      </c>
      <c r="AH3669" t="str">
        <f t="shared" si="76"/>
        <v/>
      </c>
    </row>
    <row r="3670" spans="1:34">
      <c r="A3670">
        <v>2026</v>
      </c>
      <c r="B3670">
        <v>4</v>
      </c>
      <c r="C3670" s="83">
        <v>2141951</v>
      </c>
      <c r="D3670" t="s">
        <v>3219</v>
      </c>
      <c r="E3670">
        <v>59470485667</v>
      </c>
      <c r="F3670">
        <v>637470</v>
      </c>
      <c r="G3670">
        <v>54880535475</v>
      </c>
      <c r="H3670" t="s">
        <v>35</v>
      </c>
      <c r="I3670" s="36">
        <v>4603.2</v>
      </c>
      <c r="J3670" s="36">
        <v>4603.2</v>
      </c>
      <c r="K3670" s="85">
        <v>0</v>
      </c>
      <c r="L3670" s="36">
        <v>383.6</v>
      </c>
      <c r="M3670" s="36">
        <v>383.6</v>
      </c>
      <c r="N3670" s="36">
        <v>0</v>
      </c>
      <c r="O3670" s="36">
        <v>0</v>
      </c>
      <c r="P3670" t="s">
        <v>2004</v>
      </c>
      <c r="Q3670" t="s">
        <v>300</v>
      </c>
      <c r="R3670" t="s">
        <v>300</v>
      </c>
      <c r="S3670" s="1">
        <v>46141</v>
      </c>
      <c r="T3670" s="1">
        <v>46141</v>
      </c>
      <c r="V3670" s="1">
        <v>46506</v>
      </c>
      <c r="W3670" t="s">
        <v>38</v>
      </c>
      <c r="X3670">
        <v>12</v>
      </c>
      <c r="Y3670" t="s">
        <v>49</v>
      </c>
      <c r="AA3670" t="s">
        <v>117</v>
      </c>
      <c r="AB3670">
        <v>1</v>
      </c>
      <c r="AC3670" t="s">
        <v>301</v>
      </c>
      <c r="AD3670" t="s">
        <v>85</v>
      </c>
      <c r="AE3670" t="s">
        <v>46</v>
      </c>
      <c r="AF3670" t="s">
        <v>44</v>
      </c>
      <c r="AG3670" t="str">
        <f t="shared" si="75"/>
        <v>À Vista</v>
      </c>
      <c r="AH3670" t="str">
        <f t="shared" si="76"/>
        <v/>
      </c>
    </row>
    <row r="3671" spans="1:34">
      <c r="A3671">
        <v>2026</v>
      </c>
      <c r="B3671">
        <v>4</v>
      </c>
      <c r="C3671" s="83">
        <v>214211016568</v>
      </c>
      <c r="D3671" t="s">
        <v>3220</v>
      </c>
      <c r="E3671">
        <v>58964046609</v>
      </c>
      <c r="F3671">
        <v>637176</v>
      </c>
      <c r="G3671">
        <v>54381472076</v>
      </c>
      <c r="H3671" t="s">
        <v>35</v>
      </c>
      <c r="I3671" s="36">
        <v>2299.1999999999998</v>
      </c>
      <c r="J3671" s="36">
        <v>2299.1999999999998</v>
      </c>
      <c r="K3671" s="85">
        <v>0</v>
      </c>
      <c r="L3671" s="36">
        <v>191.6</v>
      </c>
      <c r="M3671" s="36">
        <v>191.6</v>
      </c>
      <c r="N3671" s="36">
        <v>0</v>
      </c>
      <c r="O3671" s="36">
        <v>0</v>
      </c>
      <c r="P3671" t="s">
        <v>829</v>
      </c>
      <c r="Q3671" t="s">
        <v>300</v>
      </c>
      <c r="R3671" t="s">
        <v>300</v>
      </c>
      <c r="S3671" s="1">
        <v>46129</v>
      </c>
      <c r="T3671" s="1">
        <v>46129</v>
      </c>
      <c r="V3671" s="1">
        <v>46494</v>
      </c>
      <c r="W3671" t="s">
        <v>38</v>
      </c>
      <c r="X3671">
        <v>12</v>
      </c>
      <c r="Y3671" t="s">
        <v>49</v>
      </c>
      <c r="AA3671" t="s">
        <v>112</v>
      </c>
      <c r="AB3671">
        <v>12</v>
      </c>
      <c r="AC3671" t="s">
        <v>301</v>
      </c>
      <c r="AD3671" t="s">
        <v>118</v>
      </c>
      <c r="AE3671" t="s">
        <v>43</v>
      </c>
      <c r="AF3671" t="s">
        <v>119</v>
      </c>
      <c r="AG3671" t="str">
        <f t="shared" si="75"/>
        <v>CC 12x</v>
      </c>
      <c r="AH3671" t="str">
        <f t="shared" si="76"/>
        <v/>
      </c>
    </row>
    <row r="3672" spans="1:34">
      <c r="A3672">
        <v>2026</v>
      </c>
      <c r="B3672">
        <v>4</v>
      </c>
      <c r="C3672" s="83">
        <v>214220726576</v>
      </c>
      <c r="D3672" t="s">
        <v>3221</v>
      </c>
      <c r="E3672">
        <v>59047839850</v>
      </c>
      <c r="F3672">
        <v>637009</v>
      </c>
      <c r="G3672">
        <v>54205183380</v>
      </c>
      <c r="H3672" t="s">
        <v>35</v>
      </c>
      <c r="I3672" s="36">
        <v>4686.84</v>
      </c>
      <c r="J3672" s="36">
        <v>4686.8999999999996</v>
      </c>
      <c r="K3672" s="85">
        <v>0</v>
      </c>
      <c r="L3672" s="36">
        <v>390.57499999999999</v>
      </c>
      <c r="M3672" s="36">
        <v>390.57499999999999</v>
      </c>
      <c r="N3672" s="36">
        <v>0</v>
      </c>
      <c r="O3672" s="36">
        <v>0</v>
      </c>
      <c r="P3672" t="s">
        <v>2004</v>
      </c>
      <c r="Q3672" t="s">
        <v>300</v>
      </c>
      <c r="R3672" t="s">
        <v>300</v>
      </c>
      <c r="S3672" s="1">
        <v>46122</v>
      </c>
      <c r="T3672" s="1">
        <v>46122</v>
      </c>
      <c r="V3672" s="1">
        <v>46487</v>
      </c>
      <c r="W3672" t="s">
        <v>38</v>
      </c>
      <c r="X3672">
        <v>12</v>
      </c>
      <c r="Y3672" t="s">
        <v>49</v>
      </c>
      <c r="AA3672" t="s">
        <v>112</v>
      </c>
      <c r="AB3672">
        <v>12</v>
      </c>
      <c r="AC3672" t="s">
        <v>301</v>
      </c>
      <c r="AD3672" t="s">
        <v>138</v>
      </c>
      <c r="AE3672" t="s">
        <v>135</v>
      </c>
      <c r="AF3672" t="s">
        <v>119</v>
      </c>
      <c r="AG3672" t="str">
        <f t="shared" si="75"/>
        <v>CC 12x</v>
      </c>
      <c r="AH3672" t="str">
        <f t="shared" si="76"/>
        <v/>
      </c>
    </row>
    <row r="3673" spans="1:34">
      <c r="A3673">
        <v>2026</v>
      </c>
      <c r="B3673">
        <v>4</v>
      </c>
      <c r="C3673" s="83">
        <v>214245738505</v>
      </c>
      <c r="D3673" t="s">
        <v>3222</v>
      </c>
      <c r="E3673">
        <v>59418913543</v>
      </c>
      <c r="F3673">
        <v>637227</v>
      </c>
      <c r="G3673">
        <v>54509890163</v>
      </c>
      <c r="H3673" t="s">
        <v>35</v>
      </c>
      <c r="I3673" s="36">
        <v>5514</v>
      </c>
      <c r="J3673" s="36">
        <v>5514</v>
      </c>
      <c r="K3673" s="85">
        <v>0</v>
      </c>
      <c r="L3673" s="36">
        <v>459.5</v>
      </c>
      <c r="M3673" s="36">
        <v>459.5</v>
      </c>
      <c r="N3673" s="36">
        <v>0</v>
      </c>
      <c r="O3673" s="36">
        <v>0</v>
      </c>
      <c r="P3673" t="s">
        <v>129</v>
      </c>
      <c r="Q3673" t="s">
        <v>91</v>
      </c>
      <c r="R3673" t="s">
        <v>91</v>
      </c>
      <c r="S3673" s="1">
        <v>46134</v>
      </c>
      <c r="T3673" s="1">
        <v>46134</v>
      </c>
      <c r="V3673" s="1">
        <v>46514</v>
      </c>
      <c r="W3673" t="s">
        <v>38</v>
      </c>
      <c r="X3673">
        <v>13</v>
      </c>
      <c r="Y3673" t="s">
        <v>49</v>
      </c>
      <c r="AA3673" t="s">
        <v>92</v>
      </c>
      <c r="AB3673">
        <v>12</v>
      </c>
      <c r="AC3673" t="s">
        <v>93</v>
      </c>
      <c r="AD3673" t="s">
        <v>138</v>
      </c>
      <c r="AE3673" t="s">
        <v>135</v>
      </c>
      <c r="AF3673" t="s">
        <v>119</v>
      </c>
      <c r="AG3673" t="str">
        <f t="shared" si="75"/>
        <v>Recorrente</v>
      </c>
      <c r="AH3673" t="str">
        <f t="shared" si="76"/>
        <v/>
      </c>
    </row>
    <row r="3674" spans="1:34">
      <c r="A3674">
        <v>2026</v>
      </c>
      <c r="B3674">
        <v>4</v>
      </c>
      <c r="C3674" s="83">
        <v>214248140156</v>
      </c>
      <c r="D3674" t="s">
        <v>3223</v>
      </c>
      <c r="E3674">
        <v>58966781581</v>
      </c>
      <c r="F3674">
        <v>637024</v>
      </c>
      <c r="G3674">
        <v>54205120027</v>
      </c>
      <c r="H3674" t="s">
        <v>35</v>
      </c>
      <c r="I3674" s="36">
        <v>2851.8</v>
      </c>
      <c r="J3674" s="36">
        <v>2851.8</v>
      </c>
      <c r="K3674" s="85">
        <v>4.5474699999999999E-13</v>
      </c>
      <c r="L3674" s="36">
        <v>237.65</v>
      </c>
      <c r="M3674" s="36">
        <v>237.65</v>
      </c>
      <c r="N3674" s="36">
        <v>0</v>
      </c>
      <c r="O3674" s="36">
        <v>0</v>
      </c>
      <c r="P3674" t="s">
        <v>506</v>
      </c>
      <c r="Q3674" t="s">
        <v>300</v>
      </c>
      <c r="R3674" t="s">
        <v>300</v>
      </c>
      <c r="S3674" s="1">
        <v>46122</v>
      </c>
      <c r="T3674" s="1">
        <v>46122</v>
      </c>
      <c r="V3674" s="1">
        <v>46487</v>
      </c>
      <c r="W3674" t="s">
        <v>38</v>
      </c>
      <c r="X3674">
        <v>12</v>
      </c>
      <c r="Y3674" t="s">
        <v>49</v>
      </c>
      <c r="AA3674" t="s">
        <v>122</v>
      </c>
      <c r="AB3674">
        <v>12</v>
      </c>
      <c r="AC3674" t="s">
        <v>301</v>
      </c>
      <c r="AD3674" t="s">
        <v>114</v>
      </c>
      <c r="AE3674" t="s">
        <v>43</v>
      </c>
      <c r="AF3674" t="s">
        <v>44</v>
      </c>
      <c r="AG3674" t="str">
        <f t="shared" si="75"/>
        <v>Recorrente</v>
      </c>
      <c r="AH3674" t="str">
        <f t="shared" si="76"/>
        <v/>
      </c>
    </row>
    <row r="3675" spans="1:34">
      <c r="A3675">
        <v>2026</v>
      </c>
      <c r="B3675">
        <v>4</v>
      </c>
      <c r="C3675" s="83">
        <v>214277691500</v>
      </c>
      <c r="D3675" t="s">
        <v>3224</v>
      </c>
      <c r="E3675">
        <v>59145926492</v>
      </c>
      <c r="F3675">
        <v>637069</v>
      </c>
      <c r="G3675">
        <v>54268553480</v>
      </c>
      <c r="H3675" t="s">
        <v>35</v>
      </c>
      <c r="I3675" s="36">
        <v>3114</v>
      </c>
      <c r="J3675" s="36">
        <v>3114</v>
      </c>
      <c r="K3675" s="85">
        <v>0</v>
      </c>
      <c r="L3675" s="36">
        <v>259.5</v>
      </c>
      <c r="M3675" s="36">
        <v>259.5</v>
      </c>
      <c r="N3675" s="36">
        <v>0</v>
      </c>
      <c r="O3675" s="36">
        <v>0</v>
      </c>
      <c r="P3675" t="s">
        <v>506</v>
      </c>
      <c r="Q3675" t="s">
        <v>300</v>
      </c>
      <c r="R3675" t="s">
        <v>300</v>
      </c>
      <c r="S3675" s="1">
        <v>46125</v>
      </c>
      <c r="T3675" s="1">
        <v>46125</v>
      </c>
      <c r="U3675" s="1"/>
      <c r="V3675" s="1"/>
      <c r="W3675" t="s">
        <v>2733</v>
      </c>
      <c r="Y3675" t="s">
        <v>49</v>
      </c>
      <c r="AA3675" t="s">
        <v>122</v>
      </c>
      <c r="AB3675">
        <v>12</v>
      </c>
      <c r="AC3675" t="s">
        <v>301</v>
      </c>
      <c r="AD3675" t="s">
        <v>2734</v>
      </c>
      <c r="AE3675" t="s">
        <v>106</v>
      </c>
      <c r="AF3675" t="s">
        <v>59</v>
      </c>
      <c r="AG3675" t="str">
        <f t="shared" si="75"/>
        <v>Recorrente</v>
      </c>
      <c r="AH3675" t="str">
        <f t="shared" si="76"/>
        <v/>
      </c>
    </row>
    <row r="3676" spans="1:34">
      <c r="A3676">
        <v>2026</v>
      </c>
      <c r="B3676">
        <v>4</v>
      </c>
      <c r="C3676" s="83">
        <v>214293345201</v>
      </c>
      <c r="D3676" t="s">
        <v>3225</v>
      </c>
      <c r="E3676">
        <v>58877631525</v>
      </c>
      <c r="F3676">
        <v>628281</v>
      </c>
      <c r="G3676">
        <v>54118626353</v>
      </c>
      <c r="H3676" t="s">
        <v>35</v>
      </c>
      <c r="I3676" s="36">
        <v>3074.52</v>
      </c>
      <c r="J3676" s="36">
        <v>3074.52</v>
      </c>
      <c r="K3676" s="85">
        <v>4.5474699999999999E-13</v>
      </c>
      <c r="L3676" s="36">
        <v>256.20999999999998</v>
      </c>
      <c r="M3676" s="36">
        <v>0</v>
      </c>
      <c r="N3676" s="36">
        <v>34.515000000000001</v>
      </c>
      <c r="O3676" s="36">
        <v>221.7</v>
      </c>
      <c r="P3676" t="s">
        <v>116</v>
      </c>
      <c r="Q3676" t="s">
        <v>111</v>
      </c>
      <c r="R3676" t="s">
        <v>111</v>
      </c>
      <c r="S3676" s="1">
        <v>46120</v>
      </c>
      <c r="T3676" s="1">
        <v>46120</v>
      </c>
      <c r="U3676" s="1">
        <v>46119</v>
      </c>
      <c r="V3676" s="1">
        <v>46485</v>
      </c>
      <c r="W3676" t="s">
        <v>38</v>
      </c>
      <c r="X3676">
        <v>12</v>
      </c>
      <c r="Y3676" t="s">
        <v>49</v>
      </c>
      <c r="Z3676" t="s">
        <v>76</v>
      </c>
      <c r="AA3676" t="s">
        <v>117</v>
      </c>
      <c r="AB3676">
        <v>1</v>
      </c>
      <c r="AC3676" t="s">
        <v>113</v>
      </c>
      <c r="AD3676" t="s">
        <v>84</v>
      </c>
      <c r="AE3676" t="s">
        <v>43</v>
      </c>
      <c r="AF3676" t="s">
        <v>44</v>
      </c>
      <c r="AG3676" t="str">
        <f t="shared" si="75"/>
        <v>À Vista</v>
      </c>
      <c r="AH3676" t="str">
        <f t="shared" si="76"/>
        <v/>
      </c>
    </row>
    <row r="3677" spans="1:34">
      <c r="A3677">
        <v>2026</v>
      </c>
      <c r="B3677">
        <v>4</v>
      </c>
      <c r="C3677" s="83">
        <v>214293345201</v>
      </c>
      <c r="D3677" t="s">
        <v>3225</v>
      </c>
      <c r="E3677">
        <v>58877631525</v>
      </c>
      <c r="F3677">
        <v>628281</v>
      </c>
      <c r="G3677">
        <v>54118626354</v>
      </c>
      <c r="H3677" t="s">
        <v>35</v>
      </c>
      <c r="I3677" s="36">
        <v>3074.52</v>
      </c>
      <c r="J3677" s="36">
        <v>3074.52</v>
      </c>
      <c r="K3677" s="85">
        <v>4.5474699999999999E-13</v>
      </c>
      <c r="L3677" s="36">
        <v>256.20999999999998</v>
      </c>
      <c r="M3677" s="36">
        <v>0</v>
      </c>
      <c r="N3677" s="36">
        <v>34.515000000000001</v>
      </c>
      <c r="O3677" s="36">
        <v>221.7</v>
      </c>
      <c r="P3677" t="s">
        <v>116</v>
      </c>
      <c r="Q3677" t="s">
        <v>111</v>
      </c>
      <c r="R3677" t="s">
        <v>111</v>
      </c>
      <c r="S3677" s="1">
        <v>46120</v>
      </c>
      <c r="T3677" s="1">
        <v>46120</v>
      </c>
      <c r="U3677" s="1">
        <v>46119</v>
      </c>
      <c r="V3677" s="1">
        <v>46485</v>
      </c>
      <c r="W3677" t="s">
        <v>38</v>
      </c>
      <c r="X3677">
        <v>12</v>
      </c>
      <c r="Y3677" t="s">
        <v>49</v>
      </c>
      <c r="Z3677" t="s">
        <v>76</v>
      </c>
      <c r="AA3677" t="s">
        <v>117</v>
      </c>
      <c r="AB3677">
        <v>1</v>
      </c>
      <c r="AC3677" t="s">
        <v>113</v>
      </c>
      <c r="AD3677" t="s">
        <v>85</v>
      </c>
      <c r="AE3677" t="s">
        <v>46</v>
      </c>
      <c r="AF3677" t="s">
        <v>44</v>
      </c>
      <c r="AG3677" t="str">
        <f t="shared" si="75"/>
        <v>À Vista</v>
      </c>
      <c r="AH3677" t="str">
        <f t="shared" si="76"/>
        <v/>
      </c>
    </row>
    <row r="3678" spans="1:34">
      <c r="A3678">
        <v>2026</v>
      </c>
      <c r="B3678">
        <v>4</v>
      </c>
      <c r="C3678" s="83">
        <v>214319020882</v>
      </c>
      <c r="D3678" t="s">
        <v>3226</v>
      </c>
      <c r="E3678">
        <v>58949499718</v>
      </c>
      <c r="F3678">
        <v>636937</v>
      </c>
      <c r="G3678">
        <v>54086547537</v>
      </c>
      <c r="H3678" t="s">
        <v>35</v>
      </c>
      <c r="I3678" s="36">
        <v>3114</v>
      </c>
      <c r="J3678" s="36">
        <v>3114</v>
      </c>
      <c r="K3678" s="85">
        <v>0</v>
      </c>
      <c r="L3678" s="36">
        <v>259.5</v>
      </c>
      <c r="M3678" s="36">
        <v>259.5</v>
      </c>
      <c r="N3678" s="36">
        <v>0</v>
      </c>
      <c r="O3678" s="36">
        <v>0</v>
      </c>
      <c r="P3678" t="s">
        <v>506</v>
      </c>
      <c r="Q3678" t="s">
        <v>300</v>
      </c>
      <c r="R3678" t="s">
        <v>300</v>
      </c>
      <c r="S3678" s="1">
        <v>46120</v>
      </c>
      <c r="T3678" s="1">
        <v>46120</v>
      </c>
      <c r="V3678" s="1"/>
      <c r="W3678" t="s">
        <v>2733</v>
      </c>
      <c r="Y3678" t="s">
        <v>49</v>
      </c>
      <c r="AA3678" t="s">
        <v>122</v>
      </c>
      <c r="AB3678">
        <v>12</v>
      </c>
      <c r="AC3678" t="s">
        <v>301</v>
      </c>
      <c r="AD3678" t="s">
        <v>2734</v>
      </c>
      <c r="AE3678" t="s">
        <v>106</v>
      </c>
      <c r="AF3678" t="s">
        <v>59</v>
      </c>
      <c r="AG3678" t="str">
        <f t="shared" si="75"/>
        <v>Recorrente</v>
      </c>
      <c r="AH3678" t="str">
        <f t="shared" si="76"/>
        <v/>
      </c>
    </row>
    <row r="3679" spans="1:34">
      <c r="A3679">
        <v>2026</v>
      </c>
      <c r="B3679">
        <v>4</v>
      </c>
      <c r="C3679" s="83">
        <v>214319020882</v>
      </c>
      <c r="D3679" t="s">
        <v>3226</v>
      </c>
      <c r="E3679">
        <v>59233311317</v>
      </c>
      <c r="F3679">
        <v>637102</v>
      </c>
      <c r="G3679">
        <v>54294658614</v>
      </c>
      <c r="H3679" t="s">
        <v>35</v>
      </c>
      <c r="I3679" s="36">
        <v>2586.6</v>
      </c>
      <c r="J3679" s="36">
        <v>2586.6</v>
      </c>
      <c r="K3679" s="85">
        <v>0</v>
      </c>
      <c r="L3679" s="36">
        <v>215.55</v>
      </c>
      <c r="M3679" s="36">
        <v>215.55</v>
      </c>
      <c r="N3679" s="36">
        <v>0</v>
      </c>
      <c r="O3679" s="36">
        <v>0</v>
      </c>
      <c r="P3679" t="s">
        <v>506</v>
      </c>
      <c r="Q3679" t="s">
        <v>300</v>
      </c>
      <c r="R3679" t="s">
        <v>300</v>
      </c>
      <c r="S3679" s="1">
        <v>46127</v>
      </c>
      <c r="T3679" s="1">
        <v>46127</v>
      </c>
      <c r="V3679" s="1">
        <v>46492</v>
      </c>
      <c r="W3679" t="s">
        <v>38</v>
      </c>
      <c r="X3679">
        <v>12</v>
      </c>
      <c r="Y3679" t="s">
        <v>49</v>
      </c>
      <c r="AA3679" t="s">
        <v>122</v>
      </c>
      <c r="AB3679">
        <v>12</v>
      </c>
      <c r="AC3679" t="s">
        <v>301</v>
      </c>
      <c r="AD3679" t="s">
        <v>118</v>
      </c>
      <c r="AE3679" t="s">
        <v>43</v>
      </c>
      <c r="AF3679" t="s">
        <v>119</v>
      </c>
      <c r="AG3679" t="str">
        <f t="shared" si="75"/>
        <v>Recorrente</v>
      </c>
      <c r="AH3679" t="str">
        <f t="shared" si="76"/>
        <v/>
      </c>
    </row>
    <row r="3680" spans="1:34">
      <c r="A3680">
        <v>2026</v>
      </c>
      <c r="B3680">
        <v>4</v>
      </c>
      <c r="C3680" s="83">
        <v>214392159815</v>
      </c>
      <c r="D3680" t="s">
        <v>3227</v>
      </c>
      <c r="E3680">
        <v>59093425411</v>
      </c>
      <c r="F3680">
        <v>637035</v>
      </c>
      <c r="G3680">
        <v>54205271135</v>
      </c>
      <c r="H3680" t="s">
        <v>35</v>
      </c>
      <c r="I3680" s="36">
        <v>3114</v>
      </c>
      <c r="J3680" s="36">
        <v>3114</v>
      </c>
      <c r="K3680" s="85">
        <v>0</v>
      </c>
      <c r="L3680" s="36">
        <v>259.5</v>
      </c>
      <c r="M3680" s="36">
        <v>259.5</v>
      </c>
      <c r="N3680" s="36">
        <v>0</v>
      </c>
      <c r="O3680" s="36">
        <v>0</v>
      </c>
      <c r="P3680" t="s">
        <v>506</v>
      </c>
      <c r="Q3680" t="s">
        <v>300</v>
      </c>
      <c r="R3680" t="s">
        <v>300</v>
      </c>
      <c r="S3680" s="1">
        <v>46122</v>
      </c>
      <c r="T3680" s="1">
        <v>46122</v>
      </c>
      <c r="V3680" s="1">
        <v>46487</v>
      </c>
      <c r="W3680" t="s">
        <v>38</v>
      </c>
      <c r="X3680">
        <v>12</v>
      </c>
      <c r="Y3680" t="s">
        <v>49</v>
      </c>
      <c r="AA3680" t="s">
        <v>122</v>
      </c>
      <c r="AB3680">
        <v>12</v>
      </c>
      <c r="AC3680" t="s">
        <v>301</v>
      </c>
      <c r="AD3680" t="s">
        <v>2734</v>
      </c>
      <c r="AE3680" t="s">
        <v>106</v>
      </c>
      <c r="AF3680" t="s">
        <v>59</v>
      </c>
      <c r="AG3680" t="str">
        <f t="shared" si="75"/>
        <v>Recorrente</v>
      </c>
      <c r="AH3680" t="str">
        <f t="shared" si="76"/>
        <v/>
      </c>
    </row>
    <row r="3681" spans="1:34">
      <c r="A3681">
        <v>2026</v>
      </c>
      <c r="B3681">
        <v>4</v>
      </c>
      <c r="C3681" s="83">
        <v>214407057287</v>
      </c>
      <c r="D3681" t="s">
        <v>3228</v>
      </c>
      <c r="E3681">
        <v>58636047449</v>
      </c>
      <c r="F3681">
        <v>636878</v>
      </c>
      <c r="G3681">
        <v>53858458274</v>
      </c>
      <c r="H3681" t="s">
        <v>35</v>
      </c>
      <c r="I3681" s="36">
        <v>6936</v>
      </c>
      <c r="J3681" s="36">
        <v>3468</v>
      </c>
      <c r="K3681" s="85">
        <v>3468</v>
      </c>
      <c r="L3681" s="36">
        <v>289</v>
      </c>
      <c r="M3681" s="36">
        <v>289</v>
      </c>
      <c r="N3681" s="36">
        <v>0</v>
      </c>
      <c r="O3681" s="36">
        <v>0</v>
      </c>
      <c r="P3681" t="s">
        <v>511</v>
      </c>
      <c r="Q3681" t="s">
        <v>300</v>
      </c>
      <c r="R3681" t="s">
        <v>300</v>
      </c>
      <c r="S3681" s="1">
        <v>46114</v>
      </c>
      <c r="T3681" s="1">
        <v>46114</v>
      </c>
      <c r="V3681" s="1">
        <v>46845</v>
      </c>
      <c r="W3681" t="s">
        <v>56</v>
      </c>
      <c r="X3681">
        <v>24</v>
      </c>
      <c r="Y3681" t="s">
        <v>49</v>
      </c>
      <c r="AA3681" t="s">
        <v>122</v>
      </c>
      <c r="AB3681">
        <v>24</v>
      </c>
      <c r="AC3681" t="s">
        <v>301</v>
      </c>
      <c r="AD3681" t="s">
        <v>160</v>
      </c>
      <c r="AE3681" t="s">
        <v>43</v>
      </c>
      <c r="AF3681" t="s">
        <v>44</v>
      </c>
      <c r="AG3681" t="str">
        <f t="shared" si="75"/>
        <v>Recorrente</v>
      </c>
      <c r="AH3681" t="str">
        <f t="shared" si="76"/>
        <v/>
      </c>
    </row>
    <row r="3682" spans="1:34">
      <c r="A3682">
        <v>2026</v>
      </c>
      <c r="B3682">
        <v>4</v>
      </c>
      <c r="C3682" s="83">
        <v>214435494214</v>
      </c>
      <c r="D3682" t="s">
        <v>3229</v>
      </c>
      <c r="E3682">
        <v>59243599003</v>
      </c>
      <c r="F3682">
        <v>637161</v>
      </c>
      <c r="G3682">
        <v>54372676399</v>
      </c>
      <c r="H3682" t="s">
        <v>35</v>
      </c>
      <c r="I3682" s="36">
        <v>5293.44</v>
      </c>
      <c r="J3682" s="36">
        <v>5293.44</v>
      </c>
      <c r="K3682" s="85">
        <v>0</v>
      </c>
      <c r="L3682" s="36">
        <v>441.12</v>
      </c>
      <c r="M3682" s="36">
        <v>441.12</v>
      </c>
      <c r="N3682" s="36">
        <v>0</v>
      </c>
      <c r="O3682" s="36">
        <v>0</v>
      </c>
      <c r="P3682" t="s">
        <v>2004</v>
      </c>
      <c r="Q3682" t="s">
        <v>300</v>
      </c>
      <c r="R3682" t="s">
        <v>300</v>
      </c>
      <c r="S3682" s="1">
        <v>46128</v>
      </c>
      <c r="T3682" s="1">
        <v>46128</v>
      </c>
      <c r="V3682" s="1">
        <v>46493</v>
      </c>
      <c r="W3682" t="s">
        <v>38</v>
      </c>
      <c r="X3682">
        <v>12</v>
      </c>
      <c r="Y3682" t="s">
        <v>49</v>
      </c>
      <c r="AA3682" t="s">
        <v>112</v>
      </c>
      <c r="AB3682">
        <v>12</v>
      </c>
      <c r="AC3682" t="s">
        <v>301</v>
      </c>
      <c r="AD3682" t="s">
        <v>138</v>
      </c>
      <c r="AE3682" t="s">
        <v>135</v>
      </c>
      <c r="AF3682" t="s">
        <v>119</v>
      </c>
      <c r="AG3682" t="str">
        <f t="shared" si="75"/>
        <v>CC 12x</v>
      </c>
      <c r="AH3682" t="str">
        <f t="shared" si="76"/>
        <v/>
      </c>
    </row>
    <row r="3683" spans="1:34">
      <c r="A3683">
        <v>2026</v>
      </c>
      <c r="B3683">
        <v>4</v>
      </c>
      <c r="C3683" s="83">
        <v>214437728333</v>
      </c>
      <c r="D3683" t="s">
        <v>2467</v>
      </c>
      <c r="E3683">
        <v>59229704710</v>
      </c>
      <c r="F3683">
        <v>636684</v>
      </c>
      <c r="G3683">
        <v>54372680842</v>
      </c>
      <c r="H3683" t="s">
        <v>35</v>
      </c>
      <c r="I3683" s="36">
        <v>2691.48</v>
      </c>
      <c r="J3683" s="36">
        <v>2874.6</v>
      </c>
      <c r="K3683" s="85">
        <v>0</v>
      </c>
      <c r="L3683" s="36">
        <v>239.55</v>
      </c>
      <c r="M3683" s="36">
        <v>0</v>
      </c>
      <c r="N3683" s="36">
        <v>239.55</v>
      </c>
      <c r="O3683" s="36">
        <v>0</v>
      </c>
      <c r="P3683" t="s">
        <v>506</v>
      </c>
      <c r="Q3683" t="s">
        <v>300</v>
      </c>
      <c r="R3683" t="s">
        <v>300</v>
      </c>
      <c r="S3683" s="1">
        <v>46128</v>
      </c>
      <c r="T3683" s="1">
        <v>46128</v>
      </c>
      <c r="U3683" s="1">
        <v>46470</v>
      </c>
      <c r="V3683" s="1">
        <v>46470</v>
      </c>
      <c r="W3683" t="s">
        <v>38</v>
      </c>
      <c r="X3683">
        <v>11</v>
      </c>
      <c r="Y3683" t="s">
        <v>49</v>
      </c>
      <c r="Z3683" t="s">
        <v>324</v>
      </c>
      <c r="AA3683" t="s">
        <v>112</v>
      </c>
      <c r="AB3683">
        <v>12</v>
      </c>
      <c r="AC3683" t="s">
        <v>301</v>
      </c>
      <c r="AD3683" t="s">
        <v>118</v>
      </c>
      <c r="AE3683" t="s">
        <v>43</v>
      </c>
      <c r="AF3683" t="s">
        <v>119</v>
      </c>
      <c r="AG3683" t="str">
        <f t="shared" si="75"/>
        <v>CC 12x</v>
      </c>
      <c r="AH3683" t="str">
        <f t="shared" si="76"/>
        <v/>
      </c>
    </row>
    <row r="3684" spans="1:34">
      <c r="A3684">
        <v>2026</v>
      </c>
      <c r="B3684">
        <v>4</v>
      </c>
      <c r="C3684" s="83">
        <v>214439093824</v>
      </c>
      <c r="D3684" t="s">
        <v>3230</v>
      </c>
      <c r="E3684">
        <v>59005426346</v>
      </c>
      <c r="F3684">
        <v>636951</v>
      </c>
      <c r="G3684">
        <v>54118690309</v>
      </c>
      <c r="H3684" t="s">
        <v>35</v>
      </c>
      <c r="I3684" s="36">
        <v>3114</v>
      </c>
      <c r="J3684" s="36">
        <v>3114</v>
      </c>
      <c r="K3684" s="85">
        <v>0</v>
      </c>
      <c r="L3684" s="36">
        <v>259.5</v>
      </c>
      <c r="M3684" s="36">
        <v>259.5</v>
      </c>
      <c r="N3684" s="36">
        <v>0</v>
      </c>
      <c r="O3684" s="36">
        <v>0</v>
      </c>
      <c r="P3684" t="s">
        <v>506</v>
      </c>
      <c r="Q3684" t="s">
        <v>300</v>
      </c>
      <c r="R3684" t="s">
        <v>300</v>
      </c>
      <c r="S3684" s="1">
        <v>46120</v>
      </c>
      <c r="T3684" s="1">
        <v>46120</v>
      </c>
      <c r="U3684" s="1"/>
      <c r="V3684" s="1"/>
      <c r="W3684" t="s">
        <v>2733</v>
      </c>
      <c r="Y3684" t="s">
        <v>49</v>
      </c>
      <c r="AA3684" t="s">
        <v>122</v>
      </c>
      <c r="AB3684">
        <v>12</v>
      </c>
      <c r="AC3684" t="s">
        <v>301</v>
      </c>
      <c r="AD3684" t="s">
        <v>2734</v>
      </c>
      <c r="AE3684" t="s">
        <v>106</v>
      </c>
      <c r="AF3684" t="s">
        <v>59</v>
      </c>
      <c r="AG3684" t="str">
        <f t="shared" si="75"/>
        <v>Recorrente</v>
      </c>
      <c r="AH3684" t="str">
        <f t="shared" si="76"/>
        <v/>
      </c>
    </row>
    <row r="3685" spans="1:34">
      <c r="A3685">
        <v>2026</v>
      </c>
      <c r="B3685">
        <v>4</v>
      </c>
      <c r="C3685" s="83">
        <v>214439148557</v>
      </c>
      <c r="D3685" t="s">
        <v>976</v>
      </c>
      <c r="E3685">
        <v>59035395654</v>
      </c>
      <c r="F3685">
        <v>636974</v>
      </c>
      <c r="G3685">
        <v>54154457759</v>
      </c>
      <c r="H3685" t="s">
        <v>35</v>
      </c>
      <c r="I3685" s="36">
        <v>16520.400000000001</v>
      </c>
      <c r="J3685" s="36">
        <v>6709.0512349999999</v>
      </c>
      <c r="K3685" s="85">
        <v>9811.3487650000006</v>
      </c>
      <c r="L3685" s="36">
        <v>559.08760289999998</v>
      </c>
      <c r="M3685" s="36">
        <v>0</v>
      </c>
      <c r="N3685" s="36">
        <v>559.08760289999998</v>
      </c>
      <c r="O3685" s="36">
        <v>0</v>
      </c>
      <c r="P3685" t="s">
        <v>367</v>
      </c>
      <c r="Q3685" t="s">
        <v>191</v>
      </c>
      <c r="R3685" t="s">
        <v>191</v>
      </c>
      <c r="S3685" s="1">
        <v>46121</v>
      </c>
      <c r="T3685" s="1">
        <v>46121</v>
      </c>
      <c r="U3685" s="1">
        <v>46435</v>
      </c>
      <c r="V3685" s="1">
        <v>46852</v>
      </c>
      <c r="W3685" t="s">
        <v>56</v>
      </c>
      <c r="X3685">
        <v>14</v>
      </c>
      <c r="Y3685" t="s">
        <v>49</v>
      </c>
      <c r="AA3685" t="s">
        <v>122</v>
      </c>
      <c r="AB3685">
        <v>24</v>
      </c>
      <c r="AC3685" t="s">
        <v>192</v>
      </c>
      <c r="AD3685" t="s">
        <v>351</v>
      </c>
      <c r="AE3685" t="s">
        <v>95</v>
      </c>
      <c r="AF3685" t="s">
        <v>96</v>
      </c>
      <c r="AG3685" t="str">
        <f t="shared" si="75"/>
        <v>Recorrente</v>
      </c>
      <c r="AH3685" t="str">
        <f t="shared" si="76"/>
        <v/>
      </c>
    </row>
    <row r="3686" spans="1:34">
      <c r="A3686">
        <v>2026</v>
      </c>
      <c r="B3686">
        <v>4</v>
      </c>
      <c r="C3686" s="83">
        <v>214439148557</v>
      </c>
      <c r="D3686" t="s">
        <v>976</v>
      </c>
      <c r="E3686">
        <v>59035395654</v>
      </c>
      <c r="F3686">
        <v>636974</v>
      </c>
      <c r="G3686">
        <v>54154457760</v>
      </c>
      <c r="H3686" t="s">
        <v>35</v>
      </c>
      <c r="I3686" s="36">
        <v>11028</v>
      </c>
      <c r="J3686" s="36">
        <v>4478.5487649999995</v>
      </c>
      <c r="K3686" s="85">
        <v>6549.4512350000005</v>
      </c>
      <c r="L3686" s="36">
        <v>373.21239709999998</v>
      </c>
      <c r="M3686" s="36">
        <v>0</v>
      </c>
      <c r="N3686" s="36">
        <v>373.21239709999998</v>
      </c>
      <c r="O3686" s="36">
        <v>0</v>
      </c>
      <c r="P3686" t="s">
        <v>367</v>
      </c>
      <c r="Q3686" t="s">
        <v>191</v>
      </c>
      <c r="R3686" t="s">
        <v>191</v>
      </c>
      <c r="S3686" s="1">
        <v>46121</v>
      </c>
      <c r="T3686" s="1">
        <v>46121</v>
      </c>
      <c r="U3686" s="1">
        <v>46435</v>
      </c>
      <c r="V3686" s="1">
        <v>46852</v>
      </c>
      <c r="W3686" t="s">
        <v>56</v>
      </c>
      <c r="X3686">
        <v>14</v>
      </c>
      <c r="Y3686" t="s">
        <v>49</v>
      </c>
      <c r="AA3686" t="s">
        <v>122</v>
      </c>
      <c r="AB3686">
        <v>24</v>
      </c>
      <c r="AC3686" t="s">
        <v>192</v>
      </c>
      <c r="AD3686" t="s">
        <v>138</v>
      </c>
      <c r="AE3686" t="s">
        <v>135</v>
      </c>
      <c r="AF3686" t="s">
        <v>119</v>
      </c>
      <c r="AG3686" t="str">
        <f t="shared" si="75"/>
        <v>Recorrente</v>
      </c>
      <c r="AH3686" t="str">
        <f t="shared" si="76"/>
        <v/>
      </c>
    </row>
    <row r="3687" spans="1:34">
      <c r="A3687">
        <v>2026</v>
      </c>
      <c r="B3687">
        <v>4</v>
      </c>
      <c r="C3687" s="83">
        <v>214439227059</v>
      </c>
      <c r="D3687" t="s">
        <v>3231</v>
      </c>
      <c r="E3687">
        <v>59020806550</v>
      </c>
      <c r="F3687">
        <v>636979</v>
      </c>
      <c r="G3687">
        <v>54154278213</v>
      </c>
      <c r="H3687" t="s">
        <v>35</v>
      </c>
      <c r="I3687" s="36">
        <v>2529.12</v>
      </c>
      <c r="J3687" s="36">
        <v>2529.12</v>
      </c>
      <c r="K3687" s="85">
        <v>0</v>
      </c>
      <c r="L3687" s="36">
        <v>210.76</v>
      </c>
      <c r="M3687" s="36">
        <v>210.76</v>
      </c>
      <c r="N3687" s="36">
        <v>0</v>
      </c>
      <c r="O3687" s="36">
        <v>0</v>
      </c>
      <c r="P3687" t="s">
        <v>506</v>
      </c>
      <c r="Q3687" t="s">
        <v>300</v>
      </c>
      <c r="R3687" t="s">
        <v>300</v>
      </c>
      <c r="S3687" s="1">
        <v>46121</v>
      </c>
      <c r="T3687" s="1">
        <v>46121</v>
      </c>
      <c r="V3687" s="1">
        <v>46486</v>
      </c>
      <c r="W3687" t="s">
        <v>38</v>
      </c>
      <c r="X3687">
        <v>12</v>
      </c>
      <c r="Y3687" t="s">
        <v>49</v>
      </c>
      <c r="AA3687" t="s">
        <v>112</v>
      </c>
      <c r="AB3687">
        <v>12</v>
      </c>
      <c r="AC3687" t="s">
        <v>301</v>
      </c>
      <c r="AD3687" t="s">
        <v>140</v>
      </c>
      <c r="AE3687" t="s">
        <v>46</v>
      </c>
      <c r="AF3687" t="s">
        <v>119</v>
      </c>
      <c r="AG3687" t="str">
        <f t="shared" si="75"/>
        <v>CC 12x</v>
      </c>
      <c r="AH3687" t="str">
        <f t="shared" si="76"/>
        <v/>
      </c>
    </row>
    <row r="3688" spans="1:34">
      <c r="A3688">
        <v>2026</v>
      </c>
      <c r="B3688">
        <v>4</v>
      </c>
      <c r="C3688" s="83">
        <v>214455973239</v>
      </c>
      <c r="D3688" t="s">
        <v>3232</v>
      </c>
      <c r="E3688">
        <v>58968268693</v>
      </c>
      <c r="F3688">
        <v>636949</v>
      </c>
      <c r="G3688">
        <v>54072713369</v>
      </c>
      <c r="H3688" t="s">
        <v>35</v>
      </c>
      <c r="I3688" s="36">
        <v>2874</v>
      </c>
      <c r="J3688" s="36">
        <v>2874</v>
      </c>
      <c r="K3688" s="85">
        <v>0</v>
      </c>
      <c r="L3688" s="36">
        <v>239.5</v>
      </c>
      <c r="M3688" s="36">
        <v>239.5</v>
      </c>
      <c r="N3688" s="36">
        <v>0</v>
      </c>
      <c r="O3688" s="36">
        <v>0</v>
      </c>
      <c r="P3688" t="s">
        <v>497</v>
      </c>
      <c r="Q3688" t="s">
        <v>498</v>
      </c>
      <c r="R3688" t="s">
        <v>498</v>
      </c>
      <c r="S3688" s="1">
        <v>46120</v>
      </c>
      <c r="T3688" s="1">
        <v>46120</v>
      </c>
      <c r="V3688" s="1">
        <v>46485</v>
      </c>
      <c r="W3688" t="s">
        <v>38</v>
      </c>
      <c r="X3688">
        <v>12</v>
      </c>
      <c r="Y3688" t="s">
        <v>49</v>
      </c>
      <c r="AA3688" t="s">
        <v>112</v>
      </c>
      <c r="AB3688">
        <v>10</v>
      </c>
      <c r="AC3688" t="s">
        <v>499</v>
      </c>
      <c r="AD3688" t="s">
        <v>118</v>
      </c>
      <c r="AE3688" t="s">
        <v>43</v>
      </c>
      <c r="AF3688" t="s">
        <v>119</v>
      </c>
      <c r="AG3688" t="str">
        <f t="shared" si="75"/>
        <v>CC 12x</v>
      </c>
      <c r="AH3688" t="str">
        <f t="shared" si="76"/>
        <v/>
      </c>
    </row>
    <row r="3689" spans="1:34">
      <c r="A3689">
        <v>2026</v>
      </c>
      <c r="B3689">
        <v>4</v>
      </c>
      <c r="C3689" s="83">
        <v>214480590681</v>
      </c>
      <c r="D3689" t="s">
        <v>3233</v>
      </c>
      <c r="E3689">
        <v>58955394118</v>
      </c>
      <c r="F3689">
        <v>636967</v>
      </c>
      <c r="G3689">
        <v>54118659386</v>
      </c>
      <c r="H3689" t="s">
        <v>35</v>
      </c>
      <c r="I3689" s="36">
        <v>3259.2</v>
      </c>
      <c r="J3689" s="36">
        <v>3259.2</v>
      </c>
      <c r="K3689" s="85">
        <v>0</v>
      </c>
      <c r="L3689" s="36">
        <v>271.60000000000002</v>
      </c>
      <c r="M3689" s="36">
        <v>271.60000000000002</v>
      </c>
      <c r="N3689" s="36">
        <v>0</v>
      </c>
      <c r="O3689" s="36">
        <v>0</v>
      </c>
      <c r="P3689" t="s">
        <v>506</v>
      </c>
      <c r="Q3689" t="s">
        <v>300</v>
      </c>
      <c r="R3689" t="s">
        <v>300</v>
      </c>
      <c r="S3689" s="1">
        <v>46121</v>
      </c>
      <c r="T3689" s="1">
        <v>46121</v>
      </c>
      <c r="V3689" s="1">
        <v>46486</v>
      </c>
      <c r="W3689" t="s">
        <v>38</v>
      </c>
      <c r="X3689">
        <v>12</v>
      </c>
      <c r="Y3689" t="s">
        <v>49</v>
      </c>
      <c r="AA3689" t="s">
        <v>122</v>
      </c>
      <c r="AB3689">
        <v>12</v>
      </c>
      <c r="AC3689" t="s">
        <v>301</v>
      </c>
      <c r="AD3689" t="s">
        <v>160</v>
      </c>
      <c r="AE3689" t="s">
        <v>43</v>
      </c>
      <c r="AF3689" t="s">
        <v>44</v>
      </c>
      <c r="AG3689" t="str">
        <f t="shared" si="75"/>
        <v>Recorrente</v>
      </c>
      <c r="AH3689" t="str">
        <f t="shared" si="76"/>
        <v/>
      </c>
    </row>
    <row r="3690" spans="1:34">
      <c r="A3690">
        <v>2026</v>
      </c>
      <c r="B3690">
        <v>4</v>
      </c>
      <c r="C3690" s="83">
        <v>214607770948</v>
      </c>
      <c r="D3690" t="s">
        <v>3234</v>
      </c>
      <c r="E3690">
        <v>53568427913</v>
      </c>
      <c r="F3690">
        <v>636966</v>
      </c>
      <c r="G3690">
        <v>54118720284</v>
      </c>
      <c r="H3690" t="s">
        <v>35</v>
      </c>
      <c r="I3690" s="36">
        <v>3900</v>
      </c>
      <c r="J3690" s="36">
        <v>3900</v>
      </c>
      <c r="K3690" s="85">
        <v>0</v>
      </c>
      <c r="L3690" s="36">
        <v>325</v>
      </c>
      <c r="M3690" s="36">
        <v>325</v>
      </c>
      <c r="N3690" s="36">
        <v>0</v>
      </c>
      <c r="O3690" s="36">
        <v>0</v>
      </c>
      <c r="P3690" t="s">
        <v>313</v>
      </c>
      <c r="Q3690" t="s">
        <v>349</v>
      </c>
      <c r="R3690" t="s">
        <v>300</v>
      </c>
      <c r="S3690" s="1">
        <v>46121</v>
      </c>
      <c r="T3690" s="1">
        <v>46121</v>
      </c>
      <c r="V3690" s="1">
        <v>46486</v>
      </c>
      <c r="W3690" t="s">
        <v>38</v>
      </c>
      <c r="X3690">
        <v>12</v>
      </c>
      <c r="Y3690" t="s">
        <v>49</v>
      </c>
      <c r="AA3690" t="s">
        <v>112</v>
      </c>
      <c r="AB3690">
        <v>1</v>
      </c>
      <c r="AC3690" t="s">
        <v>301</v>
      </c>
      <c r="AD3690" t="s">
        <v>84</v>
      </c>
      <c r="AE3690" t="s">
        <v>43</v>
      </c>
      <c r="AF3690" t="s">
        <v>44</v>
      </c>
      <c r="AG3690" t="str">
        <f t="shared" si="75"/>
        <v>À Vista</v>
      </c>
      <c r="AH3690" t="str">
        <f t="shared" si="76"/>
        <v/>
      </c>
    </row>
    <row r="3691" spans="1:34">
      <c r="A3691">
        <v>2026</v>
      </c>
      <c r="B3691">
        <v>4</v>
      </c>
      <c r="C3691" s="83">
        <v>214629817876</v>
      </c>
      <c r="D3691" t="s">
        <v>3235</v>
      </c>
      <c r="E3691">
        <v>59103264921</v>
      </c>
      <c r="F3691">
        <v>637043</v>
      </c>
      <c r="G3691">
        <v>54205214742</v>
      </c>
      <c r="H3691" t="s">
        <v>35</v>
      </c>
      <c r="I3691" s="36">
        <v>5612.4</v>
      </c>
      <c r="J3691" s="36">
        <v>5612.4</v>
      </c>
      <c r="K3691" s="85">
        <v>0</v>
      </c>
      <c r="L3691" s="36">
        <v>467.7</v>
      </c>
      <c r="M3691" s="36">
        <v>467.7</v>
      </c>
      <c r="N3691" s="36">
        <v>0</v>
      </c>
      <c r="O3691" s="36">
        <v>0</v>
      </c>
      <c r="P3691" t="s">
        <v>829</v>
      </c>
      <c r="Q3691" t="s">
        <v>300</v>
      </c>
      <c r="R3691" t="s">
        <v>300</v>
      </c>
      <c r="S3691" s="1">
        <v>46122</v>
      </c>
      <c r="T3691" s="1">
        <v>46122</v>
      </c>
      <c r="U3691" s="1"/>
      <c r="V3691" s="1">
        <v>46487</v>
      </c>
      <c r="W3691" t="s">
        <v>38</v>
      </c>
      <c r="X3691">
        <v>12</v>
      </c>
      <c r="Y3691" t="s">
        <v>49</v>
      </c>
      <c r="AA3691" t="s">
        <v>112</v>
      </c>
      <c r="AB3691">
        <v>12</v>
      </c>
      <c r="AC3691" t="s">
        <v>301</v>
      </c>
      <c r="AD3691" t="s">
        <v>134</v>
      </c>
      <c r="AE3691" t="s">
        <v>135</v>
      </c>
      <c r="AF3691" t="s">
        <v>44</v>
      </c>
      <c r="AG3691" t="str">
        <f t="shared" si="75"/>
        <v>CC 12x</v>
      </c>
      <c r="AH3691" t="str">
        <f t="shared" si="76"/>
        <v/>
      </c>
    </row>
    <row r="3692" spans="1:34">
      <c r="A3692">
        <v>2026</v>
      </c>
      <c r="B3692">
        <v>4</v>
      </c>
      <c r="C3692" s="83">
        <v>214629843802</v>
      </c>
      <c r="D3692" t="s">
        <v>3236</v>
      </c>
      <c r="E3692">
        <v>58600606488</v>
      </c>
      <c r="F3692">
        <v>636840</v>
      </c>
      <c r="G3692">
        <v>53808561591</v>
      </c>
      <c r="H3692" t="s">
        <v>35</v>
      </c>
      <c r="I3692" s="36">
        <v>5514</v>
      </c>
      <c r="J3692" s="36">
        <v>5514</v>
      </c>
      <c r="K3692" s="85">
        <v>0</v>
      </c>
      <c r="L3692" s="36">
        <v>459.5</v>
      </c>
      <c r="M3692" s="36">
        <v>459.5</v>
      </c>
      <c r="N3692" s="36">
        <v>0</v>
      </c>
      <c r="O3692" s="36">
        <v>0</v>
      </c>
      <c r="P3692" t="s">
        <v>2004</v>
      </c>
      <c r="Q3692" t="s">
        <v>300</v>
      </c>
      <c r="R3692" t="s">
        <v>300</v>
      </c>
      <c r="S3692" s="1">
        <v>46113</v>
      </c>
      <c r="T3692" s="1">
        <v>46113</v>
      </c>
      <c r="V3692" s="1">
        <v>46478</v>
      </c>
      <c r="W3692" t="s">
        <v>38</v>
      </c>
      <c r="X3692">
        <v>12</v>
      </c>
      <c r="Y3692" t="s">
        <v>49</v>
      </c>
      <c r="AA3692" t="s">
        <v>122</v>
      </c>
      <c r="AB3692">
        <v>12</v>
      </c>
      <c r="AC3692" t="s">
        <v>301</v>
      </c>
      <c r="AD3692" t="s">
        <v>138</v>
      </c>
      <c r="AE3692" t="s">
        <v>135</v>
      </c>
      <c r="AF3692" t="s">
        <v>119</v>
      </c>
      <c r="AG3692" t="str">
        <f t="shared" si="75"/>
        <v>Recorrente</v>
      </c>
      <c r="AH3692" t="str">
        <f t="shared" si="76"/>
        <v/>
      </c>
    </row>
    <row r="3693" spans="1:34">
      <c r="A3693">
        <v>2026</v>
      </c>
      <c r="B3693">
        <v>4</v>
      </c>
      <c r="C3693" s="83">
        <v>214629866509</v>
      </c>
      <c r="D3693" t="s">
        <v>3237</v>
      </c>
      <c r="E3693">
        <v>59093274894</v>
      </c>
      <c r="F3693">
        <v>637025</v>
      </c>
      <c r="G3693">
        <v>54150102592</v>
      </c>
      <c r="H3693" t="s">
        <v>35</v>
      </c>
      <c r="I3693" s="36">
        <v>7556.4</v>
      </c>
      <c r="J3693" s="36">
        <v>7556.4</v>
      </c>
      <c r="K3693" s="85">
        <v>0</v>
      </c>
      <c r="L3693" s="36">
        <v>629.70000000000005</v>
      </c>
      <c r="M3693" s="36">
        <v>629.70000000000005</v>
      </c>
      <c r="N3693" s="36">
        <v>0</v>
      </c>
      <c r="O3693" s="36">
        <v>0</v>
      </c>
      <c r="P3693" t="s">
        <v>511</v>
      </c>
      <c r="Q3693" t="s">
        <v>300</v>
      </c>
      <c r="R3693" t="s">
        <v>300</v>
      </c>
      <c r="S3693" s="1">
        <v>46122</v>
      </c>
      <c r="T3693" s="1">
        <v>46122</v>
      </c>
      <c r="U3693" s="1"/>
      <c r="V3693" s="1">
        <v>46487</v>
      </c>
      <c r="W3693" t="s">
        <v>38</v>
      </c>
      <c r="X3693">
        <v>12</v>
      </c>
      <c r="Y3693" t="s">
        <v>49</v>
      </c>
      <c r="AA3693" t="s">
        <v>112</v>
      </c>
      <c r="AB3693">
        <v>12</v>
      </c>
      <c r="AC3693" t="s">
        <v>301</v>
      </c>
      <c r="AD3693" t="s">
        <v>146</v>
      </c>
      <c r="AE3693" t="s">
        <v>135</v>
      </c>
      <c r="AF3693" t="s">
        <v>96</v>
      </c>
      <c r="AG3693" t="str">
        <f t="shared" si="75"/>
        <v>CC 12x</v>
      </c>
      <c r="AH3693" t="str">
        <f t="shared" si="76"/>
        <v/>
      </c>
    </row>
    <row r="3694" spans="1:34">
      <c r="A3694">
        <v>2026</v>
      </c>
      <c r="B3694">
        <v>4</v>
      </c>
      <c r="C3694" s="83">
        <v>214634192708</v>
      </c>
      <c r="D3694" t="s">
        <v>3238</v>
      </c>
      <c r="E3694">
        <v>59048955272</v>
      </c>
      <c r="F3694">
        <v>628344</v>
      </c>
      <c r="G3694">
        <v>54268273830</v>
      </c>
      <c r="H3694" t="s">
        <v>35</v>
      </c>
      <c r="I3694" s="36">
        <v>4920</v>
      </c>
      <c r="J3694" s="36">
        <v>4920</v>
      </c>
      <c r="K3694" s="85">
        <v>0</v>
      </c>
      <c r="L3694" s="36">
        <v>410</v>
      </c>
      <c r="M3694" s="36">
        <v>0</v>
      </c>
      <c r="N3694" s="36">
        <v>2.2999999999999998</v>
      </c>
      <c r="O3694" s="36">
        <v>407.7</v>
      </c>
      <c r="P3694" t="s">
        <v>127</v>
      </c>
      <c r="Q3694" t="s">
        <v>111</v>
      </c>
      <c r="R3694" t="s">
        <v>111</v>
      </c>
      <c r="S3694" s="1">
        <v>46125</v>
      </c>
      <c r="T3694" s="1">
        <v>46125</v>
      </c>
      <c r="U3694" s="1">
        <v>46120</v>
      </c>
      <c r="V3694" s="1">
        <v>46490</v>
      </c>
      <c r="W3694" t="s">
        <v>38</v>
      </c>
      <c r="X3694">
        <v>12</v>
      </c>
      <c r="Y3694" t="s">
        <v>49</v>
      </c>
      <c r="Z3694" t="s">
        <v>81</v>
      </c>
      <c r="AA3694" t="s">
        <v>122</v>
      </c>
      <c r="AB3694">
        <v>12</v>
      </c>
      <c r="AC3694" t="s">
        <v>113</v>
      </c>
      <c r="AD3694" t="s">
        <v>85</v>
      </c>
      <c r="AE3694" t="s">
        <v>46</v>
      </c>
      <c r="AF3694" t="s">
        <v>44</v>
      </c>
      <c r="AG3694" t="str">
        <f t="shared" si="75"/>
        <v>Recorrente</v>
      </c>
      <c r="AH3694" t="str">
        <f t="shared" si="76"/>
        <v/>
      </c>
    </row>
    <row r="3695" spans="1:34">
      <c r="A3695">
        <v>2026</v>
      </c>
      <c r="B3695">
        <v>4</v>
      </c>
      <c r="C3695" s="83">
        <v>214656120936</v>
      </c>
      <c r="D3695" t="s">
        <v>3239</v>
      </c>
      <c r="E3695">
        <v>58958045357</v>
      </c>
      <c r="F3695">
        <v>636958</v>
      </c>
      <c r="G3695">
        <v>54118878063</v>
      </c>
      <c r="H3695" t="s">
        <v>35</v>
      </c>
      <c r="I3695" s="36">
        <v>3462.84</v>
      </c>
      <c r="J3695" s="36">
        <v>3462.9</v>
      </c>
      <c r="K3695" s="85">
        <v>0</v>
      </c>
      <c r="L3695" s="36">
        <v>288.57499999999999</v>
      </c>
      <c r="M3695" s="36">
        <v>288.57499999999999</v>
      </c>
      <c r="N3695" s="36">
        <v>0</v>
      </c>
      <c r="O3695" s="36">
        <v>0</v>
      </c>
      <c r="P3695" t="s">
        <v>506</v>
      </c>
      <c r="Q3695" t="s">
        <v>300</v>
      </c>
      <c r="R3695" t="s">
        <v>300</v>
      </c>
      <c r="S3695" s="1">
        <v>46120</v>
      </c>
      <c r="T3695" s="1">
        <v>46120</v>
      </c>
      <c r="V3695" s="1">
        <v>46485</v>
      </c>
      <c r="W3695" t="s">
        <v>38</v>
      </c>
      <c r="X3695">
        <v>12</v>
      </c>
      <c r="Y3695" t="s">
        <v>49</v>
      </c>
      <c r="AA3695" t="s">
        <v>112</v>
      </c>
      <c r="AB3695">
        <v>12</v>
      </c>
      <c r="AC3695" t="s">
        <v>301</v>
      </c>
      <c r="AD3695" t="s">
        <v>160</v>
      </c>
      <c r="AE3695" t="s">
        <v>43</v>
      </c>
      <c r="AF3695" t="s">
        <v>44</v>
      </c>
      <c r="AG3695" t="str">
        <f t="shared" si="75"/>
        <v>CC 12x</v>
      </c>
      <c r="AH3695" t="str">
        <f t="shared" si="76"/>
        <v/>
      </c>
    </row>
    <row r="3696" spans="1:34">
      <c r="A3696">
        <v>2026</v>
      </c>
      <c r="B3696">
        <v>4</v>
      </c>
      <c r="C3696" s="83">
        <v>214709852010</v>
      </c>
      <c r="D3696" t="s">
        <v>3240</v>
      </c>
      <c r="E3696">
        <v>59119444406</v>
      </c>
      <c r="F3696">
        <v>637041</v>
      </c>
      <c r="G3696">
        <v>54150117496</v>
      </c>
      <c r="H3696" t="s">
        <v>35</v>
      </c>
      <c r="I3696" s="36">
        <v>3020.4</v>
      </c>
      <c r="J3696" s="36">
        <v>3020.4</v>
      </c>
      <c r="K3696" s="85">
        <v>4.5474699999999999E-13</v>
      </c>
      <c r="L3696" s="36">
        <v>251.7</v>
      </c>
      <c r="M3696" s="36">
        <v>251.7</v>
      </c>
      <c r="N3696" s="36">
        <v>0</v>
      </c>
      <c r="O3696" s="36">
        <v>0</v>
      </c>
      <c r="P3696" t="s">
        <v>829</v>
      </c>
      <c r="Q3696" t="s">
        <v>300</v>
      </c>
      <c r="R3696" t="s">
        <v>300</v>
      </c>
      <c r="S3696" s="1">
        <v>46122</v>
      </c>
      <c r="T3696" s="1">
        <v>46122</v>
      </c>
      <c r="V3696" s="1">
        <v>46487</v>
      </c>
      <c r="W3696" t="s">
        <v>38</v>
      </c>
      <c r="X3696">
        <v>12</v>
      </c>
      <c r="Y3696" t="s">
        <v>49</v>
      </c>
      <c r="AA3696" t="s">
        <v>112</v>
      </c>
      <c r="AB3696">
        <v>12</v>
      </c>
      <c r="AC3696" t="s">
        <v>301</v>
      </c>
      <c r="AD3696" t="s">
        <v>84</v>
      </c>
      <c r="AE3696" t="s">
        <v>43</v>
      </c>
      <c r="AF3696" t="s">
        <v>44</v>
      </c>
      <c r="AG3696" t="str">
        <f t="shared" si="75"/>
        <v>CC 12x</v>
      </c>
      <c r="AH3696" t="str">
        <f t="shared" si="76"/>
        <v/>
      </c>
    </row>
    <row r="3697" spans="1:34">
      <c r="A3697">
        <v>2026</v>
      </c>
      <c r="B3697">
        <v>4</v>
      </c>
      <c r="C3697" s="83">
        <v>214768261795</v>
      </c>
      <c r="D3697" t="s">
        <v>3241</v>
      </c>
      <c r="E3697">
        <v>59029534085</v>
      </c>
      <c r="F3697">
        <v>637004</v>
      </c>
      <c r="G3697">
        <v>54205242410</v>
      </c>
      <c r="H3697" t="s">
        <v>35</v>
      </c>
      <c r="I3697" s="36">
        <v>2299.1999999999998</v>
      </c>
      <c r="J3697" s="36">
        <v>2299.1999999999998</v>
      </c>
      <c r="K3697" s="85">
        <v>0</v>
      </c>
      <c r="L3697" s="36">
        <v>191.6</v>
      </c>
      <c r="M3697" s="36">
        <v>191.6</v>
      </c>
      <c r="N3697" s="36">
        <v>0</v>
      </c>
      <c r="O3697" s="36">
        <v>0</v>
      </c>
      <c r="P3697" t="s">
        <v>2004</v>
      </c>
      <c r="Q3697" t="s">
        <v>300</v>
      </c>
      <c r="R3697" t="s">
        <v>300</v>
      </c>
      <c r="S3697" s="1">
        <v>46122</v>
      </c>
      <c r="T3697" s="1">
        <v>46122</v>
      </c>
      <c r="V3697" s="1">
        <v>46487</v>
      </c>
      <c r="W3697" t="s">
        <v>38</v>
      </c>
      <c r="X3697">
        <v>12</v>
      </c>
      <c r="Y3697" t="s">
        <v>49</v>
      </c>
      <c r="AA3697" t="s">
        <v>112</v>
      </c>
      <c r="AB3697">
        <v>12</v>
      </c>
      <c r="AC3697" t="s">
        <v>301</v>
      </c>
      <c r="AD3697" t="s">
        <v>118</v>
      </c>
      <c r="AE3697" t="s">
        <v>43</v>
      </c>
      <c r="AF3697" t="s">
        <v>119</v>
      </c>
      <c r="AG3697" t="str">
        <f t="shared" si="75"/>
        <v>CC 12x</v>
      </c>
      <c r="AH3697" t="str">
        <f t="shared" si="76"/>
        <v/>
      </c>
    </row>
    <row r="3698" spans="1:34">
      <c r="A3698">
        <v>2026</v>
      </c>
      <c r="B3698">
        <v>4</v>
      </c>
      <c r="C3698" s="83">
        <v>214768324767</v>
      </c>
      <c r="D3698" t="s">
        <v>3242</v>
      </c>
      <c r="E3698">
        <v>59030656681</v>
      </c>
      <c r="F3698">
        <v>636995</v>
      </c>
      <c r="G3698">
        <v>54154476982</v>
      </c>
      <c r="H3698" t="s">
        <v>35</v>
      </c>
      <c r="I3698" s="36">
        <v>4765.4399999999996</v>
      </c>
      <c r="J3698" s="36">
        <v>4765.5</v>
      </c>
      <c r="K3698" s="85">
        <v>0</v>
      </c>
      <c r="L3698" s="36">
        <v>397.125</v>
      </c>
      <c r="M3698" s="36">
        <v>397.125</v>
      </c>
      <c r="N3698" s="36">
        <v>0</v>
      </c>
      <c r="O3698" s="36">
        <v>0</v>
      </c>
      <c r="P3698" t="s">
        <v>2004</v>
      </c>
      <c r="Q3698" t="s">
        <v>300</v>
      </c>
      <c r="R3698" t="s">
        <v>300</v>
      </c>
      <c r="S3698" s="1">
        <v>46121</v>
      </c>
      <c r="T3698" s="1">
        <v>46121</v>
      </c>
      <c r="V3698" s="1">
        <v>46486</v>
      </c>
      <c r="W3698" t="s">
        <v>38</v>
      </c>
      <c r="X3698">
        <v>12</v>
      </c>
      <c r="Y3698" t="s">
        <v>49</v>
      </c>
      <c r="AA3698" t="s">
        <v>117</v>
      </c>
      <c r="AB3698">
        <v>1</v>
      </c>
      <c r="AC3698" t="s">
        <v>301</v>
      </c>
      <c r="AD3698" t="s">
        <v>149</v>
      </c>
      <c r="AE3698" t="s">
        <v>43</v>
      </c>
      <c r="AF3698" t="s">
        <v>96</v>
      </c>
      <c r="AG3698" t="str">
        <f t="shared" si="75"/>
        <v>À Vista</v>
      </c>
      <c r="AH3698" t="str">
        <f t="shared" si="76"/>
        <v/>
      </c>
    </row>
    <row r="3699" spans="1:34">
      <c r="A3699">
        <v>2026</v>
      </c>
      <c r="B3699">
        <v>4</v>
      </c>
      <c r="C3699" s="83">
        <v>214768333173</v>
      </c>
      <c r="D3699" t="s">
        <v>3243</v>
      </c>
      <c r="E3699">
        <v>58505894244</v>
      </c>
      <c r="F3699">
        <v>637023</v>
      </c>
      <c r="G3699">
        <v>54150160725</v>
      </c>
      <c r="H3699" t="s">
        <v>35</v>
      </c>
      <c r="I3699" s="36">
        <v>1437</v>
      </c>
      <c r="J3699" s="36">
        <v>1437</v>
      </c>
      <c r="K3699" s="85">
        <v>0</v>
      </c>
      <c r="L3699" s="36">
        <v>119.75</v>
      </c>
      <c r="M3699" s="36">
        <v>119.75</v>
      </c>
      <c r="N3699" s="36">
        <v>0</v>
      </c>
      <c r="O3699" s="36">
        <v>0</v>
      </c>
      <c r="P3699" t="s">
        <v>829</v>
      </c>
      <c r="Q3699" t="s">
        <v>300</v>
      </c>
      <c r="R3699" t="s">
        <v>300</v>
      </c>
      <c r="S3699" s="1">
        <v>46122</v>
      </c>
      <c r="T3699" s="1">
        <v>46122</v>
      </c>
      <c r="V3699" s="1">
        <v>46487</v>
      </c>
      <c r="W3699" t="s">
        <v>38</v>
      </c>
      <c r="X3699">
        <v>12</v>
      </c>
      <c r="Y3699" t="s">
        <v>49</v>
      </c>
      <c r="AA3699" t="s">
        <v>112</v>
      </c>
      <c r="AB3699">
        <v>12</v>
      </c>
      <c r="AC3699" t="s">
        <v>301</v>
      </c>
      <c r="AD3699" t="s">
        <v>140</v>
      </c>
      <c r="AE3699" t="s">
        <v>46</v>
      </c>
      <c r="AF3699" t="s">
        <v>119</v>
      </c>
      <c r="AG3699" t="str">
        <f t="shared" si="75"/>
        <v>CC 12x</v>
      </c>
      <c r="AH3699" t="str">
        <f t="shared" si="76"/>
        <v/>
      </c>
    </row>
    <row r="3700" spans="1:34">
      <c r="A3700">
        <v>2026</v>
      </c>
      <c r="B3700">
        <v>4</v>
      </c>
      <c r="C3700" s="83">
        <v>214790956598</v>
      </c>
      <c r="D3700" t="s">
        <v>3244</v>
      </c>
      <c r="E3700">
        <v>57104839852</v>
      </c>
      <c r="F3700">
        <v>311331</v>
      </c>
      <c r="G3700">
        <v>54282117735</v>
      </c>
      <c r="H3700" t="s">
        <v>35</v>
      </c>
      <c r="I3700" s="36">
        <v>5178.6000000000004</v>
      </c>
      <c r="J3700" s="36">
        <v>5178.6000000000004</v>
      </c>
      <c r="K3700" s="85">
        <v>0</v>
      </c>
      <c r="L3700" s="36">
        <v>431.55</v>
      </c>
      <c r="M3700" s="36">
        <v>0</v>
      </c>
      <c r="N3700" s="36">
        <v>0</v>
      </c>
      <c r="O3700" s="36">
        <v>431.55</v>
      </c>
      <c r="P3700" t="s">
        <v>121</v>
      </c>
      <c r="Q3700" t="s">
        <v>111</v>
      </c>
      <c r="R3700" t="s">
        <v>111</v>
      </c>
      <c r="S3700" s="1">
        <v>46126</v>
      </c>
      <c r="T3700" s="1">
        <v>46126</v>
      </c>
      <c r="U3700" s="1">
        <v>46117</v>
      </c>
      <c r="V3700" s="1">
        <v>46491</v>
      </c>
      <c r="W3700" t="s">
        <v>38</v>
      </c>
      <c r="X3700">
        <v>12</v>
      </c>
      <c r="Y3700" t="s">
        <v>49</v>
      </c>
      <c r="Z3700" t="s">
        <v>76</v>
      </c>
      <c r="AA3700" t="s">
        <v>122</v>
      </c>
      <c r="AB3700">
        <v>12</v>
      </c>
      <c r="AC3700" t="s">
        <v>113</v>
      </c>
      <c r="AD3700" t="s">
        <v>85</v>
      </c>
      <c r="AE3700" t="s">
        <v>46</v>
      </c>
      <c r="AF3700" t="s">
        <v>44</v>
      </c>
      <c r="AG3700" t="str">
        <f t="shared" si="75"/>
        <v>Recorrente</v>
      </c>
      <c r="AH3700" t="str">
        <f t="shared" si="76"/>
        <v/>
      </c>
    </row>
    <row r="3701" spans="1:34">
      <c r="A3701">
        <v>2026</v>
      </c>
      <c r="B3701">
        <v>4</v>
      </c>
      <c r="C3701" s="83">
        <v>214878736997</v>
      </c>
      <c r="D3701" t="s">
        <v>3245</v>
      </c>
      <c r="E3701">
        <v>59222168838</v>
      </c>
      <c r="F3701">
        <v>637120</v>
      </c>
      <c r="G3701">
        <v>54295309125</v>
      </c>
      <c r="H3701" t="s">
        <v>35</v>
      </c>
      <c r="I3701" s="36">
        <v>3114</v>
      </c>
      <c r="J3701" s="36">
        <v>3114</v>
      </c>
      <c r="K3701" s="85">
        <v>0</v>
      </c>
      <c r="L3701" s="36">
        <v>259.5</v>
      </c>
      <c r="M3701" s="36">
        <v>259.5</v>
      </c>
      <c r="N3701" s="36">
        <v>0</v>
      </c>
      <c r="O3701" s="36">
        <v>0</v>
      </c>
      <c r="P3701" t="s">
        <v>2004</v>
      </c>
      <c r="Q3701" t="s">
        <v>300</v>
      </c>
      <c r="R3701" t="s">
        <v>300</v>
      </c>
      <c r="S3701" s="1">
        <v>46127</v>
      </c>
      <c r="T3701" s="1">
        <v>46127</v>
      </c>
      <c r="V3701" s="1"/>
      <c r="W3701" t="s">
        <v>2733</v>
      </c>
      <c r="Y3701" t="s">
        <v>49</v>
      </c>
      <c r="AA3701" t="s">
        <v>122</v>
      </c>
      <c r="AB3701">
        <v>12</v>
      </c>
      <c r="AC3701" t="s">
        <v>301</v>
      </c>
      <c r="AD3701" t="s">
        <v>2734</v>
      </c>
      <c r="AE3701" t="s">
        <v>106</v>
      </c>
      <c r="AF3701" t="s">
        <v>59</v>
      </c>
      <c r="AG3701" t="str">
        <f t="shared" si="75"/>
        <v>Recorrente</v>
      </c>
      <c r="AH3701" t="str">
        <f t="shared" si="76"/>
        <v/>
      </c>
    </row>
    <row r="3702" spans="1:34">
      <c r="A3702">
        <v>2026</v>
      </c>
      <c r="B3702">
        <v>4</v>
      </c>
      <c r="C3702" s="83">
        <v>21491626361</v>
      </c>
      <c r="D3702" t="s">
        <v>3246</v>
      </c>
      <c r="E3702">
        <v>58015864657</v>
      </c>
      <c r="F3702">
        <v>613815</v>
      </c>
      <c r="G3702">
        <v>53219215171</v>
      </c>
      <c r="H3702" t="s">
        <v>35</v>
      </c>
      <c r="I3702" s="36">
        <v>5514</v>
      </c>
      <c r="J3702" s="36">
        <v>5514</v>
      </c>
      <c r="K3702" s="85">
        <v>0</v>
      </c>
      <c r="L3702" s="36">
        <v>459.5</v>
      </c>
      <c r="M3702" s="36">
        <v>0</v>
      </c>
      <c r="N3702" s="36">
        <v>30.5</v>
      </c>
      <c r="O3702" s="36">
        <v>429</v>
      </c>
      <c r="P3702" t="s">
        <v>165</v>
      </c>
      <c r="Q3702" t="s">
        <v>166</v>
      </c>
      <c r="R3702" t="s">
        <v>166</v>
      </c>
      <c r="S3702" s="1">
        <v>46139</v>
      </c>
      <c r="T3702" s="1">
        <v>46139</v>
      </c>
      <c r="U3702" s="1">
        <v>46142</v>
      </c>
      <c r="V3702" s="1">
        <v>46507</v>
      </c>
      <c r="W3702" t="s">
        <v>38</v>
      </c>
      <c r="X3702">
        <v>12</v>
      </c>
      <c r="Y3702" t="s">
        <v>49</v>
      </c>
      <c r="Z3702" t="s">
        <v>81</v>
      </c>
      <c r="AA3702" t="s">
        <v>122</v>
      </c>
      <c r="AB3702">
        <v>12</v>
      </c>
      <c r="AC3702" t="s">
        <v>166</v>
      </c>
      <c r="AD3702" t="s">
        <v>138</v>
      </c>
      <c r="AE3702" t="s">
        <v>135</v>
      </c>
      <c r="AF3702" t="s">
        <v>119</v>
      </c>
      <c r="AG3702" t="str">
        <f t="shared" si="75"/>
        <v>Recorrente</v>
      </c>
      <c r="AH3702" t="str">
        <f t="shared" si="76"/>
        <v/>
      </c>
    </row>
    <row r="3703" spans="1:34">
      <c r="A3703">
        <v>2026</v>
      </c>
      <c r="B3703">
        <v>4</v>
      </c>
      <c r="C3703" s="83">
        <v>214921054757</v>
      </c>
      <c r="D3703" t="s">
        <v>3247</v>
      </c>
      <c r="E3703">
        <v>58697260556</v>
      </c>
      <c r="F3703">
        <v>636860</v>
      </c>
      <c r="G3703">
        <v>53857788690</v>
      </c>
      <c r="H3703" t="s">
        <v>35</v>
      </c>
      <c r="I3703" s="36">
        <v>2577</v>
      </c>
      <c r="J3703" s="36">
        <v>2577</v>
      </c>
      <c r="K3703" s="85">
        <v>0</v>
      </c>
      <c r="L3703" s="36">
        <v>214.75</v>
      </c>
      <c r="M3703" s="36">
        <v>214.75</v>
      </c>
      <c r="N3703" s="36">
        <v>0</v>
      </c>
      <c r="O3703" s="36">
        <v>0</v>
      </c>
      <c r="P3703" t="s">
        <v>506</v>
      </c>
      <c r="Q3703" t="s">
        <v>300</v>
      </c>
      <c r="R3703" t="s">
        <v>300</v>
      </c>
      <c r="S3703" s="1">
        <v>46114</v>
      </c>
      <c r="T3703" s="1">
        <v>46114</v>
      </c>
      <c r="V3703" s="1">
        <v>46479</v>
      </c>
      <c r="W3703" t="s">
        <v>38</v>
      </c>
      <c r="X3703">
        <v>12</v>
      </c>
      <c r="Y3703" t="s">
        <v>49</v>
      </c>
      <c r="AA3703" t="s">
        <v>112</v>
      </c>
      <c r="AB3703">
        <v>12</v>
      </c>
      <c r="AC3703" t="s">
        <v>301</v>
      </c>
      <c r="AD3703" t="s">
        <v>163</v>
      </c>
      <c r="AE3703" t="s">
        <v>43</v>
      </c>
      <c r="AF3703" t="s">
        <v>96</v>
      </c>
      <c r="AG3703" t="str">
        <f t="shared" si="75"/>
        <v>CC 12x</v>
      </c>
      <c r="AH3703" t="str">
        <f t="shared" si="76"/>
        <v/>
      </c>
    </row>
    <row r="3704" spans="1:34">
      <c r="A3704">
        <v>2026</v>
      </c>
      <c r="B3704">
        <v>4</v>
      </c>
      <c r="C3704" s="83">
        <v>214929434934</v>
      </c>
      <c r="D3704" t="s">
        <v>3248</v>
      </c>
      <c r="E3704">
        <v>59167853727</v>
      </c>
      <c r="F3704">
        <v>637098</v>
      </c>
      <c r="G3704">
        <v>54283325981</v>
      </c>
      <c r="H3704" t="s">
        <v>35</v>
      </c>
      <c r="I3704" s="36">
        <v>2759.04</v>
      </c>
      <c r="J3704" s="36">
        <v>2759.04</v>
      </c>
      <c r="K3704" s="85">
        <v>0</v>
      </c>
      <c r="L3704" s="36">
        <v>229.92</v>
      </c>
      <c r="M3704" s="36">
        <v>229.92</v>
      </c>
      <c r="N3704" s="36">
        <v>0</v>
      </c>
      <c r="O3704" s="36">
        <v>0</v>
      </c>
      <c r="P3704" t="s">
        <v>2004</v>
      </c>
      <c r="Q3704" t="s">
        <v>300</v>
      </c>
      <c r="R3704" t="s">
        <v>300</v>
      </c>
      <c r="S3704" s="1">
        <v>46127</v>
      </c>
      <c r="T3704" s="1">
        <v>46127</v>
      </c>
      <c r="V3704" s="1">
        <v>46492</v>
      </c>
      <c r="W3704" t="s">
        <v>38</v>
      </c>
      <c r="X3704">
        <v>12</v>
      </c>
      <c r="Y3704" t="s">
        <v>49</v>
      </c>
      <c r="AA3704" t="s">
        <v>112</v>
      </c>
      <c r="AB3704">
        <v>12</v>
      </c>
      <c r="AC3704" t="s">
        <v>301</v>
      </c>
      <c r="AD3704" t="s">
        <v>118</v>
      </c>
      <c r="AE3704" t="s">
        <v>43</v>
      </c>
      <c r="AF3704" t="s">
        <v>119</v>
      </c>
      <c r="AG3704" t="str">
        <f t="shared" si="75"/>
        <v>CC 12x</v>
      </c>
      <c r="AH3704" t="str">
        <f t="shared" si="76"/>
        <v/>
      </c>
    </row>
    <row r="3705" spans="1:34">
      <c r="A3705">
        <v>2026</v>
      </c>
      <c r="B3705">
        <v>4</v>
      </c>
      <c r="C3705" s="83">
        <v>214930485539</v>
      </c>
      <c r="D3705" t="s">
        <v>3249</v>
      </c>
      <c r="E3705">
        <v>59248936212</v>
      </c>
      <c r="F3705">
        <v>637534</v>
      </c>
      <c r="G3705">
        <v>54377621354</v>
      </c>
      <c r="H3705" t="s">
        <v>35</v>
      </c>
      <c r="I3705" s="36">
        <v>3114</v>
      </c>
      <c r="J3705" s="36">
        <v>3114</v>
      </c>
      <c r="K3705" s="85">
        <v>0</v>
      </c>
      <c r="L3705" s="36">
        <v>259.5</v>
      </c>
      <c r="M3705" s="36">
        <v>259.5</v>
      </c>
      <c r="N3705" s="36">
        <v>0</v>
      </c>
      <c r="O3705" s="36">
        <v>0</v>
      </c>
      <c r="P3705" t="s">
        <v>3179</v>
      </c>
      <c r="Q3705" t="s">
        <v>300</v>
      </c>
      <c r="R3705" t="s">
        <v>300</v>
      </c>
      <c r="S3705" s="1">
        <v>46142</v>
      </c>
      <c r="T3705" s="1">
        <v>46142</v>
      </c>
      <c r="V3705" s="1"/>
      <c r="W3705" t="s">
        <v>2733</v>
      </c>
      <c r="Y3705" t="s">
        <v>49</v>
      </c>
      <c r="AA3705" t="s">
        <v>122</v>
      </c>
      <c r="AB3705">
        <v>1</v>
      </c>
      <c r="AC3705" t="s">
        <v>301</v>
      </c>
      <c r="AD3705" t="s">
        <v>2734</v>
      </c>
      <c r="AE3705" t="s">
        <v>106</v>
      </c>
      <c r="AF3705" t="s">
        <v>59</v>
      </c>
      <c r="AG3705" t="str">
        <f t="shared" si="75"/>
        <v>Recorrente</v>
      </c>
      <c r="AH3705" t="str">
        <f t="shared" si="76"/>
        <v/>
      </c>
    </row>
    <row r="3706" spans="1:34">
      <c r="A3706">
        <v>2026</v>
      </c>
      <c r="B3706">
        <v>4</v>
      </c>
      <c r="C3706" s="83">
        <v>214940399211</v>
      </c>
      <c r="D3706" t="s">
        <v>3250</v>
      </c>
      <c r="E3706">
        <v>59247726006</v>
      </c>
      <c r="F3706">
        <v>637392</v>
      </c>
      <c r="G3706">
        <v>54741227689</v>
      </c>
      <c r="H3706" t="s">
        <v>35</v>
      </c>
      <c r="I3706" s="36">
        <v>3666.6</v>
      </c>
      <c r="J3706" s="36">
        <v>3666.6</v>
      </c>
      <c r="K3706" s="85">
        <v>0</v>
      </c>
      <c r="L3706" s="36">
        <v>305.55</v>
      </c>
      <c r="M3706" s="36">
        <v>305.55</v>
      </c>
      <c r="N3706" s="36">
        <v>0</v>
      </c>
      <c r="O3706" s="36">
        <v>0</v>
      </c>
      <c r="P3706" t="s">
        <v>829</v>
      </c>
      <c r="Q3706" t="s">
        <v>300</v>
      </c>
      <c r="R3706" t="s">
        <v>300</v>
      </c>
      <c r="S3706" s="1">
        <v>46139</v>
      </c>
      <c r="T3706" s="1">
        <v>46139</v>
      </c>
      <c r="V3706" s="1">
        <v>46504</v>
      </c>
      <c r="W3706" t="s">
        <v>38</v>
      </c>
      <c r="X3706">
        <v>12</v>
      </c>
      <c r="Y3706" t="s">
        <v>49</v>
      </c>
      <c r="AA3706" t="s">
        <v>112</v>
      </c>
      <c r="AB3706">
        <v>12</v>
      </c>
      <c r="AC3706" t="s">
        <v>301</v>
      </c>
      <c r="AD3706" t="s">
        <v>160</v>
      </c>
      <c r="AE3706" t="s">
        <v>43</v>
      </c>
      <c r="AF3706" t="s">
        <v>44</v>
      </c>
      <c r="AG3706" t="str">
        <f t="shared" si="75"/>
        <v>CC 12x</v>
      </c>
      <c r="AH3706" t="str">
        <f t="shared" si="76"/>
        <v/>
      </c>
    </row>
    <row r="3707" spans="1:34">
      <c r="A3707">
        <v>2026</v>
      </c>
      <c r="B3707">
        <v>4</v>
      </c>
      <c r="C3707" s="83">
        <v>215042947345</v>
      </c>
      <c r="D3707" t="s">
        <v>3251</v>
      </c>
      <c r="E3707">
        <v>59148733365</v>
      </c>
      <c r="F3707">
        <v>637130</v>
      </c>
      <c r="G3707">
        <v>54295478852</v>
      </c>
      <c r="H3707" t="s">
        <v>35</v>
      </c>
      <c r="I3707" s="36">
        <v>5293.44</v>
      </c>
      <c r="J3707" s="36">
        <v>5293.44</v>
      </c>
      <c r="K3707" s="85">
        <v>0</v>
      </c>
      <c r="L3707" s="36">
        <v>441.12</v>
      </c>
      <c r="M3707" s="36">
        <v>441.12</v>
      </c>
      <c r="N3707" s="36">
        <v>0</v>
      </c>
      <c r="O3707" s="36">
        <v>0</v>
      </c>
      <c r="P3707" t="s">
        <v>829</v>
      </c>
      <c r="Q3707" t="s">
        <v>300</v>
      </c>
      <c r="R3707" t="s">
        <v>300</v>
      </c>
      <c r="S3707" s="1">
        <v>46128</v>
      </c>
      <c r="T3707" s="1">
        <v>46128</v>
      </c>
      <c r="V3707" s="1">
        <v>46493</v>
      </c>
      <c r="W3707" t="s">
        <v>38</v>
      </c>
      <c r="X3707">
        <v>12</v>
      </c>
      <c r="Y3707" t="s">
        <v>49</v>
      </c>
      <c r="AA3707" t="s">
        <v>112</v>
      </c>
      <c r="AB3707">
        <v>12</v>
      </c>
      <c r="AC3707" t="s">
        <v>301</v>
      </c>
      <c r="AD3707" t="s">
        <v>138</v>
      </c>
      <c r="AE3707" t="s">
        <v>135</v>
      </c>
      <c r="AF3707" t="s">
        <v>119</v>
      </c>
      <c r="AG3707" t="str">
        <f t="shared" si="75"/>
        <v>CC 12x</v>
      </c>
      <c r="AH3707" t="str">
        <f t="shared" si="76"/>
        <v/>
      </c>
    </row>
    <row r="3708" spans="1:34">
      <c r="A3708">
        <v>2026</v>
      </c>
      <c r="B3708">
        <v>4</v>
      </c>
      <c r="C3708" s="83">
        <v>215042947345</v>
      </c>
      <c r="D3708" t="s">
        <v>3251</v>
      </c>
      <c r="E3708">
        <v>59228884253</v>
      </c>
      <c r="F3708">
        <v>637130</v>
      </c>
      <c r="G3708">
        <v>54372687668</v>
      </c>
      <c r="H3708" t="s">
        <v>35</v>
      </c>
      <c r="I3708" s="36">
        <v>3686.16</v>
      </c>
      <c r="J3708" s="36">
        <v>3688.92</v>
      </c>
      <c r="K3708" s="85">
        <v>0</v>
      </c>
      <c r="L3708" s="36">
        <v>307.41000000000003</v>
      </c>
      <c r="M3708" s="36">
        <v>0</v>
      </c>
      <c r="N3708" s="36">
        <v>307.41000000000003</v>
      </c>
      <c r="O3708" s="36">
        <v>0</v>
      </c>
      <c r="P3708" t="s">
        <v>829</v>
      </c>
      <c r="Q3708" t="s">
        <v>300</v>
      </c>
      <c r="R3708" t="s">
        <v>300</v>
      </c>
      <c r="S3708" s="1">
        <v>46129</v>
      </c>
      <c r="T3708" s="1">
        <v>46129</v>
      </c>
      <c r="U3708" s="1">
        <v>46493</v>
      </c>
      <c r="V3708" s="1">
        <v>46493</v>
      </c>
      <c r="W3708" t="s">
        <v>38</v>
      </c>
      <c r="X3708">
        <v>12</v>
      </c>
      <c r="Y3708" t="s">
        <v>49</v>
      </c>
      <c r="Z3708" t="s">
        <v>324</v>
      </c>
      <c r="AA3708" t="s">
        <v>112</v>
      </c>
      <c r="AB3708">
        <v>12</v>
      </c>
      <c r="AC3708" t="s">
        <v>301</v>
      </c>
      <c r="AD3708" t="s">
        <v>134</v>
      </c>
      <c r="AE3708" t="s">
        <v>135</v>
      </c>
      <c r="AF3708" t="s">
        <v>44</v>
      </c>
      <c r="AG3708" t="str">
        <f t="shared" si="75"/>
        <v>CC 12x</v>
      </c>
      <c r="AH3708" t="str">
        <f t="shared" si="76"/>
        <v/>
      </c>
    </row>
    <row r="3709" spans="1:34">
      <c r="A3709">
        <v>2026</v>
      </c>
      <c r="B3709">
        <v>4</v>
      </c>
      <c r="C3709" s="83">
        <v>215081740107</v>
      </c>
      <c r="D3709" t="s">
        <v>3252</v>
      </c>
      <c r="E3709">
        <v>59099699233</v>
      </c>
      <c r="F3709">
        <v>637047</v>
      </c>
      <c r="G3709">
        <v>54235872887</v>
      </c>
      <c r="H3709" t="s">
        <v>104</v>
      </c>
      <c r="I3709" s="36">
        <v>718.8</v>
      </c>
      <c r="J3709" s="36">
        <v>718.8</v>
      </c>
      <c r="K3709" s="85">
        <v>0</v>
      </c>
      <c r="L3709" s="36">
        <v>59.9</v>
      </c>
      <c r="M3709" s="36">
        <v>59.9</v>
      </c>
      <c r="N3709" s="36">
        <v>0</v>
      </c>
      <c r="O3709" s="36">
        <v>0</v>
      </c>
      <c r="P3709" t="s">
        <v>497</v>
      </c>
      <c r="Q3709" t="s">
        <v>498</v>
      </c>
      <c r="R3709" t="s">
        <v>498</v>
      </c>
      <c r="S3709" s="1">
        <v>46123</v>
      </c>
      <c r="T3709" s="1">
        <v>46123</v>
      </c>
      <c r="V3709" s="1">
        <v>46488</v>
      </c>
      <c r="W3709" t="s">
        <v>38</v>
      </c>
      <c r="X3709">
        <v>12</v>
      </c>
      <c r="Y3709" t="s">
        <v>49</v>
      </c>
      <c r="AA3709" t="s">
        <v>112</v>
      </c>
      <c r="AB3709">
        <v>12</v>
      </c>
      <c r="AC3709" t="s">
        <v>499</v>
      </c>
      <c r="AD3709" t="s">
        <v>105</v>
      </c>
      <c r="AE3709" t="s">
        <v>106</v>
      </c>
      <c r="AF3709" t="s">
        <v>59</v>
      </c>
      <c r="AG3709" t="str">
        <f t="shared" si="75"/>
        <v>CC 12x</v>
      </c>
      <c r="AH3709" t="str">
        <f t="shared" si="76"/>
        <v/>
      </c>
    </row>
    <row r="3710" spans="1:34">
      <c r="A3710">
        <v>2026</v>
      </c>
      <c r="B3710">
        <v>4</v>
      </c>
      <c r="C3710" s="83">
        <v>215117214233</v>
      </c>
      <c r="D3710" t="s">
        <v>3253</v>
      </c>
      <c r="E3710">
        <v>59371622543</v>
      </c>
      <c r="F3710">
        <v>637210</v>
      </c>
      <c r="G3710">
        <v>54463094932</v>
      </c>
      <c r="H3710" t="s">
        <v>35</v>
      </c>
      <c r="I3710" s="36">
        <v>3452.4</v>
      </c>
      <c r="J3710" s="36">
        <v>3452.4</v>
      </c>
      <c r="K3710" s="85">
        <v>4.5474699999999999E-13</v>
      </c>
      <c r="L3710" s="36">
        <v>287.7</v>
      </c>
      <c r="M3710" s="36">
        <v>287.7</v>
      </c>
      <c r="N3710" s="36">
        <v>0</v>
      </c>
      <c r="O3710" s="36">
        <v>0</v>
      </c>
      <c r="P3710" t="s">
        <v>829</v>
      </c>
      <c r="Q3710" t="s">
        <v>300</v>
      </c>
      <c r="R3710" t="s">
        <v>300</v>
      </c>
      <c r="S3710" s="1">
        <v>46132</v>
      </c>
      <c r="T3710" s="1">
        <v>46132</v>
      </c>
      <c r="U3710" s="1"/>
      <c r="V3710" s="1">
        <v>46497</v>
      </c>
      <c r="W3710" t="s">
        <v>38</v>
      </c>
      <c r="X3710">
        <v>12</v>
      </c>
      <c r="Y3710" t="s">
        <v>49</v>
      </c>
      <c r="AA3710" t="s">
        <v>112</v>
      </c>
      <c r="AB3710">
        <v>12</v>
      </c>
      <c r="AC3710" t="s">
        <v>301</v>
      </c>
      <c r="AD3710" t="s">
        <v>85</v>
      </c>
      <c r="AE3710" t="s">
        <v>46</v>
      </c>
      <c r="AF3710" t="s">
        <v>44</v>
      </c>
      <c r="AG3710" t="str">
        <f t="shared" si="75"/>
        <v>CC 12x</v>
      </c>
      <c r="AH3710" t="str">
        <f t="shared" si="76"/>
        <v/>
      </c>
    </row>
    <row r="3711" spans="1:34">
      <c r="A3711">
        <v>2026</v>
      </c>
      <c r="B3711">
        <v>4</v>
      </c>
      <c r="C3711" s="83">
        <v>215170437284</v>
      </c>
      <c r="D3711" t="s">
        <v>3254</v>
      </c>
      <c r="E3711">
        <v>59095179184</v>
      </c>
      <c r="F3711">
        <v>628448</v>
      </c>
      <c r="G3711">
        <v>54269044404</v>
      </c>
      <c r="H3711" t="s">
        <v>35</v>
      </c>
      <c r="I3711" s="36">
        <v>4646.3999999999996</v>
      </c>
      <c r="J3711" s="36">
        <v>4646.3999999999996</v>
      </c>
      <c r="K3711" s="85">
        <v>0</v>
      </c>
      <c r="L3711" s="36">
        <v>387.2</v>
      </c>
      <c r="M3711" s="36">
        <v>0</v>
      </c>
      <c r="N3711" s="36">
        <v>21.396249999999998</v>
      </c>
      <c r="O3711" s="36">
        <v>365.8</v>
      </c>
      <c r="P3711" t="s">
        <v>133</v>
      </c>
      <c r="Q3711" t="s">
        <v>111</v>
      </c>
      <c r="R3711" t="s">
        <v>111</v>
      </c>
      <c r="S3711" s="1">
        <v>46125</v>
      </c>
      <c r="T3711" s="1">
        <v>46125</v>
      </c>
      <c r="U3711" s="1">
        <v>46122</v>
      </c>
      <c r="V3711" s="1">
        <v>46490</v>
      </c>
      <c r="W3711" t="s">
        <v>38</v>
      </c>
      <c r="X3711">
        <v>12</v>
      </c>
      <c r="Y3711" t="s">
        <v>49</v>
      </c>
      <c r="Z3711" t="s">
        <v>81</v>
      </c>
      <c r="AA3711" t="s">
        <v>112</v>
      </c>
      <c r="AB3711">
        <v>12</v>
      </c>
      <c r="AC3711" t="s">
        <v>113</v>
      </c>
      <c r="AD3711" t="s">
        <v>85</v>
      </c>
      <c r="AE3711" t="s">
        <v>46</v>
      </c>
      <c r="AF3711" t="s">
        <v>44</v>
      </c>
      <c r="AG3711" t="str">
        <f t="shared" si="75"/>
        <v>CC 12x</v>
      </c>
      <c r="AH3711" t="str">
        <f t="shared" si="76"/>
        <v/>
      </c>
    </row>
    <row r="3712" spans="1:34">
      <c r="A3712">
        <v>2026</v>
      </c>
      <c r="B3712">
        <v>4</v>
      </c>
      <c r="C3712" s="83">
        <v>215208821032</v>
      </c>
      <c r="D3712" t="s">
        <v>3255</v>
      </c>
      <c r="E3712">
        <v>59223558930</v>
      </c>
      <c r="F3712">
        <v>637119</v>
      </c>
      <c r="G3712">
        <v>54295435326</v>
      </c>
      <c r="H3712" t="s">
        <v>35</v>
      </c>
      <c r="I3712" s="36">
        <v>1724.4</v>
      </c>
      <c r="J3712" s="36">
        <v>1724.4</v>
      </c>
      <c r="K3712" s="85">
        <v>2.2737400000000001E-13</v>
      </c>
      <c r="L3712" s="36">
        <v>143.69999999999999</v>
      </c>
      <c r="M3712" s="36">
        <v>143.69999999999999</v>
      </c>
      <c r="N3712" s="36">
        <v>0</v>
      </c>
      <c r="O3712" s="36">
        <v>0</v>
      </c>
      <c r="P3712" t="s">
        <v>506</v>
      </c>
      <c r="Q3712" t="s">
        <v>300</v>
      </c>
      <c r="R3712" t="s">
        <v>300</v>
      </c>
      <c r="S3712" s="1">
        <v>46127</v>
      </c>
      <c r="T3712" s="1">
        <v>46127</v>
      </c>
      <c r="V3712" s="1">
        <v>46492</v>
      </c>
      <c r="W3712" t="s">
        <v>38</v>
      </c>
      <c r="X3712">
        <v>12</v>
      </c>
      <c r="Y3712" t="s">
        <v>49</v>
      </c>
      <c r="AA3712" t="s">
        <v>117</v>
      </c>
      <c r="AB3712">
        <v>1</v>
      </c>
      <c r="AC3712" t="s">
        <v>301</v>
      </c>
      <c r="AD3712" t="s">
        <v>140</v>
      </c>
      <c r="AE3712" t="s">
        <v>46</v>
      </c>
      <c r="AF3712" t="s">
        <v>119</v>
      </c>
      <c r="AG3712" t="str">
        <f t="shared" si="75"/>
        <v>À Vista</v>
      </c>
      <c r="AH3712" t="str">
        <f t="shared" si="76"/>
        <v/>
      </c>
    </row>
    <row r="3713" spans="1:34">
      <c r="A3713">
        <v>2026</v>
      </c>
      <c r="B3713">
        <v>4</v>
      </c>
      <c r="C3713" s="83">
        <v>215211581021</v>
      </c>
      <c r="D3713" t="s">
        <v>3256</v>
      </c>
      <c r="E3713">
        <v>59657806178</v>
      </c>
      <c r="F3713">
        <v>637327</v>
      </c>
      <c r="G3713">
        <v>54699067490</v>
      </c>
      <c r="H3713" t="s">
        <v>35</v>
      </c>
      <c r="I3713" s="36">
        <v>4841.28</v>
      </c>
      <c r="J3713" s="36">
        <v>4841.2920000000004</v>
      </c>
      <c r="K3713" s="85">
        <v>0</v>
      </c>
      <c r="L3713" s="36">
        <v>403.44099999999997</v>
      </c>
      <c r="M3713" s="36">
        <v>403.44099999999997</v>
      </c>
      <c r="N3713" s="36">
        <v>0</v>
      </c>
      <c r="O3713" s="36">
        <v>0</v>
      </c>
      <c r="P3713" t="s">
        <v>506</v>
      </c>
      <c r="Q3713" t="s">
        <v>300</v>
      </c>
      <c r="R3713" t="s">
        <v>300</v>
      </c>
      <c r="S3713" s="1">
        <v>46136</v>
      </c>
      <c r="T3713" s="1">
        <v>46136</v>
      </c>
      <c r="V3713" s="1">
        <v>46501</v>
      </c>
      <c r="W3713" t="s">
        <v>38</v>
      </c>
      <c r="X3713">
        <v>12</v>
      </c>
      <c r="Y3713" t="s">
        <v>49</v>
      </c>
      <c r="AA3713" t="s">
        <v>122</v>
      </c>
      <c r="AB3713">
        <v>12</v>
      </c>
      <c r="AC3713" t="s">
        <v>301</v>
      </c>
      <c r="AD3713" t="s">
        <v>138</v>
      </c>
      <c r="AE3713" t="s">
        <v>135</v>
      </c>
      <c r="AF3713" t="s">
        <v>119</v>
      </c>
      <c r="AG3713" t="str">
        <f t="shared" ref="AG3713:AG3776" si="77">IF(IFERROR(SEARCH("Recorrente",AA3713),0)&gt;0,"Recorrente",IF(AB3713=1,"À Vista",IF(AB3713&lt;=3,"CC 3x",IF(AB3713&lt;=12,"CC 12x",IF(AB3713&gt;12,"Recorrente","")))))</f>
        <v>Recorrente</v>
      </c>
      <c r="AH3713" t="str">
        <f t="shared" ref="AH3713:AH3776" si="78">IF(AND(SUMIF(E:E,E3713,I:I)&gt;=400000,Q3713="B2G"),"n","")</f>
        <v/>
      </c>
    </row>
    <row r="3714" spans="1:34">
      <c r="A3714">
        <v>2026</v>
      </c>
      <c r="B3714">
        <v>4</v>
      </c>
      <c r="C3714" s="83">
        <v>215240674699</v>
      </c>
      <c r="D3714" t="s">
        <v>3257</v>
      </c>
      <c r="E3714">
        <v>59147021453</v>
      </c>
      <c r="F3714">
        <v>637057</v>
      </c>
      <c r="G3714">
        <v>54269296258</v>
      </c>
      <c r="H3714" t="s">
        <v>35</v>
      </c>
      <c r="I3714" s="36">
        <v>5172</v>
      </c>
      <c r="J3714" s="36">
        <v>5172</v>
      </c>
      <c r="K3714" s="85">
        <v>0</v>
      </c>
      <c r="L3714" s="36">
        <v>431</v>
      </c>
      <c r="M3714" s="36">
        <v>431</v>
      </c>
      <c r="N3714" s="36">
        <v>0</v>
      </c>
      <c r="O3714" s="36">
        <v>0</v>
      </c>
      <c r="P3714" t="s">
        <v>511</v>
      </c>
      <c r="Q3714" t="s">
        <v>300</v>
      </c>
      <c r="R3714" t="s">
        <v>300</v>
      </c>
      <c r="S3714" s="1">
        <v>46125</v>
      </c>
      <c r="T3714" s="1">
        <v>46125</v>
      </c>
      <c r="V3714" s="1">
        <v>46490</v>
      </c>
      <c r="W3714" t="s">
        <v>38</v>
      </c>
      <c r="X3714">
        <v>12</v>
      </c>
      <c r="Y3714" t="s">
        <v>49</v>
      </c>
      <c r="AA3714" t="s">
        <v>112</v>
      </c>
      <c r="AB3714">
        <v>12</v>
      </c>
      <c r="AC3714" t="s">
        <v>301</v>
      </c>
      <c r="AD3714" t="s">
        <v>85</v>
      </c>
      <c r="AE3714" t="s">
        <v>46</v>
      </c>
      <c r="AF3714" t="s">
        <v>44</v>
      </c>
      <c r="AG3714" t="str">
        <f t="shared" si="77"/>
        <v>CC 12x</v>
      </c>
      <c r="AH3714" t="str">
        <f t="shared" si="78"/>
        <v/>
      </c>
    </row>
    <row r="3715" spans="1:34">
      <c r="A3715">
        <v>2026</v>
      </c>
      <c r="B3715">
        <v>4</v>
      </c>
      <c r="C3715" s="83">
        <v>215294469744</v>
      </c>
      <c r="D3715" t="s">
        <v>3258</v>
      </c>
      <c r="E3715">
        <v>59138728300</v>
      </c>
      <c r="F3715">
        <v>637049</v>
      </c>
      <c r="G3715">
        <v>54263578984</v>
      </c>
      <c r="H3715" t="s">
        <v>104</v>
      </c>
      <c r="I3715" s="36">
        <v>718.8</v>
      </c>
      <c r="J3715" s="36">
        <v>718.8</v>
      </c>
      <c r="K3715" s="85">
        <v>0</v>
      </c>
      <c r="L3715" s="36">
        <v>59.9</v>
      </c>
      <c r="M3715" s="36">
        <v>59.9</v>
      </c>
      <c r="N3715" s="36">
        <v>0</v>
      </c>
      <c r="O3715" s="36">
        <v>0</v>
      </c>
      <c r="P3715" t="s">
        <v>497</v>
      </c>
      <c r="Q3715" t="s">
        <v>498</v>
      </c>
      <c r="R3715" t="s">
        <v>498</v>
      </c>
      <c r="S3715" s="1">
        <v>46125</v>
      </c>
      <c r="T3715" s="1">
        <v>46125</v>
      </c>
      <c r="V3715" s="1">
        <v>46490</v>
      </c>
      <c r="W3715" t="s">
        <v>38</v>
      </c>
      <c r="X3715">
        <v>12</v>
      </c>
      <c r="Y3715" t="s">
        <v>49</v>
      </c>
      <c r="AA3715" t="s">
        <v>112</v>
      </c>
      <c r="AB3715">
        <v>12</v>
      </c>
      <c r="AC3715" t="s">
        <v>499</v>
      </c>
      <c r="AD3715" t="s">
        <v>105</v>
      </c>
      <c r="AE3715" t="s">
        <v>106</v>
      </c>
      <c r="AF3715" t="s">
        <v>59</v>
      </c>
      <c r="AG3715" t="str">
        <f t="shared" si="77"/>
        <v>CC 12x</v>
      </c>
      <c r="AH3715" t="str">
        <f t="shared" si="78"/>
        <v/>
      </c>
    </row>
    <row r="3716" spans="1:34">
      <c r="A3716">
        <v>2026</v>
      </c>
      <c r="B3716">
        <v>4</v>
      </c>
      <c r="C3716" s="83">
        <v>215325000844</v>
      </c>
      <c r="D3716" t="s">
        <v>3259</v>
      </c>
      <c r="E3716">
        <v>56849669456</v>
      </c>
      <c r="F3716">
        <v>628403</v>
      </c>
      <c r="G3716">
        <v>52018987173</v>
      </c>
      <c r="H3716" t="s">
        <v>35</v>
      </c>
      <c r="I3716" s="36">
        <v>2874</v>
      </c>
      <c r="J3716" s="36">
        <v>2874</v>
      </c>
      <c r="K3716" s="85">
        <v>0</v>
      </c>
      <c r="L3716" s="36">
        <v>239.5</v>
      </c>
      <c r="M3716" s="36">
        <v>0</v>
      </c>
      <c r="N3716" s="36">
        <v>36.35</v>
      </c>
      <c r="O3716" s="36">
        <v>203.15</v>
      </c>
      <c r="P3716" t="s">
        <v>165</v>
      </c>
      <c r="Q3716" t="s">
        <v>166</v>
      </c>
      <c r="R3716" t="s">
        <v>166</v>
      </c>
      <c r="S3716" s="1">
        <v>46121</v>
      </c>
      <c r="T3716" s="1">
        <v>46121</v>
      </c>
      <c r="U3716" s="1">
        <v>46121</v>
      </c>
      <c r="V3716" s="1">
        <v>46486</v>
      </c>
      <c r="W3716" t="s">
        <v>38</v>
      </c>
      <c r="X3716">
        <v>12</v>
      </c>
      <c r="Y3716" t="s">
        <v>49</v>
      </c>
      <c r="Z3716" t="s">
        <v>81</v>
      </c>
      <c r="AA3716" t="s">
        <v>122</v>
      </c>
      <c r="AB3716">
        <v>12</v>
      </c>
      <c r="AC3716" t="s">
        <v>166</v>
      </c>
      <c r="AD3716" t="s">
        <v>140</v>
      </c>
      <c r="AE3716" t="s">
        <v>46</v>
      </c>
      <c r="AF3716" t="s">
        <v>119</v>
      </c>
      <c r="AG3716" t="str">
        <f t="shared" si="77"/>
        <v>Recorrente</v>
      </c>
      <c r="AH3716" t="str">
        <f t="shared" si="78"/>
        <v/>
      </c>
    </row>
    <row r="3717" spans="1:34">
      <c r="A3717">
        <v>2026</v>
      </c>
      <c r="B3717">
        <v>4</v>
      </c>
      <c r="C3717" s="83">
        <v>215333348669</v>
      </c>
      <c r="D3717" t="s">
        <v>3260</v>
      </c>
      <c r="E3717">
        <v>59148562542</v>
      </c>
      <c r="F3717">
        <v>637059</v>
      </c>
      <c r="G3717">
        <v>54269792129</v>
      </c>
      <c r="H3717" t="s">
        <v>35</v>
      </c>
      <c r="I3717" s="36">
        <v>3114</v>
      </c>
      <c r="J3717" s="36">
        <v>3114</v>
      </c>
      <c r="K3717" s="85">
        <v>0</v>
      </c>
      <c r="L3717" s="36">
        <v>259.5</v>
      </c>
      <c r="M3717" s="36">
        <v>259.5</v>
      </c>
      <c r="N3717" s="36">
        <v>0</v>
      </c>
      <c r="O3717" s="36">
        <v>0</v>
      </c>
      <c r="P3717" t="s">
        <v>506</v>
      </c>
      <c r="Q3717" t="s">
        <v>300</v>
      </c>
      <c r="R3717" t="s">
        <v>300</v>
      </c>
      <c r="S3717" s="1">
        <v>46125</v>
      </c>
      <c r="T3717" s="1">
        <v>46125</v>
      </c>
      <c r="V3717" s="1"/>
      <c r="W3717" t="s">
        <v>2733</v>
      </c>
      <c r="Y3717" t="s">
        <v>49</v>
      </c>
      <c r="AA3717" t="s">
        <v>122</v>
      </c>
      <c r="AB3717">
        <v>12</v>
      </c>
      <c r="AC3717" t="s">
        <v>301</v>
      </c>
      <c r="AD3717" t="s">
        <v>2734</v>
      </c>
      <c r="AE3717" t="s">
        <v>106</v>
      </c>
      <c r="AF3717" t="s">
        <v>59</v>
      </c>
      <c r="AG3717" t="str">
        <f t="shared" si="77"/>
        <v>Recorrente</v>
      </c>
      <c r="AH3717" t="str">
        <f t="shared" si="78"/>
        <v/>
      </c>
    </row>
    <row r="3718" spans="1:34">
      <c r="A3718">
        <v>2026</v>
      </c>
      <c r="B3718">
        <v>4</v>
      </c>
      <c r="C3718" s="83">
        <v>215344038534</v>
      </c>
      <c r="D3718" t="s">
        <v>3261</v>
      </c>
      <c r="E3718">
        <v>59230958371</v>
      </c>
      <c r="F3718">
        <v>637179</v>
      </c>
      <c r="G3718">
        <v>54377556836</v>
      </c>
      <c r="H3718" t="s">
        <v>35</v>
      </c>
      <c r="I3718" s="36">
        <v>2634</v>
      </c>
      <c r="J3718" s="36">
        <v>2634</v>
      </c>
      <c r="K3718" s="85">
        <v>0</v>
      </c>
      <c r="L3718" s="36">
        <v>219.5</v>
      </c>
      <c r="M3718" s="36">
        <v>219.5</v>
      </c>
      <c r="N3718" s="36">
        <v>0</v>
      </c>
      <c r="O3718" s="36">
        <v>0</v>
      </c>
      <c r="P3718" t="s">
        <v>829</v>
      </c>
      <c r="Q3718" t="s">
        <v>300</v>
      </c>
      <c r="R3718" t="s">
        <v>300</v>
      </c>
      <c r="S3718" s="1">
        <v>46129</v>
      </c>
      <c r="T3718" s="1">
        <v>46129</v>
      </c>
      <c r="V3718" s="1">
        <v>46494</v>
      </c>
      <c r="W3718" t="s">
        <v>38</v>
      </c>
      <c r="X3718">
        <v>12</v>
      </c>
      <c r="Y3718" t="s">
        <v>49</v>
      </c>
      <c r="AA3718" t="s">
        <v>112</v>
      </c>
      <c r="AB3718">
        <v>12</v>
      </c>
      <c r="AC3718" t="s">
        <v>301</v>
      </c>
      <c r="AD3718" t="s">
        <v>3056</v>
      </c>
      <c r="AE3718" t="s">
        <v>106</v>
      </c>
      <c r="AF3718" t="s">
        <v>59</v>
      </c>
      <c r="AG3718" t="str">
        <f t="shared" si="77"/>
        <v>CC 12x</v>
      </c>
      <c r="AH3718" t="str">
        <f t="shared" si="78"/>
        <v/>
      </c>
    </row>
    <row r="3719" spans="1:34">
      <c r="A3719">
        <v>2026</v>
      </c>
      <c r="B3719">
        <v>4</v>
      </c>
      <c r="C3719" s="83">
        <v>215345923710</v>
      </c>
      <c r="D3719" t="s">
        <v>3262</v>
      </c>
      <c r="E3719">
        <v>59471957155</v>
      </c>
      <c r="F3719">
        <v>637535</v>
      </c>
      <c r="G3719">
        <v>54917814048</v>
      </c>
      <c r="H3719" t="s">
        <v>35</v>
      </c>
      <c r="I3719" s="36">
        <v>2370.6</v>
      </c>
      <c r="J3719" s="36">
        <v>2370.6</v>
      </c>
      <c r="K3719" s="85">
        <v>0</v>
      </c>
      <c r="L3719" s="36">
        <v>197.55</v>
      </c>
      <c r="M3719" s="36">
        <v>197.55</v>
      </c>
      <c r="N3719" s="36">
        <v>0</v>
      </c>
      <c r="O3719" s="36">
        <v>0</v>
      </c>
      <c r="P3719" t="s">
        <v>829</v>
      </c>
      <c r="Q3719" t="s">
        <v>300</v>
      </c>
      <c r="R3719" t="s">
        <v>300</v>
      </c>
      <c r="S3719" s="1">
        <v>46142</v>
      </c>
      <c r="T3719" s="1">
        <v>46142</v>
      </c>
      <c r="U3719" s="1"/>
      <c r="V3719" s="1">
        <v>46507</v>
      </c>
      <c r="W3719" t="s">
        <v>38</v>
      </c>
      <c r="X3719">
        <v>12</v>
      </c>
      <c r="Y3719" t="s">
        <v>49</v>
      </c>
      <c r="AA3719" t="s">
        <v>117</v>
      </c>
      <c r="AB3719">
        <v>1</v>
      </c>
      <c r="AC3719" t="s">
        <v>301</v>
      </c>
      <c r="AD3719" t="s">
        <v>3056</v>
      </c>
      <c r="AE3719" t="s">
        <v>106</v>
      </c>
      <c r="AF3719" t="s">
        <v>59</v>
      </c>
      <c r="AG3719" t="str">
        <f t="shared" si="77"/>
        <v>À Vista</v>
      </c>
      <c r="AH3719" t="str">
        <f t="shared" si="78"/>
        <v/>
      </c>
    </row>
    <row r="3720" spans="1:34">
      <c r="A3720">
        <v>2026</v>
      </c>
      <c r="B3720">
        <v>4</v>
      </c>
      <c r="C3720" s="83">
        <v>215373360668</v>
      </c>
      <c r="D3720" t="s">
        <v>3263</v>
      </c>
      <c r="E3720">
        <v>57573691793</v>
      </c>
      <c r="F3720">
        <v>628249</v>
      </c>
      <c r="G3720">
        <v>54269745415</v>
      </c>
      <c r="H3720" t="s">
        <v>35</v>
      </c>
      <c r="I3720" s="36">
        <v>3222.24</v>
      </c>
      <c r="J3720" s="36">
        <v>3222.24</v>
      </c>
      <c r="K3720" s="85">
        <v>0</v>
      </c>
      <c r="L3720" s="36">
        <v>268.52</v>
      </c>
      <c r="M3720" s="36">
        <v>0</v>
      </c>
      <c r="N3720" s="36">
        <v>42.02</v>
      </c>
      <c r="O3720" s="36">
        <v>226.5</v>
      </c>
      <c r="P3720" t="s">
        <v>116</v>
      </c>
      <c r="Q3720" t="s">
        <v>111</v>
      </c>
      <c r="R3720" t="s">
        <v>111</v>
      </c>
      <c r="S3720" s="1">
        <v>46125</v>
      </c>
      <c r="T3720" s="1">
        <v>46125</v>
      </c>
      <c r="U3720" s="1">
        <v>46116</v>
      </c>
      <c r="V3720" s="1">
        <v>46490</v>
      </c>
      <c r="W3720" t="s">
        <v>38</v>
      </c>
      <c r="X3720">
        <v>12</v>
      </c>
      <c r="Y3720" t="s">
        <v>49</v>
      </c>
      <c r="Z3720" t="s">
        <v>81</v>
      </c>
      <c r="AA3720" t="s">
        <v>117</v>
      </c>
      <c r="AB3720">
        <v>1</v>
      </c>
      <c r="AC3720" t="s">
        <v>113</v>
      </c>
      <c r="AD3720" t="s">
        <v>85</v>
      </c>
      <c r="AE3720" t="s">
        <v>46</v>
      </c>
      <c r="AF3720" t="s">
        <v>44</v>
      </c>
      <c r="AG3720" t="str">
        <f t="shared" si="77"/>
        <v>À Vista</v>
      </c>
      <c r="AH3720" t="str">
        <f t="shared" si="78"/>
        <v/>
      </c>
    </row>
    <row r="3721" spans="1:34">
      <c r="A3721">
        <v>2026</v>
      </c>
      <c r="B3721">
        <v>4</v>
      </c>
      <c r="C3721" s="83">
        <v>215407475377</v>
      </c>
      <c r="D3721" t="s">
        <v>2471</v>
      </c>
      <c r="E3721">
        <v>59129804369</v>
      </c>
      <c r="F3721">
        <v>636750</v>
      </c>
      <c r="G3721">
        <v>54269781869</v>
      </c>
      <c r="H3721" t="s">
        <v>35</v>
      </c>
      <c r="I3721" s="36">
        <v>2062.56</v>
      </c>
      <c r="J3721" s="36">
        <v>2158.6799999999998</v>
      </c>
      <c r="K3721" s="85">
        <v>0</v>
      </c>
      <c r="L3721" s="36">
        <v>179.89</v>
      </c>
      <c r="M3721" s="36">
        <v>0</v>
      </c>
      <c r="N3721" s="36">
        <v>179.89</v>
      </c>
      <c r="O3721" s="36">
        <v>0</v>
      </c>
      <c r="P3721" t="s">
        <v>323</v>
      </c>
      <c r="Q3721" t="s">
        <v>191</v>
      </c>
      <c r="R3721" t="s">
        <v>191</v>
      </c>
      <c r="S3721" s="1">
        <v>46125</v>
      </c>
      <c r="T3721" s="1">
        <v>46125</v>
      </c>
      <c r="U3721" s="1">
        <v>46474</v>
      </c>
      <c r="V3721" s="1">
        <v>46474</v>
      </c>
      <c r="W3721" t="s">
        <v>38</v>
      </c>
      <c r="X3721">
        <v>11</v>
      </c>
      <c r="Y3721" t="s">
        <v>49</v>
      </c>
      <c r="Z3721" t="s">
        <v>324</v>
      </c>
      <c r="AA3721" t="s">
        <v>117</v>
      </c>
      <c r="AB3721">
        <v>1</v>
      </c>
      <c r="AC3721" t="s">
        <v>192</v>
      </c>
      <c r="AD3721" t="s">
        <v>84</v>
      </c>
      <c r="AE3721" t="s">
        <v>43</v>
      </c>
      <c r="AF3721" t="s">
        <v>44</v>
      </c>
      <c r="AG3721" t="str">
        <f t="shared" si="77"/>
        <v>À Vista</v>
      </c>
      <c r="AH3721" t="str">
        <f t="shared" si="78"/>
        <v/>
      </c>
    </row>
    <row r="3722" spans="1:34">
      <c r="A3722">
        <v>2026</v>
      </c>
      <c r="B3722">
        <v>4</v>
      </c>
      <c r="C3722" s="83">
        <v>215411405143</v>
      </c>
      <c r="D3722" t="s">
        <v>3264</v>
      </c>
      <c r="E3722">
        <v>59169053242</v>
      </c>
      <c r="F3722">
        <v>637236</v>
      </c>
      <c r="G3722">
        <v>54509337458</v>
      </c>
      <c r="H3722" t="s">
        <v>35</v>
      </c>
      <c r="I3722" s="36">
        <v>5178.6000000000004</v>
      </c>
      <c r="J3722" s="36">
        <v>5178.6000000000004</v>
      </c>
      <c r="K3722" s="85">
        <v>0</v>
      </c>
      <c r="L3722" s="36">
        <v>431.55</v>
      </c>
      <c r="M3722" s="36">
        <v>431.55</v>
      </c>
      <c r="N3722" s="36">
        <v>0</v>
      </c>
      <c r="O3722" s="36">
        <v>0</v>
      </c>
      <c r="P3722" t="s">
        <v>1073</v>
      </c>
      <c r="Q3722" t="s">
        <v>314</v>
      </c>
      <c r="R3722" t="s">
        <v>314</v>
      </c>
      <c r="S3722" s="1">
        <v>46134</v>
      </c>
      <c r="T3722" s="1">
        <v>46134</v>
      </c>
      <c r="V3722" s="1">
        <v>46499</v>
      </c>
      <c r="W3722" t="s">
        <v>38</v>
      </c>
      <c r="X3722">
        <v>12</v>
      </c>
      <c r="Y3722" t="s">
        <v>49</v>
      </c>
      <c r="AA3722" t="s">
        <v>122</v>
      </c>
      <c r="AB3722">
        <v>12</v>
      </c>
      <c r="AC3722" t="s">
        <v>315</v>
      </c>
      <c r="AD3722" t="s">
        <v>85</v>
      </c>
      <c r="AE3722" t="s">
        <v>46</v>
      </c>
      <c r="AF3722" t="s">
        <v>44</v>
      </c>
      <c r="AG3722" t="str">
        <f t="shared" si="77"/>
        <v>Recorrente</v>
      </c>
      <c r="AH3722" t="str">
        <f t="shared" si="78"/>
        <v/>
      </c>
    </row>
    <row r="3723" spans="1:34">
      <c r="A3723">
        <v>2026</v>
      </c>
      <c r="B3723">
        <v>4</v>
      </c>
      <c r="C3723" s="83">
        <v>215432173457</v>
      </c>
      <c r="D3723" t="s">
        <v>3265</v>
      </c>
      <c r="E3723">
        <v>59244912050</v>
      </c>
      <c r="F3723">
        <v>637242</v>
      </c>
      <c r="G3723">
        <v>54510301029</v>
      </c>
      <c r="H3723" t="s">
        <v>35</v>
      </c>
      <c r="I3723" s="36">
        <v>4890.84</v>
      </c>
      <c r="J3723" s="36">
        <v>4890.8999999999996</v>
      </c>
      <c r="K3723" s="85">
        <v>0</v>
      </c>
      <c r="L3723" s="36">
        <v>407.57499999999999</v>
      </c>
      <c r="M3723" s="36">
        <v>407.57499999999999</v>
      </c>
      <c r="N3723" s="36">
        <v>0</v>
      </c>
      <c r="O3723" s="36">
        <v>0</v>
      </c>
      <c r="P3723" t="s">
        <v>1073</v>
      </c>
      <c r="Q3723" t="s">
        <v>314</v>
      </c>
      <c r="R3723" t="s">
        <v>314</v>
      </c>
      <c r="S3723" s="1">
        <v>46135</v>
      </c>
      <c r="T3723" s="1">
        <v>46135</v>
      </c>
      <c r="V3723" s="1">
        <v>46500</v>
      </c>
      <c r="W3723" t="s">
        <v>38</v>
      </c>
      <c r="X3723">
        <v>12</v>
      </c>
      <c r="Y3723" t="s">
        <v>49</v>
      </c>
      <c r="AA3723" t="s">
        <v>112</v>
      </c>
      <c r="AB3723">
        <v>12</v>
      </c>
      <c r="AC3723" t="s">
        <v>315</v>
      </c>
      <c r="AD3723" t="s">
        <v>85</v>
      </c>
      <c r="AE3723" t="s">
        <v>46</v>
      </c>
      <c r="AF3723" t="s">
        <v>44</v>
      </c>
      <c r="AG3723" t="str">
        <f t="shared" si="77"/>
        <v>CC 12x</v>
      </c>
      <c r="AH3723" t="str">
        <f t="shared" si="78"/>
        <v/>
      </c>
    </row>
    <row r="3724" spans="1:34">
      <c r="A3724">
        <v>2026</v>
      </c>
      <c r="B3724">
        <v>4</v>
      </c>
      <c r="C3724" s="83">
        <v>215461795635</v>
      </c>
      <c r="D3724" t="s">
        <v>3266</v>
      </c>
      <c r="E3724">
        <v>59244460329</v>
      </c>
      <c r="F3724">
        <v>637123</v>
      </c>
      <c r="G3724">
        <v>54294706961</v>
      </c>
      <c r="H3724" t="s">
        <v>35</v>
      </c>
      <c r="I3724" s="36">
        <v>5514</v>
      </c>
      <c r="J3724" s="36">
        <v>5514</v>
      </c>
      <c r="K3724" s="85">
        <v>0</v>
      </c>
      <c r="L3724" s="36">
        <v>459.5</v>
      </c>
      <c r="M3724" s="36">
        <v>459.5</v>
      </c>
      <c r="N3724" s="36">
        <v>0</v>
      </c>
      <c r="O3724" s="36">
        <v>0</v>
      </c>
      <c r="P3724" t="s">
        <v>511</v>
      </c>
      <c r="Q3724" t="s">
        <v>300</v>
      </c>
      <c r="R3724" t="s">
        <v>300</v>
      </c>
      <c r="S3724" s="1">
        <v>46128</v>
      </c>
      <c r="T3724" s="1">
        <v>46128</v>
      </c>
      <c r="U3724" s="1"/>
      <c r="V3724" s="1">
        <v>46493</v>
      </c>
      <c r="W3724" t="s">
        <v>38</v>
      </c>
      <c r="X3724">
        <v>12</v>
      </c>
      <c r="Y3724" t="s">
        <v>49</v>
      </c>
      <c r="AA3724" t="s">
        <v>122</v>
      </c>
      <c r="AB3724">
        <v>12</v>
      </c>
      <c r="AC3724" t="s">
        <v>301</v>
      </c>
      <c r="AD3724" t="s">
        <v>138</v>
      </c>
      <c r="AE3724" t="s">
        <v>135</v>
      </c>
      <c r="AF3724" t="s">
        <v>119</v>
      </c>
      <c r="AG3724" t="str">
        <f t="shared" si="77"/>
        <v>Recorrente</v>
      </c>
      <c r="AH3724" t="str">
        <f t="shared" si="78"/>
        <v/>
      </c>
    </row>
    <row r="3725" spans="1:34">
      <c r="A3725">
        <v>2026</v>
      </c>
      <c r="B3725">
        <v>4</v>
      </c>
      <c r="C3725" s="83">
        <v>215532388388</v>
      </c>
      <c r="D3725" t="s">
        <v>3267</v>
      </c>
      <c r="E3725">
        <v>59165751871</v>
      </c>
      <c r="F3725">
        <v>637075</v>
      </c>
      <c r="G3725">
        <v>54280044362</v>
      </c>
      <c r="H3725" t="s">
        <v>35</v>
      </c>
      <c r="I3725" s="36">
        <v>3114</v>
      </c>
      <c r="J3725" s="36">
        <v>3114</v>
      </c>
      <c r="K3725" s="85">
        <v>0</v>
      </c>
      <c r="L3725" s="36">
        <v>259.5</v>
      </c>
      <c r="M3725" s="36">
        <v>259.5</v>
      </c>
      <c r="N3725" s="36">
        <v>0</v>
      </c>
      <c r="O3725" s="36">
        <v>0</v>
      </c>
      <c r="P3725" t="s">
        <v>506</v>
      </c>
      <c r="Q3725" t="s">
        <v>300</v>
      </c>
      <c r="R3725" t="s">
        <v>300</v>
      </c>
      <c r="S3725" s="1">
        <v>46126</v>
      </c>
      <c r="T3725" s="1">
        <v>46126</v>
      </c>
      <c r="W3725" t="s">
        <v>2733</v>
      </c>
      <c r="Y3725" t="s">
        <v>49</v>
      </c>
      <c r="AA3725" t="s">
        <v>122</v>
      </c>
      <c r="AB3725">
        <v>12</v>
      </c>
      <c r="AC3725" t="s">
        <v>301</v>
      </c>
      <c r="AD3725" t="s">
        <v>2734</v>
      </c>
      <c r="AE3725" t="s">
        <v>106</v>
      </c>
      <c r="AF3725" t="s">
        <v>59</v>
      </c>
      <c r="AG3725" t="str">
        <f t="shared" si="77"/>
        <v>Recorrente</v>
      </c>
      <c r="AH3725" t="str">
        <f t="shared" si="78"/>
        <v/>
      </c>
    </row>
    <row r="3726" spans="1:34">
      <c r="A3726">
        <v>2026</v>
      </c>
      <c r="B3726">
        <v>4</v>
      </c>
      <c r="C3726" s="83">
        <v>215540297622</v>
      </c>
      <c r="D3726" t="s">
        <v>3268</v>
      </c>
      <c r="E3726">
        <v>59166302645</v>
      </c>
      <c r="F3726">
        <v>637082</v>
      </c>
      <c r="G3726">
        <v>54282131086</v>
      </c>
      <c r="H3726" t="s">
        <v>35</v>
      </c>
      <c r="I3726" s="36">
        <v>259.5</v>
      </c>
      <c r="J3726" s="36">
        <v>3114</v>
      </c>
      <c r="K3726" s="85">
        <v>0</v>
      </c>
      <c r="L3726" s="36">
        <v>259.5</v>
      </c>
      <c r="M3726" s="36">
        <v>259.5</v>
      </c>
      <c r="N3726" s="36">
        <v>0</v>
      </c>
      <c r="O3726" s="36">
        <v>0</v>
      </c>
      <c r="P3726" t="s">
        <v>511</v>
      </c>
      <c r="Q3726" t="s">
        <v>300</v>
      </c>
      <c r="R3726" t="s">
        <v>300</v>
      </c>
      <c r="S3726" s="1">
        <v>46126</v>
      </c>
      <c r="T3726" s="1">
        <v>46126</v>
      </c>
      <c r="V3726" s="1"/>
      <c r="W3726" t="s">
        <v>2733</v>
      </c>
      <c r="Y3726" t="s">
        <v>49</v>
      </c>
      <c r="AA3726" t="s">
        <v>122</v>
      </c>
      <c r="AB3726">
        <v>1</v>
      </c>
      <c r="AC3726" t="s">
        <v>301</v>
      </c>
      <c r="AD3726" t="s">
        <v>2734</v>
      </c>
      <c r="AE3726" t="s">
        <v>106</v>
      </c>
      <c r="AF3726" t="s">
        <v>59</v>
      </c>
      <c r="AG3726" t="str">
        <f t="shared" si="77"/>
        <v>Recorrente</v>
      </c>
      <c r="AH3726" t="str">
        <f t="shared" si="78"/>
        <v/>
      </c>
    </row>
    <row r="3727" spans="1:34">
      <c r="A3727">
        <v>2026</v>
      </c>
      <c r="B3727">
        <v>4</v>
      </c>
      <c r="C3727" s="83">
        <v>215566637419</v>
      </c>
      <c r="D3727" t="s">
        <v>3269</v>
      </c>
      <c r="E3727">
        <v>59170848925</v>
      </c>
      <c r="F3727">
        <v>637091</v>
      </c>
      <c r="G3727">
        <v>54282774085</v>
      </c>
      <c r="H3727" t="s">
        <v>35</v>
      </c>
      <c r="I3727" s="36">
        <v>3114</v>
      </c>
      <c r="J3727" s="36">
        <v>3114</v>
      </c>
      <c r="K3727" s="85">
        <v>0</v>
      </c>
      <c r="L3727" s="36">
        <v>259.5</v>
      </c>
      <c r="M3727" s="36">
        <v>259.5</v>
      </c>
      <c r="N3727" s="36">
        <v>0</v>
      </c>
      <c r="O3727" s="36">
        <v>0</v>
      </c>
      <c r="P3727" t="s">
        <v>829</v>
      </c>
      <c r="Q3727" t="s">
        <v>300</v>
      </c>
      <c r="R3727" t="s">
        <v>300</v>
      </c>
      <c r="S3727" s="1">
        <v>46126</v>
      </c>
      <c r="T3727" s="1">
        <v>46126</v>
      </c>
      <c r="V3727" s="1"/>
      <c r="W3727" t="s">
        <v>2733</v>
      </c>
      <c r="Y3727" t="s">
        <v>49</v>
      </c>
      <c r="AA3727" t="s">
        <v>122</v>
      </c>
      <c r="AB3727">
        <v>12</v>
      </c>
      <c r="AC3727" t="s">
        <v>301</v>
      </c>
      <c r="AD3727" t="s">
        <v>2734</v>
      </c>
      <c r="AE3727" t="s">
        <v>106</v>
      </c>
      <c r="AF3727" t="s">
        <v>59</v>
      </c>
      <c r="AG3727" t="str">
        <f t="shared" si="77"/>
        <v>Recorrente</v>
      </c>
      <c r="AH3727" t="str">
        <f t="shared" si="78"/>
        <v/>
      </c>
    </row>
    <row r="3728" spans="1:34">
      <c r="A3728">
        <v>2026</v>
      </c>
      <c r="B3728">
        <v>4</v>
      </c>
      <c r="C3728" s="83">
        <v>215593308728</v>
      </c>
      <c r="D3728" t="s">
        <v>3270</v>
      </c>
      <c r="E3728">
        <v>59296525340</v>
      </c>
      <c r="F3728">
        <v>637182</v>
      </c>
      <c r="G3728">
        <v>54381607529</v>
      </c>
      <c r="H3728" t="s">
        <v>35</v>
      </c>
      <c r="I3728" s="36">
        <v>5514</v>
      </c>
      <c r="J3728" s="36">
        <v>5514</v>
      </c>
      <c r="K3728" s="85">
        <v>0</v>
      </c>
      <c r="L3728" s="36">
        <v>459.5</v>
      </c>
      <c r="M3728" s="36">
        <v>459.5</v>
      </c>
      <c r="N3728" s="36">
        <v>0</v>
      </c>
      <c r="O3728" s="36">
        <v>0</v>
      </c>
      <c r="P3728" t="s">
        <v>829</v>
      </c>
      <c r="Q3728" t="s">
        <v>300</v>
      </c>
      <c r="R3728" t="s">
        <v>300</v>
      </c>
      <c r="S3728" s="1">
        <v>46129</v>
      </c>
      <c r="T3728" s="1">
        <v>46129</v>
      </c>
      <c r="U3728" s="1"/>
      <c r="V3728" s="1">
        <v>46494</v>
      </c>
      <c r="W3728" t="s">
        <v>38</v>
      </c>
      <c r="X3728">
        <v>12</v>
      </c>
      <c r="Y3728" t="s">
        <v>49</v>
      </c>
      <c r="AA3728" t="s">
        <v>122</v>
      </c>
      <c r="AB3728">
        <v>12</v>
      </c>
      <c r="AC3728" t="s">
        <v>301</v>
      </c>
      <c r="AD3728" t="s">
        <v>138</v>
      </c>
      <c r="AE3728" t="s">
        <v>135</v>
      </c>
      <c r="AF3728" t="s">
        <v>119</v>
      </c>
      <c r="AG3728" t="str">
        <f t="shared" si="77"/>
        <v>Recorrente</v>
      </c>
      <c r="AH3728" t="str">
        <f t="shared" si="78"/>
        <v/>
      </c>
    </row>
    <row r="3729" spans="1:34">
      <c r="A3729">
        <v>2026</v>
      </c>
      <c r="B3729">
        <v>4</v>
      </c>
      <c r="C3729" s="83">
        <v>215620554515</v>
      </c>
      <c r="D3729" t="s">
        <v>3271</v>
      </c>
      <c r="E3729">
        <v>59137192120</v>
      </c>
      <c r="F3729">
        <v>637094</v>
      </c>
      <c r="G3729">
        <v>54284131143</v>
      </c>
      <c r="H3729" t="s">
        <v>35</v>
      </c>
      <c r="I3729" s="36">
        <v>8418.6</v>
      </c>
      <c r="J3729" s="36">
        <v>8418.6</v>
      </c>
      <c r="K3729" s="85">
        <v>0</v>
      </c>
      <c r="L3729" s="36">
        <v>701.55</v>
      </c>
      <c r="M3729" s="36">
        <v>701.55</v>
      </c>
      <c r="N3729" s="36">
        <v>0</v>
      </c>
      <c r="O3729" s="36">
        <v>0</v>
      </c>
      <c r="P3729" t="s">
        <v>829</v>
      </c>
      <c r="Q3729" t="s">
        <v>300</v>
      </c>
      <c r="R3729" t="s">
        <v>300</v>
      </c>
      <c r="S3729" s="1">
        <v>46126</v>
      </c>
      <c r="T3729" s="1">
        <v>46126</v>
      </c>
      <c r="U3729" s="1"/>
      <c r="V3729" s="1">
        <v>46491</v>
      </c>
      <c r="W3729" t="s">
        <v>38</v>
      </c>
      <c r="X3729">
        <v>12</v>
      </c>
      <c r="Y3729" t="s">
        <v>49</v>
      </c>
      <c r="AA3729" t="s">
        <v>112</v>
      </c>
      <c r="AB3729">
        <v>12</v>
      </c>
      <c r="AC3729" t="s">
        <v>301</v>
      </c>
      <c r="AD3729" t="s">
        <v>134</v>
      </c>
      <c r="AE3729" t="s">
        <v>135</v>
      </c>
      <c r="AF3729" t="s">
        <v>44</v>
      </c>
      <c r="AG3729" t="str">
        <f t="shared" si="77"/>
        <v>CC 12x</v>
      </c>
      <c r="AH3729" t="str">
        <f t="shared" si="78"/>
        <v/>
      </c>
    </row>
    <row r="3730" spans="1:34">
      <c r="A3730">
        <v>2026</v>
      </c>
      <c r="B3730">
        <v>4</v>
      </c>
      <c r="C3730" s="83">
        <v>215729197625</v>
      </c>
      <c r="D3730" t="s">
        <v>3272</v>
      </c>
      <c r="E3730">
        <v>56959245629</v>
      </c>
      <c r="F3730">
        <v>628509</v>
      </c>
      <c r="G3730">
        <v>52183243435</v>
      </c>
      <c r="H3730" t="s">
        <v>35</v>
      </c>
      <c r="I3730" s="36">
        <v>5514</v>
      </c>
      <c r="J3730" s="36">
        <v>5514</v>
      </c>
      <c r="K3730" s="85">
        <v>0</v>
      </c>
      <c r="L3730" s="36">
        <v>459.5</v>
      </c>
      <c r="M3730" s="36">
        <v>0</v>
      </c>
      <c r="N3730" s="36">
        <v>73.400000000000006</v>
      </c>
      <c r="O3730" s="36">
        <v>386.1</v>
      </c>
      <c r="P3730" t="s">
        <v>165</v>
      </c>
      <c r="Q3730" t="s">
        <v>166</v>
      </c>
      <c r="R3730" t="s">
        <v>166</v>
      </c>
      <c r="S3730" s="1">
        <v>46122</v>
      </c>
      <c r="T3730" s="1">
        <v>46122</v>
      </c>
      <c r="U3730" s="1">
        <v>46122</v>
      </c>
      <c r="V3730" s="1">
        <v>46487</v>
      </c>
      <c r="W3730" t="s">
        <v>38</v>
      </c>
      <c r="X3730">
        <v>12</v>
      </c>
      <c r="Y3730" t="s">
        <v>49</v>
      </c>
      <c r="Z3730" t="s">
        <v>81</v>
      </c>
      <c r="AA3730" t="s">
        <v>122</v>
      </c>
      <c r="AB3730">
        <v>12</v>
      </c>
      <c r="AC3730" t="s">
        <v>166</v>
      </c>
      <c r="AD3730" t="s">
        <v>138</v>
      </c>
      <c r="AE3730" t="s">
        <v>135</v>
      </c>
      <c r="AF3730" t="s">
        <v>119</v>
      </c>
      <c r="AG3730" t="str">
        <f t="shared" si="77"/>
        <v>Recorrente</v>
      </c>
      <c r="AH3730" t="str">
        <f t="shared" si="78"/>
        <v/>
      </c>
    </row>
    <row r="3731" spans="1:34">
      <c r="A3731">
        <v>2026</v>
      </c>
      <c r="B3731">
        <v>4</v>
      </c>
      <c r="C3731" s="83">
        <v>215763059211</v>
      </c>
      <c r="D3731" t="s">
        <v>3273</v>
      </c>
      <c r="E3731">
        <v>59228506375</v>
      </c>
      <c r="F3731">
        <v>637113</v>
      </c>
      <c r="G3731">
        <v>54294673071</v>
      </c>
      <c r="H3731" t="s">
        <v>35</v>
      </c>
      <c r="I3731" s="36">
        <v>3114</v>
      </c>
      <c r="J3731" s="36">
        <v>3114</v>
      </c>
      <c r="K3731" s="85">
        <v>0</v>
      </c>
      <c r="L3731" s="36">
        <v>259.5</v>
      </c>
      <c r="M3731" s="36">
        <v>259.5</v>
      </c>
      <c r="N3731" s="36">
        <v>0</v>
      </c>
      <c r="O3731" s="36">
        <v>0</v>
      </c>
      <c r="P3731" t="s">
        <v>2004</v>
      </c>
      <c r="Q3731" t="s">
        <v>300</v>
      </c>
      <c r="R3731" t="s">
        <v>300</v>
      </c>
      <c r="S3731" s="1">
        <v>46127</v>
      </c>
      <c r="T3731" s="1">
        <v>46127</v>
      </c>
      <c r="V3731" s="1"/>
      <c r="W3731" t="s">
        <v>2733</v>
      </c>
      <c r="Y3731" t="s">
        <v>49</v>
      </c>
      <c r="AA3731" t="s">
        <v>122</v>
      </c>
      <c r="AB3731">
        <v>12</v>
      </c>
      <c r="AC3731" t="s">
        <v>301</v>
      </c>
      <c r="AD3731" t="s">
        <v>2734</v>
      </c>
      <c r="AE3731" t="s">
        <v>106</v>
      </c>
      <c r="AF3731" t="s">
        <v>59</v>
      </c>
      <c r="AG3731" t="str">
        <f t="shared" si="77"/>
        <v>Recorrente</v>
      </c>
      <c r="AH3731" t="str">
        <f t="shared" si="78"/>
        <v/>
      </c>
    </row>
    <row r="3732" spans="1:34">
      <c r="A3732">
        <v>2026</v>
      </c>
      <c r="B3732">
        <v>4</v>
      </c>
      <c r="C3732" s="83">
        <v>215801460657</v>
      </c>
      <c r="D3732" t="s">
        <v>3274</v>
      </c>
      <c r="E3732">
        <v>59232478233</v>
      </c>
      <c r="F3732">
        <v>532963</v>
      </c>
      <c r="G3732">
        <v>54381541760</v>
      </c>
      <c r="H3732" t="s">
        <v>35</v>
      </c>
      <c r="I3732" s="36">
        <v>2586.6</v>
      </c>
      <c r="J3732" s="36">
        <v>2586.6</v>
      </c>
      <c r="K3732" s="85">
        <v>0</v>
      </c>
      <c r="L3732" s="36">
        <v>215.55</v>
      </c>
      <c r="M3732" s="36">
        <v>0</v>
      </c>
      <c r="N3732" s="36">
        <v>12.4</v>
      </c>
      <c r="O3732" s="36">
        <v>203.15</v>
      </c>
      <c r="P3732" t="s">
        <v>162</v>
      </c>
      <c r="Q3732" t="s">
        <v>111</v>
      </c>
      <c r="R3732" t="s">
        <v>111</v>
      </c>
      <c r="S3732" s="1">
        <v>46129</v>
      </c>
      <c r="T3732" s="1">
        <v>46129</v>
      </c>
      <c r="U3732" s="1">
        <v>46133</v>
      </c>
      <c r="V3732" s="1">
        <v>46498</v>
      </c>
      <c r="W3732" t="s">
        <v>38</v>
      </c>
      <c r="X3732">
        <v>12</v>
      </c>
      <c r="Y3732" t="s">
        <v>49</v>
      </c>
      <c r="Z3732" t="s">
        <v>81</v>
      </c>
      <c r="AA3732" t="s">
        <v>112</v>
      </c>
      <c r="AB3732">
        <v>12</v>
      </c>
      <c r="AC3732" t="s">
        <v>113</v>
      </c>
      <c r="AD3732" t="s">
        <v>140</v>
      </c>
      <c r="AE3732" t="s">
        <v>46</v>
      </c>
      <c r="AF3732" t="s">
        <v>119</v>
      </c>
      <c r="AG3732" t="str">
        <f t="shared" si="77"/>
        <v>CC 12x</v>
      </c>
      <c r="AH3732" t="str">
        <f t="shared" si="78"/>
        <v/>
      </c>
    </row>
    <row r="3733" spans="1:34">
      <c r="A3733">
        <v>2026</v>
      </c>
      <c r="B3733">
        <v>4</v>
      </c>
      <c r="C3733" s="83">
        <v>215837416538</v>
      </c>
      <c r="D3733" t="s">
        <v>3275</v>
      </c>
      <c r="E3733">
        <v>59248733843</v>
      </c>
      <c r="F3733">
        <v>637139</v>
      </c>
      <c r="G3733">
        <v>54372562490</v>
      </c>
      <c r="H3733" t="s">
        <v>35</v>
      </c>
      <c r="I3733" s="36">
        <v>3114</v>
      </c>
      <c r="J3733" s="36">
        <v>3114</v>
      </c>
      <c r="K3733" s="85">
        <v>0</v>
      </c>
      <c r="L3733" s="36">
        <v>259.5</v>
      </c>
      <c r="M3733" s="36">
        <v>259.5</v>
      </c>
      <c r="N3733" s="36">
        <v>0</v>
      </c>
      <c r="O3733" s="36">
        <v>0</v>
      </c>
      <c r="P3733" t="s">
        <v>506</v>
      </c>
      <c r="Q3733" t="s">
        <v>300</v>
      </c>
      <c r="R3733" t="s">
        <v>300</v>
      </c>
      <c r="S3733" s="1">
        <v>46128</v>
      </c>
      <c r="T3733" s="1">
        <v>46128</v>
      </c>
      <c r="W3733" t="s">
        <v>2733</v>
      </c>
      <c r="Y3733" t="s">
        <v>49</v>
      </c>
      <c r="AA3733" t="s">
        <v>122</v>
      </c>
      <c r="AB3733">
        <v>12</v>
      </c>
      <c r="AC3733" t="s">
        <v>301</v>
      </c>
      <c r="AD3733" t="s">
        <v>2734</v>
      </c>
      <c r="AE3733" t="s">
        <v>106</v>
      </c>
      <c r="AF3733" t="s">
        <v>59</v>
      </c>
      <c r="AG3733" t="str">
        <f t="shared" si="77"/>
        <v>Recorrente</v>
      </c>
      <c r="AH3733" t="str">
        <f t="shared" si="78"/>
        <v/>
      </c>
    </row>
    <row r="3734" spans="1:34">
      <c r="A3734">
        <v>2026</v>
      </c>
      <c r="B3734">
        <v>4</v>
      </c>
      <c r="C3734" s="83">
        <v>215838946945</v>
      </c>
      <c r="D3734" t="s">
        <v>3276</v>
      </c>
      <c r="E3734">
        <v>59231933520</v>
      </c>
      <c r="F3734">
        <v>637117</v>
      </c>
      <c r="G3734">
        <v>54294679317</v>
      </c>
      <c r="H3734" t="s">
        <v>35</v>
      </c>
      <c r="I3734" s="36">
        <v>2634</v>
      </c>
      <c r="J3734" s="36">
        <v>2634</v>
      </c>
      <c r="K3734" s="85">
        <v>0</v>
      </c>
      <c r="L3734" s="36">
        <v>219.5</v>
      </c>
      <c r="M3734" s="36">
        <v>219.5</v>
      </c>
      <c r="N3734" s="36">
        <v>0</v>
      </c>
      <c r="O3734" s="36">
        <v>0</v>
      </c>
      <c r="P3734" t="s">
        <v>829</v>
      </c>
      <c r="Q3734" t="s">
        <v>300</v>
      </c>
      <c r="R3734" t="s">
        <v>300</v>
      </c>
      <c r="S3734" s="1">
        <v>46127</v>
      </c>
      <c r="T3734" s="1">
        <v>46127</v>
      </c>
      <c r="V3734" s="1">
        <v>46492</v>
      </c>
      <c r="W3734" t="s">
        <v>38</v>
      </c>
      <c r="X3734">
        <v>12</v>
      </c>
      <c r="Y3734" t="s">
        <v>49</v>
      </c>
      <c r="AA3734" t="s">
        <v>112</v>
      </c>
      <c r="AB3734">
        <v>12</v>
      </c>
      <c r="AC3734" t="s">
        <v>301</v>
      </c>
      <c r="AD3734" t="s">
        <v>3056</v>
      </c>
      <c r="AE3734" t="s">
        <v>106</v>
      </c>
      <c r="AF3734" t="s">
        <v>59</v>
      </c>
      <c r="AG3734" t="str">
        <f t="shared" si="77"/>
        <v>CC 12x</v>
      </c>
      <c r="AH3734" t="str">
        <f t="shared" si="78"/>
        <v/>
      </c>
    </row>
    <row r="3735" spans="1:34">
      <c r="A3735">
        <v>2026</v>
      </c>
      <c r="B3735">
        <v>4</v>
      </c>
      <c r="C3735" s="83">
        <v>215876112658</v>
      </c>
      <c r="D3735" t="s">
        <v>3277</v>
      </c>
      <c r="E3735">
        <v>59249050225</v>
      </c>
      <c r="F3735">
        <v>637168</v>
      </c>
      <c r="G3735">
        <v>54377588845</v>
      </c>
      <c r="H3735" t="s">
        <v>35</v>
      </c>
      <c r="I3735" s="36">
        <v>259.5</v>
      </c>
      <c r="J3735" s="36">
        <v>3114</v>
      </c>
      <c r="K3735" s="85">
        <v>0</v>
      </c>
      <c r="L3735" s="36">
        <v>259.5</v>
      </c>
      <c r="M3735" s="36">
        <v>259.5</v>
      </c>
      <c r="N3735" s="36">
        <v>0</v>
      </c>
      <c r="O3735" s="36">
        <v>0</v>
      </c>
      <c r="P3735" t="s">
        <v>506</v>
      </c>
      <c r="Q3735" t="s">
        <v>300</v>
      </c>
      <c r="R3735" t="s">
        <v>300</v>
      </c>
      <c r="S3735" s="1">
        <v>46129</v>
      </c>
      <c r="T3735" s="1">
        <v>46129</v>
      </c>
      <c r="W3735" t="s">
        <v>2733</v>
      </c>
      <c r="Y3735" t="s">
        <v>49</v>
      </c>
      <c r="AA3735" t="s">
        <v>122</v>
      </c>
      <c r="AB3735">
        <v>1</v>
      </c>
      <c r="AC3735" t="s">
        <v>301</v>
      </c>
      <c r="AD3735" t="s">
        <v>2734</v>
      </c>
      <c r="AE3735" t="s">
        <v>106</v>
      </c>
      <c r="AF3735" t="s">
        <v>59</v>
      </c>
      <c r="AG3735" t="str">
        <f t="shared" si="77"/>
        <v>Recorrente</v>
      </c>
      <c r="AH3735" t="str">
        <f t="shared" si="78"/>
        <v/>
      </c>
    </row>
    <row r="3736" spans="1:34">
      <c r="A3736">
        <v>2026</v>
      </c>
      <c r="B3736">
        <v>4</v>
      </c>
      <c r="C3736" s="83">
        <v>215895570557</v>
      </c>
      <c r="D3736" t="s">
        <v>3278</v>
      </c>
      <c r="E3736">
        <v>59222987444</v>
      </c>
      <c r="F3736">
        <v>637133</v>
      </c>
      <c r="G3736">
        <v>54295337890</v>
      </c>
      <c r="H3736" t="s">
        <v>35</v>
      </c>
      <c r="I3736" s="36">
        <v>2874</v>
      </c>
      <c r="J3736" s="36">
        <v>2874</v>
      </c>
      <c r="K3736" s="85">
        <v>0</v>
      </c>
      <c r="L3736" s="36">
        <v>239.5</v>
      </c>
      <c r="M3736" s="36">
        <v>239.5</v>
      </c>
      <c r="N3736" s="36">
        <v>0</v>
      </c>
      <c r="O3736" s="36">
        <v>0</v>
      </c>
      <c r="P3736" t="s">
        <v>2004</v>
      </c>
      <c r="Q3736" t="s">
        <v>300</v>
      </c>
      <c r="R3736" t="s">
        <v>300</v>
      </c>
      <c r="S3736" s="1">
        <v>46128</v>
      </c>
      <c r="T3736" s="1">
        <v>46128</v>
      </c>
      <c r="V3736" s="1">
        <v>46493</v>
      </c>
      <c r="W3736" t="s">
        <v>38</v>
      </c>
      <c r="X3736">
        <v>12</v>
      </c>
      <c r="Y3736" t="s">
        <v>49</v>
      </c>
      <c r="AA3736" t="s">
        <v>122</v>
      </c>
      <c r="AB3736">
        <v>12</v>
      </c>
      <c r="AC3736" t="s">
        <v>301</v>
      </c>
      <c r="AD3736" t="s">
        <v>118</v>
      </c>
      <c r="AE3736" t="s">
        <v>43</v>
      </c>
      <c r="AF3736" t="s">
        <v>119</v>
      </c>
      <c r="AG3736" t="str">
        <f t="shared" si="77"/>
        <v>Recorrente</v>
      </c>
      <c r="AH3736" t="str">
        <f t="shared" si="78"/>
        <v/>
      </c>
    </row>
    <row r="3737" spans="1:34">
      <c r="A3737">
        <v>2026</v>
      </c>
      <c r="B3737">
        <v>4</v>
      </c>
      <c r="C3737" s="83">
        <v>215939075742</v>
      </c>
      <c r="D3737" t="s">
        <v>3279</v>
      </c>
      <c r="E3737">
        <v>59229488179</v>
      </c>
      <c r="F3737">
        <v>637124</v>
      </c>
      <c r="G3737">
        <v>54325004620</v>
      </c>
      <c r="H3737" t="s">
        <v>35</v>
      </c>
      <c r="I3737" s="36">
        <v>2874</v>
      </c>
      <c r="J3737" s="36">
        <v>2874</v>
      </c>
      <c r="K3737" s="85">
        <v>0</v>
      </c>
      <c r="L3737" s="36">
        <v>239.5</v>
      </c>
      <c r="M3737" s="36">
        <v>239.5</v>
      </c>
      <c r="N3737" s="36">
        <v>0</v>
      </c>
      <c r="O3737" s="36">
        <v>0</v>
      </c>
      <c r="P3737" t="s">
        <v>497</v>
      </c>
      <c r="Q3737" t="s">
        <v>498</v>
      </c>
      <c r="R3737" t="s">
        <v>498</v>
      </c>
      <c r="S3737" s="1">
        <v>46128</v>
      </c>
      <c r="T3737" s="1">
        <v>46128</v>
      </c>
      <c r="V3737" s="1">
        <v>46493</v>
      </c>
      <c r="W3737" t="s">
        <v>38</v>
      </c>
      <c r="X3737">
        <v>12</v>
      </c>
      <c r="Y3737" t="s">
        <v>49</v>
      </c>
      <c r="AA3737" t="s">
        <v>112</v>
      </c>
      <c r="AB3737">
        <v>12</v>
      </c>
      <c r="AC3737" t="s">
        <v>499</v>
      </c>
      <c r="AD3737" t="s">
        <v>140</v>
      </c>
      <c r="AE3737" t="s">
        <v>46</v>
      </c>
      <c r="AF3737" t="s">
        <v>119</v>
      </c>
      <c r="AG3737" t="str">
        <f t="shared" si="77"/>
        <v>CC 12x</v>
      </c>
      <c r="AH3737" t="str">
        <f t="shared" si="78"/>
        <v/>
      </c>
    </row>
    <row r="3738" spans="1:34">
      <c r="A3738">
        <v>2026</v>
      </c>
      <c r="B3738">
        <v>4</v>
      </c>
      <c r="C3738" s="83">
        <v>215957531783</v>
      </c>
      <c r="D3738" t="s">
        <v>3280</v>
      </c>
      <c r="E3738">
        <v>59216114346</v>
      </c>
      <c r="F3738">
        <v>637126</v>
      </c>
      <c r="G3738">
        <v>54294832999</v>
      </c>
      <c r="H3738" t="s">
        <v>35</v>
      </c>
      <c r="I3738" s="36">
        <v>2299.1999999999998</v>
      </c>
      <c r="J3738" s="36">
        <v>2299.1999999999998</v>
      </c>
      <c r="K3738" s="85">
        <v>0</v>
      </c>
      <c r="L3738" s="36">
        <v>191.6</v>
      </c>
      <c r="M3738" s="36">
        <v>191.6</v>
      </c>
      <c r="N3738" s="36">
        <v>0</v>
      </c>
      <c r="O3738" s="36">
        <v>0</v>
      </c>
      <c r="P3738" t="s">
        <v>829</v>
      </c>
      <c r="Q3738" t="s">
        <v>300</v>
      </c>
      <c r="R3738" t="s">
        <v>300</v>
      </c>
      <c r="S3738" s="1">
        <v>46128</v>
      </c>
      <c r="T3738" s="1">
        <v>46128</v>
      </c>
      <c r="U3738" s="1"/>
      <c r="V3738" s="1">
        <v>46493</v>
      </c>
      <c r="W3738" t="s">
        <v>38</v>
      </c>
      <c r="X3738">
        <v>12</v>
      </c>
      <c r="Y3738" t="s">
        <v>49</v>
      </c>
      <c r="AA3738" t="s">
        <v>112</v>
      </c>
      <c r="AB3738">
        <v>12</v>
      </c>
      <c r="AC3738" t="s">
        <v>301</v>
      </c>
      <c r="AD3738" t="s">
        <v>118</v>
      </c>
      <c r="AE3738" t="s">
        <v>43</v>
      </c>
      <c r="AF3738" t="s">
        <v>119</v>
      </c>
      <c r="AG3738" t="str">
        <f t="shared" si="77"/>
        <v>CC 12x</v>
      </c>
      <c r="AH3738" t="str">
        <f t="shared" si="78"/>
        <v/>
      </c>
    </row>
    <row r="3739" spans="1:34">
      <c r="A3739">
        <v>2026</v>
      </c>
      <c r="B3739">
        <v>4</v>
      </c>
      <c r="C3739" s="83">
        <v>215973971495</v>
      </c>
      <c r="D3739" t="s">
        <v>3281</v>
      </c>
      <c r="E3739">
        <v>59246168159</v>
      </c>
      <c r="F3739">
        <v>637429</v>
      </c>
      <c r="G3739">
        <v>54839828574</v>
      </c>
      <c r="H3739" t="s">
        <v>35</v>
      </c>
      <c r="I3739" s="36">
        <v>2644.08</v>
      </c>
      <c r="J3739" s="36">
        <v>2644.08</v>
      </c>
      <c r="K3739" s="85">
        <v>0</v>
      </c>
      <c r="L3739" s="36">
        <v>220.34</v>
      </c>
      <c r="M3739" s="36">
        <v>220.34</v>
      </c>
      <c r="N3739" s="36">
        <v>0</v>
      </c>
      <c r="O3739" s="36">
        <v>0</v>
      </c>
      <c r="P3739" t="s">
        <v>829</v>
      </c>
      <c r="Q3739" t="s">
        <v>300</v>
      </c>
      <c r="R3739" t="s">
        <v>300</v>
      </c>
      <c r="S3739" s="1">
        <v>46140</v>
      </c>
      <c r="T3739" s="1">
        <v>46140</v>
      </c>
      <c r="V3739" s="1">
        <v>46505</v>
      </c>
      <c r="W3739" t="s">
        <v>38</v>
      </c>
      <c r="X3739">
        <v>12</v>
      </c>
      <c r="Y3739" t="s">
        <v>49</v>
      </c>
      <c r="AA3739" t="s">
        <v>112</v>
      </c>
      <c r="AB3739">
        <v>12</v>
      </c>
      <c r="AC3739" t="s">
        <v>301</v>
      </c>
      <c r="AD3739" t="s">
        <v>118</v>
      </c>
      <c r="AE3739" t="s">
        <v>43</v>
      </c>
      <c r="AF3739" t="s">
        <v>119</v>
      </c>
      <c r="AG3739" t="str">
        <f t="shared" si="77"/>
        <v>CC 12x</v>
      </c>
      <c r="AH3739" t="str">
        <f t="shared" si="78"/>
        <v/>
      </c>
    </row>
    <row r="3740" spans="1:34">
      <c r="A3740">
        <v>2026</v>
      </c>
      <c r="B3740">
        <v>4</v>
      </c>
      <c r="C3740" s="83">
        <v>215994886300</v>
      </c>
      <c r="D3740" t="s">
        <v>3282</v>
      </c>
      <c r="E3740">
        <v>57766027796</v>
      </c>
      <c r="F3740">
        <v>312180</v>
      </c>
      <c r="G3740">
        <v>54295476745</v>
      </c>
      <c r="H3740" t="s">
        <v>35</v>
      </c>
      <c r="I3740" s="36">
        <v>7553.4</v>
      </c>
      <c r="J3740" s="36">
        <v>7553.4</v>
      </c>
      <c r="K3740" s="85">
        <v>0</v>
      </c>
      <c r="L3740" s="36">
        <v>629.45000000000005</v>
      </c>
      <c r="M3740" s="36">
        <v>0</v>
      </c>
      <c r="N3740" s="36">
        <v>64.11</v>
      </c>
      <c r="O3740" s="36">
        <v>565.34</v>
      </c>
      <c r="P3740" t="s">
        <v>162</v>
      </c>
      <c r="Q3740" t="s">
        <v>111</v>
      </c>
      <c r="R3740" t="s">
        <v>111</v>
      </c>
      <c r="S3740" s="1">
        <v>46127</v>
      </c>
      <c r="T3740" s="1">
        <v>46127</v>
      </c>
      <c r="U3740" s="1">
        <v>46120</v>
      </c>
      <c r="V3740" s="1">
        <v>46492</v>
      </c>
      <c r="W3740" t="s">
        <v>38</v>
      </c>
      <c r="X3740">
        <v>12</v>
      </c>
      <c r="Y3740" t="s">
        <v>49</v>
      </c>
      <c r="Z3740" t="s">
        <v>81</v>
      </c>
      <c r="AA3740" t="s">
        <v>112</v>
      </c>
      <c r="AB3740">
        <v>12</v>
      </c>
      <c r="AC3740" t="s">
        <v>113</v>
      </c>
      <c r="AD3740" t="s">
        <v>134</v>
      </c>
      <c r="AE3740" t="s">
        <v>135</v>
      </c>
      <c r="AF3740" t="s">
        <v>44</v>
      </c>
      <c r="AG3740" t="str">
        <f t="shared" si="77"/>
        <v>CC 12x</v>
      </c>
      <c r="AH3740" t="str">
        <f t="shared" si="78"/>
        <v/>
      </c>
    </row>
    <row r="3741" spans="1:34">
      <c r="A3741">
        <v>2026</v>
      </c>
      <c r="B3741">
        <v>4</v>
      </c>
      <c r="C3741" s="83">
        <v>216004436044</v>
      </c>
      <c r="D3741" t="s">
        <v>3283</v>
      </c>
      <c r="E3741">
        <v>59609742380</v>
      </c>
      <c r="F3741">
        <v>313189</v>
      </c>
      <c r="G3741">
        <v>54698997851</v>
      </c>
      <c r="H3741" t="s">
        <v>35</v>
      </c>
      <c r="I3741" s="36">
        <v>4315.4399999999996</v>
      </c>
      <c r="J3741" s="36">
        <v>4315.4399999999996</v>
      </c>
      <c r="K3741" s="85">
        <v>0</v>
      </c>
      <c r="L3741" s="36">
        <v>359.62</v>
      </c>
      <c r="M3741" s="36">
        <v>0</v>
      </c>
      <c r="N3741" s="36">
        <v>119.145</v>
      </c>
      <c r="O3741" s="36">
        <v>240.48</v>
      </c>
      <c r="P3741" t="s">
        <v>121</v>
      </c>
      <c r="Q3741" t="s">
        <v>111</v>
      </c>
      <c r="R3741" t="s">
        <v>111</v>
      </c>
      <c r="S3741" s="1">
        <v>46136</v>
      </c>
      <c r="T3741" s="1">
        <v>46136</v>
      </c>
      <c r="U3741" s="1">
        <v>46132</v>
      </c>
      <c r="V3741" s="1">
        <v>46501</v>
      </c>
      <c r="W3741" t="s">
        <v>38</v>
      </c>
      <c r="X3741">
        <v>12</v>
      </c>
      <c r="Y3741" t="s">
        <v>49</v>
      </c>
      <c r="Z3741" t="s">
        <v>81</v>
      </c>
      <c r="AA3741" t="s">
        <v>112</v>
      </c>
      <c r="AB3741">
        <v>12</v>
      </c>
      <c r="AC3741" t="s">
        <v>113</v>
      </c>
      <c r="AD3741" t="s">
        <v>85</v>
      </c>
      <c r="AE3741" t="s">
        <v>46</v>
      </c>
      <c r="AF3741" t="s">
        <v>44</v>
      </c>
      <c r="AG3741" t="str">
        <f t="shared" si="77"/>
        <v>CC 12x</v>
      </c>
      <c r="AH3741" t="str">
        <f t="shared" si="78"/>
        <v/>
      </c>
    </row>
    <row r="3742" spans="1:34">
      <c r="A3742">
        <v>2026</v>
      </c>
      <c r="B3742">
        <v>4</v>
      </c>
      <c r="C3742" s="83">
        <v>216004635963</v>
      </c>
      <c r="D3742" t="s">
        <v>3284</v>
      </c>
      <c r="E3742">
        <v>59847598898</v>
      </c>
      <c r="F3742">
        <v>637488</v>
      </c>
      <c r="G3742">
        <v>54910528779</v>
      </c>
      <c r="H3742" t="s">
        <v>35</v>
      </c>
      <c r="I3742" s="36">
        <v>2874</v>
      </c>
      <c r="J3742" s="36">
        <v>2874</v>
      </c>
      <c r="K3742" s="85">
        <v>0</v>
      </c>
      <c r="L3742" s="36">
        <v>239.5</v>
      </c>
      <c r="M3742" s="36">
        <v>239.5</v>
      </c>
      <c r="N3742" s="36">
        <v>0</v>
      </c>
      <c r="O3742" s="36">
        <v>0</v>
      </c>
      <c r="P3742" t="s">
        <v>497</v>
      </c>
      <c r="Q3742" t="s">
        <v>498</v>
      </c>
      <c r="R3742" t="s">
        <v>498</v>
      </c>
      <c r="S3742" s="1">
        <v>46142</v>
      </c>
      <c r="T3742" s="1">
        <v>46142</v>
      </c>
      <c r="V3742" s="1">
        <v>46507</v>
      </c>
      <c r="W3742" t="s">
        <v>38</v>
      </c>
      <c r="X3742">
        <v>12</v>
      </c>
      <c r="Y3742" t="s">
        <v>49</v>
      </c>
      <c r="AA3742" t="s">
        <v>112</v>
      </c>
      <c r="AB3742">
        <v>12</v>
      </c>
      <c r="AC3742" t="s">
        <v>499</v>
      </c>
      <c r="AD3742" t="s">
        <v>118</v>
      </c>
      <c r="AE3742" t="s">
        <v>43</v>
      </c>
      <c r="AF3742" t="s">
        <v>119</v>
      </c>
      <c r="AG3742" t="str">
        <f t="shared" si="77"/>
        <v>CC 12x</v>
      </c>
      <c r="AH3742" t="str">
        <f t="shared" si="78"/>
        <v/>
      </c>
    </row>
    <row r="3743" spans="1:34">
      <c r="A3743">
        <v>2026</v>
      </c>
      <c r="B3743">
        <v>4</v>
      </c>
      <c r="C3743" s="83">
        <v>216021320822</v>
      </c>
      <c r="D3743" t="s">
        <v>3285</v>
      </c>
      <c r="E3743">
        <v>58710529148</v>
      </c>
      <c r="F3743">
        <v>508908</v>
      </c>
      <c r="G3743">
        <v>54280028067</v>
      </c>
      <c r="H3743" t="s">
        <v>35</v>
      </c>
      <c r="I3743" s="36">
        <v>4646.3999999999996</v>
      </c>
      <c r="J3743" s="36">
        <v>4646.3999999999996</v>
      </c>
      <c r="K3743" s="85">
        <v>0</v>
      </c>
      <c r="L3743" s="36">
        <v>387.2</v>
      </c>
      <c r="M3743" s="36">
        <v>0</v>
      </c>
      <c r="N3743" s="36">
        <v>59.896250000000002</v>
      </c>
      <c r="O3743" s="36">
        <v>327.3</v>
      </c>
      <c r="P3743" t="s">
        <v>110</v>
      </c>
      <c r="Q3743" t="s">
        <v>111</v>
      </c>
      <c r="R3743" t="s">
        <v>111</v>
      </c>
      <c r="S3743" s="1">
        <v>46126</v>
      </c>
      <c r="T3743" s="1">
        <v>46126</v>
      </c>
      <c r="U3743" s="1">
        <v>46114</v>
      </c>
      <c r="V3743" s="1">
        <v>46491</v>
      </c>
      <c r="W3743" t="s">
        <v>38</v>
      </c>
      <c r="X3743">
        <v>12</v>
      </c>
      <c r="Y3743" t="s">
        <v>49</v>
      </c>
      <c r="Z3743" t="s">
        <v>81</v>
      </c>
      <c r="AA3743" t="s">
        <v>112</v>
      </c>
      <c r="AB3743">
        <v>12</v>
      </c>
      <c r="AC3743" t="s">
        <v>113</v>
      </c>
      <c r="AD3743" t="s">
        <v>85</v>
      </c>
      <c r="AE3743" t="s">
        <v>46</v>
      </c>
      <c r="AF3743" t="s">
        <v>44</v>
      </c>
      <c r="AG3743" t="str">
        <f t="shared" si="77"/>
        <v>CC 12x</v>
      </c>
      <c r="AH3743" t="str">
        <f t="shared" si="78"/>
        <v/>
      </c>
    </row>
    <row r="3744" spans="1:34">
      <c r="A3744">
        <v>2026</v>
      </c>
      <c r="B3744">
        <v>4</v>
      </c>
      <c r="C3744" s="83">
        <v>216024864865</v>
      </c>
      <c r="D3744" t="s">
        <v>3286</v>
      </c>
      <c r="E3744">
        <v>59227067918</v>
      </c>
      <c r="F3744">
        <v>637147</v>
      </c>
      <c r="G3744">
        <v>54352489860</v>
      </c>
      <c r="H3744" t="s">
        <v>104</v>
      </c>
      <c r="I3744" s="36">
        <v>718.8</v>
      </c>
      <c r="J3744" s="36">
        <v>718.8</v>
      </c>
      <c r="K3744" s="85">
        <v>0</v>
      </c>
      <c r="L3744" s="36">
        <v>59.9</v>
      </c>
      <c r="M3744" s="36">
        <v>59.9</v>
      </c>
      <c r="N3744" s="36">
        <v>0</v>
      </c>
      <c r="O3744" s="36">
        <v>0</v>
      </c>
      <c r="P3744" t="s">
        <v>497</v>
      </c>
      <c r="Q3744" t="s">
        <v>498</v>
      </c>
      <c r="R3744" t="s">
        <v>498</v>
      </c>
      <c r="S3744" s="1">
        <v>46128</v>
      </c>
      <c r="T3744" s="1">
        <v>46128</v>
      </c>
      <c r="V3744" s="1">
        <v>46493</v>
      </c>
      <c r="W3744" t="s">
        <v>38</v>
      </c>
      <c r="X3744">
        <v>12</v>
      </c>
      <c r="Y3744" t="s">
        <v>49</v>
      </c>
      <c r="AA3744" t="s">
        <v>117</v>
      </c>
      <c r="AB3744">
        <v>1</v>
      </c>
      <c r="AC3744" t="s">
        <v>499</v>
      </c>
      <c r="AD3744" t="s">
        <v>105</v>
      </c>
      <c r="AE3744" t="s">
        <v>106</v>
      </c>
      <c r="AF3744" t="s">
        <v>59</v>
      </c>
      <c r="AG3744" t="str">
        <f t="shared" si="77"/>
        <v>À Vista</v>
      </c>
      <c r="AH3744" t="str">
        <f t="shared" si="78"/>
        <v/>
      </c>
    </row>
    <row r="3745" spans="1:34">
      <c r="A3745">
        <v>2026</v>
      </c>
      <c r="B3745">
        <v>4</v>
      </c>
      <c r="C3745" s="83">
        <v>216033101183</v>
      </c>
      <c r="D3745" t="s">
        <v>3287</v>
      </c>
      <c r="E3745">
        <v>56992645196</v>
      </c>
      <c r="F3745">
        <v>628515</v>
      </c>
      <c r="G3745">
        <v>52220034459</v>
      </c>
      <c r="H3745" t="s">
        <v>35</v>
      </c>
      <c r="I3745" s="36">
        <v>3055.44</v>
      </c>
      <c r="J3745" s="36">
        <v>3055.44</v>
      </c>
      <c r="K3745" s="85">
        <v>0</v>
      </c>
      <c r="L3745" s="36">
        <v>254.62</v>
      </c>
      <c r="M3745" s="36">
        <v>0</v>
      </c>
      <c r="N3745" s="36">
        <v>38.325000000000003</v>
      </c>
      <c r="O3745" s="36">
        <v>216.3</v>
      </c>
      <c r="P3745" t="s">
        <v>165</v>
      </c>
      <c r="Q3745" t="s">
        <v>166</v>
      </c>
      <c r="R3745" t="s">
        <v>166</v>
      </c>
      <c r="S3745" s="1">
        <v>46123</v>
      </c>
      <c r="T3745" s="1">
        <v>46123</v>
      </c>
      <c r="U3745" s="1">
        <v>46123</v>
      </c>
      <c r="V3745" s="1">
        <v>46488</v>
      </c>
      <c r="W3745" t="s">
        <v>38</v>
      </c>
      <c r="X3745">
        <v>12</v>
      </c>
      <c r="Y3745" t="s">
        <v>49</v>
      </c>
      <c r="Z3745" t="s">
        <v>81</v>
      </c>
      <c r="AA3745" t="s">
        <v>112</v>
      </c>
      <c r="AB3745">
        <v>1</v>
      </c>
      <c r="AC3745" t="s">
        <v>166</v>
      </c>
      <c r="AD3745" t="s">
        <v>160</v>
      </c>
      <c r="AE3745" t="s">
        <v>43</v>
      </c>
      <c r="AF3745" t="s">
        <v>44</v>
      </c>
      <c r="AG3745" t="str">
        <f t="shared" si="77"/>
        <v>À Vista</v>
      </c>
      <c r="AH3745" t="str">
        <f t="shared" si="78"/>
        <v/>
      </c>
    </row>
    <row r="3746" spans="1:34">
      <c r="A3746">
        <v>2026</v>
      </c>
      <c r="B3746">
        <v>4</v>
      </c>
      <c r="C3746" s="83">
        <v>216165976179</v>
      </c>
      <c r="D3746" t="s">
        <v>3288</v>
      </c>
      <c r="E3746">
        <v>59203211164</v>
      </c>
      <c r="F3746">
        <v>637178</v>
      </c>
      <c r="G3746">
        <v>54377526653</v>
      </c>
      <c r="H3746" t="s">
        <v>35</v>
      </c>
      <c r="I3746" s="36">
        <v>5178.6000000000004</v>
      </c>
      <c r="J3746" s="36">
        <v>5178.6000000000004</v>
      </c>
      <c r="K3746" s="85">
        <v>0</v>
      </c>
      <c r="L3746" s="36">
        <v>431.55</v>
      </c>
      <c r="M3746" s="36">
        <v>431.55</v>
      </c>
      <c r="N3746" s="36">
        <v>0</v>
      </c>
      <c r="O3746" s="36">
        <v>0</v>
      </c>
      <c r="P3746" t="s">
        <v>1073</v>
      </c>
      <c r="Q3746" t="s">
        <v>314</v>
      </c>
      <c r="R3746" t="s">
        <v>314</v>
      </c>
      <c r="S3746" s="1">
        <v>46129</v>
      </c>
      <c r="T3746" s="1">
        <v>46129</v>
      </c>
      <c r="V3746" s="1">
        <v>46494</v>
      </c>
      <c r="W3746" t="s">
        <v>38</v>
      </c>
      <c r="X3746">
        <v>12</v>
      </c>
      <c r="Y3746" t="s">
        <v>49</v>
      </c>
      <c r="AA3746" t="s">
        <v>122</v>
      </c>
      <c r="AB3746">
        <v>12</v>
      </c>
      <c r="AC3746" t="s">
        <v>315</v>
      </c>
      <c r="AD3746" t="s">
        <v>85</v>
      </c>
      <c r="AE3746" t="s">
        <v>46</v>
      </c>
      <c r="AF3746" t="s">
        <v>44</v>
      </c>
      <c r="AG3746" t="str">
        <f t="shared" si="77"/>
        <v>Recorrente</v>
      </c>
      <c r="AH3746" t="str">
        <f t="shared" si="78"/>
        <v/>
      </c>
    </row>
    <row r="3747" spans="1:34">
      <c r="A3747">
        <v>2026</v>
      </c>
      <c r="B3747">
        <v>4</v>
      </c>
      <c r="C3747" s="83">
        <v>216172967211</v>
      </c>
      <c r="D3747" t="s">
        <v>3289</v>
      </c>
      <c r="E3747">
        <v>59149691832</v>
      </c>
      <c r="F3747">
        <v>532816</v>
      </c>
      <c r="G3747">
        <v>54377526317</v>
      </c>
      <c r="H3747" t="s">
        <v>35</v>
      </c>
      <c r="I3747" s="36">
        <v>2328</v>
      </c>
      <c r="J3747" s="36">
        <v>2328</v>
      </c>
      <c r="K3747" s="85">
        <v>0</v>
      </c>
      <c r="L3747" s="36">
        <v>194</v>
      </c>
      <c r="M3747" s="36">
        <v>0</v>
      </c>
      <c r="N3747" s="36">
        <v>2.8021850000000001</v>
      </c>
      <c r="O3747" s="36">
        <v>191.2</v>
      </c>
      <c r="P3747" t="s">
        <v>116</v>
      </c>
      <c r="Q3747" t="s">
        <v>111</v>
      </c>
      <c r="R3747" t="s">
        <v>111</v>
      </c>
      <c r="S3747" s="1">
        <v>46129</v>
      </c>
      <c r="T3747" s="1">
        <v>46129</v>
      </c>
      <c r="U3747" s="1">
        <v>46125</v>
      </c>
      <c r="V3747" s="1">
        <v>46494</v>
      </c>
      <c r="W3747" t="s">
        <v>38</v>
      </c>
      <c r="X3747">
        <v>12</v>
      </c>
      <c r="Y3747" t="s">
        <v>49</v>
      </c>
      <c r="Z3747" t="s">
        <v>81</v>
      </c>
      <c r="AA3747" t="s">
        <v>112</v>
      </c>
      <c r="AB3747">
        <v>12</v>
      </c>
      <c r="AC3747" t="s">
        <v>113</v>
      </c>
      <c r="AD3747" t="s">
        <v>118</v>
      </c>
      <c r="AE3747" t="s">
        <v>43</v>
      </c>
      <c r="AF3747" t="s">
        <v>119</v>
      </c>
      <c r="AG3747" t="str">
        <f t="shared" si="77"/>
        <v>CC 12x</v>
      </c>
      <c r="AH3747" t="str">
        <f t="shared" si="78"/>
        <v/>
      </c>
    </row>
    <row r="3748" spans="1:34">
      <c r="A3748">
        <v>2026</v>
      </c>
      <c r="B3748">
        <v>4</v>
      </c>
      <c r="C3748" s="83">
        <v>21619329435</v>
      </c>
      <c r="D3748" t="s">
        <v>3290</v>
      </c>
      <c r="E3748">
        <v>59763910419</v>
      </c>
      <c r="F3748">
        <v>637529</v>
      </c>
      <c r="G3748">
        <v>54945936904</v>
      </c>
      <c r="H3748" t="s">
        <v>35</v>
      </c>
      <c r="I3748" s="36">
        <v>4315.4399999999996</v>
      </c>
      <c r="J3748" s="36">
        <v>4315.5</v>
      </c>
      <c r="K3748" s="85">
        <v>0</v>
      </c>
      <c r="L3748" s="36">
        <v>359.625</v>
      </c>
      <c r="M3748" s="36">
        <v>359.625</v>
      </c>
      <c r="N3748" s="36">
        <v>0</v>
      </c>
      <c r="O3748" s="36">
        <v>0</v>
      </c>
      <c r="P3748" t="s">
        <v>90</v>
      </c>
      <c r="Q3748" t="s">
        <v>91</v>
      </c>
      <c r="R3748" t="s">
        <v>91</v>
      </c>
      <c r="S3748" s="1">
        <v>46142</v>
      </c>
      <c r="T3748" s="1">
        <v>46142</v>
      </c>
      <c r="U3748" s="1"/>
      <c r="V3748" s="1">
        <v>46507</v>
      </c>
      <c r="W3748" t="s">
        <v>38</v>
      </c>
      <c r="X3748">
        <v>12</v>
      </c>
      <c r="Y3748" t="s">
        <v>49</v>
      </c>
      <c r="AA3748" t="s">
        <v>117</v>
      </c>
      <c r="AB3748">
        <v>1</v>
      </c>
      <c r="AC3748" t="s">
        <v>93</v>
      </c>
      <c r="AD3748" t="s">
        <v>85</v>
      </c>
      <c r="AE3748" t="s">
        <v>46</v>
      </c>
      <c r="AF3748" t="s">
        <v>44</v>
      </c>
      <c r="AG3748" t="str">
        <f t="shared" si="77"/>
        <v>À Vista</v>
      </c>
      <c r="AH3748" t="str">
        <f t="shared" si="78"/>
        <v/>
      </c>
    </row>
    <row r="3749" spans="1:34">
      <c r="A3749">
        <v>2026</v>
      </c>
      <c r="B3749">
        <v>4</v>
      </c>
      <c r="C3749" s="83">
        <v>216243054694</v>
      </c>
      <c r="D3749" t="s">
        <v>3291</v>
      </c>
      <c r="E3749">
        <v>59191136113</v>
      </c>
      <c r="F3749">
        <v>637112</v>
      </c>
      <c r="G3749">
        <v>54294719126</v>
      </c>
      <c r="H3749" t="s">
        <v>35</v>
      </c>
      <c r="I3749" s="36">
        <v>3114</v>
      </c>
      <c r="J3749" s="36">
        <v>3114</v>
      </c>
      <c r="K3749" s="85">
        <v>0</v>
      </c>
      <c r="L3749" s="36">
        <v>259.5</v>
      </c>
      <c r="M3749" s="36">
        <v>259.5</v>
      </c>
      <c r="N3749" s="36">
        <v>0</v>
      </c>
      <c r="O3749" s="36">
        <v>0</v>
      </c>
      <c r="P3749" t="s">
        <v>2004</v>
      </c>
      <c r="Q3749" t="s">
        <v>300</v>
      </c>
      <c r="R3749" t="s">
        <v>300</v>
      </c>
      <c r="S3749" s="1">
        <v>46127</v>
      </c>
      <c r="T3749" s="1">
        <v>46127</v>
      </c>
      <c r="U3749" s="1"/>
      <c r="V3749" s="1"/>
      <c r="W3749" t="s">
        <v>2733</v>
      </c>
      <c r="Y3749" t="s">
        <v>49</v>
      </c>
      <c r="AA3749" t="s">
        <v>122</v>
      </c>
      <c r="AB3749">
        <v>12</v>
      </c>
      <c r="AC3749" t="s">
        <v>301</v>
      </c>
      <c r="AD3749" t="s">
        <v>2734</v>
      </c>
      <c r="AE3749" t="s">
        <v>106</v>
      </c>
      <c r="AF3749" t="s">
        <v>59</v>
      </c>
      <c r="AG3749" t="str">
        <f t="shared" si="77"/>
        <v>Recorrente</v>
      </c>
      <c r="AH3749" t="str">
        <f t="shared" si="78"/>
        <v/>
      </c>
    </row>
    <row r="3750" spans="1:34">
      <c r="A3750">
        <v>2026</v>
      </c>
      <c r="B3750">
        <v>4</v>
      </c>
      <c r="C3750" s="83">
        <v>216244158304</v>
      </c>
      <c r="D3750" t="s">
        <v>3292</v>
      </c>
      <c r="E3750">
        <v>59303867196</v>
      </c>
      <c r="F3750">
        <v>637181</v>
      </c>
      <c r="G3750">
        <v>54381544617</v>
      </c>
      <c r="H3750" t="s">
        <v>35</v>
      </c>
      <c r="I3750" s="36">
        <v>3114</v>
      </c>
      <c r="J3750" s="36">
        <v>3114</v>
      </c>
      <c r="K3750" s="85">
        <v>0</v>
      </c>
      <c r="L3750" s="36">
        <v>259.5</v>
      </c>
      <c r="M3750" s="36">
        <v>259.5</v>
      </c>
      <c r="N3750" s="36">
        <v>0</v>
      </c>
      <c r="O3750" s="36">
        <v>0</v>
      </c>
      <c r="P3750" t="s">
        <v>829</v>
      </c>
      <c r="Q3750" t="s">
        <v>300</v>
      </c>
      <c r="R3750" t="s">
        <v>300</v>
      </c>
      <c r="S3750" s="1">
        <v>46129</v>
      </c>
      <c r="T3750" s="1">
        <v>46129</v>
      </c>
      <c r="V3750" s="1">
        <v>46494</v>
      </c>
      <c r="W3750" t="s">
        <v>38</v>
      </c>
      <c r="X3750">
        <v>12</v>
      </c>
      <c r="Y3750" t="s">
        <v>49</v>
      </c>
      <c r="AA3750" t="s">
        <v>122</v>
      </c>
      <c r="AB3750">
        <v>12</v>
      </c>
      <c r="AC3750" t="s">
        <v>301</v>
      </c>
      <c r="AD3750" t="s">
        <v>2734</v>
      </c>
      <c r="AE3750" t="s">
        <v>106</v>
      </c>
      <c r="AF3750" t="s">
        <v>59</v>
      </c>
      <c r="AG3750" t="str">
        <f t="shared" si="77"/>
        <v>Recorrente</v>
      </c>
      <c r="AH3750" t="str">
        <f t="shared" si="78"/>
        <v/>
      </c>
    </row>
    <row r="3751" spans="1:34">
      <c r="A3751">
        <v>2026</v>
      </c>
      <c r="B3751">
        <v>4</v>
      </c>
      <c r="C3751" s="83">
        <v>216247301707</v>
      </c>
      <c r="D3751" t="s">
        <v>3293</v>
      </c>
      <c r="E3751">
        <v>59289586857</v>
      </c>
      <c r="F3751">
        <v>637174</v>
      </c>
      <c r="G3751">
        <v>54393180673</v>
      </c>
      <c r="H3751" t="s">
        <v>35</v>
      </c>
      <c r="I3751" s="36">
        <v>2874</v>
      </c>
      <c r="J3751" s="36">
        <v>2874</v>
      </c>
      <c r="K3751" s="85">
        <v>0</v>
      </c>
      <c r="L3751" s="36">
        <v>239.5</v>
      </c>
      <c r="M3751" s="36">
        <v>239.5</v>
      </c>
      <c r="N3751" s="36">
        <v>0</v>
      </c>
      <c r="O3751" s="36">
        <v>0</v>
      </c>
      <c r="P3751" t="s">
        <v>497</v>
      </c>
      <c r="Q3751" t="s">
        <v>498</v>
      </c>
      <c r="R3751" t="s">
        <v>498</v>
      </c>
      <c r="S3751" s="1">
        <v>46129</v>
      </c>
      <c r="T3751" s="1">
        <v>46129</v>
      </c>
      <c r="U3751" s="1"/>
      <c r="V3751" s="1">
        <v>46494</v>
      </c>
      <c r="W3751" t="s">
        <v>38</v>
      </c>
      <c r="X3751">
        <v>12</v>
      </c>
      <c r="Y3751" t="s">
        <v>49</v>
      </c>
      <c r="AA3751" t="s">
        <v>117</v>
      </c>
      <c r="AB3751">
        <v>1</v>
      </c>
      <c r="AC3751" t="s">
        <v>499</v>
      </c>
      <c r="AD3751" t="s">
        <v>118</v>
      </c>
      <c r="AE3751" t="s">
        <v>43</v>
      </c>
      <c r="AF3751" t="s">
        <v>119</v>
      </c>
      <c r="AG3751" t="str">
        <f t="shared" si="77"/>
        <v>À Vista</v>
      </c>
      <c r="AH3751" t="str">
        <f t="shared" si="78"/>
        <v/>
      </c>
    </row>
    <row r="3752" spans="1:34">
      <c r="A3752">
        <v>2026</v>
      </c>
      <c r="B3752">
        <v>4</v>
      </c>
      <c r="C3752" s="83">
        <v>216250725961</v>
      </c>
      <c r="D3752" t="s">
        <v>3294</v>
      </c>
      <c r="E3752">
        <v>59332955786</v>
      </c>
      <c r="F3752">
        <v>637191</v>
      </c>
      <c r="G3752">
        <v>54381726494</v>
      </c>
      <c r="H3752" t="s">
        <v>35</v>
      </c>
      <c r="I3752" s="36">
        <v>2874</v>
      </c>
      <c r="J3752" s="36">
        <v>2874</v>
      </c>
      <c r="K3752" s="85">
        <v>0</v>
      </c>
      <c r="L3752" s="36">
        <v>239.5</v>
      </c>
      <c r="M3752" s="36">
        <v>239.5</v>
      </c>
      <c r="N3752" s="36">
        <v>0</v>
      </c>
      <c r="O3752" s="36">
        <v>0</v>
      </c>
      <c r="P3752" t="s">
        <v>511</v>
      </c>
      <c r="Q3752" t="s">
        <v>300</v>
      </c>
      <c r="R3752" t="s">
        <v>300</v>
      </c>
      <c r="S3752" s="1">
        <v>46129</v>
      </c>
      <c r="T3752" s="1">
        <v>46129</v>
      </c>
      <c r="V3752" s="1">
        <v>46494</v>
      </c>
      <c r="W3752" t="s">
        <v>38</v>
      </c>
      <c r="X3752">
        <v>12</v>
      </c>
      <c r="Y3752" t="s">
        <v>49</v>
      </c>
      <c r="AA3752" t="s">
        <v>112</v>
      </c>
      <c r="AB3752">
        <v>12</v>
      </c>
      <c r="AC3752" t="s">
        <v>301</v>
      </c>
      <c r="AD3752" t="s">
        <v>140</v>
      </c>
      <c r="AE3752" t="s">
        <v>46</v>
      </c>
      <c r="AF3752" t="s">
        <v>119</v>
      </c>
      <c r="AG3752" t="str">
        <f t="shared" si="77"/>
        <v>CC 12x</v>
      </c>
      <c r="AH3752" t="str">
        <f t="shared" si="78"/>
        <v/>
      </c>
    </row>
    <row r="3753" spans="1:34">
      <c r="A3753">
        <v>2026</v>
      </c>
      <c r="B3753">
        <v>4</v>
      </c>
      <c r="C3753" s="83">
        <v>216273075277</v>
      </c>
      <c r="D3753" t="s">
        <v>3295</v>
      </c>
      <c r="E3753">
        <v>59036034341</v>
      </c>
      <c r="F3753">
        <v>636981</v>
      </c>
      <c r="G3753">
        <v>54154411538</v>
      </c>
      <c r="H3753" t="s">
        <v>35</v>
      </c>
      <c r="I3753" s="36">
        <v>2586.6</v>
      </c>
      <c r="J3753" s="36">
        <v>2586.6</v>
      </c>
      <c r="K3753" s="85">
        <v>0</v>
      </c>
      <c r="L3753" s="36">
        <v>215.55</v>
      </c>
      <c r="M3753" s="36">
        <v>215.55</v>
      </c>
      <c r="N3753" s="36">
        <v>0</v>
      </c>
      <c r="O3753" s="36">
        <v>0</v>
      </c>
      <c r="P3753" t="s">
        <v>511</v>
      </c>
      <c r="Q3753" t="s">
        <v>300</v>
      </c>
      <c r="R3753" t="s">
        <v>300</v>
      </c>
      <c r="S3753" s="1">
        <v>46121</v>
      </c>
      <c r="T3753" s="1">
        <v>46121</v>
      </c>
      <c r="U3753" s="1"/>
      <c r="V3753" s="1">
        <v>46486</v>
      </c>
      <c r="W3753" t="s">
        <v>38</v>
      </c>
      <c r="X3753">
        <v>12</v>
      </c>
      <c r="Y3753" t="s">
        <v>49</v>
      </c>
      <c r="AA3753" t="s">
        <v>112</v>
      </c>
      <c r="AB3753">
        <v>12</v>
      </c>
      <c r="AC3753" t="s">
        <v>301</v>
      </c>
      <c r="AD3753" t="s">
        <v>140</v>
      </c>
      <c r="AE3753" t="s">
        <v>46</v>
      </c>
      <c r="AF3753" t="s">
        <v>119</v>
      </c>
      <c r="AG3753" t="str">
        <f t="shared" si="77"/>
        <v>CC 12x</v>
      </c>
      <c r="AH3753" t="str">
        <f t="shared" si="78"/>
        <v/>
      </c>
    </row>
    <row r="3754" spans="1:34">
      <c r="A3754">
        <v>2026</v>
      </c>
      <c r="B3754">
        <v>4</v>
      </c>
      <c r="C3754" s="83">
        <v>216273236507</v>
      </c>
      <c r="D3754" t="s">
        <v>3296</v>
      </c>
      <c r="E3754">
        <v>59378641452</v>
      </c>
      <c r="F3754">
        <v>637204</v>
      </c>
      <c r="G3754">
        <v>54463086131</v>
      </c>
      <c r="H3754" t="s">
        <v>35</v>
      </c>
      <c r="I3754" s="36">
        <v>2442.84</v>
      </c>
      <c r="J3754" s="36">
        <v>2442.9</v>
      </c>
      <c r="K3754" s="85">
        <v>0</v>
      </c>
      <c r="L3754" s="36">
        <v>203.57499999999999</v>
      </c>
      <c r="M3754" s="36">
        <v>203.57499999999999</v>
      </c>
      <c r="N3754" s="36">
        <v>0</v>
      </c>
      <c r="O3754" s="36">
        <v>0</v>
      </c>
      <c r="P3754" t="s">
        <v>2004</v>
      </c>
      <c r="Q3754" t="s">
        <v>300</v>
      </c>
      <c r="R3754" t="s">
        <v>300</v>
      </c>
      <c r="S3754" s="1">
        <v>46132</v>
      </c>
      <c r="T3754" s="1">
        <v>46132</v>
      </c>
      <c r="V3754" s="1">
        <v>46497</v>
      </c>
      <c r="W3754" t="s">
        <v>38</v>
      </c>
      <c r="X3754">
        <v>12</v>
      </c>
      <c r="Y3754" t="s">
        <v>49</v>
      </c>
      <c r="AA3754" t="s">
        <v>112</v>
      </c>
      <c r="AB3754">
        <v>12</v>
      </c>
      <c r="AC3754" t="s">
        <v>301</v>
      </c>
      <c r="AD3754" t="s">
        <v>118</v>
      </c>
      <c r="AE3754" t="s">
        <v>43</v>
      </c>
      <c r="AF3754" t="s">
        <v>119</v>
      </c>
      <c r="AG3754" t="str">
        <f t="shared" si="77"/>
        <v>CC 12x</v>
      </c>
      <c r="AH3754" t="str">
        <f t="shared" si="78"/>
        <v/>
      </c>
    </row>
    <row r="3755" spans="1:34">
      <c r="A3755">
        <v>2026</v>
      </c>
      <c r="B3755">
        <v>4</v>
      </c>
      <c r="C3755" s="83">
        <v>216458994218</v>
      </c>
      <c r="D3755" t="s">
        <v>3297</v>
      </c>
      <c r="E3755">
        <v>59379211568</v>
      </c>
      <c r="F3755">
        <v>637207</v>
      </c>
      <c r="G3755">
        <v>54462968099</v>
      </c>
      <c r="H3755" t="s">
        <v>35</v>
      </c>
      <c r="I3755" s="36">
        <v>5612.4</v>
      </c>
      <c r="J3755" s="36">
        <v>5612.4</v>
      </c>
      <c r="K3755" s="85">
        <v>0</v>
      </c>
      <c r="L3755" s="36">
        <v>467.7</v>
      </c>
      <c r="M3755" s="36">
        <v>467.7</v>
      </c>
      <c r="N3755" s="36">
        <v>0</v>
      </c>
      <c r="O3755" s="36">
        <v>0</v>
      </c>
      <c r="P3755" t="s">
        <v>829</v>
      </c>
      <c r="Q3755" t="s">
        <v>300</v>
      </c>
      <c r="R3755" t="s">
        <v>300</v>
      </c>
      <c r="S3755" s="1">
        <v>46132</v>
      </c>
      <c r="T3755" s="1">
        <v>46132</v>
      </c>
      <c r="U3755" s="1"/>
      <c r="V3755" s="1">
        <v>46497</v>
      </c>
      <c r="W3755" t="s">
        <v>38</v>
      </c>
      <c r="X3755">
        <v>12</v>
      </c>
      <c r="Y3755" t="s">
        <v>49</v>
      </c>
      <c r="AA3755" t="s">
        <v>122</v>
      </c>
      <c r="AB3755">
        <v>12</v>
      </c>
      <c r="AC3755" t="s">
        <v>301</v>
      </c>
      <c r="AD3755" t="s">
        <v>134</v>
      </c>
      <c r="AE3755" t="s">
        <v>135</v>
      </c>
      <c r="AF3755" t="s">
        <v>44</v>
      </c>
      <c r="AG3755" t="str">
        <f t="shared" si="77"/>
        <v>Recorrente</v>
      </c>
      <c r="AH3755" t="str">
        <f t="shared" si="78"/>
        <v/>
      </c>
    </row>
    <row r="3756" spans="1:34">
      <c r="A3756">
        <v>2026</v>
      </c>
      <c r="B3756">
        <v>4</v>
      </c>
      <c r="C3756" s="83">
        <v>216523162894</v>
      </c>
      <c r="D3756" t="s">
        <v>3298</v>
      </c>
      <c r="E3756">
        <v>59769686559</v>
      </c>
      <c r="F3756">
        <v>637425</v>
      </c>
      <c r="G3756">
        <v>54801496418</v>
      </c>
      <c r="H3756" t="s">
        <v>35</v>
      </c>
      <c r="I3756" s="36">
        <v>2874</v>
      </c>
      <c r="J3756" s="36">
        <v>2874</v>
      </c>
      <c r="K3756" s="85">
        <v>0</v>
      </c>
      <c r="L3756" s="36">
        <v>239.5</v>
      </c>
      <c r="M3756" s="36">
        <v>239.5</v>
      </c>
      <c r="N3756" s="36">
        <v>0</v>
      </c>
      <c r="O3756" s="36">
        <v>0</v>
      </c>
      <c r="P3756" t="s">
        <v>829</v>
      </c>
      <c r="Q3756" t="s">
        <v>300</v>
      </c>
      <c r="R3756" t="s">
        <v>300</v>
      </c>
      <c r="S3756" s="1">
        <v>46140</v>
      </c>
      <c r="T3756" s="1">
        <v>46140</v>
      </c>
      <c r="V3756" s="1">
        <v>46505</v>
      </c>
      <c r="W3756" t="s">
        <v>38</v>
      </c>
      <c r="X3756">
        <v>12</v>
      </c>
      <c r="Y3756" t="s">
        <v>49</v>
      </c>
      <c r="AA3756" t="s">
        <v>112</v>
      </c>
      <c r="AB3756">
        <v>12</v>
      </c>
      <c r="AC3756" t="s">
        <v>301</v>
      </c>
      <c r="AD3756" t="s">
        <v>140</v>
      </c>
      <c r="AE3756" t="s">
        <v>46</v>
      </c>
      <c r="AF3756" t="s">
        <v>119</v>
      </c>
      <c r="AG3756" t="str">
        <f t="shared" si="77"/>
        <v>CC 12x</v>
      </c>
      <c r="AH3756" t="str">
        <f t="shared" si="78"/>
        <v/>
      </c>
    </row>
    <row r="3757" spans="1:34">
      <c r="A3757">
        <v>2026</v>
      </c>
      <c r="B3757">
        <v>4</v>
      </c>
      <c r="C3757" s="83">
        <v>216704498787</v>
      </c>
      <c r="D3757" t="s">
        <v>3299</v>
      </c>
      <c r="E3757">
        <v>59379513905</v>
      </c>
      <c r="F3757">
        <v>637198</v>
      </c>
      <c r="G3757">
        <v>54463014311</v>
      </c>
      <c r="H3757" t="s">
        <v>35</v>
      </c>
      <c r="I3757" s="36">
        <v>2586.6</v>
      </c>
      <c r="J3757" s="36">
        <v>2586.6</v>
      </c>
      <c r="K3757" s="85">
        <v>0</v>
      </c>
      <c r="L3757" s="36">
        <v>215.55</v>
      </c>
      <c r="M3757" s="36">
        <v>215.55</v>
      </c>
      <c r="N3757" s="36">
        <v>0</v>
      </c>
      <c r="O3757" s="36">
        <v>0</v>
      </c>
      <c r="P3757" t="s">
        <v>829</v>
      </c>
      <c r="Q3757" t="s">
        <v>300</v>
      </c>
      <c r="R3757" t="s">
        <v>300</v>
      </c>
      <c r="S3757" s="1">
        <v>46132</v>
      </c>
      <c r="T3757" s="1">
        <v>46132</v>
      </c>
      <c r="V3757" s="1">
        <v>46497</v>
      </c>
      <c r="W3757" t="s">
        <v>38</v>
      </c>
      <c r="X3757">
        <v>12</v>
      </c>
      <c r="Y3757" t="s">
        <v>49</v>
      </c>
      <c r="AA3757" t="s">
        <v>112</v>
      </c>
      <c r="AB3757">
        <v>12</v>
      </c>
      <c r="AC3757" t="s">
        <v>301</v>
      </c>
      <c r="AD3757" t="s">
        <v>118</v>
      </c>
      <c r="AE3757" t="s">
        <v>43</v>
      </c>
      <c r="AF3757" t="s">
        <v>119</v>
      </c>
      <c r="AG3757" t="str">
        <f t="shared" si="77"/>
        <v>CC 12x</v>
      </c>
      <c r="AH3757" t="str">
        <f t="shared" si="78"/>
        <v/>
      </c>
    </row>
    <row r="3758" spans="1:34">
      <c r="A3758">
        <v>2026</v>
      </c>
      <c r="B3758">
        <v>4</v>
      </c>
      <c r="C3758" s="83">
        <v>216704717065</v>
      </c>
      <c r="D3758" t="s">
        <v>3300</v>
      </c>
      <c r="E3758">
        <v>59082661948</v>
      </c>
      <c r="F3758">
        <v>637014</v>
      </c>
      <c r="G3758">
        <v>54205257021</v>
      </c>
      <c r="H3758" t="s">
        <v>35</v>
      </c>
      <c r="I3758" s="36">
        <v>5083.2</v>
      </c>
      <c r="J3758" s="36">
        <v>5083.2</v>
      </c>
      <c r="K3758" s="85">
        <v>0</v>
      </c>
      <c r="L3758" s="36">
        <v>423.6</v>
      </c>
      <c r="M3758" s="36">
        <v>423.6</v>
      </c>
      <c r="N3758" s="36">
        <v>0</v>
      </c>
      <c r="O3758" s="36">
        <v>0</v>
      </c>
      <c r="P3758" t="s">
        <v>2004</v>
      </c>
      <c r="Q3758" t="s">
        <v>300</v>
      </c>
      <c r="R3758" t="s">
        <v>300</v>
      </c>
      <c r="S3758" s="1">
        <v>46122</v>
      </c>
      <c r="T3758" s="1">
        <v>46122</v>
      </c>
      <c r="V3758" s="1">
        <v>46487</v>
      </c>
      <c r="W3758" t="s">
        <v>38</v>
      </c>
      <c r="X3758">
        <v>12</v>
      </c>
      <c r="Y3758" t="s">
        <v>49</v>
      </c>
      <c r="AA3758" t="s">
        <v>112</v>
      </c>
      <c r="AB3758">
        <v>12</v>
      </c>
      <c r="AC3758" t="s">
        <v>301</v>
      </c>
      <c r="AD3758" t="s">
        <v>149</v>
      </c>
      <c r="AE3758" t="s">
        <v>43</v>
      </c>
      <c r="AF3758" t="s">
        <v>96</v>
      </c>
      <c r="AG3758" t="str">
        <f t="shared" si="77"/>
        <v>CC 12x</v>
      </c>
      <c r="AH3758" t="str">
        <f t="shared" si="78"/>
        <v/>
      </c>
    </row>
    <row r="3759" spans="1:34">
      <c r="A3759">
        <v>2026</v>
      </c>
      <c r="B3759">
        <v>4</v>
      </c>
      <c r="C3759" s="83">
        <v>216712095745</v>
      </c>
      <c r="D3759" t="s">
        <v>3301</v>
      </c>
      <c r="E3759">
        <v>59614726528</v>
      </c>
      <c r="F3759">
        <v>637323</v>
      </c>
      <c r="G3759">
        <v>54703394586</v>
      </c>
      <c r="H3759" t="s">
        <v>35</v>
      </c>
      <c r="I3759" s="36">
        <v>2502.2399999999998</v>
      </c>
      <c r="J3759" s="36">
        <v>2502.3000000000002</v>
      </c>
      <c r="K3759" s="85">
        <v>0</v>
      </c>
      <c r="L3759" s="36">
        <v>208.52500000000001</v>
      </c>
      <c r="M3759" s="36">
        <v>208.52500000000001</v>
      </c>
      <c r="N3759" s="36">
        <v>0</v>
      </c>
      <c r="O3759" s="36">
        <v>0</v>
      </c>
      <c r="P3759" t="s">
        <v>829</v>
      </c>
      <c r="Q3759" t="s">
        <v>300</v>
      </c>
      <c r="R3759" t="s">
        <v>300</v>
      </c>
      <c r="S3759" s="1">
        <v>46136</v>
      </c>
      <c r="T3759" s="1">
        <v>46136</v>
      </c>
      <c r="V3759" s="1">
        <v>46501</v>
      </c>
      <c r="W3759" t="s">
        <v>38</v>
      </c>
      <c r="X3759">
        <v>12</v>
      </c>
      <c r="Y3759" t="s">
        <v>49</v>
      </c>
      <c r="AA3759" t="s">
        <v>112</v>
      </c>
      <c r="AB3759">
        <v>1</v>
      </c>
      <c r="AC3759" t="s">
        <v>301</v>
      </c>
      <c r="AD3759" t="s">
        <v>3056</v>
      </c>
      <c r="AE3759" t="s">
        <v>106</v>
      </c>
      <c r="AF3759" t="s">
        <v>59</v>
      </c>
      <c r="AG3759" t="str">
        <f t="shared" si="77"/>
        <v>À Vista</v>
      </c>
      <c r="AH3759" t="str">
        <f t="shared" si="78"/>
        <v/>
      </c>
    </row>
    <row r="3760" spans="1:34">
      <c r="A3760">
        <v>2026</v>
      </c>
      <c r="B3760">
        <v>4</v>
      </c>
      <c r="C3760" s="83">
        <v>216762505044</v>
      </c>
      <c r="D3760" t="s">
        <v>3302</v>
      </c>
      <c r="E3760">
        <v>59435856556</v>
      </c>
      <c r="F3760">
        <v>637229</v>
      </c>
      <c r="G3760">
        <v>54509427569</v>
      </c>
      <c r="H3760" t="s">
        <v>35</v>
      </c>
      <c r="I3760" s="36">
        <v>3114</v>
      </c>
      <c r="J3760" s="36">
        <v>3114</v>
      </c>
      <c r="K3760" s="85">
        <v>0</v>
      </c>
      <c r="L3760" s="36">
        <v>259.5</v>
      </c>
      <c r="M3760" s="36">
        <v>259.5</v>
      </c>
      <c r="N3760" s="36">
        <v>0</v>
      </c>
      <c r="O3760" s="36">
        <v>0</v>
      </c>
      <c r="P3760" t="s">
        <v>506</v>
      </c>
      <c r="Q3760" t="s">
        <v>300</v>
      </c>
      <c r="R3760" t="s">
        <v>300</v>
      </c>
      <c r="S3760" s="1">
        <v>46134</v>
      </c>
      <c r="T3760" s="1">
        <v>46134</v>
      </c>
      <c r="V3760" s="1">
        <v>46499</v>
      </c>
      <c r="W3760" t="s">
        <v>38</v>
      </c>
      <c r="X3760">
        <v>12</v>
      </c>
      <c r="Y3760" t="s">
        <v>49</v>
      </c>
      <c r="AA3760" t="s">
        <v>122</v>
      </c>
      <c r="AB3760">
        <v>12</v>
      </c>
      <c r="AC3760" t="s">
        <v>301</v>
      </c>
      <c r="AD3760" t="s">
        <v>2734</v>
      </c>
      <c r="AE3760" t="s">
        <v>106</v>
      </c>
      <c r="AF3760" t="s">
        <v>59</v>
      </c>
      <c r="AG3760" t="str">
        <f t="shared" si="77"/>
        <v>Recorrente</v>
      </c>
      <c r="AH3760" t="str">
        <f t="shared" si="78"/>
        <v/>
      </c>
    </row>
    <row r="3761" spans="1:34">
      <c r="A3761">
        <v>2026</v>
      </c>
      <c r="B3761">
        <v>4</v>
      </c>
      <c r="C3761" s="83">
        <v>216930266222</v>
      </c>
      <c r="D3761" t="s">
        <v>3303</v>
      </c>
      <c r="E3761">
        <v>59461154927</v>
      </c>
      <c r="F3761">
        <v>637243</v>
      </c>
      <c r="G3761">
        <v>54509538826</v>
      </c>
      <c r="H3761" t="s">
        <v>35</v>
      </c>
      <c r="I3761" s="36">
        <v>259.5</v>
      </c>
      <c r="J3761" s="36">
        <v>3114</v>
      </c>
      <c r="K3761" s="85">
        <v>0</v>
      </c>
      <c r="L3761" s="36">
        <v>259.5</v>
      </c>
      <c r="M3761" s="36">
        <v>259.5</v>
      </c>
      <c r="N3761" s="36">
        <v>0</v>
      </c>
      <c r="O3761" s="36">
        <v>0</v>
      </c>
      <c r="P3761" t="s">
        <v>506</v>
      </c>
      <c r="Q3761" t="s">
        <v>300</v>
      </c>
      <c r="R3761" t="s">
        <v>300</v>
      </c>
      <c r="S3761" s="1">
        <v>46135</v>
      </c>
      <c r="T3761" s="1">
        <v>46135</v>
      </c>
      <c r="V3761" s="1"/>
      <c r="W3761" t="s">
        <v>2733</v>
      </c>
      <c r="Y3761" t="s">
        <v>49</v>
      </c>
      <c r="AA3761" t="s">
        <v>122</v>
      </c>
      <c r="AB3761">
        <v>1</v>
      </c>
      <c r="AC3761" t="s">
        <v>301</v>
      </c>
      <c r="AD3761" t="s">
        <v>2734</v>
      </c>
      <c r="AE3761" t="s">
        <v>106</v>
      </c>
      <c r="AF3761" t="s">
        <v>59</v>
      </c>
      <c r="AG3761" t="str">
        <f t="shared" si="77"/>
        <v>Recorrente</v>
      </c>
      <c r="AH3761" t="str">
        <f t="shared" si="78"/>
        <v/>
      </c>
    </row>
    <row r="3762" spans="1:34">
      <c r="A3762">
        <v>2026</v>
      </c>
      <c r="B3762">
        <v>4</v>
      </c>
      <c r="C3762" s="83">
        <v>217174554119</v>
      </c>
      <c r="D3762" t="s">
        <v>3304</v>
      </c>
      <c r="E3762">
        <v>59452558661</v>
      </c>
      <c r="F3762">
        <v>631107</v>
      </c>
      <c r="G3762">
        <v>54510123052</v>
      </c>
      <c r="H3762" t="s">
        <v>35</v>
      </c>
      <c r="I3762" s="36">
        <v>1064.76</v>
      </c>
      <c r="J3762" s="36">
        <v>4321.4399999999996</v>
      </c>
      <c r="K3762" s="85">
        <v>0</v>
      </c>
      <c r="L3762" s="36">
        <v>360.12</v>
      </c>
      <c r="M3762" s="36">
        <v>0</v>
      </c>
      <c r="N3762" s="36">
        <v>360.12</v>
      </c>
      <c r="O3762" s="36">
        <v>0</v>
      </c>
      <c r="P3762" t="s">
        <v>323</v>
      </c>
      <c r="Q3762" t="s">
        <v>191</v>
      </c>
      <c r="R3762" t="s">
        <v>191</v>
      </c>
      <c r="S3762" s="1">
        <v>46134</v>
      </c>
      <c r="T3762" s="1">
        <v>46134</v>
      </c>
      <c r="U3762" s="1">
        <v>46224</v>
      </c>
      <c r="V3762" s="1">
        <v>46224</v>
      </c>
      <c r="W3762" t="s">
        <v>38</v>
      </c>
      <c r="X3762">
        <v>3</v>
      </c>
      <c r="Y3762" t="s">
        <v>49</v>
      </c>
      <c r="Z3762" t="s">
        <v>324</v>
      </c>
      <c r="AA3762" t="s">
        <v>112</v>
      </c>
      <c r="AB3762">
        <v>2</v>
      </c>
      <c r="AC3762" t="s">
        <v>192</v>
      </c>
      <c r="AD3762" t="s">
        <v>134</v>
      </c>
      <c r="AE3762" t="s">
        <v>135</v>
      </c>
      <c r="AF3762" t="s">
        <v>44</v>
      </c>
      <c r="AG3762" t="str">
        <f t="shared" si="77"/>
        <v>CC 3x</v>
      </c>
      <c r="AH3762" t="str">
        <f t="shared" si="78"/>
        <v/>
      </c>
    </row>
    <row r="3763" spans="1:34">
      <c r="A3763">
        <v>2026</v>
      </c>
      <c r="B3763">
        <v>4</v>
      </c>
      <c r="C3763" s="83">
        <v>21728613559</v>
      </c>
      <c r="D3763" t="s">
        <v>839</v>
      </c>
      <c r="E3763">
        <v>58937117601</v>
      </c>
      <c r="F3763">
        <v>636969</v>
      </c>
      <c r="G3763">
        <v>54118726225</v>
      </c>
      <c r="H3763" t="s">
        <v>35</v>
      </c>
      <c r="I3763" s="36">
        <v>6715.2</v>
      </c>
      <c r="J3763" s="36">
        <v>6715.2</v>
      </c>
      <c r="K3763" s="85">
        <v>0</v>
      </c>
      <c r="L3763" s="36">
        <v>559.6</v>
      </c>
      <c r="M3763" s="36">
        <v>0</v>
      </c>
      <c r="N3763" s="36">
        <v>559.6</v>
      </c>
      <c r="O3763" s="36">
        <v>0</v>
      </c>
      <c r="P3763" t="s">
        <v>520</v>
      </c>
      <c r="Q3763" t="s">
        <v>191</v>
      </c>
      <c r="R3763" t="s">
        <v>191</v>
      </c>
      <c r="S3763" s="1">
        <v>46121</v>
      </c>
      <c r="T3763" s="1">
        <v>46121</v>
      </c>
      <c r="V3763" s="1">
        <v>46486</v>
      </c>
      <c r="W3763" t="s">
        <v>38</v>
      </c>
      <c r="X3763">
        <v>12</v>
      </c>
      <c r="Y3763" t="s">
        <v>49</v>
      </c>
      <c r="AA3763" t="s">
        <v>117</v>
      </c>
      <c r="AB3763">
        <v>1</v>
      </c>
      <c r="AC3763" t="s">
        <v>192</v>
      </c>
      <c r="AD3763" t="s">
        <v>94</v>
      </c>
      <c r="AE3763" t="s">
        <v>95</v>
      </c>
      <c r="AF3763" t="s">
        <v>96</v>
      </c>
      <c r="AG3763" t="str">
        <f t="shared" si="77"/>
        <v>À Vista</v>
      </c>
      <c r="AH3763" t="str">
        <f t="shared" si="78"/>
        <v/>
      </c>
    </row>
    <row r="3764" spans="1:34">
      <c r="A3764">
        <v>2026</v>
      </c>
      <c r="B3764">
        <v>4</v>
      </c>
      <c r="C3764" s="83">
        <v>21728613559</v>
      </c>
      <c r="D3764" t="s">
        <v>839</v>
      </c>
      <c r="E3764">
        <v>58937117601</v>
      </c>
      <c r="F3764">
        <v>636969</v>
      </c>
      <c r="G3764">
        <v>54118726226</v>
      </c>
      <c r="H3764" t="s">
        <v>35</v>
      </c>
      <c r="I3764" s="36">
        <v>863.04</v>
      </c>
      <c r="J3764" s="36">
        <v>863.04</v>
      </c>
      <c r="K3764" s="85">
        <v>0</v>
      </c>
      <c r="L3764" s="36">
        <v>71.92</v>
      </c>
      <c r="M3764" s="36">
        <v>0</v>
      </c>
      <c r="N3764" s="36">
        <v>71.92</v>
      </c>
      <c r="O3764" s="36">
        <v>0</v>
      </c>
      <c r="P3764" t="s">
        <v>520</v>
      </c>
      <c r="Q3764" t="s">
        <v>191</v>
      </c>
      <c r="R3764" t="s">
        <v>191</v>
      </c>
      <c r="S3764" s="1">
        <v>46121</v>
      </c>
      <c r="T3764" s="1">
        <v>46121</v>
      </c>
      <c r="V3764" s="1">
        <v>46486</v>
      </c>
      <c r="W3764" t="s">
        <v>38</v>
      </c>
      <c r="X3764">
        <v>12</v>
      </c>
      <c r="Y3764" t="s">
        <v>49</v>
      </c>
      <c r="AA3764" t="s">
        <v>117</v>
      </c>
      <c r="AB3764">
        <v>1</v>
      </c>
      <c r="AC3764" t="s">
        <v>192</v>
      </c>
      <c r="AD3764" t="s">
        <v>368</v>
      </c>
      <c r="AE3764" t="s">
        <v>95</v>
      </c>
      <c r="AF3764" t="s">
        <v>59</v>
      </c>
      <c r="AG3764" t="str">
        <f t="shared" si="77"/>
        <v>À Vista</v>
      </c>
      <c r="AH3764" t="str">
        <f t="shared" si="78"/>
        <v/>
      </c>
    </row>
    <row r="3765" spans="1:34">
      <c r="A3765">
        <v>2026</v>
      </c>
      <c r="B3765">
        <v>4</v>
      </c>
      <c r="C3765" s="83">
        <v>217313470536</v>
      </c>
      <c r="D3765" t="s">
        <v>3305</v>
      </c>
      <c r="E3765">
        <v>59149866835</v>
      </c>
      <c r="F3765">
        <v>637067</v>
      </c>
      <c r="G3765">
        <v>54271715470</v>
      </c>
      <c r="H3765" t="s">
        <v>35</v>
      </c>
      <c r="I3765" s="36">
        <v>1724.4</v>
      </c>
      <c r="J3765" s="36">
        <v>1724.4</v>
      </c>
      <c r="K3765" s="85">
        <v>2.2737400000000001E-13</v>
      </c>
      <c r="L3765" s="36">
        <v>143.69999999999999</v>
      </c>
      <c r="M3765" s="36">
        <v>143.69999999999999</v>
      </c>
      <c r="N3765" s="36">
        <v>0</v>
      </c>
      <c r="O3765" s="36">
        <v>0</v>
      </c>
      <c r="P3765" t="s">
        <v>506</v>
      </c>
      <c r="Q3765" t="s">
        <v>300</v>
      </c>
      <c r="R3765" t="s">
        <v>300</v>
      </c>
      <c r="S3765" s="1">
        <v>46125</v>
      </c>
      <c r="T3765" s="1">
        <v>46125</v>
      </c>
      <c r="V3765" s="1">
        <v>46490</v>
      </c>
      <c r="W3765" t="s">
        <v>38</v>
      </c>
      <c r="X3765">
        <v>12</v>
      </c>
      <c r="Y3765" t="s">
        <v>49</v>
      </c>
      <c r="AA3765" t="s">
        <v>117</v>
      </c>
      <c r="AB3765">
        <v>1</v>
      </c>
      <c r="AC3765" t="s">
        <v>301</v>
      </c>
      <c r="AD3765" t="s">
        <v>118</v>
      </c>
      <c r="AE3765" t="s">
        <v>43</v>
      </c>
      <c r="AF3765" t="s">
        <v>119</v>
      </c>
      <c r="AG3765" t="str">
        <f t="shared" si="77"/>
        <v>À Vista</v>
      </c>
      <c r="AH3765" t="str">
        <f t="shared" si="78"/>
        <v/>
      </c>
    </row>
    <row r="3766" spans="1:34">
      <c r="A3766">
        <v>2026</v>
      </c>
      <c r="B3766">
        <v>4</v>
      </c>
      <c r="C3766" s="83">
        <v>217342356745</v>
      </c>
      <c r="D3766" t="s">
        <v>3306</v>
      </c>
      <c r="E3766">
        <v>59526917125</v>
      </c>
      <c r="F3766">
        <v>637276</v>
      </c>
      <c r="G3766">
        <v>54593919388</v>
      </c>
      <c r="H3766" t="s">
        <v>35</v>
      </c>
      <c r="I3766" s="36">
        <v>2874</v>
      </c>
      <c r="J3766" s="36">
        <v>2874</v>
      </c>
      <c r="K3766" s="85">
        <v>0</v>
      </c>
      <c r="L3766" s="36">
        <v>239.5</v>
      </c>
      <c r="M3766" s="36">
        <v>239.5</v>
      </c>
      <c r="N3766" s="36">
        <v>0</v>
      </c>
      <c r="O3766" s="36">
        <v>0</v>
      </c>
      <c r="P3766" t="s">
        <v>829</v>
      </c>
      <c r="Q3766" t="s">
        <v>300</v>
      </c>
      <c r="R3766" t="s">
        <v>300</v>
      </c>
      <c r="S3766" s="1">
        <v>46135</v>
      </c>
      <c r="T3766" s="1">
        <v>46135</v>
      </c>
      <c r="V3766" s="1">
        <v>46500</v>
      </c>
      <c r="W3766" t="s">
        <v>38</v>
      </c>
      <c r="X3766">
        <v>12</v>
      </c>
      <c r="Y3766" t="s">
        <v>49</v>
      </c>
      <c r="AA3766" t="s">
        <v>112</v>
      </c>
      <c r="AB3766">
        <v>12</v>
      </c>
      <c r="AC3766" t="s">
        <v>301</v>
      </c>
      <c r="AD3766" t="s">
        <v>140</v>
      </c>
      <c r="AE3766" t="s">
        <v>46</v>
      </c>
      <c r="AF3766" t="s">
        <v>119</v>
      </c>
      <c r="AG3766" t="str">
        <f t="shared" si="77"/>
        <v>CC 12x</v>
      </c>
      <c r="AH3766" t="str">
        <f t="shared" si="78"/>
        <v/>
      </c>
    </row>
    <row r="3767" spans="1:34">
      <c r="A3767">
        <v>2026</v>
      </c>
      <c r="B3767">
        <v>4</v>
      </c>
      <c r="C3767" s="83">
        <v>217358234731</v>
      </c>
      <c r="D3767" t="s">
        <v>3307</v>
      </c>
      <c r="E3767">
        <v>59540272676</v>
      </c>
      <c r="F3767">
        <v>637524</v>
      </c>
      <c r="G3767">
        <v>54884869197</v>
      </c>
      <c r="H3767" t="s">
        <v>35</v>
      </c>
      <c r="I3767" s="36">
        <v>259.5</v>
      </c>
      <c r="J3767" s="36">
        <v>3114</v>
      </c>
      <c r="K3767" s="85">
        <v>0</v>
      </c>
      <c r="L3767" s="36">
        <v>259.5</v>
      </c>
      <c r="M3767" s="36">
        <v>259.5</v>
      </c>
      <c r="N3767" s="36">
        <v>0</v>
      </c>
      <c r="O3767" s="36">
        <v>0</v>
      </c>
      <c r="P3767" t="s">
        <v>506</v>
      </c>
      <c r="Q3767" t="s">
        <v>300</v>
      </c>
      <c r="R3767" t="s">
        <v>300</v>
      </c>
      <c r="S3767" s="1">
        <v>46142</v>
      </c>
      <c r="T3767" s="1">
        <v>46142</v>
      </c>
      <c r="V3767" s="1"/>
      <c r="W3767" t="s">
        <v>2733</v>
      </c>
      <c r="Y3767" t="s">
        <v>49</v>
      </c>
      <c r="AA3767" t="s">
        <v>122</v>
      </c>
      <c r="AB3767">
        <v>1</v>
      </c>
      <c r="AC3767" t="s">
        <v>301</v>
      </c>
      <c r="AD3767" t="s">
        <v>2734</v>
      </c>
      <c r="AE3767" t="s">
        <v>106</v>
      </c>
      <c r="AF3767" t="s">
        <v>59</v>
      </c>
      <c r="AG3767" t="str">
        <f t="shared" si="77"/>
        <v>Recorrente</v>
      </c>
      <c r="AH3767" t="str">
        <f t="shared" si="78"/>
        <v/>
      </c>
    </row>
    <row r="3768" spans="1:34">
      <c r="A3768">
        <v>2026</v>
      </c>
      <c r="B3768">
        <v>4</v>
      </c>
      <c r="C3768" s="83">
        <v>217444525456</v>
      </c>
      <c r="D3768" t="s">
        <v>3308</v>
      </c>
      <c r="E3768">
        <v>59247935329</v>
      </c>
      <c r="F3768">
        <v>637172</v>
      </c>
      <c r="G3768">
        <v>54377615024</v>
      </c>
      <c r="H3768" t="s">
        <v>35</v>
      </c>
      <c r="I3768" s="36">
        <v>2388</v>
      </c>
      <c r="J3768" s="36">
        <v>2388</v>
      </c>
      <c r="K3768" s="85">
        <v>0</v>
      </c>
      <c r="L3768" s="36">
        <v>199</v>
      </c>
      <c r="M3768" s="36">
        <v>199</v>
      </c>
      <c r="N3768" s="36">
        <v>0</v>
      </c>
      <c r="O3768" s="36">
        <v>0</v>
      </c>
      <c r="P3768" t="s">
        <v>511</v>
      </c>
      <c r="Q3768" t="s">
        <v>300</v>
      </c>
      <c r="R3768" t="s">
        <v>300</v>
      </c>
      <c r="S3768" s="1">
        <v>46129</v>
      </c>
      <c r="T3768" s="1">
        <v>46129</v>
      </c>
      <c r="V3768" s="1">
        <v>46494</v>
      </c>
      <c r="W3768" t="s">
        <v>38</v>
      </c>
      <c r="X3768">
        <v>12</v>
      </c>
      <c r="Y3768" t="s">
        <v>49</v>
      </c>
      <c r="AA3768" t="s">
        <v>112</v>
      </c>
      <c r="AB3768">
        <v>12</v>
      </c>
      <c r="AC3768" t="s">
        <v>301</v>
      </c>
      <c r="AD3768" t="s">
        <v>118</v>
      </c>
      <c r="AE3768" t="s">
        <v>43</v>
      </c>
      <c r="AF3768" t="s">
        <v>119</v>
      </c>
      <c r="AG3768" t="str">
        <f t="shared" si="77"/>
        <v>CC 12x</v>
      </c>
      <c r="AH3768" t="str">
        <f t="shared" si="78"/>
        <v/>
      </c>
    </row>
    <row r="3769" spans="1:34">
      <c r="A3769">
        <v>2026</v>
      </c>
      <c r="B3769">
        <v>4</v>
      </c>
      <c r="C3769" s="83">
        <v>217528447047</v>
      </c>
      <c r="D3769" t="s">
        <v>3309</v>
      </c>
      <c r="E3769">
        <v>59636691554</v>
      </c>
      <c r="F3769">
        <v>637329</v>
      </c>
      <c r="G3769">
        <v>54741021223</v>
      </c>
      <c r="H3769" t="s">
        <v>35</v>
      </c>
      <c r="I3769" s="36">
        <v>2644.08</v>
      </c>
      <c r="J3769" s="36">
        <v>2644.08</v>
      </c>
      <c r="K3769" s="85">
        <v>0</v>
      </c>
      <c r="L3769" s="36">
        <v>220.34</v>
      </c>
      <c r="M3769" s="36">
        <v>220.34</v>
      </c>
      <c r="N3769" s="36">
        <v>0</v>
      </c>
      <c r="O3769" s="36">
        <v>0</v>
      </c>
      <c r="P3769" t="s">
        <v>829</v>
      </c>
      <c r="Q3769" t="s">
        <v>300</v>
      </c>
      <c r="R3769" t="s">
        <v>300</v>
      </c>
      <c r="S3769" s="1">
        <v>46136</v>
      </c>
      <c r="T3769" s="1">
        <v>46136</v>
      </c>
      <c r="V3769" s="1">
        <v>46501</v>
      </c>
      <c r="W3769" t="s">
        <v>38</v>
      </c>
      <c r="X3769">
        <v>12</v>
      </c>
      <c r="Y3769" t="s">
        <v>49</v>
      </c>
      <c r="AA3769" t="s">
        <v>112</v>
      </c>
      <c r="AB3769">
        <v>12</v>
      </c>
      <c r="AC3769" t="s">
        <v>301</v>
      </c>
      <c r="AD3769" t="s">
        <v>118</v>
      </c>
      <c r="AE3769" t="s">
        <v>43</v>
      </c>
      <c r="AF3769" t="s">
        <v>119</v>
      </c>
      <c r="AG3769" t="str">
        <f t="shared" si="77"/>
        <v>CC 12x</v>
      </c>
      <c r="AH3769" t="str">
        <f t="shared" si="78"/>
        <v/>
      </c>
    </row>
    <row r="3770" spans="1:34">
      <c r="A3770">
        <v>2026</v>
      </c>
      <c r="B3770">
        <v>4</v>
      </c>
      <c r="C3770" s="83">
        <v>21759416363</v>
      </c>
      <c r="D3770" t="s">
        <v>3310</v>
      </c>
      <c r="E3770">
        <v>56198141591</v>
      </c>
      <c r="F3770">
        <v>636892</v>
      </c>
      <c r="G3770">
        <v>53666645612</v>
      </c>
      <c r="H3770" t="s">
        <v>35</v>
      </c>
      <c r="I3770" s="36">
        <v>8394</v>
      </c>
      <c r="J3770" s="36">
        <v>8394</v>
      </c>
      <c r="K3770" s="85">
        <v>0</v>
      </c>
      <c r="L3770" s="36">
        <v>699.5</v>
      </c>
      <c r="M3770" s="36">
        <v>699.5</v>
      </c>
      <c r="N3770" s="36">
        <v>0</v>
      </c>
      <c r="O3770" s="36">
        <v>0</v>
      </c>
      <c r="P3770" t="s">
        <v>90</v>
      </c>
      <c r="Q3770" t="s">
        <v>91</v>
      </c>
      <c r="R3770" t="s">
        <v>91</v>
      </c>
      <c r="S3770" s="1">
        <v>46118</v>
      </c>
      <c r="T3770" s="1">
        <v>46118</v>
      </c>
      <c r="U3770" s="1"/>
      <c r="V3770" s="1">
        <v>46483</v>
      </c>
      <c r="W3770" t="s">
        <v>38</v>
      </c>
      <c r="X3770">
        <v>12</v>
      </c>
      <c r="Y3770" t="s">
        <v>49</v>
      </c>
      <c r="AA3770" t="s">
        <v>92</v>
      </c>
      <c r="AB3770">
        <v>12</v>
      </c>
      <c r="AC3770" t="s">
        <v>93</v>
      </c>
      <c r="AD3770" t="s">
        <v>94</v>
      </c>
      <c r="AE3770" t="s">
        <v>95</v>
      </c>
      <c r="AF3770" t="s">
        <v>96</v>
      </c>
      <c r="AG3770" t="str">
        <f t="shared" si="77"/>
        <v>Recorrente</v>
      </c>
      <c r="AH3770" t="str">
        <f t="shared" si="78"/>
        <v/>
      </c>
    </row>
    <row r="3771" spans="1:34">
      <c r="A3771">
        <v>2026</v>
      </c>
      <c r="B3771">
        <v>4</v>
      </c>
      <c r="C3771" s="83">
        <v>217623818129</v>
      </c>
      <c r="D3771" t="s">
        <v>3311</v>
      </c>
      <c r="E3771">
        <v>59648893321</v>
      </c>
      <c r="F3771">
        <v>637334</v>
      </c>
      <c r="G3771">
        <v>54703826071</v>
      </c>
      <c r="H3771" t="s">
        <v>35</v>
      </c>
      <c r="I3771" s="36">
        <v>3114</v>
      </c>
      <c r="J3771" s="36">
        <v>3114</v>
      </c>
      <c r="K3771" s="85">
        <v>0</v>
      </c>
      <c r="L3771" s="36">
        <v>259.5</v>
      </c>
      <c r="M3771" s="36">
        <v>259.5</v>
      </c>
      <c r="N3771" s="36">
        <v>0</v>
      </c>
      <c r="O3771" s="36">
        <v>0</v>
      </c>
      <c r="P3771" t="s">
        <v>829</v>
      </c>
      <c r="Q3771" t="s">
        <v>300</v>
      </c>
      <c r="R3771" t="s">
        <v>300</v>
      </c>
      <c r="S3771" s="1">
        <v>46136</v>
      </c>
      <c r="T3771" s="1">
        <v>46136</v>
      </c>
      <c r="V3771" s="1">
        <v>46501</v>
      </c>
      <c r="W3771" t="s">
        <v>38</v>
      </c>
      <c r="X3771">
        <v>12</v>
      </c>
      <c r="Y3771" t="s">
        <v>49</v>
      </c>
      <c r="AA3771" t="s">
        <v>122</v>
      </c>
      <c r="AB3771">
        <v>12</v>
      </c>
      <c r="AC3771" t="s">
        <v>301</v>
      </c>
      <c r="AD3771" t="s">
        <v>2734</v>
      </c>
      <c r="AE3771" t="s">
        <v>106</v>
      </c>
      <c r="AF3771" t="s">
        <v>59</v>
      </c>
      <c r="AG3771" t="str">
        <f t="shared" si="77"/>
        <v>Recorrente</v>
      </c>
      <c r="AH3771" t="str">
        <f t="shared" si="78"/>
        <v/>
      </c>
    </row>
    <row r="3772" spans="1:34">
      <c r="A3772">
        <v>2026</v>
      </c>
      <c r="B3772">
        <v>4</v>
      </c>
      <c r="C3772" s="83">
        <v>217629424994</v>
      </c>
      <c r="D3772" t="s">
        <v>3312</v>
      </c>
      <c r="E3772">
        <v>59446065935</v>
      </c>
      <c r="F3772">
        <v>533029</v>
      </c>
      <c r="G3772">
        <v>54741028688</v>
      </c>
      <c r="H3772" t="s">
        <v>35</v>
      </c>
      <c r="I3772" s="36">
        <v>7483.2</v>
      </c>
      <c r="J3772" s="36">
        <v>7483.2</v>
      </c>
      <c r="K3772" s="85">
        <v>0</v>
      </c>
      <c r="L3772" s="36">
        <v>623.6</v>
      </c>
      <c r="M3772" s="36">
        <v>0</v>
      </c>
      <c r="N3772" s="36">
        <v>7.7</v>
      </c>
      <c r="O3772" s="36">
        <v>615.9</v>
      </c>
      <c r="P3772" t="s">
        <v>133</v>
      </c>
      <c r="Q3772" t="s">
        <v>111</v>
      </c>
      <c r="R3772" t="s">
        <v>111</v>
      </c>
      <c r="S3772" s="1">
        <v>46136</v>
      </c>
      <c r="T3772" s="1">
        <v>46136</v>
      </c>
      <c r="U3772" s="1">
        <v>46129</v>
      </c>
      <c r="V3772" s="1">
        <v>46501</v>
      </c>
      <c r="W3772" t="s">
        <v>38</v>
      </c>
      <c r="X3772">
        <v>12</v>
      </c>
      <c r="Y3772" t="s">
        <v>49</v>
      </c>
      <c r="Z3772" t="s">
        <v>81</v>
      </c>
      <c r="AA3772" t="s">
        <v>122</v>
      </c>
      <c r="AB3772">
        <v>12</v>
      </c>
      <c r="AC3772" t="s">
        <v>113</v>
      </c>
      <c r="AD3772" t="s">
        <v>134</v>
      </c>
      <c r="AE3772" t="s">
        <v>135</v>
      </c>
      <c r="AF3772" t="s">
        <v>44</v>
      </c>
      <c r="AG3772" t="str">
        <f t="shared" si="77"/>
        <v>Recorrente</v>
      </c>
      <c r="AH3772" t="str">
        <f t="shared" si="78"/>
        <v/>
      </c>
    </row>
    <row r="3773" spans="1:34">
      <c r="A3773">
        <v>2026</v>
      </c>
      <c r="B3773">
        <v>4</v>
      </c>
      <c r="C3773" s="83">
        <v>217642758036</v>
      </c>
      <c r="D3773" t="s">
        <v>3313</v>
      </c>
      <c r="E3773">
        <v>59577032460</v>
      </c>
      <c r="F3773">
        <v>637442</v>
      </c>
      <c r="G3773">
        <v>54803889167</v>
      </c>
      <c r="H3773" t="s">
        <v>35</v>
      </c>
      <c r="I3773" s="36">
        <v>7195.44</v>
      </c>
      <c r="J3773" s="36">
        <v>7195.5</v>
      </c>
      <c r="K3773" s="85">
        <v>0</v>
      </c>
      <c r="L3773" s="36">
        <v>599.625</v>
      </c>
      <c r="M3773" s="36">
        <v>599.625</v>
      </c>
      <c r="N3773" s="36">
        <v>0</v>
      </c>
      <c r="O3773" s="36">
        <v>0</v>
      </c>
      <c r="P3773" t="s">
        <v>2004</v>
      </c>
      <c r="Q3773" t="s">
        <v>300</v>
      </c>
      <c r="R3773" t="s">
        <v>300</v>
      </c>
      <c r="S3773" s="1">
        <v>46140</v>
      </c>
      <c r="T3773" s="1">
        <v>46140</v>
      </c>
      <c r="V3773" s="1">
        <v>46505</v>
      </c>
      <c r="W3773" t="s">
        <v>38</v>
      </c>
      <c r="X3773">
        <v>12</v>
      </c>
      <c r="Y3773" t="s">
        <v>49</v>
      </c>
      <c r="AA3773" t="s">
        <v>117</v>
      </c>
      <c r="AB3773">
        <v>1</v>
      </c>
      <c r="AC3773" t="s">
        <v>301</v>
      </c>
      <c r="AD3773" t="s">
        <v>131</v>
      </c>
      <c r="AE3773" t="s">
        <v>46</v>
      </c>
      <c r="AF3773" t="s">
        <v>96</v>
      </c>
      <c r="AG3773" t="str">
        <f t="shared" si="77"/>
        <v>À Vista</v>
      </c>
      <c r="AH3773" t="str">
        <f t="shared" si="78"/>
        <v/>
      </c>
    </row>
    <row r="3774" spans="1:34">
      <c r="A3774">
        <v>2026</v>
      </c>
      <c r="B3774">
        <v>4</v>
      </c>
      <c r="C3774" s="83">
        <v>217663507381</v>
      </c>
      <c r="D3774" t="s">
        <v>3314</v>
      </c>
      <c r="E3774">
        <v>59802618741</v>
      </c>
      <c r="F3774">
        <v>628413</v>
      </c>
      <c r="G3774">
        <v>54878857342</v>
      </c>
      <c r="H3774" t="s">
        <v>35</v>
      </c>
      <c r="I3774" s="36">
        <v>4919.6400000000003</v>
      </c>
      <c r="J3774" s="36">
        <v>4919.6400000000003</v>
      </c>
      <c r="K3774" s="85">
        <v>0</v>
      </c>
      <c r="L3774" s="36">
        <v>409.97</v>
      </c>
      <c r="M3774" s="36">
        <v>0</v>
      </c>
      <c r="N3774" s="36">
        <v>24.922499999999999</v>
      </c>
      <c r="O3774" s="36">
        <v>385.05</v>
      </c>
      <c r="P3774" t="s">
        <v>137</v>
      </c>
      <c r="Q3774" t="s">
        <v>111</v>
      </c>
      <c r="R3774" t="s">
        <v>111</v>
      </c>
      <c r="S3774" s="1">
        <v>46142</v>
      </c>
      <c r="T3774" s="1">
        <v>46142</v>
      </c>
      <c r="U3774" s="1">
        <v>46121</v>
      </c>
      <c r="V3774" s="1">
        <v>46507</v>
      </c>
      <c r="W3774" t="s">
        <v>38</v>
      </c>
      <c r="X3774">
        <v>12</v>
      </c>
      <c r="Y3774" t="s">
        <v>49</v>
      </c>
      <c r="Z3774" t="s">
        <v>81</v>
      </c>
      <c r="AA3774" t="s">
        <v>122</v>
      </c>
      <c r="AB3774">
        <v>12</v>
      </c>
      <c r="AC3774" t="s">
        <v>113</v>
      </c>
      <c r="AD3774" t="s">
        <v>85</v>
      </c>
      <c r="AE3774" t="s">
        <v>46</v>
      </c>
      <c r="AF3774" t="s">
        <v>44</v>
      </c>
      <c r="AG3774" t="str">
        <f t="shared" si="77"/>
        <v>Recorrente</v>
      </c>
      <c r="AH3774" t="str">
        <f t="shared" si="78"/>
        <v/>
      </c>
    </row>
    <row r="3775" spans="1:34">
      <c r="A3775">
        <v>2026</v>
      </c>
      <c r="B3775">
        <v>4</v>
      </c>
      <c r="C3775" s="83">
        <v>217663985932</v>
      </c>
      <c r="D3775" t="s">
        <v>3315</v>
      </c>
      <c r="E3775">
        <v>59720494692</v>
      </c>
      <c r="F3775">
        <v>637387</v>
      </c>
      <c r="G3775">
        <v>54800505921</v>
      </c>
      <c r="H3775" t="s">
        <v>35</v>
      </c>
      <c r="I3775" s="36">
        <v>2874</v>
      </c>
      <c r="J3775" s="36">
        <v>2874</v>
      </c>
      <c r="K3775" s="85">
        <v>0</v>
      </c>
      <c r="L3775" s="36">
        <v>239.5</v>
      </c>
      <c r="M3775" s="36">
        <v>239.5</v>
      </c>
      <c r="N3775" s="36">
        <v>0</v>
      </c>
      <c r="O3775" s="36">
        <v>0</v>
      </c>
      <c r="P3775" t="s">
        <v>511</v>
      </c>
      <c r="Q3775" t="s">
        <v>300</v>
      </c>
      <c r="R3775" t="s">
        <v>300</v>
      </c>
      <c r="S3775" s="1">
        <v>46139</v>
      </c>
      <c r="T3775" s="1">
        <v>46139</v>
      </c>
      <c r="V3775" s="1">
        <v>46504</v>
      </c>
      <c r="W3775" t="s">
        <v>38</v>
      </c>
      <c r="X3775">
        <v>12</v>
      </c>
      <c r="Y3775" t="s">
        <v>49</v>
      </c>
      <c r="AA3775" t="s">
        <v>122</v>
      </c>
      <c r="AB3775">
        <v>12</v>
      </c>
      <c r="AC3775" t="s">
        <v>301</v>
      </c>
      <c r="AD3775" t="s">
        <v>118</v>
      </c>
      <c r="AE3775" t="s">
        <v>43</v>
      </c>
      <c r="AF3775" t="s">
        <v>119</v>
      </c>
      <c r="AG3775" t="str">
        <f t="shared" si="77"/>
        <v>Recorrente</v>
      </c>
      <c r="AH3775" t="str">
        <f t="shared" si="78"/>
        <v/>
      </c>
    </row>
    <row r="3776" spans="1:34">
      <c r="A3776">
        <v>2026</v>
      </c>
      <c r="B3776">
        <v>4</v>
      </c>
      <c r="C3776" s="83">
        <v>217697470105</v>
      </c>
      <c r="D3776" t="s">
        <v>3316</v>
      </c>
      <c r="E3776">
        <v>59723932039</v>
      </c>
      <c r="F3776">
        <v>637389</v>
      </c>
      <c r="G3776">
        <v>54741187329</v>
      </c>
      <c r="H3776" t="s">
        <v>35</v>
      </c>
      <c r="I3776" s="36">
        <v>7195.44</v>
      </c>
      <c r="J3776" s="36">
        <v>7195.5</v>
      </c>
      <c r="K3776" s="85">
        <v>0</v>
      </c>
      <c r="L3776" s="36">
        <v>599.625</v>
      </c>
      <c r="M3776" s="36">
        <v>599.625</v>
      </c>
      <c r="N3776" s="36">
        <v>0</v>
      </c>
      <c r="O3776" s="36">
        <v>0</v>
      </c>
      <c r="P3776" t="s">
        <v>829</v>
      </c>
      <c r="Q3776" t="s">
        <v>300</v>
      </c>
      <c r="R3776" t="s">
        <v>300</v>
      </c>
      <c r="S3776" s="1">
        <v>46139</v>
      </c>
      <c r="T3776" s="1">
        <v>46139</v>
      </c>
      <c r="V3776" s="1">
        <v>46504</v>
      </c>
      <c r="W3776" t="s">
        <v>38</v>
      </c>
      <c r="X3776">
        <v>12</v>
      </c>
      <c r="Y3776" t="s">
        <v>49</v>
      </c>
      <c r="AA3776" t="s">
        <v>112</v>
      </c>
      <c r="AB3776">
        <v>12</v>
      </c>
      <c r="AC3776" t="s">
        <v>301</v>
      </c>
      <c r="AD3776" t="s">
        <v>131</v>
      </c>
      <c r="AE3776" t="s">
        <v>46</v>
      </c>
      <c r="AF3776" t="s">
        <v>96</v>
      </c>
      <c r="AG3776" t="str">
        <f t="shared" si="77"/>
        <v>CC 12x</v>
      </c>
      <c r="AH3776" t="str">
        <f t="shared" si="78"/>
        <v/>
      </c>
    </row>
    <row r="3777" spans="1:34">
      <c r="A3777">
        <v>2026</v>
      </c>
      <c r="B3777">
        <v>4</v>
      </c>
      <c r="C3777" s="83">
        <v>217710515489</v>
      </c>
      <c r="D3777" t="s">
        <v>3317</v>
      </c>
      <c r="E3777">
        <v>59462786203</v>
      </c>
      <c r="F3777">
        <v>637241</v>
      </c>
      <c r="G3777">
        <v>54534398844</v>
      </c>
      <c r="H3777" t="s">
        <v>104</v>
      </c>
      <c r="I3777" s="36">
        <v>718.8</v>
      </c>
      <c r="J3777" s="36">
        <v>718.8</v>
      </c>
      <c r="K3777" s="85">
        <v>0</v>
      </c>
      <c r="L3777" s="36">
        <v>59.9</v>
      </c>
      <c r="M3777" s="36">
        <v>59.9</v>
      </c>
      <c r="N3777" s="36">
        <v>0</v>
      </c>
      <c r="O3777" s="36">
        <v>0</v>
      </c>
      <c r="P3777" t="s">
        <v>497</v>
      </c>
      <c r="Q3777" t="s">
        <v>498</v>
      </c>
      <c r="R3777" t="s">
        <v>498</v>
      </c>
      <c r="S3777" s="1">
        <v>46135</v>
      </c>
      <c r="T3777" s="1">
        <v>46135</v>
      </c>
      <c r="V3777" s="1">
        <v>46500</v>
      </c>
      <c r="W3777" t="s">
        <v>38</v>
      </c>
      <c r="X3777">
        <v>12</v>
      </c>
      <c r="Y3777" t="s">
        <v>49</v>
      </c>
      <c r="AA3777" t="s">
        <v>112</v>
      </c>
      <c r="AB3777">
        <v>3</v>
      </c>
      <c r="AC3777" t="s">
        <v>499</v>
      </c>
      <c r="AD3777" t="s">
        <v>105</v>
      </c>
      <c r="AE3777" t="s">
        <v>106</v>
      </c>
      <c r="AF3777" t="s">
        <v>59</v>
      </c>
      <c r="AG3777" t="str">
        <f t="shared" ref="AG3777:AG3840" si="79">IF(IFERROR(SEARCH("Recorrente",AA3777),0)&gt;0,"Recorrente",IF(AB3777=1,"À Vista",IF(AB3777&lt;=3,"CC 3x",IF(AB3777&lt;=12,"CC 12x",IF(AB3777&gt;12,"Recorrente","")))))</f>
        <v>CC 3x</v>
      </c>
      <c r="AH3777" t="str">
        <f t="shared" ref="AH3777:AH3840" si="80">IF(AND(SUMIF(E:E,E3777,I:I)&gt;=400000,Q3777="B2G"),"n","")</f>
        <v/>
      </c>
    </row>
    <row r="3778" spans="1:34">
      <c r="A3778">
        <v>2026</v>
      </c>
      <c r="B3778">
        <v>4</v>
      </c>
      <c r="C3778" s="83">
        <v>217725470874</v>
      </c>
      <c r="D3778" t="s">
        <v>3318</v>
      </c>
      <c r="E3778">
        <v>59719880098</v>
      </c>
      <c r="F3778">
        <v>637345</v>
      </c>
      <c r="G3778">
        <v>54699157813</v>
      </c>
      <c r="H3778" t="s">
        <v>35</v>
      </c>
      <c r="I3778" s="36">
        <v>2517</v>
      </c>
      <c r="J3778" s="36">
        <v>2517</v>
      </c>
      <c r="K3778" s="85">
        <v>0</v>
      </c>
      <c r="L3778" s="36">
        <v>209.75</v>
      </c>
      <c r="M3778" s="36">
        <v>209.75</v>
      </c>
      <c r="N3778" s="36">
        <v>0</v>
      </c>
      <c r="O3778" s="36">
        <v>0</v>
      </c>
      <c r="P3778" t="s">
        <v>506</v>
      </c>
      <c r="Q3778" t="s">
        <v>300</v>
      </c>
      <c r="R3778" t="s">
        <v>300</v>
      </c>
      <c r="S3778" s="1">
        <v>46139</v>
      </c>
      <c r="T3778" s="1">
        <v>46139</v>
      </c>
      <c r="V3778" s="1">
        <v>46504</v>
      </c>
      <c r="W3778" t="s">
        <v>38</v>
      </c>
      <c r="X3778">
        <v>12</v>
      </c>
      <c r="Y3778" t="s">
        <v>49</v>
      </c>
      <c r="AA3778" t="s">
        <v>117</v>
      </c>
      <c r="AB3778">
        <v>1</v>
      </c>
      <c r="AC3778" t="s">
        <v>301</v>
      </c>
      <c r="AD3778" t="s">
        <v>84</v>
      </c>
      <c r="AE3778" t="s">
        <v>43</v>
      </c>
      <c r="AF3778" t="s">
        <v>44</v>
      </c>
      <c r="AG3778" t="str">
        <f t="shared" si="79"/>
        <v>À Vista</v>
      </c>
      <c r="AH3778" t="str">
        <f t="shared" si="80"/>
        <v/>
      </c>
    </row>
    <row r="3779" spans="1:34">
      <c r="A3779">
        <v>2026</v>
      </c>
      <c r="B3779">
        <v>4</v>
      </c>
      <c r="C3779" s="83">
        <v>217778948503</v>
      </c>
      <c r="D3779" t="s">
        <v>3319</v>
      </c>
      <c r="E3779">
        <v>59314121229</v>
      </c>
      <c r="F3779">
        <v>637194</v>
      </c>
      <c r="G3779">
        <v>54415239324</v>
      </c>
      <c r="H3779" t="s">
        <v>35</v>
      </c>
      <c r="I3779" s="36">
        <v>2874</v>
      </c>
      <c r="J3779" s="36">
        <v>2874</v>
      </c>
      <c r="K3779" s="85">
        <v>0</v>
      </c>
      <c r="L3779" s="36">
        <v>239.5</v>
      </c>
      <c r="M3779" s="36">
        <v>239.5</v>
      </c>
      <c r="N3779" s="36">
        <v>0</v>
      </c>
      <c r="O3779" s="36">
        <v>0</v>
      </c>
      <c r="P3779" t="s">
        <v>497</v>
      </c>
      <c r="Q3779" t="s">
        <v>498</v>
      </c>
      <c r="R3779" t="s">
        <v>498</v>
      </c>
      <c r="S3779" s="1">
        <v>46131</v>
      </c>
      <c r="T3779" s="1">
        <v>46131</v>
      </c>
      <c r="V3779" s="1">
        <v>46496</v>
      </c>
      <c r="W3779" t="s">
        <v>38</v>
      </c>
      <c r="X3779">
        <v>12</v>
      </c>
      <c r="Y3779" t="s">
        <v>49</v>
      </c>
      <c r="AA3779" t="s">
        <v>112</v>
      </c>
      <c r="AB3779">
        <v>12</v>
      </c>
      <c r="AC3779" t="s">
        <v>499</v>
      </c>
      <c r="AD3779" t="s">
        <v>118</v>
      </c>
      <c r="AE3779" t="s">
        <v>43</v>
      </c>
      <c r="AF3779" t="s">
        <v>119</v>
      </c>
      <c r="AG3779" t="str">
        <f t="shared" si="79"/>
        <v>CC 12x</v>
      </c>
      <c r="AH3779" t="str">
        <f t="shared" si="80"/>
        <v/>
      </c>
    </row>
    <row r="3780" spans="1:34">
      <c r="A3780">
        <v>2026</v>
      </c>
      <c r="B3780">
        <v>4</v>
      </c>
      <c r="C3780" s="83">
        <v>217852908356</v>
      </c>
      <c r="D3780" t="s">
        <v>3320</v>
      </c>
      <c r="E3780">
        <v>59720529921</v>
      </c>
      <c r="F3780">
        <v>637465</v>
      </c>
      <c r="G3780">
        <v>54880749323</v>
      </c>
      <c r="H3780" t="s">
        <v>35</v>
      </c>
      <c r="I3780" s="36">
        <v>2299.1999999999998</v>
      </c>
      <c r="J3780" s="36">
        <v>2299.1999999999998</v>
      </c>
      <c r="K3780" s="85">
        <v>0</v>
      </c>
      <c r="L3780" s="36">
        <v>191.6</v>
      </c>
      <c r="M3780" s="36">
        <v>191.6</v>
      </c>
      <c r="N3780" s="36">
        <v>0</v>
      </c>
      <c r="O3780" s="36">
        <v>0</v>
      </c>
      <c r="P3780" t="s">
        <v>506</v>
      </c>
      <c r="Q3780" t="s">
        <v>300</v>
      </c>
      <c r="R3780" t="s">
        <v>300</v>
      </c>
      <c r="S3780" s="1">
        <v>46141</v>
      </c>
      <c r="T3780" s="1">
        <v>46141</v>
      </c>
      <c r="U3780" s="1"/>
      <c r="V3780" s="1">
        <v>46506</v>
      </c>
      <c r="W3780" t="s">
        <v>38</v>
      </c>
      <c r="X3780">
        <v>12</v>
      </c>
      <c r="Y3780" t="s">
        <v>49</v>
      </c>
      <c r="AA3780" t="s">
        <v>117</v>
      </c>
      <c r="AB3780">
        <v>1</v>
      </c>
      <c r="AC3780" t="s">
        <v>301</v>
      </c>
      <c r="AD3780" t="s">
        <v>140</v>
      </c>
      <c r="AE3780" t="s">
        <v>46</v>
      </c>
      <c r="AF3780" t="s">
        <v>119</v>
      </c>
      <c r="AG3780" t="str">
        <f t="shared" si="79"/>
        <v>À Vista</v>
      </c>
      <c r="AH3780" t="str">
        <f t="shared" si="80"/>
        <v/>
      </c>
    </row>
    <row r="3781" spans="1:34">
      <c r="A3781">
        <v>2026</v>
      </c>
      <c r="B3781">
        <v>4</v>
      </c>
      <c r="C3781" s="83">
        <v>218067698067</v>
      </c>
      <c r="D3781" t="s">
        <v>3321</v>
      </c>
      <c r="E3781">
        <v>59724386432</v>
      </c>
      <c r="F3781">
        <v>637383</v>
      </c>
      <c r="G3781">
        <v>54781473651</v>
      </c>
      <c r="H3781" t="s">
        <v>35</v>
      </c>
      <c r="I3781" s="36">
        <v>4764.3599999999997</v>
      </c>
      <c r="J3781" s="36">
        <v>4764.3119999999999</v>
      </c>
      <c r="K3781" s="85">
        <v>4.8000000000000001E-2</v>
      </c>
      <c r="L3781" s="36">
        <v>397.02600000000001</v>
      </c>
      <c r="M3781" s="36">
        <v>397.02600000000001</v>
      </c>
      <c r="N3781" s="36">
        <v>0</v>
      </c>
      <c r="O3781" s="36">
        <v>0</v>
      </c>
      <c r="P3781" t="s">
        <v>506</v>
      </c>
      <c r="Q3781" t="s">
        <v>300</v>
      </c>
      <c r="R3781" t="s">
        <v>300</v>
      </c>
      <c r="S3781" s="1">
        <v>46139</v>
      </c>
      <c r="T3781" s="1">
        <v>46139</v>
      </c>
      <c r="V3781" s="1">
        <v>46504</v>
      </c>
      <c r="W3781" t="s">
        <v>38</v>
      </c>
      <c r="X3781">
        <v>12</v>
      </c>
      <c r="Y3781" t="s">
        <v>49</v>
      </c>
      <c r="AA3781" t="s">
        <v>112</v>
      </c>
      <c r="AB3781">
        <v>12</v>
      </c>
      <c r="AC3781" t="s">
        <v>301</v>
      </c>
      <c r="AD3781" t="s">
        <v>85</v>
      </c>
      <c r="AE3781" t="s">
        <v>46</v>
      </c>
      <c r="AF3781" t="s">
        <v>44</v>
      </c>
      <c r="AG3781" t="str">
        <f t="shared" si="79"/>
        <v>CC 12x</v>
      </c>
      <c r="AH3781" t="str">
        <f t="shared" si="80"/>
        <v/>
      </c>
    </row>
    <row r="3782" spans="1:34">
      <c r="A3782">
        <v>2026</v>
      </c>
      <c r="B3782">
        <v>4</v>
      </c>
      <c r="C3782" s="83">
        <v>218152767810</v>
      </c>
      <c r="D3782" t="s">
        <v>3322</v>
      </c>
      <c r="E3782">
        <v>59719830885</v>
      </c>
      <c r="F3782">
        <v>637340</v>
      </c>
      <c r="G3782">
        <v>54741294925</v>
      </c>
      <c r="H3782" t="s">
        <v>35</v>
      </c>
      <c r="I3782" s="36">
        <v>5083.2</v>
      </c>
      <c r="J3782" s="36">
        <v>5083.2</v>
      </c>
      <c r="K3782" s="85">
        <v>0</v>
      </c>
      <c r="L3782" s="36">
        <v>423.6</v>
      </c>
      <c r="M3782" s="36">
        <v>423.6</v>
      </c>
      <c r="N3782" s="36">
        <v>0</v>
      </c>
      <c r="O3782" s="36">
        <v>0</v>
      </c>
      <c r="P3782" t="s">
        <v>506</v>
      </c>
      <c r="Q3782" t="s">
        <v>300</v>
      </c>
      <c r="R3782" t="s">
        <v>300</v>
      </c>
      <c r="S3782" s="1">
        <v>46139</v>
      </c>
      <c r="T3782" s="1">
        <v>46139</v>
      </c>
      <c r="U3782" s="1"/>
      <c r="V3782" s="1">
        <v>46504</v>
      </c>
      <c r="W3782" t="s">
        <v>38</v>
      </c>
      <c r="X3782">
        <v>12</v>
      </c>
      <c r="Y3782" t="s">
        <v>49</v>
      </c>
      <c r="AA3782" t="s">
        <v>112</v>
      </c>
      <c r="AB3782">
        <v>12</v>
      </c>
      <c r="AC3782" t="s">
        <v>301</v>
      </c>
      <c r="AD3782" t="s">
        <v>149</v>
      </c>
      <c r="AE3782" t="s">
        <v>43</v>
      </c>
      <c r="AF3782" t="s">
        <v>96</v>
      </c>
      <c r="AG3782" t="str">
        <f t="shared" si="79"/>
        <v>CC 12x</v>
      </c>
      <c r="AH3782" t="str">
        <f t="shared" si="80"/>
        <v/>
      </c>
    </row>
    <row r="3783" spans="1:34">
      <c r="A3783">
        <v>2026</v>
      </c>
      <c r="B3783">
        <v>4</v>
      </c>
      <c r="C3783" s="83">
        <v>218153477683</v>
      </c>
      <c r="D3783" t="s">
        <v>3323</v>
      </c>
      <c r="E3783">
        <v>59702980941</v>
      </c>
      <c r="F3783">
        <v>637366</v>
      </c>
      <c r="G3783">
        <v>54699298936</v>
      </c>
      <c r="H3783" t="s">
        <v>35</v>
      </c>
      <c r="I3783" s="36">
        <v>4668</v>
      </c>
      <c r="J3783" s="36">
        <v>4668</v>
      </c>
      <c r="K3783" s="85">
        <v>0</v>
      </c>
      <c r="L3783" s="36">
        <v>389</v>
      </c>
      <c r="M3783" s="36">
        <v>389</v>
      </c>
      <c r="N3783" s="36">
        <v>0</v>
      </c>
      <c r="O3783" s="36">
        <v>0</v>
      </c>
      <c r="P3783" t="s">
        <v>511</v>
      </c>
      <c r="Q3783" t="s">
        <v>300</v>
      </c>
      <c r="R3783" t="s">
        <v>300</v>
      </c>
      <c r="S3783" s="1">
        <v>46139</v>
      </c>
      <c r="T3783" s="1">
        <v>46139</v>
      </c>
      <c r="V3783" s="1">
        <v>46504</v>
      </c>
      <c r="W3783" t="s">
        <v>38</v>
      </c>
      <c r="X3783">
        <v>12</v>
      </c>
      <c r="Y3783" t="s">
        <v>49</v>
      </c>
      <c r="AA3783" t="s">
        <v>122</v>
      </c>
      <c r="AB3783">
        <v>12</v>
      </c>
      <c r="AC3783" t="s">
        <v>301</v>
      </c>
      <c r="AD3783" t="s">
        <v>229</v>
      </c>
      <c r="AE3783" t="s">
        <v>43</v>
      </c>
      <c r="AF3783" t="s">
        <v>96</v>
      </c>
      <c r="AG3783" t="str">
        <f t="shared" si="79"/>
        <v>Recorrente</v>
      </c>
      <c r="AH3783" t="str">
        <f t="shared" si="80"/>
        <v/>
      </c>
    </row>
    <row r="3784" spans="1:34">
      <c r="A3784">
        <v>2026</v>
      </c>
      <c r="B3784">
        <v>4</v>
      </c>
      <c r="C3784" s="83">
        <v>218157030294</v>
      </c>
      <c r="D3784" t="s">
        <v>3324</v>
      </c>
      <c r="E3784">
        <v>59772587840</v>
      </c>
      <c r="F3784">
        <v>637461</v>
      </c>
      <c r="G3784">
        <v>54878866702</v>
      </c>
      <c r="H3784" t="s">
        <v>35</v>
      </c>
      <c r="I3784" s="36">
        <v>4530.6000000000004</v>
      </c>
      <c r="J3784" s="36">
        <v>4530.6000000000004</v>
      </c>
      <c r="K3784" s="85">
        <v>0</v>
      </c>
      <c r="L3784" s="36">
        <v>377.55</v>
      </c>
      <c r="M3784" s="36">
        <v>377.55</v>
      </c>
      <c r="N3784" s="36">
        <v>0</v>
      </c>
      <c r="O3784" s="36">
        <v>0</v>
      </c>
      <c r="P3784" t="s">
        <v>3179</v>
      </c>
      <c r="Q3784" t="s">
        <v>300</v>
      </c>
      <c r="R3784" t="s">
        <v>300</v>
      </c>
      <c r="S3784" s="1">
        <v>46141</v>
      </c>
      <c r="T3784" s="1">
        <v>46141</v>
      </c>
      <c r="V3784" s="1">
        <v>46506</v>
      </c>
      <c r="W3784" t="s">
        <v>38</v>
      </c>
      <c r="X3784">
        <v>12</v>
      </c>
      <c r="Y3784" t="s">
        <v>49</v>
      </c>
      <c r="AA3784" t="s">
        <v>112</v>
      </c>
      <c r="AB3784">
        <v>12</v>
      </c>
      <c r="AC3784" t="s">
        <v>301</v>
      </c>
      <c r="AD3784" t="s">
        <v>84</v>
      </c>
      <c r="AE3784" t="s">
        <v>43</v>
      </c>
      <c r="AF3784" t="s">
        <v>44</v>
      </c>
      <c r="AG3784" t="str">
        <f t="shared" si="79"/>
        <v>CC 12x</v>
      </c>
      <c r="AH3784" t="str">
        <f t="shared" si="80"/>
        <v/>
      </c>
    </row>
    <row r="3785" spans="1:34">
      <c r="A3785">
        <v>2026</v>
      </c>
      <c r="B3785">
        <v>4</v>
      </c>
      <c r="C3785" s="83">
        <v>218157859952</v>
      </c>
      <c r="D3785" t="s">
        <v>3325</v>
      </c>
      <c r="E3785">
        <v>59722079315</v>
      </c>
      <c r="F3785">
        <v>637356</v>
      </c>
      <c r="G3785">
        <v>54699174002</v>
      </c>
      <c r="H3785" t="s">
        <v>35</v>
      </c>
      <c r="I3785" s="36">
        <v>2874</v>
      </c>
      <c r="J3785" s="36">
        <v>2874</v>
      </c>
      <c r="K3785" s="85">
        <v>0</v>
      </c>
      <c r="L3785" s="36">
        <v>239.5</v>
      </c>
      <c r="M3785" s="36">
        <v>239.5</v>
      </c>
      <c r="N3785" s="36">
        <v>0</v>
      </c>
      <c r="O3785" s="36">
        <v>0</v>
      </c>
      <c r="P3785" t="s">
        <v>829</v>
      </c>
      <c r="Q3785" t="s">
        <v>300</v>
      </c>
      <c r="R3785" t="s">
        <v>300</v>
      </c>
      <c r="S3785" s="1">
        <v>46139</v>
      </c>
      <c r="T3785" s="1">
        <v>46139</v>
      </c>
      <c r="V3785" s="1">
        <v>46504</v>
      </c>
      <c r="W3785" t="s">
        <v>38</v>
      </c>
      <c r="X3785">
        <v>12</v>
      </c>
      <c r="Y3785" t="s">
        <v>49</v>
      </c>
      <c r="AA3785" t="s">
        <v>112</v>
      </c>
      <c r="AB3785">
        <v>12</v>
      </c>
      <c r="AC3785" t="s">
        <v>301</v>
      </c>
      <c r="AD3785" t="s">
        <v>118</v>
      </c>
      <c r="AE3785" t="s">
        <v>43</v>
      </c>
      <c r="AF3785" t="s">
        <v>119</v>
      </c>
      <c r="AG3785" t="str">
        <f t="shared" si="79"/>
        <v>CC 12x</v>
      </c>
      <c r="AH3785" t="str">
        <f t="shared" si="80"/>
        <v/>
      </c>
    </row>
    <row r="3786" spans="1:34">
      <c r="A3786">
        <v>2026</v>
      </c>
      <c r="B3786">
        <v>4</v>
      </c>
      <c r="C3786" s="83">
        <v>218161509746</v>
      </c>
      <c r="D3786" t="s">
        <v>3326</v>
      </c>
      <c r="E3786">
        <v>59698160043</v>
      </c>
      <c r="F3786">
        <v>637537</v>
      </c>
      <c r="G3786">
        <v>54947524257</v>
      </c>
      <c r="H3786" t="s">
        <v>35</v>
      </c>
      <c r="I3786" s="36">
        <v>11976</v>
      </c>
      <c r="J3786" s="36">
        <v>11976</v>
      </c>
      <c r="K3786" s="85">
        <v>0</v>
      </c>
      <c r="L3786" s="36">
        <v>998</v>
      </c>
      <c r="M3786" s="36">
        <v>998</v>
      </c>
      <c r="N3786" s="36">
        <v>0</v>
      </c>
      <c r="O3786" s="36">
        <v>0</v>
      </c>
      <c r="P3786" t="s">
        <v>511</v>
      </c>
      <c r="Q3786" t="s">
        <v>300</v>
      </c>
      <c r="R3786" t="s">
        <v>300</v>
      </c>
      <c r="S3786" s="1">
        <v>46142</v>
      </c>
      <c r="T3786" s="1">
        <v>46142</v>
      </c>
      <c r="V3786" s="1">
        <v>46507</v>
      </c>
      <c r="W3786" t="s">
        <v>38</v>
      </c>
      <c r="X3786">
        <v>12</v>
      </c>
      <c r="Y3786" t="s">
        <v>49</v>
      </c>
      <c r="AA3786" t="s">
        <v>112</v>
      </c>
      <c r="AB3786">
        <v>1</v>
      </c>
      <c r="AC3786" t="s">
        <v>301</v>
      </c>
      <c r="AD3786" t="s">
        <v>154</v>
      </c>
      <c r="AE3786" t="s">
        <v>46</v>
      </c>
      <c r="AF3786" t="s">
        <v>47</v>
      </c>
      <c r="AG3786" t="str">
        <f t="shared" si="79"/>
        <v>À Vista</v>
      </c>
      <c r="AH3786" t="str">
        <f t="shared" si="80"/>
        <v/>
      </c>
    </row>
    <row r="3787" spans="1:34">
      <c r="A3787">
        <v>2026</v>
      </c>
      <c r="B3787">
        <v>4</v>
      </c>
      <c r="C3787" s="83">
        <v>218214521111</v>
      </c>
      <c r="D3787" t="s">
        <v>3327</v>
      </c>
      <c r="E3787">
        <v>59723740801</v>
      </c>
      <c r="F3787">
        <v>637399</v>
      </c>
      <c r="G3787">
        <v>54800521384</v>
      </c>
      <c r="H3787" t="s">
        <v>35</v>
      </c>
      <c r="I3787" s="36">
        <v>4962.6000000000004</v>
      </c>
      <c r="J3787" s="36">
        <v>4962.6000000000004</v>
      </c>
      <c r="K3787" s="85">
        <v>0</v>
      </c>
      <c r="L3787" s="36">
        <v>413.55</v>
      </c>
      <c r="M3787" s="36">
        <v>413.55</v>
      </c>
      <c r="N3787" s="36">
        <v>0</v>
      </c>
      <c r="O3787" s="36">
        <v>0</v>
      </c>
      <c r="P3787" t="s">
        <v>506</v>
      </c>
      <c r="Q3787" t="s">
        <v>300</v>
      </c>
      <c r="R3787" t="s">
        <v>300</v>
      </c>
      <c r="S3787" s="1">
        <v>46139</v>
      </c>
      <c r="T3787" s="1">
        <v>46139</v>
      </c>
      <c r="V3787" s="1">
        <v>46504</v>
      </c>
      <c r="W3787" t="s">
        <v>38</v>
      </c>
      <c r="X3787">
        <v>12</v>
      </c>
      <c r="Y3787" t="s">
        <v>49</v>
      </c>
      <c r="AA3787" t="s">
        <v>122</v>
      </c>
      <c r="AB3787">
        <v>12</v>
      </c>
      <c r="AC3787" t="s">
        <v>301</v>
      </c>
      <c r="AD3787" t="s">
        <v>138</v>
      </c>
      <c r="AE3787" t="s">
        <v>135</v>
      </c>
      <c r="AF3787" t="s">
        <v>119</v>
      </c>
      <c r="AG3787" t="str">
        <f t="shared" si="79"/>
        <v>Recorrente</v>
      </c>
      <c r="AH3787" t="str">
        <f t="shared" si="80"/>
        <v/>
      </c>
    </row>
    <row r="3788" spans="1:34">
      <c r="A3788">
        <v>2026</v>
      </c>
      <c r="B3788">
        <v>4</v>
      </c>
      <c r="C3788" s="83">
        <v>218229729708</v>
      </c>
      <c r="D3788" t="s">
        <v>3328</v>
      </c>
      <c r="E3788">
        <v>59768141331</v>
      </c>
      <c r="F3788">
        <v>637441</v>
      </c>
      <c r="G3788">
        <v>54801537117</v>
      </c>
      <c r="H3788" t="s">
        <v>35</v>
      </c>
      <c r="I3788" s="36">
        <v>2442.84</v>
      </c>
      <c r="J3788" s="36">
        <v>2442.9</v>
      </c>
      <c r="K3788" s="85">
        <v>0</v>
      </c>
      <c r="L3788" s="36">
        <v>203.57499999999999</v>
      </c>
      <c r="M3788" s="36">
        <v>203.57499999999999</v>
      </c>
      <c r="N3788" s="36">
        <v>0</v>
      </c>
      <c r="O3788" s="36">
        <v>0</v>
      </c>
      <c r="P3788" t="s">
        <v>506</v>
      </c>
      <c r="Q3788" t="s">
        <v>300</v>
      </c>
      <c r="R3788" t="s">
        <v>300</v>
      </c>
      <c r="S3788" s="1">
        <v>46140</v>
      </c>
      <c r="T3788" s="1">
        <v>46140</v>
      </c>
      <c r="V3788" s="1">
        <v>46505</v>
      </c>
      <c r="W3788" t="s">
        <v>38</v>
      </c>
      <c r="X3788">
        <v>12</v>
      </c>
      <c r="Y3788" t="s">
        <v>49</v>
      </c>
      <c r="AA3788" t="s">
        <v>112</v>
      </c>
      <c r="AB3788">
        <v>12</v>
      </c>
      <c r="AC3788" t="s">
        <v>301</v>
      </c>
      <c r="AD3788" t="s">
        <v>140</v>
      </c>
      <c r="AE3788" t="s">
        <v>46</v>
      </c>
      <c r="AF3788" t="s">
        <v>119</v>
      </c>
      <c r="AG3788" t="str">
        <f t="shared" si="79"/>
        <v>CC 12x</v>
      </c>
      <c r="AH3788" t="str">
        <f t="shared" si="80"/>
        <v/>
      </c>
    </row>
    <row r="3789" spans="1:34">
      <c r="A3789">
        <v>2026</v>
      </c>
      <c r="B3789">
        <v>4</v>
      </c>
      <c r="C3789" s="83">
        <v>218237149195</v>
      </c>
      <c r="D3789" t="s">
        <v>3329</v>
      </c>
      <c r="E3789">
        <v>59640977971</v>
      </c>
      <c r="F3789">
        <v>637325</v>
      </c>
      <c r="G3789">
        <v>54751978071</v>
      </c>
      <c r="H3789" t="s">
        <v>104</v>
      </c>
      <c r="I3789" s="36">
        <v>718.8</v>
      </c>
      <c r="J3789" s="36">
        <v>718.8</v>
      </c>
      <c r="K3789" s="85">
        <v>0</v>
      </c>
      <c r="L3789" s="36">
        <v>59.9</v>
      </c>
      <c r="M3789" s="36">
        <v>59.9</v>
      </c>
      <c r="N3789" s="36">
        <v>0</v>
      </c>
      <c r="O3789" s="36">
        <v>0</v>
      </c>
      <c r="P3789" t="s">
        <v>497</v>
      </c>
      <c r="Q3789" t="s">
        <v>498</v>
      </c>
      <c r="R3789" t="s">
        <v>498</v>
      </c>
      <c r="S3789" s="1">
        <v>46136</v>
      </c>
      <c r="T3789" s="1">
        <v>46136</v>
      </c>
      <c r="V3789" s="1">
        <v>46501</v>
      </c>
      <c r="W3789" t="s">
        <v>38</v>
      </c>
      <c r="X3789">
        <v>12</v>
      </c>
      <c r="Y3789" t="s">
        <v>49</v>
      </c>
      <c r="AA3789" t="s">
        <v>112</v>
      </c>
      <c r="AB3789">
        <v>10</v>
      </c>
      <c r="AC3789" t="s">
        <v>499</v>
      </c>
      <c r="AD3789" t="s">
        <v>105</v>
      </c>
      <c r="AE3789" t="s">
        <v>106</v>
      </c>
      <c r="AF3789" t="s">
        <v>59</v>
      </c>
      <c r="AG3789" t="str">
        <f t="shared" si="79"/>
        <v>CC 12x</v>
      </c>
      <c r="AH3789" t="str">
        <f t="shared" si="80"/>
        <v/>
      </c>
    </row>
    <row r="3790" spans="1:34">
      <c r="A3790">
        <v>2026</v>
      </c>
      <c r="B3790">
        <v>4</v>
      </c>
      <c r="C3790" s="83">
        <v>218242823087</v>
      </c>
      <c r="D3790" t="s">
        <v>3330</v>
      </c>
      <c r="E3790">
        <v>59724000795</v>
      </c>
      <c r="F3790">
        <v>517615</v>
      </c>
      <c r="G3790">
        <v>54803868840</v>
      </c>
      <c r="H3790" t="s">
        <v>35</v>
      </c>
      <c r="I3790" s="36">
        <v>727.92</v>
      </c>
      <c r="J3790" s="36">
        <v>2161.6799999999998</v>
      </c>
      <c r="K3790" s="85">
        <v>0</v>
      </c>
      <c r="L3790" s="36">
        <v>180.14</v>
      </c>
      <c r="M3790" s="36">
        <v>0</v>
      </c>
      <c r="N3790" s="36">
        <v>180.14</v>
      </c>
      <c r="O3790" s="36">
        <v>0</v>
      </c>
      <c r="P3790" t="s">
        <v>469</v>
      </c>
      <c r="Q3790" t="s">
        <v>191</v>
      </c>
      <c r="R3790" t="s">
        <v>191</v>
      </c>
      <c r="S3790" s="1">
        <v>46141</v>
      </c>
      <c r="T3790" s="1">
        <v>46141</v>
      </c>
      <c r="U3790" s="1">
        <v>46263</v>
      </c>
      <c r="V3790" s="1">
        <v>46263</v>
      </c>
      <c r="W3790" t="s">
        <v>38</v>
      </c>
      <c r="X3790">
        <v>4</v>
      </c>
      <c r="Y3790" t="s">
        <v>49</v>
      </c>
      <c r="Z3790" t="s">
        <v>324</v>
      </c>
      <c r="AA3790" t="s">
        <v>122</v>
      </c>
      <c r="AB3790">
        <v>3</v>
      </c>
      <c r="AC3790" t="s">
        <v>192</v>
      </c>
      <c r="AD3790" t="s">
        <v>84</v>
      </c>
      <c r="AE3790" t="s">
        <v>43</v>
      </c>
      <c r="AF3790" t="s">
        <v>44</v>
      </c>
      <c r="AG3790" t="str">
        <f t="shared" si="79"/>
        <v>Recorrente</v>
      </c>
      <c r="AH3790" t="str">
        <f t="shared" si="80"/>
        <v/>
      </c>
    </row>
    <row r="3791" spans="1:34">
      <c r="A3791">
        <v>2026</v>
      </c>
      <c r="B3791">
        <v>4</v>
      </c>
      <c r="C3791" s="83">
        <v>218242846027</v>
      </c>
      <c r="D3791" t="s">
        <v>3331</v>
      </c>
      <c r="E3791">
        <v>59724702857</v>
      </c>
      <c r="F3791">
        <v>637413</v>
      </c>
      <c r="G3791">
        <v>54801179483</v>
      </c>
      <c r="H3791" t="s">
        <v>35</v>
      </c>
      <c r="I3791" s="36">
        <v>2634</v>
      </c>
      <c r="J3791" s="36">
        <v>2634</v>
      </c>
      <c r="K3791" s="85">
        <v>0</v>
      </c>
      <c r="L3791" s="36">
        <v>219.5</v>
      </c>
      <c r="M3791" s="36">
        <v>219.5</v>
      </c>
      <c r="N3791" s="36">
        <v>0</v>
      </c>
      <c r="O3791" s="36">
        <v>0</v>
      </c>
      <c r="P3791" t="s">
        <v>2004</v>
      </c>
      <c r="Q3791" t="s">
        <v>300</v>
      </c>
      <c r="R3791" t="s">
        <v>300</v>
      </c>
      <c r="S3791" s="1">
        <v>46139</v>
      </c>
      <c r="T3791" s="1">
        <v>46139</v>
      </c>
      <c r="V3791" s="1">
        <v>46504</v>
      </c>
      <c r="W3791" t="s">
        <v>38</v>
      </c>
      <c r="X3791">
        <v>12</v>
      </c>
      <c r="Y3791" t="s">
        <v>49</v>
      </c>
      <c r="AA3791" t="s">
        <v>112</v>
      </c>
      <c r="AB3791">
        <v>12</v>
      </c>
      <c r="AC3791" t="s">
        <v>301</v>
      </c>
      <c r="AD3791" t="s">
        <v>3056</v>
      </c>
      <c r="AE3791" t="s">
        <v>106</v>
      </c>
      <c r="AF3791" t="s">
        <v>59</v>
      </c>
      <c r="AG3791" t="str">
        <f t="shared" si="79"/>
        <v>CC 12x</v>
      </c>
      <c r="AH3791" t="str">
        <f t="shared" si="80"/>
        <v/>
      </c>
    </row>
    <row r="3792" spans="1:34">
      <c r="A3792">
        <v>2026</v>
      </c>
      <c r="B3792">
        <v>4</v>
      </c>
      <c r="C3792" s="83">
        <v>218317864746</v>
      </c>
      <c r="D3792" t="s">
        <v>3332</v>
      </c>
      <c r="E3792">
        <v>59778987876</v>
      </c>
      <c r="F3792">
        <v>637433</v>
      </c>
      <c r="G3792">
        <v>54801653400</v>
      </c>
      <c r="H3792" t="s">
        <v>35</v>
      </c>
      <c r="I3792" s="36">
        <v>5514</v>
      </c>
      <c r="J3792" s="36">
        <v>5514</v>
      </c>
      <c r="K3792" s="85">
        <v>0</v>
      </c>
      <c r="L3792" s="36">
        <v>459.5</v>
      </c>
      <c r="M3792" s="36">
        <v>459.5</v>
      </c>
      <c r="N3792" s="36">
        <v>0</v>
      </c>
      <c r="O3792" s="36">
        <v>0</v>
      </c>
      <c r="P3792" t="s">
        <v>511</v>
      </c>
      <c r="Q3792" t="s">
        <v>300</v>
      </c>
      <c r="R3792" t="s">
        <v>300</v>
      </c>
      <c r="S3792" s="1">
        <v>46140</v>
      </c>
      <c r="T3792" s="1">
        <v>46140</v>
      </c>
      <c r="V3792" s="1">
        <v>46505</v>
      </c>
      <c r="W3792" t="s">
        <v>38</v>
      </c>
      <c r="X3792">
        <v>12</v>
      </c>
      <c r="Y3792" t="s">
        <v>49</v>
      </c>
      <c r="AA3792" t="s">
        <v>122</v>
      </c>
      <c r="AB3792">
        <v>12</v>
      </c>
      <c r="AC3792" t="s">
        <v>301</v>
      </c>
      <c r="AD3792" t="s">
        <v>138</v>
      </c>
      <c r="AE3792" t="s">
        <v>135</v>
      </c>
      <c r="AF3792" t="s">
        <v>119</v>
      </c>
      <c r="AG3792" t="str">
        <f t="shared" si="79"/>
        <v>Recorrente</v>
      </c>
      <c r="AH3792" t="str">
        <f t="shared" si="80"/>
        <v/>
      </c>
    </row>
    <row r="3793" spans="1:34">
      <c r="A3793">
        <v>2026</v>
      </c>
      <c r="B3793">
        <v>4</v>
      </c>
      <c r="C3793" s="83">
        <v>218405448264</v>
      </c>
      <c r="D3793" t="s">
        <v>3333</v>
      </c>
      <c r="E3793">
        <v>59803387232</v>
      </c>
      <c r="F3793">
        <v>637454</v>
      </c>
      <c r="G3793">
        <v>54878871157</v>
      </c>
      <c r="H3793" t="s">
        <v>35</v>
      </c>
      <c r="I3793" s="36">
        <v>259.5</v>
      </c>
      <c r="J3793" s="36">
        <v>3114</v>
      </c>
      <c r="K3793" s="85">
        <v>0</v>
      </c>
      <c r="L3793" s="36">
        <v>259.5</v>
      </c>
      <c r="M3793" s="36">
        <v>259.5</v>
      </c>
      <c r="N3793" s="36">
        <v>0</v>
      </c>
      <c r="O3793" s="36">
        <v>0</v>
      </c>
      <c r="P3793" t="s">
        <v>829</v>
      </c>
      <c r="Q3793" t="s">
        <v>300</v>
      </c>
      <c r="R3793" t="s">
        <v>300</v>
      </c>
      <c r="S3793" s="1">
        <v>46141</v>
      </c>
      <c r="T3793" s="1">
        <v>46141</v>
      </c>
      <c r="V3793" s="1"/>
      <c r="W3793" t="s">
        <v>2733</v>
      </c>
      <c r="Y3793" t="s">
        <v>49</v>
      </c>
      <c r="AA3793" t="s">
        <v>122</v>
      </c>
      <c r="AB3793">
        <v>12</v>
      </c>
      <c r="AC3793" t="s">
        <v>301</v>
      </c>
      <c r="AD3793" t="s">
        <v>2734</v>
      </c>
      <c r="AE3793" t="s">
        <v>106</v>
      </c>
      <c r="AF3793" t="s">
        <v>59</v>
      </c>
      <c r="AG3793" t="str">
        <f t="shared" si="79"/>
        <v>Recorrente</v>
      </c>
      <c r="AH3793" t="str">
        <f t="shared" si="80"/>
        <v/>
      </c>
    </row>
    <row r="3794" spans="1:34">
      <c r="A3794">
        <v>2026</v>
      </c>
      <c r="B3794">
        <v>4</v>
      </c>
      <c r="C3794" s="83">
        <v>218413528130</v>
      </c>
      <c r="D3794" t="s">
        <v>3334</v>
      </c>
      <c r="E3794">
        <v>59852105136</v>
      </c>
      <c r="F3794">
        <v>637498</v>
      </c>
      <c r="G3794">
        <v>54884876544</v>
      </c>
      <c r="H3794" t="s">
        <v>35</v>
      </c>
      <c r="I3794" s="36">
        <v>259.5</v>
      </c>
      <c r="J3794" s="36">
        <v>3114</v>
      </c>
      <c r="K3794" s="85">
        <v>0</v>
      </c>
      <c r="L3794" s="36">
        <v>259.5</v>
      </c>
      <c r="M3794" s="36">
        <v>259.5</v>
      </c>
      <c r="N3794" s="36">
        <v>0</v>
      </c>
      <c r="O3794" s="36">
        <v>0</v>
      </c>
      <c r="P3794" t="s">
        <v>2004</v>
      </c>
      <c r="Q3794" t="s">
        <v>300</v>
      </c>
      <c r="R3794" t="s">
        <v>300</v>
      </c>
      <c r="S3794" s="1">
        <v>46142</v>
      </c>
      <c r="T3794" s="1">
        <v>46142</v>
      </c>
      <c r="V3794" s="1"/>
      <c r="W3794" t="s">
        <v>2733</v>
      </c>
      <c r="Y3794" t="s">
        <v>49</v>
      </c>
      <c r="AA3794" t="s">
        <v>122</v>
      </c>
      <c r="AB3794">
        <v>1</v>
      </c>
      <c r="AC3794" t="s">
        <v>301</v>
      </c>
      <c r="AD3794" t="s">
        <v>2734</v>
      </c>
      <c r="AE3794" t="s">
        <v>106</v>
      </c>
      <c r="AF3794" t="s">
        <v>59</v>
      </c>
      <c r="AG3794" t="str">
        <f t="shared" si="79"/>
        <v>Recorrente</v>
      </c>
      <c r="AH3794" t="str">
        <f t="shared" si="80"/>
        <v/>
      </c>
    </row>
    <row r="3795" spans="1:34">
      <c r="A3795">
        <v>2026</v>
      </c>
      <c r="B3795">
        <v>4</v>
      </c>
      <c r="C3795" s="83">
        <v>218436516197</v>
      </c>
      <c r="D3795" t="s">
        <v>3335</v>
      </c>
      <c r="E3795">
        <v>59765845852</v>
      </c>
      <c r="F3795">
        <v>533582</v>
      </c>
      <c r="G3795">
        <v>54878852153</v>
      </c>
      <c r="H3795" t="s">
        <v>35</v>
      </c>
      <c r="I3795" s="36">
        <v>2586.6</v>
      </c>
      <c r="J3795" s="36">
        <v>2586.6</v>
      </c>
      <c r="K3795" s="85">
        <v>0</v>
      </c>
      <c r="L3795" s="36">
        <v>215.55</v>
      </c>
      <c r="M3795" s="36">
        <v>0</v>
      </c>
      <c r="N3795" s="36">
        <v>12.4</v>
      </c>
      <c r="O3795" s="36">
        <v>203.15</v>
      </c>
      <c r="P3795" t="s">
        <v>133</v>
      </c>
      <c r="Q3795" t="s">
        <v>111</v>
      </c>
      <c r="R3795" t="s">
        <v>111</v>
      </c>
      <c r="S3795" s="1">
        <v>46141</v>
      </c>
      <c r="T3795" s="1">
        <v>46141</v>
      </c>
      <c r="U3795" s="1">
        <v>46138</v>
      </c>
      <c r="V3795" s="1">
        <v>46506</v>
      </c>
      <c r="W3795" t="s">
        <v>38</v>
      </c>
      <c r="X3795">
        <v>12</v>
      </c>
      <c r="Y3795" t="s">
        <v>49</v>
      </c>
      <c r="Z3795" t="s">
        <v>81</v>
      </c>
      <c r="AA3795" t="s">
        <v>122</v>
      </c>
      <c r="AB3795">
        <v>12</v>
      </c>
      <c r="AC3795" t="s">
        <v>113</v>
      </c>
      <c r="AD3795" t="s">
        <v>118</v>
      </c>
      <c r="AE3795" t="s">
        <v>43</v>
      </c>
      <c r="AF3795" t="s">
        <v>119</v>
      </c>
      <c r="AG3795" t="str">
        <f t="shared" si="79"/>
        <v>Recorrente</v>
      </c>
      <c r="AH3795" t="str">
        <f t="shared" si="80"/>
        <v/>
      </c>
    </row>
    <row r="3796" spans="1:34">
      <c r="A3796">
        <v>2026</v>
      </c>
      <c r="B3796">
        <v>4</v>
      </c>
      <c r="C3796" s="83">
        <v>218442443695</v>
      </c>
      <c r="D3796" t="s">
        <v>3336</v>
      </c>
      <c r="E3796">
        <v>59760219471</v>
      </c>
      <c r="F3796">
        <v>637452</v>
      </c>
      <c r="G3796">
        <v>54878848397</v>
      </c>
      <c r="H3796" t="s">
        <v>35</v>
      </c>
      <c r="I3796" s="36">
        <v>259.5</v>
      </c>
      <c r="J3796" s="36">
        <v>3114</v>
      </c>
      <c r="K3796" s="85">
        <v>0</v>
      </c>
      <c r="L3796" s="36">
        <v>259.5</v>
      </c>
      <c r="M3796" s="36">
        <v>259.5</v>
      </c>
      <c r="N3796" s="36">
        <v>0</v>
      </c>
      <c r="O3796" s="36">
        <v>0</v>
      </c>
      <c r="P3796" t="s">
        <v>3179</v>
      </c>
      <c r="Q3796" t="s">
        <v>300</v>
      </c>
      <c r="R3796" t="s">
        <v>300</v>
      </c>
      <c r="S3796" s="1">
        <v>46141</v>
      </c>
      <c r="T3796" s="1">
        <v>46141</v>
      </c>
      <c r="V3796" s="1"/>
      <c r="W3796" t="s">
        <v>2733</v>
      </c>
      <c r="Y3796" t="s">
        <v>49</v>
      </c>
      <c r="AA3796" t="s">
        <v>122</v>
      </c>
      <c r="AB3796">
        <v>1</v>
      </c>
      <c r="AC3796" t="s">
        <v>301</v>
      </c>
      <c r="AD3796" t="s">
        <v>2734</v>
      </c>
      <c r="AE3796" t="s">
        <v>106</v>
      </c>
      <c r="AF3796" t="s">
        <v>59</v>
      </c>
      <c r="AG3796" t="str">
        <f t="shared" si="79"/>
        <v>Recorrente</v>
      </c>
      <c r="AH3796" t="str">
        <f t="shared" si="80"/>
        <v/>
      </c>
    </row>
    <row r="3797" spans="1:34">
      <c r="A3797">
        <v>2026</v>
      </c>
      <c r="B3797">
        <v>4</v>
      </c>
      <c r="C3797" s="83">
        <v>218446718604</v>
      </c>
      <c r="D3797" t="s">
        <v>3337</v>
      </c>
      <c r="E3797">
        <v>59784844456</v>
      </c>
      <c r="F3797">
        <v>637427</v>
      </c>
      <c r="G3797">
        <v>54847045251</v>
      </c>
      <c r="H3797" t="s">
        <v>35</v>
      </c>
      <c r="I3797" s="36">
        <v>5514</v>
      </c>
      <c r="J3797" s="36">
        <v>5514</v>
      </c>
      <c r="K3797" s="85">
        <v>0</v>
      </c>
      <c r="L3797" s="36">
        <v>459.5</v>
      </c>
      <c r="M3797" s="36">
        <v>459.5</v>
      </c>
      <c r="N3797" s="36">
        <v>0</v>
      </c>
      <c r="O3797" s="36">
        <v>0</v>
      </c>
      <c r="P3797" t="s">
        <v>497</v>
      </c>
      <c r="Q3797" t="s">
        <v>498</v>
      </c>
      <c r="R3797" t="s">
        <v>498</v>
      </c>
      <c r="S3797" s="1">
        <v>46140</v>
      </c>
      <c r="T3797" s="1">
        <v>46140</v>
      </c>
      <c r="V3797" s="1">
        <v>46505</v>
      </c>
      <c r="W3797" t="s">
        <v>38</v>
      </c>
      <c r="X3797">
        <v>12</v>
      </c>
      <c r="Y3797" t="s">
        <v>49</v>
      </c>
      <c r="AA3797" t="s">
        <v>112</v>
      </c>
      <c r="AB3797">
        <v>12</v>
      </c>
      <c r="AC3797" t="s">
        <v>499</v>
      </c>
      <c r="AD3797" t="s">
        <v>138</v>
      </c>
      <c r="AE3797" t="s">
        <v>135</v>
      </c>
      <c r="AF3797" t="s">
        <v>119</v>
      </c>
      <c r="AG3797" t="str">
        <f t="shared" si="79"/>
        <v>CC 12x</v>
      </c>
      <c r="AH3797" t="str">
        <f t="shared" si="80"/>
        <v/>
      </c>
    </row>
    <row r="3798" spans="1:34">
      <c r="A3798">
        <v>2026</v>
      </c>
      <c r="B3798">
        <v>4</v>
      </c>
      <c r="C3798" s="83">
        <v>218446960015</v>
      </c>
      <c r="D3798" t="s">
        <v>3338</v>
      </c>
      <c r="E3798">
        <v>59664885085</v>
      </c>
      <c r="F3798">
        <v>637335</v>
      </c>
      <c r="G3798">
        <v>54756158348</v>
      </c>
      <c r="H3798" t="s">
        <v>104</v>
      </c>
      <c r="I3798" s="36">
        <v>718.8</v>
      </c>
      <c r="J3798" s="36">
        <v>718.8</v>
      </c>
      <c r="K3798" s="85">
        <v>0</v>
      </c>
      <c r="L3798" s="36">
        <v>59.9</v>
      </c>
      <c r="M3798" s="36">
        <v>59.9</v>
      </c>
      <c r="N3798" s="36">
        <v>0</v>
      </c>
      <c r="O3798" s="36">
        <v>0</v>
      </c>
      <c r="P3798" t="s">
        <v>497</v>
      </c>
      <c r="Q3798" t="s">
        <v>498</v>
      </c>
      <c r="R3798" t="s">
        <v>498</v>
      </c>
      <c r="S3798" s="1">
        <v>46136</v>
      </c>
      <c r="T3798" s="1">
        <v>46136</v>
      </c>
      <c r="U3798" s="1"/>
      <c r="V3798" s="1">
        <v>46501</v>
      </c>
      <c r="W3798" t="s">
        <v>38</v>
      </c>
      <c r="X3798">
        <v>12</v>
      </c>
      <c r="Y3798" t="s">
        <v>49</v>
      </c>
      <c r="AA3798" t="s">
        <v>117</v>
      </c>
      <c r="AB3798">
        <v>1</v>
      </c>
      <c r="AC3798" t="s">
        <v>499</v>
      </c>
      <c r="AD3798" t="s">
        <v>105</v>
      </c>
      <c r="AE3798" t="s">
        <v>106</v>
      </c>
      <c r="AF3798" t="s">
        <v>59</v>
      </c>
      <c r="AG3798" t="str">
        <f t="shared" si="79"/>
        <v>À Vista</v>
      </c>
      <c r="AH3798" t="str">
        <f t="shared" si="80"/>
        <v/>
      </c>
    </row>
    <row r="3799" spans="1:34">
      <c r="A3799">
        <v>2026</v>
      </c>
      <c r="B3799">
        <v>4</v>
      </c>
      <c r="C3799" s="83">
        <v>218646435238</v>
      </c>
      <c r="D3799" t="s">
        <v>3339</v>
      </c>
      <c r="E3799">
        <v>59806420051</v>
      </c>
      <c r="F3799">
        <v>637458</v>
      </c>
      <c r="G3799">
        <v>54804067976</v>
      </c>
      <c r="H3799" t="s">
        <v>35</v>
      </c>
      <c r="I3799" s="36">
        <v>2445</v>
      </c>
      <c r="J3799" s="36">
        <v>2445</v>
      </c>
      <c r="K3799" s="85">
        <v>0</v>
      </c>
      <c r="L3799" s="36">
        <v>203.75</v>
      </c>
      <c r="M3799" s="36">
        <v>203.75</v>
      </c>
      <c r="N3799" s="36">
        <v>0</v>
      </c>
      <c r="O3799" s="36">
        <v>0</v>
      </c>
      <c r="P3799" t="s">
        <v>511</v>
      </c>
      <c r="Q3799" t="s">
        <v>300</v>
      </c>
      <c r="R3799" t="s">
        <v>300</v>
      </c>
      <c r="S3799" s="1">
        <v>46141</v>
      </c>
      <c r="T3799" s="1">
        <v>46141</v>
      </c>
      <c r="V3799" s="1">
        <v>46506</v>
      </c>
      <c r="W3799" t="s">
        <v>38</v>
      </c>
      <c r="X3799">
        <v>12</v>
      </c>
      <c r="Y3799" t="s">
        <v>49</v>
      </c>
      <c r="AA3799" t="s">
        <v>117</v>
      </c>
      <c r="AB3799">
        <v>1</v>
      </c>
      <c r="AC3799" t="s">
        <v>301</v>
      </c>
      <c r="AD3799" t="s">
        <v>118</v>
      </c>
      <c r="AE3799" t="s">
        <v>43</v>
      </c>
      <c r="AF3799" t="s">
        <v>119</v>
      </c>
      <c r="AG3799" t="str">
        <f t="shared" si="79"/>
        <v>À Vista</v>
      </c>
      <c r="AH3799" t="str">
        <f t="shared" si="80"/>
        <v/>
      </c>
    </row>
    <row r="3800" spans="1:34">
      <c r="A3800">
        <v>2026</v>
      </c>
      <c r="B3800">
        <v>4</v>
      </c>
      <c r="C3800" s="83">
        <v>218673789326</v>
      </c>
      <c r="D3800" t="s">
        <v>3340</v>
      </c>
      <c r="E3800">
        <v>59852572061</v>
      </c>
      <c r="F3800">
        <v>524615</v>
      </c>
      <c r="G3800">
        <v>54917850806</v>
      </c>
      <c r="H3800" t="s">
        <v>35</v>
      </c>
      <c r="I3800" s="36">
        <v>5186.5200000000004</v>
      </c>
      <c r="J3800" s="36">
        <v>3026.4</v>
      </c>
      <c r="K3800" s="85">
        <v>2160.12</v>
      </c>
      <c r="L3800" s="36">
        <v>252.2</v>
      </c>
      <c r="M3800" s="36">
        <v>0</v>
      </c>
      <c r="N3800" s="36">
        <v>252.2</v>
      </c>
      <c r="O3800" s="36">
        <v>0</v>
      </c>
      <c r="P3800" t="s">
        <v>804</v>
      </c>
      <c r="Q3800" t="s">
        <v>191</v>
      </c>
      <c r="R3800" t="s">
        <v>191</v>
      </c>
      <c r="S3800" s="1">
        <v>46142</v>
      </c>
      <c r="T3800" s="1">
        <v>46142</v>
      </c>
      <c r="U3800" s="1">
        <v>46768</v>
      </c>
      <c r="V3800" s="1">
        <v>46768</v>
      </c>
      <c r="W3800" t="s">
        <v>102</v>
      </c>
      <c r="X3800">
        <v>21</v>
      </c>
      <c r="Y3800" t="s">
        <v>49</v>
      </c>
      <c r="Z3800" t="s">
        <v>324</v>
      </c>
      <c r="AA3800" t="s">
        <v>122</v>
      </c>
      <c r="AB3800">
        <v>20</v>
      </c>
      <c r="AC3800" t="s">
        <v>192</v>
      </c>
      <c r="AD3800" t="s">
        <v>134</v>
      </c>
      <c r="AE3800" t="s">
        <v>135</v>
      </c>
      <c r="AF3800" t="s">
        <v>44</v>
      </c>
      <c r="AG3800" t="str">
        <f t="shared" si="79"/>
        <v>Recorrente</v>
      </c>
      <c r="AH3800" t="str">
        <f t="shared" si="80"/>
        <v/>
      </c>
    </row>
    <row r="3801" spans="1:34">
      <c r="A3801">
        <v>2026</v>
      </c>
      <c r="B3801">
        <v>4</v>
      </c>
      <c r="C3801" s="83">
        <v>218679408248</v>
      </c>
      <c r="D3801" t="s">
        <v>3341</v>
      </c>
      <c r="E3801">
        <v>59791786533</v>
      </c>
      <c r="F3801">
        <v>637460</v>
      </c>
      <c r="G3801">
        <v>54880575815</v>
      </c>
      <c r="H3801" t="s">
        <v>35</v>
      </c>
      <c r="I3801" s="36">
        <v>2634</v>
      </c>
      <c r="J3801" s="36">
        <v>2634</v>
      </c>
      <c r="K3801" s="85">
        <v>0</v>
      </c>
      <c r="L3801" s="36">
        <v>219.5</v>
      </c>
      <c r="M3801" s="36">
        <v>219.5</v>
      </c>
      <c r="N3801" s="36">
        <v>0</v>
      </c>
      <c r="O3801" s="36">
        <v>0</v>
      </c>
      <c r="P3801" t="s">
        <v>829</v>
      </c>
      <c r="Q3801" t="s">
        <v>300</v>
      </c>
      <c r="R3801" t="s">
        <v>300</v>
      </c>
      <c r="S3801" s="1">
        <v>46141</v>
      </c>
      <c r="T3801" s="1">
        <v>46141</v>
      </c>
      <c r="V3801" s="1">
        <v>46506</v>
      </c>
      <c r="W3801" t="s">
        <v>38</v>
      </c>
      <c r="X3801">
        <v>12</v>
      </c>
      <c r="Y3801" t="s">
        <v>49</v>
      </c>
      <c r="AA3801" t="s">
        <v>122</v>
      </c>
      <c r="AB3801">
        <v>12</v>
      </c>
      <c r="AC3801" t="s">
        <v>301</v>
      </c>
      <c r="AD3801" t="s">
        <v>3056</v>
      </c>
      <c r="AE3801" t="s">
        <v>106</v>
      </c>
      <c r="AF3801" t="s">
        <v>59</v>
      </c>
      <c r="AG3801" t="str">
        <f t="shared" si="79"/>
        <v>Recorrente</v>
      </c>
      <c r="AH3801" t="str">
        <f t="shared" si="80"/>
        <v/>
      </c>
    </row>
    <row r="3802" spans="1:34">
      <c r="A3802">
        <v>2026</v>
      </c>
      <c r="B3802">
        <v>4</v>
      </c>
      <c r="C3802" s="83">
        <v>218707613836</v>
      </c>
      <c r="D3802" t="s">
        <v>3342</v>
      </c>
      <c r="E3802">
        <v>59807159669</v>
      </c>
      <c r="F3802">
        <v>637459</v>
      </c>
      <c r="G3802">
        <v>54858343848</v>
      </c>
      <c r="H3802" t="s">
        <v>104</v>
      </c>
      <c r="I3802" s="36">
        <v>718.8</v>
      </c>
      <c r="J3802" s="36">
        <v>718.8</v>
      </c>
      <c r="K3802" s="85">
        <v>0</v>
      </c>
      <c r="L3802" s="36">
        <v>59.9</v>
      </c>
      <c r="M3802" s="36">
        <v>59.9</v>
      </c>
      <c r="N3802" s="36">
        <v>0</v>
      </c>
      <c r="O3802" s="36">
        <v>0</v>
      </c>
      <c r="P3802" t="s">
        <v>497</v>
      </c>
      <c r="Q3802" t="s">
        <v>498</v>
      </c>
      <c r="R3802" t="s">
        <v>498</v>
      </c>
      <c r="S3802" s="1">
        <v>46141</v>
      </c>
      <c r="T3802" s="1">
        <v>46141</v>
      </c>
      <c r="V3802" s="1">
        <v>46506</v>
      </c>
      <c r="W3802" t="s">
        <v>38</v>
      </c>
      <c r="X3802">
        <v>12</v>
      </c>
      <c r="Y3802" t="s">
        <v>49</v>
      </c>
      <c r="AA3802" t="s">
        <v>112</v>
      </c>
      <c r="AB3802">
        <v>12</v>
      </c>
      <c r="AC3802" t="s">
        <v>499</v>
      </c>
      <c r="AD3802" t="s">
        <v>105</v>
      </c>
      <c r="AE3802" t="s">
        <v>106</v>
      </c>
      <c r="AF3802" t="s">
        <v>59</v>
      </c>
      <c r="AG3802" t="str">
        <f t="shared" si="79"/>
        <v>CC 12x</v>
      </c>
      <c r="AH3802" t="str">
        <f t="shared" si="80"/>
        <v/>
      </c>
    </row>
    <row r="3803" spans="1:34">
      <c r="A3803">
        <v>2026</v>
      </c>
      <c r="B3803">
        <v>4</v>
      </c>
      <c r="C3803" s="83">
        <v>218748600491</v>
      </c>
      <c r="D3803" t="s">
        <v>3343</v>
      </c>
      <c r="E3803">
        <v>59840252937</v>
      </c>
      <c r="F3803">
        <v>637502</v>
      </c>
      <c r="G3803">
        <v>54881301082</v>
      </c>
      <c r="H3803" t="s">
        <v>35</v>
      </c>
      <c r="I3803" s="36">
        <v>2874</v>
      </c>
      <c r="J3803" s="36">
        <v>2874</v>
      </c>
      <c r="K3803" s="85">
        <v>0</v>
      </c>
      <c r="L3803" s="36">
        <v>239.5</v>
      </c>
      <c r="M3803" s="36">
        <v>239.5</v>
      </c>
      <c r="N3803" s="36">
        <v>0</v>
      </c>
      <c r="O3803" s="36">
        <v>0</v>
      </c>
      <c r="P3803" t="s">
        <v>829</v>
      </c>
      <c r="Q3803" t="s">
        <v>300</v>
      </c>
      <c r="R3803" t="s">
        <v>300</v>
      </c>
      <c r="S3803" s="1">
        <v>46142</v>
      </c>
      <c r="T3803" s="1">
        <v>46142</v>
      </c>
      <c r="U3803" s="1"/>
      <c r="V3803" s="1">
        <v>46507</v>
      </c>
      <c r="W3803" t="s">
        <v>38</v>
      </c>
      <c r="X3803">
        <v>12</v>
      </c>
      <c r="Y3803" t="s">
        <v>49</v>
      </c>
      <c r="AA3803" t="s">
        <v>122</v>
      </c>
      <c r="AB3803">
        <v>12</v>
      </c>
      <c r="AC3803" t="s">
        <v>301</v>
      </c>
      <c r="AD3803" t="s">
        <v>140</v>
      </c>
      <c r="AE3803" t="s">
        <v>46</v>
      </c>
      <c r="AF3803" t="s">
        <v>119</v>
      </c>
      <c r="AG3803" t="str">
        <f t="shared" si="79"/>
        <v>Recorrente</v>
      </c>
      <c r="AH3803" t="str">
        <f t="shared" si="80"/>
        <v/>
      </c>
    </row>
    <row r="3804" spans="1:34">
      <c r="A3804">
        <v>2026</v>
      </c>
      <c r="B3804">
        <v>4</v>
      </c>
      <c r="C3804" s="83">
        <v>218748624001</v>
      </c>
      <c r="D3804" t="s">
        <v>3344</v>
      </c>
      <c r="E3804">
        <v>58882478116</v>
      </c>
      <c r="F3804">
        <v>636898</v>
      </c>
      <c r="G3804">
        <v>54009868073</v>
      </c>
      <c r="H3804" t="s">
        <v>104</v>
      </c>
      <c r="I3804" s="36">
        <v>718.8</v>
      </c>
      <c r="J3804" s="36">
        <v>718.8</v>
      </c>
      <c r="K3804" s="85">
        <v>0</v>
      </c>
      <c r="L3804" s="36">
        <v>59.9</v>
      </c>
      <c r="M3804" s="36">
        <v>59.9</v>
      </c>
      <c r="N3804" s="36">
        <v>0</v>
      </c>
      <c r="O3804" s="36">
        <v>0</v>
      </c>
      <c r="P3804" t="s">
        <v>497</v>
      </c>
      <c r="Q3804" t="s">
        <v>498</v>
      </c>
      <c r="R3804" t="s">
        <v>498</v>
      </c>
      <c r="S3804" s="1">
        <v>46118</v>
      </c>
      <c r="T3804" s="1">
        <v>46118</v>
      </c>
      <c r="V3804" s="1">
        <v>46483</v>
      </c>
      <c r="W3804" t="s">
        <v>38</v>
      </c>
      <c r="X3804">
        <v>12</v>
      </c>
      <c r="Y3804" t="s">
        <v>49</v>
      </c>
      <c r="AA3804" t="s">
        <v>112</v>
      </c>
      <c r="AB3804">
        <v>12</v>
      </c>
      <c r="AC3804" t="s">
        <v>499</v>
      </c>
      <c r="AD3804" t="s">
        <v>105</v>
      </c>
      <c r="AE3804" t="s">
        <v>106</v>
      </c>
      <c r="AF3804" t="s">
        <v>59</v>
      </c>
      <c r="AG3804" t="str">
        <f t="shared" si="79"/>
        <v>CC 12x</v>
      </c>
      <c r="AH3804" t="str">
        <f t="shared" si="80"/>
        <v/>
      </c>
    </row>
    <row r="3805" spans="1:34">
      <c r="A3805">
        <v>2026</v>
      </c>
      <c r="B3805">
        <v>4</v>
      </c>
      <c r="C3805" s="83">
        <v>218763332186</v>
      </c>
      <c r="D3805" t="s">
        <v>3345</v>
      </c>
      <c r="E3805">
        <v>59761863694</v>
      </c>
      <c r="F3805">
        <v>637466</v>
      </c>
      <c r="G3805">
        <v>54880613668</v>
      </c>
      <c r="H3805" t="s">
        <v>35</v>
      </c>
      <c r="I3805" s="36">
        <v>4077.48</v>
      </c>
      <c r="J3805" s="36">
        <v>4077.54</v>
      </c>
      <c r="K3805" s="85">
        <v>0</v>
      </c>
      <c r="L3805" s="36">
        <v>339.79500000000002</v>
      </c>
      <c r="M3805" s="36">
        <v>339.79500000000002</v>
      </c>
      <c r="N3805" s="36">
        <v>0</v>
      </c>
      <c r="O3805" s="36">
        <v>0</v>
      </c>
      <c r="P3805" t="s">
        <v>3179</v>
      </c>
      <c r="Q3805" t="s">
        <v>300</v>
      </c>
      <c r="R3805" t="s">
        <v>300</v>
      </c>
      <c r="S3805" s="1">
        <v>46141</v>
      </c>
      <c r="T3805" s="1">
        <v>46141</v>
      </c>
      <c r="V3805" s="1">
        <v>46506</v>
      </c>
      <c r="W3805" t="s">
        <v>38</v>
      </c>
      <c r="X3805">
        <v>12</v>
      </c>
      <c r="Y3805" t="s">
        <v>49</v>
      </c>
      <c r="AA3805" t="s">
        <v>112</v>
      </c>
      <c r="AB3805">
        <v>12</v>
      </c>
      <c r="AC3805" t="s">
        <v>301</v>
      </c>
      <c r="AD3805" t="s">
        <v>84</v>
      </c>
      <c r="AE3805" t="s">
        <v>43</v>
      </c>
      <c r="AF3805" t="s">
        <v>44</v>
      </c>
      <c r="AG3805" t="str">
        <f t="shared" si="79"/>
        <v>CC 12x</v>
      </c>
      <c r="AH3805" t="str">
        <f t="shared" si="80"/>
        <v/>
      </c>
    </row>
    <row r="3806" spans="1:34">
      <c r="A3806">
        <v>2026</v>
      </c>
      <c r="B3806">
        <v>4</v>
      </c>
      <c r="C3806" s="83">
        <v>218763862099</v>
      </c>
      <c r="D3806" t="s">
        <v>3346</v>
      </c>
      <c r="E3806">
        <v>59561825975</v>
      </c>
      <c r="F3806">
        <v>637313</v>
      </c>
      <c r="G3806">
        <v>54659417222</v>
      </c>
      <c r="H3806" t="s">
        <v>35</v>
      </c>
      <c r="I3806" s="36">
        <v>5754</v>
      </c>
      <c r="J3806" s="36">
        <v>5754</v>
      </c>
      <c r="K3806" s="85">
        <v>0</v>
      </c>
      <c r="L3806" s="36">
        <v>479.5</v>
      </c>
      <c r="M3806" s="36">
        <v>479.5</v>
      </c>
      <c r="N3806" s="36">
        <v>0</v>
      </c>
      <c r="O3806" s="36">
        <v>0</v>
      </c>
      <c r="Q3806" t="s">
        <v>498</v>
      </c>
      <c r="R3806" t="s">
        <v>498</v>
      </c>
      <c r="S3806" s="1">
        <v>46136</v>
      </c>
      <c r="T3806" s="1">
        <v>46136</v>
      </c>
      <c r="V3806" s="1">
        <v>46501</v>
      </c>
      <c r="W3806" t="s">
        <v>38</v>
      </c>
      <c r="X3806">
        <v>12</v>
      </c>
      <c r="Y3806" t="s">
        <v>49</v>
      </c>
      <c r="AA3806" t="s">
        <v>122</v>
      </c>
      <c r="AB3806">
        <v>11</v>
      </c>
      <c r="AC3806" t="s">
        <v>499</v>
      </c>
      <c r="AD3806" t="s">
        <v>85</v>
      </c>
      <c r="AE3806" t="s">
        <v>46</v>
      </c>
      <c r="AF3806" t="s">
        <v>44</v>
      </c>
      <c r="AG3806" t="str">
        <f t="shared" si="79"/>
        <v>Recorrente</v>
      </c>
      <c r="AH3806" t="str">
        <f t="shared" si="80"/>
        <v/>
      </c>
    </row>
    <row r="3807" spans="1:34">
      <c r="A3807">
        <v>2026</v>
      </c>
      <c r="B3807">
        <v>4</v>
      </c>
      <c r="C3807" s="83">
        <v>218797447350</v>
      </c>
      <c r="D3807" t="s">
        <v>3347</v>
      </c>
      <c r="E3807">
        <v>59863181187</v>
      </c>
      <c r="F3807">
        <v>637532</v>
      </c>
      <c r="G3807">
        <v>54945936498</v>
      </c>
      <c r="H3807" t="s">
        <v>35</v>
      </c>
      <c r="I3807" s="36">
        <v>2327.88</v>
      </c>
      <c r="J3807" s="36">
        <v>2327.94</v>
      </c>
      <c r="K3807" s="85">
        <v>0</v>
      </c>
      <c r="L3807" s="36">
        <v>193.995</v>
      </c>
      <c r="M3807" s="36">
        <v>193.995</v>
      </c>
      <c r="N3807" s="36">
        <v>0</v>
      </c>
      <c r="O3807" s="36">
        <v>0</v>
      </c>
      <c r="P3807" t="s">
        <v>3179</v>
      </c>
      <c r="Q3807" t="s">
        <v>300</v>
      </c>
      <c r="R3807" t="s">
        <v>300</v>
      </c>
      <c r="S3807" s="1">
        <v>46142</v>
      </c>
      <c r="T3807" s="1">
        <v>46142</v>
      </c>
      <c r="V3807" s="1">
        <v>46507</v>
      </c>
      <c r="W3807" t="s">
        <v>38</v>
      </c>
      <c r="X3807">
        <v>12</v>
      </c>
      <c r="Y3807" t="s">
        <v>49</v>
      </c>
      <c r="AA3807" t="s">
        <v>112</v>
      </c>
      <c r="AB3807">
        <v>12</v>
      </c>
      <c r="AC3807" t="s">
        <v>301</v>
      </c>
      <c r="AD3807" t="s">
        <v>118</v>
      </c>
      <c r="AE3807" t="s">
        <v>43</v>
      </c>
      <c r="AF3807" t="s">
        <v>119</v>
      </c>
      <c r="AG3807" t="str">
        <f t="shared" si="79"/>
        <v>CC 12x</v>
      </c>
      <c r="AH3807" t="str">
        <f t="shared" si="80"/>
        <v/>
      </c>
    </row>
    <row r="3808" spans="1:34">
      <c r="A3808">
        <v>2026</v>
      </c>
      <c r="B3808">
        <v>4</v>
      </c>
      <c r="C3808" s="83">
        <v>218840896780</v>
      </c>
      <c r="D3808" t="s">
        <v>3348</v>
      </c>
      <c r="E3808">
        <v>57833060143</v>
      </c>
      <c r="F3808">
        <v>628863</v>
      </c>
      <c r="G3808">
        <v>53071855171</v>
      </c>
      <c r="H3808" t="s">
        <v>35</v>
      </c>
      <c r="I3808" s="36">
        <v>2874</v>
      </c>
      <c r="J3808" s="36">
        <v>2874</v>
      </c>
      <c r="K3808" s="85">
        <v>0</v>
      </c>
      <c r="L3808" s="36">
        <v>239.5</v>
      </c>
      <c r="M3808" s="36">
        <v>0</v>
      </c>
      <c r="N3808" s="36">
        <v>35.159999999999997</v>
      </c>
      <c r="O3808" s="36">
        <v>204.34</v>
      </c>
      <c r="P3808" t="s">
        <v>165</v>
      </c>
      <c r="Q3808" t="s">
        <v>166</v>
      </c>
      <c r="R3808" t="s">
        <v>166</v>
      </c>
      <c r="S3808" s="1">
        <v>46134</v>
      </c>
      <c r="T3808" s="1">
        <v>46134</v>
      </c>
      <c r="U3808" s="1">
        <v>46134</v>
      </c>
      <c r="V3808" s="1">
        <v>46499</v>
      </c>
      <c r="W3808" t="s">
        <v>38</v>
      </c>
      <c r="X3808">
        <v>12</v>
      </c>
      <c r="Y3808" t="s">
        <v>49</v>
      </c>
      <c r="Z3808" t="s">
        <v>81</v>
      </c>
      <c r="AA3808" t="s">
        <v>112</v>
      </c>
      <c r="AB3808">
        <v>12</v>
      </c>
      <c r="AC3808" t="s">
        <v>166</v>
      </c>
      <c r="AD3808" t="s">
        <v>140</v>
      </c>
      <c r="AE3808" t="s">
        <v>46</v>
      </c>
      <c r="AF3808" t="s">
        <v>119</v>
      </c>
      <c r="AG3808" t="str">
        <f t="shared" si="79"/>
        <v>CC 12x</v>
      </c>
      <c r="AH3808" t="str">
        <f t="shared" si="80"/>
        <v/>
      </c>
    </row>
    <row r="3809" spans="1:34">
      <c r="A3809">
        <v>2026</v>
      </c>
      <c r="B3809">
        <v>4</v>
      </c>
      <c r="C3809" s="83">
        <v>218960240142</v>
      </c>
      <c r="D3809" t="s">
        <v>3349</v>
      </c>
      <c r="E3809">
        <v>59367047769</v>
      </c>
      <c r="F3809">
        <v>637499</v>
      </c>
      <c r="G3809">
        <v>54881232777</v>
      </c>
      <c r="H3809" t="s">
        <v>35</v>
      </c>
      <c r="I3809" s="36">
        <v>2299.1999999999998</v>
      </c>
      <c r="J3809" s="36">
        <v>2299.1999999999998</v>
      </c>
      <c r="K3809" s="85">
        <v>0</v>
      </c>
      <c r="L3809" s="36">
        <v>191.6</v>
      </c>
      <c r="M3809" s="36">
        <v>191.6</v>
      </c>
      <c r="N3809" s="36">
        <v>0</v>
      </c>
      <c r="O3809" s="36">
        <v>0</v>
      </c>
      <c r="P3809" t="s">
        <v>506</v>
      </c>
      <c r="Q3809" t="s">
        <v>300</v>
      </c>
      <c r="R3809" t="s">
        <v>300</v>
      </c>
      <c r="S3809" s="1">
        <v>46142</v>
      </c>
      <c r="T3809" s="1">
        <v>46142</v>
      </c>
      <c r="V3809" s="1">
        <v>46507</v>
      </c>
      <c r="W3809" t="s">
        <v>38</v>
      </c>
      <c r="X3809">
        <v>12</v>
      </c>
      <c r="Y3809" t="s">
        <v>49</v>
      </c>
      <c r="AA3809" t="s">
        <v>112</v>
      </c>
      <c r="AB3809">
        <v>12</v>
      </c>
      <c r="AC3809" t="s">
        <v>301</v>
      </c>
      <c r="AD3809" t="s">
        <v>118</v>
      </c>
      <c r="AE3809" t="s">
        <v>43</v>
      </c>
      <c r="AF3809" t="s">
        <v>119</v>
      </c>
      <c r="AG3809" t="str">
        <f t="shared" si="79"/>
        <v>CC 12x</v>
      </c>
      <c r="AH3809" t="str">
        <f t="shared" si="80"/>
        <v/>
      </c>
    </row>
    <row r="3810" spans="1:34">
      <c r="A3810">
        <v>2026</v>
      </c>
      <c r="B3810">
        <v>4</v>
      </c>
      <c r="C3810" s="83">
        <v>219563245066</v>
      </c>
      <c r="D3810" t="s">
        <v>3350</v>
      </c>
      <c r="E3810">
        <v>58060198400</v>
      </c>
      <c r="F3810">
        <v>613585</v>
      </c>
      <c r="G3810">
        <v>54466128251</v>
      </c>
      <c r="H3810" t="s">
        <v>35</v>
      </c>
      <c r="I3810" s="36">
        <v>5432.64</v>
      </c>
      <c r="J3810" s="36">
        <v>5432.64</v>
      </c>
      <c r="K3810" s="85">
        <v>0</v>
      </c>
      <c r="L3810" s="36">
        <v>452.72</v>
      </c>
      <c r="M3810" s="36">
        <v>0</v>
      </c>
      <c r="N3810" s="36">
        <v>2.5125000000000002</v>
      </c>
      <c r="O3810" s="36">
        <v>450.21</v>
      </c>
      <c r="P3810" t="s">
        <v>137</v>
      </c>
      <c r="Q3810" t="s">
        <v>111</v>
      </c>
      <c r="R3810" t="s">
        <v>111</v>
      </c>
      <c r="S3810" s="1">
        <v>46135</v>
      </c>
      <c r="T3810" s="1">
        <v>46135</v>
      </c>
      <c r="U3810" s="1">
        <v>46128</v>
      </c>
      <c r="V3810" s="1">
        <v>46501</v>
      </c>
      <c r="W3810" t="s">
        <v>38</v>
      </c>
      <c r="X3810">
        <v>12</v>
      </c>
      <c r="Y3810" t="s">
        <v>49</v>
      </c>
      <c r="Z3810" t="s">
        <v>81</v>
      </c>
      <c r="AA3810" t="s">
        <v>122</v>
      </c>
      <c r="AB3810">
        <v>12</v>
      </c>
      <c r="AC3810" t="s">
        <v>113</v>
      </c>
      <c r="AD3810" t="s">
        <v>149</v>
      </c>
      <c r="AE3810" t="s">
        <v>43</v>
      </c>
      <c r="AF3810" t="s">
        <v>96</v>
      </c>
      <c r="AG3810" t="str">
        <f t="shared" si="79"/>
        <v>Recorrente</v>
      </c>
      <c r="AH3810" t="str">
        <f t="shared" si="80"/>
        <v/>
      </c>
    </row>
    <row r="3811" spans="1:34">
      <c r="A3811">
        <v>2026</v>
      </c>
      <c r="B3811">
        <v>4</v>
      </c>
      <c r="C3811" s="83">
        <v>219638904682</v>
      </c>
      <c r="D3811" t="s">
        <v>3351</v>
      </c>
      <c r="E3811">
        <v>59778684693</v>
      </c>
      <c r="F3811">
        <v>624004</v>
      </c>
      <c r="G3811">
        <v>54839830568</v>
      </c>
      <c r="H3811" t="s">
        <v>35</v>
      </c>
      <c r="I3811" s="36">
        <v>1515.96</v>
      </c>
      <c r="J3811" s="36">
        <v>1776.72</v>
      </c>
      <c r="K3811" s="85">
        <v>0</v>
      </c>
      <c r="L3811" s="36">
        <v>148.06</v>
      </c>
      <c r="M3811" s="36">
        <v>0</v>
      </c>
      <c r="N3811" s="36">
        <v>148.06</v>
      </c>
      <c r="O3811" s="36">
        <v>0</v>
      </c>
      <c r="P3811" t="s">
        <v>804</v>
      </c>
      <c r="Q3811" t="s">
        <v>191</v>
      </c>
      <c r="R3811" t="s">
        <v>191</v>
      </c>
      <c r="S3811" s="1">
        <v>46140</v>
      </c>
      <c r="T3811" s="1">
        <v>46140</v>
      </c>
      <c r="U3811" s="1">
        <v>46713</v>
      </c>
      <c r="V3811" s="1">
        <v>46713</v>
      </c>
      <c r="W3811" t="s">
        <v>102</v>
      </c>
      <c r="X3811">
        <v>19</v>
      </c>
      <c r="Y3811" t="s">
        <v>49</v>
      </c>
      <c r="Z3811" t="s">
        <v>324</v>
      </c>
      <c r="AA3811" t="s">
        <v>122</v>
      </c>
      <c r="AB3811">
        <v>18</v>
      </c>
      <c r="AC3811" t="s">
        <v>192</v>
      </c>
      <c r="AD3811" t="s">
        <v>256</v>
      </c>
      <c r="AE3811" t="s">
        <v>257</v>
      </c>
      <c r="AF3811" t="s">
        <v>59</v>
      </c>
      <c r="AG3811" t="str">
        <f t="shared" si="79"/>
        <v>Recorrente</v>
      </c>
      <c r="AH3811" t="str">
        <f t="shared" si="80"/>
        <v/>
      </c>
    </row>
    <row r="3812" spans="1:34">
      <c r="A3812">
        <v>2026</v>
      </c>
      <c r="B3812">
        <v>4</v>
      </c>
      <c r="C3812" s="83">
        <v>219638904682</v>
      </c>
      <c r="D3812" t="s">
        <v>3351</v>
      </c>
      <c r="E3812">
        <v>59778684693</v>
      </c>
      <c r="F3812">
        <v>624004</v>
      </c>
      <c r="G3812">
        <v>54839830569</v>
      </c>
      <c r="H3812" t="s">
        <v>35</v>
      </c>
      <c r="I3812" s="36">
        <v>4058.28</v>
      </c>
      <c r="J3812" s="36">
        <v>1776.72</v>
      </c>
      <c r="K3812" s="85">
        <v>2281.56</v>
      </c>
      <c r="L3812" s="36">
        <v>148.06</v>
      </c>
      <c r="M3812" s="36">
        <v>0</v>
      </c>
      <c r="N3812" s="36">
        <v>148.06</v>
      </c>
      <c r="O3812" s="36">
        <v>0</v>
      </c>
      <c r="P3812" t="s">
        <v>804</v>
      </c>
      <c r="Q3812" t="s">
        <v>191</v>
      </c>
      <c r="R3812" t="s">
        <v>191</v>
      </c>
      <c r="S3812" s="1">
        <v>46140</v>
      </c>
      <c r="T3812" s="1">
        <v>46140</v>
      </c>
      <c r="U3812" s="1">
        <v>46713</v>
      </c>
      <c r="V3812" s="1">
        <v>46713</v>
      </c>
      <c r="W3812" t="s">
        <v>102</v>
      </c>
      <c r="X3812">
        <v>19</v>
      </c>
      <c r="Y3812" t="s">
        <v>49</v>
      </c>
      <c r="Z3812" t="s">
        <v>324</v>
      </c>
      <c r="AA3812" t="s">
        <v>122</v>
      </c>
      <c r="AB3812">
        <v>18</v>
      </c>
      <c r="AC3812" t="s">
        <v>192</v>
      </c>
      <c r="AD3812" t="s">
        <v>140</v>
      </c>
      <c r="AE3812" t="s">
        <v>46</v>
      </c>
      <c r="AF3812" t="s">
        <v>119</v>
      </c>
      <c r="AG3812" t="str">
        <f t="shared" si="79"/>
        <v>Recorrente</v>
      </c>
      <c r="AH3812" t="str">
        <f t="shared" si="80"/>
        <v/>
      </c>
    </row>
    <row r="3813" spans="1:34">
      <c r="A3813">
        <v>2026</v>
      </c>
      <c r="B3813">
        <v>4</v>
      </c>
      <c r="C3813" s="83">
        <v>219669553449</v>
      </c>
      <c r="D3813" t="s">
        <v>3352</v>
      </c>
      <c r="E3813">
        <v>59455338006</v>
      </c>
      <c r="F3813">
        <v>637290</v>
      </c>
      <c r="G3813">
        <v>54509623208</v>
      </c>
      <c r="H3813" t="s">
        <v>35</v>
      </c>
      <c r="I3813" s="36">
        <v>9781.68</v>
      </c>
      <c r="J3813" s="36">
        <v>4890.8999999999996</v>
      </c>
      <c r="K3813" s="85">
        <v>4890.78</v>
      </c>
      <c r="L3813" s="36">
        <v>407.57499999999999</v>
      </c>
      <c r="M3813" s="36">
        <v>407.57499999999999</v>
      </c>
      <c r="N3813" s="36">
        <v>0</v>
      </c>
      <c r="O3813" s="36">
        <v>0</v>
      </c>
      <c r="P3813" t="s">
        <v>2004</v>
      </c>
      <c r="Q3813" t="s">
        <v>300</v>
      </c>
      <c r="R3813" t="s">
        <v>300</v>
      </c>
      <c r="S3813" s="1">
        <v>46135</v>
      </c>
      <c r="T3813" s="1">
        <v>46135</v>
      </c>
      <c r="V3813" s="1">
        <v>46866</v>
      </c>
      <c r="W3813" t="s">
        <v>56</v>
      </c>
      <c r="X3813">
        <v>24</v>
      </c>
      <c r="Y3813" t="s">
        <v>49</v>
      </c>
      <c r="AA3813" t="s">
        <v>122</v>
      </c>
      <c r="AB3813">
        <v>24</v>
      </c>
      <c r="AC3813" t="s">
        <v>301</v>
      </c>
      <c r="AD3813" t="s">
        <v>85</v>
      </c>
      <c r="AE3813" t="s">
        <v>46</v>
      </c>
      <c r="AF3813" t="s">
        <v>44</v>
      </c>
      <c r="AG3813" t="str">
        <f t="shared" si="79"/>
        <v>Recorrente</v>
      </c>
      <c r="AH3813" t="str">
        <f t="shared" si="80"/>
        <v/>
      </c>
    </row>
    <row r="3814" spans="1:34">
      <c r="A3814">
        <v>2026</v>
      </c>
      <c r="B3814">
        <v>4</v>
      </c>
      <c r="C3814" s="83">
        <v>219687659114</v>
      </c>
      <c r="D3814" t="s">
        <v>3353</v>
      </c>
      <c r="E3814">
        <v>58986904910</v>
      </c>
      <c r="F3814">
        <v>627259</v>
      </c>
      <c r="G3814">
        <v>54118625087</v>
      </c>
      <c r="H3814" t="s">
        <v>35</v>
      </c>
      <c r="I3814" s="36">
        <v>2150.04</v>
      </c>
      <c r="J3814" s="36">
        <v>2150.04</v>
      </c>
      <c r="K3814" s="85">
        <v>0</v>
      </c>
      <c r="L3814" s="36">
        <v>179.17</v>
      </c>
      <c r="M3814" s="36">
        <v>0</v>
      </c>
      <c r="N3814" s="36">
        <v>0</v>
      </c>
      <c r="O3814" s="36">
        <v>179.16755499999999</v>
      </c>
      <c r="P3814" t="s">
        <v>116</v>
      </c>
      <c r="Q3814" t="s">
        <v>111</v>
      </c>
      <c r="R3814" t="s">
        <v>111</v>
      </c>
      <c r="S3814" s="1">
        <v>46120</v>
      </c>
      <c r="T3814" s="1">
        <v>46120</v>
      </c>
      <c r="U3814" s="1">
        <v>46092</v>
      </c>
      <c r="V3814" s="1">
        <v>46485</v>
      </c>
      <c r="W3814" t="s">
        <v>38</v>
      </c>
      <c r="X3814">
        <v>13</v>
      </c>
      <c r="Y3814" t="s">
        <v>49</v>
      </c>
      <c r="Z3814" t="s">
        <v>81</v>
      </c>
      <c r="AA3814" t="s">
        <v>117</v>
      </c>
      <c r="AB3814">
        <v>1</v>
      </c>
      <c r="AC3814" t="s">
        <v>113</v>
      </c>
      <c r="AD3814" t="s">
        <v>140</v>
      </c>
      <c r="AE3814" t="s">
        <v>46</v>
      </c>
      <c r="AF3814" t="s">
        <v>119</v>
      </c>
      <c r="AG3814" t="str">
        <f t="shared" si="79"/>
        <v>À Vista</v>
      </c>
      <c r="AH3814" t="str">
        <f t="shared" si="80"/>
        <v/>
      </c>
    </row>
    <row r="3815" spans="1:34">
      <c r="A3815">
        <v>2026</v>
      </c>
      <c r="B3815">
        <v>4</v>
      </c>
      <c r="C3815" s="83">
        <v>219720269449</v>
      </c>
      <c r="D3815" t="s">
        <v>3354</v>
      </c>
      <c r="E3815">
        <v>59227235512</v>
      </c>
      <c r="F3815">
        <v>637193</v>
      </c>
      <c r="G3815">
        <v>54381596798</v>
      </c>
      <c r="H3815" t="s">
        <v>35</v>
      </c>
      <c r="I3815" s="36">
        <v>259.5</v>
      </c>
      <c r="J3815" s="36">
        <v>3114</v>
      </c>
      <c r="K3815" s="85">
        <v>0</v>
      </c>
      <c r="L3815" s="36">
        <v>259.5</v>
      </c>
      <c r="M3815" s="36">
        <v>259.5</v>
      </c>
      <c r="N3815" s="36">
        <v>0</v>
      </c>
      <c r="O3815" s="36">
        <v>0</v>
      </c>
      <c r="P3815" t="s">
        <v>2004</v>
      </c>
      <c r="Q3815" t="s">
        <v>300</v>
      </c>
      <c r="R3815" t="s">
        <v>300</v>
      </c>
      <c r="S3815" s="1">
        <v>46130</v>
      </c>
      <c r="T3815" s="1">
        <v>46130</v>
      </c>
      <c r="V3815" s="1"/>
      <c r="W3815" t="s">
        <v>2733</v>
      </c>
      <c r="Y3815" t="s">
        <v>49</v>
      </c>
      <c r="AA3815" t="s">
        <v>122</v>
      </c>
      <c r="AB3815">
        <v>12</v>
      </c>
      <c r="AC3815" t="s">
        <v>301</v>
      </c>
      <c r="AD3815" t="s">
        <v>2734</v>
      </c>
      <c r="AE3815" t="s">
        <v>106</v>
      </c>
      <c r="AF3815" t="s">
        <v>59</v>
      </c>
      <c r="AG3815" t="str">
        <f t="shared" si="79"/>
        <v>Recorrente</v>
      </c>
      <c r="AH3815" t="str">
        <f t="shared" si="80"/>
        <v/>
      </c>
    </row>
    <row r="3816" spans="1:34">
      <c r="A3816">
        <v>2026</v>
      </c>
      <c r="B3816">
        <v>4</v>
      </c>
      <c r="C3816" s="83">
        <v>219865117748</v>
      </c>
      <c r="D3816" t="s">
        <v>3355</v>
      </c>
      <c r="E3816">
        <v>59462719048</v>
      </c>
      <c r="F3816">
        <v>637235</v>
      </c>
      <c r="G3816">
        <v>54510119468</v>
      </c>
      <c r="H3816" t="s">
        <v>35</v>
      </c>
      <c r="I3816" s="36">
        <v>4603.2</v>
      </c>
      <c r="J3816" s="36">
        <v>4603.2</v>
      </c>
      <c r="K3816" s="85">
        <v>0</v>
      </c>
      <c r="L3816" s="36">
        <v>383.6</v>
      </c>
      <c r="M3816" s="36">
        <v>383.6</v>
      </c>
      <c r="N3816" s="36">
        <v>0</v>
      </c>
      <c r="O3816" s="36">
        <v>0</v>
      </c>
      <c r="P3816" t="s">
        <v>829</v>
      </c>
      <c r="Q3816" t="s">
        <v>300</v>
      </c>
      <c r="R3816" t="s">
        <v>300</v>
      </c>
      <c r="S3816" s="1">
        <v>46134</v>
      </c>
      <c r="T3816" s="1">
        <v>46134</v>
      </c>
      <c r="U3816" s="1"/>
      <c r="V3816" s="1">
        <v>46499</v>
      </c>
      <c r="W3816" t="s">
        <v>38</v>
      </c>
      <c r="X3816">
        <v>12</v>
      </c>
      <c r="Y3816" t="s">
        <v>49</v>
      </c>
      <c r="AA3816" t="s">
        <v>122</v>
      </c>
      <c r="AB3816">
        <v>12</v>
      </c>
      <c r="AC3816" t="s">
        <v>301</v>
      </c>
      <c r="AD3816" t="s">
        <v>85</v>
      </c>
      <c r="AE3816" t="s">
        <v>46</v>
      </c>
      <c r="AF3816" t="s">
        <v>44</v>
      </c>
      <c r="AG3816" t="str">
        <f t="shared" si="79"/>
        <v>Recorrente</v>
      </c>
      <c r="AH3816" t="str">
        <f t="shared" si="80"/>
        <v/>
      </c>
    </row>
    <row r="3817" spans="1:34">
      <c r="A3817">
        <v>2026</v>
      </c>
      <c r="B3817">
        <v>4</v>
      </c>
      <c r="C3817" s="83">
        <v>219886925194</v>
      </c>
      <c r="D3817" t="s">
        <v>3356</v>
      </c>
      <c r="E3817">
        <v>58927048725</v>
      </c>
      <c r="F3817">
        <v>636947</v>
      </c>
      <c r="G3817">
        <v>54118861717</v>
      </c>
      <c r="H3817" t="s">
        <v>35</v>
      </c>
      <c r="I3817" s="36">
        <v>16332</v>
      </c>
      <c r="J3817" s="36">
        <v>3790.2420000000002</v>
      </c>
      <c r="K3817" s="85">
        <v>12541.758</v>
      </c>
      <c r="L3817" s="36">
        <v>315.8535</v>
      </c>
      <c r="M3817" s="36">
        <v>0</v>
      </c>
      <c r="N3817" s="36">
        <v>315.8535</v>
      </c>
      <c r="O3817" s="36">
        <v>0</v>
      </c>
      <c r="P3817" t="s">
        <v>367</v>
      </c>
      <c r="Q3817" t="s">
        <v>191</v>
      </c>
      <c r="R3817" t="s">
        <v>191</v>
      </c>
      <c r="S3817" s="1">
        <v>46120</v>
      </c>
      <c r="T3817" s="1">
        <v>46120</v>
      </c>
      <c r="V3817" s="1">
        <v>46851</v>
      </c>
      <c r="W3817" t="s">
        <v>56</v>
      </c>
      <c r="Y3817" t="s">
        <v>49</v>
      </c>
      <c r="AA3817" t="s">
        <v>122</v>
      </c>
      <c r="AB3817">
        <v>24</v>
      </c>
      <c r="AC3817" t="s">
        <v>192</v>
      </c>
      <c r="AD3817" t="s">
        <v>134</v>
      </c>
      <c r="AE3817" t="s">
        <v>135</v>
      </c>
      <c r="AF3817" t="s">
        <v>44</v>
      </c>
      <c r="AG3817" t="str">
        <f t="shared" si="79"/>
        <v>Recorrente</v>
      </c>
      <c r="AH3817" t="str">
        <f t="shared" si="80"/>
        <v/>
      </c>
    </row>
    <row r="3818" spans="1:34">
      <c r="A3818">
        <v>2026</v>
      </c>
      <c r="B3818">
        <v>4</v>
      </c>
      <c r="C3818" s="83">
        <v>220212311654</v>
      </c>
      <c r="D3818" t="s">
        <v>3357</v>
      </c>
      <c r="E3818">
        <v>58929783913</v>
      </c>
      <c r="F3818">
        <v>636927</v>
      </c>
      <c r="G3818">
        <v>54041990170</v>
      </c>
      <c r="H3818" t="s">
        <v>35</v>
      </c>
      <c r="I3818" s="36">
        <v>2520.48</v>
      </c>
      <c r="J3818" s="36">
        <v>2520.498</v>
      </c>
      <c r="K3818" s="85">
        <v>0</v>
      </c>
      <c r="L3818" s="36">
        <v>210.04150000000001</v>
      </c>
      <c r="M3818" s="36">
        <v>210.04150000000001</v>
      </c>
      <c r="N3818" s="36">
        <v>0</v>
      </c>
      <c r="O3818" s="36">
        <v>0</v>
      </c>
      <c r="P3818" t="s">
        <v>506</v>
      </c>
      <c r="Q3818" t="s">
        <v>300</v>
      </c>
      <c r="R3818" t="s">
        <v>300</v>
      </c>
      <c r="S3818" s="1">
        <v>46119</v>
      </c>
      <c r="T3818" s="1">
        <v>46119</v>
      </c>
      <c r="U3818" s="1"/>
      <c r="V3818" s="1">
        <v>46484</v>
      </c>
      <c r="W3818" t="s">
        <v>38</v>
      </c>
      <c r="X3818">
        <v>12</v>
      </c>
      <c r="Y3818" t="s">
        <v>49</v>
      </c>
      <c r="AA3818" t="s">
        <v>112</v>
      </c>
      <c r="AB3818">
        <v>12</v>
      </c>
      <c r="AC3818" t="s">
        <v>301</v>
      </c>
      <c r="AD3818" t="s">
        <v>140</v>
      </c>
      <c r="AE3818" t="s">
        <v>46</v>
      </c>
      <c r="AF3818" t="s">
        <v>119</v>
      </c>
      <c r="AG3818" t="str">
        <f t="shared" si="79"/>
        <v>CC 12x</v>
      </c>
      <c r="AH3818" t="str">
        <f t="shared" si="80"/>
        <v/>
      </c>
    </row>
    <row r="3819" spans="1:34">
      <c r="A3819">
        <v>2026</v>
      </c>
      <c r="B3819">
        <v>4</v>
      </c>
      <c r="C3819" s="83">
        <v>220538783592</v>
      </c>
      <c r="D3819" t="s">
        <v>3358</v>
      </c>
      <c r="E3819">
        <v>57516841593</v>
      </c>
      <c r="F3819">
        <v>533154</v>
      </c>
      <c r="G3819">
        <v>52736277410</v>
      </c>
      <c r="H3819" t="s">
        <v>35</v>
      </c>
      <c r="I3819" s="36">
        <v>5754</v>
      </c>
      <c r="J3819" s="36">
        <v>5754</v>
      </c>
      <c r="K3819" s="85">
        <v>0</v>
      </c>
      <c r="L3819" s="36">
        <v>479.5</v>
      </c>
      <c r="M3819" s="36">
        <v>0</v>
      </c>
      <c r="N3819" s="36">
        <v>94.45</v>
      </c>
      <c r="O3819" s="36">
        <v>385.05</v>
      </c>
      <c r="P3819" t="s">
        <v>165</v>
      </c>
      <c r="Q3819" t="s">
        <v>166</v>
      </c>
      <c r="R3819" t="s">
        <v>166</v>
      </c>
      <c r="S3819" s="1">
        <v>46130</v>
      </c>
      <c r="T3819" s="1">
        <v>46130</v>
      </c>
      <c r="U3819" s="1">
        <v>46130</v>
      </c>
      <c r="V3819" s="1">
        <v>46495</v>
      </c>
      <c r="W3819" t="s">
        <v>38</v>
      </c>
      <c r="X3819">
        <v>12</v>
      </c>
      <c r="Y3819" t="s">
        <v>49</v>
      </c>
      <c r="Z3819" t="s">
        <v>81</v>
      </c>
      <c r="AA3819" t="s">
        <v>122</v>
      </c>
      <c r="AB3819">
        <v>12</v>
      </c>
      <c r="AC3819" t="s">
        <v>166</v>
      </c>
      <c r="AD3819" t="s">
        <v>85</v>
      </c>
      <c r="AE3819" t="s">
        <v>46</v>
      </c>
      <c r="AF3819" t="s">
        <v>44</v>
      </c>
      <c r="AG3819" t="str">
        <f t="shared" si="79"/>
        <v>Recorrente</v>
      </c>
      <c r="AH3819" t="str">
        <f t="shared" si="80"/>
        <v/>
      </c>
    </row>
    <row r="3820" spans="1:34">
      <c r="A3820">
        <v>2026</v>
      </c>
      <c r="B3820">
        <v>4</v>
      </c>
      <c r="C3820" s="83">
        <v>2216791</v>
      </c>
      <c r="D3820" t="s">
        <v>3359</v>
      </c>
      <c r="E3820">
        <v>59100933896</v>
      </c>
      <c r="F3820">
        <v>637013</v>
      </c>
      <c r="G3820">
        <v>54150160036</v>
      </c>
      <c r="H3820" t="s">
        <v>35</v>
      </c>
      <c r="I3820" s="36">
        <v>4027.2</v>
      </c>
      <c r="J3820" s="36">
        <v>4027.2</v>
      </c>
      <c r="K3820" s="85">
        <v>0</v>
      </c>
      <c r="L3820" s="36">
        <v>335.6</v>
      </c>
      <c r="M3820" s="36">
        <v>335.6</v>
      </c>
      <c r="N3820" s="36">
        <v>0</v>
      </c>
      <c r="O3820" s="36">
        <v>0</v>
      </c>
      <c r="P3820" t="s">
        <v>511</v>
      </c>
      <c r="Q3820" t="s">
        <v>300</v>
      </c>
      <c r="R3820" t="s">
        <v>300</v>
      </c>
      <c r="S3820" s="1">
        <v>46122</v>
      </c>
      <c r="T3820" s="1">
        <v>46122</v>
      </c>
      <c r="V3820" s="1">
        <v>46487</v>
      </c>
      <c r="W3820" t="s">
        <v>38</v>
      </c>
      <c r="X3820">
        <v>12</v>
      </c>
      <c r="Y3820" t="s">
        <v>49</v>
      </c>
      <c r="AA3820" t="s">
        <v>112</v>
      </c>
      <c r="AB3820">
        <v>12</v>
      </c>
      <c r="AC3820" t="s">
        <v>301</v>
      </c>
      <c r="AD3820" t="s">
        <v>84</v>
      </c>
      <c r="AE3820" t="s">
        <v>43</v>
      </c>
      <c r="AF3820" t="s">
        <v>44</v>
      </c>
      <c r="AG3820" t="str">
        <f t="shared" si="79"/>
        <v>CC 12x</v>
      </c>
      <c r="AH3820" t="str">
        <f t="shared" si="80"/>
        <v/>
      </c>
    </row>
    <row r="3821" spans="1:34">
      <c r="A3821">
        <v>2026</v>
      </c>
      <c r="B3821">
        <v>4</v>
      </c>
      <c r="C3821" s="83">
        <v>2219521</v>
      </c>
      <c r="D3821" t="s">
        <v>3360</v>
      </c>
      <c r="E3821">
        <v>58907120165</v>
      </c>
      <c r="F3821">
        <v>636921</v>
      </c>
      <c r="G3821">
        <v>54041802150</v>
      </c>
      <c r="H3821" t="s">
        <v>35</v>
      </c>
      <c r="I3821" s="36">
        <v>3462.84</v>
      </c>
      <c r="J3821" s="36">
        <v>3462.9</v>
      </c>
      <c r="K3821" s="85">
        <v>0</v>
      </c>
      <c r="L3821" s="36">
        <v>288.57499999999999</v>
      </c>
      <c r="M3821" s="36">
        <v>0</v>
      </c>
      <c r="N3821" s="36">
        <v>25.925000000000001</v>
      </c>
      <c r="O3821" s="36">
        <v>262.64999999999998</v>
      </c>
      <c r="P3821" t="s">
        <v>469</v>
      </c>
      <c r="Q3821" t="s">
        <v>191</v>
      </c>
      <c r="R3821" t="s">
        <v>191</v>
      </c>
      <c r="S3821" s="1">
        <v>46119</v>
      </c>
      <c r="T3821" s="1">
        <v>46119</v>
      </c>
      <c r="V3821" s="1">
        <v>46484</v>
      </c>
      <c r="W3821" t="s">
        <v>38</v>
      </c>
      <c r="Y3821" t="s">
        <v>49</v>
      </c>
      <c r="AA3821" t="s">
        <v>112</v>
      </c>
      <c r="AB3821">
        <v>12</v>
      </c>
      <c r="AC3821" t="s">
        <v>192</v>
      </c>
      <c r="AD3821" t="s">
        <v>114</v>
      </c>
      <c r="AE3821" t="s">
        <v>43</v>
      </c>
      <c r="AF3821" t="s">
        <v>44</v>
      </c>
      <c r="AG3821" t="str">
        <f t="shared" si="79"/>
        <v>CC 12x</v>
      </c>
      <c r="AH3821" t="str">
        <f t="shared" si="80"/>
        <v/>
      </c>
    </row>
    <row r="3822" spans="1:34">
      <c r="A3822">
        <v>2026</v>
      </c>
      <c r="B3822">
        <v>4</v>
      </c>
      <c r="C3822" s="83">
        <v>2221809</v>
      </c>
      <c r="D3822" t="s">
        <v>3361</v>
      </c>
      <c r="E3822">
        <v>59274059895</v>
      </c>
      <c r="F3822">
        <v>637173</v>
      </c>
      <c r="G3822">
        <v>54374238469</v>
      </c>
      <c r="H3822" t="s">
        <v>35</v>
      </c>
      <c r="I3822" s="36">
        <v>2874</v>
      </c>
      <c r="J3822" s="36">
        <v>2874</v>
      </c>
      <c r="K3822" s="85">
        <v>0</v>
      </c>
      <c r="L3822" s="36">
        <v>239.5</v>
      </c>
      <c r="M3822" s="36">
        <v>239.5</v>
      </c>
      <c r="N3822" s="36">
        <v>0</v>
      </c>
      <c r="O3822" s="36">
        <v>0</v>
      </c>
      <c r="P3822" t="s">
        <v>497</v>
      </c>
      <c r="Q3822" t="s">
        <v>498</v>
      </c>
      <c r="R3822" t="s">
        <v>498</v>
      </c>
      <c r="S3822" s="1">
        <v>46129</v>
      </c>
      <c r="T3822" s="1">
        <v>46129</v>
      </c>
      <c r="U3822" s="1"/>
      <c r="V3822" s="1">
        <v>46494</v>
      </c>
      <c r="W3822" t="s">
        <v>38</v>
      </c>
      <c r="X3822">
        <v>12</v>
      </c>
      <c r="Y3822" t="s">
        <v>49</v>
      </c>
      <c r="AA3822" t="s">
        <v>112</v>
      </c>
      <c r="AB3822">
        <v>12</v>
      </c>
      <c r="AC3822" t="s">
        <v>499</v>
      </c>
      <c r="AD3822" t="s">
        <v>118</v>
      </c>
      <c r="AE3822" t="s">
        <v>43</v>
      </c>
      <c r="AF3822" t="s">
        <v>119</v>
      </c>
      <c r="AG3822" t="str">
        <f t="shared" si="79"/>
        <v>CC 12x</v>
      </c>
      <c r="AH3822" t="str">
        <f t="shared" si="80"/>
        <v/>
      </c>
    </row>
    <row r="3823" spans="1:34">
      <c r="A3823">
        <v>2026</v>
      </c>
      <c r="B3823">
        <v>4</v>
      </c>
      <c r="C3823" s="83">
        <v>2224052</v>
      </c>
      <c r="D3823" t="s">
        <v>3362</v>
      </c>
      <c r="E3823">
        <v>59422687015</v>
      </c>
      <c r="F3823">
        <v>611411</v>
      </c>
      <c r="G3823">
        <v>54510052234</v>
      </c>
      <c r="H3823" t="s">
        <v>35</v>
      </c>
      <c r="I3823" s="36">
        <v>2076.48</v>
      </c>
      <c r="J3823" s="36">
        <v>2076.48</v>
      </c>
      <c r="K3823" s="85">
        <v>0</v>
      </c>
      <c r="L3823" s="36">
        <v>173.04</v>
      </c>
      <c r="M3823" s="36">
        <v>0</v>
      </c>
      <c r="N3823" s="36">
        <v>10.518750000000001</v>
      </c>
      <c r="O3823" s="36">
        <v>162.52000000000001</v>
      </c>
      <c r="P3823" t="s">
        <v>133</v>
      </c>
      <c r="Q3823" t="s">
        <v>111</v>
      </c>
      <c r="R3823" t="s">
        <v>111</v>
      </c>
      <c r="S3823" s="1">
        <v>46134</v>
      </c>
      <c r="T3823" s="1">
        <v>46134</v>
      </c>
      <c r="U3823" s="1">
        <v>46099</v>
      </c>
      <c r="V3823" s="1">
        <v>46499</v>
      </c>
      <c r="W3823" t="s">
        <v>38</v>
      </c>
      <c r="X3823">
        <v>13</v>
      </c>
      <c r="Y3823" t="s">
        <v>49</v>
      </c>
      <c r="Z3823" t="s">
        <v>76</v>
      </c>
      <c r="AA3823" t="s">
        <v>112</v>
      </c>
      <c r="AB3823">
        <v>1</v>
      </c>
      <c r="AC3823" t="s">
        <v>113</v>
      </c>
      <c r="AD3823" t="s">
        <v>140</v>
      </c>
      <c r="AE3823" t="s">
        <v>46</v>
      </c>
      <c r="AF3823" t="s">
        <v>119</v>
      </c>
      <c r="AG3823" t="str">
        <f t="shared" si="79"/>
        <v>À Vista</v>
      </c>
      <c r="AH3823" t="str">
        <f t="shared" si="80"/>
        <v/>
      </c>
    </row>
    <row r="3824" spans="1:34">
      <c r="A3824">
        <v>2026</v>
      </c>
      <c r="B3824">
        <v>4</v>
      </c>
      <c r="C3824" s="83">
        <v>2224281</v>
      </c>
      <c r="D3824" t="s">
        <v>3363</v>
      </c>
      <c r="E3824">
        <v>59099930220</v>
      </c>
      <c r="F3824">
        <v>637037</v>
      </c>
      <c r="G3824">
        <v>54150111923</v>
      </c>
      <c r="H3824" t="s">
        <v>35</v>
      </c>
      <c r="I3824" s="36">
        <v>3114</v>
      </c>
      <c r="J3824" s="36">
        <v>3114</v>
      </c>
      <c r="K3824" s="85">
        <v>0</v>
      </c>
      <c r="L3824" s="36">
        <v>259.5</v>
      </c>
      <c r="M3824" s="36">
        <v>259.5</v>
      </c>
      <c r="N3824" s="36">
        <v>0</v>
      </c>
      <c r="O3824" s="36">
        <v>0</v>
      </c>
      <c r="P3824" t="s">
        <v>2004</v>
      </c>
      <c r="Q3824" t="s">
        <v>300</v>
      </c>
      <c r="R3824" t="s">
        <v>300</v>
      </c>
      <c r="S3824" s="1">
        <v>46122</v>
      </c>
      <c r="T3824" s="1">
        <v>46122</v>
      </c>
      <c r="V3824" s="1"/>
      <c r="W3824" t="s">
        <v>2733</v>
      </c>
      <c r="Y3824" t="s">
        <v>49</v>
      </c>
      <c r="AA3824" t="s">
        <v>122</v>
      </c>
      <c r="AB3824">
        <v>12</v>
      </c>
      <c r="AC3824" t="s">
        <v>301</v>
      </c>
      <c r="AD3824" t="s">
        <v>2734</v>
      </c>
      <c r="AE3824" t="s">
        <v>106</v>
      </c>
      <c r="AF3824" t="s">
        <v>59</v>
      </c>
      <c r="AG3824" t="str">
        <f t="shared" si="79"/>
        <v>Recorrente</v>
      </c>
      <c r="AH3824" t="str">
        <f t="shared" si="80"/>
        <v/>
      </c>
    </row>
    <row r="3825" spans="1:34">
      <c r="A3825">
        <v>2026</v>
      </c>
      <c r="B3825">
        <v>4</v>
      </c>
      <c r="C3825" s="83">
        <v>2225262</v>
      </c>
      <c r="D3825" t="s">
        <v>3364</v>
      </c>
      <c r="E3825">
        <v>59575479067</v>
      </c>
      <c r="F3825">
        <v>637338</v>
      </c>
      <c r="G3825">
        <v>54741287222</v>
      </c>
      <c r="H3825" t="s">
        <v>35</v>
      </c>
      <c r="I3825" s="36">
        <v>5754</v>
      </c>
      <c r="J3825" s="36">
        <v>5754</v>
      </c>
      <c r="K3825" s="85">
        <v>0</v>
      </c>
      <c r="L3825" s="36">
        <v>479.5</v>
      </c>
      <c r="M3825" s="36">
        <v>479.5</v>
      </c>
      <c r="N3825" s="36">
        <v>0</v>
      </c>
      <c r="O3825" s="36">
        <v>0</v>
      </c>
      <c r="P3825" t="s">
        <v>511</v>
      </c>
      <c r="Q3825" t="s">
        <v>300</v>
      </c>
      <c r="R3825" t="s">
        <v>300</v>
      </c>
      <c r="S3825" s="1">
        <v>46139</v>
      </c>
      <c r="T3825" s="1">
        <v>46139</v>
      </c>
      <c r="U3825" s="1"/>
      <c r="V3825" s="1">
        <v>46504</v>
      </c>
      <c r="W3825" t="s">
        <v>38</v>
      </c>
      <c r="X3825">
        <v>12</v>
      </c>
      <c r="Y3825" t="s">
        <v>49</v>
      </c>
      <c r="AA3825" t="s">
        <v>122</v>
      </c>
      <c r="AB3825">
        <v>12</v>
      </c>
      <c r="AC3825" t="s">
        <v>301</v>
      </c>
      <c r="AD3825" t="s">
        <v>85</v>
      </c>
      <c r="AE3825" t="s">
        <v>46</v>
      </c>
      <c r="AF3825" t="s">
        <v>44</v>
      </c>
      <c r="AG3825" t="str">
        <f t="shared" si="79"/>
        <v>Recorrente</v>
      </c>
      <c r="AH3825" t="str">
        <f t="shared" si="80"/>
        <v/>
      </c>
    </row>
    <row r="3826" spans="1:34">
      <c r="A3826">
        <v>2026</v>
      </c>
      <c r="B3826">
        <v>4</v>
      </c>
      <c r="C3826" s="83">
        <v>2229345</v>
      </c>
      <c r="D3826" t="s">
        <v>2483</v>
      </c>
      <c r="E3826">
        <v>58631645979</v>
      </c>
      <c r="F3826">
        <v>636755</v>
      </c>
      <c r="G3826">
        <v>53857524790</v>
      </c>
      <c r="H3826" t="s">
        <v>35</v>
      </c>
      <c r="I3826" s="36">
        <v>3655.92</v>
      </c>
      <c r="J3826" s="36">
        <v>3688.92</v>
      </c>
      <c r="K3826" s="85">
        <v>0</v>
      </c>
      <c r="L3826" s="36">
        <v>307.41000000000003</v>
      </c>
      <c r="M3826" s="36">
        <v>0</v>
      </c>
      <c r="N3826" s="36">
        <v>307.41000000000003</v>
      </c>
      <c r="O3826" s="36">
        <v>0</v>
      </c>
      <c r="P3826" t="s">
        <v>190</v>
      </c>
      <c r="Q3826" t="s">
        <v>191</v>
      </c>
      <c r="R3826" t="s">
        <v>191</v>
      </c>
      <c r="S3826" s="1">
        <v>46114</v>
      </c>
      <c r="T3826" s="1">
        <v>46114</v>
      </c>
      <c r="U3826" s="1">
        <v>46476</v>
      </c>
      <c r="V3826" s="1">
        <v>46476</v>
      </c>
      <c r="W3826" t="s">
        <v>38</v>
      </c>
      <c r="X3826">
        <v>11</v>
      </c>
      <c r="Y3826" t="s">
        <v>49</v>
      </c>
      <c r="Z3826" t="s">
        <v>324</v>
      </c>
      <c r="AA3826" t="s">
        <v>112</v>
      </c>
      <c r="AB3826">
        <v>12</v>
      </c>
      <c r="AC3826" t="s">
        <v>192</v>
      </c>
      <c r="AD3826" t="s">
        <v>131</v>
      </c>
      <c r="AE3826" t="s">
        <v>46</v>
      </c>
      <c r="AF3826" t="s">
        <v>96</v>
      </c>
      <c r="AG3826" t="str">
        <f t="shared" si="79"/>
        <v>CC 12x</v>
      </c>
      <c r="AH3826" t="str">
        <f t="shared" si="80"/>
        <v/>
      </c>
    </row>
    <row r="3827" spans="1:34">
      <c r="A3827">
        <v>2026</v>
      </c>
      <c r="B3827">
        <v>4</v>
      </c>
      <c r="C3827" s="83">
        <v>2230838</v>
      </c>
      <c r="D3827" t="s">
        <v>3365</v>
      </c>
      <c r="E3827">
        <v>58837385548</v>
      </c>
      <c r="F3827">
        <v>613964</v>
      </c>
      <c r="G3827">
        <v>54282771274</v>
      </c>
      <c r="H3827" t="s">
        <v>35</v>
      </c>
      <c r="I3827" s="36">
        <v>7428</v>
      </c>
      <c r="J3827" s="36">
        <v>7428</v>
      </c>
      <c r="K3827" s="85">
        <v>0</v>
      </c>
      <c r="L3827" s="36">
        <v>619</v>
      </c>
      <c r="M3827" s="36">
        <v>0</v>
      </c>
      <c r="N3827" s="36">
        <v>7.0009499999999996</v>
      </c>
      <c r="O3827" s="36">
        <v>612</v>
      </c>
      <c r="P3827" t="s">
        <v>137</v>
      </c>
      <c r="Q3827" t="s">
        <v>111</v>
      </c>
      <c r="R3827" t="s">
        <v>111</v>
      </c>
      <c r="S3827" s="1">
        <v>46127</v>
      </c>
      <c r="T3827" s="1">
        <v>46127</v>
      </c>
      <c r="U3827" s="1">
        <v>46134</v>
      </c>
      <c r="V3827" s="1">
        <v>46499</v>
      </c>
      <c r="W3827" t="s">
        <v>38</v>
      </c>
      <c r="X3827">
        <v>12</v>
      </c>
      <c r="Y3827" t="s">
        <v>49</v>
      </c>
      <c r="Z3827" t="s">
        <v>81</v>
      </c>
      <c r="AA3827" t="s">
        <v>112</v>
      </c>
      <c r="AB3827">
        <v>12</v>
      </c>
      <c r="AC3827" t="s">
        <v>113</v>
      </c>
      <c r="AD3827" t="s">
        <v>134</v>
      </c>
      <c r="AE3827" t="s">
        <v>135</v>
      </c>
      <c r="AF3827" t="s">
        <v>44</v>
      </c>
      <c r="AG3827" t="str">
        <f t="shared" si="79"/>
        <v>CC 12x</v>
      </c>
      <c r="AH3827" t="str">
        <f t="shared" si="80"/>
        <v/>
      </c>
    </row>
    <row r="3828" spans="1:34">
      <c r="A3828">
        <v>2026</v>
      </c>
      <c r="B3828">
        <v>4</v>
      </c>
      <c r="C3828" s="83">
        <v>2231260</v>
      </c>
      <c r="D3828" t="s">
        <v>3366</v>
      </c>
      <c r="E3828">
        <v>58608304306</v>
      </c>
      <c r="F3828">
        <v>629199</v>
      </c>
      <c r="G3828">
        <v>54282737690</v>
      </c>
      <c r="H3828" t="s">
        <v>35</v>
      </c>
      <c r="I3828" s="36">
        <v>2280</v>
      </c>
      <c r="J3828" s="36">
        <v>2280</v>
      </c>
      <c r="K3828" s="85">
        <v>0</v>
      </c>
      <c r="L3828" s="36">
        <v>190</v>
      </c>
      <c r="M3828" s="36">
        <v>0</v>
      </c>
      <c r="N3828" s="36">
        <v>1.19014</v>
      </c>
      <c r="O3828" s="36">
        <v>188.81</v>
      </c>
      <c r="P3828" t="s">
        <v>110</v>
      </c>
      <c r="Q3828" t="s">
        <v>111</v>
      </c>
      <c r="R3828" t="s">
        <v>111</v>
      </c>
      <c r="S3828" s="1">
        <v>46126</v>
      </c>
      <c r="T3828" s="1">
        <v>46126</v>
      </c>
      <c r="U3828" s="1">
        <v>46142</v>
      </c>
      <c r="V3828" s="1">
        <v>46507</v>
      </c>
      <c r="W3828" t="s">
        <v>38</v>
      </c>
      <c r="X3828">
        <v>12</v>
      </c>
      <c r="Y3828" t="s">
        <v>49</v>
      </c>
      <c r="Z3828" t="s">
        <v>81</v>
      </c>
      <c r="AA3828" t="s">
        <v>112</v>
      </c>
      <c r="AB3828">
        <v>12</v>
      </c>
      <c r="AC3828" t="s">
        <v>113</v>
      </c>
      <c r="AD3828" t="s">
        <v>140</v>
      </c>
      <c r="AE3828" t="s">
        <v>46</v>
      </c>
      <c r="AF3828" t="s">
        <v>119</v>
      </c>
      <c r="AG3828" t="str">
        <f t="shared" si="79"/>
        <v>CC 12x</v>
      </c>
      <c r="AH3828" t="str">
        <f t="shared" si="80"/>
        <v/>
      </c>
    </row>
    <row r="3829" spans="1:34">
      <c r="A3829">
        <v>2026</v>
      </c>
      <c r="B3829">
        <v>4</v>
      </c>
      <c r="C3829" s="83">
        <v>2232123</v>
      </c>
      <c r="D3829" t="s">
        <v>3367</v>
      </c>
      <c r="E3829">
        <v>59803477853</v>
      </c>
      <c r="F3829">
        <v>637475</v>
      </c>
      <c r="G3829">
        <v>54880810038</v>
      </c>
      <c r="H3829" t="s">
        <v>35</v>
      </c>
      <c r="I3829" s="36">
        <v>259.5</v>
      </c>
      <c r="J3829" s="36">
        <v>3114</v>
      </c>
      <c r="K3829" s="85">
        <v>0</v>
      </c>
      <c r="L3829" s="36">
        <v>259.5</v>
      </c>
      <c r="M3829" s="36">
        <v>259.5</v>
      </c>
      <c r="N3829" s="36">
        <v>0</v>
      </c>
      <c r="O3829" s="36">
        <v>0</v>
      </c>
      <c r="P3829" t="s">
        <v>2004</v>
      </c>
      <c r="Q3829" t="s">
        <v>300</v>
      </c>
      <c r="R3829" t="s">
        <v>300</v>
      </c>
      <c r="S3829" s="1">
        <v>46141</v>
      </c>
      <c r="T3829" s="1">
        <v>46141</v>
      </c>
      <c r="U3829" s="1"/>
      <c r="V3829" s="1"/>
      <c r="W3829" t="s">
        <v>2733</v>
      </c>
      <c r="Y3829" t="s">
        <v>49</v>
      </c>
      <c r="AA3829" t="s">
        <v>122</v>
      </c>
      <c r="AB3829">
        <v>1</v>
      </c>
      <c r="AC3829" t="s">
        <v>301</v>
      </c>
      <c r="AD3829" t="s">
        <v>2734</v>
      </c>
      <c r="AE3829" t="s">
        <v>106</v>
      </c>
      <c r="AF3829" t="s">
        <v>59</v>
      </c>
      <c r="AG3829" t="str">
        <f t="shared" si="79"/>
        <v>Recorrente</v>
      </c>
      <c r="AH3829" t="str">
        <f t="shared" si="80"/>
        <v/>
      </c>
    </row>
    <row r="3830" spans="1:34">
      <c r="A3830">
        <v>2026</v>
      </c>
      <c r="B3830">
        <v>4</v>
      </c>
      <c r="C3830" s="83">
        <v>2233759</v>
      </c>
      <c r="D3830" t="s">
        <v>3368</v>
      </c>
      <c r="E3830">
        <v>59314865200</v>
      </c>
      <c r="F3830">
        <v>322879</v>
      </c>
      <c r="G3830">
        <v>54422319247</v>
      </c>
      <c r="H3830" t="s">
        <v>35</v>
      </c>
      <c r="I3830" s="36">
        <v>3360.84</v>
      </c>
      <c r="J3830" s="36">
        <v>3360.84</v>
      </c>
      <c r="K3830" s="85">
        <v>0</v>
      </c>
      <c r="L3830" s="36">
        <v>280.07</v>
      </c>
      <c r="M3830" s="36">
        <v>0</v>
      </c>
      <c r="N3830" s="36">
        <v>0</v>
      </c>
      <c r="O3830" s="36">
        <v>280.07499999999999</v>
      </c>
      <c r="P3830" t="s">
        <v>162</v>
      </c>
      <c r="Q3830" t="s">
        <v>111</v>
      </c>
      <c r="R3830" t="s">
        <v>111</v>
      </c>
      <c r="S3830" s="1">
        <v>46132</v>
      </c>
      <c r="T3830" s="1">
        <v>46132</v>
      </c>
      <c r="U3830" s="1">
        <v>46131</v>
      </c>
      <c r="V3830" s="1">
        <v>46497</v>
      </c>
      <c r="W3830" t="s">
        <v>38</v>
      </c>
      <c r="X3830">
        <v>12</v>
      </c>
      <c r="Y3830" t="s">
        <v>49</v>
      </c>
      <c r="Z3830" t="s">
        <v>81</v>
      </c>
      <c r="AA3830" t="s">
        <v>112</v>
      </c>
      <c r="AB3830">
        <v>12</v>
      </c>
      <c r="AC3830" t="s">
        <v>113</v>
      </c>
      <c r="AD3830" t="s">
        <v>84</v>
      </c>
      <c r="AE3830" t="s">
        <v>43</v>
      </c>
      <c r="AF3830" t="s">
        <v>44</v>
      </c>
      <c r="AG3830" t="str">
        <f t="shared" si="79"/>
        <v>CC 12x</v>
      </c>
      <c r="AH3830" t="str">
        <f t="shared" si="80"/>
        <v/>
      </c>
    </row>
    <row r="3831" spans="1:34">
      <c r="A3831">
        <v>2026</v>
      </c>
      <c r="B3831">
        <v>4</v>
      </c>
      <c r="C3831" s="83">
        <v>2233759</v>
      </c>
      <c r="D3831" t="s">
        <v>3368</v>
      </c>
      <c r="E3831">
        <v>59314865200</v>
      </c>
      <c r="F3831">
        <v>322879</v>
      </c>
      <c r="G3831">
        <v>54422319248</v>
      </c>
      <c r="H3831" t="s">
        <v>35</v>
      </c>
      <c r="I3831" s="36">
        <v>3360.84</v>
      </c>
      <c r="J3831" s="36">
        <v>3360.84</v>
      </c>
      <c r="K3831" s="85">
        <v>0</v>
      </c>
      <c r="L3831" s="36">
        <v>280.07</v>
      </c>
      <c r="M3831" s="36">
        <v>0</v>
      </c>
      <c r="N3831" s="36">
        <v>0</v>
      </c>
      <c r="O3831" s="36">
        <v>280.07499999999999</v>
      </c>
      <c r="P3831" t="s">
        <v>162</v>
      </c>
      <c r="Q3831" t="s">
        <v>111</v>
      </c>
      <c r="R3831" t="s">
        <v>111</v>
      </c>
      <c r="S3831" s="1">
        <v>46132</v>
      </c>
      <c r="T3831" s="1">
        <v>46132</v>
      </c>
      <c r="U3831" s="1">
        <v>46131</v>
      </c>
      <c r="V3831" s="1">
        <v>46497</v>
      </c>
      <c r="W3831" t="s">
        <v>38</v>
      </c>
      <c r="X3831">
        <v>12</v>
      </c>
      <c r="Y3831" t="s">
        <v>49</v>
      </c>
      <c r="Z3831" t="s">
        <v>81</v>
      </c>
      <c r="AA3831" t="s">
        <v>112</v>
      </c>
      <c r="AB3831">
        <v>12</v>
      </c>
      <c r="AC3831" t="s">
        <v>113</v>
      </c>
      <c r="AD3831" t="s">
        <v>140</v>
      </c>
      <c r="AE3831" t="s">
        <v>46</v>
      </c>
      <c r="AF3831" t="s">
        <v>119</v>
      </c>
      <c r="AG3831" t="str">
        <f t="shared" si="79"/>
        <v>CC 12x</v>
      </c>
      <c r="AH3831" t="str">
        <f t="shared" si="80"/>
        <v/>
      </c>
    </row>
    <row r="3832" spans="1:34">
      <c r="A3832">
        <v>2026</v>
      </c>
      <c r="B3832">
        <v>4</v>
      </c>
      <c r="C3832" s="83">
        <v>2234827</v>
      </c>
      <c r="D3832" t="s">
        <v>3369</v>
      </c>
      <c r="E3832">
        <v>59237294707</v>
      </c>
      <c r="F3832">
        <v>637175</v>
      </c>
      <c r="G3832">
        <v>54372594703</v>
      </c>
      <c r="H3832" t="s">
        <v>35</v>
      </c>
      <c r="I3832" s="36">
        <v>2874</v>
      </c>
      <c r="J3832" s="36">
        <v>2874</v>
      </c>
      <c r="K3832" s="85">
        <v>0</v>
      </c>
      <c r="L3832" s="36">
        <v>239.5</v>
      </c>
      <c r="M3832" s="36">
        <v>239.5</v>
      </c>
      <c r="N3832" s="36">
        <v>0</v>
      </c>
      <c r="O3832" s="36">
        <v>0</v>
      </c>
      <c r="P3832" t="s">
        <v>2004</v>
      </c>
      <c r="Q3832" t="s">
        <v>300</v>
      </c>
      <c r="R3832" t="s">
        <v>300</v>
      </c>
      <c r="S3832" s="1">
        <v>46129</v>
      </c>
      <c r="T3832" s="1">
        <v>46129</v>
      </c>
      <c r="V3832" s="1">
        <v>46494</v>
      </c>
      <c r="W3832" t="s">
        <v>38</v>
      </c>
      <c r="X3832">
        <v>12</v>
      </c>
      <c r="Y3832" t="s">
        <v>49</v>
      </c>
      <c r="AA3832" t="s">
        <v>122</v>
      </c>
      <c r="AB3832">
        <v>12</v>
      </c>
      <c r="AC3832" t="s">
        <v>301</v>
      </c>
      <c r="AD3832" t="s">
        <v>140</v>
      </c>
      <c r="AE3832" t="s">
        <v>46</v>
      </c>
      <c r="AF3832" t="s">
        <v>119</v>
      </c>
      <c r="AG3832" t="str">
        <f t="shared" si="79"/>
        <v>Recorrente</v>
      </c>
      <c r="AH3832" t="str">
        <f t="shared" si="80"/>
        <v/>
      </c>
    </row>
    <row r="3833" spans="1:34">
      <c r="A3833">
        <v>2026</v>
      </c>
      <c r="B3833">
        <v>4</v>
      </c>
      <c r="C3833" s="83">
        <v>2235706</v>
      </c>
      <c r="D3833" t="s">
        <v>3370</v>
      </c>
      <c r="E3833">
        <v>58957218431</v>
      </c>
      <c r="F3833">
        <v>636955</v>
      </c>
      <c r="G3833">
        <v>54118815874</v>
      </c>
      <c r="H3833" t="s">
        <v>35</v>
      </c>
      <c r="I3833" s="36">
        <v>4245.72</v>
      </c>
      <c r="J3833" s="36">
        <v>4245.78</v>
      </c>
      <c r="K3833" s="85">
        <v>0</v>
      </c>
      <c r="L3833" s="36">
        <v>353.815</v>
      </c>
      <c r="M3833" s="36">
        <v>353.815</v>
      </c>
      <c r="N3833" s="36">
        <v>0</v>
      </c>
      <c r="O3833" s="36">
        <v>0</v>
      </c>
      <c r="P3833" t="s">
        <v>829</v>
      </c>
      <c r="Q3833" t="s">
        <v>300</v>
      </c>
      <c r="R3833" t="s">
        <v>300</v>
      </c>
      <c r="S3833" s="1">
        <v>46120</v>
      </c>
      <c r="T3833" s="1">
        <v>46120</v>
      </c>
      <c r="V3833" s="1">
        <v>46485</v>
      </c>
      <c r="W3833" t="s">
        <v>38</v>
      </c>
      <c r="X3833">
        <v>12</v>
      </c>
      <c r="Y3833" t="s">
        <v>49</v>
      </c>
      <c r="AA3833" t="s">
        <v>112</v>
      </c>
      <c r="AB3833">
        <v>12</v>
      </c>
      <c r="AC3833" t="s">
        <v>301</v>
      </c>
      <c r="AD3833" t="s">
        <v>138</v>
      </c>
      <c r="AE3833" t="s">
        <v>135</v>
      </c>
      <c r="AF3833" t="s">
        <v>119</v>
      </c>
      <c r="AG3833" t="str">
        <f t="shared" si="79"/>
        <v>CC 12x</v>
      </c>
      <c r="AH3833" t="str">
        <f t="shared" si="80"/>
        <v/>
      </c>
    </row>
    <row r="3834" spans="1:34">
      <c r="A3834">
        <v>2026</v>
      </c>
      <c r="B3834">
        <v>4</v>
      </c>
      <c r="C3834" s="83">
        <v>2244210</v>
      </c>
      <c r="D3834" t="s">
        <v>3371</v>
      </c>
      <c r="E3834">
        <v>59535667463</v>
      </c>
      <c r="F3834">
        <v>637277</v>
      </c>
      <c r="G3834">
        <v>54593853807</v>
      </c>
      <c r="H3834" t="s">
        <v>35</v>
      </c>
      <c r="I3834" s="36">
        <v>2442.84</v>
      </c>
      <c r="J3834" s="36">
        <v>2442.9</v>
      </c>
      <c r="K3834" s="85">
        <v>0</v>
      </c>
      <c r="L3834" s="36">
        <v>203.57499999999999</v>
      </c>
      <c r="M3834" s="36">
        <v>203.57499999999999</v>
      </c>
      <c r="N3834" s="36">
        <v>0</v>
      </c>
      <c r="O3834" s="36">
        <v>0</v>
      </c>
      <c r="P3834" t="s">
        <v>2004</v>
      </c>
      <c r="Q3834" t="s">
        <v>300</v>
      </c>
      <c r="R3834" t="s">
        <v>300</v>
      </c>
      <c r="S3834" s="1">
        <v>46135</v>
      </c>
      <c r="T3834" s="1">
        <v>46135</v>
      </c>
      <c r="U3834" s="1"/>
      <c r="V3834" s="1">
        <v>46500</v>
      </c>
      <c r="W3834" t="s">
        <v>38</v>
      </c>
      <c r="X3834">
        <v>12</v>
      </c>
      <c r="Y3834" t="s">
        <v>49</v>
      </c>
      <c r="AA3834" t="s">
        <v>112</v>
      </c>
      <c r="AB3834">
        <v>12</v>
      </c>
      <c r="AC3834" t="s">
        <v>301</v>
      </c>
      <c r="AD3834" t="s">
        <v>118</v>
      </c>
      <c r="AE3834" t="s">
        <v>43</v>
      </c>
      <c r="AF3834" t="s">
        <v>119</v>
      </c>
      <c r="AG3834" t="str">
        <f t="shared" si="79"/>
        <v>CC 12x</v>
      </c>
      <c r="AH3834" t="str">
        <f t="shared" si="80"/>
        <v/>
      </c>
    </row>
    <row r="3835" spans="1:34">
      <c r="A3835">
        <v>2026</v>
      </c>
      <c r="B3835">
        <v>4</v>
      </c>
      <c r="C3835" s="83">
        <v>2244307</v>
      </c>
      <c r="D3835" t="s">
        <v>3372</v>
      </c>
      <c r="E3835">
        <v>58554324357</v>
      </c>
      <c r="F3835">
        <v>633358</v>
      </c>
      <c r="G3835">
        <v>54006912594</v>
      </c>
      <c r="H3835" t="s">
        <v>35</v>
      </c>
      <c r="I3835" s="36">
        <v>1965</v>
      </c>
      <c r="J3835" s="36">
        <v>3777.72</v>
      </c>
      <c r="K3835" s="85">
        <v>0</v>
      </c>
      <c r="L3835" s="36">
        <v>314.81</v>
      </c>
      <c r="M3835" s="36">
        <v>0</v>
      </c>
      <c r="N3835" s="36">
        <v>314.81</v>
      </c>
      <c r="O3835" s="36">
        <v>0</v>
      </c>
      <c r="P3835" t="s">
        <v>804</v>
      </c>
      <c r="Q3835" t="s">
        <v>191</v>
      </c>
      <c r="R3835" t="s">
        <v>191</v>
      </c>
      <c r="S3835" s="1">
        <v>46118</v>
      </c>
      <c r="T3835" s="1">
        <v>46118</v>
      </c>
      <c r="U3835" s="1">
        <v>46308</v>
      </c>
      <c r="V3835" s="1">
        <v>46308</v>
      </c>
      <c r="W3835" t="s">
        <v>38</v>
      </c>
      <c r="X3835">
        <v>6</v>
      </c>
      <c r="Y3835" t="s">
        <v>49</v>
      </c>
      <c r="Z3835" t="s">
        <v>324</v>
      </c>
      <c r="AA3835" t="s">
        <v>117</v>
      </c>
      <c r="AB3835">
        <v>1</v>
      </c>
      <c r="AC3835" t="s">
        <v>192</v>
      </c>
      <c r="AD3835" t="s">
        <v>84</v>
      </c>
      <c r="AE3835" t="s">
        <v>43</v>
      </c>
      <c r="AF3835" t="s">
        <v>44</v>
      </c>
      <c r="AG3835" t="str">
        <f t="shared" si="79"/>
        <v>À Vista</v>
      </c>
      <c r="AH3835" t="str">
        <f t="shared" si="80"/>
        <v/>
      </c>
    </row>
    <row r="3836" spans="1:34">
      <c r="A3836">
        <v>2026</v>
      </c>
      <c r="B3836">
        <v>4</v>
      </c>
      <c r="C3836" s="83">
        <v>2251119</v>
      </c>
      <c r="D3836" t="s">
        <v>3373</v>
      </c>
      <c r="E3836">
        <v>59244724832</v>
      </c>
      <c r="F3836">
        <v>637134</v>
      </c>
      <c r="G3836">
        <v>54372459354</v>
      </c>
      <c r="H3836" t="s">
        <v>35</v>
      </c>
      <c r="I3836" s="36">
        <v>5523.84</v>
      </c>
      <c r="J3836" s="36">
        <v>5523.84</v>
      </c>
      <c r="K3836" s="85">
        <v>0</v>
      </c>
      <c r="L3836" s="36">
        <v>460.32</v>
      </c>
      <c r="M3836" s="36">
        <v>460.32</v>
      </c>
      <c r="N3836" s="36">
        <v>0</v>
      </c>
      <c r="O3836" s="36">
        <v>0</v>
      </c>
      <c r="P3836" t="s">
        <v>2004</v>
      </c>
      <c r="Q3836" t="s">
        <v>300</v>
      </c>
      <c r="R3836" t="s">
        <v>300</v>
      </c>
      <c r="S3836" s="1">
        <v>46128</v>
      </c>
      <c r="T3836" s="1">
        <v>46128</v>
      </c>
      <c r="V3836" s="1">
        <v>46493</v>
      </c>
      <c r="W3836" t="s">
        <v>38</v>
      </c>
      <c r="X3836">
        <v>12</v>
      </c>
      <c r="Y3836" t="s">
        <v>49</v>
      </c>
      <c r="AA3836" t="s">
        <v>112</v>
      </c>
      <c r="AB3836">
        <v>12</v>
      </c>
      <c r="AC3836" t="s">
        <v>301</v>
      </c>
      <c r="AD3836" t="s">
        <v>85</v>
      </c>
      <c r="AE3836" t="s">
        <v>46</v>
      </c>
      <c r="AF3836" t="s">
        <v>44</v>
      </c>
      <c r="AG3836" t="str">
        <f t="shared" si="79"/>
        <v>CC 12x</v>
      </c>
      <c r="AH3836" t="str">
        <f t="shared" si="80"/>
        <v/>
      </c>
    </row>
    <row r="3837" spans="1:34">
      <c r="A3837">
        <v>2026</v>
      </c>
      <c r="B3837">
        <v>4</v>
      </c>
      <c r="C3837" s="83">
        <v>2253217</v>
      </c>
      <c r="D3837" t="s">
        <v>3374</v>
      </c>
      <c r="E3837">
        <v>58740240737</v>
      </c>
      <c r="F3837">
        <v>636879</v>
      </c>
      <c r="G3837">
        <v>53899173206</v>
      </c>
      <c r="H3837" t="s">
        <v>35</v>
      </c>
      <c r="I3837" s="36">
        <v>2874</v>
      </c>
      <c r="J3837" s="36">
        <v>2874</v>
      </c>
      <c r="K3837" s="85">
        <v>0</v>
      </c>
      <c r="L3837" s="36">
        <v>239.5</v>
      </c>
      <c r="M3837" s="36">
        <v>239.5</v>
      </c>
      <c r="N3837" s="36">
        <v>0</v>
      </c>
      <c r="O3837" s="36">
        <v>0</v>
      </c>
      <c r="P3837" t="s">
        <v>497</v>
      </c>
      <c r="Q3837" t="s">
        <v>498</v>
      </c>
      <c r="R3837" t="s">
        <v>498</v>
      </c>
      <c r="S3837" s="1">
        <v>46114</v>
      </c>
      <c r="T3837" s="1">
        <v>46114</v>
      </c>
      <c r="V3837" s="1">
        <v>46479</v>
      </c>
      <c r="W3837" t="s">
        <v>38</v>
      </c>
      <c r="X3837">
        <v>12</v>
      </c>
      <c r="Y3837" t="s">
        <v>49</v>
      </c>
      <c r="AA3837" t="s">
        <v>112</v>
      </c>
      <c r="AB3837">
        <v>12</v>
      </c>
      <c r="AC3837" t="s">
        <v>499</v>
      </c>
      <c r="AD3837" t="s">
        <v>140</v>
      </c>
      <c r="AE3837" t="s">
        <v>46</v>
      </c>
      <c r="AF3837" t="s">
        <v>119</v>
      </c>
      <c r="AG3837" t="str">
        <f t="shared" si="79"/>
        <v>CC 12x</v>
      </c>
      <c r="AH3837" t="str">
        <f t="shared" si="80"/>
        <v/>
      </c>
    </row>
    <row r="3838" spans="1:34">
      <c r="A3838">
        <v>2026</v>
      </c>
      <c r="B3838">
        <v>4</v>
      </c>
      <c r="C3838" s="83">
        <v>2255125</v>
      </c>
      <c r="D3838" t="s">
        <v>3375</v>
      </c>
      <c r="E3838">
        <v>59720039537</v>
      </c>
      <c r="F3838">
        <v>637341</v>
      </c>
      <c r="G3838">
        <v>54781451375</v>
      </c>
      <c r="H3838" t="s">
        <v>35</v>
      </c>
      <c r="I3838" s="36">
        <v>3114</v>
      </c>
      <c r="J3838" s="36">
        <v>3114</v>
      </c>
      <c r="K3838" s="85">
        <v>0</v>
      </c>
      <c r="L3838" s="36">
        <v>259.5</v>
      </c>
      <c r="M3838" s="36">
        <v>259.5</v>
      </c>
      <c r="N3838" s="36">
        <v>0</v>
      </c>
      <c r="O3838" s="36">
        <v>0</v>
      </c>
      <c r="P3838" t="s">
        <v>829</v>
      </c>
      <c r="Q3838" t="s">
        <v>300</v>
      </c>
      <c r="R3838" t="s">
        <v>300</v>
      </c>
      <c r="S3838" s="1">
        <v>46139</v>
      </c>
      <c r="T3838" s="1">
        <v>46139</v>
      </c>
      <c r="V3838" s="1">
        <v>46504</v>
      </c>
      <c r="W3838" t="s">
        <v>2733</v>
      </c>
      <c r="X3838">
        <v>12</v>
      </c>
      <c r="Y3838" t="s">
        <v>49</v>
      </c>
      <c r="AA3838" t="s">
        <v>122</v>
      </c>
      <c r="AB3838">
        <v>1</v>
      </c>
      <c r="AC3838" t="s">
        <v>301</v>
      </c>
      <c r="AD3838" t="s">
        <v>2734</v>
      </c>
      <c r="AE3838" t="s">
        <v>106</v>
      </c>
      <c r="AF3838" t="s">
        <v>59</v>
      </c>
      <c r="AG3838" t="str">
        <f t="shared" si="79"/>
        <v>Recorrente</v>
      </c>
      <c r="AH3838" t="str">
        <f t="shared" si="80"/>
        <v/>
      </c>
    </row>
    <row r="3839" spans="1:34">
      <c r="A3839">
        <v>2026</v>
      </c>
      <c r="B3839">
        <v>4</v>
      </c>
      <c r="C3839" s="83">
        <v>2260278</v>
      </c>
      <c r="D3839" t="s">
        <v>3376</v>
      </c>
      <c r="E3839">
        <v>59169130370</v>
      </c>
      <c r="F3839">
        <v>637090</v>
      </c>
      <c r="G3839">
        <v>54284117895</v>
      </c>
      <c r="H3839" t="s">
        <v>35</v>
      </c>
      <c r="I3839" s="36">
        <v>2471.64</v>
      </c>
      <c r="J3839" s="36">
        <v>2471.64</v>
      </c>
      <c r="K3839" s="85">
        <v>0</v>
      </c>
      <c r="L3839" s="36">
        <v>205.97</v>
      </c>
      <c r="M3839" s="36">
        <v>205.97</v>
      </c>
      <c r="N3839" s="36">
        <v>0</v>
      </c>
      <c r="O3839" s="36">
        <v>0</v>
      </c>
      <c r="P3839" t="s">
        <v>2004</v>
      </c>
      <c r="Q3839" t="s">
        <v>300</v>
      </c>
      <c r="R3839" t="s">
        <v>300</v>
      </c>
      <c r="S3839" s="1">
        <v>46126</v>
      </c>
      <c r="T3839" s="1">
        <v>46126</v>
      </c>
      <c r="U3839" s="1"/>
      <c r="V3839" s="1">
        <v>46491</v>
      </c>
      <c r="W3839" t="s">
        <v>38</v>
      </c>
      <c r="X3839">
        <v>12</v>
      </c>
      <c r="Y3839" t="s">
        <v>49</v>
      </c>
      <c r="AA3839" t="s">
        <v>117</v>
      </c>
      <c r="AB3839">
        <v>1</v>
      </c>
      <c r="AC3839" t="s">
        <v>301</v>
      </c>
      <c r="AD3839" t="s">
        <v>140</v>
      </c>
      <c r="AE3839" t="s">
        <v>46</v>
      </c>
      <c r="AF3839" t="s">
        <v>119</v>
      </c>
      <c r="AG3839" t="str">
        <f t="shared" si="79"/>
        <v>À Vista</v>
      </c>
      <c r="AH3839" t="str">
        <f t="shared" si="80"/>
        <v/>
      </c>
    </row>
    <row r="3840" spans="1:34">
      <c r="A3840">
        <v>2026</v>
      </c>
      <c r="B3840">
        <v>4</v>
      </c>
      <c r="C3840" s="83">
        <v>2261813</v>
      </c>
      <c r="D3840" t="s">
        <v>3377</v>
      </c>
      <c r="E3840">
        <v>58103432793</v>
      </c>
      <c r="F3840">
        <v>533009</v>
      </c>
      <c r="G3840">
        <v>54279564965</v>
      </c>
      <c r="H3840" t="s">
        <v>35</v>
      </c>
      <c r="I3840" s="36">
        <v>2460</v>
      </c>
      <c r="J3840" s="36">
        <v>2460</v>
      </c>
      <c r="K3840" s="85">
        <v>0</v>
      </c>
      <c r="L3840" s="36">
        <v>205</v>
      </c>
      <c r="M3840" s="36">
        <v>0</v>
      </c>
      <c r="N3840" s="36">
        <v>6</v>
      </c>
      <c r="O3840" s="36">
        <v>199</v>
      </c>
      <c r="P3840" t="s">
        <v>127</v>
      </c>
      <c r="Q3840" t="s">
        <v>111</v>
      </c>
      <c r="R3840" t="s">
        <v>111</v>
      </c>
      <c r="S3840" s="1">
        <v>46126</v>
      </c>
      <c r="T3840" s="1">
        <v>46126</v>
      </c>
      <c r="U3840" s="1">
        <v>46129</v>
      </c>
      <c r="V3840" s="1">
        <v>46494</v>
      </c>
      <c r="W3840" t="s">
        <v>38</v>
      </c>
      <c r="X3840">
        <v>12</v>
      </c>
      <c r="Y3840" t="s">
        <v>49</v>
      </c>
      <c r="Z3840" t="s">
        <v>81</v>
      </c>
      <c r="AA3840" t="s">
        <v>112</v>
      </c>
      <c r="AB3840">
        <v>12</v>
      </c>
      <c r="AC3840" t="s">
        <v>113</v>
      </c>
      <c r="AD3840" t="s">
        <v>140</v>
      </c>
      <c r="AE3840" t="s">
        <v>46</v>
      </c>
      <c r="AF3840" t="s">
        <v>119</v>
      </c>
      <c r="AG3840" t="str">
        <f t="shared" si="79"/>
        <v>CC 12x</v>
      </c>
      <c r="AH3840" t="str">
        <f t="shared" si="80"/>
        <v/>
      </c>
    </row>
    <row r="3841" spans="1:34">
      <c r="A3841">
        <v>2026</v>
      </c>
      <c r="B3841">
        <v>4</v>
      </c>
      <c r="C3841" s="83">
        <v>2265296</v>
      </c>
      <c r="D3841" t="s">
        <v>3378</v>
      </c>
      <c r="E3841">
        <v>59396073330</v>
      </c>
      <c r="F3841">
        <v>637206</v>
      </c>
      <c r="G3841">
        <v>54466106220</v>
      </c>
      <c r="H3841" t="s">
        <v>35</v>
      </c>
      <c r="I3841" s="36">
        <v>7483.2</v>
      </c>
      <c r="J3841" s="36">
        <v>7483.2</v>
      </c>
      <c r="K3841" s="85">
        <v>0</v>
      </c>
      <c r="L3841" s="36">
        <v>623.6</v>
      </c>
      <c r="M3841" s="36">
        <v>623.6</v>
      </c>
      <c r="N3841" s="36">
        <v>0</v>
      </c>
      <c r="O3841" s="36">
        <v>0</v>
      </c>
      <c r="P3841" t="s">
        <v>506</v>
      </c>
      <c r="Q3841" t="s">
        <v>300</v>
      </c>
      <c r="R3841" t="s">
        <v>300</v>
      </c>
      <c r="S3841" s="1">
        <v>46132</v>
      </c>
      <c r="T3841" s="1">
        <v>46132</v>
      </c>
      <c r="V3841" s="1">
        <v>46497</v>
      </c>
      <c r="W3841" t="s">
        <v>38</v>
      </c>
      <c r="X3841">
        <v>12</v>
      </c>
      <c r="Y3841" t="s">
        <v>49</v>
      </c>
      <c r="AA3841" t="s">
        <v>112</v>
      </c>
      <c r="AB3841">
        <v>12</v>
      </c>
      <c r="AC3841" t="s">
        <v>301</v>
      </c>
      <c r="AD3841" t="s">
        <v>134</v>
      </c>
      <c r="AE3841" t="s">
        <v>135</v>
      </c>
      <c r="AF3841" t="s">
        <v>44</v>
      </c>
      <c r="AG3841" t="str">
        <f t="shared" ref="AG3841:AG3904" si="81">IF(IFERROR(SEARCH("Recorrente",AA3841),0)&gt;0,"Recorrente",IF(AB3841=1,"À Vista",IF(AB3841&lt;=3,"CC 3x",IF(AB3841&lt;=12,"CC 12x",IF(AB3841&gt;12,"Recorrente","")))))</f>
        <v>CC 12x</v>
      </c>
      <c r="AH3841" t="str">
        <f t="shared" ref="AH3841:AH3904" si="82">IF(AND(SUMIF(E:E,E3841,I:I)&gt;=400000,Q3841="B2G"),"n","")</f>
        <v/>
      </c>
    </row>
    <row r="3842" spans="1:34">
      <c r="A3842">
        <v>2026</v>
      </c>
      <c r="B3842">
        <v>4</v>
      </c>
      <c r="C3842" s="83">
        <v>2266141</v>
      </c>
      <c r="D3842" t="s">
        <v>3379</v>
      </c>
      <c r="E3842">
        <v>58918106724</v>
      </c>
      <c r="F3842">
        <v>636924</v>
      </c>
      <c r="G3842">
        <v>54041865887</v>
      </c>
      <c r="H3842" t="s">
        <v>35</v>
      </c>
      <c r="I3842" s="36">
        <v>4962.6000000000004</v>
      </c>
      <c r="J3842" s="36">
        <v>4962.6000000000004</v>
      </c>
      <c r="K3842" s="85">
        <v>0</v>
      </c>
      <c r="L3842" s="36">
        <v>413.55</v>
      </c>
      <c r="M3842" s="36">
        <v>413.55</v>
      </c>
      <c r="N3842" s="36">
        <v>0</v>
      </c>
      <c r="O3842" s="36">
        <v>0</v>
      </c>
      <c r="P3842" t="s">
        <v>511</v>
      </c>
      <c r="Q3842" t="s">
        <v>300</v>
      </c>
      <c r="R3842" t="s">
        <v>300</v>
      </c>
      <c r="S3842" s="1">
        <v>46119</v>
      </c>
      <c r="T3842" s="1">
        <v>46119</v>
      </c>
      <c r="U3842" s="1"/>
      <c r="V3842" s="1">
        <v>46484</v>
      </c>
      <c r="W3842" t="s">
        <v>38</v>
      </c>
      <c r="X3842">
        <v>12</v>
      </c>
      <c r="Y3842" t="s">
        <v>49</v>
      </c>
      <c r="AA3842" t="s">
        <v>122</v>
      </c>
      <c r="AB3842">
        <v>12</v>
      </c>
      <c r="AC3842" t="s">
        <v>301</v>
      </c>
      <c r="AD3842" t="s">
        <v>138</v>
      </c>
      <c r="AE3842" t="s">
        <v>135</v>
      </c>
      <c r="AF3842" t="s">
        <v>119</v>
      </c>
      <c r="AG3842" t="str">
        <f t="shared" si="81"/>
        <v>Recorrente</v>
      </c>
      <c r="AH3842" t="str">
        <f t="shared" si="82"/>
        <v/>
      </c>
    </row>
    <row r="3843" spans="1:34">
      <c r="A3843">
        <v>2026</v>
      </c>
      <c r="B3843">
        <v>4</v>
      </c>
      <c r="C3843" s="83">
        <v>22695748238</v>
      </c>
      <c r="D3843" t="s">
        <v>3380</v>
      </c>
      <c r="E3843">
        <v>59222573141</v>
      </c>
      <c r="F3843">
        <v>631391</v>
      </c>
      <c r="G3843">
        <v>54372549198</v>
      </c>
      <c r="H3843" t="s">
        <v>35</v>
      </c>
      <c r="I3843" s="36">
        <v>255.84</v>
      </c>
      <c r="J3843" s="36">
        <v>898.56</v>
      </c>
      <c r="K3843" s="85">
        <v>0</v>
      </c>
      <c r="L3843" s="36">
        <v>74.88</v>
      </c>
      <c r="M3843" s="36">
        <v>0</v>
      </c>
      <c r="N3843" s="36">
        <v>74.88</v>
      </c>
      <c r="O3843" s="36">
        <v>0</v>
      </c>
      <c r="P3843" t="s">
        <v>804</v>
      </c>
      <c r="Q3843" t="s">
        <v>191</v>
      </c>
      <c r="R3843" t="s">
        <v>191</v>
      </c>
      <c r="S3843" s="1">
        <v>46128</v>
      </c>
      <c r="T3843" s="1">
        <v>46128</v>
      </c>
      <c r="U3843" s="1">
        <v>46232</v>
      </c>
      <c r="V3843" s="1">
        <v>46232</v>
      </c>
      <c r="W3843" t="s">
        <v>38</v>
      </c>
      <c r="X3843">
        <v>3</v>
      </c>
      <c r="Y3843" t="s">
        <v>49</v>
      </c>
      <c r="Z3843" t="s">
        <v>324</v>
      </c>
      <c r="AA3843" t="s">
        <v>122</v>
      </c>
      <c r="AB3843">
        <v>3</v>
      </c>
      <c r="AC3843" t="s">
        <v>192</v>
      </c>
      <c r="AD3843" t="s">
        <v>243</v>
      </c>
      <c r="AE3843" t="s">
        <v>95</v>
      </c>
      <c r="AF3843" t="s">
        <v>244</v>
      </c>
      <c r="AG3843" t="str">
        <f t="shared" si="81"/>
        <v>Recorrente</v>
      </c>
      <c r="AH3843" t="str">
        <f t="shared" si="82"/>
        <v/>
      </c>
    </row>
    <row r="3844" spans="1:34">
      <c r="A3844">
        <v>2026</v>
      </c>
      <c r="B3844">
        <v>4</v>
      </c>
      <c r="C3844" s="83">
        <v>2270986</v>
      </c>
      <c r="D3844" t="s">
        <v>3381</v>
      </c>
      <c r="E3844">
        <v>59042242324</v>
      </c>
      <c r="F3844">
        <v>636972</v>
      </c>
      <c r="G3844">
        <v>54154517548</v>
      </c>
      <c r="H3844" t="s">
        <v>35</v>
      </c>
      <c r="I3844" s="36">
        <v>2634</v>
      </c>
      <c r="J3844" s="36">
        <v>2634</v>
      </c>
      <c r="K3844" s="85">
        <v>0</v>
      </c>
      <c r="L3844" s="36">
        <v>219.5</v>
      </c>
      <c r="M3844" s="36">
        <v>219.5</v>
      </c>
      <c r="N3844" s="36">
        <v>0</v>
      </c>
      <c r="O3844" s="36">
        <v>0</v>
      </c>
      <c r="P3844" t="s">
        <v>829</v>
      </c>
      <c r="Q3844" t="s">
        <v>300</v>
      </c>
      <c r="R3844" t="s">
        <v>300</v>
      </c>
      <c r="S3844" s="1">
        <v>46121</v>
      </c>
      <c r="T3844" s="1">
        <v>46121</v>
      </c>
      <c r="U3844" s="1"/>
      <c r="V3844" s="1">
        <v>46486</v>
      </c>
      <c r="W3844" t="s">
        <v>38</v>
      </c>
      <c r="X3844">
        <v>12</v>
      </c>
      <c r="Y3844" t="s">
        <v>49</v>
      </c>
      <c r="AA3844" t="s">
        <v>112</v>
      </c>
      <c r="AB3844">
        <v>12</v>
      </c>
      <c r="AC3844" t="s">
        <v>301</v>
      </c>
      <c r="AD3844" t="s">
        <v>3056</v>
      </c>
      <c r="AE3844" t="s">
        <v>106</v>
      </c>
      <c r="AF3844" t="s">
        <v>59</v>
      </c>
      <c r="AG3844" t="str">
        <f t="shared" si="81"/>
        <v>CC 12x</v>
      </c>
      <c r="AH3844" t="str">
        <f t="shared" si="82"/>
        <v/>
      </c>
    </row>
    <row r="3845" spans="1:34">
      <c r="A3845">
        <v>2026</v>
      </c>
      <c r="B3845">
        <v>4</v>
      </c>
      <c r="C3845" s="83">
        <v>2276266</v>
      </c>
      <c r="D3845" t="s">
        <v>3382</v>
      </c>
      <c r="E3845">
        <v>58057876011</v>
      </c>
      <c r="F3845">
        <v>628778</v>
      </c>
      <c r="G3845">
        <v>54377582192</v>
      </c>
      <c r="H3845" t="s">
        <v>35</v>
      </c>
      <c r="I3845" s="36">
        <v>5127.96</v>
      </c>
      <c r="J3845" s="36">
        <v>5127.96</v>
      </c>
      <c r="K3845" s="85">
        <v>0</v>
      </c>
      <c r="L3845" s="36">
        <v>427.33</v>
      </c>
      <c r="M3845" s="36">
        <v>0</v>
      </c>
      <c r="N3845" s="36">
        <v>0</v>
      </c>
      <c r="O3845" s="36">
        <v>427.33499999999998</v>
      </c>
      <c r="P3845" t="s">
        <v>162</v>
      </c>
      <c r="Q3845" t="s">
        <v>111</v>
      </c>
      <c r="R3845" t="s">
        <v>111</v>
      </c>
      <c r="S3845" s="1">
        <v>46129</v>
      </c>
      <c r="T3845" s="1">
        <v>46129</v>
      </c>
      <c r="U3845" s="1">
        <v>46128</v>
      </c>
      <c r="V3845" s="1">
        <v>46494</v>
      </c>
      <c r="W3845" t="s">
        <v>38</v>
      </c>
      <c r="X3845">
        <v>12</v>
      </c>
      <c r="Y3845" t="s">
        <v>49</v>
      </c>
      <c r="Z3845" t="s">
        <v>81</v>
      </c>
      <c r="AA3845" t="s">
        <v>112</v>
      </c>
      <c r="AB3845">
        <v>12</v>
      </c>
      <c r="AC3845" t="s">
        <v>113</v>
      </c>
      <c r="AD3845" t="s">
        <v>138</v>
      </c>
      <c r="AE3845" t="s">
        <v>135</v>
      </c>
      <c r="AF3845" t="s">
        <v>119</v>
      </c>
      <c r="AG3845" t="str">
        <f t="shared" si="81"/>
        <v>CC 12x</v>
      </c>
      <c r="AH3845" t="str">
        <f t="shared" si="82"/>
        <v/>
      </c>
    </row>
    <row r="3846" spans="1:34">
      <c r="A3846">
        <v>2026</v>
      </c>
      <c r="B3846">
        <v>4</v>
      </c>
      <c r="C3846" s="83">
        <v>2278869</v>
      </c>
      <c r="D3846" t="s">
        <v>3383</v>
      </c>
      <c r="E3846">
        <v>56622561095</v>
      </c>
      <c r="F3846">
        <v>612903</v>
      </c>
      <c r="G3846">
        <v>51916035471</v>
      </c>
      <c r="H3846" t="s">
        <v>35</v>
      </c>
      <c r="I3846" s="36">
        <v>2586.6</v>
      </c>
      <c r="J3846" s="36">
        <v>2586.6</v>
      </c>
      <c r="K3846" s="85">
        <v>0</v>
      </c>
      <c r="L3846" s="36">
        <v>215.55</v>
      </c>
      <c r="M3846" s="36">
        <v>0</v>
      </c>
      <c r="N3846" s="36">
        <v>24.35</v>
      </c>
      <c r="O3846" s="36">
        <v>191.2</v>
      </c>
      <c r="P3846" t="s">
        <v>165</v>
      </c>
      <c r="Q3846" t="s">
        <v>166</v>
      </c>
      <c r="R3846" t="s">
        <v>166</v>
      </c>
      <c r="S3846" s="1">
        <v>46117</v>
      </c>
      <c r="T3846" s="1">
        <v>46117</v>
      </c>
      <c r="U3846" s="1">
        <v>46117</v>
      </c>
      <c r="V3846" s="1">
        <v>46482</v>
      </c>
      <c r="W3846" t="s">
        <v>38</v>
      </c>
      <c r="X3846">
        <v>12</v>
      </c>
      <c r="Y3846" t="s">
        <v>49</v>
      </c>
      <c r="Z3846" t="s">
        <v>81</v>
      </c>
      <c r="AA3846" t="s">
        <v>112</v>
      </c>
      <c r="AB3846">
        <v>12</v>
      </c>
      <c r="AC3846" t="s">
        <v>166</v>
      </c>
      <c r="AD3846" t="s">
        <v>140</v>
      </c>
      <c r="AE3846" t="s">
        <v>46</v>
      </c>
      <c r="AF3846" t="s">
        <v>119</v>
      </c>
      <c r="AG3846" t="str">
        <f t="shared" si="81"/>
        <v>CC 12x</v>
      </c>
      <c r="AH3846" t="str">
        <f t="shared" si="82"/>
        <v/>
      </c>
    </row>
    <row r="3847" spans="1:34">
      <c r="A3847">
        <v>2026</v>
      </c>
      <c r="B3847">
        <v>4</v>
      </c>
      <c r="C3847" s="83">
        <v>2280824</v>
      </c>
      <c r="D3847" t="s">
        <v>3384</v>
      </c>
      <c r="E3847">
        <v>58427302427</v>
      </c>
      <c r="F3847">
        <v>636842</v>
      </c>
      <c r="G3847">
        <v>53601959801</v>
      </c>
      <c r="H3847" t="s">
        <v>35</v>
      </c>
      <c r="I3847" s="36">
        <v>2874</v>
      </c>
      <c r="J3847" s="36">
        <v>2874</v>
      </c>
      <c r="K3847" s="85">
        <v>0</v>
      </c>
      <c r="L3847" s="36">
        <v>239.5</v>
      </c>
      <c r="M3847" s="36">
        <v>239.5</v>
      </c>
      <c r="N3847" s="36">
        <v>0</v>
      </c>
      <c r="O3847" s="36">
        <v>0</v>
      </c>
      <c r="P3847" t="s">
        <v>511</v>
      </c>
      <c r="Q3847" t="s">
        <v>300</v>
      </c>
      <c r="R3847" t="s">
        <v>300</v>
      </c>
      <c r="S3847" s="1">
        <v>46113</v>
      </c>
      <c r="T3847" s="1">
        <v>46113</v>
      </c>
      <c r="V3847" s="1">
        <v>46478</v>
      </c>
      <c r="W3847" t="s">
        <v>38</v>
      </c>
      <c r="X3847">
        <v>12</v>
      </c>
      <c r="Y3847" t="s">
        <v>49</v>
      </c>
      <c r="AA3847" t="s">
        <v>122</v>
      </c>
      <c r="AB3847">
        <v>12</v>
      </c>
      <c r="AC3847" t="s">
        <v>301</v>
      </c>
      <c r="AD3847" t="s">
        <v>140</v>
      </c>
      <c r="AE3847" t="s">
        <v>46</v>
      </c>
      <c r="AF3847" t="s">
        <v>119</v>
      </c>
      <c r="AG3847" t="str">
        <f t="shared" si="81"/>
        <v>Recorrente</v>
      </c>
      <c r="AH3847" t="str">
        <f t="shared" si="82"/>
        <v/>
      </c>
    </row>
    <row r="3848" spans="1:34">
      <c r="A3848">
        <v>2026</v>
      </c>
      <c r="B3848">
        <v>4</v>
      </c>
      <c r="C3848" s="83">
        <v>2281704</v>
      </c>
      <c r="D3848" t="s">
        <v>3385</v>
      </c>
      <c r="E3848">
        <v>59376104091</v>
      </c>
      <c r="F3848">
        <v>637516</v>
      </c>
      <c r="G3848">
        <v>54881184422</v>
      </c>
      <c r="H3848" t="s">
        <v>35</v>
      </c>
      <c r="I3848" s="36">
        <v>2634</v>
      </c>
      <c r="J3848" s="36">
        <v>2634</v>
      </c>
      <c r="K3848" s="85">
        <v>0</v>
      </c>
      <c r="L3848" s="36">
        <v>219.5</v>
      </c>
      <c r="M3848" s="36">
        <v>219.5</v>
      </c>
      <c r="N3848" s="36">
        <v>0</v>
      </c>
      <c r="O3848" s="36">
        <v>0</v>
      </c>
      <c r="P3848" t="s">
        <v>829</v>
      </c>
      <c r="Q3848" t="s">
        <v>300</v>
      </c>
      <c r="R3848" t="s">
        <v>300</v>
      </c>
      <c r="S3848" s="1">
        <v>46142</v>
      </c>
      <c r="T3848" s="1">
        <v>46142</v>
      </c>
      <c r="U3848" s="1"/>
      <c r="V3848" s="1">
        <v>46507</v>
      </c>
      <c r="W3848" t="s">
        <v>38</v>
      </c>
      <c r="X3848">
        <v>12</v>
      </c>
      <c r="Y3848" t="s">
        <v>49</v>
      </c>
      <c r="AA3848" t="s">
        <v>112</v>
      </c>
      <c r="AB3848">
        <v>12</v>
      </c>
      <c r="AC3848" t="s">
        <v>301</v>
      </c>
      <c r="AD3848" t="s">
        <v>3056</v>
      </c>
      <c r="AE3848" t="s">
        <v>106</v>
      </c>
      <c r="AF3848" t="s">
        <v>59</v>
      </c>
      <c r="AG3848" t="str">
        <f t="shared" si="81"/>
        <v>CC 12x</v>
      </c>
      <c r="AH3848" t="str">
        <f t="shared" si="82"/>
        <v/>
      </c>
    </row>
    <row r="3849" spans="1:34">
      <c r="A3849">
        <v>2026</v>
      </c>
      <c r="B3849">
        <v>4</v>
      </c>
      <c r="C3849" s="83">
        <v>22978994705</v>
      </c>
      <c r="D3849" t="s">
        <v>3386</v>
      </c>
      <c r="E3849">
        <v>57946938132</v>
      </c>
      <c r="F3849">
        <v>612667</v>
      </c>
      <c r="G3849">
        <v>54268555871</v>
      </c>
      <c r="H3849" t="s">
        <v>35</v>
      </c>
      <c r="I3849" s="36">
        <v>4452.6000000000004</v>
      </c>
      <c r="J3849" s="36">
        <v>4452.6000000000004</v>
      </c>
      <c r="K3849" s="85">
        <v>0</v>
      </c>
      <c r="L3849" s="36">
        <v>371.05</v>
      </c>
      <c r="M3849" s="36">
        <v>0</v>
      </c>
      <c r="N3849" s="36">
        <v>6.4008450000000003</v>
      </c>
      <c r="O3849" s="36">
        <v>364.65</v>
      </c>
      <c r="P3849" t="s">
        <v>116</v>
      </c>
      <c r="Q3849" t="s">
        <v>111</v>
      </c>
      <c r="R3849" t="s">
        <v>111</v>
      </c>
      <c r="S3849" s="1">
        <v>46125</v>
      </c>
      <c r="T3849" s="1">
        <v>46125</v>
      </c>
      <c r="U3849" s="1">
        <v>46123</v>
      </c>
      <c r="V3849" s="1">
        <v>46490</v>
      </c>
      <c r="W3849" t="s">
        <v>38</v>
      </c>
      <c r="X3849">
        <v>12</v>
      </c>
      <c r="Y3849" t="s">
        <v>49</v>
      </c>
      <c r="Z3849" t="s">
        <v>81</v>
      </c>
      <c r="AA3849" t="s">
        <v>122</v>
      </c>
      <c r="AB3849">
        <v>12</v>
      </c>
      <c r="AC3849" t="s">
        <v>113</v>
      </c>
      <c r="AD3849" t="s">
        <v>138</v>
      </c>
      <c r="AE3849" t="s">
        <v>135</v>
      </c>
      <c r="AF3849" t="s">
        <v>119</v>
      </c>
      <c r="AG3849" t="str">
        <f t="shared" si="81"/>
        <v>Recorrente</v>
      </c>
      <c r="AH3849" t="str">
        <f t="shared" si="82"/>
        <v/>
      </c>
    </row>
    <row r="3850" spans="1:34">
      <c r="A3850">
        <v>2026</v>
      </c>
      <c r="B3850">
        <v>4</v>
      </c>
      <c r="C3850" s="83">
        <v>22978994733</v>
      </c>
      <c r="D3850" t="s">
        <v>3387</v>
      </c>
      <c r="E3850">
        <v>58855916336</v>
      </c>
      <c r="F3850">
        <v>310561</v>
      </c>
      <c r="G3850">
        <v>54205143883</v>
      </c>
      <c r="H3850" t="s">
        <v>35</v>
      </c>
      <c r="I3850" s="36">
        <v>3462.84</v>
      </c>
      <c r="J3850" s="36">
        <v>3462.84</v>
      </c>
      <c r="K3850" s="85">
        <v>0</v>
      </c>
      <c r="L3850" s="36">
        <v>288.57</v>
      </c>
      <c r="M3850" s="36">
        <v>0</v>
      </c>
      <c r="N3850" s="36">
        <v>9.7050000000000001</v>
      </c>
      <c r="O3850" s="36">
        <v>278.87</v>
      </c>
      <c r="P3850" t="s">
        <v>116</v>
      </c>
      <c r="Q3850" t="s">
        <v>111</v>
      </c>
      <c r="R3850" t="s">
        <v>111</v>
      </c>
      <c r="S3850" s="1">
        <v>46128</v>
      </c>
      <c r="T3850" s="1">
        <v>46128</v>
      </c>
      <c r="U3850" s="1">
        <v>46116</v>
      </c>
      <c r="V3850" s="1">
        <v>46493</v>
      </c>
      <c r="W3850" t="s">
        <v>38</v>
      </c>
      <c r="X3850">
        <v>12</v>
      </c>
      <c r="Y3850" t="s">
        <v>49</v>
      </c>
      <c r="Z3850" t="s">
        <v>81</v>
      </c>
      <c r="AA3850" t="s">
        <v>122</v>
      </c>
      <c r="AB3850">
        <v>12</v>
      </c>
      <c r="AC3850" t="s">
        <v>113</v>
      </c>
      <c r="AD3850" t="s">
        <v>114</v>
      </c>
      <c r="AE3850" t="s">
        <v>43</v>
      </c>
      <c r="AF3850" t="s">
        <v>44</v>
      </c>
      <c r="AG3850" t="str">
        <f t="shared" si="81"/>
        <v>Recorrente</v>
      </c>
      <c r="AH3850" t="str">
        <f t="shared" si="82"/>
        <v/>
      </c>
    </row>
    <row r="3851" spans="1:34">
      <c r="A3851">
        <v>2026</v>
      </c>
      <c r="B3851">
        <v>4</v>
      </c>
      <c r="C3851" s="83">
        <v>22979298600</v>
      </c>
      <c r="D3851" t="s">
        <v>3388</v>
      </c>
      <c r="E3851">
        <v>58050600487</v>
      </c>
      <c r="F3851">
        <v>613629</v>
      </c>
      <c r="G3851">
        <v>54294743151</v>
      </c>
      <c r="H3851" t="s">
        <v>35</v>
      </c>
      <c r="I3851" s="36">
        <v>4380</v>
      </c>
      <c r="J3851" s="36">
        <v>4380</v>
      </c>
      <c r="K3851" s="85">
        <v>0</v>
      </c>
      <c r="L3851" s="36">
        <v>365</v>
      </c>
      <c r="M3851" s="36">
        <v>0</v>
      </c>
      <c r="N3851" s="36">
        <v>0.34922999999999998</v>
      </c>
      <c r="O3851" s="36">
        <v>364.65</v>
      </c>
      <c r="P3851" t="s">
        <v>127</v>
      </c>
      <c r="Q3851" t="s">
        <v>111</v>
      </c>
      <c r="R3851" t="s">
        <v>111</v>
      </c>
      <c r="S3851" s="1">
        <v>46127</v>
      </c>
      <c r="T3851" s="1">
        <v>46127</v>
      </c>
      <c r="U3851" s="1">
        <v>46128</v>
      </c>
      <c r="V3851" s="1">
        <v>46493</v>
      </c>
      <c r="W3851" t="s">
        <v>38</v>
      </c>
      <c r="X3851">
        <v>12</v>
      </c>
      <c r="Y3851" t="s">
        <v>49</v>
      </c>
      <c r="Z3851" t="s">
        <v>81</v>
      </c>
      <c r="AA3851" t="s">
        <v>112</v>
      </c>
      <c r="AB3851">
        <v>12</v>
      </c>
      <c r="AC3851" t="s">
        <v>113</v>
      </c>
      <c r="AD3851" t="s">
        <v>138</v>
      </c>
      <c r="AE3851" t="s">
        <v>135</v>
      </c>
      <c r="AF3851" t="s">
        <v>119</v>
      </c>
      <c r="AG3851" t="str">
        <f t="shared" si="81"/>
        <v>CC 12x</v>
      </c>
      <c r="AH3851" t="str">
        <f t="shared" si="82"/>
        <v/>
      </c>
    </row>
    <row r="3852" spans="1:34">
      <c r="A3852">
        <v>2026</v>
      </c>
      <c r="B3852">
        <v>4</v>
      </c>
      <c r="C3852" s="83">
        <v>23777802264</v>
      </c>
      <c r="D3852" t="s">
        <v>3389</v>
      </c>
      <c r="E3852">
        <v>59458212916</v>
      </c>
      <c r="F3852">
        <v>637245</v>
      </c>
      <c r="G3852">
        <v>54510363253</v>
      </c>
      <c r="H3852" t="s">
        <v>35</v>
      </c>
      <c r="I3852" s="36">
        <v>3540</v>
      </c>
      <c r="J3852" s="36">
        <v>3540</v>
      </c>
      <c r="K3852" s="85">
        <v>0</v>
      </c>
      <c r="L3852" s="36">
        <v>295</v>
      </c>
      <c r="M3852" s="36">
        <v>295</v>
      </c>
      <c r="N3852" s="36">
        <v>0</v>
      </c>
      <c r="O3852" s="36">
        <v>0</v>
      </c>
      <c r="P3852" t="s">
        <v>511</v>
      </c>
      <c r="Q3852" t="s">
        <v>300</v>
      </c>
      <c r="R3852" t="s">
        <v>300</v>
      </c>
      <c r="S3852" s="1">
        <v>46135</v>
      </c>
      <c r="T3852" s="1">
        <v>46135</v>
      </c>
      <c r="V3852" s="1">
        <v>46500</v>
      </c>
      <c r="W3852" t="s">
        <v>38</v>
      </c>
      <c r="X3852">
        <v>12</v>
      </c>
      <c r="Y3852" t="s">
        <v>49</v>
      </c>
      <c r="AA3852" t="s">
        <v>122</v>
      </c>
      <c r="AB3852">
        <v>12</v>
      </c>
      <c r="AC3852" t="s">
        <v>301</v>
      </c>
      <c r="AD3852" t="s">
        <v>84</v>
      </c>
      <c r="AE3852" t="s">
        <v>43</v>
      </c>
      <c r="AF3852" t="s">
        <v>44</v>
      </c>
      <c r="AG3852" t="str">
        <f t="shared" si="81"/>
        <v>Recorrente</v>
      </c>
      <c r="AH3852" t="str">
        <f t="shared" si="82"/>
        <v/>
      </c>
    </row>
    <row r="3853" spans="1:34">
      <c r="A3853">
        <v>2026</v>
      </c>
      <c r="B3853">
        <v>4</v>
      </c>
      <c r="C3853" s="83">
        <v>23777815188</v>
      </c>
      <c r="D3853" t="s">
        <v>3390</v>
      </c>
      <c r="E3853">
        <v>59506972779</v>
      </c>
      <c r="F3853">
        <v>637296</v>
      </c>
      <c r="G3853">
        <v>54567655483</v>
      </c>
      <c r="H3853" t="s">
        <v>35</v>
      </c>
      <c r="I3853" s="36">
        <v>259.5</v>
      </c>
      <c r="J3853" s="36">
        <v>3114</v>
      </c>
      <c r="K3853" s="85">
        <v>0</v>
      </c>
      <c r="L3853" s="36">
        <v>259.5</v>
      </c>
      <c r="M3853" s="36">
        <v>259.5</v>
      </c>
      <c r="N3853" s="36">
        <v>0</v>
      </c>
      <c r="O3853" s="36">
        <v>0</v>
      </c>
      <c r="P3853" t="s">
        <v>511</v>
      </c>
      <c r="Q3853" t="s">
        <v>300</v>
      </c>
      <c r="R3853" t="s">
        <v>300</v>
      </c>
      <c r="S3853" s="1">
        <v>46135</v>
      </c>
      <c r="T3853" s="1">
        <v>46135</v>
      </c>
      <c r="V3853" s="1"/>
      <c r="W3853" t="s">
        <v>2733</v>
      </c>
      <c r="Y3853" t="s">
        <v>49</v>
      </c>
      <c r="AA3853" t="s">
        <v>122</v>
      </c>
      <c r="AB3853">
        <v>1</v>
      </c>
      <c r="AC3853" t="s">
        <v>301</v>
      </c>
      <c r="AD3853" t="s">
        <v>2734</v>
      </c>
      <c r="AE3853" t="s">
        <v>106</v>
      </c>
      <c r="AF3853" t="s">
        <v>59</v>
      </c>
      <c r="AG3853" t="str">
        <f t="shared" si="81"/>
        <v>Recorrente</v>
      </c>
      <c r="AH3853" t="str">
        <f t="shared" si="82"/>
        <v/>
      </c>
    </row>
    <row r="3854" spans="1:34">
      <c r="A3854">
        <v>2026</v>
      </c>
      <c r="B3854">
        <v>4</v>
      </c>
      <c r="C3854" s="83">
        <v>23786125592</v>
      </c>
      <c r="D3854" t="s">
        <v>3391</v>
      </c>
      <c r="E3854">
        <v>58554205258</v>
      </c>
      <c r="F3854">
        <v>637017</v>
      </c>
      <c r="G3854">
        <v>54205055812</v>
      </c>
      <c r="H3854" t="s">
        <v>35</v>
      </c>
      <c r="I3854" s="36">
        <v>2874</v>
      </c>
      <c r="J3854" s="36">
        <v>2874</v>
      </c>
      <c r="K3854" s="85">
        <v>0</v>
      </c>
      <c r="L3854" s="36">
        <v>239.5</v>
      </c>
      <c r="M3854" s="36">
        <v>239.5</v>
      </c>
      <c r="N3854" s="36">
        <v>0</v>
      </c>
      <c r="O3854" s="36">
        <v>0</v>
      </c>
      <c r="P3854" t="s">
        <v>829</v>
      </c>
      <c r="Q3854" t="s">
        <v>300</v>
      </c>
      <c r="R3854" t="s">
        <v>300</v>
      </c>
      <c r="S3854" s="1">
        <v>46122</v>
      </c>
      <c r="T3854" s="1">
        <v>46122</v>
      </c>
      <c r="U3854" s="1"/>
      <c r="V3854" s="1">
        <v>46487</v>
      </c>
      <c r="W3854" t="s">
        <v>38</v>
      </c>
      <c r="X3854">
        <v>12</v>
      </c>
      <c r="Y3854" t="s">
        <v>49</v>
      </c>
      <c r="AA3854" t="s">
        <v>122</v>
      </c>
      <c r="AB3854">
        <v>12</v>
      </c>
      <c r="AC3854" t="s">
        <v>301</v>
      </c>
      <c r="AD3854" t="s">
        <v>140</v>
      </c>
      <c r="AE3854" t="s">
        <v>46</v>
      </c>
      <c r="AF3854" t="s">
        <v>119</v>
      </c>
      <c r="AG3854" t="str">
        <f t="shared" si="81"/>
        <v>Recorrente</v>
      </c>
      <c r="AH3854" t="str">
        <f t="shared" si="82"/>
        <v/>
      </c>
    </row>
    <row r="3855" spans="1:34">
      <c r="A3855">
        <v>2026</v>
      </c>
      <c r="B3855">
        <v>4</v>
      </c>
      <c r="C3855" s="83">
        <v>23786567333</v>
      </c>
      <c r="D3855" t="s">
        <v>3392</v>
      </c>
      <c r="E3855">
        <v>56544406358</v>
      </c>
      <c r="F3855">
        <v>612861</v>
      </c>
      <c r="G3855">
        <v>51844342541</v>
      </c>
      <c r="H3855" t="s">
        <v>35</v>
      </c>
      <c r="I3855" s="36">
        <v>2874</v>
      </c>
      <c r="J3855" s="36">
        <v>2874</v>
      </c>
      <c r="K3855" s="85">
        <v>0</v>
      </c>
      <c r="L3855" s="36">
        <v>239.5</v>
      </c>
      <c r="M3855" s="36">
        <v>0</v>
      </c>
      <c r="N3855" s="36">
        <v>36.35</v>
      </c>
      <c r="O3855" s="36">
        <v>203.15</v>
      </c>
      <c r="P3855" t="s">
        <v>165</v>
      </c>
      <c r="Q3855" t="s">
        <v>166</v>
      </c>
      <c r="R3855" t="s">
        <v>166</v>
      </c>
      <c r="S3855" s="1">
        <v>46116</v>
      </c>
      <c r="T3855" s="1">
        <v>46116</v>
      </c>
      <c r="U3855" s="1">
        <v>46116</v>
      </c>
      <c r="V3855" s="1">
        <v>46481</v>
      </c>
      <c r="W3855" t="s">
        <v>38</v>
      </c>
      <c r="X3855">
        <v>12</v>
      </c>
      <c r="Y3855" t="s">
        <v>49</v>
      </c>
      <c r="Z3855" t="s">
        <v>81</v>
      </c>
      <c r="AA3855" t="s">
        <v>112</v>
      </c>
      <c r="AB3855">
        <v>12</v>
      </c>
      <c r="AC3855" t="s">
        <v>166</v>
      </c>
      <c r="AD3855" t="s">
        <v>140</v>
      </c>
      <c r="AE3855" t="s">
        <v>46</v>
      </c>
      <c r="AF3855" t="s">
        <v>119</v>
      </c>
      <c r="AG3855" t="str">
        <f t="shared" si="81"/>
        <v>CC 12x</v>
      </c>
      <c r="AH3855" t="str">
        <f t="shared" si="82"/>
        <v/>
      </c>
    </row>
    <row r="3856" spans="1:34">
      <c r="A3856">
        <v>2026</v>
      </c>
      <c r="B3856">
        <v>4</v>
      </c>
      <c r="C3856" s="83">
        <v>23830857801</v>
      </c>
      <c r="D3856" t="s">
        <v>3393</v>
      </c>
      <c r="E3856">
        <v>59226419994</v>
      </c>
      <c r="F3856">
        <v>637231</v>
      </c>
      <c r="G3856">
        <v>54510236760</v>
      </c>
      <c r="H3856" t="s">
        <v>35</v>
      </c>
      <c r="I3856" s="36">
        <v>8630.8799999999992</v>
      </c>
      <c r="J3856" s="36">
        <v>4315.5</v>
      </c>
      <c r="K3856" s="85">
        <v>4315.38</v>
      </c>
      <c r="L3856" s="36">
        <v>359.625</v>
      </c>
      <c r="M3856" s="36">
        <v>0</v>
      </c>
      <c r="N3856" s="36">
        <v>359.625</v>
      </c>
      <c r="O3856" s="36">
        <v>0</v>
      </c>
      <c r="P3856" t="s">
        <v>367</v>
      </c>
      <c r="Q3856" t="s">
        <v>191</v>
      </c>
      <c r="R3856" t="s">
        <v>191</v>
      </c>
      <c r="S3856" s="1">
        <v>46134</v>
      </c>
      <c r="T3856" s="1">
        <v>46134</v>
      </c>
      <c r="V3856" s="1">
        <v>46865</v>
      </c>
      <c r="W3856" t="s">
        <v>56</v>
      </c>
      <c r="X3856">
        <v>24</v>
      </c>
      <c r="Y3856" t="s">
        <v>49</v>
      </c>
      <c r="AA3856" t="s">
        <v>122</v>
      </c>
      <c r="AB3856">
        <v>24</v>
      </c>
      <c r="AC3856" t="s">
        <v>192</v>
      </c>
      <c r="AD3856" t="s">
        <v>85</v>
      </c>
      <c r="AE3856" t="s">
        <v>46</v>
      </c>
      <c r="AF3856" t="s">
        <v>44</v>
      </c>
      <c r="AG3856" t="str">
        <f t="shared" si="81"/>
        <v>Recorrente</v>
      </c>
      <c r="AH3856" t="str">
        <f t="shared" si="82"/>
        <v/>
      </c>
    </row>
    <row r="3857" spans="1:34">
      <c r="A3857">
        <v>2026</v>
      </c>
      <c r="B3857">
        <v>4</v>
      </c>
      <c r="C3857" s="83">
        <v>25178848613</v>
      </c>
      <c r="D3857" t="s">
        <v>3394</v>
      </c>
      <c r="E3857">
        <v>59387870743</v>
      </c>
      <c r="F3857">
        <v>637215</v>
      </c>
      <c r="G3857">
        <v>54463093832</v>
      </c>
      <c r="H3857" t="s">
        <v>35</v>
      </c>
      <c r="I3857" s="36">
        <v>3114</v>
      </c>
      <c r="J3857" s="36">
        <v>3114</v>
      </c>
      <c r="K3857" s="85">
        <v>0</v>
      </c>
      <c r="L3857" s="36">
        <v>259.5</v>
      </c>
      <c r="M3857" s="36">
        <v>259.5</v>
      </c>
      <c r="N3857" s="36">
        <v>0</v>
      </c>
      <c r="O3857" s="36">
        <v>0</v>
      </c>
      <c r="P3857" t="s">
        <v>829</v>
      </c>
      <c r="Q3857" t="s">
        <v>300</v>
      </c>
      <c r="R3857" t="s">
        <v>300</v>
      </c>
      <c r="S3857" s="1">
        <v>46132</v>
      </c>
      <c r="T3857" s="1">
        <v>46132</v>
      </c>
      <c r="V3857" s="1">
        <v>46497</v>
      </c>
      <c r="W3857" t="s">
        <v>38</v>
      </c>
      <c r="X3857">
        <v>12</v>
      </c>
      <c r="Y3857" t="s">
        <v>49</v>
      </c>
      <c r="AA3857" t="s">
        <v>122</v>
      </c>
      <c r="AB3857">
        <v>12</v>
      </c>
      <c r="AC3857" t="s">
        <v>301</v>
      </c>
      <c r="AD3857" t="s">
        <v>2734</v>
      </c>
      <c r="AE3857" t="s">
        <v>106</v>
      </c>
      <c r="AF3857" t="s">
        <v>59</v>
      </c>
      <c r="AG3857" t="str">
        <f t="shared" si="81"/>
        <v>Recorrente</v>
      </c>
      <c r="AH3857" t="str">
        <f t="shared" si="82"/>
        <v/>
      </c>
    </row>
    <row r="3858" spans="1:34">
      <c r="A3858">
        <v>2026</v>
      </c>
      <c r="B3858">
        <v>4</v>
      </c>
      <c r="C3858" s="83">
        <v>25626146864</v>
      </c>
      <c r="D3858" t="s">
        <v>3395</v>
      </c>
      <c r="E3858">
        <v>59369343864</v>
      </c>
      <c r="F3858">
        <v>637203</v>
      </c>
      <c r="G3858">
        <v>54466118989</v>
      </c>
      <c r="H3858" t="s">
        <v>35</v>
      </c>
      <c r="I3858" s="36">
        <v>2874</v>
      </c>
      <c r="J3858" s="36">
        <v>2874</v>
      </c>
      <c r="K3858" s="85">
        <v>0</v>
      </c>
      <c r="L3858" s="36">
        <v>239.5</v>
      </c>
      <c r="M3858" s="36">
        <v>239.5</v>
      </c>
      <c r="N3858" s="36">
        <v>0</v>
      </c>
      <c r="O3858" s="36">
        <v>0</v>
      </c>
      <c r="P3858" t="s">
        <v>1339</v>
      </c>
      <c r="Q3858" t="s">
        <v>498</v>
      </c>
      <c r="R3858" t="s">
        <v>498</v>
      </c>
      <c r="S3858" s="1">
        <v>46132</v>
      </c>
      <c r="T3858" s="1">
        <v>46132</v>
      </c>
      <c r="U3858" s="1"/>
      <c r="V3858" s="1">
        <v>46497</v>
      </c>
      <c r="W3858" t="s">
        <v>38</v>
      </c>
      <c r="X3858">
        <v>12</v>
      </c>
      <c r="Y3858" t="s">
        <v>49</v>
      </c>
      <c r="AA3858" t="s">
        <v>122</v>
      </c>
      <c r="AB3858">
        <v>12</v>
      </c>
      <c r="AC3858" t="s">
        <v>499</v>
      </c>
      <c r="AD3858" t="s">
        <v>118</v>
      </c>
      <c r="AE3858" t="s">
        <v>43</v>
      </c>
      <c r="AF3858" t="s">
        <v>119</v>
      </c>
      <c r="AG3858" t="str">
        <f t="shared" si="81"/>
        <v>Recorrente</v>
      </c>
      <c r="AH3858" t="str">
        <f t="shared" si="82"/>
        <v/>
      </c>
    </row>
    <row r="3859" spans="1:34">
      <c r="A3859">
        <v>2026</v>
      </c>
      <c r="B3859">
        <v>4</v>
      </c>
      <c r="C3859" s="83">
        <v>26207196300</v>
      </c>
      <c r="D3859" t="s">
        <v>2501</v>
      </c>
      <c r="E3859">
        <v>58610826301</v>
      </c>
      <c r="F3859">
        <v>636889</v>
      </c>
      <c r="G3859">
        <v>54006751111</v>
      </c>
      <c r="H3859" t="s">
        <v>35</v>
      </c>
      <c r="I3859" s="36">
        <v>5754</v>
      </c>
      <c r="J3859" s="36">
        <v>1536.1067849999999</v>
      </c>
      <c r="K3859" s="85">
        <v>4217.8932150000001</v>
      </c>
      <c r="L3859" s="36">
        <v>128.0088988</v>
      </c>
      <c r="M3859" s="36">
        <v>0</v>
      </c>
      <c r="N3859" s="36">
        <v>128.0088988</v>
      </c>
      <c r="O3859" s="36">
        <v>0</v>
      </c>
      <c r="P3859" t="s">
        <v>367</v>
      </c>
      <c r="Q3859" t="s">
        <v>191</v>
      </c>
      <c r="R3859" t="s">
        <v>191</v>
      </c>
      <c r="S3859" s="1">
        <v>46118</v>
      </c>
      <c r="T3859" s="1">
        <v>46118</v>
      </c>
      <c r="U3859" s="1">
        <v>46402</v>
      </c>
      <c r="V3859" s="1">
        <v>46483</v>
      </c>
      <c r="W3859" t="s">
        <v>38</v>
      </c>
      <c r="X3859">
        <v>3</v>
      </c>
      <c r="Y3859" t="s">
        <v>49</v>
      </c>
      <c r="AA3859" t="s">
        <v>122</v>
      </c>
      <c r="AB3859">
        <v>12</v>
      </c>
      <c r="AC3859" t="s">
        <v>192</v>
      </c>
      <c r="AD3859" t="s">
        <v>85</v>
      </c>
      <c r="AE3859" t="s">
        <v>46</v>
      </c>
      <c r="AF3859" t="s">
        <v>44</v>
      </c>
      <c r="AG3859" t="str">
        <f t="shared" si="81"/>
        <v>Recorrente</v>
      </c>
      <c r="AH3859" t="str">
        <f t="shared" si="82"/>
        <v/>
      </c>
    </row>
    <row r="3860" spans="1:34">
      <c r="A3860">
        <v>2026</v>
      </c>
      <c r="B3860">
        <v>4</v>
      </c>
      <c r="C3860" s="83">
        <v>26207196300</v>
      </c>
      <c r="D3860" t="s">
        <v>2501</v>
      </c>
      <c r="E3860">
        <v>58610826301</v>
      </c>
      <c r="F3860">
        <v>636889</v>
      </c>
      <c r="G3860">
        <v>54006751112</v>
      </c>
      <c r="H3860" t="s">
        <v>35</v>
      </c>
      <c r="I3860" s="36">
        <v>5034</v>
      </c>
      <c r="J3860" s="36">
        <v>1343.8932150000001</v>
      </c>
      <c r="K3860" s="85">
        <v>3690.1067849999999</v>
      </c>
      <c r="L3860" s="36">
        <v>111.9911012</v>
      </c>
      <c r="M3860" s="36">
        <v>0</v>
      </c>
      <c r="N3860" s="36">
        <v>111.9911012</v>
      </c>
      <c r="O3860" s="36">
        <v>0</v>
      </c>
      <c r="P3860" t="s">
        <v>367</v>
      </c>
      <c r="Q3860" t="s">
        <v>191</v>
      </c>
      <c r="R3860" t="s">
        <v>191</v>
      </c>
      <c r="S3860" s="1">
        <v>46118</v>
      </c>
      <c r="T3860" s="1">
        <v>46118</v>
      </c>
      <c r="U3860" s="1">
        <v>46402</v>
      </c>
      <c r="V3860" s="1">
        <v>46483</v>
      </c>
      <c r="W3860" t="s">
        <v>38</v>
      </c>
      <c r="X3860">
        <v>3</v>
      </c>
      <c r="Y3860" t="s">
        <v>49</v>
      </c>
      <c r="AA3860" t="s">
        <v>122</v>
      </c>
      <c r="AB3860">
        <v>12</v>
      </c>
      <c r="AC3860" t="s">
        <v>192</v>
      </c>
      <c r="AD3860" t="s">
        <v>84</v>
      </c>
      <c r="AE3860" t="s">
        <v>43</v>
      </c>
      <c r="AF3860" t="s">
        <v>44</v>
      </c>
      <c r="AG3860" t="str">
        <f t="shared" si="81"/>
        <v>Recorrente</v>
      </c>
      <c r="AH3860" t="str">
        <f t="shared" si="82"/>
        <v/>
      </c>
    </row>
    <row r="3861" spans="1:34">
      <c r="A3861">
        <v>2026</v>
      </c>
      <c r="B3861">
        <v>4</v>
      </c>
      <c r="C3861" s="83">
        <v>26884695211</v>
      </c>
      <c r="D3861" t="s">
        <v>3396</v>
      </c>
      <c r="E3861">
        <v>57904758707</v>
      </c>
      <c r="F3861">
        <v>627227</v>
      </c>
      <c r="G3861">
        <v>53854092318</v>
      </c>
      <c r="H3861" t="s">
        <v>35</v>
      </c>
      <c r="I3861" s="36">
        <v>7554.6</v>
      </c>
      <c r="J3861" s="36">
        <v>7554.6</v>
      </c>
      <c r="K3861" s="85">
        <v>0</v>
      </c>
      <c r="L3861" s="36">
        <v>629.54999999999995</v>
      </c>
      <c r="M3861" s="36">
        <v>0</v>
      </c>
      <c r="N3861" s="36">
        <v>0</v>
      </c>
      <c r="O3861" s="36">
        <v>629.54999999999995</v>
      </c>
      <c r="P3861" t="s">
        <v>127</v>
      </c>
      <c r="Q3861" t="s">
        <v>111</v>
      </c>
      <c r="R3861" t="s">
        <v>111</v>
      </c>
      <c r="S3861" s="1">
        <v>46113</v>
      </c>
      <c r="T3861" s="1">
        <v>46113</v>
      </c>
      <c r="U3861" s="1">
        <v>46091</v>
      </c>
      <c r="V3861" s="1">
        <v>46478</v>
      </c>
      <c r="W3861" t="s">
        <v>38</v>
      </c>
      <c r="X3861">
        <v>13</v>
      </c>
      <c r="Y3861" t="s">
        <v>49</v>
      </c>
      <c r="Z3861" t="s">
        <v>81</v>
      </c>
      <c r="AA3861" t="s">
        <v>82</v>
      </c>
      <c r="AB3861">
        <v>1</v>
      </c>
      <c r="AC3861" t="s">
        <v>113</v>
      </c>
      <c r="AD3861" t="s">
        <v>94</v>
      </c>
      <c r="AE3861" t="s">
        <v>95</v>
      </c>
      <c r="AF3861" t="s">
        <v>96</v>
      </c>
      <c r="AG3861" t="str">
        <f t="shared" si="81"/>
        <v>À Vista</v>
      </c>
      <c r="AH3861" t="str">
        <f t="shared" si="82"/>
        <v/>
      </c>
    </row>
    <row r="3862" spans="1:34">
      <c r="A3862">
        <v>2026</v>
      </c>
      <c r="B3862">
        <v>4</v>
      </c>
      <c r="C3862" s="83">
        <v>27073035357</v>
      </c>
      <c r="D3862" t="s">
        <v>3397</v>
      </c>
      <c r="E3862">
        <v>59018160968</v>
      </c>
      <c r="F3862">
        <v>636978</v>
      </c>
      <c r="G3862">
        <v>54154402714</v>
      </c>
      <c r="H3862" t="s">
        <v>35</v>
      </c>
      <c r="I3862" s="36">
        <v>3067.2</v>
      </c>
      <c r="J3862" s="36">
        <v>3067.2</v>
      </c>
      <c r="K3862" s="85">
        <v>0</v>
      </c>
      <c r="L3862" s="36">
        <v>255.6</v>
      </c>
      <c r="M3862" s="36">
        <v>255.6</v>
      </c>
      <c r="N3862" s="36">
        <v>0</v>
      </c>
      <c r="O3862" s="36">
        <v>0</v>
      </c>
      <c r="P3862" t="s">
        <v>129</v>
      </c>
      <c r="Q3862" t="s">
        <v>91</v>
      </c>
      <c r="R3862" t="s">
        <v>91</v>
      </c>
      <c r="S3862" s="1">
        <v>46121</v>
      </c>
      <c r="T3862" s="1">
        <v>46121</v>
      </c>
      <c r="U3862" s="1"/>
      <c r="V3862" s="1">
        <v>46486</v>
      </c>
      <c r="W3862" t="s">
        <v>38</v>
      </c>
      <c r="X3862">
        <v>12</v>
      </c>
      <c r="Y3862" t="s">
        <v>49</v>
      </c>
      <c r="AA3862" t="s">
        <v>112</v>
      </c>
      <c r="AB3862">
        <v>12</v>
      </c>
      <c r="AC3862" t="s">
        <v>93</v>
      </c>
      <c r="AD3862" t="s">
        <v>142</v>
      </c>
      <c r="AE3862" t="s">
        <v>95</v>
      </c>
      <c r="AF3862" t="s">
        <v>44</v>
      </c>
      <c r="AG3862" t="str">
        <f t="shared" si="81"/>
        <v>CC 12x</v>
      </c>
      <c r="AH3862" t="str">
        <f t="shared" si="82"/>
        <v/>
      </c>
    </row>
    <row r="3863" spans="1:34">
      <c r="A3863">
        <v>2026</v>
      </c>
      <c r="B3863">
        <v>4</v>
      </c>
      <c r="C3863" s="83">
        <v>28159311700</v>
      </c>
      <c r="D3863" t="s">
        <v>3398</v>
      </c>
      <c r="E3863">
        <v>58986923341</v>
      </c>
      <c r="F3863">
        <v>626044</v>
      </c>
      <c r="G3863">
        <v>54118594878</v>
      </c>
      <c r="H3863" t="s">
        <v>35</v>
      </c>
      <c r="I3863" s="36">
        <v>4646.3999999999996</v>
      </c>
      <c r="J3863" s="36">
        <v>4646.3999999999996</v>
      </c>
      <c r="K3863" s="85">
        <v>0</v>
      </c>
      <c r="L3863" s="36">
        <v>387.2</v>
      </c>
      <c r="M3863" s="36">
        <v>387.2</v>
      </c>
      <c r="N3863" s="36">
        <v>0</v>
      </c>
      <c r="O3863" s="36">
        <v>0</v>
      </c>
      <c r="P3863" t="s">
        <v>137</v>
      </c>
      <c r="Q3863" t="s">
        <v>111</v>
      </c>
      <c r="R3863" t="s">
        <v>111</v>
      </c>
      <c r="S3863" s="1">
        <v>46121</v>
      </c>
      <c r="T3863" s="1">
        <v>46121</v>
      </c>
      <c r="U3863" s="1">
        <v>46053</v>
      </c>
      <c r="V3863" s="1">
        <v>46486</v>
      </c>
      <c r="W3863" t="s">
        <v>38</v>
      </c>
      <c r="X3863">
        <v>15</v>
      </c>
      <c r="Y3863" t="s">
        <v>49</v>
      </c>
      <c r="Z3863" t="s">
        <v>81</v>
      </c>
      <c r="AA3863" t="s">
        <v>122</v>
      </c>
      <c r="AB3863">
        <v>12</v>
      </c>
      <c r="AC3863" t="s">
        <v>113</v>
      </c>
      <c r="AD3863" t="s">
        <v>85</v>
      </c>
      <c r="AE3863" t="s">
        <v>46</v>
      </c>
      <c r="AF3863" t="s">
        <v>44</v>
      </c>
      <c r="AG3863" t="str">
        <f t="shared" si="81"/>
        <v>Recorrente</v>
      </c>
      <c r="AH3863" t="str">
        <f t="shared" si="82"/>
        <v/>
      </c>
    </row>
    <row r="3864" spans="1:34">
      <c r="A3864">
        <v>2026</v>
      </c>
      <c r="B3864">
        <v>4</v>
      </c>
      <c r="C3864" s="83">
        <v>28307586151</v>
      </c>
      <c r="D3864" t="s">
        <v>3399</v>
      </c>
      <c r="E3864">
        <v>58952248095</v>
      </c>
      <c r="F3864">
        <v>636941</v>
      </c>
      <c r="G3864">
        <v>54075956355</v>
      </c>
      <c r="H3864" t="s">
        <v>35</v>
      </c>
      <c r="I3864" s="36">
        <v>2874</v>
      </c>
      <c r="J3864" s="36">
        <v>2874</v>
      </c>
      <c r="K3864" s="85">
        <v>0</v>
      </c>
      <c r="L3864" s="36">
        <v>239.5</v>
      </c>
      <c r="M3864" s="36">
        <v>239.5</v>
      </c>
      <c r="N3864" s="36">
        <v>0</v>
      </c>
      <c r="O3864" s="36">
        <v>0</v>
      </c>
      <c r="P3864" t="s">
        <v>497</v>
      </c>
      <c r="Q3864" t="s">
        <v>498</v>
      </c>
      <c r="R3864" t="s">
        <v>498</v>
      </c>
      <c r="S3864" s="1">
        <v>46120</v>
      </c>
      <c r="T3864" s="1">
        <v>46120</v>
      </c>
      <c r="V3864" s="1">
        <v>46485</v>
      </c>
      <c r="W3864" t="s">
        <v>38</v>
      </c>
      <c r="X3864">
        <v>12</v>
      </c>
      <c r="Y3864" t="s">
        <v>49</v>
      </c>
      <c r="AA3864" t="s">
        <v>112</v>
      </c>
      <c r="AB3864">
        <v>10</v>
      </c>
      <c r="AC3864" t="s">
        <v>499</v>
      </c>
      <c r="AD3864" t="s">
        <v>140</v>
      </c>
      <c r="AE3864" t="s">
        <v>46</v>
      </c>
      <c r="AF3864" t="s">
        <v>119</v>
      </c>
      <c r="AG3864" t="str">
        <f t="shared" si="81"/>
        <v>CC 12x</v>
      </c>
      <c r="AH3864" t="str">
        <f t="shared" si="82"/>
        <v/>
      </c>
    </row>
    <row r="3865" spans="1:34">
      <c r="A3865">
        <v>2026</v>
      </c>
      <c r="B3865">
        <v>4</v>
      </c>
      <c r="C3865" s="83">
        <v>29373579081</v>
      </c>
      <c r="D3865" t="s">
        <v>3400</v>
      </c>
      <c r="E3865">
        <v>58681314861</v>
      </c>
      <c r="F3865">
        <v>637471</v>
      </c>
      <c r="G3865">
        <v>54884535148</v>
      </c>
      <c r="H3865" t="s">
        <v>35</v>
      </c>
      <c r="I3865" s="36">
        <v>4948.4399999999996</v>
      </c>
      <c r="J3865" s="36">
        <v>4948.4399999999996</v>
      </c>
      <c r="K3865" s="85">
        <v>0</v>
      </c>
      <c r="L3865" s="36">
        <v>412.37</v>
      </c>
      <c r="M3865" s="36">
        <v>0</v>
      </c>
      <c r="N3865" s="36">
        <v>412.37</v>
      </c>
      <c r="O3865" s="36">
        <v>0</v>
      </c>
      <c r="P3865" t="s">
        <v>367</v>
      </c>
      <c r="Q3865" t="s">
        <v>191</v>
      </c>
      <c r="R3865" t="s">
        <v>191</v>
      </c>
      <c r="S3865" s="1">
        <v>46141</v>
      </c>
      <c r="T3865" s="1">
        <v>46141</v>
      </c>
      <c r="V3865" s="1">
        <v>46506</v>
      </c>
      <c r="W3865" t="s">
        <v>38</v>
      </c>
      <c r="X3865">
        <v>12</v>
      </c>
      <c r="Y3865" t="s">
        <v>49</v>
      </c>
      <c r="AA3865" t="s">
        <v>112</v>
      </c>
      <c r="AB3865">
        <v>1</v>
      </c>
      <c r="AC3865" t="s">
        <v>192</v>
      </c>
      <c r="AD3865" t="s">
        <v>85</v>
      </c>
      <c r="AE3865" t="s">
        <v>46</v>
      </c>
      <c r="AF3865" t="s">
        <v>44</v>
      </c>
      <c r="AG3865" t="str">
        <f t="shared" si="81"/>
        <v>À Vista</v>
      </c>
      <c r="AH3865" t="str">
        <f t="shared" si="82"/>
        <v/>
      </c>
    </row>
    <row r="3866" spans="1:34">
      <c r="A3866">
        <v>2026</v>
      </c>
      <c r="B3866">
        <v>4</v>
      </c>
      <c r="C3866" s="83">
        <v>2981049</v>
      </c>
      <c r="D3866" t="s">
        <v>3401</v>
      </c>
      <c r="E3866">
        <v>59086474608</v>
      </c>
      <c r="F3866">
        <v>637052</v>
      </c>
      <c r="G3866">
        <v>54269077584</v>
      </c>
      <c r="H3866" t="s">
        <v>35</v>
      </c>
      <c r="I3866" s="36">
        <v>5034</v>
      </c>
      <c r="J3866" s="36">
        <v>5034</v>
      </c>
      <c r="K3866" s="85">
        <v>0</v>
      </c>
      <c r="L3866" s="36">
        <v>419.5</v>
      </c>
      <c r="M3866" s="36">
        <v>419.5</v>
      </c>
      <c r="N3866" s="36">
        <v>0</v>
      </c>
      <c r="O3866" s="36">
        <v>0</v>
      </c>
      <c r="P3866" t="s">
        <v>562</v>
      </c>
      <c r="Q3866" t="s">
        <v>498</v>
      </c>
      <c r="R3866" t="s">
        <v>498</v>
      </c>
      <c r="S3866" s="1">
        <v>46125</v>
      </c>
      <c r="T3866" s="1">
        <v>46125</v>
      </c>
      <c r="U3866" s="1"/>
      <c r="V3866" s="1">
        <v>46490</v>
      </c>
      <c r="W3866" t="s">
        <v>38</v>
      </c>
      <c r="X3866">
        <v>12</v>
      </c>
      <c r="Y3866" t="s">
        <v>49</v>
      </c>
      <c r="AA3866" t="s">
        <v>112</v>
      </c>
      <c r="AB3866">
        <v>12</v>
      </c>
      <c r="AC3866" t="s">
        <v>499</v>
      </c>
      <c r="AD3866" t="s">
        <v>84</v>
      </c>
      <c r="AE3866" t="s">
        <v>43</v>
      </c>
      <c r="AF3866" t="s">
        <v>44</v>
      </c>
      <c r="AG3866" t="str">
        <f t="shared" si="81"/>
        <v>CC 12x</v>
      </c>
      <c r="AH3866" t="str">
        <f t="shared" si="82"/>
        <v/>
      </c>
    </row>
    <row r="3867" spans="1:34">
      <c r="A3867">
        <v>2026</v>
      </c>
      <c r="B3867">
        <v>4</v>
      </c>
      <c r="C3867" s="83">
        <v>29946506787</v>
      </c>
      <c r="D3867" t="s">
        <v>3402</v>
      </c>
      <c r="E3867">
        <v>45771358814</v>
      </c>
      <c r="F3867">
        <v>628511</v>
      </c>
      <c r="G3867">
        <v>54884818513</v>
      </c>
      <c r="H3867" t="s">
        <v>35</v>
      </c>
      <c r="I3867" s="36">
        <v>5236.32</v>
      </c>
      <c r="J3867" s="36">
        <v>5236.32</v>
      </c>
      <c r="K3867" s="85">
        <v>0</v>
      </c>
      <c r="L3867" s="36">
        <v>436.36</v>
      </c>
      <c r="M3867" s="36">
        <v>0</v>
      </c>
      <c r="N3867" s="36">
        <v>16.36</v>
      </c>
      <c r="O3867" s="36">
        <v>420</v>
      </c>
      <c r="P3867" t="s">
        <v>98</v>
      </c>
      <c r="Q3867" t="s">
        <v>37</v>
      </c>
      <c r="R3867" t="s">
        <v>37</v>
      </c>
      <c r="S3867" s="1">
        <v>46142</v>
      </c>
      <c r="T3867" s="1">
        <v>46142</v>
      </c>
      <c r="U3867" s="1">
        <v>46123</v>
      </c>
      <c r="V3867" s="1">
        <v>46507</v>
      </c>
      <c r="W3867" t="s">
        <v>38</v>
      </c>
      <c r="X3867">
        <v>12</v>
      </c>
      <c r="Y3867" t="s">
        <v>49</v>
      </c>
      <c r="Z3867" t="s">
        <v>76</v>
      </c>
      <c r="AA3867" t="s">
        <v>40</v>
      </c>
      <c r="AB3867">
        <v>1</v>
      </c>
      <c r="AC3867" t="s">
        <v>41</v>
      </c>
      <c r="AD3867" t="s">
        <v>53</v>
      </c>
      <c r="AE3867" t="s">
        <v>43</v>
      </c>
      <c r="AF3867" t="s">
        <v>44</v>
      </c>
      <c r="AG3867" t="str">
        <f t="shared" si="81"/>
        <v>À Vista</v>
      </c>
      <c r="AH3867" t="str">
        <f t="shared" si="82"/>
        <v/>
      </c>
    </row>
    <row r="3868" spans="1:34">
      <c r="A3868">
        <v>2026</v>
      </c>
      <c r="B3868">
        <v>4</v>
      </c>
      <c r="C3868" s="83">
        <v>29946506787</v>
      </c>
      <c r="D3868" t="s">
        <v>3402</v>
      </c>
      <c r="E3868">
        <v>45771358814</v>
      </c>
      <c r="F3868">
        <v>628511</v>
      </c>
      <c r="G3868">
        <v>54884818514</v>
      </c>
      <c r="H3868" t="s">
        <v>35</v>
      </c>
      <c r="I3868" s="36">
        <v>5236.32</v>
      </c>
      <c r="J3868" s="36">
        <v>5236.32</v>
      </c>
      <c r="K3868" s="85">
        <v>0</v>
      </c>
      <c r="L3868" s="36">
        <v>436.36</v>
      </c>
      <c r="M3868" s="36">
        <v>0</v>
      </c>
      <c r="N3868" s="36">
        <v>16.36</v>
      </c>
      <c r="O3868" s="36">
        <v>420</v>
      </c>
      <c r="P3868" t="s">
        <v>98</v>
      </c>
      <c r="Q3868" t="s">
        <v>37</v>
      </c>
      <c r="R3868" t="s">
        <v>37</v>
      </c>
      <c r="S3868" s="1">
        <v>46142</v>
      </c>
      <c r="T3868" s="1">
        <v>46142</v>
      </c>
      <c r="U3868" s="1">
        <v>46123</v>
      </c>
      <c r="V3868" s="1">
        <v>46507</v>
      </c>
      <c r="W3868" t="s">
        <v>38</v>
      </c>
      <c r="X3868">
        <v>12</v>
      </c>
      <c r="Y3868" t="s">
        <v>49</v>
      </c>
      <c r="Z3868" t="s">
        <v>76</v>
      </c>
      <c r="AA3868" t="s">
        <v>40</v>
      </c>
      <c r="AB3868">
        <v>1</v>
      </c>
      <c r="AC3868" t="s">
        <v>41</v>
      </c>
      <c r="AD3868" t="s">
        <v>54</v>
      </c>
      <c r="AE3868" t="s">
        <v>46</v>
      </c>
      <c r="AF3868" t="s">
        <v>44</v>
      </c>
      <c r="AG3868" t="str">
        <f t="shared" si="81"/>
        <v>À Vista</v>
      </c>
      <c r="AH3868" t="str">
        <f t="shared" si="82"/>
        <v/>
      </c>
    </row>
    <row r="3869" spans="1:34">
      <c r="A3869">
        <v>2026</v>
      </c>
      <c r="B3869">
        <v>4</v>
      </c>
      <c r="C3869" s="83">
        <v>30375892284</v>
      </c>
      <c r="D3869" t="s">
        <v>3403</v>
      </c>
      <c r="E3869">
        <v>58011833987</v>
      </c>
      <c r="F3869">
        <v>629208</v>
      </c>
      <c r="G3869">
        <v>53228040274</v>
      </c>
      <c r="H3869" t="s">
        <v>35</v>
      </c>
      <c r="I3869" s="36">
        <v>8394</v>
      </c>
      <c r="J3869" s="36">
        <v>8394</v>
      </c>
      <c r="K3869" s="85">
        <v>0</v>
      </c>
      <c r="L3869" s="36">
        <v>699.5</v>
      </c>
      <c r="M3869" s="36">
        <v>0</v>
      </c>
      <c r="N3869" s="36">
        <v>40.5</v>
      </c>
      <c r="O3869" s="36">
        <v>659</v>
      </c>
      <c r="P3869" t="s">
        <v>165</v>
      </c>
      <c r="Q3869" t="s">
        <v>166</v>
      </c>
      <c r="R3869" t="s">
        <v>166</v>
      </c>
      <c r="S3869" s="1">
        <v>46139</v>
      </c>
      <c r="T3869" s="1">
        <v>46139</v>
      </c>
      <c r="U3869" s="1">
        <v>46142</v>
      </c>
      <c r="V3869" s="1">
        <v>46507</v>
      </c>
      <c r="W3869" t="s">
        <v>38</v>
      </c>
      <c r="X3869">
        <v>12</v>
      </c>
      <c r="Y3869" t="s">
        <v>49</v>
      </c>
      <c r="Z3869" t="s">
        <v>81</v>
      </c>
      <c r="AA3869" t="s">
        <v>112</v>
      </c>
      <c r="AB3869">
        <v>12</v>
      </c>
      <c r="AC3869" t="s">
        <v>166</v>
      </c>
      <c r="AD3869" t="s">
        <v>94</v>
      </c>
      <c r="AE3869" t="s">
        <v>95</v>
      </c>
      <c r="AF3869" t="s">
        <v>96</v>
      </c>
      <c r="AG3869" t="str">
        <f t="shared" si="81"/>
        <v>CC 12x</v>
      </c>
      <c r="AH3869" t="str">
        <f t="shared" si="82"/>
        <v/>
      </c>
    </row>
    <row r="3870" spans="1:34">
      <c r="A3870">
        <v>2026</v>
      </c>
      <c r="B3870">
        <v>4</v>
      </c>
      <c r="C3870" s="83">
        <v>30745628533</v>
      </c>
      <c r="D3870" t="s">
        <v>3404</v>
      </c>
      <c r="E3870">
        <v>59545429372</v>
      </c>
      <c r="F3870">
        <v>628896</v>
      </c>
      <c r="G3870">
        <v>54635263254</v>
      </c>
      <c r="H3870" t="s">
        <v>35</v>
      </c>
      <c r="I3870" s="36">
        <v>5718.6</v>
      </c>
      <c r="J3870" s="36">
        <v>5718.6</v>
      </c>
      <c r="K3870" s="85">
        <v>0</v>
      </c>
      <c r="L3870" s="36">
        <v>476.55</v>
      </c>
      <c r="M3870" s="36">
        <v>0</v>
      </c>
      <c r="N3870" s="36">
        <v>52.4</v>
      </c>
      <c r="O3870" s="36">
        <v>424.15</v>
      </c>
      <c r="P3870" t="s">
        <v>162</v>
      </c>
      <c r="Q3870" t="s">
        <v>111</v>
      </c>
      <c r="R3870" t="s">
        <v>111</v>
      </c>
      <c r="S3870" s="1">
        <v>46136</v>
      </c>
      <c r="T3870" s="1">
        <v>46136</v>
      </c>
      <c r="U3870" s="1">
        <v>46134</v>
      </c>
      <c r="V3870" s="1">
        <v>46501</v>
      </c>
      <c r="W3870" t="s">
        <v>38</v>
      </c>
      <c r="X3870">
        <v>12</v>
      </c>
      <c r="Y3870" t="s">
        <v>49</v>
      </c>
      <c r="Z3870" t="s">
        <v>81</v>
      </c>
      <c r="AA3870" t="s">
        <v>122</v>
      </c>
      <c r="AB3870">
        <v>12</v>
      </c>
      <c r="AC3870" t="s">
        <v>113</v>
      </c>
      <c r="AD3870" t="s">
        <v>149</v>
      </c>
      <c r="AE3870" t="s">
        <v>43</v>
      </c>
      <c r="AF3870" t="s">
        <v>96</v>
      </c>
      <c r="AG3870" t="str">
        <f t="shared" si="81"/>
        <v>Recorrente</v>
      </c>
      <c r="AH3870" t="str">
        <f t="shared" si="82"/>
        <v/>
      </c>
    </row>
    <row r="3871" spans="1:34">
      <c r="A3871">
        <v>2026</v>
      </c>
      <c r="B3871">
        <v>4</v>
      </c>
      <c r="C3871" s="83">
        <v>31043422356</v>
      </c>
      <c r="D3871" t="s">
        <v>3405</v>
      </c>
      <c r="E3871">
        <v>55572183466</v>
      </c>
      <c r="F3871">
        <v>636945</v>
      </c>
      <c r="G3871">
        <v>54118624259</v>
      </c>
      <c r="H3871" t="s">
        <v>35</v>
      </c>
      <c r="I3871" s="36">
        <v>26736</v>
      </c>
      <c r="J3871" s="36">
        <v>0</v>
      </c>
      <c r="K3871" s="85">
        <v>0</v>
      </c>
      <c r="L3871" s="36">
        <v>0</v>
      </c>
      <c r="M3871" s="36">
        <v>0</v>
      </c>
      <c r="N3871" s="36">
        <v>0</v>
      </c>
      <c r="O3871" s="36">
        <v>0</v>
      </c>
      <c r="P3871" t="s">
        <v>75</v>
      </c>
      <c r="Q3871" t="s">
        <v>37</v>
      </c>
      <c r="R3871" t="s">
        <v>37</v>
      </c>
      <c r="S3871" s="1">
        <v>46120</v>
      </c>
      <c r="T3871" s="1">
        <v>46120</v>
      </c>
      <c r="W3871" t="s">
        <v>39</v>
      </c>
      <c r="Y3871" t="s">
        <v>39</v>
      </c>
      <c r="AA3871" t="s">
        <v>40</v>
      </c>
      <c r="AB3871">
        <v>1</v>
      </c>
      <c r="AC3871" t="s">
        <v>41</v>
      </c>
      <c r="AD3871" t="s">
        <v>3406</v>
      </c>
      <c r="AE3871" t="s">
        <v>46</v>
      </c>
      <c r="AF3871" t="s">
        <v>47</v>
      </c>
      <c r="AG3871" t="str">
        <f t="shared" si="81"/>
        <v>À Vista</v>
      </c>
      <c r="AH3871" t="str">
        <f t="shared" si="82"/>
        <v/>
      </c>
    </row>
    <row r="3872" spans="1:34">
      <c r="A3872">
        <v>2026</v>
      </c>
      <c r="B3872">
        <v>4</v>
      </c>
      <c r="C3872" s="83">
        <v>31043422356</v>
      </c>
      <c r="D3872" t="s">
        <v>3405</v>
      </c>
      <c r="E3872">
        <v>55572183466</v>
      </c>
      <c r="F3872">
        <v>636945</v>
      </c>
      <c r="G3872">
        <v>54118624260</v>
      </c>
      <c r="H3872" t="s">
        <v>35</v>
      </c>
      <c r="I3872" s="36">
        <v>28992</v>
      </c>
      <c r="J3872" s="36">
        <v>0</v>
      </c>
      <c r="K3872" s="85">
        <v>0</v>
      </c>
      <c r="L3872" s="36">
        <v>0</v>
      </c>
      <c r="M3872" s="36">
        <v>0</v>
      </c>
      <c r="N3872" s="36">
        <v>0</v>
      </c>
      <c r="O3872" s="36">
        <v>0</v>
      </c>
      <c r="P3872" t="s">
        <v>75</v>
      </c>
      <c r="Q3872" t="s">
        <v>37</v>
      </c>
      <c r="R3872" t="s">
        <v>37</v>
      </c>
      <c r="S3872" s="1">
        <v>46120</v>
      </c>
      <c r="T3872" s="1">
        <v>46120</v>
      </c>
      <c r="W3872" t="s">
        <v>39</v>
      </c>
      <c r="Y3872" t="s">
        <v>39</v>
      </c>
      <c r="AA3872" t="s">
        <v>40</v>
      </c>
      <c r="AB3872">
        <v>1</v>
      </c>
      <c r="AC3872" t="s">
        <v>41</v>
      </c>
      <c r="AD3872" t="s">
        <v>3016</v>
      </c>
      <c r="AE3872" t="s">
        <v>43</v>
      </c>
      <c r="AF3872" t="s">
        <v>47</v>
      </c>
      <c r="AG3872" t="str">
        <f t="shared" si="81"/>
        <v>À Vista</v>
      </c>
      <c r="AH3872" t="str">
        <f t="shared" si="82"/>
        <v/>
      </c>
    </row>
    <row r="3873" spans="1:34">
      <c r="A3873">
        <v>2026</v>
      </c>
      <c r="B3873">
        <v>4</v>
      </c>
      <c r="C3873" s="83">
        <v>31043422356</v>
      </c>
      <c r="D3873" t="s">
        <v>3405</v>
      </c>
      <c r="E3873">
        <v>55572183466</v>
      </c>
      <c r="F3873">
        <v>636945</v>
      </c>
      <c r="G3873">
        <v>54118624261</v>
      </c>
      <c r="H3873" t="s">
        <v>35</v>
      </c>
      <c r="I3873" s="36">
        <v>14496</v>
      </c>
      <c r="J3873" s="36">
        <v>0</v>
      </c>
      <c r="K3873" s="85">
        <v>0</v>
      </c>
      <c r="L3873" s="36">
        <v>0</v>
      </c>
      <c r="M3873" s="36">
        <v>0</v>
      </c>
      <c r="N3873" s="36">
        <v>0</v>
      </c>
      <c r="O3873" s="36">
        <v>0</v>
      </c>
      <c r="P3873" t="s">
        <v>75</v>
      </c>
      <c r="Q3873" t="s">
        <v>37</v>
      </c>
      <c r="R3873" t="s">
        <v>37</v>
      </c>
      <c r="S3873" s="1">
        <v>46120</v>
      </c>
      <c r="T3873" s="1">
        <v>46120</v>
      </c>
      <c r="W3873" t="s">
        <v>39</v>
      </c>
      <c r="Y3873" t="s">
        <v>39</v>
      </c>
      <c r="AA3873" t="s">
        <v>40</v>
      </c>
      <c r="AB3873">
        <v>1</v>
      </c>
      <c r="AC3873" t="s">
        <v>41</v>
      </c>
      <c r="AD3873" t="s">
        <v>3407</v>
      </c>
      <c r="AE3873" t="s">
        <v>43</v>
      </c>
      <c r="AF3873" t="s">
        <v>47</v>
      </c>
      <c r="AG3873" t="str">
        <f t="shared" si="81"/>
        <v>À Vista</v>
      </c>
      <c r="AH3873" t="str">
        <f t="shared" si="82"/>
        <v/>
      </c>
    </row>
    <row r="3874" spans="1:34">
      <c r="A3874">
        <v>2026</v>
      </c>
      <c r="B3874">
        <v>4</v>
      </c>
      <c r="C3874" s="83">
        <v>31043422356</v>
      </c>
      <c r="D3874" t="s">
        <v>3405</v>
      </c>
      <c r="E3874">
        <v>55572183466</v>
      </c>
      <c r="F3874">
        <v>636945</v>
      </c>
      <c r="G3874">
        <v>54118624262</v>
      </c>
      <c r="H3874" t="s">
        <v>35</v>
      </c>
      <c r="I3874" s="36">
        <v>53472</v>
      </c>
      <c r="J3874" s="36">
        <v>0</v>
      </c>
      <c r="K3874" s="85">
        <v>0</v>
      </c>
      <c r="L3874" s="36">
        <v>0</v>
      </c>
      <c r="M3874" s="36">
        <v>0</v>
      </c>
      <c r="N3874" s="36">
        <v>0</v>
      </c>
      <c r="O3874" s="36">
        <v>0</v>
      </c>
      <c r="P3874" t="s">
        <v>75</v>
      </c>
      <c r="Q3874" t="s">
        <v>37</v>
      </c>
      <c r="R3874" t="s">
        <v>37</v>
      </c>
      <c r="S3874" s="1">
        <v>46120</v>
      </c>
      <c r="T3874" s="1">
        <v>46120</v>
      </c>
      <c r="U3874" s="1"/>
      <c r="V3874" s="1"/>
      <c r="W3874" t="s">
        <v>39</v>
      </c>
      <c r="Y3874" t="s">
        <v>39</v>
      </c>
      <c r="AA3874" t="s">
        <v>40</v>
      </c>
      <c r="AB3874">
        <v>1</v>
      </c>
      <c r="AC3874" t="s">
        <v>41</v>
      </c>
      <c r="AD3874" t="s">
        <v>3015</v>
      </c>
      <c r="AE3874" t="s">
        <v>46</v>
      </c>
      <c r="AF3874" t="s">
        <v>47</v>
      </c>
      <c r="AG3874" t="str">
        <f t="shared" si="81"/>
        <v>À Vista</v>
      </c>
      <c r="AH3874" t="str">
        <f t="shared" si="82"/>
        <v/>
      </c>
    </row>
    <row r="3875" spans="1:34">
      <c r="A3875">
        <v>2026</v>
      </c>
      <c r="B3875">
        <v>4</v>
      </c>
      <c r="C3875" s="83">
        <v>31113760811</v>
      </c>
      <c r="D3875" t="s">
        <v>3408</v>
      </c>
      <c r="E3875">
        <v>59169869108</v>
      </c>
      <c r="F3875">
        <v>627490</v>
      </c>
      <c r="G3875">
        <v>54284732679</v>
      </c>
      <c r="H3875" t="s">
        <v>35</v>
      </c>
      <c r="I3875" s="36">
        <v>7349.76</v>
      </c>
      <c r="J3875" s="36">
        <v>1985.52</v>
      </c>
      <c r="K3875" s="85">
        <v>5364.24</v>
      </c>
      <c r="L3875" s="36">
        <v>165.46</v>
      </c>
      <c r="M3875" s="36">
        <v>0</v>
      </c>
      <c r="N3875" s="36">
        <v>165.46</v>
      </c>
      <c r="O3875" s="36">
        <v>0</v>
      </c>
      <c r="P3875" t="s">
        <v>520</v>
      </c>
      <c r="Q3875" t="s">
        <v>191</v>
      </c>
      <c r="R3875" t="s">
        <v>191</v>
      </c>
      <c r="S3875" s="1">
        <v>46127</v>
      </c>
      <c r="T3875" s="1">
        <v>46127</v>
      </c>
      <c r="U3875" s="1">
        <v>46830</v>
      </c>
      <c r="V3875" s="1">
        <v>46830</v>
      </c>
      <c r="W3875" t="s">
        <v>102</v>
      </c>
      <c r="X3875">
        <v>23</v>
      </c>
      <c r="Y3875" t="s">
        <v>49</v>
      </c>
      <c r="Z3875" t="s">
        <v>324</v>
      </c>
      <c r="AA3875" t="s">
        <v>92</v>
      </c>
      <c r="AB3875">
        <v>23</v>
      </c>
      <c r="AC3875" t="s">
        <v>192</v>
      </c>
      <c r="AD3875" t="s">
        <v>125</v>
      </c>
      <c r="AE3875" t="s">
        <v>43</v>
      </c>
      <c r="AF3875" t="s">
        <v>47</v>
      </c>
      <c r="AG3875" t="str">
        <f t="shared" si="81"/>
        <v>Recorrente</v>
      </c>
      <c r="AH3875" t="str">
        <f t="shared" si="82"/>
        <v/>
      </c>
    </row>
    <row r="3876" spans="1:34">
      <c r="A3876">
        <v>2026</v>
      </c>
      <c r="B3876">
        <v>4</v>
      </c>
      <c r="C3876" s="83">
        <v>31113760811</v>
      </c>
      <c r="D3876" t="s">
        <v>3408</v>
      </c>
      <c r="E3876">
        <v>59169869108</v>
      </c>
      <c r="F3876">
        <v>627490</v>
      </c>
      <c r="G3876">
        <v>54284732680</v>
      </c>
      <c r="H3876" t="s">
        <v>35</v>
      </c>
      <c r="I3876" s="36">
        <v>2060.64</v>
      </c>
      <c r="J3876" s="36">
        <v>1985.52</v>
      </c>
      <c r="K3876" s="85">
        <v>75.12</v>
      </c>
      <c r="L3876" s="36">
        <v>165.46</v>
      </c>
      <c r="M3876" s="36">
        <v>0</v>
      </c>
      <c r="N3876" s="36">
        <v>165.46</v>
      </c>
      <c r="O3876" s="36">
        <v>0</v>
      </c>
      <c r="P3876" t="s">
        <v>520</v>
      </c>
      <c r="Q3876" t="s">
        <v>191</v>
      </c>
      <c r="R3876" t="s">
        <v>191</v>
      </c>
      <c r="S3876" s="1">
        <v>46127</v>
      </c>
      <c r="T3876" s="1">
        <v>46127</v>
      </c>
      <c r="U3876" s="1">
        <v>46830</v>
      </c>
      <c r="V3876" s="1">
        <v>46830</v>
      </c>
      <c r="W3876" t="s">
        <v>102</v>
      </c>
      <c r="X3876">
        <v>23</v>
      </c>
      <c r="Y3876" t="s">
        <v>49</v>
      </c>
      <c r="Z3876" t="s">
        <v>324</v>
      </c>
      <c r="AA3876" t="s">
        <v>92</v>
      </c>
      <c r="AB3876">
        <v>23</v>
      </c>
      <c r="AC3876" t="s">
        <v>192</v>
      </c>
      <c r="AD3876" t="s">
        <v>527</v>
      </c>
      <c r="AE3876" t="s">
        <v>257</v>
      </c>
      <c r="AF3876" t="s">
        <v>59</v>
      </c>
      <c r="AG3876" t="str">
        <f t="shared" si="81"/>
        <v>Recorrente</v>
      </c>
      <c r="AH3876" t="str">
        <f t="shared" si="82"/>
        <v/>
      </c>
    </row>
    <row r="3877" spans="1:34">
      <c r="A3877">
        <v>2026</v>
      </c>
      <c r="B3877">
        <v>4</v>
      </c>
      <c r="C3877" s="83">
        <v>31113760811</v>
      </c>
      <c r="D3877" t="s">
        <v>3408</v>
      </c>
      <c r="E3877">
        <v>59169869108</v>
      </c>
      <c r="F3877">
        <v>627490</v>
      </c>
      <c r="G3877">
        <v>54284732681</v>
      </c>
      <c r="H3877" t="s">
        <v>35</v>
      </c>
      <c r="I3877" s="36">
        <v>2069.64</v>
      </c>
      <c r="J3877" s="36">
        <v>1985.52</v>
      </c>
      <c r="K3877" s="85">
        <v>84.12</v>
      </c>
      <c r="L3877" s="36">
        <v>165.46</v>
      </c>
      <c r="M3877" s="36">
        <v>0</v>
      </c>
      <c r="N3877" s="36">
        <v>165.46</v>
      </c>
      <c r="O3877" s="36">
        <v>0</v>
      </c>
      <c r="P3877" t="s">
        <v>520</v>
      </c>
      <c r="Q3877" t="s">
        <v>191</v>
      </c>
      <c r="R3877" t="s">
        <v>191</v>
      </c>
      <c r="S3877" s="1">
        <v>46127</v>
      </c>
      <c r="T3877" s="1">
        <v>46127</v>
      </c>
      <c r="U3877" s="1">
        <v>46830</v>
      </c>
      <c r="V3877" s="1">
        <v>46830</v>
      </c>
      <c r="W3877" t="s">
        <v>102</v>
      </c>
      <c r="X3877">
        <v>23</v>
      </c>
      <c r="Y3877" t="s">
        <v>49</v>
      </c>
      <c r="Z3877" t="s">
        <v>324</v>
      </c>
      <c r="AA3877" t="s">
        <v>92</v>
      </c>
      <c r="AB3877">
        <v>23</v>
      </c>
      <c r="AC3877" t="s">
        <v>192</v>
      </c>
      <c r="AD3877" t="s">
        <v>550</v>
      </c>
      <c r="AE3877" t="s">
        <v>363</v>
      </c>
      <c r="AF3877" t="s">
        <v>59</v>
      </c>
      <c r="AG3877" t="str">
        <f t="shared" si="81"/>
        <v>Recorrente</v>
      </c>
      <c r="AH3877" t="str">
        <f t="shared" si="82"/>
        <v/>
      </c>
    </row>
    <row r="3878" spans="1:34">
      <c r="A3878">
        <v>2026</v>
      </c>
      <c r="B3878">
        <v>4</v>
      </c>
      <c r="C3878" s="83">
        <v>31185035057</v>
      </c>
      <c r="D3878" t="s">
        <v>2544</v>
      </c>
      <c r="E3878">
        <v>58524640582</v>
      </c>
      <c r="F3878">
        <v>636730</v>
      </c>
      <c r="G3878">
        <v>54917854809</v>
      </c>
      <c r="H3878" t="s">
        <v>35</v>
      </c>
      <c r="I3878" s="36">
        <v>361</v>
      </c>
      <c r="J3878" s="36">
        <v>4332</v>
      </c>
      <c r="K3878" s="85">
        <v>0</v>
      </c>
      <c r="L3878" s="36">
        <v>361</v>
      </c>
      <c r="M3878" s="36">
        <v>0</v>
      </c>
      <c r="N3878" s="36">
        <v>0</v>
      </c>
      <c r="O3878" s="36">
        <v>361</v>
      </c>
      <c r="P3878" t="s">
        <v>133</v>
      </c>
      <c r="Q3878" t="s">
        <v>111</v>
      </c>
      <c r="R3878" t="s">
        <v>111</v>
      </c>
      <c r="S3878" s="1">
        <v>46142</v>
      </c>
      <c r="T3878" s="1">
        <v>46142</v>
      </c>
      <c r="U3878" s="1">
        <v>46139</v>
      </c>
      <c r="V3878" s="1">
        <v>46172</v>
      </c>
      <c r="W3878" t="s">
        <v>679</v>
      </c>
      <c r="X3878">
        <v>1</v>
      </c>
      <c r="Y3878" t="s">
        <v>49</v>
      </c>
      <c r="Z3878" t="s">
        <v>81</v>
      </c>
      <c r="AA3878" t="s">
        <v>117</v>
      </c>
      <c r="AB3878">
        <v>1</v>
      </c>
      <c r="AC3878" t="s">
        <v>113</v>
      </c>
      <c r="AD3878" t="s">
        <v>118</v>
      </c>
      <c r="AE3878" t="s">
        <v>43</v>
      </c>
      <c r="AF3878" t="s">
        <v>119</v>
      </c>
      <c r="AG3878" t="str">
        <f t="shared" si="81"/>
        <v>À Vista</v>
      </c>
      <c r="AH3878" t="str">
        <f t="shared" si="82"/>
        <v/>
      </c>
    </row>
    <row r="3879" spans="1:34">
      <c r="A3879">
        <v>2026</v>
      </c>
      <c r="B3879">
        <v>4</v>
      </c>
      <c r="C3879" s="83">
        <v>31293310037</v>
      </c>
      <c r="D3879" t="s">
        <v>3409</v>
      </c>
      <c r="E3879">
        <v>59153018248</v>
      </c>
      <c r="F3879">
        <v>627931</v>
      </c>
      <c r="G3879">
        <v>54509328286</v>
      </c>
      <c r="H3879" t="s">
        <v>35</v>
      </c>
      <c r="I3879" s="36">
        <v>4986.3599999999997</v>
      </c>
      <c r="J3879" s="36">
        <v>1445.08</v>
      </c>
      <c r="K3879" s="85">
        <v>3541.28</v>
      </c>
      <c r="L3879" s="36">
        <v>120.4233333</v>
      </c>
      <c r="M3879" s="36">
        <v>0</v>
      </c>
      <c r="N3879" s="36">
        <v>120.4233333</v>
      </c>
      <c r="O3879" s="36">
        <v>0</v>
      </c>
      <c r="P3879" t="s">
        <v>367</v>
      </c>
      <c r="Q3879" t="s">
        <v>191</v>
      </c>
      <c r="R3879" t="s">
        <v>191</v>
      </c>
      <c r="S3879" s="1">
        <v>46134</v>
      </c>
      <c r="T3879" s="1">
        <v>46134</v>
      </c>
      <c r="U3879" s="1">
        <v>46839</v>
      </c>
      <c r="V3879" s="1">
        <v>46839</v>
      </c>
      <c r="W3879" t="s">
        <v>102</v>
      </c>
      <c r="X3879">
        <v>23</v>
      </c>
      <c r="Y3879" t="s">
        <v>49</v>
      </c>
      <c r="Z3879" t="s">
        <v>324</v>
      </c>
      <c r="AA3879" t="s">
        <v>92</v>
      </c>
      <c r="AB3879">
        <v>23</v>
      </c>
      <c r="AC3879" t="s">
        <v>192</v>
      </c>
      <c r="AD3879" t="s">
        <v>174</v>
      </c>
      <c r="AE3879" t="s">
        <v>43</v>
      </c>
      <c r="AF3879" t="s">
        <v>47</v>
      </c>
      <c r="AG3879" t="str">
        <f t="shared" si="81"/>
        <v>Recorrente</v>
      </c>
      <c r="AH3879" t="str">
        <f t="shared" si="82"/>
        <v/>
      </c>
    </row>
    <row r="3880" spans="1:34">
      <c r="A3880">
        <v>2026</v>
      </c>
      <c r="B3880">
        <v>4</v>
      </c>
      <c r="C3880" s="83">
        <v>31293310037</v>
      </c>
      <c r="D3880" t="s">
        <v>3409</v>
      </c>
      <c r="E3880">
        <v>59153018248</v>
      </c>
      <c r="F3880">
        <v>627931</v>
      </c>
      <c r="G3880">
        <v>54509328287</v>
      </c>
      <c r="H3880" t="s">
        <v>35</v>
      </c>
      <c r="I3880" s="36">
        <v>1685.52</v>
      </c>
      <c r="J3880" s="36">
        <v>1445.08</v>
      </c>
      <c r="K3880" s="85">
        <v>240.44</v>
      </c>
      <c r="L3880" s="36">
        <v>120.4233333</v>
      </c>
      <c r="M3880" s="36">
        <v>0</v>
      </c>
      <c r="N3880" s="36">
        <v>120.4233333</v>
      </c>
      <c r="O3880" s="36">
        <v>0</v>
      </c>
      <c r="P3880" t="s">
        <v>367</v>
      </c>
      <c r="Q3880" t="s">
        <v>191</v>
      </c>
      <c r="R3880" t="s">
        <v>191</v>
      </c>
      <c r="S3880" s="1">
        <v>46134</v>
      </c>
      <c r="T3880" s="1">
        <v>46134</v>
      </c>
      <c r="U3880" s="1">
        <v>46839</v>
      </c>
      <c r="V3880" s="1">
        <v>46839</v>
      </c>
      <c r="W3880" t="s">
        <v>102</v>
      </c>
      <c r="X3880">
        <v>23</v>
      </c>
      <c r="Y3880" t="s">
        <v>49</v>
      </c>
      <c r="Z3880" t="s">
        <v>324</v>
      </c>
      <c r="AA3880" t="s">
        <v>92</v>
      </c>
      <c r="AB3880">
        <v>23</v>
      </c>
      <c r="AC3880" t="s">
        <v>192</v>
      </c>
      <c r="AD3880" t="s">
        <v>550</v>
      </c>
      <c r="AE3880" t="s">
        <v>363</v>
      </c>
      <c r="AF3880" t="s">
        <v>59</v>
      </c>
      <c r="AG3880" t="str">
        <f t="shared" si="81"/>
        <v>Recorrente</v>
      </c>
      <c r="AH3880" t="str">
        <f t="shared" si="82"/>
        <v/>
      </c>
    </row>
    <row r="3881" spans="1:34">
      <c r="A3881">
        <v>2026</v>
      </c>
      <c r="B3881">
        <v>4</v>
      </c>
      <c r="C3881" s="83">
        <v>31293310037</v>
      </c>
      <c r="D3881" t="s">
        <v>3409</v>
      </c>
      <c r="E3881">
        <v>59153018248</v>
      </c>
      <c r="F3881">
        <v>627931</v>
      </c>
      <c r="G3881">
        <v>54509328288</v>
      </c>
      <c r="H3881" t="s">
        <v>35</v>
      </c>
      <c r="I3881" s="36">
        <v>1695.24</v>
      </c>
      <c r="J3881" s="36">
        <v>1445.08</v>
      </c>
      <c r="K3881" s="85">
        <v>250.16</v>
      </c>
      <c r="L3881" s="36">
        <v>120.4233333</v>
      </c>
      <c r="M3881" s="36">
        <v>0</v>
      </c>
      <c r="N3881" s="36">
        <v>120.4233333</v>
      </c>
      <c r="O3881" s="36">
        <v>0</v>
      </c>
      <c r="P3881" t="s">
        <v>367</v>
      </c>
      <c r="Q3881" t="s">
        <v>191</v>
      </c>
      <c r="R3881" t="s">
        <v>191</v>
      </c>
      <c r="S3881" s="1">
        <v>46134</v>
      </c>
      <c r="T3881" s="1">
        <v>46134</v>
      </c>
      <c r="U3881" s="1">
        <v>46839</v>
      </c>
      <c r="V3881" s="1">
        <v>46839</v>
      </c>
      <c r="W3881" t="s">
        <v>102</v>
      </c>
      <c r="X3881">
        <v>23</v>
      </c>
      <c r="Y3881" t="s">
        <v>49</v>
      </c>
      <c r="Z3881" t="s">
        <v>324</v>
      </c>
      <c r="AA3881" t="s">
        <v>92</v>
      </c>
      <c r="AB3881">
        <v>23</v>
      </c>
      <c r="AC3881" t="s">
        <v>192</v>
      </c>
      <c r="AD3881" t="s">
        <v>527</v>
      </c>
      <c r="AE3881" t="s">
        <v>257</v>
      </c>
      <c r="AF3881" t="s">
        <v>59</v>
      </c>
      <c r="AG3881" t="str">
        <f t="shared" si="81"/>
        <v>Recorrente</v>
      </c>
      <c r="AH3881" t="str">
        <f t="shared" si="82"/>
        <v/>
      </c>
    </row>
    <row r="3882" spans="1:34">
      <c r="A3882">
        <v>2026</v>
      </c>
      <c r="B3882">
        <v>4</v>
      </c>
      <c r="C3882" s="83">
        <v>31312678158</v>
      </c>
      <c r="D3882" t="s">
        <v>3410</v>
      </c>
      <c r="E3882">
        <v>58986848133</v>
      </c>
      <c r="F3882">
        <v>627674</v>
      </c>
      <c r="G3882">
        <v>54119254100</v>
      </c>
      <c r="H3882" t="s">
        <v>35</v>
      </c>
      <c r="I3882" s="36">
        <v>2320.8000000000002</v>
      </c>
      <c r="J3882" s="36">
        <v>2320.8000000000002</v>
      </c>
      <c r="K3882" s="85">
        <v>0</v>
      </c>
      <c r="L3882" s="36">
        <v>193.4</v>
      </c>
      <c r="M3882" s="36">
        <v>0</v>
      </c>
      <c r="N3882" s="36">
        <v>10.55625</v>
      </c>
      <c r="O3882" s="36">
        <v>182.84</v>
      </c>
      <c r="P3882" t="s">
        <v>137</v>
      </c>
      <c r="Q3882" t="s">
        <v>111</v>
      </c>
      <c r="R3882" t="s">
        <v>111</v>
      </c>
      <c r="S3882" s="1">
        <v>46120</v>
      </c>
      <c r="T3882" s="1">
        <v>46120</v>
      </c>
      <c r="U3882" s="1">
        <v>46103</v>
      </c>
      <c r="V3882" s="1">
        <v>46485</v>
      </c>
      <c r="W3882" t="s">
        <v>38</v>
      </c>
      <c r="X3882">
        <v>13</v>
      </c>
      <c r="Y3882" t="s">
        <v>49</v>
      </c>
      <c r="Z3882" t="s">
        <v>81</v>
      </c>
      <c r="AA3882" t="s">
        <v>122</v>
      </c>
      <c r="AB3882">
        <v>12</v>
      </c>
      <c r="AC3882" t="s">
        <v>113</v>
      </c>
      <c r="AD3882" t="s">
        <v>118</v>
      </c>
      <c r="AE3882" t="s">
        <v>43</v>
      </c>
      <c r="AF3882" t="s">
        <v>119</v>
      </c>
      <c r="AG3882" t="str">
        <f t="shared" si="81"/>
        <v>Recorrente</v>
      </c>
      <c r="AH3882" t="str">
        <f t="shared" si="82"/>
        <v/>
      </c>
    </row>
    <row r="3883" spans="1:34">
      <c r="A3883">
        <v>2026</v>
      </c>
      <c r="B3883">
        <v>4</v>
      </c>
      <c r="C3883" s="83">
        <v>31415141419</v>
      </c>
      <c r="D3883" t="s">
        <v>3411</v>
      </c>
      <c r="E3883">
        <v>59644270608</v>
      </c>
      <c r="F3883">
        <v>637324</v>
      </c>
      <c r="G3883">
        <v>54703950339</v>
      </c>
      <c r="H3883" t="s">
        <v>35</v>
      </c>
      <c r="I3883" s="36">
        <v>4833</v>
      </c>
      <c r="J3883" s="36">
        <v>4833</v>
      </c>
      <c r="K3883" s="85">
        <v>0</v>
      </c>
      <c r="L3883" s="36">
        <v>402.75</v>
      </c>
      <c r="M3883" s="36">
        <v>0</v>
      </c>
      <c r="N3883" s="36">
        <v>402.75</v>
      </c>
      <c r="O3883" s="36">
        <v>0</v>
      </c>
      <c r="P3883" t="s">
        <v>1073</v>
      </c>
      <c r="Q3883" t="s">
        <v>314</v>
      </c>
      <c r="R3883" t="s">
        <v>191</v>
      </c>
      <c r="S3883" s="1">
        <v>46136</v>
      </c>
      <c r="T3883" s="1">
        <v>46136</v>
      </c>
      <c r="V3883" s="1">
        <v>46501</v>
      </c>
      <c r="W3883" t="s">
        <v>38</v>
      </c>
      <c r="X3883">
        <v>12</v>
      </c>
      <c r="Y3883" t="s">
        <v>49</v>
      </c>
      <c r="AA3883" t="s">
        <v>122</v>
      </c>
      <c r="AB3883">
        <v>12</v>
      </c>
      <c r="AC3883" t="s">
        <v>192</v>
      </c>
      <c r="AD3883" t="s">
        <v>256</v>
      </c>
      <c r="AE3883" t="s">
        <v>257</v>
      </c>
      <c r="AF3883" t="s">
        <v>59</v>
      </c>
      <c r="AG3883" t="str">
        <f t="shared" si="81"/>
        <v>Recorrente</v>
      </c>
      <c r="AH3883" t="str">
        <f t="shared" si="82"/>
        <v/>
      </c>
    </row>
    <row r="3884" spans="1:34">
      <c r="A3884">
        <v>2026</v>
      </c>
      <c r="B3884">
        <v>4</v>
      </c>
      <c r="C3884" s="83">
        <v>31415141419</v>
      </c>
      <c r="D3884" t="s">
        <v>3411</v>
      </c>
      <c r="E3884">
        <v>59644270608</v>
      </c>
      <c r="F3884">
        <v>637324</v>
      </c>
      <c r="G3884">
        <v>54703950340</v>
      </c>
      <c r="H3884" t="s">
        <v>35</v>
      </c>
      <c r="I3884" s="36">
        <v>11437.2</v>
      </c>
      <c r="J3884" s="36">
        <v>11437.2</v>
      </c>
      <c r="K3884" s="85">
        <v>0</v>
      </c>
      <c r="L3884" s="36">
        <v>953.1</v>
      </c>
      <c r="M3884" s="36">
        <v>0</v>
      </c>
      <c r="N3884" s="36">
        <v>953.1</v>
      </c>
      <c r="O3884" s="36">
        <v>0</v>
      </c>
      <c r="P3884" t="s">
        <v>1073</v>
      </c>
      <c r="Q3884" t="s">
        <v>314</v>
      </c>
      <c r="R3884" t="s">
        <v>191</v>
      </c>
      <c r="S3884" s="1">
        <v>46136</v>
      </c>
      <c r="T3884" s="1">
        <v>46136</v>
      </c>
      <c r="U3884" s="1"/>
      <c r="V3884" s="1">
        <v>46501</v>
      </c>
      <c r="W3884" t="s">
        <v>38</v>
      </c>
      <c r="X3884">
        <v>12</v>
      </c>
      <c r="Y3884" t="s">
        <v>49</v>
      </c>
      <c r="AA3884" t="s">
        <v>122</v>
      </c>
      <c r="AB3884">
        <v>12</v>
      </c>
      <c r="AC3884" t="s">
        <v>192</v>
      </c>
      <c r="AD3884" t="s">
        <v>351</v>
      </c>
      <c r="AE3884" t="s">
        <v>95</v>
      </c>
      <c r="AF3884" t="s">
        <v>96</v>
      </c>
      <c r="AG3884" t="str">
        <f t="shared" si="81"/>
        <v>Recorrente</v>
      </c>
      <c r="AH3884" t="str">
        <f t="shared" si="82"/>
        <v/>
      </c>
    </row>
    <row r="3885" spans="1:34">
      <c r="A3885">
        <v>2026</v>
      </c>
      <c r="B3885">
        <v>4</v>
      </c>
      <c r="C3885" s="83">
        <v>31627615286</v>
      </c>
      <c r="D3885" t="s">
        <v>3412</v>
      </c>
      <c r="E3885">
        <v>58954386538</v>
      </c>
      <c r="F3885">
        <v>270396</v>
      </c>
      <c r="G3885">
        <v>54268534549</v>
      </c>
      <c r="H3885" t="s">
        <v>35</v>
      </c>
      <c r="I3885" s="36">
        <v>4692</v>
      </c>
      <c r="J3885" s="36">
        <v>4692</v>
      </c>
      <c r="K3885" s="85">
        <v>0</v>
      </c>
      <c r="L3885" s="36">
        <v>391</v>
      </c>
      <c r="M3885" s="36">
        <v>0</v>
      </c>
      <c r="N3885" s="36">
        <v>43.51</v>
      </c>
      <c r="O3885" s="36">
        <v>347.49</v>
      </c>
      <c r="P3885" t="s">
        <v>127</v>
      </c>
      <c r="Q3885" t="s">
        <v>111</v>
      </c>
      <c r="R3885" t="s">
        <v>111</v>
      </c>
      <c r="S3885" s="1">
        <v>46125</v>
      </c>
      <c r="T3885" s="1">
        <v>46125</v>
      </c>
      <c r="U3885" s="1">
        <v>46133</v>
      </c>
      <c r="V3885" s="1">
        <v>46498</v>
      </c>
      <c r="W3885" t="s">
        <v>38</v>
      </c>
      <c r="X3885">
        <v>12</v>
      </c>
      <c r="Y3885" t="s">
        <v>49</v>
      </c>
      <c r="Z3885" t="s">
        <v>81</v>
      </c>
      <c r="AA3885" t="s">
        <v>122</v>
      </c>
      <c r="AB3885">
        <v>12</v>
      </c>
      <c r="AC3885" t="s">
        <v>113</v>
      </c>
      <c r="AD3885" t="s">
        <v>138</v>
      </c>
      <c r="AE3885" t="s">
        <v>135</v>
      </c>
      <c r="AF3885" t="s">
        <v>119</v>
      </c>
      <c r="AG3885" t="str">
        <f t="shared" si="81"/>
        <v>Recorrente</v>
      </c>
      <c r="AH3885" t="str">
        <f t="shared" si="82"/>
        <v/>
      </c>
    </row>
    <row r="3886" spans="1:34">
      <c r="A3886">
        <v>2026</v>
      </c>
      <c r="B3886">
        <v>4</v>
      </c>
      <c r="C3886" s="83">
        <v>31701956661</v>
      </c>
      <c r="D3886" t="s">
        <v>3413</v>
      </c>
      <c r="E3886">
        <v>57597573012</v>
      </c>
      <c r="F3886">
        <v>612889</v>
      </c>
      <c r="G3886">
        <v>54041618046</v>
      </c>
      <c r="H3886" t="s">
        <v>35</v>
      </c>
      <c r="I3886" s="36">
        <v>2198.64</v>
      </c>
      <c r="J3886" s="36">
        <v>2198.64</v>
      </c>
      <c r="K3886" s="85">
        <v>0</v>
      </c>
      <c r="L3886" s="36">
        <v>183.22</v>
      </c>
      <c r="M3886" s="36">
        <v>0</v>
      </c>
      <c r="N3886" s="36">
        <v>10.542289999999999</v>
      </c>
      <c r="O3886" s="36">
        <v>172.68</v>
      </c>
      <c r="P3886" t="s">
        <v>116</v>
      </c>
      <c r="Q3886" t="s">
        <v>111</v>
      </c>
      <c r="R3886" t="s">
        <v>111</v>
      </c>
      <c r="S3886" s="1">
        <v>46119</v>
      </c>
      <c r="T3886" s="1">
        <v>46119</v>
      </c>
      <c r="U3886" s="1">
        <v>46116</v>
      </c>
      <c r="V3886" s="1">
        <v>46484</v>
      </c>
      <c r="W3886" t="s">
        <v>38</v>
      </c>
      <c r="X3886">
        <v>12</v>
      </c>
      <c r="Y3886" t="s">
        <v>49</v>
      </c>
      <c r="Z3886" t="s">
        <v>81</v>
      </c>
      <c r="AA3886" t="s">
        <v>112</v>
      </c>
      <c r="AB3886">
        <v>12</v>
      </c>
      <c r="AC3886" t="s">
        <v>113</v>
      </c>
      <c r="AD3886" t="s">
        <v>140</v>
      </c>
      <c r="AE3886" t="s">
        <v>46</v>
      </c>
      <c r="AF3886" t="s">
        <v>119</v>
      </c>
      <c r="AG3886" t="str">
        <f t="shared" si="81"/>
        <v>CC 12x</v>
      </c>
      <c r="AH3886" t="str">
        <f t="shared" si="82"/>
        <v/>
      </c>
    </row>
    <row r="3887" spans="1:34">
      <c r="A3887">
        <v>2026</v>
      </c>
      <c r="B3887">
        <v>4</v>
      </c>
      <c r="C3887" s="83">
        <v>31753268049</v>
      </c>
      <c r="D3887" t="s">
        <v>3414</v>
      </c>
      <c r="E3887">
        <v>57972096441</v>
      </c>
      <c r="F3887">
        <v>311204</v>
      </c>
      <c r="G3887">
        <v>53317280137</v>
      </c>
      <c r="H3887" t="s">
        <v>35</v>
      </c>
      <c r="I3887" s="36">
        <v>5400</v>
      </c>
      <c r="J3887" s="36">
        <v>5400</v>
      </c>
      <c r="K3887" s="85">
        <v>0</v>
      </c>
      <c r="L3887" s="36">
        <v>450</v>
      </c>
      <c r="M3887" s="36">
        <v>0</v>
      </c>
      <c r="N3887" s="36">
        <v>50.8</v>
      </c>
      <c r="O3887" s="36">
        <v>399.2</v>
      </c>
      <c r="P3887" t="s">
        <v>127</v>
      </c>
      <c r="Q3887" t="s">
        <v>111</v>
      </c>
      <c r="R3887" t="s">
        <v>111</v>
      </c>
      <c r="S3887" s="1">
        <v>46100</v>
      </c>
      <c r="T3887" s="1">
        <v>46113</v>
      </c>
      <c r="U3887" s="1">
        <v>46124</v>
      </c>
      <c r="V3887" s="1">
        <v>46489</v>
      </c>
      <c r="W3887" t="s">
        <v>38</v>
      </c>
      <c r="X3887">
        <v>12</v>
      </c>
      <c r="Y3887" t="s">
        <v>49</v>
      </c>
      <c r="Z3887" t="s">
        <v>81</v>
      </c>
      <c r="AA3887" t="s">
        <v>122</v>
      </c>
      <c r="AB3887">
        <v>12</v>
      </c>
      <c r="AC3887" t="s">
        <v>113</v>
      </c>
      <c r="AD3887" t="s">
        <v>158</v>
      </c>
      <c r="AE3887" t="s">
        <v>43</v>
      </c>
      <c r="AF3887" t="s">
        <v>47</v>
      </c>
      <c r="AG3887" t="str">
        <f t="shared" si="81"/>
        <v>Recorrente</v>
      </c>
      <c r="AH3887" t="str">
        <f t="shared" si="82"/>
        <v/>
      </c>
    </row>
    <row r="3888" spans="1:34">
      <c r="A3888">
        <v>2026</v>
      </c>
      <c r="B3888">
        <v>4</v>
      </c>
      <c r="C3888" s="83">
        <v>31890193039</v>
      </c>
      <c r="D3888" t="s">
        <v>3415</v>
      </c>
      <c r="E3888">
        <v>56849457459</v>
      </c>
      <c r="F3888">
        <v>628440</v>
      </c>
      <c r="G3888">
        <v>52080538781</v>
      </c>
      <c r="H3888" t="s">
        <v>35</v>
      </c>
      <c r="I3888" s="36">
        <v>2874</v>
      </c>
      <c r="J3888" s="36">
        <v>2874</v>
      </c>
      <c r="K3888" s="85">
        <v>0</v>
      </c>
      <c r="L3888" s="36">
        <v>239.5</v>
      </c>
      <c r="M3888" s="36">
        <v>0</v>
      </c>
      <c r="N3888" s="36">
        <v>0.5</v>
      </c>
      <c r="O3888" s="36">
        <v>239</v>
      </c>
      <c r="P3888" t="s">
        <v>165</v>
      </c>
      <c r="Q3888" t="s">
        <v>166</v>
      </c>
      <c r="R3888" t="s">
        <v>166</v>
      </c>
      <c r="S3888" s="1">
        <v>46121</v>
      </c>
      <c r="T3888" s="1">
        <v>46121</v>
      </c>
      <c r="U3888" s="1">
        <v>46121</v>
      </c>
      <c r="V3888" s="1">
        <v>46486</v>
      </c>
      <c r="W3888" t="s">
        <v>38</v>
      </c>
      <c r="X3888">
        <v>12</v>
      </c>
      <c r="Y3888" t="s">
        <v>49</v>
      </c>
      <c r="Z3888" t="s">
        <v>81</v>
      </c>
      <c r="AA3888" t="s">
        <v>122</v>
      </c>
      <c r="AB3888">
        <v>12</v>
      </c>
      <c r="AC3888" t="s">
        <v>166</v>
      </c>
      <c r="AD3888" t="s">
        <v>118</v>
      </c>
      <c r="AE3888" t="s">
        <v>43</v>
      </c>
      <c r="AF3888" t="s">
        <v>119</v>
      </c>
      <c r="AG3888" t="str">
        <f t="shared" si="81"/>
        <v>Recorrente</v>
      </c>
      <c r="AH3888" t="str">
        <f t="shared" si="82"/>
        <v/>
      </c>
    </row>
    <row r="3889" spans="1:34">
      <c r="A3889">
        <v>2026</v>
      </c>
      <c r="B3889">
        <v>4</v>
      </c>
      <c r="C3889" s="83">
        <v>31950921626</v>
      </c>
      <c r="D3889" t="s">
        <v>3416</v>
      </c>
      <c r="E3889">
        <v>56929376564</v>
      </c>
      <c r="F3889">
        <v>628501</v>
      </c>
      <c r="G3889">
        <v>52217958995</v>
      </c>
      <c r="H3889" t="s">
        <v>35</v>
      </c>
      <c r="I3889" s="36">
        <v>3450.6</v>
      </c>
      <c r="J3889" s="36">
        <v>3450.6</v>
      </c>
      <c r="K3889" s="85">
        <v>0</v>
      </c>
      <c r="L3889" s="36">
        <v>287.55</v>
      </c>
      <c r="M3889" s="36">
        <v>0</v>
      </c>
      <c r="N3889" s="36">
        <v>64.05</v>
      </c>
      <c r="O3889" s="36">
        <v>223.5</v>
      </c>
      <c r="P3889" t="s">
        <v>165</v>
      </c>
      <c r="Q3889" t="s">
        <v>166</v>
      </c>
      <c r="R3889" t="s">
        <v>166</v>
      </c>
      <c r="S3889" s="1">
        <v>46087</v>
      </c>
      <c r="T3889" s="1">
        <v>46113</v>
      </c>
      <c r="U3889" s="1">
        <v>46122</v>
      </c>
      <c r="V3889" s="1">
        <v>46487</v>
      </c>
      <c r="W3889" t="s">
        <v>38</v>
      </c>
      <c r="X3889">
        <v>12</v>
      </c>
      <c r="Y3889" t="s">
        <v>49</v>
      </c>
      <c r="Z3889" t="s">
        <v>81</v>
      </c>
      <c r="AA3889" t="s">
        <v>112</v>
      </c>
      <c r="AB3889">
        <v>12</v>
      </c>
      <c r="AC3889" t="s">
        <v>166</v>
      </c>
      <c r="AD3889" t="s">
        <v>142</v>
      </c>
      <c r="AE3889" t="s">
        <v>95</v>
      </c>
      <c r="AF3889" t="s">
        <v>44</v>
      </c>
      <c r="AG3889" t="str">
        <f t="shared" si="81"/>
        <v>CC 12x</v>
      </c>
      <c r="AH3889" t="str">
        <f t="shared" si="82"/>
        <v/>
      </c>
    </row>
    <row r="3890" spans="1:34">
      <c r="A3890">
        <v>2026</v>
      </c>
      <c r="B3890">
        <v>4</v>
      </c>
      <c r="C3890" s="83">
        <v>31969485446</v>
      </c>
      <c r="D3890" t="s">
        <v>3417</v>
      </c>
      <c r="E3890">
        <v>59717826613</v>
      </c>
      <c r="F3890">
        <v>629016</v>
      </c>
      <c r="G3890">
        <v>54699278138</v>
      </c>
      <c r="H3890" t="s">
        <v>35</v>
      </c>
      <c r="I3890" s="36">
        <v>4530.6000000000004</v>
      </c>
      <c r="J3890" s="36">
        <v>4530.6000000000004</v>
      </c>
      <c r="K3890" s="85">
        <v>0</v>
      </c>
      <c r="L3890" s="36">
        <v>377.55</v>
      </c>
      <c r="M3890" s="36">
        <v>0</v>
      </c>
      <c r="N3890" s="36">
        <v>48.6</v>
      </c>
      <c r="O3890" s="36">
        <v>328.95</v>
      </c>
      <c r="P3890" t="s">
        <v>110</v>
      </c>
      <c r="Q3890" t="s">
        <v>111</v>
      </c>
      <c r="R3890" t="s">
        <v>111</v>
      </c>
      <c r="S3890" s="1">
        <v>46139</v>
      </c>
      <c r="T3890" s="1">
        <v>46139</v>
      </c>
      <c r="U3890" s="1">
        <v>46139</v>
      </c>
      <c r="V3890" s="1">
        <v>46504</v>
      </c>
      <c r="W3890" t="s">
        <v>38</v>
      </c>
      <c r="X3890">
        <v>12</v>
      </c>
      <c r="Y3890" t="s">
        <v>49</v>
      </c>
      <c r="Z3890" t="s">
        <v>81</v>
      </c>
      <c r="AA3890" t="s">
        <v>122</v>
      </c>
      <c r="AB3890">
        <v>12</v>
      </c>
      <c r="AC3890" t="s">
        <v>113</v>
      </c>
      <c r="AD3890" t="s">
        <v>84</v>
      </c>
      <c r="AE3890" t="s">
        <v>43</v>
      </c>
      <c r="AF3890" t="s">
        <v>44</v>
      </c>
      <c r="AG3890" t="str">
        <f t="shared" si="81"/>
        <v>Recorrente</v>
      </c>
      <c r="AH3890" t="str">
        <f t="shared" si="82"/>
        <v/>
      </c>
    </row>
    <row r="3891" spans="1:34">
      <c r="A3891">
        <v>2026</v>
      </c>
      <c r="B3891">
        <v>4</v>
      </c>
      <c r="C3891" s="83">
        <v>31969852771</v>
      </c>
      <c r="D3891" t="s">
        <v>1625</v>
      </c>
      <c r="E3891">
        <v>59081189929</v>
      </c>
      <c r="F3891">
        <v>628556</v>
      </c>
      <c r="G3891">
        <v>54271761435</v>
      </c>
      <c r="H3891" t="s">
        <v>35</v>
      </c>
      <c r="I3891" s="36">
        <v>2586.6</v>
      </c>
      <c r="J3891" s="36">
        <v>2586.6</v>
      </c>
      <c r="K3891" s="85">
        <v>0</v>
      </c>
      <c r="L3891" s="36">
        <v>215.55</v>
      </c>
      <c r="M3891" s="36">
        <v>0</v>
      </c>
      <c r="N3891" s="36">
        <v>12.4</v>
      </c>
      <c r="O3891" s="36">
        <v>203.15</v>
      </c>
      <c r="P3891" t="s">
        <v>127</v>
      </c>
      <c r="Q3891" t="s">
        <v>111</v>
      </c>
      <c r="R3891" t="s">
        <v>111</v>
      </c>
      <c r="S3891" s="1">
        <v>46125</v>
      </c>
      <c r="T3891" s="1">
        <v>46125</v>
      </c>
      <c r="U3891" s="1">
        <v>46123</v>
      </c>
      <c r="V3891" s="1">
        <v>46490</v>
      </c>
      <c r="W3891" t="s">
        <v>38</v>
      </c>
      <c r="X3891">
        <v>12</v>
      </c>
      <c r="Y3891" t="s">
        <v>49</v>
      </c>
      <c r="Z3891" t="s">
        <v>81</v>
      </c>
      <c r="AA3891" t="s">
        <v>92</v>
      </c>
      <c r="AB3891">
        <v>12</v>
      </c>
      <c r="AC3891" t="s">
        <v>113</v>
      </c>
      <c r="AD3891" t="s">
        <v>140</v>
      </c>
      <c r="AE3891" t="s">
        <v>46</v>
      </c>
      <c r="AF3891" t="s">
        <v>119</v>
      </c>
      <c r="AG3891" t="str">
        <f t="shared" si="81"/>
        <v>Recorrente</v>
      </c>
      <c r="AH3891" t="str">
        <f t="shared" si="82"/>
        <v/>
      </c>
    </row>
    <row r="3892" spans="1:34">
      <c r="A3892">
        <v>2026</v>
      </c>
      <c r="B3892">
        <v>4</v>
      </c>
      <c r="C3892" s="83">
        <v>31969852771</v>
      </c>
      <c r="D3892" t="s">
        <v>1625</v>
      </c>
      <c r="E3892">
        <v>59081189929</v>
      </c>
      <c r="F3892">
        <v>628556</v>
      </c>
      <c r="G3892">
        <v>54271761436</v>
      </c>
      <c r="H3892" t="s">
        <v>35</v>
      </c>
      <c r="I3892" s="36">
        <v>2586.6</v>
      </c>
      <c r="J3892" s="36">
        <v>2586.6</v>
      </c>
      <c r="K3892" s="85">
        <v>0</v>
      </c>
      <c r="L3892" s="36">
        <v>215.55</v>
      </c>
      <c r="M3892" s="36">
        <v>0</v>
      </c>
      <c r="N3892" s="36">
        <v>12.4</v>
      </c>
      <c r="O3892" s="36">
        <v>203.15</v>
      </c>
      <c r="P3892" t="s">
        <v>127</v>
      </c>
      <c r="Q3892" t="s">
        <v>111</v>
      </c>
      <c r="R3892" t="s">
        <v>111</v>
      </c>
      <c r="S3892" s="1">
        <v>46125</v>
      </c>
      <c r="T3892" s="1">
        <v>46125</v>
      </c>
      <c r="U3892" s="1">
        <v>46123</v>
      </c>
      <c r="V3892" s="1">
        <v>46490</v>
      </c>
      <c r="W3892" t="s">
        <v>38</v>
      </c>
      <c r="X3892">
        <v>12</v>
      </c>
      <c r="Y3892" t="s">
        <v>49</v>
      </c>
      <c r="Z3892" t="s">
        <v>81</v>
      </c>
      <c r="AA3892" t="s">
        <v>92</v>
      </c>
      <c r="AB3892">
        <v>12</v>
      </c>
      <c r="AC3892" t="s">
        <v>113</v>
      </c>
      <c r="AD3892" t="s">
        <v>118</v>
      </c>
      <c r="AE3892" t="s">
        <v>43</v>
      </c>
      <c r="AF3892" t="s">
        <v>119</v>
      </c>
      <c r="AG3892" t="str">
        <f t="shared" si="81"/>
        <v>Recorrente</v>
      </c>
      <c r="AH3892" t="str">
        <f t="shared" si="82"/>
        <v/>
      </c>
    </row>
    <row r="3893" spans="1:34">
      <c r="A3893">
        <v>2026</v>
      </c>
      <c r="B3893">
        <v>4</v>
      </c>
      <c r="C3893" s="83">
        <v>31972317817</v>
      </c>
      <c r="D3893" t="s">
        <v>3418</v>
      </c>
      <c r="E3893">
        <v>59091708783</v>
      </c>
      <c r="F3893">
        <v>628545</v>
      </c>
      <c r="G3893">
        <v>54149985351</v>
      </c>
      <c r="H3893" t="s">
        <v>35</v>
      </c>
      <c r="I3893" s="36">
        <v>5400.84</v>
      </c>
      <c r="J3893" s="36">
        <v>5400.84</v>
      </c>
      <c r="K3893" s="85">
        <v>0</v>
      </c>
      <c r="L3893" s="36">
        <v>450.07</v>
      </c>
      <c r="M3893" s="36">
        <v>0</v>
      </c>
      <c r="N3893" s="36">
        <v>159.82499999999999</v>
      </c>
      <c r="O3893" s="36">
        <v>290.25</v>
      </c>
      <c r="P3893" t="s">
        <v>137</v>
      </c>
      <c r="Q3893" t="s">
        <v>111</v>
      </c>
      <c r="R3893" t="s">
        <v>111</v>
      </c>
      <c r="S3893" s="1">
        <v>46122</v>
      </c>
      <c r="T3893" s="1">
        <v>46122</v>
      </c>
      <c r="U3893" s="1">
        <v>46123</v>
      </c>
      <c r="V3893" s="1">
        <v>46488</v>
      </c>
      <c r="W3893" t="s">
        <v>38</v>
      </c>
      <c r="X3893">
        <v>12</v>
      </c>
      <c r="Y3893" t="s">
        <v>49</v>
      </c>
      <c r="Z3893" t="s">
        <v>76</v>
      </c>
      <c r="AA3893" t="s">
        <v>112</v>
      </c>
      <c r="AB3893">
        <v>12</v>
      </c>
      <c r="AC3893" t="s">
        <v>113</v>
      </c>
      <c r="AD3893" t="s">
        <v>149</v>
      </c>
      <c r="AE3893" t="s">
        <v>43</v>
      </c>
      <c r="AF3893" t="s">
        <v>96</v>
      </c>
      <c r="AG3893" t="str">
        <f t="shared" si="81"/>
        <v>CC 12x</v>
      </c>
      <c r="AH3893" t="str">
        <f t="shared" si="82"/>
        <v/>
      </c>
    </row>
    <row r="3894" spans="1:34">
      <c r="A3894">
        <v>2026</v>
      </c>
      <c r="B3894">
        <v>4</v>
      </c>
      <c r="C3894" s="83">
        <v>31974593638</v>
      </c>
      <c r="D3894" t="s">
        <v>3419</v>
      </c>
      <c r="E3894">
        <v>58887485706</v>
      </c>
      <c r="F3894">
        <v>311989</v>
      </c>
      <c r="G3894">
        <v>54119237230</v>
      </c>
      <c r="H3894" t="s">
        <v>35</v>
      </c>
      <c r="I3894" s="36">
        <v>6624.84</v>
      </c>
      <c r="J3894" s="36">
        <v>6624.84</v>
      </c>
      <c r="K3894" s="85">
        <v>0</v>
      </c>
      <c r="L3894" s="36">
        <v>552.07000000000005</v>
      </c>
      <c r="M3894" s="36">
        <v>0</v>
      </c>
      <c r="N3894" s="36">
        <v>129.27500000000001</v>
      </c>
      <c r="O3894" s="36">
        <v>422.8</v>
      </c>
      <c r="P3894" t="s">
        <v>110</v>
      </c>
      <c r="Q3894" t="s">
        <v>111</v>
      </c>
      <c r="R3894" t="s">
        <v>111</v>
      </c>
      <c r="S3894" s="1">
        <v>46120</v>
      </c>
      <c r="T3894" s="1">
        <v>46120</v>
      </c>
      <c r="U3894" s="1">
        <v>46118</v>
      </c>
      <c r="V3894" s="1">
        <v>46485</v>
      </c>
      <c r="W3894" t="s">
        <v>38</v>
      </c>
      <c r="X3894">
        <v>12</v>
      </c>
      <c r="Y3894" t="s">
        <v>49</v>
      </c>
      <c r="Z3894" t="s">
        <v>81</v>
      </c>
      <c r="AA3894" t="s">
        <v>112</v>
      </c>
      <c r="AB3894">
        <v>12</v>
      </c>
      <c r="AC3894" t="s">
        <v>113</v>
      </c>
      <c r="AD3894" t="s">
        <v>125</v>
      </c>
      <c r="AE3894" t="s">
        <v>43</v>
      </c>
      <c r="AF3894" t="s">
        <v>47</v>
      </c>
      <c r="AG3894" t="str">
        <f t="shared" si="81"/>
        <v>CC 12x</v>
      </c>
      <c r="AH3894" t="str">
        <f t="shared" si="82"/>
        <v/>
      </c>
    </row>
    <row r="3895" spans="1:34">
      <c r="A3895">
        <v>2026</v>
      </c>
      <c r="B3895">
        <v>4</v>
      </c>
      <c r="C3895" s="83">
        <v>32028344592</v>
      </c>
      <c r="D3895" t="s">
        <v>3420</v>
      </c>
      <c r="E3895">
        <v>57992573993</v>
      </c>
      <c r="F3895">
        <v>628583</v>
      </c>
      <c r="G3895">
        <v>53808681281</v>
      </c>
      <c r="H3895" t="s">
        <v>35</v>
      </c>
      <c r="I3895" s="36">
        <v>4721.16</v>
      </c>
      <c r="J3895" s="36">
        <v>4721.16</v>
      </c>
      <c r="K3895" s="85">
        <v>0</v>
      </c>
      <c r="L3895" s="36">
        <v>393.43</v>
      </c>
      <c r="M3895" s="36">
        <v>0</v>
      </c>
      <c r="N3895" s="36">
        <v>8.3797499999999996</v>
      </c>
      <c r="O3895" s="36">
        <v>385.05</v>
      </c>
      <c r="P3895" t="s">
        <v>116</v>
      </c>
      <c r="Q3895" t="s">
        <v>111</v>
      </c>
      <c r="R3895" t="s">
        <v>111</v>
      </c>
      <c r="S3895" s="1">
        <v>46113</v>
      </c>
      <c r="T3895" s="1">
        <v>46113</v>
      </c>
      <c r="U3895" s="1">
        <v>46126</v>
      </c>
      <c r="V3895" s="1">
        <v>46491</v>
      </c>
      <c r="W3895" t="s">
        <v>38</v>
      </c>
      <c r="X3895">
        <v>12</v>
      </c>
      <c r="Y3895" t="s">
        <v>49</v>
      </c>
      <c r="Z3895" t="s">
        <v>81</v>
      </c>
      <c r="AA3895" t="s">
        <v>122</v>
      </c>
      <c r="AB3895">
        <v>12</v>
      </c>
      <c r="AC3895" t="s">
        <v>113</v>
      </c>
      <c r="AD3895" t="s">
        <v>85</v>
      </c>
      <c r="AE3895" t="s">
        <v>46</v>
      </c>
      <c r="AF3895" t="s">
        <v>44</v>
      </c>
      <c r="AG3895" t="str">
        <f t="shared" si="81"/>
        <v>Recorrente</v>
      </c>
      <c r="AH3895" t="str">
        <f t="shared" si="82"/>
        <v/>
      </c>
    </row>
    <row r="3896" spans="1:34">
      <c r="A3896">
        <v>2026</v>
      </c>
      <c r="B3896">
        <v>4</v>
      </c>
      <c r="C3896" s="83">
        <v>32411999378</v>
      </c>
      <c r="D3896" t="s">
        <v>3421</v>
      </c>
      <c r="E3896">
        <v>57748945511</v>
      </c>
      <c r="F3896">
        <v>531459</v>
      </c>
      <c r="G3896">
        <v>52980152453</v>
      </c>
      <c r="H3896" t="s">
        <v>35</v>
      </c>
      <c r="I3896" s="36">
        <v>5980.44</v>
      </c>
      <c r="J3896" s="36">
        <v>5980.44</v>
      </c>
      <c r="K3896" s="85">
        <v>0</v>
      </c>
      <c r="L3896" s="36">
        <v>498.37</v>
      </c>
      <c r="M3896" s="36">
        <v>0</v>
      </c>
      <c r="N3896" s="36">
        <v>72.075000000000003</v>
      </c>
      <c r="O3896" s="36">
        <v>426.3</v>
      </c>
      <c r="P3896" t="s">
        <v>165</v>
      </c>
      <c r="Q3896" t="s">
        <v>166</v>
      </c>
      <c r="R3896" t="s">
        <v>166</v>
      </c>
      <c r="S3896" s="1">
        <v>46134</v>
      </c>
      <c r="T3896" s="1">
        <v>46134</v>
      </c>
      <c r="U3896" s="1">
        <v>46134</v>
      </c>
      <c r="V3896" s="1">
        <v>46499</v>
      </c>
      <c r="W3896" t="s">
        <v>38</v>
      </c>
      <c r="X3896">
        <v>12</v>
      </c>
      <c r="Y3896" t="s">
        <v>49</v>
      </c>
      <c r="Z3896" t="s">
        <v>81</v>
      </c>
      <c r="AA3896" t="s">
        <v>112</v>
      </c>
      <c r="AB3896">
        <v>12</v>
      </c>
      <c r="AC3896" t="s">
        <v>166</v>
      </c>
      <c r="AD3896" t="s">
        <v>149</v>
      </c>
      <c r="AE3896" t="s">
        <v>43</v>
      </c>
      <c r="AF3896" t="s">
        <v>96</v>
      </c>
      <c r="AG3896" t="str">
        <f t="shared" si="81"/>
        <v>CC 12x</v>
      </c>
      <c r="AH3896" t="str">
        <f t="shared" si="82"/>
        <v/>
      </c>
    </row>
    <row r="3897" spans="1:34">
      <c r="A3897">
        <v>2026</v>
      </c>
      <c r="B3897">
        <v>4</v>
      </c>
      <c r="C3897" s="83">
        <v>32411999378</v>
      </c>
      <c r="D3897" t="s">
        <v>3421</v>
      </c>
      <c r="E3897">
        <v>57748945511</v>
      </c>
      <c r="F3897">
        <v>531459</v>
      </c>
      <c r="G3897">
        <v>52992111651</v>
      </c>
      <c r="H3897" t="s">
        <v>35</v>
      </c>
      <c r="I3897" s="36">
        <v>5980.44</v>
      </c>
      <c r="J3897" s="36">
        <v>5980.44</v>
      </c>
      <c r="K3897" s="85">
        <v>0</v>
      </c>
      <c r="L3897" s="36">
        <v>498.37</v>
      </c>
      <c r="M3897" s="36">
        <v>0</v>
      </c>
      <c r="N3897" s="36">
        <v>72.075000000000003</v>
      </c>
      <c r="O3897" s="36">
        <v>426.3</v>
      </c>
      <c r="P3897" t="s">
        <v>165</v>
      </c>
      <c r="Q3897" t="s">
        <v>166</v>
      </c>
      <c r="R3897" t="s">
        <v>166</v>
      </c>
      <c r="S3897" s="1">
        <v>46134</v>
      </c>
      <c r="T3897" s="1">
        <v>46134</v>
      </c>
      <c r="U3897" s="1">
        <v>46134</v>
      </c>
      <c r="V3897" s="1">
        <v>46499</v>
      </c>
      <c r="W3897" t="s">
        <v>38</v>
      </c>
      <c r="X3897">
        <v>12</v>
      </c>
      <c r="Y3897" t="s">
        <v>49</v>
      </c>
      <c r="Z3897" t="s">
        <v>81</v>
      </c>
      <c r="AA3897" t="s">
        <v>112</v>
      </c>
      <c r="AB3897">
        <v>12</v>
      </c>
      <c r="AC3897" t="s">
        <v>166</v>
      </c>
      <c r="AD3897" t="s">
        <v>131</v>
      </c>
      <c r="AE3897" t="s">
        <v>46</v>
      </c>
      <c r="AF3897" t="s">
        <v>96</v>
      </c>
      <c r="AG3897" t="str">
        <f t="shared" si="81"/>
        <v>CC 12x</v>
      </c>
      <c r="AH3897" t="str">
        <f t="shared" si="82"/>
        <v/>
      </c>
    </row>
    <row r="3898" spans="1:34">
      <c r="A3898">
        <v>2026</v>
      </c>
      <c r="B3898">
        <v>4</v>
      </c>
      <c r="C3898" s="83">
        <v>32427108919</v>
      </c>
      <c r="D3898" t="s">
        <v>3422</v>
      </c>
      <c r="E3898">
        <v>59030026339</v>
      </c>
      <c r="F3898">
        <v>629018</v>
      </c>
      <c r="G3898">
        <v>54268545051</v>
      </c>
      <c r="H3898" t="s">
        <v>35</v>
      </c>
      <c r="I3898" s="36">
        <v>6235.2</v>
      </c>
      <c r="J3898" s="36">
        <v>6235.2</v>
      </c>
      <c r="K3898" s="85">
        <v>0</v>
      </c>
      <c r="L3898" s="36">
        <v>519.6</v>
      </c>
      <c r="M3898" s="36">
        <v>0</v>
      </c>
      <c r="N3898" s="36">
        <v>31.87</v>
      </c>
      <c r="O3898" s="36">
        <v>487.73</v>
      </c>
      <c r="P3898" t="s">
        <v>121</v>
      </c>
      <c r="Q3898" t="s">
        <v>111</v>
      </c>
      <c r="R3898" t="s">
        <v>111</v>
      </c>
      <c r="S3898" s="1">
        <v>46125</v>
      </c>
      <c r="T3898" s="1">
        <v>46125</v>
      </c>
      <c r="U3898" s="1">
        <v>46140</v>
      </c>
      <c r="V3898" s="1">
        <v>46505</v>
      </c>
      <c r="W3898" t="s">
        <v>38</v>
      </c>
      <c r="X3898">
        <v>12</v>
      </c>
      <c r="Y3898" t="s">
        <v>49</v>
      </c>
      <c r="Z3898" t="s">
        <v>81</v>
      </c>
      <c r="AA3898" t="s">
        <v>112</v>
      </c>
      <c r="AB3898">
        <v>12</v>
      </c>
      <c r="AC3898" t="s">
        <v>113</v>
      </c>
      <c r="AD3898" t="s">
        <v>125</v>
      </c>
      <c r="AE3898" t="s">
        <v>43</v>
      </c>
      <c r="AF3898" t="s">
        <v>47</v>
      </c>
      <c r="AG3898" t="str">
        <f t="shared" si="81"/>
        <v>CC 12x</v>
      </c>
      <c r="AH3898" t="str">
        <f t="shared" si="82"/>
        <v/>
      </c>
    </row>
    <row r="3899" spans="1:34">
      <c r="A3899">
        <v>2026</v>
      </c>
      <c r="B3899">
        <v>4</v>
      </c>
      <c r="C3899" s="83">
        <v>3254001</v>
      </c>
      <c r="D3899" t="s">
        <v>3423</v>
      </c>
      <c r="E3899">
        <v>57541703815</v>
      </c>
      <c r="F3899">
        <v>532706</v>
      </c>
      <c r="G3899">
        <v>52745616532</v>
      </c>
      <c r="H3899" t="s">
        <v>35</v>
      </c>
      <c r="I3899" s="36">
        <v>5394</v>
      </c>
      <c r="J3899" s="36">
        <v>5394</v>
      </c>
      <c r="K3899" s="85">
        <v>0</v>
      </c>
      <c r="L3899" s="36">
        <v>449.5</v>
      </c>
      <c r="M3899" s="36">
        <v>0</v>
      </c>
      <c r="N3899" s="36">
        <v>29.5</v>
      </c>
      <c r="O3899" s="36">
        <v>420</v>
      </c>
      <c r="P3899" t="s">
        <v>165</v>
      </c>
      <c r="Q3899" t="s">
        <v>166</v>
      </c>
      <c r="R3899" t="s">
        <v>166</v>
      </c>
      <c r="S3899" s="1">
        <v>46125</v>
      </c>
      <c r="T3899" s="1">
        <v>46125</v>
      </c>
      <c r="U3899" s="1">
        <v>46125</v>
      </c>
      <c r="V3899" s="1">
        <v>46490</v>
      </c>
      <c r="W3899" t="s">
        <v>38</v>
      </c>
      <c r="X3899">
        <v>12</v>
      </c>
      <c r="Y3899" t="s">
        <v>49</v>
      </c>
      <c r="Z3899" t="s">
        <v>81</v>
      </c>
      <c r="AA3899" t="s">
        <v>112</v>
      </c>
      <c r="AB3899">
        <v>12</v>
      </c>
      <c r="AC3899" t="s">
        <v>166</v>
      </c>
      <c r="AD3899" t="s">
        <v>85</v>
      </c>
      <c r="AE3899" t="s">
        <v>46</v>
      </c>
      <c r="AF3899" t="s">
        <v>44</v>
      </c>
      <c r="AG3899" t="str">
        <f t="shared" si="81"/>
        <v>CC 12x</v>
      </c>
      <c r="AH3899" t="str">
        <f t="shared" si="82"/>
        <v/>
      </c>
    </row>
    <row r="3900" spans="1:34">
      <c r="A3900">
        <v>2026</v>
      </c>
      <c r="B3900">
        <v>4</v>
      </c>
      <c r="C3900" s="83">
        <v>3254001</v>
      </c>
      <c r="D3900" t="s">
        <v>3423</v>
      </c>
      <c r="E3900">
        <v>57541703815</v>
      </c>
      <c r="F3900">
        <v>532706</v>
      </c>
      <c r="G3900">
        <v>52760399002</v>
      </c>
      <c r="H3900" t="s">
        <v>35</v>
      </c>
      <c r="I3900" s="36">
        <v>5394</v>
      </c>
      <c r="J3900" s="36">
        <v>5394</v>
      </c>
      <c r="K3900" s="85">
        <v>0</v>
      </c>
      <c r="L3900" s="36">
        <v>449.5</v>
      </c>
      <c r="M3900" s="36">
        <v>0</v>
      </c>
      <c r="N3900" s="36">
        <v>29.5</v>
      </c>
      <c r="O3900" s="36">
        <v>420</v>
      </c>
      <c r="P3900" t="s">
        <v>165</v>
      </c>
      <c r="Q3900" t="s">
        <v>166</v>
      </c>
      <c r="R3900" t="s">
        <v>166</v>
      </c>
      <c r="S3900" s="1">
        <v>46125</v>
      </c>
      <c r="T3900" s="1">
        <v>46125</v>
      </c>
      <c r="U3900" s="1">
        <v>46125</v>
      </c>
      <c r="V3900" s="1">
        <v>46490</v>
      </c>
      <c r="W3900" t="s">
        <v>38</v>
      </c>
      <c r="X3900">
        <v>12</v>
      </c>
      <c r="Y3900" t="s">
        <v>49</v>
      </c>
      <c r="Z3900" t="s">
        <v>81</v>
      </c>
      <c r="AA3900" t="s">
        <v>112</v>
      </c>
      <c r="AB3900">
        <v>12</v>
      </c>
      <c r="AC3900" t="s">
        <v>166</v>
      </c>
      <c r="AD3900" t="s">
        <v>84</v>
      </c>
      <c r="AE3900" t="s">
        <v>43</v>
      </c>
      <c r="AF3900" t="s">
        <v>44</v>
      </c>
      <c r="AG3900" t="str">
        <f t="shared" si="81"/>
        <v>CC 12x</v>
      </c>
      <c r="AH3900" t="str">
        <f t="shared" si="82"/>
        <v/>
      </c>
    </row>
    <row r="3901" spans="1:34">
      <c r="A3901">
        <v>2026</v>
      </c>
      <c r="B3901">
        <v>4</v>
      </c>
      <c r="C3901" s="83">
        <v>32670657650</v>
      </c>
      <c r="D3901" t="s">
        <v>3424</v>
      </c>
      <c r="E3901">
        <v>59703796639</v>
      </c>
      <c r="F3901">
        <v>629029</v>
      </c>
      <c r="G3901">
        <v>54699284144</v>
      </c>
      <c r="H3901" t="s">
        <v>35</v>
      </c>
      <c r="I3901" s="36">
        <v>8418.6</v>
      </c>
      <c r="J3901" s="36">
        <v>8418.6</v>
      </c>
      <c r="K3901" s="85">
        <v>0</v>
      </c>
      <c r="L3901" s="36">
        <v>701.55</v>
      </c>
      <c r="M3901" s="36">
        <v>0</v>
      </c>
      <c r="N3901" s="36">
        <v>26.66</v>
      </c>
      <c r="O3901" s="36">
        <v>674.89</v>
      </c>
      <c r="P3901" t="s">
        <v>110</v>
      </c>
      <c r="Q3901" t="s">
        <v>111</v>
      </c>
      <c r="R3901" t="s">
        <v>111</v>
      </c>
      <c r="S3901" s="1">
        <v>46139</v>
      </c>
      <c r="T3901" s="1">
        <v>46139</v>
      </c>
      <c r="U3901" s="1">
        <v>46140</v>
      </c>
      <c r="V3901" s="1">
        <v>46505</v>
      </c>
      <c r="W3901" t="s">
        <v>38</v>
      </c>
      <c r="X3901">
        <v>12</v>
      </c>
      <c r="Y3901" t="s">
        <v>49</v>
      </c>
      <c r="Z3901" t="s">
        <v>81</v>
      </c>
      <c r="AA3901" t="s">
        <v>122</v>
      </c>
      <c r="AB3901">
        <v>12</v>
      </c>
      <c r="AC3901" t="s">
        <v>113</v>
      </c>
      <c r="AD3901" t="s">
        <v>134</v>
      </c>
      <c r="AE3901" t="s">
        <v>135</v>
      </c>
      <c r="AF3901" t="s">
        <v>44</v>
      </c>
      <c r="AG3901" t="str">
        <f t="shared" si="81"/>
        <v>Recorrente</v>
      </c>
      <c r="AH3901" t="str">
        <f t="shared" si="82"/>
        <v/>
      </c>
    </row>
    <row r="3902" spans="1:34">
      <c r="A3902">
        <v>2026</v>
      </c>
      <c r="B3902">
        <v>4</v>
      </c>
      <c r="C3902" s="83">
        <v>32670688770</v>
      </c>
      <c r="D3902" t="s">
        <v>3425</v>
      </c>
      <c r="E3902">
        <v>58011760711</v>
      </c>
      <c r="F3902">
        <v>629204</v>
      </c>
      <c r="G3902">
        <v>53219995921</v>
      </c>
      <c r="H3902" t="s">
        <v>35</v>
      </c>
      <c r="I3902" s="36">
        <v>4530.6000000000004</v>
      </c>
      <c r="J3902" s="36">
        <v>4530.6000000000004</v>
      </c>
      <c r="K3902" s="85">
        <v>0</v>
      </c>
      <c r="L3902" s="36">
        <v>377.55</v>
      </c>
      <c r="M3902" s="36">
        <v>0</v>
      </c>
      <c r="N3902" s="36">
        <v>67.55</v>
      </c>
      <c r="O3902" s="36">
        <v>310</v>
      </c>
      <c r="P3902" t="s">
        <v>165</v>
      </c>
      <c r="Q3902" t="s">
        <v>166</v>
      </c>
      <c r="R3902" t="s">
        <v>166</v>
      </c>
      <c r="S3902" s="1">
        <v>46139</v>
      </c>
      <c r="T3902" s="1">
        <v>46139</v>
      </c>
      <c r="U3902" s="1">
        <v>46142</v>
      </c>
      <c r="V3902" s="1">
        <v>46507</v>
      </c>
      <c r="W3902" t="s">
        <v>38</v>
      </c>
      <c r="X3902">
        <v>12</v>
      </c>
      <c r="Y3902" t="s">
        <v>49</v>
      </c>
      <c r="Z3902" t="s">
        <v>81</v>
      </c>
      <c r="AA3902" t="s">
        <v>112</v>
      </c>
      <c r="AB3902">
        <v>12</v>
      </c>
      <c r="AC3902" t="s">
        <v>166</v>
      </c>
      <c r="AD3902" t="s">
        <v>84</v>
      </c>
      <c r="AE3902" t="s">
        <v>43</v>
      </c>
      <c r="AF3902" t="s">
        <v>44</v>
      </c>
      <c r="AG3902" t="str">
        <f t="shared" si="81"/>
        <v>CC 12x</v>
      </c>
      <c r="AH3902" t="str">
        <f t="shared" si="82"/>
        <v/>
      </c>
    </row>
    <row r="3903" spans="1:34">
      <c r="A3903">
        <v>2026</v>
      </c>
      <c r="B3903">
        <v>4</v>
      </c>
      <c r="C3903" s="83">
        <v>32698859814</v>
      </c>
      <c r="D3903" t="s">
        <v>1627</v>
      </c>
      <c r="E3903">
        <v>59708454751</v>
      </c>
      <c r="F3903">
        <v>629172</v>
      </c>
      <c r="G3903">
        <v>54881161304</v>
      </c>
      <c r="H3903" t="s">
        <v>35</v>
      </c>
      <c r="I3903" s="36">
        <v>2442.84</v>
      </c>
      <c r="J3903" s="36">
        <v>2442.84</v>
      </c>
      <c r="K3903" s="85">
        <v>0</v>
      </c>
      <c r="L3903" s="36">
        <v>203.57</v>
      </c>
      <c r="M3903" s="36">
        <v>0</v>
      </c>
      <c r="N3903" s="36">
        <v>0.42499999999999999</v>
      </c>
      <c r="O3903" s="36">
        <v>203.15</v>
      </c>
      <c r="P3903" t="s">
        <v>121</v>
      </c>
      <c r="Q3903" t="s">
        <v>111</v>
      </c>
      <c r="R3903" t="s">
        <v>111</v>
      </c>
      <c r="S3903" s="1">
        <v>46142</v>
      </c>
      <c r="T3903" s="1">
        <v>46142</v>
      </c>
      <c r="U3903" s="1">
        <v>46142</v>
      </c>
      <c r="V3903" s="1">
        <v>46507</v>
      </c>
      <c r="W3903" t="s">
        <v>38</v>
      </c>
      <c r="X3903">
        <v>12</v>
      </c>
      <c r="Y3903" t="s">
        <v>49</v>
      </c>
      <c r="Z3903" t="s">
        <v>81</v>
      </c>
      <c r="AA3903" t="s">
        <v>92</v>
      </c>
      <c r="AB3903">
        <v>12</v>
      </c>
      <c r="AC3903" t="s">
        <v>113</v>
      </c>
      <c r="AD3903" t="s">
        <v>118</v>
      </c>
      <c r="AE3903" t="s">
        <v>43</v>
      </c>
      <c r="AF3903" t="s">
        <v>119</v>
      </c>
      <c r="AG3903" t="str">
        <f t="shared" si="81"/>
        <v>Recorrente</v>
      </c>
      <c r="AH3903" t="str">
        <f t="shared" si="82"/>
        <v/>
      </c>
    </row>
    <row r="3904" spans="1:34">
      <c r="A3904">
        <v>2026</v>
      </c>
      <c r="B3904">
        <v>4</v>
      </c>
      <c r="C3904" s="83">
        <v>32721365160</v>
      </c>
      <c r="D3904" t="s">
        <v>3426</v>
      </c>
      <c r="E3904">
        <v>58001374639</v>
      </c>
      <c r="F3904">
        <v>533871</v>
      </c>
      <c r="G3904">
        <v>53223786627</v>
      </c>
      <c r="H3904" t="s">
        <v>35</v>
      </c>
      <c r="I3904" s="36">
        <v>4962.6000000000004</v>
      </c>
      <c r="J3904" s="36">
        <v>4962.6000000000004</v>
      </c>
      <c r="K3904" s="85">
        <v>0</v>
      </c>
      <c r="L3904" s="36">
        <v>413.55</v>
      </c>
      <c r="M3904" s="36">
        <v>0</v>
      </c>
      <c r="N3904" s="36">
        <v>53.55</v>
      </c>
      <c r="O3904" s="36">
        <v>360</v>
      </c>
      <c r="P3904" t="s">
        <v>165</v>
      </c>
      <c r="Q3904" t="s">
        <v>166</v>
      </c>
      <c r="R3904" t="s">
        <v>166</v>
      </c>
      <c r="S3904" s="1">
        <v>46139</v>
      </c>
      <c r="T3904" s="1">
        <v>46139</v>
      </c>
      <c r="U3904" s="1">
        <v>46140</v>
      </c>
      <c r="V3904" s="1">
        <v>46505</v>
      </c>
      <c r="W3904" t="s">
        <v>38</v>
      </c>
      <c r="X3904">
        <v>12</v>
      </c>
      <c r="Y3904" t="s">
        <v>49</v>
      </c>
      <c r="Z3904" t="s">
        <v>81</v>
      </c>
      <c r="AA3904" t="s">
        <v>112</v>
      </c>
      <c r="AB3904">
        <v>12</v>
      </c>
      <c r="AC3904" t="s">
        <v>166</v>
      </c>
      <c r="AD3904" t="s">
        <v>138</v>
      </c>
      <c r="AE3904" t="s">
        <v>135</v>
      </c>
      <c r="AF3904" t="s">
        <v>119</v>
      </c>
      <c r="AG3904" t="str">
        <f t="shared" si="81"/>
        <v>CC 12x</v>
      </c>
      <c r="AH3904" t="str">
        <f t="shared" si="82"/>
        <v/>
      </c>
    </row>
    <row r="3905" spans="1:34">
      <c r="A3905">
        <v>2026</v>
      </c>
      <c r="B3905">
        <v>4</v>
      </c>
      <c r="C3905" s="83">
        <v>32765674067</v>
      </c>
      <c r="D3905" t="s">
        <v>3427</v>
      </c>
      <c r="E3905">
        <v>58006346112</v>
      </c>
      <c r="F3905">
        <v>629052</v>
      </c>
      <c r="G3905">
        <v>53215511833</v>
      </c>
      <c r="H3905" t="s">
        <v>35</v>
      </c>
      <c r="I3905" s="36">
        <v>4962.6000000000004</v>
      </c>
      <c r="J3905" s="36">
        <v>4962.6000000000004</v>
      </c>
      <c r="K3905" s="85">
        <v>0</v>
      </c>
      <c r="L3905" s="36">
        <v>413.55</v>
      </c>
      <c r="M3905" s="36">
        <v>0</v>
      </c>
      <c r="N3905" s="36">
        <v>48.9</v>
      </c>
      <c r="O3905" s="36">
        <v>364.65</v>
      </c>
      <c r="P3905" t="s">
        <v>165</v>
      </c>
      <c r="Q3905" t="s">
        <v>166</v>
      </c>
      <c r="R3905" t="s">
        <v>166</v>
      </c>
      <c r="S3905" s="1">
        <v>46139</v>
      </c>
      <c r="T3905" s="1">
        <v>46139</v>
      </c>
      <c r="U3905" s="1">
        <v>46141</v>
      </c>
      <c r="V3905" s="1">
        <v>46506</v>
      </c>
      <c r="W3905" t="s">
        <v>38</v>
      </c>
      <c r="X3905">
        <v>12</v>
      </c>
      <c r="Y3905" t="s">
        <v>49</v>
      </c>
      <c r="Z3905" t="s">
        <v>81</v>
      </c>
      <c r="AA3905" t="s">
        <v>112</v>
      </c>
      <c r="AB3905">
        <v>12</v>
      </c>
      <c r="AC3905" t="s">
        <v>166</v>
      </c>
      <c r="AD3905" t="s">
        <v>138</v>
      </c>
      <c r="AE3905" t="s">
        <v>135</v>
      </c>
      <c r="AF3905" t="s">
        <v>119</v>
      </c>
      <c r="AG3905" t="str">
        <f t="shared" ref="AG3905:AG3968" si="83">IF(IFERROR(SEARCH("Recorrente",AA3905),0)&gt;0,"Recorrente",IF(AB3905=1,"À Vista",IF(AB3905&lt;=3,"CC 3x",IF(AB3905&lt;=12,"CC 12x",IF(AB3905&gt;12,"Recorrente","")))))</f>
        <v>CC 12x</v>
      </c>
      <c r="AH3905" t="str">
        <f t="shared" ref="AH3905:AH3968" si="84">IF(AND(SUMIF(E:E,E3905,I:I)&gt;=400000,Q3905="B2G"),"n","")</f>
        <v/>
      </c>
    </row>
    <row r="3906" spans="1:34">
      <c r="A3906">
        <v>2026</v>
      </c>
      <c r="B3906">
        <v>4</v>
      </c>
      <c r="C3906" s="83">
        <v>32817002095</v>
      </c>
      <c r="D3906" t="s">
        <v>602</v>
      </c>
      <c r="E3906">
        <v>59032804460</v>
      </c>
      <c r="F3906">
        <v>629721</v>
      </c>
      <c r="G3906">
        <v>54149727146</v>
      </c>
      <c r="H3906" t="s">
        <v>35</v>
      </c>
      <c r="I3906" s="36">
        <v>5908.68</v>
      </c>
      <c r="J3906" s="36">
        <v>1559.8</v>
      </c>
      <c r="K3906" s="85">
        <v>4348.88</v>
      </c>
      <c r="L3906" s="36">
        <v>129.9833333</v>
      </c>
      <c r="M3906" s="36">
        <v>0</v>
      </c>
      <c r="N3906" s="36">
        <v>129.9833333</v>
      </c>
      <c r="O3906" s="36">
        <v>0</v>
      </c>
      <c r="P3906" t="s">
        <v>520</v>
      </c>
      <c r="Q3906" t="s">
        <v>191</v>
      </c>
      <c r="R3906" t="s">
        <v>191</v>
      </c>
      <c r="S3906" s="1">
        <v>46122</v>
      </c>
      <c r="T3906" s="1">
        <v>46122</v>
      </c>
      <c r="U3906" s="1">
        <v>46894</v>
      </c>
      <c r="V3906" s="1">
        <v>46894</v>
      </c>
      <c r="W3906" t="s">
        <v>102</v>
      </c>
      <c r="X3906">
        <v>25</v>
      </c>
      <c r="Y3906" t="s">
        <v>49</v>
      </c>
      <c r="Z3906" t="s">
        <v>324</v>
      </c>
      <c r="AA3906" t="s">
        <v>92</v>
      </c>
      <c r="AB3906">
        <v>25</v>
      </c>
      <c r="AC3906" t="s">
        <v>192</v>
      </c>
      <c r="AD3906" t="s">
        <v>158</v>
      </c>
      <c r="AE3906" t="s">
        <v>43</v>
      </c>
      <c r="AF3906" t="s">
        <v>47</v>
      </c>
      <c r="AG3906" t="str">
        <f t="shared" si="83"/>
        <v>Recorrente</v>
      </c>
      <c r="AH3906" t="str">
        <f t="shared" si="84"/>
        <v/>
      </c>
    </row>
    <row r="3907" spans="1:34">
      <c r="A3907">
        <v>2026</v>
      </c>
      <c r="B3907">
        <v>4</v>
      </c>
      <c r="C3907" s="83">
        <v>32817002095</v>
      </c>
      <c r="D3907" t="s">
        <v>602</v>
      </c>
      <c r="E3907">
        <v>59032804460</v>
      </c>
      <c r="F3907">
        <v>629721</v>
      </c>
      <c r="G3907">
        <v>54149727147</v>
      </c>
      <c r="H3907" t="s">
        <v>35</v>
      </c>
      <c r="I3907" s="36">
        <v>1996.92</v>
      </c>
      <c r="J3907" s="36">
        <v>1559.8</v>
      </c>
      <c r="K3907" s="85">
        <v>437.12</v>
      </c>
      <c r="L3907" s="36">
        <v>129.9833333</v>
      </c>
      <c r="M3907" s="36">
        <v>0</v>
      </c>
      <c r="N3907" s="36">
        <v>129.9833333</v>
      </c>
      <c r="O3907" s="36">
        <v>0</v>
      </c>
      <c r="P3907" t="s">
        <v>520</v>
      </c>
      <c r="Q3907" t="s">
        <v>191</v>
      </c>
      <c r="R3907" t="s">
        <v>191</v>
      </c>
      <c r="S3907" s="1">
        <v>46122</v>
      </c>
      <c r="T3907" s="1">
        <v>46122</v>
      </c>
      <c r="U3907" s="1">
        <v>46894</v>
      </c>
      <c r="V3907" s="1">
        <v>46894</v>
      </c>
      <c r="W3907" t="s">
        <v>102</v>
      </c>
      <c r="X3907">
        <v>25</v>
      </c>
      <c r="Y3907" t="s">
        <v>49</v>
      </c>
      <c r="Z3907" t="s">
        <v>324</v>
      </c>
      <c r="AA3907" t="s">
        <v>92</v>
      </c>
      <c r="AB3907">
        <v>25</v>
      </c>
      <c r="AC3907" t="s">
        <v>192</v>
      </c>
      <c r="AD3907" t="s">
        <v>256</v>
      </c>
      <c r="AE3907" t="s">
        <v>257</v>
      </c>
      <c r="AF3907" t="s">
        <v>59</v>
      </c>
      <c r="AG3907" t="str">
        <f t="shared" si="83"/>
        <v>Recorrente</v>
      </c>
      <c r="AH3907" t="str">
        <f t="shared" si="84"/>
        <v/>
      </c>
    </row>
    <row r="3908" spans="1:34">
      <c r="A3908">
        <v>2026</v>
      </c>
      <c r="B3908">
        <v>4</v>
      </c>
      <c r="C3908" s="83">
        <v>32817002095</v>
      </c>
      <c r="D3908" t="s">
        <v>602</v>
      </c>
      <c r="E3908">
        <v>59032804460</v>
      </c>
      <c r="F3908">
        <v>629721</v>
      </c>
      <c r="G3908">
        <v>54149727148</v>
      </c>
      <c r="H3908" t="s">
        <v>35</v>
      </c>
      <c r="I3908" s="36">
        <v>1996.92</v>
      </c>
      <c r="J3908" s="36">
        <v>1559.8</v>
      </c>
      <c r="K3908" s="85">
        <v>437.12</v>
      </c>
      <c r="L3908" s="36">
        <v>129.9833333</v>
      </c>
      <c r="M3908" s="36">
        <v>0</v>
      </c>
      <c r="N3908" s="36">
        <v>129.9833333</v>
      </c>
      <c r="O3908" s="36">
        <v>0</v>
      </c>
      <c r="P3908" t="s">
        <v>520</v>
      </c>
      <c r="Q3908" t="s">
        <v>191</v>
      </c>
      <c r="R3908" t="s">
        <v>191</v>
      </c>
      <c r="S3908" s="1">
        <v>46122</v>
      </c>
      <c r="T3908" s="1">
        <v>46122</v>
      </c>
      <c r="U3908" s="1">
        <v>46894</v>
      </c>
      <c r="V3908" s="1">
        <v>46894</v>
      </c>
      <c r="W3908" t="s">
        <v>102</v>
      </c>
      <c r="X3908">
        <v>25</v>
      </c>
      <c r="Y3908" t="s">
        <v>49</v>
      </c>
      <c r="Z3908" t="s">
        <v>324</v>
      </c>
      <c r="AA3908" t="s">
        <v>92</v>
      </c>
      <c r="AB3908">
        <v>25</v>
      </c>
      <c r="AC3908" t="s">
        <v>192</v>
      </c>
      <c r="AD3908" t="s">
        <v>362</v>
      </c>
      <c r="AE3908" t="s">
        <v>363</v>
      </c>
      <c r="AF3908" t="s">
        <v>59</v>
      </c>
      <c r="AG3908" t="str">
        <f t="shared" si="83"/>
        <v>Recorrente</v>
      </c>
      <c r="AH3908" t="str">
        <f t="shared" si="84"/>
        <v/>
      </c>
    </row>
    <row r="3909" spans="1:34">
      <c r="A3909">
        <v>2026</v>
      </c>
      <c r="B3909">
        <v>4</v>
      </c>
      <c r="C3909" s="83">
        <v>34195069034</v>
      </c>
      <c r="D3909" t="s">
        <v>3428</v>
      </c>
      <c r="E3909">
        <v>59854173474</v>
      </c>
      <c r="F3909">
        <v>637523</v>
      </c>
      <c r="G3909">
        <v>54917875456</v>
      </c>
      <c r="H3909" t="s">
        <v>35</v>
      </c>
      <c r="I3909" s="36">
        <v>5034</v>
      </c>
      <c r="J3909" s="36">
        <v>5034</v>
      </c>
      <c r="K3909" s="85">
        <v>0</v>
      </c>
      <c r="L3909" s="36">
        <v>419.5</v>
      </c>
      <c r="M3909" s="36">
        <v>0</v>
      </c>
      <c r="N3909" s="36">
        <v>419.5</v>
      </c>
      <c r="O3909" s="36">
        <v>0</v>
      </c>
      <c r="P3909" t="s">
        <v>520</v>
      </c>
      <c r="Q3909" t="s">
        <v>191</v>
      </c>
      <c r="R3909" t="s">
        <v>191</v>
      </c>
      <c r="S3909" s="1">
        <v>46142</v>
      </c>
      <c r="T3909" s="1">
        <v>46142</v>
      </c>
      <c r="V3909" s="1">
        <v>46507</v>
      </c>
      <c r="W3909" t="s">
        <v>38</v>
      </c>
      <c r="X3909">
        <v>12</v>
      </c>
      <c r="Y3909" t="s">
        <v>49</v>
      </c>
      <c r="AA3909" t="s">
        <v>122</v>
      </c>
      <c r="AB3909">
        <v>12</v>
      </c>
      <c r="AC3909" t="s">
        <v>192</v>
      </c>
      <c r="AD3909" t="s">
        <v>84</v>
      </c>
      <c r="AE3909" t="s">
        <v>43</v>
      </c>
      <c r="AF3909" t="s">
        <v>44</v>
      </c>
      <c r="AG3909" t="str">
        <f t="shared" si="83"/>
        <v>Recorrente</v>
      </c>
      <c r="AH3909" t="str">
        <f t="shared" si="84"/>
        <v/>
      </c>
    </row>
    <row r="3910" spans="1:34">
      <c r="A3910">
        <v>2026</v>
      </c>
      <c r="B3910">
        <v>4</v>
      </c>
      <c r="C3910" s="83">
        <v>34195076394</v>
      </c>
      <c r="D3910" t="s">
        <v>3429</v>
      </c>
      <c r="E3910">
        <v>59610012312</v>
      </c>
      <c r="F3910">
        <v>637339</v>
      </c>
      <c r="G3910">
        <v>54741227154</v>
      </c>
      <c r="H3910" t="s">
        <v>35</v>
      </c>
      <c r="I3910" s="36">
        <v>5466.24</v>
      </c>
      <c r="J3910" s="36">
        <v>3814.8206709999999</v>
      </c>
      <c r="K3910" s="85">
        <v>1651.4193290000001</v>
      </c>
      <c r="L3910" s="36">
        <v>317.90172260000003</v>
      </c>
      <c r="M3910" s="36">
        <v>0</v>
      </c>
      <c r="N3910" s="36">
        <v>0</v>
      </c>
      <c r="O3910" s="36">
        <v>317.90172260000003</v>
      </c>
      <c r="P3910" t="s">
        <v>127</v>
      </c>
      <c r="Q3910" t="s">
        <v>111</v>
      </c>
      <c r="R3910" t="s">
        <v>111</v>
      </c>
      <c r="S3910" s="1">
        <v>46139</v>
      </c>
      <c r="T3910" s="1">
        <v>46139</v>
      </c>
      <c r="V3910" s="1">
        <v>46508</v>
      </c>
      <c r="W3910" t="s">
        <v>38</v>
      </c>
      <c r="Y3910" t="s">
        <v>49</v>
      </c>
      <c r="AA3910" t="s">
        <v>122</v>
      </c>
      <c r="AB3910">
        <v>12</v>
      </c>
      <c r="AC3910" t="s">
        <v>113</v>
      </c>
      <c r="AD3910" t="s">
        <v>85</v>
      </c>
      <c r="AE3910" t="s">
        <v>46</v>
      </c>
      <c r="AF3910" t="s">
        <v>44</v>
      </c>
      <c r="AG3910" t="str">
        <f t="shared" si="83"/>
        <v>Recorrente</v>
      </c>
      <c r="AH3910" t="str">
        <f t="shared" si="84"/>
        <v/>
      </c>
    </row>
    <row r="3911" spans="1:34">
      <c r="A3911">
        <v>2026</v>
      </c>
      <c r="B3911">
        <v>4</v>
      </c>
      <c r="C3911" s="83">
        <v>34195076394</v>
      </c>
      <c r="D3911" t="s">
        <v>3429</v>
      </c>
      <c r="E3911">
        <v>59610012312</v>
      </c>
      <c r="F3911">
        <v>637339</v>
      </c>
      <c r="G3911">
        <v>54741227155</v>
      </c>
      <c r="H3911" t="s">
        <v>35</v>
      </c>
      <c r="I3911" s="36">
        <v>5400.84</v>
      </c>
      <c r="J3911" s="36">
        <v>3769.1793290000001</v>
      </c>
      <c r="K3911" s="85">
        <v>1631.6606710000001</v>
      </c>
      <c r="L3911" s="36">
        <v>314.09827739999997</v>
      </c>
      <c r="M3911" s="36">
        <v>0</v>
      </c>
      <c r="N3911" s="36">
        <v>0</v>
      </c>
      <c r="O3911" s="36">
        <v>314.09827739999997</v>
      </c>
      <c r="P3911" t="s">
        <v>127</v>
      </c>
      <c r="Q3911" t="s">
        <v>111</v>
      </c>
      <c r="R3911" t="s">
        <v>111</v>
      </c>
      <c r="S3911" s="1">
        <v>46139</v>
      </c>
      <c r="T3911" s="1">
        <v>46139</v>
      </c>
      <c r="V3911" s="1">
        <v>46508</v>
      </c>
      <c r="W3911" t="s">
        <v>38</v>
      </c>
      <c r="Y3911" t="s">
        <v>49</v>
      </c>
      <c r="AA3911" t="s">
        <v>122</v>
      </c>
      <c r="AB3911">
        <v>12</v>
      </c>
      <c r="AC3911" t="s">
        <v>113</v>
      </c>
      <c r="AD3911" t="s">
        <v>149</v>
      </c>
      <c r="AE3911" t="s">
        <v>43</v>
      </c>
      <c r="AF3911" t="s">
        <v>96</v>
      </c>
      <c r="AG3911" t="str">
        <f t="shared" si="83"/>
        <v>Recorrente</v>
      </c>
      <c r="AH3911" t="str">
        <f t="shared" si="84"/>
        <v/>
      </c>
    </row>
    <row r="3912" spans="1:34">
      <c r="A3912">
        <v>2026</v>
      </c>
      <c r="B3912">
        <v>4</v>
      </c>
      <c r="C3912" s="83">
        <v>34704969559</v>
      </c>
      <c r="D3912" t="s">
        <v>3430</v>
      </c>
      <c r="E3912">
        <v>37522155173</v>
      </c>
      <c r="F3912">
        <v>637525</v>
      </c>
      <c r="G3912">
        <v>54884903013</v>
      </c>
      <c r="H3912" t="s">
        <v>35</v>
      </c>
      <c r="I3912" s="36">
        <v>28992</v>
      </c>
      <c r="J3912" s="36">
        <v>0</v>
      </c>
      <c r="K3912" s="85">
        <v>0</v>
      </c>
      <c r="L3912" s="36">
        <v>0</v>
      </c>
      <c r="M3912" s="36">
        <v>0</v>
      </c>
      <c r="N3912" s="36">
        <v>0</v>
      </c>
      <c r="O3912" s="36">
        <v>0</v>
      </c>
      <c r="P3912" t="s">
        <v>1165</v>
      </c>
      <c r="Q3912" t="s">
        <v>37</v>
      </c>
      <c r="R3912" t="s">
        <v>37</v>
      </c>
      <c r="S3912" s="1">
        <v>46142</v>
      </c>
      <c r="T3912" s="1">
        <v>46142</v>
      </c>
      <c r="W3912" t="s">
        <v>39</v>
      </c>
      <c r="Y3912" t="s">
        <v>39</v>
      </c>
      <c r="AA3912" t="s">
        <v>40</v>
      </c>
      <c r="AB3912">
        <v>1</v>
      </c>
      <c r="AC3912" t="s">
        <v>41</v>
      </c>
      <c r="AD3912" t="s">
        <v>3407</v>
      </c>
      <c r="AE3912" t="s">
        <v>43</v>
      </c>
      <c r="AF3912" t="s">
        <v>47</v>
      </c>
      <c r="AG3912" t="str">
        <f t="shared" si="83"/>
        <v>À Vista</v>
      </c>
      <c r="AH3912" t="str">
        <f t="shared" si="84"/>
        <v/>
      </c>
    </row>
    <row r="3913" spans="1:34">
      <c r="A3913">
        <v>2026</v>
      </c>
      <c r="B3913">
        <v>4</v>
      </c>
      <c r="C3913" s="83">
        <v>34704969559</v>
      </c>
      <c r="D3913" t="s">
        <v>3430</v>
      </c>
      <c r="E3913">
        <v>37522155173</v>
      </c>
      <c r="F3913">
        <v>637525</v>
      </c>
      <c r="G3913">
        <v>54884903014</v>
      </c>
      <c r="H3913" t="s">
        <v>35</v>
      </c>
      <c r="I3913" s="36">
        <v>53472</v>
      </c>
      <c r="J3913" s="36">
        <v>0</v>
      </c>
      <c r="K3913" s="85">
        <v>0</v>
      </c>
      <c r="L3913" s="36">
        <v>0</v>
      </c>
      <c r="M3913" s="36">
        <v>0</v>
      </c>
      <c r="N3913" s="36">
        <v>0</v>
      </c>
      <c r="O3913" s="36">
        <v>0</v>
      </c>
      <c r="P3913" t="s">
        <v>1165</v>
      </c>
      <c r="Q3913" t="s">
        <v>37</v>
      </c>
      <c r="R3913" t="s">
        <v>37</v>
      </c>
      <c r="S3913" s="1">
        <v>46142</v>
      </c>
      <c r="T3913" s="1">
        <v>46142</v>
      </c>
      <c r="U3913" s="1"/>
      <c r="V3913" s="1"/>
      <c r="W3913" t="s">
        <v>39</v>
      </c>
      <c r="Y3913" t="s">
        <v>39</v>
      </c>
      <c r="AA3913" t="s">
        <v>40</v>
      </c>
      <c r="AB3913">
        <v>1</v>
      </c>
      <c r="AC3913" t="s">
        <v>41</v>
      </c>
      <c r="AD3913" t="s">
        <v>3406</v>
      </c>
      <c r="AE3913" t="s">
        <v>46</v>
      </c>
      <c r="AF3913" t="s">
        <v>47</v>
      </c>
      <c r="AG3913" t="str">
        <f t="shared" si="83"/>
        <v>À Vista</v>
      </c>
      <c r="AH3913" t="str">
        <f t="shared" si="84"/>
        <v/>
      </c>
    </row>
    <row r="3914" spans="1:34">
      <c r="A3914">
        <v>2026</v>
      </c>
      <c r="B3914">
        <v>4</v>
      </c>
      <c r="C3914" s="83">
        <v>349201</v>
      </c>
      <c r="D3914" t="s">
        <v>3431</v>
      </c>
      <c r="E3914">
        <v>58721044748</v>
      </c>
      <c r="F3914">
        <v>612651</v>
      </c>
      <c r="G3914">
        <v>54118682474</v>
      </c>
      <c r="H3914" t="s">
        <v>35</v>
      </c>
      <c r="I3914" s="36">
        <v>4452.6000000000004</v>
      </c>
      <c r="J3914" s="36">
        <v>4452.6000000000004</v>
      </c>
      <c r="K3914" s="85">
        <v>0</v>
      </c>
      <c r="L3914" s="36">
        <v>371.05</v>
      </c>
      <c r="M3914" s="36">
        <v>0</v>
      </c>
      <c r="N3914" s="36">
        <v>42.866250000000001</v>
      </c>
      <c r="O3914" s="36">
        <v>328.18</v>
      </c>
      <c r="P3914" t="s">
        <v>137</v>
      </c>
      <c r="Q3914" t="s">
        <v>111</v>
      </c>
      <c r="R3914" t="s">
        <v>111</v>
      </c>
      <c r="S3914" s="1">
        <v>46120</v>
      </c>
      <c r="T3914" s="1">
        <v>46120</v>
      </c>
      <c r="U3914" s="1">
        <v>46114</v>
      </c>
      <c r="V3914" s="1">
        <v>46485</v>
      </c>
      <c r="W3914" t="s">
        <v>38</v>
      </c>
      <c r="X3914">
        <v>12</v>
      </c>
      <c r="Y3914" t="s">
        <v>49</v>
      </c>
      <c r="Z3914" t="s">
        <v>81</v>
      </c>
      <c r="AA3914" t="s">
        <v>122</v>
      </c>
      <c r="AB3914">
        <v>12</v>
      </c>
      <c r="AC3914" t="s">
        <v>113</v>
      </c>
      <c r="AD3914" t="s">
        <v>138</v>
      </c>
      <c r="AE3914" t="s">
        <v>135</v>
      </c>
      <c r="AF3914" t="s">
        <v>119</v>
      </c>
      <c r="AG3914" t="str">
        <f t="shared" si="83"/>
        <v>Recorrente</v>
      </c>
      <c r="AH3914" t="str">
        <f t="shared" si="84"/>
        <v/>
      </c>
    </row>
    <row r="3915" spans="1:34">
      <c r="A3915">
        <v>2026</v>
      </c>
      <c r="B3915">
        <v>4</v>
      </c>
      <c r="C3915" s="83">
        <v>35009365941</v>
      </c>
      <c r="D3915" t="s">
        <v>3432</v>
      </c>
      <c r="E3915">
        <v>55679596102</v>
      </c>
      <c r="F3915">
        <v>637527</v>
      </c>
      <c r="G3915">
        <v>54945934596</v>
      </c>
      <c r="H3915" t="s">
        <v>35</v>
      </c>
      <c r="I3915" s="36">
        <v>41796</v>
      </c>
      <c r="J3915" s="36">
        <v>13932</v>
      </c>
      <c r="K3915" s="85">
        <v>27864</v>
      </c>
      <c r="L3915" s="36">
        <v>1161</v>
      </c>
      <c r="M3915" s="36">
        <v>1161</v>
      </c>
      <c r="N3915" s="36">
        <v>0</v>
      </c>
      <c r="O3915" s="36">
        <v>0</v>
      </c>
      <c r="P3915" t="s">
        <v>98</v>
      </c>
      <c r="Q3915" t="s">
        <v>37</v>
      </c>
      <c r="R3915" t="s">
        <v>37</v>
      </c>
      <c r="S3915" s="1">
        <v>46142</v>
      </c>
      <c r="T3915" s="1">
        <v>46142</v>
      </c>
      <c r="V3915" s="1">
        <v>47238</v>
      </c>
      <c r="W3915" t="s">
        <v>102</v>
      </c>
      <c r="X3915">
        <v>36</v>
      </c>
      <c r="Y3915" t="s">
        <v>49</v>
      </c>
      <c r="AA3915" t="s">
        <v>40</v>
      </c>
      <c r="AB3915">
        <v>1</v>
      </c>
      <c r="AC3915" t="s">
        <v>41</v>
      </c>
      <c r="AD3915" t="s">
        <v>53</v>
      </c>
      <c r="AE3915" t="s">
        <v>43</v>
      </c>
      <c r="AF3915" t="s">
        <v>44</v>
      </c>
      <c r="AG3915" t="str">
        <f t="shared" si="83"/>
        <v>À Vista</v>
      </c>
      <c r="AH3915" t="str">
        <f t="shared" si="84"/>
        <v/>
      </c>
    </row>
    <row r="3916" spans="1:34">
      <c r="A3916">
        <v>2026</v>
      </c>
      <c r="B3916">
        <v>4</v>
      </c>
      <c r="C3916" s="83">
        <v>35009365941</v>
      </c>
      <c r="D3916" t="s">
        <v>3432</v>
      </c>
      <c r="E3916">
        <v>55679596102</v>
      </c>
      <c r="F3916">
        <v>637527</v>
      </c>
      <c r="G3916">
        <v>54945934597</v>
      </c>
      <c r="H3916" t="s">
        <v>35</v>
      </c>
      <c r="I3916" s="36">
        <v>16308</v>
      </c>
      <c r="J3916" s="36">
        <v>5436</v>
      </c>
      <c r="K3916" s="85">
        <v>10872</v>
      </c>
      <c r="L3916" s="36">
        <v>453</v>
      </c>
      <c r="M3916" s="36">
        <v>453</v>
      </c>
      <c r="N3916" s="36">
        <v>0</v>
      </c>
      <c r="O3916" s="36">
        <v>0</v>
      </c>
      <c r="P3916" t="s">
        <v>98</v>
      </c>
      <c r="Q3916" t="s">
        <v>37</v>
      </c>
      <c r="R3916" t="s">
        <v>37</v>
      </c>
      <c r="S3916" s="1">
        <v>46142</v>
      </c>
      <c r="T3916" s="1">
        <v>46142</v>
      </c>
      <c r="U3916" s="1"/>
      <c r="V3916" s="1">
        <v>47238</v>
      </c>
      <c r="W3916" t="s">
        <v>102</v>
      </c>
      <c r="X3916">
        <v>36</v>
      </c>
      <c r="Y3916" t="s">
        <v>49</v>
      </c>
      <c r="AA3916" t="s">
        <v>40</v>
      </c>
      <c r="AB3916">
        <v>1</v>
      </c>
      <c r="AC3916" t="s">
        <v>41</v>
      </c>
      <c r="AD3916" t="s">
        <v>54</v>
      </c>
      <c r="AE3916" t="s">
        <v>46</v>
      </c>
      <c r="AF3916" t="s">
        <v>44</v>
      </c>
      <c r="AG3916" t="str">
        <f t="shared" si="83"/>
        <v>À Vista</v>
      </c>
      <c r="AH3916" t="str">
        <f t="shared" si="84"/>
        <v/>
      </c>
    </row>
    <row r="3917" spans="1:34">
      <c r="A3917">
        <v>2026</v>
      </c>
      <c r="B3917">
        <v>4</v>
      </c>
      <c r="C3917" s="83">
        <v>35493419535</v>
      </c>
      <c r="D3917" t="s">
        <v>3433</v>
      </c>
      <c r="E3917">
        <v>59272341357</v>
      </c>
      <c r="F3917">
        <v>630754</v>
      </c>
      <c r="G3917">
        <v>54509949223</v>
      </c>
      <c r="H3917" t="s">
        <v>35</v>
      </c>
      <c r="I3917" s="36">
        <v>1096.2</v>
      </c>
      <c r="J3917" s="36">
        <v>5720.28</v>
      </c>
      <c r="K3917" s="85">
        <v>0</v>
      </c>
      <c r="L3917" s="36">
        <v>476.69</v>
      </c>
      <c r="M3917" s="36">
        <v>0</v>
      </c>
      <c r="N3917" s="36">
        <v>476.69</v>
      </c>
      <c r="O3917" s="36">
        <v>0</v>
      </c>
      <c r="P3917" t="s">
        <v>520</v>
      </c>
      <c r="Q3917" t="s">
        <v>191</v>
      </c>
      <c r="R3917" t="s">
        <v>191</v>
      </c>
      <c r="S3917" s="1">
        <v>46134</v>
      </c>
      <c r="T3917" s="1">
        <v>46134</v>
      </c>
      <c r="U3917" s="1">
        <v>46204</v>
      </c>
      <c r="V3917" s="1">
        <v>46204</v>
      </c>
      <c r="W3917" t="s">
        <v>38</v>
      </c>
      <c r="X3917">
        <v>3</v>
      </c>
      <c r="Y3917" t="s">
        <v>49</v>
      </c>
      <c r="Z3917" t="s">
        <v>324</v>
      </c>
      <c r="AA3917" t="s">
        <v>117</v>
      </c>
      <c r="AB3917">
        <v>1</v>
      </c>
      <c r="AC3917" t="s">
        <v>192</v>
      </c>
      <c r="AD3917" t="s">
        <v>149</v>
      </c>
      <c r="AE3917" t="s">
        <v>43</v>
      </c>
      <c r="AF3917" t="s">
        <v>96</v>
      </c>
      <c r="AG3917" t="str">
        <f t="shared" si="83"/>
        <v>À Vista</v>
      </c>
      <c r="AH3917" t="str">
        <f t="shared" si="84"/>
        <v/>
      </c>
    </row>
    <row r="3918" spans="1:34">
      <c r="A3918">
        <v>2026</v>
      </c>
      <c r="B3918">
        <v>4</v>
      </c>
      <c r="C3918" s="83">
        <v>36417230716</v>
      </c>
      <c r="D3918" t="s">
        <v>1636</v>
      </c>
      <c r="E3918">
        <v>57993206610</v>
      </c>
      <c r="F3918">
        <v>629118</v>
      </c>
      <c r="G3918">
        <v>53229252016</v>
      </c>
      <c r="H3918" t="s">
        <v>35</v>
      </c>
      <c r="I3918" s="36">
        <v>15870.6</v>
      </c>
      <c r="J3918" s="36">
        <v>15870.6</v>
      </c>
      <c r="K3918" s="85">
        <v>1.8189900000000001E-12</v>
      </c>
      <c r="L3918" s="36">
        <v>1322.55</v>
      </c>
      <c r="M3918" s="36">
        <v>0</v>
      </c>
      <c r="N3918" s="36">
        <v>167.4</v>
      </c>
      <c r="O3918" s="36">
        <v>1155.1500000000001</v>
      </c>
      <c r="P3918" t="s">
        <v>165</v>
      </c>
      <c r="Q3918" t="s">
        <v>166</v>
      </c>
      <c r="R3918" t="s">
        <v>166</v>
      </c>
      <c r="S3918" s="1">
        <v>46139</v>
      </c>
      <c r="T3918" s="1">
        <v>46139</v>
      </c>
      <c r="U3918" s="1">
        <v>46141</v>
      </c>
      <c r="V3918" s="1">
        <v>46506</v>
      </c>
      <c r="W3918" t="s">
        <v>38</v>
      </c>
      <c r="X3918">
        <v>12</v>
      </c>
      <c r="Y3918" t="s">
        <v>49</v>
      </c>
      <c r="Z3918" t="s">
        <v>81</v>
      </c>
      <c r="AA3918" t="s">
        <v>122</v>
      </c>
      <c r="AB3918">
        <v>12</v>
      </c>
      <c r="AC3918" t="s">
        <v>166</v>
      </c>
      <c r="AD3918" t="s">
        <v>336</v>
      </c>
      <c r="AE3918" t="s">
        <v>135</v>
      </c>
      <c r="AF3918" t="s">
        <v>47</v>
      </c>
      <c r="AG3918" t="str">
        <f t="shared" si="83"/>
        <v>Recorrente</v>
      </c>
      <c r="AH3918" t="str">
        <f t="shared" si="84"/>
        <v/>
      </c>
    </row>
    <row r="3919" spans="1:34">
      <c r="A3919">
        <v>2026</v>
      </c>
      <c r="B3919">
        <v>4</v>
      </c>
      <c r="C3919" s="83">
        <v>37821638668</v>
      </c>
      <c r="D3919" t="s">
        <v>1640</v>
      </c>
      <c r="E3919">
        <v>57830433833</v>
      </c>
      <c r="F3919">
        <v>637489</v>
      </c>
      <c r="G3919">
        <v>54510309220</v>
      </c>
      <c r="H3919" t="s">
        <v>673</v>
      </c>
      <c r="I3919" s="36">
        <v>49000</v>
      </c>
      <c r="J3919" s="36">
        <v>0</v>
      </c>
      <c r="K3919" s="85">
        <v>0</v>
      </c>
      <c r="L3919" s="36">
        <v>0</v>
      </c>
      <c r="M3919" s="36">
        <v>0</v>
      </c>
      <c r="N3919" s="36">
        <v>0</v>
      </c>
      <c r="O3919" s="36">
        <v>0</v>
      </c>
      <c r="P3919" t="s">
        <v>668</v>
      </c>
      <c r="Q3919" t="s">
        <v>91</v>
      </c>
      <c r="R3919" t="s">
        <v>91</v>
      </c>
      <c r="S3919" s="1">
        <v>46142</v>
      </c>
      <c r="T3919" s="1">
        <v>46142</v>
      </c>
      <c r="U3919" s="1"/>
      <c r="V3919" s="1">
        <v>46507</v>
      </c>
      <c r="W3919" t="s">
        <v>38</v>
      </c>
      <c r="X3919">
        <v>12</v>
      </c>
      <c r="Y3919" t="s">
        <v>1229</v>
      </c>
      <c r="AA3919" t="s">
        <v>92</v>
      </c>
      <c r="AB3919">
        <v>12</v>
      </c>
      <c r="AC3919" t="s">
        <v>93</v>
      </c>
      <c r="AD3919" t="s">
        <v>3434</v>
      </c>
      <c r="AE3919" t="s">
        <v>95</v>
      </c>
      <c r="AF3919" t="s">
        <v>44</v>
      </c>
      <c r="AG3919" t="str">
        <f t="shared" si="83"/>
        <v>Recorrente</v>
      </c>
      <c r="AH3919" t="str">
        <f t="shared" si="84"/>
        <v/>
      </c>
    </row>
    <row r="3920" spans="1:34">
      <c r="A3920">
        <v>2026</v>
      </c>
      <c r="B3920">
        <v>4</v>
      </c>
      <c r="C3920" s="83">
        <v>38741028789</v>
      </c>
      <c r="D3920" t="s">
        <v>3435</v>
      </c>
      <c r="E3920">
        <v>59034034696</v>
      </c>
      <c r="F3920">
        <v>632103</v>
      </c>
      <c r="G3920">
        <v>54154304843</v>
      </c>
      <c r="H3920" t="s">
        <v>35</v>
      </c>
      <c r="I3920" s="36">
        <v>1462.32</v>
      </c>
      <c r="J3920" s="36">
        <v>3842.76</v>
      </c>
      <c r="K3920" s="85">
        <v>0</v>
      </c>
      <c r="L3920" s="36">
        <v>320.23</v>
      </c>
      <c r="M3920" s="36">
        <v>0</v>
      </c>
      <c r="N3920" s="36">
        <v>320.23</v>
      </c>
      <c r="O3920" s="36">
        <v>0</v>
      </c>
      <c r="P3920" t="s">
        <v>323</v>
      </c>
      <c r="Q3920" t="s">
        <v>191</v>
      </c>
      <c r="R3920" t="s">
        <v>191</v>
      </c>
      <c r="S3920" s="1">
        <v>46122</v>
      </c>
      <c r="T3920" s="1">
        <v>46122</v>
      </c>
      <c r="U3920" s="1">
        <v>46260</v>
      </c>
      <c r="V3920" s="1">
        <v>46260</v>
      </c>
      <c r="W3920" t="s">
        <v>38</v>
      </c>
      <c r="X3920">
        <v>4</v>
      </c>
      <c r="Y3920" t="s">
        <v>49</v>
      </c>
      <c r="Z3920" t="s">
        <v>324</v>
      </c>
      <c r="AA3920" t="s">
        <v>112</v>
      </c>
      <c r="AB3920">
        <v>4</v>
      </c>
      <c r="AC3920" t="s">
        <v>192</v>
      </c>
      <c r="AD3920" t="s">
        <v>131</v>
      </c>
      <c r="AE3920" t="s">
        <v>46</v>
      </c>
      <c r="AF3920" t="s">
        <v>96</v>
      </c>
      <c r="AG3920" t="str">
        <f t="shared" si="83"/>
        <v>CC 12x</v>
      </c>
      <c r="AH3920" t="str">
        <f t="shared" si="84"/>
        <v/>
      </c>
    </row>
    <row r="3921" spans="1:34">
      <c r="A3921">
        <v>2026</v>
      </c>
      <c r="B3921">
        <v>4</v>
      </c>
      <c r="C3921" s="83">
        <v>38807871549</v>
      </c>
      <c r="D3921" t="s">
        <v>1644</v>
      </c>
      <c r="E3921">
        <v>59417426981</v>
      </c>
      <c r="F3921">
        <v>528127</v>
      </c>
      <c r="G3921">
        <v>54698997604</v>
      </c>
      <c r="H3921" t="s">
        <v>35</v>
      </c>
      <c r="I3921" s="36">
        <v>4802.88</v>
      </c>
      <c r="J3921" s="36">
        <v>5752.08</v>
      </c>
      <c r="K3921" s="85">
        <v>0</v>
      </c>
      <c r="L3921" s="36">
        <v>479.34</v>
      </c>
      <c r="M3921" s="36">
        <v>0</v>
      </c>
      <c r="N3921" s="36">
        <v>479.34</v>
      </c>
      <c r="O3921" s="36">
        <v>0</v>
      </c>
      <c r="P3921" t="s">
        <v>323</v>
      </c>
      <c r="Q3921" t="s">
        <v>191</v>
      </c>
      <c r="R3921" t="s">
        <v>191</v>
      </c>
      <c r="S3921" s="1">
        <v>46136</v>
      </c>
      <c r="T3921" s="1">
        <v>46136</v>
      </c>
      <c r="U3921" s="1">
        <v>46441</v>
      </c>
      <c r="V3921" s="1">
        <v>46441</v>
      </c>
      <c r="W3921" t="s">
        <v>38</v>
      </c>
      <c r="X3921">
        <v>10</v>
      </c>
      <c r="Y3921" t="s">
        <v>49</v>
      </c>
      <c r="Z3921" t="s">
        <v>324</v>
      </c>
      <c r="AA3921" t="s">
        <v>112</v>
      </c>
      <c r="AB3921">
        <v>10</v>
      </c>
      <c r="AC3921" t="s">
        <v>192</v>
      </c>
      <c r="AD3921" t="s">
        <v>149</v>
      </c>
      <c r="AE3921" t="s">
        <v>43</v>
      </c>
      <c r="AF3921" t="s">
        <v>96</v>
      </c>
      <c r="AG3921" t="str">
        <f t="shared" si="83"/>
        <v>CC 12x</v>
      </c>
      <c r="AH3921" t="str">
        <f t="shared" si="84"/>
        <v/>
      </c>
    </row>
    <row r="3922" spans="1:34">
      <c r="A3922">
        <v>2026</v>
      </c>
      <c r="B3922">
        <v>4</v>
      </c>
      <c r="C3922" s="83">
        <v>38983293463</v>
      </c>
      <c r="D3922" t="s">
        <v>3436</v>
      </c>
      <c r="E3922">
        <v>59043040529</v>
      </c>
      <c r="F3922">
        <v>637005</v>
      </c>
      <c r="G3922">
        <v>54154530323</v>
      </c>
      <c r="H3922" t="s">
        <v>35</v>
      </c>
      <c r="I3922" s="36">
        <v>1503.6</v>
      </c>
      <c r="J3922" s="36">
        <v>1503.6</v>
      </c>
      <c r="K3922" s="85">
        <v>0</v>
      </c>
      <c r="L3922" s="36">
        <v>125.3</v>
      </c>
      <c r="M3922" s="36">
        <v>0</v>
      </c>
      <c r="N3922" s="36">
        <v>125.3</v>
      </c>
      <c r="O3922" s="36">
        <v>0</v>
      </c>
      <c r="P3922" t="s">
        <v>469</v>
      </c>
      <c r="Q3922" t="s">
        <v>191</v>
      </c>
      <c r="R3922" t="s">
        <v>191</v>
      </c>
      <c r="S3922" s="1">
        <v>46122</v>
      </c>
      <c r="T3922" s="1">
        <v>46122</v>
      </c>
      <c r="V3922" s="1">
        <v>46487</v>
      </c>
      <c r="W3922" t="s">
        <v>38</v>
      </c>
      <c r="X3922">
        <v>12</v>
      </c>
      <c r="Y3922" t="s">
        <v>49</v>
      </c>
      <c r="AA3922" t="s">
        <v>122</v>
      </c>
      <c r="AB3922">
        <v>12</v>
      </c>
      <c r="AC3922" t="s">
        <v>192</v>
      </c>
      <c r="AD3922" t="s">
        <v>256</v>
      </c>
      <c r="AE3922" t="s">
        <v>257</v>
      </c>
      <c r="AF3922" t="s">
        <v>59</v>
      </c>
      <c r="AG3922" t="str">
        <f t="shared" si="83"/>
        <v>Recorrente</v>
      </c>
      <c r="AH3922" t="str">
        <f t="shared" si="84"/>
        <v/>
      </c>
    </row>
    <row r="3923" spans="1:34">
      <c r="A3923">
        <v>2026</v>
      </c>
      <c r="B3923">
        <v>4</v>
      </c>
      <c r="C3923" s="83">
        <v>39071211852</v>
      </c>
      <c r="D3923" t="s">
        <v>3437</v>
      </c>
      <c r="E3923">
        <v>59769678000</v>
      </c>
      <c r="F3923">
        <v>637426</v>
      </c>
      <c r="G3923">
        <v>54803926908</v>
      </c>
      <c r="H3923" t="s">
        <v>35</v>
      </c>
      <c r="I3923" s="36">
        <v>10357.200000000001</v>
      </c>
      <c r="J3923" s="36">
        <v>2689.4342329999999</v>
      </c>
      <c r="K3923" s="85">
        <v>7667.7657669999999</v>
      </c>
      <c r="L3923" s="36">
        <v>224.1195194</v>
      </c>
      <c r="M3923" s="36">
        <v>0</v>
      </c>
      <c r="N3923" s="36">
        <v>224.1195194</v>
      </c>
      <c r="O3923" s="36">
        <v>0</v>
      </c>
      <c r="P3923" t="s">
        <v>367</v>
      </c>
      <c r="Q3923" t="s">
        <v>191</v>
      </c>
      <c r="R3923" t="s">
        <v>191</v>
      </c>
      <c r="S3923" s="1">
        <v>46140</v>
      </c>
      <c r="T3923" s="1">
        <v>46140</v>
      </c>
      <c r="V3923" s="1">
        <v>46873</v>
      </c>
      <c r="W3923" t="s">
        <v>56</v>
      </c>
      <c r="Y3923" t="s">
        <v>49</v>
      </c>
      <c r="AA3923" t="s">
        <v>122</v>
      </c>
      <c r="AB3923">
        <v>24</v>
      </c>
      <c r="AC3923" t="s">
        <v>192</v>
      </c>
      <c r="AD3923" t="s">
        <v>85</v>
      </c>
      <c r="AE3923" t="s">
        <v>46</v>
      </c>
      <c r="AF3923" t="s">
        <v>44</v>
      </c>
      <c r="AG3923" t="str">
        <f t="shared" si="83"/>
        <v>Recorrente</v>
      </c>
      <c r="AH3923" t="str">
        <f t="shared" si="84"/>
        <v/>
      </c>
    </row>
    <row r="3924" spans="1:34">
      <c r="A3924">
        <v>2026</v>
      </c>
      <c r="B3924">
        <v>4</v>
      </c>
      <c r="C3924" s="83">
        <v>39071211852</v>
      </c>
      <c r="D3924" t="s">
        <v>3437</v>
      </c>
      <c r="E3924">
        <v>59769678000</v>
      </c>
      <c r="F3924">
        <v>637426</v>
      </c>
      <c r="G3924">
        <v>54803926909</v>
      </c>
      <c r="H3924" t="s">
        <v>35</v>
      </c>
      <c r="I3924" s="36">
        <v>9999.6</v>
      </c>
      <c r="J3924" s="36">
        <v>2596.5889870000001</v>
      </c>
      <c r="K3924" s="85">
        <v>7403.0110130000003</v>
      </c>
      <c r="L3924" s="36">
        <v>216.3824156</v>
      </c>
      <c r="M3924" s="36">
        <v>0</v>
      </c>
      <c r="N3924" s="36">
        <v>216.3824156</v>
      </c>
      <c r="O3924" s="36">
        <v>0</v>
      </c>
      <c r="P3924" t="s">
        <v>367</v>
      </c>
      <c r="Q3924" t="s">
        <v>191</v>
      </c>
      <c r="R3924" t="s">
        <v>191</v>
      </c>
      <c r="S3924" s="1">
        <v>46140</v>
      </c>
      <c r="T3924" s="1">
        <v>46140</v>
      </c>
      <c r="V3924" s="1">
        <v>46873</v>
      </c>
      <c r="W3924" t="s">
        <v>56</v>
      </c>
      <c r="Y3924" t="s">
        <v>49</v>
      </c>
      <c r="AA3924" t="s">
        <v>122</v>
      </c>
      <c r="AB3924">
        <v>24</v>
      </c>
      <c r="AC3924" t="s">
        <v>192</v>
      </c>
      <c r="AD3924" t="s">
        <v>85</v>
      </c>
      <c r="AE3924" t="s">
        <v>46</v>
      </c>
      <c r="AF3924" t="s">
        <v>44</v>
      </c>
      <c r="AG3924" t="str">
        <f t="shared" si="83"/>
        <v>Recorrente</v>
      </c>
      <c r="AH3924" t="str">
        <f t="shared" si="84"/>
        <v/>
      </c>
    </row>
    <row r="3925" spans="1:34">
      <c r="A3925">
        <v>2026</v>
      </c>
      <c r="B3925">
        <v>4</v>
      </c>
      <c r="C3925" s="83">
        <v>39209256244</v>
      </c>
      <c r="D3925" t="s">
        <v>3438</v>
      </c>
      <c r="E3925">
        <v>59051268459</v>
      </c>
      <c r="F3925">
        <v>637015</v>
      </c>
      <c r="G3925">
        <v>54150035734</v>
      </c>
      <c r="H3925" t="s">
        <v>35</v>
      </c>
      <c r="I3925" s="36">
        <v>4948.4399999999996</v>
      </c>
      <c r="J3925" s="36">
        <v>4948.4399999999996</v>
      </c>
      <c r="K3925" s="85">
        <v>0</v>
      </c>
      <c r="L3925" s="36">
        <v>412.37</v>
      </c>
      <c r="M3925" s="36">
        <v>412.37</v>
      </c>
      <c r="N3925" s="36">
        <v>0</v>
      </c>
      <c r="O3925" s="36">
        <v>0</v>
      </c>
      <c r="P3925" t="s">
        <v>313</v>
      </c>
      <c r="Q3925" t="s">
        <v>349</v>
      </c>
      <c r="R3925" t="s">
        <v>349</v>
      </c>
      <c r="S3925" s="1">
        <v>46122</v>
      </c>
      <c r="T3925" s="1">
        <v>46122</v>
      </c>
      <c r="V3925" s="1">
        <v>46487</v>
      </c>
      <c r="W3925" t="s">
        <v>38</v>
      </c>
      <c r="X3925">
        <v>12</v>
      </c>
      <c r="Y3925" t="s">
        <v>49</v>
      </c>
      <c r="AA3925" t="s">
        <v>117</v>
      </c>
      <c r="AB3925">
        <v>1</v>
      </c>
      <c r="AC3925" t="s">
        <v>350</v>
      </c>
      <c r="AD3925" t="s">
        <v>85</v>
      </c>
      <c r="AE3925" t="s">
        <v>46</v>
      </c>
      <c r="AF3925" t="s">
        <v>44</v>
      </c>
      <c r="AG3925" t="str">
        <f t="shared" si="83"/>
        <v>À Vista</v>
      </c>
      <c r="AH3925" t="str">
        <f t="shared" si="84"/>
        <v/>
      </c>
    </row>
    <row r="3926" spans="1:34">
      <c r="A3926">
        <v>2026</v>
      </c>
      <c r="B3926">
        <v>4</v>
      </c>
      <c r="C3926" s="83">
        <v>39209256244</v>
      </c>
      <c r="D3926" t="s">
        <v>3438</v>
      </c>
      <c r="E3926">
        <v>59100065179</v>
      </c>
      <c r="F3926">
        <v>637016</v>
      </c>
      <c r="G3926">
        <v>54150096305</v>
      </c>
      <c r="H3926" t="s">
        <v>673</v>
      </c>
      <c r="I3926" s="36">
        <v>2064</v>
      </c>
      <c r="J3926" s="36">
        <v>0</v>
      </c>
      <c r="K3926" s="85">
        <v>0</v>
      </c>
      <c r="L3926" s="36">
        <v>0</v>
      </c>
      <c r="M3926" s="36">
        <v>0</v>
      </c>
      <c r="N3926" s="36">
        <v>0</v>
      </c>
      <c r="O3926" s="36">
        <v>0</v>
      </c>
      <c r="P3926" t="s">
        <v>313</v>
      </c>
      <c r="Q3926" t="s">
        <v>349</v>
      </c>
      <c r="R3926" t="s">
        <v>349</v>
      </c>
      <c r="S3926" s="1">
        <v>46122</v>
      </c>
      <c r="T3926" s="1">
        <v>46122</v>
      </c>
      <c r="U3926" s="1"/>
      <c r="V3926" s="1">
        <v>46487</v>
      </c>
      <c r="W3926" t="s">
        <v>38</v>
      </c>
      <c r="X3926">
        <v>12</v>
      </c>
      <c r="Y3926" t="s">
        <v>1229</v>
      </c>
      <c r="AA3926" t="s">
        <v>117</v>
      </c>
      <c r="AB3926">
        <v>1</v>
      </c>
      <c r="AC3926" t="s">
        <v>350</v>
      </c>
      <c r="AD3926" t="s">
        <v>3439</v>
      </c>
      <c r="AE3926" t="s">
        <v>106</v>
      </c>
      <c r="AF3926" t="s">
        <v>59</v>
      </c>
      <c r="AG3926" t="str">
        <f t="shared" si="83"/>
        <v>À Vista</v>
      </c>
      <c r="AH3926" t="str">
        <f t="shared" si="84"/>
        <v/>
      </c>
    </row>
    <row r="3927" spans="1:34">
      <c r="A3927">
        <v>2026</v>
      </c>
      <c r="B3927">
        <v>4</v>
      </c>
      <c r="C3927" s="83">
        <v>40242905522</v>
      </c>
      <c r="D3927" t="s">
        <v>3440</v>
      </c>
      <c r="E3927">
        <v>56818523806</v>
      </c>
      <c r="F3927">
        <v>628407</v>
      </c>
      <c r="G3927">
        <v>52046644352</v>
      </c>
      <c r="H3927" t="s">
        <v>35</v>
      </c>
      <c r="I3927" s="36">
        <v>2874</v>
      </c>
      <c r="J3927" s="36">
        <v>2874</v>
      </c>
      <c r="K3927" s="85">
        <v>0</v>
      </c>
      <c r="L3927" s="36">
        <v>239.5</v>
      </c>
      <c r="M3927" s="36">
        <v>0</v>
      </c>
      <c r="N3927" s="36">
        <v>36.35</v>
      </c>
      <c r="O3927" s="36">
        <v>203.15</v>
      </c>
      <c r="P3927" t="s">
        <v>165</v>
      </c>
      <c r="Q3927" t="s">
        <v>166</v>
      </c>
      <c r="R3927" t="s">
        <v>166</v>
      </c>
      <c r="S3927" s="1">
        <v>46121</v>
      </c>
      <c r="T3927" s="1">
        <v>46121</v>
      </c>
      <c r="U3927" s="1">
        <v>46121</v>
      </c>
      <c r="V3927" s="1">
        <v>46486</v>
      </c>
      <c r="W3927" t="s">
        <v>38</v>
      </c>
      <c r="X3927">
        <v>12</v>
      </c>
      <c r="Y3927" t="s">
        <v>49</v>
      </c>
      <c r="Z3927" t="s">
        <v>81</v>
      </c>
      <c r="AA3927" t="s">
        <v>112</v>
      </c>
      <c r="AB3927">
        <v>12</v>
      </c>
      <c r="AC3927" t="s">
        <v>166</v>
      </c>
      <c r="AD3927" t="s">
        <v>140</v>
      </c>
      <c r="AE3927" t="s">
        <v>46</v>
      </c>
      <c r="AF3927" t="s">
        <v>119</v>
      </c>
      <c r="AG3927" t="str">
        <f t="shared" si="83"/>
        <v>CC 12x</v>
      </c>
      <c r="AH3927" t="str">
        <f t="shared" si="84"/>
        <v/>
      </c>
    </row>
    <row r="3928" spans="1:34">
      <c r="A3928">
        <v>2026</v>
      </c>
      <c r="B3928">
        <v>4</v>
      </c>
      <c r="C3928" s="83">
        <v>42326239125</v>
      </c>
      <c r="D3928" t="s">
        <v>3441</v>
      </c>
      <c r="E3928">
        <v>57636432311</v>
      </c>
      <c r="F3928">
        <v>533334</v>
      </c>
      <c r="G3928">
        <v>52853577484</v>
      </c>
      <c r="H3928" t="s">
        <v>35</v>
      </c>
      <c r="I3928" s="36">
        <v>6354</v>
      </c>
      <c r="J3928" s="36">
        <v>6354</v>
      </c>
      <c r="K3928" s="85">
        <v>0</v>
      </c>
      <c r="L3928" s="36">
        <v>529.5</v>
      </c>
      <c r="M3928" s="36">
        <v>0</v>
      </c>
      <c r="N3928" s="36">
        <v>90.47</v>
      </c>
      <c r="O3928" s="36">
        <v>439.03</v>
      </c>
      <c r="P3928" t="s">
        <v>165</v>
      </c>
      <c r="Q3928" t="s">
        <v>166</v>
      </c>
      <c r="R3928" t="s">
        <v>166</v>
      </c>
      <c r="S3928" s="1">
        <v>46132</v>
      </c>
      <c r="T3928" s="1">
        <v>46132</v>
      </c>
      <c r="U3928" s="1">
        <v>46132</v>
      </c>
      <c r="V3928" s="1">
        <v>46497</v>
      </c>
      <c r="W3928" t="s">
        <v>38</v>
      </c>
      <c r="X3928">
        <v>12</v>
      </c>
      <c r="Y3928" t="s">
        <v>49</v>
      </c>
      <c r="Z3928" t="s">
        <v>81</v>
      </c>
      <c r="AA3928" t="s">
        <v>112</v>
      </c>
      <c r="AB3928">
        <v>6</v>
      </c>
      <c r="AC3928" t="s">
        <v>166</v>
      </c>
      <c r="AD3928" t="s">
        <v>149</v>
      </c>
      <c r="AE3928" t="s">
        <v>43</v>
      </c>
      <c r="AF3928" t="s">
        <v>96</v>
      </c>
      <c r="AG3928" t="str">
        <f t="shared" si="83"/>
        <v>CC 12x</v>
      </c>
      <c r="AH3928" t="str">
        <f t="shared" si="84"/>
        <v/>
      </c>
    </row>
    <row r="3929" spans="1:34">
      <c r="A3929">
        <v>2026</v>
      </c>
      <c r="B3929">
        <v>4</v>
      </c>
      <c r="C3929" s="83">
        <v>43037796626</v>
      </c>
      <c r="D3929" t="s">
        <v>1654</v>
      </c>
      <c r="E3929">
        <v>37119603833</v>
      </c>
      <c r="F3929">
        <v>637508</v>
      </c>
      <c r="G3929">
        <v>54917867919</v>
      </c>
      <c r="H3929" t="s">
        <v>35</v>
      </c>
      <c r="I3929" s="36">
        <v>11598</v>
      </c>
      <c r="J3929" s="36">
        <v>11598</v>
      </c>
      <c r="K3929" s="85">
        <v>0</v>
      </c>
      <c r="L3929" s="36">
        <v>966.5</v>
      </c>
      <c r="M3929" s="36">
        <v>966.5</v>
      </c>
      <c r="N3929" s="36">
        <v>0</v>
      </c>
      <c r="O3929" s="36">
        <v>0</v>
      </c>
      <c r="P3929" t="s">
        <v>72</v>
      </c>
      <c r="Q3929" t="s">
        <v>37</v>
      </c>
      <c r="R3929" t="s">
        <v>37</v>
      </c>
      <c r="S3929" s="1">
        <v>46142</v>
      </c>
      <c r="T3929" s="1">
        <v>46142</v>
      </c>
      <c r="W3929" t="s">
        <v>38</v>
      </c>
      <c r="X3929">
        <v>12</v>
      </c>
      <c r="Y3929" t="s">
        <v>49</v>
      </c>
      <c r="AA3929" t="s">
        <v>40</v>
      </c>
      <c r="AB3929">
        <v>1</v>
      </c>
      <c r="AC3929" t="s">
        <v>41</v>
      </c>
      <c r="AD3929" t="s">
        <v>48</v>
      </c>
      <c r="AE3929" t="s">
        <v>43</v>
      </c>
      <c r="AF3929" t="s">
        <v>47</v>
      </c>
      <c r="AG3929" t="str">
        <f t="shared" si="83"/>
        <v>À Vista</v>
      </c>
      <c r="AH3929" t="str">
        <f t="shared" si="84"/>
        <v/>
      </c>
    </row>
    <row r="3930" spans="1:34">
      <c r="A3930">
        <v>2026</v>
      </c>
      <c r="B3930">
        <v>4</v>
      </c>
      <c r="C3930" s="83">
        <v>43037796626</v>
      </c>
      <c r="D3930" t="s">
        <v>1654</v>
      </c>
      <c r="E3930">
        <v>37119603833</v>
      </c>
      <c r="F3930">
        <v>637508</v>
      </c>
      <c r="G3930">
        <v>54917867920</v>
      </c>
      <c r="H3930" t="s">
        <v>35</v>
      </c>
      <c r="I3930" s="36">
        <v>57984</v>
      </c>
      <c r="J3930" s="36">
        <v>0</v>
      </c>
      <c r="K3930" s="85">
        <v>0</v>
      </c>
      <c r="L3930" s="36">
        <v>0</v>
      </c>
      <c r="M3930" s="36">
        <v>0</v>
      </c>
      <c r="N3930" s="36">
        <v>0</v>
      </c>
      <c r="O3930" s="36">
        <v>0</v>
      </c>
      <c r="P3930" t="s">
        <v>72</v>
      </c>
      <c r="Q3930" t="s">
        <v>37</v>
      </c>
      <c r="R3930" t="s">
        <v>37</v>
      </c>
      <c r="S3930" s="1">
        <v>46142</v>
      </c>
      <c r="T3930" s="1">
        <v>46142</v>
      </c>
      <c r="W3930" t="s">
        <v>39</v>
      </c>
      <c r="Y3930" t="s">
        <v>39</v>
      </c>
      <c r="AA3930" t="s">
        <v>40</v>
      </c>
      <c r="AB3930">
        <v>1</v>
      </c>
      <c r="AC3930" t="s">
        <v>41</v>
      </c>
      <c r="AD3930" t="s">
        <v>3016</v>
      </c>
      <c r="AE3930" t="s">
        <v>43</v>
      </c>
      <c r="AF3930" t="s">
        <v>47</v>
      </c>
      <c r="AG3930" t="str">
        <f t="shared" si="83"/>
        <v>À Vista</v>
      </c>
      <c r="AH3930" t="str">
        <f t="shared" si="84"/>
        <v/>
      </c>
    </row>
    <row r="3931" spans="1:34">
      <c r="A3931">
        <v>2026</v>
      </c>
      <c r="B3931">
        <v>4</v>
      </c>
      <c r="C3931" s="83">
        <v>43037796626</v>
      </c>
      <c r="D3931" t="s">
        <v>1654</v>
      </c>
      <c r="E3931">
        <v>37119603833</v>
      </c>
      <c r="F3931">
        <v>637508</v>
      </c>
      <c r="G3931">
        <v>54917867921</v>
      </c>
      <c r="H3931" t="s">
        <v>35</v>
      </c>
      <c r="I3931" s="36">
        <v>127840</v>
      </c>
      <c r="J3931" s="36">
        <v>0</v>
      </c>
      <c r="K3931" s="85">
        <v>0</v>
      </c>
      <c r="L3931" s="36">
        <v>0</v>
      </c>
      <c r="M3931" s="36">
        <v>0</v>
      </c>
      <c r="N3931" s="36">
        <v>0</v>
      </c>
      <c r="O3931" s="36">
        <v>0</v>
      </c>
      <c r="P3931" t="s">
        <v>72</v>
      </c>
      <c r="Q3931" t="s">
        <v>37</v>
      </c>
      <c r="R3931" t="s">
        <v>37</v>
      </c>
      <c r="S3931" s="1">
        <v>46142</v>
      </c>
      <c r="T3931" s="1">
        <v>46142</v>
      </c>
      <c r="W3931" t="s">
        <v>39</v>
      </c>
      <c r="Y3931" t="s">
        <v>39</v>
      </c>
      <c r="AA3931" t="s">
        <v>40</v>
      </c>
      <c r="AB3931">
        <v>1</v>
      </c>
      <c r="AC3931" t="s">
        <v>41</v>
      </c>
      <c r="AD3931" t="s">
        <v>3442</v>
      </c>
      <c r="AE3931" t="s">
        <v>51</v>
      </c>
      <c r="AF3931" t="s">
        <v>44</v>
      </c>
      <c r="AG3931" t="str">
        <f t="shared" si="83"/>
        <v>À Vista</v>
      </c>
      <c r="AH3931" t="str">
        <f t="shared" si="84"/>
        <v/>
      </c>
    </row>
    <row r="3932" spans="1:34">
      <c r="A3932">
        <v>2026</v>
      </c>
      <c r="B3932">
        <v>4</v>
      </c>
      <c r="C3932" s="83">
        <v>43037796626</v>
      </c>
      <c r="D3932" t="s">
        <v>1654</v>
      </c>
      <c r="E3932">
        <v>37119603833</v>
      </c>
      <c r="F3932">
        <v>637508</v>
      </c>
      <c r="G3932">
        <v>54917867922</v>
      </c>
      <c r="H3932" t="s">
        <v>35</v>
      </c>
      <c r="I3932" s="36">
        <v>106944</v>
      </c>
      <c r="J3932" s="36">
        <v>0</v>
      </c>
      <c r="K3932" s="85">
        <v>0</v>
      </c>
      <c r="L3932" s="36">
        <v>0</v>
      </c>
      <c r="M3932" s="36">
        <v>0</v>
      </c>
      <c r="N3932" s="36">
        <v>0</v>
      </c>
      <c r="O3932" s="36">
        <v>0</v>
      </c>
      <c r="P3932" t="s">
        <v>72</v>
      </c>
      <c r="Q3932" t="s">
        <v>37</v>
      </c>
      <c r="R3932" t="s">
        <v>37</v>
      </c>
      <c r="S3932" s="1">
        <v>46142</v>
      </c>
      <c r="T3932" s="1">
        <v>46142</v>
      </c>
      <c r="W3932" t="s">
        <v>39</v>
      </c>
      <c r="Y3932" t="s">
        <v>39</v>
      </c>
      <c r="AA3932" t="s">
        <v>40</v>
      </c>
      <c r="AB3932">
        <v>1</v>
      </c>
      <c r="AC3932" t="s">
        <v>41</v>
      </c>
      <c r="AD3932" t="s">
        <v>3015</v>
      </c>
      <c r="AE3932" t="s">
        <v>46</v>
      </c>
      <c r="AF3932" t="s">
        <v>47</v>
      </c>
      <c r="AG3932" t="str">
        <f t="shared" si="83"/>
        <v>À Vista</v>
      </c>
      <c r="AH3932" t="str">
        <f t="shared" si="84"/>
        <v/>
      </c>
    </row>
    <row r="3933" spans="1:34">
      <c r="A3933">
        <v>2026</v>
      </c>
      <c r="B3933">
        <v>4</v>
      </c>
      <c r="C3933" s="83">
        <v>43037796626</v>
      </c>
      <c r="D3933" t="s">
        <v>1654</v>
      </c>
      <c r="E3933">
        <v>37119603833</v>
      </c>
      <c r="F3933">
        <v>637508</v>
      </c>
      <c r="G3933">
        <v>54917867923</v>
      </c>
      <c r="H3933" t="s">
        <v>35</v>
      </c>
      <c r="I3933" s="36">
        <v>21390</v>
      </c>
      <c r="J3933" s="36">
        <v>21390</v>
      </c>
      <c r="K3933" s="85">
        <v>0</v>
      </c>
      <c r="L3933" s="36">
        <v>1782.5</v>
      </c>
      <c r="M3933" s="36">
        <v>1782.5</v>
      </c>
      <c r="N3933" s="36">
        <v>0</v>
      </c>
      <c r="O3933" s="36">
        <v>0</v>
      </c>
      <c r="P3933" t="s">
        <v>72</v>
      </c>
      <c r="Q3933" t="s">
        <v>37</v>
      </c>
      <c r="R3933" t="s">
        <v>37</v>
      </c>
      <c r="S3933" s="1">
        <v>46142</v>
      </c>
      <c r="T3933" s="1">
        <v>46142</v>
      </c>
      <c r="W3933" t="s">
        <v>38</v>
      </c>
      <c r="X3933">
        <v>12</v>
      </c>
      <c r="Y3933" t="s">
        <v>49</v>
      </c>
      <c r="AA3933" t="s">
        <v>40</v>
      </c>
      <c r="AB3933">
        <v>1</v>
      </c>
      <c r="AC3933" t="s">
        <v>41</v>
      </c>
      <c r="AD3933" t="s">
        <v>2081</v>
      </c>
      <c r="AE3933" t="s">
        <v>46</v>
      </c>
      <c r="AF3933" t="s">
        <v>44</v>
      </c>
      <c r="AG3933" t="str">
        <f t="shared" si="83"/>
        <v>À Vista</v>
      </c>
      <c r="AH3933" t="str">
        <f t="shared" si="84"/>
        <v/>
      </c>
    </row>
    <row r="3934" spans="1:34">
      <c r="A3934">
        <v>2026</v>
      </c>
      <c r="B3934">
        <v>4</v>
      </c>
      <c r="C3934" s="83">
        <v>43037796626</v>
      </c>
      <c r="D3934" t="s">
        <v>1654</v>
      </c>
      <c r="E3934">
        <v>37119603833</v>
      </c>
      <c r="F3934">
        <v>637508</v>
      </c>
      <c r="G3934">
        <v>54917867924</v>
      </c>
      <c r="H3934" t="s">
        <v>35</v>
      </c>
      <c r="I3934" s="36">
        <v>25568</v>
      </c>
      <c r="J3934" s="36">
        <v>25568</v>
      </c>
      <c r="K3934" s="85">
        <v>0</v>
      </c>
      <c r="L3934" s="36">
        <v>2130.6666666666665</v>
      </c>
      <c r="M3934" s="36">
        <v>2130.6666666666665</v>
      </c>
      <c r="N3934" s="36">
        <v>0</v>
      </c>
      <c r="O3934" s="36">
        <v>0</v>
      </c>
      <c r="P3934" t="s">
        <v>72</v>
      </c>
      <c r="Q3934" t="s">
        <v>37</v>
      </c>
      <c r="R3934" t="s">
        <v>37</v>
      </c>
      <c r="S3934" s="1">
        <v>46142</v>
      </c>
      <c r="T3934" s="1">
        <v>46142</v>
      </c>
      <c r="W3934" t="s">
        <v>38</v>
      </c>
      <c r="X3934">
        <v>12</v>
      </c>
      <c r="Y3934" t="s">
        <v>49</v>
      </c>
      <c r="AA3934" t="s">
        <v>40</v>
      </c>
      <c r="AB3934">
        <v>1</v>
      </c>
      <c r="AC3934" t="s">
        <v>41</v>
      </c>
      <c r="AD3934" t="s">
        <v>3443</v>
      </c>
      <c r="AE3934" t="s">
        <v>51</v>
      </c>
      <c r="AF3934" t="s">
        <v>44</v>
      </c>
      <c r="AG3934" t="str">
        <f t="shared" si="83"/>
        <v>À Vista</v>
      </c>
      <c r="AH3934" t="str">
        <f t="shared" si="84"/>
        <v/>
      </c>
    </row>
    <row r="3935" spans="1:34">
      <c r="A3935">
        <v>2026</v>
      </c>
      <c r="B3935">
        <v>4</v>
      </c>
      <c r="C3935" s="83">
        <v>43037796626</v>
      </c>
      <c r="D3935" t="s">
        <v>1654</v>
      </c>
      <c r="E3935">
        <v>59149492066</v>
      </c>
      <c r="F3935">
        <v>637510</v>
      </c>
      <c r="G3935">
        <v>54881182064</v>
      </c>
      <c r="H3935" t="s">
        <v>35</v>
      </c>
      <c r="I3935" s="36">
        <v>17397</v>
      </c>
      <c r="J3935" s="36">
        <v>17397</v>
      </c>
      <c r="K3935" s="85">
        <v>0</v>
      </c>
      <c r="L3935" s="36">
        <v>1449.75</v>
      </c>
      <c r="M3935" s="36">
        <v>1449.75</v>
      </c>
      <c r="N3935" s="36">
        <v>0</v>
      </c>
      <c r="O3935" s="36">
        <v>0</v>
      </c>
      <c r="P3935" t="s">
        <v>72</v>
      </c>
      <c r="Q3935" t="s">
        <v>37</v>
      </c>
      <c r="R3935" t="s">
        <v>37</v>
      </c>
      <c r="S3935" s="1">
        <v>46142</v>
      </c>
      <c r="T3935" s="1">
        <v>46142</v>
      </c>
      <c r="W3935" t="s">
        <v>38</v>
      </c>
      <c r="X3935">
        <v>12</v>
      </c>
      <c r="Y3935" t="s">
        <v>49</v>
      </c>
      <c r="AA3935" t="s">
        <v>40</v>
      </c>
      <c r="AB3935">
        <v>1</v>
      </c>
      <c r="AC3935" t="s">
        <v>41</v>
      </c>
      <c r="AD3935" t="s">
        <v>48</v>
      </c>
      <c r="AE3935" t="s">
        <v>43</v>
      </c>
      <c r="AF3935" t="s">
        <v>47</v>
      </c>
      <c r="AG3935" t="str">
        <f t="shared" si="83"/>
        <v>À Vista</v>
      </c>
      <c r="AH3935" t="str">
        <f t="shared" si="84"/>
        <v/>
      </c>
    </row>
    <row r="3936" spans="1:34">
      <c r="A3936">
        <v>2026</v>
      </c>
      <c r="B3936">
        <v>4</v>
      </c>
      <c r="C3936" s="83">
        <v>43037796626</v>
      </c>
      <c r="D3936" t="s">
        <v>1654</v>
      </c>
      <c r="E3936">
        <v>59149492066</v>
      </c>
      <c r="F3936">
        <v>637510</v>
      </c>
      <c r="G3936">
        <v>54881182065</v>
      </c>
      <c r="H3936" t="s">
        <v>35</v>
      </c>
      <c r="I3936" s="36">
        <v>95880</v>
      </c>
      <c r="J3936" s="36">
        <v>0</v>
      </c>
      <c r="K3936" s="85">
        <v>0</v>
      </c>
      <c r="L3936" s="36">
        <v>0</v>
      </c>
      <c r="M3936" s="36">
        <v>0</v>
      </c>
      <c r="N3936" s="36">
        <v>0</v>
      </c>
      <c r="O3936" s="36">
        <v>0</v>
      </c>
      <c r="P3936" t="s">
        <v>72</v>
      </c>
      <c r="Q3936" t="s">
        <v>37</v>
      </c>
      <c r="R3936" t="s">
        <v>37</v>
      </c>
      <c r="S3936" s="1">
        <v>46142</v>
      </c>
      <c r="T3936" s="1">
        <v>46142</v>
      </c>
      <c r="W3936" t="s">
        <v>39</v>
      </c>
      <c r="Y3936" t="s">
        <v>39</v>
      </c>
      <c r="AA3936" t="s">
        <v>40</v>
      </c>
      <c r="AB3936">
        <v>1</v>
      </c>
      <c r="AC3936" t="s">
        <v>41</v>
      </c>
      <c r="AD3936" t="s">
        <v>3442</v>
      </c>
      <c r="AE3936" t="s">
        <v>51</v>
      </c>
      <c r="AF3936" t="s">
        <v>44</v>
      </c>
      <c r="AG3936" t="str">
        <f t="shared" si="83"/>
        <v>À Vista</v>
      </c>
      <c r="AH3936" t="str">
        <f t="shared" si="84"/>
        <v/>
      </c>
    </row>
    <row r="3937" spans="1:34">
      <c r="A3937">
        <v>2026</v>
      </c>
      <c r="B3937">
        <v>4</v>
      </c>
      <c r="C3937" s="83">
        <v>43037796626</v>
      </c>
      <c r="D3937" t="s">
        <v>1654</v>
      </c>
      <c r="E3937">
        <v>59149492066</v>
      </c>
      <c r="F3937">
        <v>637510</v>
      </c>
      <c r="G3937">
        <v>54881182066</v>
      </c>
      <c r="H3937" t="s">
        <v>35</v>
      </c>
      <c r="I3937" s="36">
        <v>19176</v>
      </c>
      <c r="J3937" s="36">
        <v>19176</v>
      </c>
      <c r="K3937" s="85">
        <v>0</v>
      </c>
      <c r="L3937" s="36">
        <v>1598</v>
      </c>
      <c r="M3937" s="36">
        <v>1598</v>
      </c>
      <c r="N3937" s="36">
        <v>0</v>
      </c>
      <c r="O3937" s="36">
        <v>0</v>
      </c>
      <c r="P3937" t="s">
        <v>72</v>
      </c>
      <c r="Q3937" t="s">
        <v>37</v>
      </c>
      <c r="R3937" t="s">
        <v>37</v>
      </c>
      <c r="S3937" s="1">
        <v>46142</v>
      </c>
      <c r="T3937" s="1">
        <v>46142</v>
      </c>
      <c r="W3937" t="s">
        <v>38</v>
      </c>
      <c r="X3937">
        <v>12</v>
      </c>
      <c r="Y3937" t="s">
        <v>49</v>
      </c>
      <c r="AA3937" t="s">
        <v>40</v>
      </c>
      <c r="AB3937">
        <v>1</v>
      </c>
      <c r="AC3937" t="s">
        <v>41</v>
      </c>
      <c r="AD3937" t="s">
        <v>3443</v>
      </c>
      <c r="AE3937" t="s">
        <v>51</v>
      </c>
      <c r="AF3937" t="s">
        <v>44</v>
      </c>
      <c r="AG3937" t="str">
        <f t="shared" si="83"/>
        <v>À Vista</v>
      </c>
      <c r="AH3937" t="str">
        <f t="shared" si="84"/>
        <v/>
      </c>
    </row>
    <row r="3938" spans="1:34">
      <c r="A3938">
        <v>2026</v>
      </c>
      <c r="B3938">
        <v>4</v>
      </c>
      <c r="C3938" s="83">
        <v>43037796626</v>
      </c>
      <c r="D3938" t="s">
        <v>1654</v>
      </c>
      <c r="E3938">
        <v>59149492066</v>
      </c>
      <c r="F3938">
        <v>637510</v>
      </c>
      <c r="G3938">
        <v>54881182067</v>
      </c>
      <c r="H3938" t="s">
        <v>35</v>
      </c>
      <c r="I3938" s="36">
        <v>53472</v>
      </c>
      <c r="J3938" s="36">
        <v>0</v>
      </c>
      <c r="K3938" s="85">
        <v>0</v>
      </c>
      <c r="L3938" s="36">
        <v>0</v>
      </c>
      <c r="M3938" s="36">
        <v>0</v>
      </c>
      <c r="N3938" s="36">
        <v>0</v>
      </c>
      <c r="O3938" s="36">
        <v>0</v>
      </c>
      <c r="P3938" t="s">
        <v>72</v>
      </c>
      <c r="Q3938" t="s">
        <v>37</v>
      </c>
      <c r="R3938" t="s">
        <v>37</v>
      </c>
      <c r="S3938" s="1">
        <v>46142</v>
      </c>
      <c r="T3938" s="1">
        <v>46142</v>
      </c>
      <c r="W3938" t="s">
        <v>39</v>
      </c>
      <c r="Y3938" t="s">
        <v>39</v>
      </c>
      <c r="AA3938" t="s">
        <v>40</v>
      </c>
      <c r="AB3938">
        <v>1</v>
      </c>
      <c r="AC3938" t="s">
        <v>41</v>
      </c>
      <c r="AD3938" t="s">
        <v>3015</v>
      </c>
      <c r="AE3938" t="s">
        <v>46</v>
      </c>
      <c r="AF3938" t="s">
        <v>47</v>
      </c>
      <c r="AG3938" t="str">
        <f t="shared" si="83"/>
        <v>À Vista</v>
      </c>
      <c r="AH3938" t="str">
        <f t="shared" si="84"/>
        <v/>
      </c>
    </row>
    <row r="3939" spans="1:34">
      <c r="A3939">
        <v>2026</v>
      </c>
      <c r="B3939">
        <v>4</v>
      </c>
      <c r="C3939" s="83">
        <v>43037796626</v>
      </c>
      <c r="D3939" t="s">
        <v>1654</v>
      </c>
      <c r="E3939">
        <v>59149492066</v>
      </c>
      <c r="F3939">
        <v>637510</v>
      </c>
      <c r="G3939">
        <v>54881182068</v>
      </c>
      <c r="H3939" t="s">
        <v>35</v>
      </c>
      <c r="I3939" s="36">
        <v>86976</v>
      </c>
      <c r="J3939" s="36">
        <v>0</v>
      </c>
      <c r="K3939" s="85">
        <v>0</v>
      </c>
      <c r="L3939" s="36">
        <v>0</v>
      </c>
      <c r="M3939" s="36">
        <v>0</v>
      </c>
      <c r="N3939" s="36">
        <v>0</v>
      </c>
      <c r="O3939" s="36">
        <v>0</v>
      </c>
      <c r="P3939" t="s">
        <v>72</v>
      </c>
      <c r="Q3939" t="s">
        <v>37</v>
      </c>
      <c r="R3939" t="s">
        <v>37</v>
      </c>
      <c r="S3939" s="1">
        <v>46142</v>
      </c>
      <c r="T3939" s="1">
        <v>46142</v>
      </c>
      <c r="W3939" t="s">
        <v>39</v>
      </c>
      <c r="Y3939" t="s">
        <v>39</v>
      </c>
      <c r="AA3939" t="s">
        <v>40</v>
      </c>
      <c r="AB3939">
        <v>1</v>
      </c>
      <c r="AC3939" t="s">
        <v>41</v>
      </c>
      <c r="AD3939" t="s">
        <v>3016</v>
      </c>
      <c r="AE3939" t="s">
        <v>43</v>
      </c>
      <c r="AF3939" t="s">
        <v>47</v>
      </c>
      <c r="AG3939" t="str">
        <f t="shared" si="83"/>
        <v>À Vista</v>
      </c>
      <c r="AH3939" t="str">
        <f t="shared" si="84"/>
        <v/>
      </c>
    </row>
    <row r="3940" spans="1:34">
      <c r="A3940">
        <v>2026</v>
      </c>
      <c r="B3940">
        <v>4</v>
      </c>
      <c r="C3940" s="83">
        <v>43037796626</v>
      </c>
      <c r="D3940" t="s">
        <v>1654</v>
      </c>
      <c r="E3940">
        <v>59149492066</v>
      </c>
      <c r="F3940">
        <v>637510</v>
      </c>
      <c r="G3940">
        <v>54881182069</v>
      </c>
      <c r="H3940" t="s">
        <v>35</v>
      </c>
      <c r="I3940" s="36">
        <v>10695</v>
      </c>
      <c r="J3940" s="36">
        <v>10695</v>
      </c>
      <c r="K3940" s="85">
        <v>0</v>
      </c>
      <c r="L3940" s="36">
        <v>891.25</v>
      </c>
      <c r="M3940" s="36">
        <v>891.25</v>
      </c>
      <c r="N3940" s="36">
        <v>0</v>
      </c>
      <c r="O3940" s="36">
        <v>0</v>
      </c>
      <c r="P3940" t="s">
        <v>72</v>
      </c>
      <c r="Q3940" t="s">
        <v>37</v>
      </c>
      <c r="R3940" t="s">
        <v>37</v>
      </c>
      <c r="S3940" s="1">
        <v>46142</v>
      </c>
      <c r="T3940" s="1">
        <v>46142</v>
      </c>
      <c r="V3940" s="1"/>
      <c r="W3940" t="s">
        <v>38</v>
      </c>
      <c r="X3940">
        <v>12</v>
      </c>
      <c r="Y3940" t="s">
        <v>49</v>
      </c>
      <c r="AA3940" t="s">
        <v>40</v>
      </c>
      <c r="AB3940">
        <v>1</v>
      </c>
      <c r="AC3940" t="s">
        <v>41</v>
      </c>
      <c r="AD3940" t="s">
        <v>2081</v>
      </c>
      <c r="AE3940" t="s">
        <v>46</v>
      </c>
      <c r="AF3940" t="s">
        <v>44</v>
      </c>
      <c r="AG3940" t="str">
        <f t="shared" si="83"/>
        <v>À Vista</v>
      </c>
      <c r="AH3940" t="str">
        <f t="shared" si="84"/>
        <v/>
      </c>
    </row>
    <row r="3941" spans="1:34">
      <c r="A3941">
        <v>2026</v>
      </c>
      <c r="B3941">
        <v>4</v>
      </c>
      <c r="C3941" s="83">
        <v>44196722723</v>
      </c>
      <c r="D3941" t="s">
        <v>3444</v>
      </c>
      <c r="E3941">
        <v>48265895536</v>
      </c>
      <c r="F3941">
        <v>637491</v>
      </c>
      <c r="G3941">
        <v>54881213724</v>
      </c>
      <c r="H3941" t="s">
        <v>35</v>
      </c>
      <c r="I3941" s="36">
        <v>86400</v>
      </c>
      <c r="J3941" s="36">
        <v>28800</v>
      </c>
      <c r="K3941" s="85">
        <v>57600</v>
      </c>
      <c r="L3941" s="36">
        <v>2400</v>
      </c>
      <c r="M3941" s="36">
        <v>2400</v>
      </c>
      <c r="N3941" s="36">
        <v>0</v>
      </c>
      <c r="O3941" s="36">
        <v>0</v>
      </c>
      <c r="P3941" t="s">
        <v>72</v>
      </c>
      <c r="Q3941" t="s">
        <v>37</v>
      </c>
      <c r="R3941" t="s">
        <v>37</v>
      </c>
      <c r="S3941" s="1">
        <v>46142</v>
      </c>
      <c r="T3941" s="1">
        <v>46142</v>
      </c>
      <c r="V3941" s="1">
        <v>47238</v>
      </c>
      <c r="W3941" t="s">
        <v>102</v>
      </c>
      <c r="X3941">
        <v>36</v>
      </c>
      <c r="Y3941" t="s">
        <v>49</v>
      </c>
      <c r="AA3941" t="s">
        <v>40</v>
      </c>
      <c r="AB3941">
        <v>1</v>
      </c>
      <c r="AC3941" t="s">
        <v>41</v>
      </c>
      <c r="AD3941" t="s">
        <v>2952</v>
      </c>
      <c r="AE3941" t="s">
        <v>51</v>
      </c>
      <c r="AF3941" t="s">
        <v>47</v>
      </c>
      <c r="AG3941" t="str">
        <f t="shared" si="83"/>
        <v>À Vista</v>
      </c>
      <c r="AH3941" t="str">
        <f t="shared" si="84"/>
        <v/>
      </c>
    </row>
    <row r="3942" spans="1:34">
      <c r="A3942">
        <v>2026</v>
      </c>
      <c r="B3942">
        <v>4</v>
      </c>
      <c r="C3942" s="83">
        <v>44196722723</v>
      </c>
      <c r="D3942" t="s">
        <v>3444</v>
      </c>
      <c r="E3942">
        <v>48265895536</v>
      </c>
      <c r="F3942">
        <v>637491</v>
      </c>
      <c r="G3942">
        <v>54881213725</v>
      </c>
      <c r="H3942" t="s">
        <v>35</v>
      </c>
      <c r="I3942" s="36">
        <v>35640</v>
      </c>
      <c r="J3942" s="36">
        <v>11880</v>
      </c>
      <c r="K3942" s="85">
        <v>23760</v>
      </c>
      <c r="L3942" s="36">
        <v>990</v>
      </c>
      <c r="M3942" s="36">
        <v>990</v>
      </c>
      <c r="N3942" s="36">
        <v>0</v>
      </c>
      <c r="O3942" s="36">
        <v>0</v>
      </c>
      <c r="P3942" t="s">
        <v>72</v>
      </c>
      <c r="Q3942" t="s">
        <v>37</v>
      </c>
      <c r="R3942" t="s">
        <v>37</v>
      </c>
      <c r="S3942" s="1">
        <v>46142</v>
      </c>
      <c r="T3942" s="1">
        <v>46142</v>
      </c>
      <c r="V3942" s="1">
        <v>47238</v>
      </c>
      <c r="W3942" t="s">
        <v>102</v>
      </c>
      <c r="X3942">
        <v>36</v>
      </c>
      <c r="Y3942" t="s">
        <v>49</v>
      </c>
      <c r="AA3942" t="s">
        <v>40</v>
      </c>
      <c r="AB3942">
        <v>1</v>
      </c>
      <c r="AC3942" t="s">
        <v>41</v>
      </c>
      <c r="AD3942" t="s">
        <v>70</v>
      </c>
      <c r="AE3942" t="s">
        <v>43</v>
      </c>
      <c r="AF3942" t="s">
        <v>47</v>
      </c>
      <c r="AG3942" t="str">
        <f t="shared" si="83"/>
        <v>À Vista</v>
      </c>
      <c r="AH3942" t="str">
        <f t="shared" si="84"/>
        <v/>
      </c>
    </row>
    <row r="3943" spans="1:34">
      <c r="A3943">
        <v>2026</v>
      </c>
      <c r="B3943">
        <v>4</v>
      </c>
      <c r="C3943" s="83">
        <v>44196722723</v>
      </c>
      <c r="D3943" t="s">
        <v>3444</v>
      </c>
      <c r="E3943">
        <v>48265895536</v>
      </c>
      <c r="F3943">
        <v>637491</v>
      </c>
      <c r="G3943">
        <v>54881213726</v>
      </c>
      <c r="H3943" t="s">
        <v>35</v>
      </c>
      <c r="I3943" s="36">
        <v>31482</v>
      </c>
      <c r="J3943" s="36">
        <v>10494</v>
      </c>
      <c r="K3943" s="85">
        <v>20988</v>
      </c>
      <c r="L3943" s="36">
        <v>874.5</v>
      </c>
      <c r="M3943" s="36">
        <v>874.5</v>
      </c>
      <c r="N3943" s="36">
        <v>0</v>
      </c>
      <c r="O3943" s="36">
        <v>0</v>
      </c>
      <c r="P3943" t="s">
        <v>72</v>
      </c>
      <c r="Q3943" t="s">
        <v>37</v>
      </c>
      <c r="R3943" t="s">
        <v>37</v>
      </c>
      <c r="S3943" s="1">
        <v>46142</v>
      </c>
      <c r="T3943" s="1">
        <v>46142</v>
      </c>
      <c r="V3943" s="1">
        <v>47238</v>
      </c>
      <c r="W3943" t="s">
        <v>102</v>
      </c>
      <c r="X3943">
        <v>36</v>
      </c>
      <c r="Y3943" t="s">
        <v>49</v>
      </c>
      <c r="AA3943" t="s">
        <v>40</v>
      </c>
      <c r="AB3943">
        <v>1</v>
      </c>
      <c r="AC3943" t="s">
        <v>41</v>
      </c>
      <c r="AD3943" t="s">
        <v>100</v>
      </c>
      <c r="AE3943" t="s">
        <v>46</v>
      </c>
      <c r="AF3943" t="s">
        <v>47</v>
      </c>
      <c r="AG3943" t="str">
        <f t="shared" si="83"/>
        <v>À Vista</v>
      </c>
      <c r="AH3943" t="str">
        <f t="shared" si="84"/>
        <v/>
      </c>
    </row>
    <row r="3944" spans="1:34">
      <c r="A3944">
        <v>2026</v>
      </c>
      <c r="B3944">
        <v>4</v>
      </c>
      <c r="C3944" s="83">
        <v>44444426095</v>
      </c>
      <c r="D3944" t="s">
        <v>3445</v>
      </c>
      <c r="E3944">
        <v>58945784593</v>
      </c>
      <c r="F3944">
        <v>637480</v>
      </c>
      <c r="G3944">
        <v>54880887125</v>
      </c>
      <c r="H3944" t="s">
        <v>35</v>
      </c>
      <c r="I3944" s="36">
        <v>4892.04</v>
      </c>
      <c r="J3944" s="36">
        <v>4892.04</v>
      </c>
      <c r="K3944" s="85">
        <v>0</v>
      </c>
      <c r="L3944" s="36">
        <v>407.67</v>
      </c>
      <c r="M3944" s="36">
        <v>407.67</v>
      </c>
      <c r="N3944" s="36">
        <v>0</v>
      </c>
      <c r="O3944" s="36">
        <v>0</v>
      </c>
      <c r="P3944" t="s">
        <v>3446</v>
      </c>
      <c r="Q3944" t="s">
        <v>79</v>
      </c>
      <c r="R3944" t="s">
        <v>79</v>
      </c>
      <c r="S3944" s="1">
        <v>46141</v>
      </c>
      <c r="T3944" s="1">
        <v>46141</v>
      </c>
      <c r="V3944" s="1">
        <v>46513</v>
      </c>
      <c r="W3944" t="s">
        <v>38</v>
      </c>
      <c r="X3944">
        <v>13</v>
      </c>
      <c r="Y3944" t="s">
        <v>49</v>
      </c>
      <c r="AA3944" t="s">
        <v>117</v>
      </c>
      <c r="AB3944">
        <v>1</v>
      </c>
      <c r="AC3944" t="s">
        <v>83</v>
      </c>
      <c r="AD3944" t="s">
        <v>53</v>
      </c>
      <c r="AE3944" t="s">
        <v>43</v>
      </c>
      <c r="AF3944" t="s">
        <v>44</v>
      </c>
      <c r="AG3944" t="str">
        <f t="shared" si="83"/>
        <v>À Vista</v>
      </c>
      <c r="AH3944" t="str">
        <f t="shared" si="84"/>
        <v/>
      </c>
    </row>
    <row r="3945" spans="1:34">
      <c r="A3945">
        <v>2026</v>
      </c>
      <c r="B3945">
        <v>4</v>
      </c>
      <c r="C3945" s="83">
        <v>45871903614</v>
      </c>
      <c r="D3945" t="s">
        <v>3447</v>
      </c>
      <c r="E3945">
        <v>59145970212</v>
      </c>
      <c r="F3945">
        <v>637180</v>
      </c>
      <c r="G3945">
        <v>54381478467</v>
      </c>
      <c r="H3945" t="s">
        <v>35</v>
      </c>
      <c r="I3945" s="36">
        <v>3067.2</v>
      </c>
      <c r="J3945" s="36">
        <v>3067.2</v>
      </c>
      <c r="K3945" s="85">
        <v>0</v>
      </c>
      <c r="L3945" s="36">
        <v>255.6</v>
      </c>
      <c r="M3945" s="36">
        <v>255.6</v>
      </c>
      <c r="N3945" s="36">
        <v>0</v>
      </c>
      <c r="O3945" s="36">
        <v>0</v>
      </c>
      <c r="P3945" t="s">
        <v>506</v>
      </c>
      <c r="Q3945" t="s">
        <v>300</v>
      </c>
      <c r="R3945" t="s">
        <v>300</v>
      </c>
      <c r="S3945" s="1">
        <v>46129</v>
      </c>
      <c r="T3945" s="1">
        <v>46129</v>
      </c>
      <c r="U3945" s="1"/>
      <c r="V3945" s="1">
        <v>46494</v>
      </c>
      <c r="W3945" t="s">
        <v>38</v>
      </c>
      <c r="X3945">
        <v>12</v>
      </c>
      <c r="Y3945" t="s">
        <v>49</v>
      </c>
      <c r="AA3945" t="s">
        <v>112</v>
      </c>
      <c r="AB3945">
        <v>12</v>
      </c>
      <c r="AC3945" t="s">
        <v>301</v>
      </c>
      <c r="AD3945" t="s">
        <v>142</v>
      </c>
      <c r="AE3945" t="s">
        <v>95</v>
      </c>
      <c r="AF3945" t="s">
        <v>44</v>
      </c>
      <c r="AG3945" t="str">
        <f t="shared" si="83"/>
        <v>CC 12x</v>
      </c>
      <c r="AH3945" t="str">
        <f t="shared" si="84"/>
        <v/>
      </c>
    </row>
    <row r="3946" spans="1:34">
      <c r="A3946">
        <v>2026</v>
      </c>
      <c r="B3946">
        <v>4</v>
      </c>
      <c r="C3946" s="83">
        <v>47281070345</v>
      </c>
      <c r="D3946" t="s">
        <v>2584</v>
      </c>
      <c r="E3946">
        <v>56682081181</v>
      </c>
      <c r="F3946">
        <v>312190</v>
      </c>
      <c r="G3946">
        <v>51958303007</v>
      </c>
      <c r="H3946" t="s">
        <v>35</v>
      </c>
      <c r="I3946" s="36">
        <v>7014.6</v>
      </c>
      <c r="J3946" s="36">
        <v>7014.6</v>
      </c>
      <c r="K3946" s="85">
        <v>0</v>
      </c>
      <c r="L3946" s="36">
        <v>584.54999999999995</v>
      </c>
      <c r="M3946" s="36">
        <v>0</v>
      </c>
      <c r="N3946" s="36">
        <v>101.35</v>
      </c>
      <c r="O3946" s="36">
        <v>483.2</v>
      </c>
      <c r="P3946" t="s">
        <v>165</v>
      </c>
      <c r="Q3946" t="s">
        <v>166</v>
      </c>
      <c r="R3946" t="s">
        <v>166</v>
      </c>
      <c r="S3946" s="1">
        <v>46118</v>
      </c>
      <c r="T3946" s="1">
        <v>46118</v>
      </c>
      <c r="U3946" s="1">
        <v>46118</v>
      </c>
      <c r="V3946" s="1">
        <v>46483</v>
      </c>
      <c r="W3946" t="s">
        <v>38</v>
      </c>
      <c r="X3946">
        <v>12</v>
      </c>
      <c r="Y3946" t="s">
        <v>49</v>
      </c>
      <c r="Z3946" t="s">
        <v>81</v>
      </c>
      <c r="AA3946" t="s">
        <v>112</v>
      </c>
      <c r="AB3946">
        <v>12</v>
      </c>
      <c r="AC3946" t="s">
        <v>166</v>
      </c>
      <c r="AD3946" t="s">
        <v>125</v>
      </c>
      <c r="AE3946" t="s">
        <v>43</v>
      </c>
      <c r="AF3946" t="s">
        <v>47</v>
      </c>
      <c r="AG3946" t="str">
        <f t="shared" si="83"/>
        <v>CC 12x</v>
      </c>
      <c r="AH3946" t="str">
        <f t="shared" si="84"/>
        <v/>
      </c>
    </row>
    <row r="3947" spans="1:34">
      <c r="A3947">
        <v>2026</v>
      </c>
      <c r="B3947">
        <v>4</v>
      </c>
      <c r="C3947" s="83">
        <v>48610032735</v>
      </c>
      <c r="D3947" t="s">
        <v>3448</v>
      </c>
      <c r="E3947">
        <v>59453224714</v>
      </c>
      <c r="F3947">
        <v>637326</v>
      </c>
      <c r="G3947">
        <v>54699060358</v>
      </c>
      <c r="H3947" t="s">
        <v>35</v>
      </c>
      <c r="I3947" s="36">
        <v>5083.2</v>
      </c>
      <c r="J3947" s="36">
        <v>5083.2</v>
      </c>
      <c r="K3947" s="85">
        <v>0</v>
      </c>
      <c r="L3947" s="36">
        <v>423.6</v>
      </c>
      <c r="M3947" s="36">
        <v>423.6</v>
      </c>
      <c r="N3947" s="36">
        <v>0</v>
      </c>
      <c r="O3947" s="36">
        <v>0</v>
      </c>
      <c r="P3947" t="s">
        <v>348</v>
      </c>
      <c r="Q3947" t="s">
        <v>349</v>
      </c>
      <c r="R3947" t="s">
        <v>349</v>
      </c>
      <c r="S3947" s="1">
        <v>46136</v>
      </c>
      <c r="T3947" s="1">
        <v>46136</v>
      </c>
      <c r="V3947" s="1">
        <v>46501</v>
      </c>
      <c r="W3947" t="s">
        <v>38</v>
      </c>
      <c r="X3947">
        <v>12</v>
      </c>
      <c r="Y3947" t="s">
        <v>49</v>
      </c>
      <c r="AA3947" t="s">
        <v>112</v>
      </c>
      <c r="AB3947">
        <v>12</v>
      </c>
      <c r="AC3947" t="s">
        <v>350</v>
      </c>
      <c r="AD3947" t="s">
        <v>149</v>
      </c>
      <c r="AE3947" t="s">
        <v>43</v>
      </c>
      <c r="AF3947" t="s">
        <v>96</v>
      </c>
      <c r="AG3947" t="str">
        <f t="shared" si="83"/>
        <v>CC 12x</v>
      </c>
      <c r="AH3947" t="str">
        <f t="shared" si="84"/>
        <v/>
      </c>
    </row>
    <row r="3948" spans="1:34">
      <c r="A3948">
        <v>2026</v>
      </c>
      <c r="B3948">
        <v>4</v>
      </c>
      <c r="C3948" s="83">
        <v>48918481736</v>
      </c>
      <c r="D3948" t="s">
        <v>533</v>
      </c>
      <c r="E3948">
        <v>59232975175</v>
      </c>
      <c r="F3948">
        <v>637171</v>
      </c>
      <c r="G3948">
        <v>54377621013</v>
      </c>
      <c r="H3948" t="s">
        <v>35</v>
      </c>
      <c r="I3948" s="36">
        <v>9384.9599999999991</v>
      </c>
      <c r="J3948" s="36">
        <v>307.31626130000001</v>
      </c>
      <c r="K3948" s="85">
        <v>9077.6437389999992</v>
      </c>
      <c r="L3948" s="36">
        <v>25.60968845</v>
      </c>
      <c r="M3948" s="36">
        <v>0</v>
      </c>
      <c r="N3948" s="36">
        <v>25.60968845</v>
      </c>
      <c r="O3948" s="36">
        <v>0</v>
      </c>
      <c r="P3948" t="s">
        <v>367</v>
      </c>
      <c r="Q3948" t="s">
        <v>191</v>
      </c>
      <c r="R3948" t="s">
        <v>191</v>
      </c>
      <c r="S3948" s="1">
        <v>46129</v>
      </c>
      <c r="T3948" s="1">
        <v>46129</v>
      </c>
      <c r="V3948" s="1">
        <v>46860</v>
      </c>
      <c r="W3948" t="s">
        <v>56</v>
      </c>
      <c r="Y3948" t="s">
        <v>49</v>
      </c>
      <c r="AA3948" t="s">
        <v>122</v>
      </c>
      <c r="AB3948">
        <v>24</v>
      </c>
      <c r="AC3948" t="s">
        <v>192</v>
      </c>
      <c r="AD3948" t="s">
        <v>84</v>
      </c>
      <c r="AE3948" t="s">
        <v>43</v>
      </c>
      <c r="AF3948" t="s">
        <v>44</v>
      </c>
      <c r="AG3948" t="str">
        <f t="shared" si="83"/>
        <v>Recorrente</v>
      </c>
      <c r="AH3948" t="str">
        <f t="shared" si="84"/>
        <v/>
      </c>
    </row>
    <row r="3949" spans="1:34">
      <c r="A3949">
        <v>2026</v>
      </c>
      <c r="B3949">
        <v>4</v>
      </c>
      <c r="C3949" s="83">
        <v>48918481736</v>
      </c>
      <c r="D3949" t="s">
        <v>533</v>
      </c>
      <c r="E3949">
        <v>59232975175</v>
      </c>
      <c r="F3949">
        <v>637171</v>
      </c>
      <c r="G3949">
        <v>54377621014</v>
      </c>
      <c r="H3949" t="s">
        <v>35</v>
      </c>
      <c r="I3949" s="36">
        <v>10373.280000000001</v>
      </c>
      <c r="J3949" s="36">
        <v>339.67945359999999</v>
      </c>
      <c r="K3949" s="85">
        <v>10033.600549999999</v>
      </c>
      <c r="L3949" s="36">
        <v>28.306621140000001</v>
      </c>
      <c r="M3949" s="36">
        <v>0</v>
      </c>
      <c r="N3949" s="36">
        <v>28.306621140000001</v>
      </c>
      <c r="O3949" s="36">
        <v>0</v>
      </c>
      <c r="P3949" t="s">
        <v>367</v>
      </c>
      <c r="Q3949" t="s">
        <v>191</v>
      </c>
      <c r="R3949" t="s">
        <v>191</v>
      </c>
      <c r="S3949" s="1">
        <v>46129</v>
      </c>
      <c r="T3949" s="1">
        <v>46129</v>
      </c>
      <c r="V3949" s="1">
        <v>46860</v>
      </c>
      <c r="W3949" t="s">
        <v>56</v>
      </c>
      <c r="Y3949" t="s">
        <v>49</v>
      </c>
      <c r="AA3949" t="s">
        <v>122</v>
      </c>
      <c r="AB3949">
        <v>24</v>
      </c>
      <c r="AC3949" t="s">
        <v>192</v>
      </c>
      <c r="AD3949" t="s">
        <v>85</v>
      </c>
      <c r="AE3949" t="s">
        <v>46</v>
      </c>
      <c r="AF3949" t="s">
        <v>44</v>
      </c>
      <c r="AG3949" t="str">
        <f t="shared" si="83"/>
        <v>Recorrente</v>
      </c>
      <c r="AH3949" t="str">
        <f t="shared" si="84"/>
        <v/>
      </c>
    </row>
    <row r="3950" spans="1:34">
      <c r="A3950">
        <v>2026</v>
      </c>
      <c r="B3950">
        <v>4</v>
      </c>
      <c r="C3950" s="83">
        <v>48918481736</v>
      </c>
      <c r="D3950" t="s">
        <v>533</v>
      </c>
      <c r="E3950">
        <v>59232975175</v>
      </c>
      <c r="F3950">
        <v>637171</v>
      </c>
      <c r="G3950">
        <v>54377621015</v>
      </c>
      <c r="H3950" t="s">
        <v>35</v>
      </c>
      <c r="I3950" s="36">
        <v>5655.12</v>
      </c>
      <c r="J3950" s="36">
        <v>185.18081889999999</v>
      </c>
      <c r="K3950" s="85">
        <v>5469.9391809999997</v>
      </c>
      <c r="L3950" s="36">
        <v>15.4317349</v>
      </c>
      <c r="M3950" s="36">
        <v>0</v>
      </c>
      <c r="N3950" s="36">
        <v>15.4317349</v>
      </c>
      <c r="O3950" s="36">
        <v>0</v>
      </c>
      <c r="P3950" t="s">
        <v>367</v>
      </c>
      <c r="Q3950" t="s">
        <v>191</v>
      </c>
      <c r="R3950" t="s">
        <v>191</v>
      </c>
      <c r="S3950" s="1">
        <v>46129</v>
      </c>
      <c r="T3950" s="1">
        <v>46129</v>
      </c>
      <c r="V3950" s="1">
        <v>46860</v>
      </c>
      <c r="W3950" t="s">
        <v>56</v>
      </c>
      <c r="Y3950" t="s">
        <v>49</v>
      </c>
      <c r="AA3950" t="s">
        <v>122</v>
      </c>
      <c r="AB3950">
        <v>24</v>
      </c>
      <c r="AC3950" t="s">
        <v>192</v>
      </c>
      <c r="AD3950" t="s">
        <v>142</v>
      </c>
      <c r="AE3950" t="s">
        <v>95</v>
      </c>
      <c r="AF3950" t="s">
        <v>44</v>
      </c>
      <c r="AG3950" t="str">
        <f t="shared" si="83"/>
        <v>Recorrente</v>
      </c>
      <c r="AH3950" t="str">
        <f t="shared" si="84"/>
        <v/>
      </c>
    </row>
    <row r="3951" spans="1:34">
      <c r="A3951">
        <v>2026</v>
      </c>
      <c r="B3951">
        <v>4</v>
      </c>
      <c r="C3951" s="83">
        <v>48918481736</v>
      </c>
      <c r="D3951" t="s">
        <v>533</v>
      </c>
      <c r="E3951">
        <v>59232975175</v>
      </c>
      <c r="F3951">
        <v>637171</v>
      </c>
      <c r="G3951">
        <v>54377621016</v>
      </c>
      <c r="H3951" t="s">
        <v>35</v>
      </c>
      <c r="I3951" s="36">
        <v>10068</v>
      </c>
      <c r="J3951" s="36">
        <v>329.6818801</v>
      </c>
      <c r="K3951" s="85">
        <v>9738.3181199999999</v>
      </c>
      <c r="L3951" s="36">
        <v>27.473490009999999</v>
      </c>
      <c r="M3951" s="36">
        <v>0</v>
      </c>
      <c r="N3951" s="36">
        <v>27.473490009999999</v>
      </c>
      <c r="O3951" s="36">
        <v>0</v>
      </c>
      <c r="P3951" t="s">
        <v>367</v>
      </c>
      <c r="Q3951" t="s">
        <v>191</v>
      </c>
      <c r="R3951" t="s">
        <v>191</v>
      </c>
      <c r="S3951" s="1">
        <v>46129</v>
      </c>
      <c r="T3951" s="1">
        <v>46129</v>
      </c>
      <c r="V3951" s="1">
        <v>46860</v>
      </c>
      <c r="W3951" t="s">
        <v>56</v>
      </c>
      <c r="Y3951" t="s">
        <v>49</v>
      </c>
      <c r="AA3951" t="s">
        <v>122</v>
      </c>
      <c r="AB3951">
        <v>24</v>
      </c>
      <c r="AC3951" t="s">
        <v>192</v>
      </c>
      <c r="AD3951" t="s">
        <v>84</v>
      </c>
      <c r="AE3951" t="s">
        <v>43</v>
      </c>
      <c r="AF3951" t="s">
        <v>44</v>
      </c>
      <c r="AG3951" t="str">
        <f t="shared" si="83"/>
        <v>Recorrente</v>
      </c>
      <c r="AH3951" t="str">
        <f t="shared" si="84"/>
        <v/>
      </c>
    </row>
    <row r="3952" spans="1:34">
      <c r="A3952">
        <v>2026</v>
      </c>
      <c r="B3952">
        <v>4</v>
      </c>
      <c r="C3952" s="83">
        <v>48918481736</v>
      </c>
      <c r="D3952" t="s">
        <v>533</v>
      </c>
      <c r="E3952">
        <v>59232975175</v>
      </c>
      <c r="F3952">
        <v>637171</v>
      </c>
      <c r="G3952">
        <v>54377621017</v>
      </c>
      <c r="H3952" t="s">
        <v>35</v>
      </c>
      <c r="I3952" s="36">
        <v>8717.2800000000007</v>
      </c>
      <c r="J3952" s="36">
        <v>285.4517591</v>
      </c>
      <c r="K3952" s="85">
        <v>8431.8282409999993</v>
      </c>
      <c r="L3952" s="36">
        <v>23.787646590000001</v>
      </c>
      <c r="M3952" s="36">
        <v>0</v>
      </c>
      <c r="N3952" s="36">
        <v>23.787646590000001</v>
      </c>
      <c r="O3952" s="36">
        <v>0</v>
      </c>
      <c r="P3952" t="s">
        <v>367</v>
      </c>
      <c r="Q3952" t="s">
        <v>191</v>
      </c>
      <c r="R3952" t="s">
        <v>191</v>
      </c>
      <c r="S3952" s="1">
        <v>46129</v>
      </c>
      <c r="T3952" s="1">
        <v>46129</v>
      </c>
      <c r="V3952" s="1">
        <v>46860</v>
      </c>
      <c r="W3952" t="s">
        <v>56</v>
      </c>
      <c r="Y3952" t="s">
        <v>49</v>
      </c>
      <c r="AA3952" t="s">
        <v>122</v>
      </c>
      <c r="AB3952">
        <v>24</v>
      </c>
      <c r="AC3952" t="s">
        <v>192</v>
      </c>
      <c r="AD3952" t="s">
        <v>84</v>
      </c>
      <c r="AE3952" t="s">
        <v>43</v>
      </c>
      <c r="AF3952" t="s">
        <v>44</v>
      </c>
      <c r="AG3952" t="str">
        <f t="shared" si="83"/>
        <v>Recorrente</v>
      </c>
      <c r="AH3952" t="str">
        <f t="shared" si="84"/>
        <v/>
      </c>
    </row>
    <row r="3953" spans="1:34">
      <c r="A3953">
        <v>2026</v>
      </c>
      <c r="B3953">
        <v>4</v>
      </c>
      <c r="C3953" s="83">
        <v>48918481736</v>
      </c>
      <c r="D3953" t="s">
        <v>533</v>
      </c>
      <c r="E3953">
        <v>59232975175</v>
      </c>
      <c r="F3953">
        <v>637171</v>
      </c>
      <c r="G3953">
        <v>54377621018</v>
      </c>
      <c r="H3953" t="s">
        <v>35</v>
      </c>
      <c r="I3953" s="36">
        <v>11595.84</v>
      </c>
      <c r="J3953" s="36">
        <v>379.71034700000001</v>
      </c>
      <c r="K3953" s="85">
        <v>11216.129650000001</v>
      </c>
      <c r="L3953" s="36">
        <v>31.64252892</v>
      </c>
      <c r="M3953" s="36">
        <v>0</v>
      </c>
      <c r="N3953" s="36">
        <v>31.64252892</v>
      </c>
      <c r="O3953" s="36">
        <v>0</v>
      </c>
      <c r="P3953" t="s">
        <v>367</v>
      </c>
      <c r="Q3953" t="s">
        <v>191</v>
      </c>
      <c r="R3953" t="s">
        <v>191</v>
      </c>
      <c r="S3953" s="1">
        <v>46129</v>
      </c>
      <c r="T3953" s="1">
        <v>46129</v>
      </c>
      <c r="V3953" s="1">
        <v>46860</v>
      </c>
      <c r="W3953" t="s">
        <v>56</v>
      </c>
      <c r="Y3953" t="s">
        <v>49</v>
      </c>
      <c r="AA3953" t="s">
        <v>122</v>
      </c>
      <c r="AB3953">
        <v>24</v>
      </c>
      <c r="AC3953" t="s">
        <v>192</v>
      </c>
      <c r="AD3953" t="s">
        <v>149</v>
      </c>
      <c r="AE3953" t="s">
        <v>43</v>
      </c>
      <c r="AF3953" t="s">
        <v>96</v>
      </c>
      <c r="AG3953" t="str">
        <f t="shared" si="83"/>
        <v>Recorrente</v>
      </c>
      <c r="AH3953" t="str">
        <f t="shared" si="84"/>
        <v/>
      </c>
    </row>
    <row r="3954" spans="1:34">
      <c r="A3954">
        <v>2026</v>
      </c>
      <c r="B3954">
        <v>4</v>
      </c>
      <c r="C3954" s="83">
        <v>49208233351</v>
      </c>
      <c r="D3954" t="s">
        <v>3449</v>
      </c>
      <c r="E3954">
        <v>59245857176</v>
      </c>
      <c r="F3954">
        <v>637322</v>
      </c>
      <c r="G3954">
        <v>54698814852</v>
      </c>
      <c r="H3954" t="s">
        <v>35</v>
      </c>
      <c r="I3954" s="36">
        <v>4530.6000000000004</v>
      </c>
      <c r="J3954" s="36">
        <v>4530.6000000000004</v>
      </c>
      <c r="K3954" s="85">
        <v>0</v>
      </c>
      <c r="L3954" s="36">
        <v>377.55</v>
      </c>
      <c r="M3954" s="36">
        <v>377.55</v>
      </c>
      <c r="N3954" s="36">
        <v>0</v>
      </c>
      <c r="O3954" s="36">
        <v>0</v>
      </c>
      <c r="P3954" t="s">
        <v>348</v>
      </c>
      <c r="Q3954" t="s">
        <v>349</v>
      </c>
      <c r="R3954" t="s">
        <v>349</v>
      </c>
      <c r="S3954" s="1">
        <v>46136</v>
      </c>
      <c r="T3954" s="1">
        <v>46136</v>
      </c>
      <c r="V3954" s="1">
        <v>46501</v>
      </c>
      <c r="W3954" t="s">
        <v>38</v>
      </c>
      <c r="X3954">
        <v>12</v>
      </c>
      <c r="Y3954" t="s">
        <v>49</v>
      </c>
      <c r="AA3954" t="s">
        <v>112</v>
      </c>
      <c r="AB3954">
        <v>12</v>
      </c>
      <c r="AC3954" t="s">
        <v>350</v>
      </c>
      <c r="AD3954" t="s">
        <v>84</v>
      </c>
      <c r="AE3954" t="s">
        <v>43</v>
      </c>
      <c r="AF3954" t="s">
        <v>44</v>
      </c>
      <c r="AG3954" t="str">
        <f t="shared" si="83"/>
        <v>CC 12x</v>
      </c>
      <c r="AH3954" t="str">
        <f t="shared" si="84"/>
        <v/>
      </c>
    </row>
    <row r="3955" spans="1:34">
      <c r="A3955">
        <v>2026</v>
      </c>
      <c r="B3955">
        <v>4</v>
      </c>
      <c r="C3955" s="83">
        <v>50163334696</v>
      </c>
      <c r="D3955" t="s">
        <v>3450</v>
      </c>
      <c r="E3955">
        <v>55072659748</v>
      </c>
      <c r="F3955">
        <v>637136</v>
      </c>
      <c r="G3955">
        <v>54372575362</v>
      </c>
      <c r="H3955" t="s">
        <v>35</v>
      </c>
      <c r="I3955" s="36">
        <v>125928</v>
      </c>
      <c r="J3955" s="36">
        <v>41976</v>
      </c>
      <c r="K3955" s="85">
        <v>83952</v>
      </c>
      <c r="L3955" s="36">
        <v>3498</v>
      </c>
      <c r="M3955" s="36">
        <v>3498</v>
      </c>
      <c r="N3955" s="36">
        <v>0</v>
      </c>
      <c r="O3955" s="36">
        <v>0</v>
      </c>
      <c r="P3955" t="s">
        <v>98</v>
      </c>
      <c r="Q3955" t="s">
        <v>37</v>
      </c>
      <c r="R3955" t="s">
        <v>37</v>
      </c>
      <c r="S3955" s="1">
        <v>46128</v>
      </c>
      <c r="T3955" s="1">
        <v>46128</v>
      </c>
      <c r="V3955" s="1">
        <v>47224</v>
      </c>
      <c r="W3955" t="s">
        <v>102</v>
      </c>
      <c r="X3955">
        <v>36</v>
      </c>
      <c r="Y3955" t="s">
        <v>49</v>
      </c>
      <c r="AA3955" t="s">
        <v>40</v>
      </c>
      <c r="AB3955">
        <v>1</v>
      </c>
      <c r="AC3955" t="s">
        <v>41</v>
      </c>
      <c r="AD3955" t="s">
        <v>100</v>
      </c>
      <c r="AE3955" t="s">
        <v>46</v>
      </c>
      <c r="AF3955" t="s">
        <v>47</v>
      </c>
      <c r="AG3955" t="str">
        <f t="shared" si="83"/>
        <v>À Vista</v>
      </c>
      <c r="AH3955" t="str">
        <f t="shared" si="84"/>
        <v/>
      </c>
    </row>
    <row r="3956" spans="1:34">
      <c r="A3956">
        <v>2026</v>
      </c>
      <c r="B3956">
        <v>4</v>
      </c>
      <c r="C3956" s="83">
        <v>50163334696</v>
      </c>
      <c r="D3956" t="s">
        <v>3450</v>
      </c>
      <c r="E3956">
        <v>55072659748</v>
      </c>
      <c r="F3956">
        <v>637136</v>
      </c>
      <c r="G3956">
        <v>54372575363</v>
      </c>
      <c r="H3956" t="s">
        <v>35</v>
      </c>
      <c r="I3956" s="36">
        <v>71280</v>
      </c>
      <c r="J3956" s="36">
        <v>23760</v>
      </c>
      <c r="K3956" s="85">
        <v>47520</v>
      </c>
      <c r="L3956" s="36">
        <v>1980</v>
      </c>
      <c r="M3956" s="36">
        <v>1980</v>
      </c>
      <c r="N3956" s="36">
        <v>0</v>
      </c>
      <c r="O3956" s="36">
        <v>0</v>
      </c>
      <c r="P3956" t="s">
        <v>98</v>
      </c>
      <c r="Q3956" t="s">
        <v>37</v>
      </c>
      <c r="R3956" t="s">
        <v>37</v>
      </c>
      <c r="S3956" s="1">
        <v>46128</v>
      </c>
      <c r="T3956" s="1">
        <v>46128</v>
      </c>
      <c r="V3956" s="1">
        <v>47224</v>
      </c>
      <c r="W3956" t="s">
        <v>102</v>
      </c>
      <c r="X3956">
        <v>36</v>
      </c>
      <c r="Y3956" t="s">
        <v>49</v>
      </c>
      <c r="AA3956" t="s">
        <v>40</v>
      </c>
      <c r="AB3956">
        <v>1</v>
      </c>
      <c r="AC3956" t="s">
        <v>41</v>
      </c>
      <c r="AD3956" t="s">
        <v>70</v>
      </c>
      <c r="AE3956" t="s">
        <v>43</v>
      </c>
      <c r="AF3956" t="s">
        <v>47</v>
      </c>
      <c r="AG3956" t="str">
        <f t="shared" si="83"/>
        <v>À Vista</v>
      </c>
      <c r="AH3956" t="str">
        <f t="shared" si="84"/>
        <v/>
      </c>
    </row>
    <row r="3957" spans="1:34">
      <c r="A3957">
        <v>2026</v>
      </c>
      <c r="B3957">
        <v>4</v>
      </c>
      <c r="C3957" s="83">
        <v>50517782585</v>
      </c>
      <c r="D3957" t="s">
        <v>3451</v>
      </c>
      <c r="E3957">
        <v>59831234115</v>
      </c>
      <c r="F3957">
        <v>637484</v>
      </c>
      <c r="G3957">
        <v>54880949423</v>
      </c>
      <c r="H3957" t="s">
        <v>35</v>
      </c>
      <c r="I3957" s="36">
        <v>8691.6</v>
      </c>
      <c r="J3957" s="36">
        <v>671.20372799999996</v>
      </c>
      <c r="K3957" s="85">
        <v>8020.396272</v>
      </c>
      <c r="L3957" s="36">
        <v>55.933644000000001</v>
      </c>
      <c r="M3957" s="36">
        <v>0</v>
      </c>
      <c r="N3957" s="36">
        <v>55.933644000000001</v>
      </c>
      <c r="O3957" s="36">
        <v>0</v>
      </c>
      <c r="P3957" t="s">
        <v>520</v>
      </c>
      <c r="Q3957" t="s">
        <v>191</v>
      </c>
      <c r="R3957" t="s">
        <v>191</v>
      </c>
      <c r="S3957" s="1">
        <v>46141</v>
      </c>
      <c r="T3957" s="1">
        <v>46141</v>
      </c>
      <c r="V3957" s="1">
        <v>46872</v>
      </c>
      <c r="W3957" t="s">
        <v>56</v>
      </c>
      <c r="Y3957" t="s">
        <v>49</v>
      </c>
      <c r="AA3957" t="s">
        <v>122</v>
      </c>
      <c r="AB3957">
        <v>24</v>
      </c>
      <c r="AC3957" t="s">
        <v>192</v>
      </c>
      <c r="AD3957" t="s">
        <v>229</v>
      </c>
      <c r="AE3957" t="s">
        <v>43</v>
      </c>
      <c r="AF3957" t="s">
        <v>96</v>
      </c>
      <c r="AG3957" t="str">
        <f t="shared" si="83"/>
        <v>Recorrente</v>
      </c>
      <c r="AH3957" t="str">
        <f t="shared" si="84"/>
        <v/>
      </c>
    </row>
    <row r="3958" spans="1:34">
      <c r="A3958">
        <v>2026</v>
      </c>
      <c r="B3958">
        <v>4</v>
      </c>
      <c r="C3958" s="83">
        <v>50517782585</v>
      </c>
      <c r="D3958" t="s">
        <v>3451</v>
      </c>
      <c r="E3958">
        <v>59831234115</v>
      </c>
      <c r="F3958">
        <v>637484</v>
      </c>
      <c r="G3958">
        <v>54880949424</v>
      </c>
      <c r="H3958" t="s">
        <v>35</v>
      </c>
      <c r="I3958" s="36">
        <v>6870.48</v>
      </c>
      <c r="J3958" s="36">
        <v>530.55568259999995</v>
      </c>
      <c r="K3958" s="85">
        <v>6339.924317</v>
      </c>
      <c r="L3958" s="36">
        <v>44.212973550000001</v>
      </c>
      <c r="M3958" s="36">
        <v>0</v>
      </c>
      <c r="N3958" s="36">
        <v>44.212973550000001</v>
      </c>
      <c r="O3958" s="36">
        <v>0</v>
      </c>
      <c r="P3958" t="s">
        <v>520</v>
      </c>
      <c r="Q3958" t="s">
        <v>191</v>
      </c>
      <c r="R3958" t="s">
        <v>191</v>
      </c>
      <c r="S3958" s="1">
        <v>46141</v>
      </c>
      <c r="T3958" s="1">
        <v>46141</v>
      </c>
      <c r="V3958" s="1">
        <v>46872</v>
      </c>
      <c r="W3958" t="s">
        <v>56</v>
      </c>
      <c r="Y3958" t="s">
        <v>49</v>
      </c>
      <c r="AA3958" t="s">
        <v>122</v>
      </c>
      <c r="AB3958">
        <v>24</v>
      </c>
      <c r="AC3958" t="s">
        <v>192</v>
      </c>
      <c r="AD3958" t="s">
        <v>114</v>
      </c>
      <c r="AE3958" t="s">
        <v>43</v>
      </c>
      <c r="AF3958" t="s">
        <v>44</v>
      </c>
      <c r="AG3958" t="str">
        <f t="shared" si="83"/>
        <v>Recorrente</v>
      </c>
      <c r="AH3958" t="str">
        <f t="shared" si="84"/>
        <v/>
      </c>
    </row>
    <row r="3959" spans="1:34">
      <c r="A3959">
        <v>2026</v>
      </c>
      <c r="B3959">
        <v>4</v>
      </c>
      <c r="C3959" s="83">
        <v>50517782585</v>
      </c>
      <c r="D3959" t="s">
        <v>3451</v>
      </c>
      <c r="E3959">
        <v>59831234115</v>
      </c>
      <c r="F3959">
        <v>637484</v>
      </c>
      <c r="G3959">
        <v>54880949425</v>
      </c>
      <c r="H3959" t="s">
        <v>35</v>
      </c>
      <c r="I3959" s="36">
        <v>48548.160000000003</v>
      </c>
      <c r="J3959" s="36">
        <v>3749.0517890000001</v>
      </c>
      <c r="K3959" s="85">
        <v>44799.108209999999</v>
      </c>
      <c r="L3959" s="36">
        <v>312.42098240000001</v>
      </c>
      <c r="M3959" s="36">
        <v>0</v>
      </c>
      <c r="N3959" s="36">
        <v>312.42098240000001</v>
      </c>
      <c r="O3959" s="36">
        <v>0</v>
      </c>
      <c r="P3959" t="s">
        <v>520</v>
      </c>
      <c r="Q3959" t="s">
        <v>191</v>
      </c>
      <c r="R3959" t="s">
        <v>191</v>
      </c>
      <c r="S3959" s="1">
        <v>46141</v>
      </c>
      <c r="T3959" s="1">
        <v>46141</v>
      </c>
      <c r="V3959" s="1">
        <v>46872</v>
      </c>
      <c r="W3959" t="s">
        <v>56</v>
      </c>
      <c r="Y3959" t="s">
        <v>49</v>
      </c>
      <c r="AA3959" t="s">
        <v>122</v>
      </c>
      <c r="AB3959">
        <v>24</v>
      </c>
      <c r="AC3959" t="s">
        <v>192</v>
      </c>
      <c r="AD3959" t="s">
        <v>154</v>
      </c>
      <c r="AE3959" t="s">
        <v>46</v>
      </c>
      <c r="AF3959" t="s">
        <v>47</v>
      </c>
      <c r="AG3959" t="str">
        <f t="shared" si="83"/>
        <v>Recorrente</v>
      </c>
      <c r="AH3959" t="str">
        <f t="shared" si="84"/>
        <v/>
      </c>
    </row>
    <row r="3960" spans="1:34">
      <c r="A3960">
        <v>2026</v>
      </c>
      <c r="B3960">
        <v>4</v>
      </c>
      <c r="C3960" s="83">
        <v>50593107760</v>
      </c>
      <c r="D3960" t="s">
        <v>3452</v>
      </c>
      <c r="E3960">
        <v>55631592518</v>
      </c>
      <c r="F3960">
        <v>637177</v>
      </c>
      <c r="G3960">
        <v>54295344529</v>
      </c>
      <c r="H3960" t="s">
        <v>35</v>
      </c>
      <c r="I3960" s="36">
        <v>2874</v>
      </c>
      <c r="J3960" s="36">
        <v>2874</v>
      </c>
      <c r="K3960" s="85">
        <v>0</v>
      </c>
      <c r="L3960" s="36">
        <v>239.5</v>
      </c>
      <c r="M3960" s="36">
        <v>239.5</v>
      </c>
      <c r="N3960" s="36">
        <v>0</v>
      </c>
      <c r="O3960" s="36">
        <v>0</v>
      </c>
      <c r="P3960" t="s">
        <v>90</v>
      </c>
      <c r="Q3960" t="s">
        <v>91</v>
      </c>
      <c r="R3960" t="s">
        <v>91</v>
      </c>
      <c r="S3960" s="1">
        <v>46129</v>
      </c>
      <c r="T3960" s="1">
        <v>46129</v>
      </c>
      <c r="U3960" s="1"/>
      <c r="V3960" s="1">
        <v>46494</v>
      </c>
      <c r="W3960" t="s">
        <v>38</v>
      </c>
      <c r="X3960">
        <v>12</v>
      </c>
      <c r="Y3960" t="s">
        <v>49</v>
      </c>
      <c r="AA3960" t="s">
        <v>92</v>
      </c>
      <c r="AB3960">
        <v>12</v>
      </c>
      <c r="AC3960" t="s">
        <v>93</v>
      </c>
      <c r="AD3960" t="s">
        <v>118</v>
      </c>
      <c r="AE3960" t="s">
        <v>43</v>
      </c>
      <c r="AF3960" t="s">
        <v>119</v>
      </c>
      <c r="AG3960" t="str">
        <f t="shared" si="83"/>
        <v>Recorrente</v>
      </c>
      <c r="AH3960" t="str">
        <f t="shared" si="84"/>
        <v/>
      </c>
    </row>
    <row r="3961" spans="1:34">
      <c r="A3961">
        <v>2026</v>
      </c>
      <c r="B3961">
        <v>4</v>
      </c>
      <c r="C3961" s="83">
        <v>50796491408</v>
      </c>
      <c r="D3961" t="s">
        <v>3453</v>
      </c>
      <c r="E3961">
        <v>58335485586</v>
      </c>
      <c r="F3961">
        <v>531050</v>
      </c>
      <c r="G3961">
        <v>54377619856</v>
      </c>
      <c r="H3961" t="s">
        <v>35</v>
      </c>
      <c r="I3961" s="36">
        <v>4860.84</v>
      </c>
      <c r="J3961" s="36">
        <v>4860.84</v>
      </c>
      <c r="K3961" s="85">
        <v>0</v>
      </c>
      <c r="L3961" s="36">
        <v>405.07</v>
      </c>
      <c r="M3961" s="36">
        <v>0</v>
      </c>
      <c r="N3961" s="36">
        <v>40.797499999999999</v>
      </c>
      <c r="O3961" s="36">
        <v>364.27</v>
      </c>
      <c r="P3961" t="s">
        <v>137</v>
      </c>
      <c r="Q3961" t="s">
        <v>111</v>
      </c>
      <c r="R3961" t="s">
        <v>111</v>
      </c>
      <c r="S3961" s="1">
        <v>46129</v>
      </c>
      <c r="T3961" s="1">
        <v>46129</v>
      </c>
      <c r="U3961" s="1">
        <v>46136</v>
      </c>
      <c r="V3961" s="1">
        <v>46501</v>
      </c>
      <c r="W3961" t="s">
        <v>38</v>
      </c>
      <c r="X3961">
        <v>12</v>
      </c>
      <c r="Y3961" t="s">
        <v>49</v>
      </c>
      <c r="Z3961" t="s">
        <v>81</v>
      </c>
      <c r="AA3961" t="s">
        <v>112</v>
      </c>
      <c r="AB3961">
        <v>1</v>
      </c>
      <c r="AC3961" t="s">
        <v>113</v>
      </c>
      <c r="AD3961" t="s">
        <v>174</v>
      </c>
      <c r="AE3961" t="s">
        <v>43</v>
      </c>
      <c r="AF3961" t="s">
        <v>47</v>
      </c>
      <c r="AG3961" t="str">
        <f t="shared" si="83"/>
        <v>À Vista</v>
      </c>
      <c r="AH3961" t="str">
        <f t="shared" si="84"/>
        <v/>
      </c>
    </row>
    <row r="3962" spans="1:34">
      <c r="A3962">
        <v>2026</v>
      </c>
      <c r="B3962">
        <v>4</v>
      </c>
      <c r="C3962" s="83">
        <v>51288768120</v>
      </c>
      <c r="D3962" t="s">
        <v>3454</v>
      </c>
      <c r="E3962">
        <v>56218081179</v>
      </c>
      <c r="F3962">
        <v>637135</v>
      </c>
      <c r="G3962">
        <v>54372524892</v>
      </c>
      <c r="H3962" t="s">
        <v>35</v>
      </c>
      <c r="I3962" s="36">
        <v>5436</v>
      </c>
      <c r="J3962" s="36">
        <v>5436</v>
      </c>
      <c r="K3962" s="85">
        <v>0</v>
      </c>
      <c r="L3962" s="36">
        <v>453</v>
      </c>
      <c r="M3962" s="36">
        <v>453</v>
      </c>
      <c r="N3962" s="36">
        <v>0</v>
      </c>
      <c r="O3962" s="36">
        <v>0</v>
      </c>
      <c r="P3962" t="s">
        <v>75</v>
      </c>
      <c r="Q3962" t="s">
        <v>37</v>
      </c>
      <c r="R3962" t="s">
        <v>37</v>
      </c>
      <c r="S3962" s="1">
        <v>46128</v>
      </c>
      <c r="T3962" s="1">
        <v>46128</v>
      </c>
      <c r="V3962" s="1">
        <v>46501</v>
      </c>
      <c r="W3962" t="s">
        <v>38</v>
      </c>
      <c r="X3962">
        <v>12</v>
      </c>
      <c r="Y3962" t="s">
        <v>49</v>
      </c>
      <c r="AA3962" t="s">
        <v>40</v>
      </c>
      <c r="AB3962">
        <v>1</v>
      </c>
      <c r="AC3962" t="s">
        <v>41</v>
      </c>
      <c r="AD3962" t="s">
        <v>54</v>
      </c>
      <c r="AE3962" t="s">
        <v>46</v>
      </c>
      <c r="AF3962" t="s">
        <v>44</v>
      </c>
      <c r="AG3962" t="str">
        <f t="shared" si="83"/>
        <v>À Vista</v>
      </c>
      <c r="AH3962" t="str">
        <f t="shared" si="84"/>
        <v/>
      </c>
    </row>
    <row r="3963" spans="1:34">
      <c r="A3963">
        <v>2026</v>
      </c>
      <c r="B3963">
        <v>4</v>
      </c>
      <c r="C3963" s="83">
        <v>51288768120</v>
      </c>
      <c r="D3963" t="s">
        <v>3454</v>
      </c>
      <c r="E3963">
        <v>56218081179</v>
      </c>
      <c r="F3963">
        <v>637135</v>
      </c>
      <c r="G3963">
        <v>54372524893</v>
      </c>
      <c r="H3963" t="s">
        <v>35</v>
      </c>
      <c r="I3963" s="36">
        <v>4644</v>
      </c>
      <c r="J3963" s="36">
        <v>4644</v>
      </c>
      <c r="K3963" s="85">
        <v>0</v>
      </c>
      <c r="L3963" s="36">
        <v>387</v>
      </c>
      <c r="M3963" s="36">
        <v>387</v>
      </c>
      <c r="N3963" s="36">
        <v>0</v>
      </c>
      <c r="O3963" s="36">
        <v>0</v>
      </c>
      <c r="P3963" t="s">
        <v>75</v>
      </c>
      <c r="Q3963" t="s">
        <v>37</v>
      </c>
      <c r="R3963" t="s">
        <v>37</v>
      </c>
      <c r="S3963" s="1">
        <v>46128</v>
      </c>
      <c r="T3963" s="1">
        <v>46128</v>
      </c>
      <c r="V3963" s="1">
        <v>46501</v>
      </c>
      <c r="W3963" t="s">
        <v>38</v>
      </c>
      <c r="X3963">
        <v>12</v>
      </c>
      <c r="Y3963" t="s">
        <v>49</v>
      </c>
      <c r="AA3963" t="s">
        <v>40</v>
      </c>
      <c r="AB3963">
        <v>1</v>
      </c>
      <c r="AC3963" t="s">
        <v>41</v>
      </c>
      <c r="AD3963" t="s">
        <v>53</v>
      </c>
      <c r="AE3963" t="s">
        <v>43</v>
      </c>
      <c r="AF3963" t="s">
        <v>44</v>
      </c>
      <c r="AG3963" t="str">
        <f t="shared" si="83"/>
        <v>À Vista</v>
      </c>
      <c r="AH3963" t="str">
        <f t="shared" si="84"/>
        <v/>
      </c>
    </row>
    <row r="3964" spans="1:34">
      <c r="A3964">
        <v>2026</v>
      </c>
      <c r="B3964">
        <v>4</v>
      </c>
      <c r="C3964" s="83">
        <v>51632398394</v>
      </c>
      <c r="D3964" t="s">
        <v>3455</v>
      </c>
      <c r="E3964">
        <v>56616711004</v>
      </c>
      <c r="F3964">
        <v>637201</v>
      </c>
      <c r="G3964">
        <v>54466049841</v>
      </c>
      <c r="H3964" t="s">
        <v>35</v>
      </c>
      <c r="I3964" s="36">
        <v>10992</v>
      </c>
      <c r="J3964" s="36">
        <v>10992</v>
      </c>
      <c r="K3964" s="85">
        <v>0</v>
      </c>
      <c r="L3964" s="36">
        <v>916</v>
      </c>
      <c r="M3964" s="36">
        <v>916</v>
      </c>
      <c r="N3964" s="36">
        <v>0</v>
      </c>
      <c r="O3964" s="36">
        <v>0</v>
      </c>
      <c r="P3964" t="s">
        <v>668</v>
      </c>
      <c r="Q3964" t="s">
        <v>91</v>
      </c>
      <c r="R3964" t="s">
        <v>91</v>
      </c>
      <c r="S3964" s="1">
        <v>46132</v>
      </c>
      <c r="T3964" s="1">
        <v>46132</v>
      </c>
      <c r="V3964" s="1">
        <v>46500</v>
      </c>
      <c r="W3964" t="s">
        <v>38</v>
      </c>
      <c r="X3964">
        <v>12</v>
      </c>
      <c r="Y3964" t="s">
        <v>49</v>
      </c>
      <c r="AA3964" t="s">
        <v>112</v>
      </c>
      <c r="AB3964">
        <v>12</v>
      </c>
      <c r="AC3964" t="s">
        <v>93</v>
      </c>
      <c r="AD3964" t="s">
        <v>149</v>
      </c>
      <c r="AE3964" t="s">
        <v>43</v>
      </c>
      <c r="AF3964" t="s">
        <v>96</v>
      </c>
      <c r="AG3964" t="str">
        <f t="shared" si="83"/>
        <v>CC 12x</v>
      </c>
      <c r="AH3964" t="str">
        <f t="shared" si="84"/>
        <v/>
      </c>
    </row>
    <row r="3965" spans="1:34">
      <c r="A3965">
        <v>2026</v>
      </c>
      <c r="B3965">
        <v>4</v>
      </c>
      <c r="C3965" s="83">
        <v>52131775249</v>
      </c>
      <c r="D3965" t="s">
        <v>3456</v>
      </c>
      <c r="E3965">
        <v>56991920976</v>
      </c>
      <c r="F3965">
        <v>637020</v>
      </c>
      <c r="G3965">
        <v>54205183132</v>
      </c>
      <c r="H3965" t="s">
        <v>35</v>
      </c>
      <c r="I3965" s="36">
        <v>3259.2</v>
      </c>
      <c r="J3965" s="36">
        <v>3259.2</v>
      </c>
      <c r="K3965" s="85">
        <v>0</v>
      </c>
      <c r="L3965" s="36">
        <v>271.60000000000002</v>
      </c>
      <c r="M3965" s="36">
        <v>271.60000000000002</v>
      </c>
      <c r="N3965" s="36">
        <v>0</v>
      </c>
      <c r="O3965" s="36">
        <v>0</v>
      </c>
      <c r="P3965" t="s">
        <v>348</v>
      </c>
      <c r="Q3965" t="s">
        <v>349</v>
      </c>
      <c r="R3965" t="s">
        <v>349</v>
      </c>
      <c r="S3965" s="1">
        <v>46122</v>
      </c>
      <c r="T3965" s="1">
        <v>46122</v>
      </c>
      <c r="V3965" s="1">
        <v>46487</v>
      </c>
      <c r="W3965" t="s">
        <v>38</v>
      </c>
      <c r="X3965">
        <v>12</v>
      </c>
      <c r="Y3965" t="s">
        <v>49</v>
      </c>
      <c r="AA3965" t="s">
        <v>112</v>
      </c>
      <c r="AB3965">
        <v>12</v>
      </c>
      <c r="AC3965" t="s">
        <v>350</v>
      </c>
      <c r="AD3965" t="s">
        <v>160</v>
      </c>
      <c r="AE3965" t="s">
        <v>43</v>
      </c>
      <c r="AF3965" t="s">
        <v>44</v>
      </c>
      <c r="AG3965" t="str">
        <f t="shared" si="83"/>
        <v>CC 12x</v>
      </c>
      <c r="AH3965" t="str">
        <f t="shared" si="84"/>
        <v/>
      </c>
    </row>
    <row r="3966" spans="1:34">
      <c r="A3966">
        <v>2026</v>
      </c>
      <c r="B3966">
        <v>4</v>
      </c>
      <c r="C3966" s="83">
        <v>52234432861</v>
      </c>
      <c r="D3966" t="s">
        <v>3457</v>
      </c>
      <c r="E3966">
        <v>57331041367</v>
      </c>
      <c r="F3966">
        <v>637051</v>
      </c>
      <c r="G3966">
        <v>54268568505</v>
      </c>
      <c r="H3966" t="s">
        <v>35</v>
      </c>
      <c r="I3966" s="36">
        <v>27180</v>
      </c>
      <c r="J3966" s="36">
        <v>5436</v>
      </c>
      <c r="K3966" s="85">
        <v>21744</v>
      </c>
      <c r="L3966" s="36">
        <v>453</v>
      </c>
      <c r="M3966" s="36">
        <v>453</v>
      </c>
      <c r="N3966" s="36">
        <v>0</v>
      </c>
      <c r="O3966" s="36">
        <v>0</v>
      </c>
      <c r="P3966" t="s">
        <v>75</v>
      </c>
      <c r="Q3966" t="s">
        <v>37</v>
      </c>
      <c r="R3966" t="s">
        <v>37</v>
      </c>
      <c r="S3966" s="1">
        <v>46125</v>
      </c>
      <c r="T3966" s="1">
        <v>46125</v>
      </c>
      <c r="U3966" s="1"/>
      <c r="V3966" s="1">
        <v>47951</v>
      </c>
      <c r="W3966" t="s">
        <v>1633</v>
      </c>
      <c r="X3966">
        <v>60</v>
      </c>
      <c r="Y3966" t="s">
        <v>49</v>
      </c>
      <c r="AA3966" t="s">
        <v>40</v>
      </c>
      <c r="AB3966">
        <v>1</v>
      </c>
      <c r="AC3966" t="s">
        <v>41</v>
      </c>
      <c r="AD3966" t="s">
        <v>54</v>
      </c>
      <c r="AE3966" t="s">
        <v>46</v>
      </c>
      <c r="AF3966" t="s">
        <v>44</v>
      </c>
      <c r="AG3966" t="str">
        <f t="shared" si="83"/>
        <v>À Vista</v>
      </c>
      <c r="AH3966" t="str">
        <f t="shared" si="84"/>
        <v/>
      </c>
    </row>
    <row r="3967" spans="1:34">
      <c r="A3967">
        <v>2026</v>
      </c>
      <c r="B3967">
        <v>4</v>
      </c>
      <c r="C3967" s="83">
        <v>52706972225</v>
      </c>
      <c r="D3967" t="s">
        <v>3458</v>
      </c>
      <c r="E3967">
        <v>57691317115</v>
      </c>
      <c r="F3967">
        <v>509158</v>
      </c>
      <c r="G3967">
        <v>53094471280</v>
      </c>
      <c r="H3967" t="s">
        <v>35</v>
      </c>
      <c r="I3967" s="36">
        <v>5400.84</v>
      </c>
      <c r="J3967" s="36">
        <v>5400.84</v>
      </c>
      <c r="K3967" s="85">
        <v>0</v>
      </c>
      <c r="L3967" s="36">
        <v>450.07</v>
      </c>
      <c r="M3967" s="36">
        <v>0</v>
      </c>
      <c r="N3967" s="36">
        <v>50.875</v>
      </c>
      <c r="O3967" s="36">
        <v>399.2</v>
      </c>
      <c r="P3967" t="s">
        <v>162</v>
      </c>
      <c r="Q3967" t="s">
        <v>111</v>
      </c>
      <c r="R3967" t="s">
        <v>111</v>
      </c>
      <c r="S3967" s="1">
        <v>46092</v>
      </c>
      <c r="T3967" s="1">
        <v>46113</v>
      </c>
      <c r="U3967" s="1">
        <v>46118</v>
      </c>
      <c r="V3967" s="1">
        <v>46483</v>
      </c>
      <c r="W3967" t="s">
        <v>38</v>
      </c>
      <c r="X3967">
        <v>12</v>
      </c>
      <c r="Y3967" t="s">
        <v>49</v>
      </c>
      <c r="Z3967" t="s">
        <v>81</v>
      </c>
      <c r="AA3967" t="s">
        <v>112</v>
      </c>
      <c r="AB3967">
        <v>12</v>
      </c>
      <c r="AC3967" t="s">
        <v>113</v>
      </c>
      <c r="AD3967" t="s">
        <v>158</v>
      </c>
      <c r="AE3967" t="s">
        <v>43</v>
      </c>
      <c r="AF3967" t="s">
        <v>47</v>
      </c>
      <c r="AG3967" t="str">
        <f t="shared" si="83"/>
        <v>CC 12x</v>
      </c>
      <c r="AH3967" t="str">
        <f t="shared" si="84"/>
        <v/>
      </c>
    </row>
    <row r="3968" spans="1:34">
      <c r="A3968">
        <v>2026</v>
      </c>
      <c r="B3968">
        <v>4</v>
      </c>
      <c r="C3968" s="83">
        <v>52944513410</v>
      </c>
      <c r="D3968" t="s">
        <v>2628</v>
      </c>
      <c r="E3968">
        <v>59771813451</v>
      </c>
      <c r="F3968">
        <v>636597</v>
      </c>
      <c r="G3968">
        <v>54801555719</v>
      </c>
      <c r="H3968" t="s">
        <v>35</v>
      </c>
      <c r="I3968" s="36">
        <v>6304.08</v>
      </c>
      <c r="J3968" s="36">
        <v>7085.4</v>
      </c>
      <c r="K3968" s="85">
        <v>0</v>
      </c>
      <c r="L3968" s="36">
        <v>590.45000000000005</v>
      </c>
      <c r="M3968" s="36">
        <v>0</v>
      </c>
      <c r="N3968" s="36">
        <v>590.45000000000005</v>
      </c>
      <c r="O3968" s="36">
        <v>0</v>
      </c>
      <c r="P3968" t="s">
        <v>2004</v>
      </c>
      <c r="Q3968" t="s">
        <v>300</v>
      </c>
      <c r="R3968" t="s">
        <v>191</v>
      </c>
      <c r="S3968" s="1">
        <v>46140</v>
      </c>
      <c r="T3968" s="1">
        <v>46140</v>
      </c>
      <c r="U3968" s="1">
        <v>46465</v>
      </c>
      <c r="V3968" s="1">
        <v>46465</v>
      </c>
      <c r="W3968" t="s">
        <v>38</v>
      </c>
      <c r="X3968">
        <v>11</v>
      </c>
      <c r="Y3968" t="s">
        <v>49</v>
      </c>
      <c r="Z3968" t="s">
        <v>324</v>
      </c>
      <c r="AA3968" t="s">
        <v>122</v>
      </c>
      <c r="AB3968">
        <v>10</v>
      </c>
      <c r="AC3968" t="s">
        <v>192</v>
      </c>
      <c r="AD3968" t="s">
        <v>146</v>
      </c>
      <c r="AE3968" t="s">
        <v>135</v>
      </c>
      <c r="AF3968" t="s">
        <v>96</v>
      </c>
      <c r="AG3968" t="str">
        <f t="shared" si="83"/>
        <v>Recorrente</v>
      </c>
      <c r="AH3968" t="str">
        <f t="shared" si="84"/>
        <v/>
      </c>
    </row>
    <row r="3969" spans="1:34">
      <c r="A3969">
        <v>2026</v>
      </c>
      <c r="B3969">
        <v>4</v>
      </c>
      <c r="C3969" s="83">
        <v>52982672951</v>
      </c>
      <c r="D3969" t="s">
        <v>3459</v>
      </c>
      <c r="E3969">
        <v>58047117057</v>
      </c>
      <c r="F3969">
        <v>637202</v>
      </c>
      <c r="G3969">
        <v>54463088748</v>
      </c>
      <c r="H3969" t="s">
        <v>35</v>
      </c>
      <c r="I3969" s="36">
        <v>5772</v>
      </c>
      <c r="J3969" s="36">
        <v>5772</v>
      </c>
      <c r="K3969" s="85">
        <v>0</v>
      </c>
      <c r="L3969" s="36">
        <v>481</v>
      </c>
      <c r="M3969" s="36">
        <v>481</v>
      </c>
      <c r="N3969" s="36">
        <v>0</v>
      </c>
      <c r="O3969" s="36">
        <v>0</v>
      </c>
      <c r="P3969" t="s">
        <v>98</v>
      </c>
      <c r="Q3969" t="s">
        <v>37</v>
      </c>
      <c r="R3969" t="s">
        <v>37</v>
      </c>
      <c r="S3969" s="1">
        <v>46132</v>
      </c>
      <c r="T3969" s="1">
        <v>46132</v>
      </c>
      <c r="V3969" s="1">
        <v>46497</v>
      </c>
      <c r="W3969" t="s">
        <v>38</v>
      </c>
      <c r="X3969">
        <v>12</v>
      </c>
      <c r="Y3969" t="s">
        <v>49</v>
      </c>
      <c r="AA3969" t="s">
        <v>40</v>
      </c>
      <c r="AB3969">
        <v>1</v>
      </c>
      <c r="AC3969" t="s">
        <v>41</v>
      </c>
      <c r="AD3969" t="s">
        <v>54</v>
      </c>
      <c r="AE3969" t="s">
        <v>46</v>
      </c>
      <c r="AF3969" t="s">
        <v>44</v>
      </c>
      <c r="AG3969" t="str">
        <f t="shared" ref="AG3969:AG4032" si="85">IF(IFERROR(SEARCH("Recorrente",AA3969),0)&gt;0,"Recorrente",IF(AB3969=1,"À Vista",IF(AB3969&lt;=3,"CC 3x",IF(AB3969&lt;=12,"CC 12x",IF(AB3969&gt;12,"Recorrente","")))))</f>
        <v>À Vista</v>
      </c>
      <c r="AH3969" t="str">
        <f t="shared" ref="AH3969:AH4032" si="86">IF(AND(SUMIF(E:E,E3969,I:I)&gt;=400000,Q3969="B2G"),"n","")</f>
        <v/>
      </c>
    </row>
    <row r="3970" spans="1:34">
      <c r="A3970">
        <v>2026</v>
      </c>
      <c r="B3970">
        <v>4</v>
      </c>
      <c r="C3970" s="83">
        <v>52982672951</v>
      </c>
      <c r="D3970" t="s">
        <v>3459</v>
      </c>
      <c r="E3970">
        <v>58047117057</v>
      </c>
      <c r="F3970">
        <v>637202</v>
      </c>
      <c r="G3970">
        <v>54463088749</v>
      </c>
      <c r="H3970" t="s">
        <v>35</v>
      </c>
      <c r="I3970" s="36">
        <v>4932</v>
      </c>
      <c r="J3970" s="36">
        <v>4932</v>
      </c>
      <c r="K3970" s="85">
        <v>0</v>
      </c>
      <c r="L3970" s="36">
        <v>411</v>
      </c>
      <c r="M3970" s="36">
        <v>411</v>
      </c>
      <c r="N3970" s="36">
        <v>0</v>
      </c>
      <c r="O3970" s="36">
        <v>0</v>
      </c>
      <c r="P3970" t="s">
        <v>98</v>
      </c>
      <c r="Q3970" t="s">
        <v>37</v>
      </c>
      <c r="R3970" t="s">
        <v>37</v>
      </c>
      <c r="S3970" s="1">
        <v>46132</v>
      </c>
      <c r="T3970" s="1">
        <v>46132</v>
      </c>
      <c r="V3970" s="1">
        <v>46497</v>
      </c>
      <c r="W3970" t="s">
        <v>38</v>
      </c>
      <c r="X3970">
        <v>12</v>
      </c>
      <c r="Y3970" t="s">
        <v>49</v>
      </c>
      <c r="AA3970" t="s">
        <v>40</v>
      </c>
      <c r="AB3970">
        <v>1</v>
      </c>
      <c r="AC3970" t="s">
        <v>41</v>
      </c>
      <c r="AD3970" t="s">
        <v>53</v>
      </c>
      <c r="AE3970" t="s">
        <v>43</v>
      </c>
      <c r="AF3970" t="s">
        <v>44</v>
      </c>
      <c r="AG3970" t="str">
        <f t="shared" si="85"/>
        <v>À Vista</v>
      </c>
      <c r="AH3970" t="str">
        <f t="shared" si="86"/>
        <v/>
      </c>
    </row>
    <row r="3971" spans="1:34">
      <c r="A3971">
        <v>2026</v>
      </c>
      <c r="B3971">
        <v>4</v>
      </c>
      <c r="C3971" s="83">
        <v>53081001351</v>
      </c>
      <c r="D3971" t="s">
        <v>3460</v>
      </c>
      <c r="E3971">
        <v>59119711748</v>
      </c>
      <c r="F3971">
        <v>637010</v>
      </c>
      <c r="G3971">
        <v>54236101166</v>
      </c>
      <c r="H3971" t="s">
        <v>35</v>
      </c>
      <c r="I3971" s="36">
        <v>5754</v>
      </c>
      <c r="J3971" s="36">
        <v>5754</v>
      </c>
      <c r="K3971" s="85">
        <v>0</v>
      </c>
      <c r="L3971" s="36">
        <v>479.5</v>
      </c>
      <c r="M3971" s="36">
        <v>479.5</v>
      </c>
      <c r="N3971" s="36">
        <v>0</v>
      </c>
      <c r="O3971" s="36">
        <v>0</v>
      </c>
      <c r="P3971" t="s">
        <v>497</v>
      </c>
      <c r="Q3971" t="s">
        <v>498</v>
      </c>
      <c r="R3971" t="s">
        <v>498</v>
      </c>
      <c r="S3971" s="1">
        <v>46122</v>
      </c>
      <c r="T3971" s="1">
        <v>46122</v>
      </c>
      <c r="U3971" s="1"/>
      <c r="V3971" s="1">
        <v>46487</v>
      </c>
      <c r="W3971" t="s">
        <v>38</v>
      </c>
      <c r="X3971">
        <v>12</v>
      </c>
      <c r="Y3971" t="s">
        <v>49</v>
      </c>
      <c r="AA3971" t="s">
        <v>112</v>
      </c>
      <c r="AB3971">
        <v>12</v>
      </c>
      <c r="AC3971" t="s">
        <v>499</v>
      </c>
      <c r="AD3971" t="s">
        <v>85</v>
      </c>
      <c r="AE3971" t="s">
        <v>46</v>
      </c>
      <c r="AF3971" t="s">
        <v>44</v>
      </c>
      <c r="AG3971" t="str">
        <f t="shared" si="85"/>
        <v>CC 12x</v>
      </c>
      <c r="AH3971" t="str">
        <f t="shared" si="86"/>
        <v/>
      </c>
    </row>
    <row r="3972" spans="1:34">
      <c r="A3972">
        <v>2026</v>
      </c>
      <c r="B3972">
        <v>4</v>
      </c>
      <c r="C3972" s="83">
        <v>53141394751</v>
      </c>
      <c r="D3972" t="s">
        <v>264</v>
      </c>
      <c r="E3972">
        <v>59273235989</v>
      </c>
      <c r="F3972">
        <v>607203</v>
      </c>
      <c r="G3972">
        <v>54741187094</v>
      </c>
      <c r="H3972" t="s">
        <v>35</v>
      </c>
      <c r="I3972" s="36">
        <v>6491.16</v>
      </c>
      <c r="J3972" s="36">
        <v>9119.52</v>
      </c>
      <c r="K3972" s="85">
        <v>0</v>
      </c>
      <c r="L3972" s="36">
        <v>759.96</v>
      </c>
      <c r="M3972" s="36">
        <v>0</v>
      </c>
      <c r="N3972" s="36">
        <v>759.96</v>
      </c>
      <c r="O3972" s="36">
        <v>0</v>
      </c>
      <c r="P3972" t="s">
        <v>1160</v>
      </c>
      <c r="Q3972" t="s">
        <v>3461</v>
      </c>
      <c r="R3972" t="s">
        <v>3461</v>
      </c>
      <c r="S3972" s="1">
        <v>46140</v>
      </c>
      <c r="T3972" s="1">
        <v>46140</v>
      </c>
      <c r="U3972" s="1">
        <v>46399</v>
      </c>
      <c r="V3972" s="1">
        <v>46399</v>
      </c>
      <c r="W3972" t="s">
        <v>38</v>
      </c>
      <c r="X3972">
        <v>9</v>
      </c>
      <c r="Y3972" t="s">
        <v>49</v>
      </c>
      <c r="Z3972" t="s">
        <v>324</v>
      </c>
      <c r="AA3972" t="s">
        <v>122</v>
      </c>
      <c r="AB3972">
        <v>8</v>
      </c>
      <c r="AC3972" t="s">
        <v>3462</v>
      </c>
      <c r="AD3972" t="s">
        <v>131</v>
      </c>
      <c r="AE3972" t="s">
        <v>46</v>
      </c>
      <c r="AF3972" t="s">
        <v>96</v>
      </c>
      <c r="AG3972" t="str">
        <f t="shared" si="85"/>
        <v>Recorrente</v>
      </c>
      <c r="AH3972" t="str">
        <f t="shared" si="86"/>
        <v/>
      </c>
    </row>
    <row r="3973" spans="1:34">
      <c r="A3973">
        <v>2026</v>
      </c>
      <c r="B3973">
        <v>4</v>
      </c>
      <c r="C3973" s="83">
        <v>53284677980</v>
      </c>
      <c r="D3973" t="s">
        <v>2650</v>
      </c>
      <c r="E3973">
        <v>58658189088</v>
      </c>
      <c r="F3973">
        <v>636850</v>
      </c>
      <c r="G3973">
        <v>53854079067</v>
      </c>
      <c r="H3973" t="s">
        <v>35</v>
      </c>
      <c r="I3973" s="36">
        <v>5063.5200000000004</v>
      </c>
      <c r="J3973" s="36">
        <v>2534.4</v>
      </c>
      <c r="K3973" s="85">
        <v>2529.12</v>
      </c>
      <c r="L3973" s="36">
        <v>211.2</v>
      </c>
      <c r="M3973" s="36">
        <v>0</v>
      </c>
      <c r="N3973" s="36">
        <v>211.2</v>
      </c>
      <c r="O3973" s="36">
        <v>0</v>
      </c>
      <c r="P3973" t="s">
        <v>2004</v>
      </c>
      <c r="Q3973" t="s">
        <v>300</v>
      </c>
      <c r="R3973" t="s">
        <v>300</v>
      </c>
      <c r="S3973" s="1">
        <v>46113</v>
      </c>
      <c r="T3973" s="1">
        <v>46113</v>
      </c>
      <c r="V3973" s="1">
        <v>46478</v>
      </c>
      <c r="W3973" t="s">
        <v>38</v>
      </c>
      <c r="Y3973" t="s">
        <v>49</v>
      </c>
      <c r="AA3973" t="s">
        <v>112</v>
      </c>
      <c r="AB3973">
        <v>12</v>
      </c>
      <c r="AC3973" t="s">
        <v>301</v>
      </c>
      <c r="AD3973" t="s">
        <v>85</v>
      </c>
      <c r="AE3973" t="s">
        <v>46</v>
      </c>
      <c r="AF3973" t="s">
        <v>44</v>
      </c>
      <c r="AG3973" t="str">
        <f t="shared" si="85"/>
        <v>CC 12x</v>
      </c>
      <c r="AH3973" t="str">
        <f t="shared" si="86"/>
        <v/>
      </c>
    </row>
    <row r="3974" spans="1:34">
      <c r="A3974">
        <v>2026</v>
      </c>
      <c r="B3974">
        <v>4</v>
      </c>
      <c r="C3974" s="83">
        <v>53323248541</v>
      </c>
      <c r="D3974" t="s">
        <v>3463</v>
      </c>
      <c r="E3974">
        <v>58959217288</v>
      </c>
      <c r="F3974">
        <v>636935</v>
      </c>
      <c r="G3974">
        <v>54079603546</v>
      </c>
      <c r="H3974" t="s">
        <v>35</v>
      </c>
      <c r="I3974" s="36">
        <v>3970.08</v>
      </c>
      <c r="J3974" s="36">
        <v>3970.08</v>
      </c>
      <c r="K3974" s="85">
        <v>0</v>
      </c>
      <c r="L3974" s="36">
        <v>330.84</v>
      </c>
      <c r="M3974" s="36">
        <v>330.84</v>
      </c>
      <c r="N3974" s="36">
        <v>0</v>
      </c>
      <c r="O3974" s="36">
        <v>0</v>
      </c>
      <c r="P3974" t="s">
        <v>1073</v>
      </c>
      <c r="Q3974" t="s">
        <v>314</v>
      </c>
      <c r="R3974" t="s">
        <v>314</v>
      </c>
      <c r="S3974" s="1">
        <v>46119</v>
      </c>
      <c r="T3974" s="1">
        <v>46119</v>
      </c>
      <c r="V3974" s="1">
        <v>46484</v>
      </c>
      <c r="W3974" t="s">
        <v>38</v>
      </c>
      <c r="X3974">
        <v>12</v>
      </c>
      <c r="Y3974" t="s">
        <v>49</v>
      </c>
      <c r="AA3974" t="s">
        <v>112</v>
      </c>
      <c r="AB3974">
        <v>1</v>
      </c>
      <c r="AC3974" t="s">
        <v>315</v>
      </c>
      <c r="AD3974" t="s">
        <v>138</v>
      </c>
      <c r="AE3974" t="s">
        <v>135</v>
      </c>
      <c r="AF3974" t="s">
        <v>119</v>
      </c>
      <c r="AG3974" t="str">
        <f t="shared" si="85"/>
        <v>À Vista</v>
      </c>
      <c r="AH3974" t="str">
        <f t="shared" si="86"/>
        <v/>
      </c>
    </row>
    <row r="3975" spans="1:34">
      <c r="A3975">
        <v>2026</v>
      </c>
      <c r="B3975">
        <v>4</v>
      </c>
      <c r="C3975" s="83">
        <v>53392491277</v>
      </c>
      <c r="D3975" t="s">
        <v>3464</v>
      </c>
      <c r="E3975">
        <v>58580771150</v>
      </c>
      <c r="F3975">
        <v>636868</v>
      </c>
      <c r="G3975">
        <v>53808787043</v>
      </c>
      <c r="H3975" t="s">
        <v>35</v>
      </c>
      <c r="I3975" s="36">
        <v>2874</v>
      </c>
      <c r="J3975" s="36">
        <v>2874</v>
      </c>
      <c r="K3975" s="85">
        <v>0</v>
      </c>
      <c r="L3975" s="36">
        <v>239.5</v>
      </c>
      <c r="M3975" s="36">
        <v>239.5</v>
      </c>
      <c r="N3975" s="36">
        <v>0</v>
      </c>
      <c r="O3975" s="36">
        <v>0</v>
      </c>
      <c r="P3975" t="s">
        <v>129</v>
      </c>
      <c r="Q3975" t="s">
        <v>91</v>
      </c>
      <c r="R3975" t="s">
        <v>91</v>
      </c>
      <c r="S3975" s="1">
        <v>46114</v>
      </c>
      <c r="T3975" s="1">
        <v>46114</v>
      </c>
      <c r="V3975" s="1">
        <v>46479</v>
      </c>
      <c r="W3975" t="s">
        <v>38</v>
      </c>
      <c r="X3975">
        <v>12</v>
      </c>
      <c r="Y3975" t="s">
        <v>49</v>
      </c>
      <c r="AA3975" t="s">
        <v>92</v>
      </c>
      <c r="AB3975">
        <v>12</v>
      </c>
      <c r="AC3975" t="s">
        <v>93</v>
      </c>
      <c r="AD3975" t="s">
        <v>140</v>
      </c>
      <c r="AE3975" t="s">
        <v>46</v>
      </c>
      <c r="AF3975" t="s">
        <v>119</v>
      </c>
      <c r="AG3975" t="str">
        <f t="shared" si="85"/>
        <v>Recorrente</v>
      </c>
      <c r="AH3975" t="str">
        <f t="shared" si="86"/>
        <v/>
      </c>
    </row>
    <row r="3976" spans="1:34">
      <c r="A3976">
        <v>2026</v>
      </c>
      <c r="B3976">
        <v>4</v>
      </c>
      <c r="C3976" s="83">
        <v>53471638125</v>
      </c>
      <c r="D3976" t="s">
        <v>3465</v>
      </c>
      <c r="E3976">
        <v>58324998581</v>
      </c>
      <c r="F3976">
        <v>637217</v>
      </c>
      <c r="G3976">
        <v>54466263947</v>
      </c>
      <c r="H3976" t="s">
        <v>35</v>
      </c>
      <c r="I3976" s="36">
        <v>12954.6</v>
      </c>
      <c r="J3976" s="36">
        <v>12954.6</v>
      </c>
      <c r="K3976" s="85">
        <v>1.8189900000000001E-12</v>
      </c>
      <c r="L3976" s="36">
        <v>1079.55</v>
      </c>
      <c r="M3976" s="36">
        <v>1079.55</v>
      </c>
      <c r="N3976" s="36">
        <v>0</v>
      </c>
      <c r="O3976" s="36">
        <v>0</v>
      </c>
      <c r="P3976" t="s">
        <v>511</v>
      </c>
      <c r="Q3976" t="s">
        <v>300</v>
      </c>
      <c r="R3976" t="s">
        <v>300</v>
      </c>
      <c r="S3976" s="1">
        <v>46132</v>
      </c>
      <c r="T3976" s="1">
        <v>46132</v>
      </c>
      <c r="V3976" s="1">
        <v>46518</v>
      </c>
      <c r="W3976" t="s">
        <v>38</v>
      </c>
      <c r="X3976">
        <v>13</v>
      </c>
      <c r="Y3976" t="s">
        <v>49</v>
      </c>
      <c r="AA3976" t="s">
        <v>122</v>
      </c>
      <c r="AB3976">
        <v>12</v>
      </c>
      <c r="AC3976" t="s">
        <v>301</v>
      </c>
      <c r="AD3976" t="s">
        <v>154</v>
      </c>
      <c r="AE3976" t="s">
        <v>46</v>
      </c>
      <c r="AF3976" t="s">
        <v>47</v>
      </c>
      <c r="AG3976" t="str">
        <f t="shared" si="85"/>
        <v>Recorrente</v>
      </c>
      <c r="AH3976" t="str">
        <f t="shared" si="86"/>
        <v/>
      </c>
    </row>
    <row r="3977" spans="1:34">
      <c r="A3977">
        <v>2026</v>
      </c>
      <c r="B3977">
        <v>4</v>
      </c>
      <c r="C3977" s="83">
        <v>53528647508</v>
      </c>
      <c r="D3977" t="s">
        <v>3466</v>
      </c>
      <c r="E3977">
        <v>58694058510</v>
      </c>
      <c r="F3977">
        <v>636960</v>
      </c>
      <c r="G3977">
        <v>54118884662</v>
      </c>
      <c r="H3977" t="s">
        <v>35</v>
      </c>
      <c r="I3977" s="36">
        <v>6715.2</v>
      </c>
      <c r="J3977" s="36">
        <v>6715.2</v>
      </c>
      <c r="K3977" s="85">
        <v>0</v>
      </c>
      <c r="L3977" s="36">
        <v>559.6</v>
      </c>
      <c r="M3977" s="36">
        <v>559.6</v>
      </c>
      <c r="N3977" s="36">
        <v>0</v>
      </c>
      <c r="O3977" s="36">
        <v>0</v>
      </c>
      <c r="P3977" t="s">
        <v>129</v>
      </c>
      <c r="Q3977" t="s">
        <v>91</v>
      </c>
      <c r="R3977" t="s">
        <v>91</v>
      </c>
      <c r="S3977" s="1">
        <v>46120</v>
      </c>
      <c r="T3977" s="1">
        <v>46120</v>
      </c>
      <c r="V3977" s="1">
        <v>46485</v>
      </c>
      <c r="W3977" t="s">
        <v>38</v>
      </c>
      <c r="X3977">
        <v>12</v>
      </c>
      <c r="Y3977" t="s">
        <v>49</v>
      </c>
      <c r="AA3977" t="s">
        <v>112</v>
      </c>
      <c r="AB3977">
        <v>12</v>
      </c>
      <c r="AC3977" t="s">
        <v>93</v>
      </c>
      <c r="AD3977" t="s">
        <v>94</v>
      </c>
      <c r="AE3977" t="s">
        <v>95</v>
      </c>
      <c r="AF3977" t="s">
        <v>96</v>
      </c>
      <c r="AG3977" t="str">
        <f t="shared" si="85"/>
        <v>CC 12x</v>
      </c>
      <c r="AH3977" t="str">
        <f t="shared" si="86"/>
        <v/>
      </c>
    </row>
    <row r="3978" spans="1:34">
      <c r="A3978">
        <v>2026</v>
      </c>
      <c r="B3978">
        <v>4</v>
      </c>
      <c r="C3978" s="83">
        <v>53528647508</v>
      </c>
      <c r="D3978" t="s">
        <v>3466</v>
      </c>
      <c r="E3978">
        <v>58694058510</v>
      </c>
      <c r="F3978">
        <v>636960</v>
      </c>
      <c r="G3978">
        <v>54118884663</v>
      </c>
      <c r="H3978" t="s">
        <v>35</v>
      </c>
      <c r="I3978" s="36">
        <v>2577.6</v>
      </c>
      <c r="J3978" s="36">
        <v>2577.6</v>
      </c>
      <c r="K3978" s="85">
        <v>0</v>
      </c>
      <c r="L3978" s="36">
        <v>214.8</v>
      </c>
      <c r="M3978" s="36">
        <v>214.8</v>
      </c>
      <c r="N3978" s="36">
        <v>0</v>
      </c>
      <c r="O3978" s="36">
        <v>0</v>
      </c>
      <c r="P3978" t="s">
        <v>129</v>
      </c>
      <c r="Q3978" t="s">
        <v>91</v>
      </c>
      <c r="R3978" t="s">
        <v>91</v>
      </c>
      <c r="S3978" s="1">
        <v>46120</v>
      </c>
      <c r="T3978" s="1">
        <v>46120</v>
      </c>
      <c r="V3978" s="1">
        <v>46485</v>
      </c>
      <c r="W3978" t="s">
        <v>38</v>
      </c>
      <c r="X3978">
        <v>12</v>
      </c>
      <c r="Y3978" t="s">
        <v>49</v>
      </c>
      <c r="AA3978" t="s">
        <v>112</v>
      </c>
      <c r="AB3978">
        <v>12</v>
      </c>
      <c r="AC3978" t="s">
        <v>93</v>
      </c>
      <c r="AD3978" t="s">
        <v>256</v>
      </c>
      <c r="AE3978" t="s">
        <v>257</v>
      </c>
      <c r="AF3978" t="s">
        <v>59</v>
      </c>
      <c r="AG3978" t="str">
        <f t="shared" si="85"/>
        <v>CC 12x</v>
      </c>
      <c r="AH3978" t="str">
        <f t="shared" si="86"/>
        <v/>
      </c>
    </row>
    <row r="3979" spans="1:34">
      <c r="A3979">
        <v>2026</v>
      </c>
      <c r="B3979">
        <v>4</v>
      </c>
      <c r="C3979" s="83">
        <v>53528647508</v>
      </c>
      <c r="D3979" t="s">
        <v>3466</v>
      </c>
      <c r="E3979">
        <v>58694058510</v>
      </c>
      <c r="F3979">
        <v>636960</v>
      </c>
      <c r="G3979">
        <v>54118884664</v>
      </c>
      <c r="H3979" t="s">
        <v>35</v>
      </c>
      <c r="I3979" s="36">
        <v>3451.2</v>
      </c>
      <c r="J3979" s="36">
        <v>3451.2</v>
      </c>
      <c r="K3979" s="85">
        <v>0</v>
      </c>
      <c r="L3979" s="36">
        <v>287.60000000000002</v>
      </c>
      <c r="M3979" s="36">
        <v>287.60000000000002</v>
      </c>
      <c r="N3979" s="36">
        <v>0</v>
      </c>
      <c r="O3979" s="36">
        <v>0</v>
      </c>
      <c r="P3979" t="s">
        <v>129</v>
      </c>
      <c r="Q3979" t="s">
        <v>91</v>
      </c>
      <c r="R3979" t="s">
        <v>91</v>
      </c>
      <c r="S3979" s="1">
        <v>46120</v>
      </c>
      <c r="T3979" s="1">
        <v>46120</v>
      </c>
      <c r="V3979" s="1">
        <v>46485</v>
      </c>
      <c r="W3979" t="s">
        <v>38</v>
      </c>
      <c r="X3979">
        <v>12</v>
      </c>
      <c r="Y3979" t="s">
        <v>49</v>
      </c>
      <c r="AA3979" t="s">
        <v>112</v>
      </c>
      <c r="AB3979">
        <v>12</v>
      </c>
      <c r="AC3979" t="s">
        <v>93</v>
      </c>
      <c r="AD3979" t="s">
        <v>288</v>
      </c>
      <c r="AE3979" t="s">
        <v>289</v>
      </c>
      <c r="AF3979" t="s">
        <v>59</v>
      </c>
      <c r="AG3979" t="str">
        <f t="shared" si="85"/>
        <v>CC 12x</v>
      </c>
      <c r="AH3979" t="str">
        <f t="shared" si="86"/>
        <v/>
      </c>
    </row>
    <row r="3980" spans="1:34">
      <c r="A3980">
        <v>2026</v>
      </c>
      <c r="B3980">
        <v>4</v>
      </c>
      <c r="C3980" s="83">
        <v>53528647508</v>
      </c>
      <c r="D3980" t="s">
        <v>3466</v>
      </c>
      <c r="E3980">
        <v>58694058510</v>
      </c>
      <c r="F3980">
        <v>636960</v>
      </c>
      <c r="G3980">
        <v>54118884665</v>
      </c>
      <c r="H3980" t="s">
        <v>35</v>
      </c>
      <c r="I3980" s="36">
        <v>4320</v>
      </c>
      <c r="J3980" s="36">
        <v>4320</v>
      </c>
      <c r="K3980" s="85">
        <v>0</v>
      </c>
      <c r="L3980" s="36">
        <v>360</v>
      </c>
      <c r="M3980" s="36">
        <v>360</v>
      </c>
      <c r="N3980" s="36">
        <v>0</v>
      </c>
      <c r="O3980" s="36">
        <v>0</v>
      </c>
      <c r="P3980" t="s">
        <v>129</v>
      </c>
      <c r="Q3980" t="s">
        <v>91</v>
      </c>
      <c r="R3980" t="s">
        <v>91</v>
      </c>
      <c r="S3980" s="1">
        <v>46120</v>
      </c>
      <c r="T3980" s="1">
        <v>46120</v>
      </c>
      <c r="V3980" s="1">
        <v>46485</v>
      </c>
      <c r="W3980" t="s">
        <v>38</v>
      </c>
      <c r="X3980">
        <v>12</v>
      </c>
      <c r="Y3980" t="s">
        <v>49</v>
      </c>
      <c r="AA3980" t="s">
        <v>112</v>
      </c>
      <c r="AB3980">
        <v>12</v>
      </c>
      <c r="AC3980" t="s">
        <v>93</v>
      </c>
      <c r="AD3980" t="s">
        <v>1695</v>
      </c>
      <c r="AE3980" t="s">
        <v>1696</v>
      </c>
      <c r="AF3980" t="s">
        <v>59</v>
      </c>
      <c r="AG3980" t="str">
        <f t="shared" si="85"/>
        <v>CC 12x</v>
      </c>
      <c r="AH3980" t="str">
        <f t="shared" si="86"/>
        <v/>
      </c>
    </row>
    <row r="3981" spans="1:34">
      <c r="A3981">
        <v>2026</v>
      </c>
      <c r="B3981">
        <v>4</v>
      </c>
      <c r="C3981" s="83">
        <v>53528647508</v>
      </c>
      <c r="D3981" t="s">
        <v>3466</v>
      </c>
      <c r="E3981">
        <v>58986293000</v>
      </c>
      <c r="G3981">
        <v>54119317169</v>
      </c>
      <c r="H3981" t="s">
        <v>673</v>
      </c>
      <c r="I3981" s="36">
        <v>8960</v>
      </c>
      <c r="J3981" s="36">
        <v>0</v>
      </c>
      <c r="K3981" s="85">
        <v>0</v>
      </c>
      <c r="L3981" s="36">
        <v>0</v>
      </c>
      <c r="M3981" s="36">
        <v>0</v>
      </c>
      <c r="N3981" s="36">
        <v>0</v>
      </c>
      <c r="O3981" s="36">
        <v>0</v>
      </c>
      <c r="P3981" t="s">
        <v>129</v>
      </c>
      <c r="Q3981" t="s">
        <v>91</v>
      </c>
      <c r="R3981" t="s">
        <v>91</v>
      </c>
      <c r="S3981" s="1">
        <v>46120</v>
      </c>
      <c r="T3981" s="1">
        <v>46120</v>
      </c>
      <c r="V3981" s="1">
        <v>46485</v>
      </c>
      <c r="W3981" t="s">
        <v>38</v>
      </c>
      <c r="X3981">
        <v>12</v>
      </c>
      <c r="Y3981" t="s">
        <v>1229</v>
      </c>
      <c r="AA3981" t="s">
        <v>82</v>
      </c>
      <c r="AB3981">
        <v>6</v>
      </c>
      <c r="AC3981" t="s">
        <v>93</v>
      </c>
      <c r="AD3981" t="s">
        <v>3467</v>
      </c>
      <c r="AE3981" t="s">
        <v>106</v>
      </c>
      <c r="AF3981" t="s">
        <v>59</v>
      </c>
      <c r="AG3981" t="str">
        <f t="shared" si="85"/>
        <v>CC 12x</v>
      </c>
      <c r="AH3981" t="str">
        <f t="shared" si="86"/>
        <v/>
      </c>
    </row>
    <row r="3982" spans="1:34">
      <c r="A3982">
        <v>2026</v>
      </c>
      <c r="B3982">
        <v>4</v>
      </c>
      <c r="C3982" s="83">
        <v>53528709684</v>
      </c>
      <c r="D3982" t="s">
        <v>3468</v>
      </c>
      <c r="E3982">
        <v>58637573737</v>
      </c>
      <c r="F3982">
        <v>636953</v>
      </c>
      <c r="G3982">
        <v>54118303801</v>
      </c>
      <c r="H3982" t="s">
        <v>35</v>
      </c>
      <c r="I3982" s="36">
        <v>4638.6000000000004</v>
      </c>
      <c r="J3982" s="36">
        <v>4638.6000000000004</v>
      </c>
      <c r="K3982" s="85">
        <v>0</v>
      </c>
      <c r="L3982" s="36">
        <v>386.55</v>
      </c>
      <c r="M3982" s="36">
        <v>386.55</v>
      </c>
      <c r="N3982" s="36">
        <v>0</v>
      </c>
      <c r="O3982" s="36">
        <v>0</v>
      </c>
      <c r="P3982" t="s">
        <v>313</v>
      </c>
      <c r="Q3982" t="s">
        <v>349</v>
      </c>
      <c r="R3982" t="s">
        <v>349</v>
      </c>
      <c r="S3982" s="1">
        <v>46120</v>
      </c>
      <c r="T3982" s="1">
        <v>46120</v>
      </c>
      <c r="V3982" s="1">
        <v>46485</v>
      </c>
      <c r="W3982" t="s">
        <v>38</v>
      </c>
      <c r="X3982">
        <v>12</v>
      </c>
      <c r="Y3982" t="s">
        <v>49</v>
      </c>
      <c r="AA3982" t="s">
        <v>122</v>
      </c>
      <c r="AB3982">
        <v>12</v>
      </c>
      <c r="AC3982" t="s">
        <v>350</v>
      </c>
      <c r="AD3982" t="s">
        <v>229</v>
      </c>
      <c r="AE3982" t="s">
        <v>43</v>
      </c>
      <c r="AF3982" t="s">
        <v>96</v>
      </c>
      <c r="AG3982" t="str">
        <f t="shared" si="85"/>
        <v>Recorrente</v>
      </c>
      <c r="AH3982" t="str">
        <f t="shared" si="86"/>
        <v/>
      </c>
    </row>
    <row r="3983" spans="1:34">
      <c r="A3983">
        <v>2026</v>
      </c>
      <c r="B3983">
        <v>4</v>
      </c>
      <c r="C3983" s="83">
        <v>53528824114</v>
      </c>
      <c r="D3983" t="s">
        <v>3469</v>
      </c>
      <c r="E3983">
        <v>58692963647</v>
      </c>
      <c r="F3983">
        <v>636865</v>
      </c>
      <c r="G3983">
        <v>53858292993</v>
      </c>
      <c r="H3983" t="s">
        <v>35</v>
      </c>
      <c r="I3983" s="36">
        <v>5063.5200000000004</v>
      </c>
      <c r="J3983" s="36">
        <v>5063.5200000000004</v>
      </c>
      <c r="K3983" s="85">
        <v>9.0949500000000005E-13</v>
      </c>
      <c r="L3983" s="36">
        <v>421.96</v>
      </c>
      <c r="M3983" s="36">
        <v>421.96</v>
      </c>
      <c r="N3983" s="36">
        <v>0</v>
      </c>
      <c r="O3983" s="36">
        <v>0</v>
      </c>
      <c r="P3983" t="s">
        <v>129</v>
      </c>
      <c r="Q3983" t="s">
        <v>91</v>
      </c>
      <c r="R3983" t="s">
        <v>91</v>
      </c>
      <c r="S3983" s="1">
        <v>46114</v>
      </c>
      <c r="T3983" s="1">
        <v>46114</v>
      </c>
      <c r="V3983" s="1">
        <v>46479</v>
      </c>
      <c r="W3983" t="s">
        <v>38</v>
      </c>
      <c r="X3983">
        <v>12</v>
      </c>
      <c r="Y3983" t="s">
        <v>49</v>
      </c>
      <c r="AA3983" t="s">
        <v>117</v>
      </c>
      <c r="AB3983">
        <v>1</v>
      </c>
      <c r="AC3983" t="s">
        <v>93</v>
      </c>
      <c r="AD3983" t="s">
        <v>85</v>
      </c>
      <c r="AE3983" t="s">
        <v>46</v>
      </c>
      <c r="AF3983" t="s">
        <v>44</v>
      </c>
      <c r="AG3983" t="str">
        <f t="shared" si="85"/>
        <v>À Vista</v>
      </c>
      <c r="AH3983" t="str">
        <f t="shared" si="86"/>
        <v/>
      </c>
    </row>
    <row r="3984" spans="1:34">
      <c r="A3984">
        <v>2026</v>
      </c>
      <c r="B3984">
        <v>4</v>
      </c>
      <c r="C3984" s="83">
        <v>53532121905</v>
      </c>
      <c r="D3984" t="s">
        <v>3470</v>
      </c>
      <c r="E3984">
        <v>58652545967</v>
      </c>
      <c r="F3984">
        <v>636893</v>
      </c>
      <c r="G3984">
        <v>53971358568</v>
      </c>
      <c r="H3984" t="s">
        <v>35</v>
      </c>
      <c r="I3984" s="36">
        <v>5754</v>
      </c>
      <c r="J3984" s="36">
        <v>5754</v>
      </c>
      <c r="K3984" s="85">
        <v>0</v>
      </c>
      <c r="L3984" s="36">
        <v>479.5</v>
      </c>
      <c r="M3984" s="36">
        <v>479.5</v>
      </c>
      <c r="N3984" s="36">
        <v>0</v>
      </c>
      <c r="O3984" s="36">
        <v>0</v>
      </c>
      <c r="P3984" t="s">
        <v>90</v>
      </c>
      <c r="Q3984" t="s">
        <v>91</v>
      </c>
      <c r="R3984" t="s">
        <v>91</v>
      </c>
      <c r="S3984" s="1">
        <v>46118</v>
      </c>
      <c r="T3984" s="1">
        <v>46118</v>
      </c>
      <c r="V3984" s="1">
        <v>46498</v>
      </c>
      <c r="W3984" t="s">
        <v>38</v>
      </c>
      <c r="X3984">
        <v>12</v>
      </c>
      <c r="Y3984" t="s">
        <v>49</v>
      </c>
      <c r="AA3984" t="s">
        <v>92</v>
      </c>
      <c r="AB3984">
        <v>12</v>
      </c>
      <c r="AC3984" t="s">
        <v>93</v>
      </c>
      <c r="AD3984" t="s">
        <v>85</v>
      </c>
      <c r="AE3984" t="s">
        <v>46</v>
      </c>
      <c r="AF3984" t="s">
        <v>44</v>
      </c>
      <c r="AG3984" t="str">
        <f t="shared" si="85"/>
        <v>Recorrente</v>
      </c>
      <c r="AH3984" t="str">
        <f t="shared" si="86"/>
        <v/>
      </c>
    </row>
    <row r="3985" spans="1:34">
      <c r="A3985">
        <v>2026</v>
      </c>
      <c r="B3985">
        <v>4</v>
      </c>
      <c r="C3985" s="83">
        <v>53578511509</v>
      </c>
      <c r="D3985" t="s">
        <v>3471</v>
      </c>
      <c r="E3985">
        <v>58876375152</v>
      </c>
      <c r="F3985">
        <v>636993</v>
      </c>
      <c r="G3985">
        <v>54154421878</v>
      </c>
      <c r="H3985" t="s">
        <v>35</v>
      </c>
      <c r="I3985" s="36">
        <v>4027.2</v>
      </c>
      <c r="J3985" s="36">
        <v>4027.2</v>
      </c>
      <c r="K3985" s="85">
        <v>0</v>
      </c>
      <c r="L3985" s="36">
        <v>335.6</v>
      </c>
      <c r="M3985" s="36">
        <v>335.6</v>
      </c>
      <c r="N3985" s="36">
        <v>0</v>
      </c>
      <c r="O3985" s="36">
        <v>0</v>
      </c>
      <c r="P3985" t="s">
        <v>348</v>
      </c>
      <c r="Q3985" t="s">
        <v>349</v>
      </c>
      <c r="R3985" t="s">
        <v>349</v>
      </c>
      <c r="S3985" s="1">
        <v>46121</v>
      </c>
      <c r="T3985" s="1">
        <v>46121</v>
      </c>
      <c r="V3985" s="1">
        <v>46486</v>
      </c>
      <c r="W3985" t="s">
        <v>38</v>
      </c>
      <c r="X3985">
        <v>12</v>
      </c>
      <c r="Y3985" t="s">
        <v>49</v>
      </c>
      <c r="AA3985" t="s">
        <v>112</v>
      </c>
      <c r="AB3985">
        <v>12</v>
      </c>
      <c r="AC3985" t="s">
        <v>350</v>
      </c>
      <c r="AD3985" t="s">
        <v>84</v>
      </c>
      <c r="AE3985" t="s">
        <v>43</v>
      </c>
      <c r="AF3985" t="s">
        <v>44</v>
      </c>
      <c r="AG3985" t="str">
        <f t="shared" si="85"/>
        <v>CC 12x</v>
      </c>
      <c r="AH3985" t="str">
        <f t="shared" si="86"/>
        <v/>
      </c>
    </row>
    <row r="3986" spans="1:34">
      <c r="A3986">
        <v>2026</v>
      </c>
      <c r="B3986">
        <v>4</v>
      </c>
      <c r="C3986" s="83">
        <v>53578565962</v>
      </c>
      <c r="D3986" t="s">
        <v>3472</v>
      </c>
      <c r="E3986">
        <v>58681434707</v>
      </c>
      <c r="F3986">
        <v>636861</v>
      </c>
      <c r="G3986">
        <v>53857847649</v>
      </c>
      <c r="H3986" t="s">
        <v>35</v>
      </c>
      <c r="I3986" s="36">
        <v>2874</v>
      </c>
      <c r="J3986" s="36">
        <v>2874</v>
      </c>
      <c r="K3986" s="85">
        <v>0</v>
      </c>
      <c r="L3986" s="36">
        <v>239.5</v>
      </c>
      <c r="M3986" s="36">
        <v>239.5</v>
      </c>
      <c r="N3986" s="36">
        <v>0</v>
      </c>
      <c r="O3986" s="36">
        <v>0</v>
      </c>
      <c r="P3986" t="s">
        <v>2004</v>
      </c>
      <c r="Q3986" t="s">
        <v>300</v>
      </c>
      <c r="R3986" t="s">
        <v>300</v>
      </c>
      <c r="S3986" s="1">
        <v>46114</v>
      </c>
      <c r="T3986" s="1">
        <v>46114</v>
      </c>
      <c r="V3986" s="1">
        <v>46479</v>
      </c>
      <c r="W3986" t="s">
        <v>38</v>
      </c>
      <c r="X3986">
        <v>12</v>
      </c>
      <c r="Y3986" t="s">
        <v>49</v>
      </c>
      <c r="AA3986" t="s">
        <v>122</v>
      </c>
      <c r="AB3986">
        <v>12</v>
      </c>
      <c r="AC3986" t="s">
        <v>301</v>
      </c>
      <c r="AD3986" t="s">
        <v>118</v>
      </c>
      <c r="AE3986" t="s">
        <v>43</v>
      </c>
      <c r="AF3986" t="s">
        <v>119</v>
      </c>
      <c r="AG3986" t="str">
        <f t="shared" si="85"/>
        <v>Recorrente</v>
      </c>
      <c r="AH3986" t="str">
        <f t="shared" si="86"/>
        <v/>
      </c>
    </row>
    <row r="3987" spans="1:34">
      <c r="A3987">
        <v>2026</v>
      </c>
      <c r="B3987">
        <v>4</v>
      </c>
      <c r="C3987" s="83">
        <v>53621015421</v>
      </c>
      <c r="D3987" t="s">
        <v>3473</v>
      </c>
      <c r="E3987">
        <v>58726339179</v>
      </c>
      <c r="F3987">
        <v>636881</v>
      </c>
      <c r="G3987">
        <v>53895028137</v>
      </c>
      <c r="H3987" t="s">
        <v>35</v>
      </c>
      <c r="I3987" s="36">
        <v>7794</v>
      </c>
      <c r="J3987" s="36">
        <v>7794</v>
      </c>
      <c r="K3987" s="85">
        <v>0</v>
      </c>
      <c r="L3987" s="36">
        <v>649.5</v>
      </c>
      <c r="M3987" s="36">
        <v>649.5</v>
      </c>
      <c r="N3987" s="36">
        <v>0</v>
      </c>
      <c r="O3987" s="36">
        <v>0</v>
      </c>
      <c r="P3987" t="s">
        <v>497</v>
      </c>
      <c r="Q3987" t="s">
        <v>498</v>
      </c>
      <c r="R3987" t="s">
        <v>498</v>
      </c>
      <c r="S3987" s="1">
        <v>46115</v>
      </c>
      <c r="T3987" s="1">
        <v>46115</v>
      </c>
      <c r="V3987" s="1">
        <v>46480</v>
      </c>
      <c r="W3987" t="s">
        <v>38</v>
      </c>
      <c r="X3987">
        <v>12</v>
      </c>
      <c r="Y3987" t="s">
        <v>49</v>
      </c>
      <c r="AA3987" t="s">
        <v>112</v>
      </c>
      <c r="AB3987">
        <v>12</v>
      </c>
      <c r="AC3987" t="s">
        <v>499</v>
      </c>
      <c r="AD3987" t="s">
        <v>125</v>
      </c>
      <c r="AE3987" t="s">
        <v>43</v>
      </c>
      <c r="AF3987" t="s">
        <v>47</v>
      </c>
      <c r="AG3987" t="str">
        <f t="shared" si="85"/>
        <v>CC 12x</v>
      </c>
      <c r="AH3987" t="str">
        <f t="shared" si="86"/>
        <v/>
      </c>
    </row>
    <row r="3988" spans="1:34">
      <c r="A3988">
        <v>2026</v>
      </c>
      <c r="B3988">
        <v>4</v>
      </c>
      <c r="C3988" s="83">
        <v>53656961572</v>
      </c>
      <c r="D3988" t="s">
        <v>3474</v>
      </c>
      <c r="E3988">
        <v>58652526892</v>
      </c>
      <c r="F3988">
        <v>636894</v>
      </c>
      <c r="G3988">
        <v>53971424873</v>
      </c>
      <c r="H3988" t="s">
        <v>35</v>
      </c>
      <c r="I3988" s="36">
        <v>5514</v>
      </c>
      <c r="J3988" s="36">
        <v>5514</v>
      </c>
      <c r="K3988" s="85">
        <v>0</v>
      </c>
      <c r="L3988" s="36">
        <v>459.5</v>
      </c>
      <c r="M3988" s="36">
        <v>459.5</v>
      </c>
      <c r="N3988" s="36">
        <v>0</v>
      </c>
      <c r="O3988" s="36">
        <v>0</v>
      </c>
      <c r="P3988" t="s">
        <v>2004</v>
      </c>
      <c r="Q3988" t="s">
        <v>300</v>
      </c>
      <c r="R3988" t="s">
        <v>300</v>
      </c>
      <c r="S3988" s="1">
        <v>46118</v>
      </c>
      <c r="T3988" s="1">
        <v>46118</v>
      </c>
      <c r="U3988" s="1"/>
      <c r="V3988" s="1">
        <v>46483</v>
      </c>
      <c r="W3988" t="s">
        <v>38</v>
      </c>
      <c r="X3988">
        <v>12</v>
      </c>
      <c r="Y3988" t="s">
        <v>49</v>
      </c>
      <c r="AA3988" t="s">
        <v>122</v>
      </c>
      <c r="AB3988">
        <v>12</v>
      </c>
      <c r="AC3988" t="s">
        <v>301</v>
      </c>
      <c r="AD3988" t="s">
        <v>138</v>
      </c>
      <c r="AE3988" t="s">
        <v>135</v>
      </c>
      <c r="AF3988" t="s">
        <v>119</v>
      </c>
      <c r="AG3988" t="str">
        <f t="shared" si="85"/>
        <v>Recorrente</v>
      </c>
      <c r="AH3988" t="str">
        <f t="shared" si="86"/>
        <v/>
      </c>
    </row>
    <row r="3989" spans="1:34">
      <c r="A3989">
        <v>2026</v>
      </c>
      <c r="B3989">
        <v>4</v>
      </c>
      <c r="C3989" s="83">
        <v>53656961572</v>
      </c>
      <c r="D3989" t="s">
        <v>3474</v>
      </c>
      <c r="E3989">
        <v>59384753671</v>
      </c>
      <c r="F3989">
        <v>636894</v>
      </c>
      <c r="G3989">
        <v>54466069596</v>
      </c>
      <c r="H3989" t="s">
        <v>35</v>
      </c>
      <c r="I3989" s="36">
        <v>3692.76</v>
      </c>
      <c r="J3989" s="36">
        <v>3843</v>
      </c>
      <c r="K3989" s="85">
        <v>0</v>
      </c>
      <c r="L3989" s="36">
        <v>320.25</v>
      </c>
      <c r="M3989" s="36">
        <v>0</v>
      </c>
      <c r="N3989" s="36">
        <v>320.25</v>
      </c>
      <c r="O3989" s="36">
        <v>0</v>
      </c>
      <c r="P3989" t="s">
        <v>2004</v>
      </c>
      <c r="Q3989" t="s">
        <v>300</v>
      </c>
      <c r="R3989" t="s">
        <v>300</v>
      </c>
      <c r="S3989" s="1">
        <v>46132</v>
      </c>
      <c r="T3989" s="1">
        <v>46132</v>
      </c>
      <c r="U3989" s="1">
        <v>46483</v>
      </c>
      <c r="V3989" s="1">
        <v>46483</v>
      </c>
      <c r="W3989" t="s">
        <v>38</v>
      </c>
      <c r="X3989">
        <v>12</v>
      </c>
      <c r="Y3989" t="s">
        <v>49</v>
      </c>
      <c r="Z3989" t="s">
        <v>324</v>
      </c>
      <c r="AA3989" t="s">
        <v>122</v>
      </c>
      <c r="AB3989">
        <v>11</v>
      </c>
      <c r="AC3989" t="s">
        <v>301</v>
      </c>
      <c r="AD3989" t="s">
        <v>134</v>
      </c>
      <c r="AE3989" t="s">
        <v>135</v>
      </c>
      <c r="AF3989" t="s">
        <v>44</v>
      </c>
      <c r="AG3989" t="str">
        <f t="shared" si="85"/>
        <v>Recorrente</v>
      </c>
      <c r="AH3989" t="str">
        <f t="shared" si="86"/>
        <v/>
      </c>
    </row>
    <row r="3990" spans="1:34">
      <c r="A3990">
        <v>2026</v>
      </c>
      <c r="B3990">
        <v>4</v>
      </c>
      <c r="C3990" s="83">
        <v>53656963969</v>
      </c>
      <c r="D3990" t="s">
        <v>3475</v>
      </c>
      <c r="E3990">
        <v>58896914991</v>
      </c>
      <c r="F3990">
        <v>637485</v>
      </c>
      <c r="G3990">
        <v>54880945781</v>
      </c>
      <c r="H3990" t="s">
        <v>35</v>
      </c>
      <c r="I3990" s="36">
        <v>11437.2</v>
      </c>
      <c r="J3990" s="36">
        <v>11437.2</v>
      </c>
      <c r="K3990" s="85">
        <v>0</v>
      </c>
      <c r="L3990" s="36">
        <v>953.1</v>
      </c>
      <c r="M3990" s="36">
        <v>953.1</v>
      </c>
      <c r="N3990" s="36">
        <v>0</v>
      </c>
      <c r="O3990" s="36">
        <v>0</v>
      </c>
      <c r="P3990" t="s">
        <v>90</v>
      </c>
      <c r="Q3990" t="s">
        <v>91</v>
      </c>
      <c r="R3990" t="s">
        <v>91</v>
      </c>
      <c r="S3990" s="1">
        <v>46141</v>
      </c>
      <c r="T3990" s="1">
        <v>46141</v>
      </c>
      <c r="V3990" s="1">
        <v>46506</v>
      </c>
      <c r="W3990" t="s">
        <v>38</v>
      </c>
      <c r="X3990">
        <v>12</v>
      </c>
      <c r="Y3990" t="s">
        <v>49</v>
      </c>
      <c r="AA3990" t="s">
        <v>92</v>
      </c>
      <c r="AB3990">
        <v>12</v>
      </c>
      <c r="AC3990" t="s">
        <v>93</v>
      </c>
      <c r="AD3990" t="s">
        <v>351</v>
      </c>
      <c r="AE3990" t="s">
        <v>95</v>
      </c>
      <c r="AF3990" t="s">
        <v>96</v>
      </c>
      <c r="AG3990" t="str">
        <f t="shared" si="85"/>
        <v>Recorrente</v>
      </c>
      <c r="AH3990" t="str">
        <f t="shared" si="86"/>
        <v/>
      </c>
    </row>
    <row r="3991" spans="1:34">
      <c r="A3991">
        <v>2026</v>
      </c>
      <c r="B3991">
        <v>4</v>
      </c>
      <c r="C3991" s="83">
        <v>53656963969</v>
      </c>
      <c r="D3991" t="s">
        <v>3475</v>
      </c>
      <c r="E3991">
        <v>58896914991</v>
      </c>
      <c r="F3991">
        <v>637485</v>
      </c>
      <c r="G3991">
        <v>54880945782</v>
      </c>
      <c r="H3991" t="s">
        <v>35</v>
      </c>
      <c r="I3991" s="36">
        <v>4833</v>
      </c>
      <c r="J3991" s="36">
        <v>4833</v>
      </c>
      <c r="K3991" s="85">
        <v>0</v>
      </c>
      <c r="L3991" s="36">
        <v>402.75</v>
      </c>
      <c r="M3991" s="36">
        <v>402.75</v>
      </c>
      <c r="N3991" s="36">
        <v>0</v>
      </c>
      <c r="O3991" s="36">
        <v>0</v>
      </c>
      <c r="P3991" t="s">
        <v>90</v>
      </c>
      <c r="Q3991" t="s">
        <v>91</v>
      </c>
      <c r="R3991" t="s">
        <v>91</v>
      </c>
      <c r="S3991" s="1">
        <v>46141</v>
      </c>
      <c r="T3991" s="1">
        <v>46141</v>
      </c>
      <c r="V3991" s="1">
        <v>46506</v>
      </c>
      <c r="W3991" t="s">
        <v>38</v>
      </c>
      <c r="X3991">
        <v>12</v>
      </c>
      <c r="Y3991" t="s">
        <v>49</v>
      </c>
      <c r="AA3991" t="s">
        <v>92</v>
      </c>
      <c r="AB3991">
        <v>12</v>
      </c>
      <c r="AC3991" t="s">
        <v>93</v>
      </c>
      <c r="AD3991" t="s">
        <v>256</v>
      </c>
      <c r="AE3991" t="s">
        <v>257</v>
      </c>
      <c r="AF3991" t="s">
        <v>59</v>
      </c>
      <c r="AG3991" t="str">
        <f t="shared" si="85"/>
        <v>Recorrente</v>
      </c>
      <c r="AH3991" t="str">
        <f t="shared" si="86"/>
        <v/>
      </c>
    </row>
    <row r="3992" spans="1:34">
      <c r="A3992">
        <v>2026</v>
      </c>
      <c r="B3992">
        <v>4</v>
      </c>
      <c r="C3992" s="83">
        <v>53764795283</v>
      </c>
      <c r="D3992" t="s">
        <v>3476</v>
      </c>
      <c r="E3992">
        <v>58903614018</v>
      </c>
      <c r="F3992">
        <v>636956</v>
      </c>
      <c r="G3992">
        <v>54118565392</v>
      </c>
      <c r="H3992" t="s">
        <v>35</v>
      </c>
      <c r="I3992" s="36">
        <v>10166.4</v>
      </c>
      <c r="J3992" s="36">
        <v>10166.4</v>
      </c>
      <c r="K3992" s="85">
        <v>0</v>
      </c>
      <c r="L3992" s="36">
        <v>847.2</v>
      </c>
      <c r="M3992" s="36">
        <v>847.2</v>
      </c>
      <c r="N3992" s="36">
        <v>0</v>
      </c>
      <c r="O3992" s="36">
        <v>0</v>
      </c>
      <c r="P3992" t="s">
        <v>348</v>
      </c>
      <c r="Q3992" t="s">
        <v>349</v>
      </c>
      <c r="R3992" t="s">
        <v>91</v>
      </c>
      <c r="S3992" s="1">
        <v>46120</v>
      </c>
      <c r="T3992" s="1">
        <v>46120</v>
      </c>
      <c r="V3992" s="1">
        <v>46487</v>
      </c>
      <c r="W3992" t="s">
        <v>38</v>
      </c>
      <c r="X3992">
        <v>12</v>
      </c>
      <c r="Y3992" t="s">
        <v>49</v>
      </c>
      <c r="AA3992" t="s">
        <v>112</v>
      </c>
      <c r="AB3992">
        <v>12</v>
      </c>
      <c r="AC3992" t="s">
        <v>93</v>
      </c>
      <c r="AD3992" t="s">
        <v>351</v>
      </c>
      <c r="AE3992" t="s">
        <v>95</v>
      </c>
      <c r="AF3992" t="s">
        <v>96</v>
      </c>
      <c r="AG3992" t="str">
        <f t="shared" si="85"/>
        <v>CC 12x</v>
      </c>
      <c r="AH3992" t="str">
        <f t="shared" si="86"/>
        <v/>
      </c>
    </row>
    <row r="3993" spans="1:34">
      <c r="A3993">
        <v>2026</v>
      </c>
      <c r="B3993">
        <v>4</v>
      </c>
      <c r="C3993" s="83">
        <v>53764856477</v>
      </c>
      <c r="D3993" t="s">
        <v>3477</v>
      </c>
      <c r="E3993">
        <v>58936277085</v>
      </c>
      <c r="F3993">
        <v>636929</v>
      </c>
      <c r="G3993">
        <v>54086390305</v>
      </c>
      <c r="H3993" t="s">
        <v>35</v>
      </c>
      <c r="I3993" s="36">
        <v>4890.84</v>
      </c>
      <c r="J3993" s="36">
        <v>4890.8999999999996</v>
      </c>
      <c r="K3993" s="85">
        <v>0</v>
      </c>
      <c r="L3993" s="36">
        <v>407.57499999999999</v>
      </c>
      <c r="M3993" s="36">
        <v>407.57499999999999</v>
      </c>
      <c r="N3993" s="36">
        <v>0</v>
      </c>
      <c r="O3993" s="36">
        <v>0</v>
      </c>
      <c r="P3993" t="s">
        <v>2004</v>
      </c>
      <c r="Q3993" t="s">
        <v>300</v>
      </c>
      <c r="R3993" t="s">
        <v>300</v>
      </c>
      <c r="S3993" s="1">
        <v>46119</v>
      </c>
      <c r="T3993" s="1">
        <v>46119</v>
      </c>
      <c r="V3993" s="1">
        <v>46485</v>
      </c>
      <c r="W3993" t="s">
        <v>38</v>
      </c>
      <c r="X3993">
        <v>12</v>
      </c>
      <c r="Y3993" t="s">
        <v>49</v>
      </c>
      <c r="AA3993" t="s">
        <v>112</v>
      </c>
      <c r="AB3993">
        <v>12</v>
      </c>
      <c r="AC3993" t="s">
        <v>301</v>
      </c>
      <c r="AD3993" t="s">
        <v>85</v>
      </c>
      <c r="AE3993" t="s">
        <v>46</v>
      </c>
      <c r="AF3993" t="s">
        <v>44</v>
      </c>
      <c r="AG3993" t="str">
        <f t="shared" si="85"/>
        <v>CC 12x</v>
      </c>
      <c r="AH3993" t="str">
        <f t="shared" si="86"/>
        <v/>
      </c>
    </row>
    <row r="3994" spans="1:34">
      <c r="A3994">
        <v>2026</v>
      </c>
      <c r="B3994">
        <v>4</v>
      </c>
      <c r="C3994" s="83">
        <v>53764865637</v>
      </c>
      <c r="D3994" t="s">
        <v>3478</v>
      </c>
      <c r="E3994">
        <v>58942560525</v>
      </c>
      <c r="F3994">
        <v>636948</v>
      </c>
      <c r="G3994">
        <v>54118550679</v>
      </c>
      <c r="H3994" t="s">
        <v>35</v>
      </c>
      <c r="I3994" s="36">
        <v>4832.6400000000003</v>
      </c>
      <c r="J3994" s="36">
        <v>4832.6400000000003</v>
      </c>
      <c r="K3994" s="85">
        <v>9.0949500000000005E-13</v>
      </c>
      <c r="L3994" s="36">
        <v>402.72</v>
      </c>
      <c r="M3994" s="36">
        <v>402.72</v>
      </c>
      <c r="N3994" s="36">
        <v>0</v>
      </c>
      <c r="O3994" s="36">
        <v>0</v>
      </c>
      <c r="P3994" t="s">
        <v>829</v>
      </c>
      <c r="Q3994" t="s">
        <v>300</v>
      </c>
      <c r="R3994" t="s">
        <v>300</v>
      </c>
      <c r="S3994" s="1">
        <v>46120</v>
      </c>
      <c r="T3994" s="1">
        <v>46120</v>
      </c>
      <c r="V3994" s="1">
        <v>46485</v>
      </c>
      <c r="W3994" t="s">
        <v>38</v>
      </c>
      <c r="X3994">
        <v>12</v>
      </c>
      <c r="Y3994" t="s">
        <v>49</v>
      </c>
      <c r="AA3994" t="s">
        <v>122</v>
      </c>
      <c r="AB3994">
        <v>12</v>
      </c>
      <c r="AC3994" t="s">
        <v>301</v>
      </c>
      <c r="AD3994" t="s">
        <v>84</v>
      </c>
      <c r="AE3994" t="s">
        <v>43</v>
      </c>
      <c r="AF3994" t="s">
        <v>44</v>
      </c>
      <c r="AG3994" t="str">
        <f t="shared" si="85"/>
        <v>Recorrente</v>
      </c>
      <c r="AH3994" t="str">
        <f t="shared" si="86"/>
        <v/>
      </c>
    </row>
    <row r="3995" spans="1:34">
      <c r="A3995">
        <v>2026</v>
      </c>
      <c r="B3995">
        <v>4</v>
      </c>
      <c r="C3995" s="83">
        <v>53804676475</v>
      </c>
      <c r="D3995" t="s">
        <v>3479</v>
      </c>
      <c r="E3995">
        <v>58941935733</v>
      </c>
      <c r="F3995">
        <v>637071</v>
      </c>
      <c r="G3995">
        <v>54269770241</v>
      </c>
      <c r="H3995" t="s">
        <v>35</v>
      </c>
      <c r="I3995" s="36">
        <v>5754</v>
      </c>
      <c r="J3995" s="36">
        <v>5754</v>
      </c>
      <c r="K3995" s="85">
        <v>0</v>
      </c>
      <c r="L3995" s="36">
        <v>479.5</v>
      </c>
      <c r="M3995" s="36">
        <v>479.5</v>
      </c>
      <c r="N3995" s="36">
        <v>0</v>
      </c>
      <c r="O3995" s="36">
        <v>0</v>
      </c>
      <c r="P3995" t="s">
        <v>90</v>
      </c>
      <c r="Q3995" t="s">
        <v>91</v>
      </c>
      <c r="R3995" t="s">
        <v>91</v>
      </c>
      <c r="S3995" s="1">
        <v>46126</v>
      </c>
      <c r="T3995" s="1">
        <v>46126</v>
      </c>
      <c r="V3995" s="1">
        <v>46491</v>
      </c>
      <c r="W3995" t="s">
        <v>38</v>
      </c>
      <c r="X3995">
        <v>12</v>
      </c>
      <c r="Y3995" t="s">
        <v>49</v>
      </c>
      <c r="AA3995" t="s">
        <v>92</v>
      </c>
      <c r="AB3995">
        <v>12</v>
      </c>
      <c r="AC3995" t="s">
        <v>93</v>
      </c>
      <c r="AD3995" t="s">
        <v>85</v>
      </c>
      <c r="AE3995" t="s">
        <v>46</v>
      </c>
      <c r="AF3995" t="s">
        <v>44</v>
      </c>
      <c r="AG3995" t="str">
        <f t="shared" si="85"/>
        <v>Recorrente</v>
      </c>
      <c r="AH3995" t="str">
        <f t="shared" si="86"/>
        <v/>
      </c>
    </row>
    <row r="3996" spans="1:34">
      <c r="A3996">
        <v>2026</v>
      </c>
      <c r="B3996">
        <v>4</v>
      </c>
      <c r="C3996" s="83">
        <v>53821912172</v>
      </c>
      <c r="D3996" t="s">
        <v>3480</v>
      </c>
      <c r="E3996">
        <v>58942649714</v>
      </c>
      <c r="F3996">
        <v>636928</v>
      </c>
      <c r="G3996">
        <v>54083298945</v>
      </c>
      <c r="H3996" t="s">
        <v>35</v>
      </c>
      <c r="I3996" s="36">
        <v>2874</v>
      </c>
      <c r="J3996" s="36">
        <v>2874</v>
      </c>
      <c r="K3996" s="85">
        <v>0</v>
      </c>
      <c r="L3996" s="36">
        <v>239.5</v>
      </c>
      <c r="M3996" s="36">
        <v>239.5</v>
      </c>
      <c r="N3996" s="36">
        <v>0</v>
      </c>
      <c r="O3996" s="36">
        <v>0</v>
      </c>
      <c r="P3996" t="s">
        <v>497</v>
      </c>
      <c r="Q3996" t="s">
        <v>498</v>
      </c>
      <c r="R3996" t="s">
        <v>498</v>
      </c>
      <c r="S3996" s="1">
        <v>46119</v>
      </c>
      <c r="T3996" s="1">
        <v>46119</v>
      </c>
      <c r="V3996" s="1">
        <v>46484</v>
      </c>
      <c r="W3996" t="s">
        <v>38</v>
      </c>
      <c r="X3996">
        <v>12</v>
      </c>
      <c r="Y3996" t="s">
        <v>49</v>
      </c>
      <c r="AA3996" t="s">
        <v>112</v>
      </c>
      <c r="AB3996">
        <v>12</v>
      </c>
      <c r="AC3996" t="s">
        <v>499</v>
      </c>
      <c r="AD3996" t="s">
        <v>140</v>
      </c>
      <c r="AE3996" t="s">
        <v>46</v>
      </c>
      <c r="AF3996" t="s">
        <v>119</v>
      </c>
      <c r="AG3996" t="str">
        <f t="shared" si="85"/>
        <v>CC 12x</v>
      </c>
      <c r="AH3996" t="str">
        <f t="shared" si="86"/>
        <v/>
      </c>
    </row>
    <row r="3997" spans="1:34">
      <c r="A3997">
        <v>2026</v>
      </c>
      <c r="B3997">
        <v>4</v>
      </c>
      <c r="C3997" s="83">
        <v>53848185760</v>
      </c>
      <c r="D3997" t="s">
        <v>3481</v>
      </c>
      <c r="E3997">
        <v>58955967503</v>
      </c>
      <c r="F3997">
        <v>636942</v>
      </c>
      <c r="G3997">
        <v>54118682445</v>
      </c>
      <c r="H3997" t="s">
        <v>35</v>
      </c>
      <c r="I3997" s="36">
        <v>4411.2</v>
      </c>
      <c r="J3997" s="36">
        <v>4411.2</v>
      </c>
      <c r="K3997" s="85">
        <v>0</v>
      </c>
      <c r="L3997" s="36">
        <v>367.6</v>
      </c>
      <c r="M3997" s="36">
        <v>367.6</v>
      </c>
      <c r="N3997" s="36">
        <v>0</v>
      </c>
      <c r="O3997" s="36">
        <v>0</v>
      </c>
      <c r="P3997" t="s">
        <v>348</v>
      </c>
      <c r="Q3997" t="s">
        <v>349</v>
      </c>
      <c r="R3997" t="s">
        <v>349</v>
      </c>
      <c r="S3997" s="1">
        <v>46120</v>
      </c>
      <c r="T3997" s="1">
        <v>46120</v>
      </c>
      <c r="V3997" s="1">
        <v>46485</v>
      </c>
      <c r="W3997" t="s">
        <v>38</v>
      </c>
      <c r="X3997">
        <v>12</v>
      </c>
      <c r="Y3997" t="s">
        <v>49</v>
      </c>
      <c r="AA3997" t="s">
        <v>122</v>
      </c>
      <c r="AB3997">
        <v>12</v>
      </c>
      <c r="AC3997" t="s">
        <v>350</v>
      </c>
      <c r="AD3997" t="s">
        <v>138</v>
      </c>
      <c r="AE3997" t="s">
        <v>135</v>
      </c>
      <c r="AF3997" t="s">
        <v>119</v>
      </c>
      <c r="AG3997" t="str">
        <f t="shared" si="85"/>
        <v>Recorrente</v>
      </c>
      <c r="AH3997" t="str">
        <f t="shared" si="86"/>
        <v/>
      </c>
    </row>
    <row r="3998" spans="1:34">
      <c r="A3998">
        <v>2026</v>
      </c>
      <c r="B3998">
        <v>4</v>
      </c>
      <c r="C3998" s="83">
        <v>53849843005</v>
      </c>
      <c r="D3998" t="s">
        <v>3482</v>
      </c>
      <c r="E3998">
        <v>59025707943</v>
      </c>
      <c r="F3998">
        <v>636977</v>
      </c>
      <c r="G3998">
        <v>54154276724</v>
      </c>
      <c r="H3998" t="s">
        <v>35</v>
      </c>
      <c r="I3998" s="36">
        <v>10166.4</v>
      </c>
      <c r="J3998" s="36">
        <v>10166.4</v>
      </c>
      <c r="K3998" s="85">
        <v>0</v>
      </c>
      <c r="L3998" s="36">
        <v>847.2</v>
      </c>
      <c r="M3998" s="36">
        <v>847.2</v>
      </c>
      <c r="N3998" s="36">
        <v>0</v>
      </c>
      <c r="O3998" s="36">
        <v>0</v>
      </c>
      <c r="P3998" t="s">
        <v>348</v>
      </c>
      <c r="Q3998" t="s">
        <v>349</v>
      </c>
      <c r="R3998" t="s">
        <v>349</v>
      </c>
      <c r="S3998" s="1">
        <v>46121</v>
      </c>
      <c r="T3998" s="1">
        <v>46121</v>
      </c>
      <c r="V3998" s="1">
        <v>46486</v>
      </c>
      <c r="W3998" t="s">
        <v>38</v>
      </c>
      <c r="X3998">
        <v>12</v>
      </c>
      <c r="Y3998" t="s">
        <v>49</v>
      </c>
      <c r="AA3998" t="s">
        <v>122</v>
      </c>
      <c r="AB3998">
        <v>12</v>
      </c>
      <c r="AC3998" t="s">
        <v>350</v>
      </c>
      <c r="AD3998" t="s">
        <v>149</v>
      </c>
      <c r="AE3998" t="s">
        <v>43</v>
      </c>
      <c r="AF3998" t="s">
        <v>96</v>
      </c>
      <c r="AG3998" t="str">
        <f t="shared" si="85"/>
        <v>Recorrente</v>
      </c>
      <c r="AH3998" t="str">
        <f t="shared" si="86"/>
        <v/>
      </c>
    </row>
    <row r="3999" spans="1:34">
      <c r="A3999">
        <v>2026</v>
      </c>
      <c r="B3999">
        <v>4</v>
      </c>
      <c r="C3999" s="83">
        <v>53849908230</v>
      </c>
      <c r="D3999" t="s">
        <v>3483</v>
      </c>
      <c r="E3999">
        <v>59099322253</v>
      </c>
      <c r="F3999">
        <v>637233</v>
      </c>
      <c r="G3999">
        <v>54510116394</v>
      </c>
      <c r="H3999" t="s">
        <v>35</v>
      </c>
      <c r="I3999" s="36">
        <v>3834</v>
      </c>
      <c r="J3999" s="36">
        <v>3834</v>
      </c>
      <c r="K3999" s="85">
        <v>0</v>
      </c>
      <c r="L3999" s="36">
        <v>319.5</v>
      </c>
      <c r="M3999" s="36">
        <v>319.5</v>
      </c>
      <c r="N3999" s="36">
        <v>0</v>
      </c>
      <c r="O3999" s="36">
        <v>0</v>
      </c>
      <c r="P3999" t="s">
        <v>313</v>
      </c>
      <c r="Q3999" t="s">
        <v>349</v>
      </c>
      <c r="R3999" t="s">
        <v>349</v>
      </c>
      <c r="S3999" s="1">
        <v>46134</v>
      </c>
      <c r="T3999" s="1">
        <v>46134</v>
      </c>
      <c r="V3999" s="1">
        <v>46500</v>
      </c>
      <c r="W3999" t="s">
        <v>38</v>
      </c>
      <c r="X3999">
        <v>12</v>
      </c>
      <c r="Y3999" t="s">
        <v>49</v>
      </c>
      <c r="AA3999" t="s">
        <v>112</v>
      </c>
      <c r="AB3999">
        <v>12</v>
      </c>
      <c r="AC3999" t="s">
        <v>350</v>
      </c>
      <c r="AD3999" t="s">
        <v>142</v>
      </c>
      <c r="AE3999" t="s">
        <v>95</v>
      </c>
      <c r="AF3999" t="s">
        <v>44</v>
      </c>
      <c r="AG3999" t="str">
        <f t="shared" si="85"/>
        <v>CC 12x</v>
      </c>
      <c r="AH3999" t="str">
        <f t="shared" si="86"/>
        <v/>
      </c>
    </row>
    <row r="4000" spans="1:34">
      <c r="A4000">
        <v>2026</v>
      </c>
      <c r="B4000">
        <v>4</v>
      </c>
      <c r="C4000" s="83">
        <v>53849908497</v>
      </c>
      <c r="D4000" t="s">
        <v>3484</v>
      </c>
      <c r="E4000">
        <v>59025703962</v>
      </c>
      <c r="F4000">
        <v>636976</v>
      </c>
      <c r="G4000">
        <v>54154458689</v>
      </c>
      <c r="H4000" t="s">
        <v>35</v>
      </c>
      <c r="I4000" s="36">
        <v>9594</v>
      </c>
      <c r="J4000" s="36">
        <v>9594</v>
      </c>
      <c r="K4000" s="85">
        <v>0</v>
      </c>
      <c r="L4000" s="36">
        <v>799.5</v>
      </c>
      <c r="M4000" s="36">
        <v>799.5</v>
      </c>
      <c r="N4000" s="36">
        <v>0</v>
      </c>
      <c r="O4000" s="36">
        <v>0</v>
      </c>
      <c r="P4000" t="s">
        <v>313</v>
      </c>
      <c r="Q4000" t="s">
        <v>349</v>
      </c>
      <c r="R4000" t="s">
        <v>349</v>
      </c>
      <c r="S4000" s="1">
        <v>46121</v>
      </c>
      <c r="T4000" s="1">
        <v>46121</v>
      </c>
      <c r="V4000" s="1">
        <v>46487</v>
      </c>
      <c r="W4000" t="s">
        <v>38</v>
      </c>
      <c r="X4000">
        <v>12</v>
      </c>
      <c r="Y4000" t="s">
        <v>49</v>
      </c>
      <c r="AA4000" t="s">
        <v>92</v>
      </c>
      <c r="AB4000">
        <v>12</v>
      </c>
      <c r="AC4000" t="s">
        <v>350</v>
      </c>
      <c r="AD4000" t="s">
        <v>131</v>
      </c>
      <c r="AE4000" t="s">
        <v>46</v>
      </c>
      <c r="AF4000" t="s">
        <v>96</v>
      </c>
      <c r="AG4000" t="str">
        <f t="shared" si="85"/>
        <v>Recorrente</v>
      </c>
      <c r="AH4000" t="str">
        <f t="shared" si="86"/>
        <v/>
      </c>
    </row>
    <row r="4001" spans="1:34">
      <c r="A4001">
        <v>2026</v>
      </c>
      <c r="B4001">
        <v>4</v>
      </c>
      <c r="C4001" s="83">
        <v>53879738953</v>
      </c>
      <c r="D4001" t="s">
        <v>3485</v>
      </c>
      <c r="E4001">
        <v>59049104241</v>
      </c>
      <c r="F4001">
        <v>636984</v>
      </c>
      <c r="G4001">
        <v>54154652928</v>
      </c>
      <c r="H4001" t="s">
        <v>35</v>
      </c>
      <c r="I4001" s="36">
        <v>4027.2</v>
      </c>
      <c r="J4001" s="36">
        <v>4027.2</v>
      </c>
      <c r="K4001" s="85">
        <v>0</v>
      </c>
      <c r="L4001" s="36">
        <v>335.6</v>
      </c>
      <c r="M4001" s="36">
        <v>335.6</v>
      </c>
      <c r="N4001" s="36">
        <v>0</v>
      </c>
      <c r="O4001" s="36">
        <v>0</v>
      </c>
      <c r="P4001" t="s">
        <v>348</v>
      </c>
      <c r="Q4001" t="s">
        <v>349</v>
      </c>
      <c r="R4001" t="s">
        <v>349</v>
      </c>
      <c r="S4001" s="1">
        <v>46121</v>
      </c>
      <c r="T4001" s="1">
        <v>46121</v>
      </c>
      <c r="V4001" s="1">
        <v>46486</v>
      </c>
      <c r="W4001" t="s">
        <v>38</v>
      </c>
      <c r="X4001">
        <v>12</v>
      </c>
      <c r="Y4001" t="s">
        <v>49</v>
      </c>
      <c r="AA4001" t="s">
        <v>112</v>
      </c>
      <c r="AB4001">
        <v>12</v>
      </c>
      <c r="AC4001" t="s">
        <v>350</v>
      </c>
      <c r="AD4001" t="s">
        <v>84</v>
      </c>
      <c r="AE4001" t="s">
        <v>43</v>
      </c>
      <c r="AF4001" t="s">
        <v>44</v>
      </c>
      <c r="AG4001" t="str">
        <f t="shared" si="85"/>
        <v>CC 12x</v>
      </c>
      <c r="AH4001" t="str">
        <f t="shared" si="86"/>
        <v/>
      </c>
    </row>
    <row r="4002" spans="1:34">
      <c r="A4002">
        <v>2026</v>
      </c>
      <c r="B4002">
        <v>4</v>
      </c>
      <c r="C4002" s="83">
        <v>53879803747</v>
      </c>
      <c r="D4002" t="s">
        <v>3486</v>
      </c>
      <c r="E4002">
        <v>59048805152</v>
      </c>
      <c r="F4002">
        <v>636999</v>
      </c>
      <c r="G4002">
        <v>54154667528</v>
      </c>
      <c r="H4002" t="s">
        <v>35</v>
      </c>
      <c r="I4002" s="36">
        <v>4962.6000000000004</v>
      </c>
      <c r="J4002" s="36">
        <v>4962.6000000000004</v>
      </c>
      <c r="K4002" s="85">
        <v>0</v>
      </c>
      <c r="L4002" s="36">
        <v>413.55</v>
      </c>
      <c r="M4002" s="36">
        <v>413.55</v>
      </c>
      <c r="N4002" s="36">
        <v>0</v>
      </c>
      <c r="O4002" s="36">
        <v>0</v>
      </c>
      <c r="P4002" t="s">
        <v>668</v>
      </c>
      <c r="Q4002" t="s">
        <v>91</v>
      </c>
      <c r="R4002" t="s">
        <v>91</v>
      </c>
      <c r="S4002" s="1">
        <v>46121</v>
      </c>
      <c r="T4002" s="1">
        <v>46121</v>
      </c>
      <c r="V4002" s="1">
        <v>46486</v>
      </c>
      <c r="W4002" t="s">
        <v>38</v>
      </c>
      <c r="X4002">
        <v>12</v>
      </c>
      <c r="Y4002" t="s">
        <v>49</v>
      </c>
      <c r="AA4002" t="s">
        <v>92</v>
      </c>
      <c r="AB4002">
        <v>12</v>
      </c>
      <c r="AC4002" t="s">
        <v>93</v>
      </c>
      <c r="AD4002" t="s">
        <v>138</v>
      </c>
      <c r="AE4002" t="s">
        <v>135</v>
      </c>
      <c r="AF4002" t="s">
        <v>119</v>
      </c>
      <c r="AG4002" t="str">
        <f t="shared" si="85"/>
        <v>Recorrente</v>
      </c>
      <c r="AH4002" t="str">
        <f t="shared" si="86"/>
        <v/>
      </c>
    </row>
    <row r="4003" spans="1:34">
      <c r="A4003">
        <v>2026</v>
      </c>
      <c r="B4003">
        <v>4</v>
      </c>
      <c r="C4003" s="83">
        <v>53879990314</v>
      </c>
      <c r="D4003" t="s">
        <v>3487</v>
      </c>
      <c r="E4003">
        <v>59006243474</v>
      </c>
      <c r="F4003">
        <v>637088</v>
      </c>
      <c r="G4003">
        <v>54282135644</v>
      </c>
      <c r="H4003" t="s">
        <v>35</v>
      </c>
      <c r="I4003" s="36">
        <v>4278.84</v>
      </c>
      <c r="J4003" s="36">
        <v>4278.8999999999996</v>
      </c>
      <c r="K4003" s="85">
        <v>0</v>
      </c>
      <c r="L4003" s="36">
        <v>356.57499999999999</v>
      </c>
      <c r="M4003" s="36">
        <v>356.57499999999999</v>
      </c>
      <c r="N4003" s="36">
        <v>0</v>
      </c>
      <c r="O4003" s="36">
        <v>0</v>
      </c>
      <c r="P4003" t="s">
        <v>2004</v>
      </c>
      <c r="Q4003" t="s">
        <v>300</v>
      </c>
      <c r="R4003" t="s">
        <v>300</v>
      </c>
      <c r="S4003" s="1">
        <v>46126</v>
      </c>
      <c r="T4003" s="1">
        <v>46126</v>
      </c>
      <c r="U4003" s="1"/>
      <c r="V4003" s="1">
        <v>46491</v>
      </c>
      <c r="W4003" t="s">
        <v>38</v>
      </c>
      <c r="X4003">
        <v>12</v>
      </c>
      <c r="Y4003" t="s">
        <v>49</v>
      </c>
      <c r="AA4003" t="s">
        <v>112</v>
      </c>
      <c r="AB4003">
        <v>12</v>
      </c>
      <c r="AC4003" t="s">
        <v>301</v>
      </c>
      <c r="AD4003" t="s">
        <v>84</v>
      </c>
      <c r="AE4003" t="s">
        <v>43</v>
      </c>
      <c r="AF4003" t="s">
        <v>44</v>
      </c>
      <c r="AG4003" t="str">
        <f t="shared" si="85"/>
        <v>CC 12x</v>
      </c>
      <c r="AH4003" t="str">
        <f t="shared" si="86"/>
        <v/>
      </c>
    </row>
    <row r="4004" spans="1:34">
      <c r="A4004">
        <v>2026</v>
      </c>
      <c r="B4004">
        <v>4</v>
      </c>
      <c r="C4004" s="83">
        <v>53879990314</v>
      </c>
      <c r="D4004" t="s">
        <v>3487</v>
      </c>
      <c r="E4004">
        <v>59828790367</v>
      </c>
      <c r="F4004">
        <v>637088</v>
      </c>
      <c r="G4004">
        <v>54880950855</v>
      </c>
      <c r="H4004" t="s">
        <v>35</v>
      </c>
      <c r="I4004" s="36">
        <v>2381.4</v>
      </c>
      <c r="J4004" s="36">
        <v>2485.3200000000002</v>
      </c>
      <c r="K4004" s="85">
        <v>0</v>
      </c>
      <c r="L4004" s="36">
        <v>207.11</v>
      </c>
      <c r="M4004" s="36">
        <v>0</v>
      </c>
      <c r="N4004" s="36">
        <v>207.11</v>
      </c>
      <c r="O4004" s="36">
        <v>0</v>
      </c>
      <c r="P4004" t="s">
        <v>2004</v>
      </c>
      <c r="Q4004" t="s">
        <v>300</v>
      </c>
      <c r="R4004" t="s">
        <v>300</v>
      </c>
      <c r="S4004" s="1">
        <v>46141</v>
      </c>
      <c r="T4004" s="1">
        <v>46141</v>
      </c>
      <c r="U4004" s="1">
        <v>46491</v>
      </c>
      <c r="V4004" s="1">
        <v>46491</v>
      </c>
      <c r="W4004" t="s">
        <v>38</v>
      </c>
      <c r="X4004">
        <v>12</v>
      </c>
      <c r="Y4004" t="s">
        <v>49</v>
      </c>
      <c r="Z4004" t="s">
        <v>324</v>
      </c>
      <c r="AA4004" t="s">
        <v>112</v>
      </c>
      <c r="AB4004">
        <v>12</v>
      </c>
      <c r="AC4004" t="s">
        <v>301</v>
      </c>
      <c r="AD4004" t="s">
        <v>125</v>
      </c>
      <c r="AE4004" t="s">
        <v>43</v>
      </c>
      <c r="AF4004" t="s">
        <v>47</v>
      </c>
      <c r="AG4004" t="str">
        <f t="shared" si="85"/>
        <v>CC 12x</v>
      </c>
      <c r="AH4004" t="str">
        <f t="shared" si="86"/>
        <v/>
      </c>
    </row>
    <row r="4005" spans="1:34">
      <c r="A4005">
        <v>2026</v>
      </c>
      <c r="B4005">
        <v>4</v>
      </c>
      <c r="C4005" s="83">
        <v>53883393703</v>
      </c>
      <c r="D4005" t="s">
        <v>3488</v>
      </c>
      <c r="E4005">
        <v>59038236333</v>
      </c>
      <c r="F4005">
        <v>637045</v>
      </c>
      <c r="G4005">
        <v>54154291814</v>
      </c>
      <c r="H4005" t="s">
        <v>35</v>
      </c>
      <c r="I4005" s="36">
        <v>2759.04</v>
      </c>
      <c r="J4005" s="36">
        <v>2759.04</v>
      </c>
      <c r="K4005" s="85">
        <v>0</v>
      </c>
      <c r="L4005" s="36">
        <v>229.92</v>
      </c>
      <c r="M4005" s="36">
        <v>229.92</v>
      </c>
      <c r="N4005" s="36">
        <v>0</v>
      </c>
      <c r="O4005" s="36">
        <v>0</v>
      </c>
      <c r="P4005" t="s">
        <v>90</v>
      </c>
      <c r="Q4005" t="s">
        <v>91</v>
      </c>
      <c r="R4005" t="s">
        <v>91</v>
      </c>
      <c r="S4005" s="1">
        <v>46122</v>
      </c>
      <c r="T4005" s="1">
        <v>46122</v>
      </c>
      <c r="V4005" s="1">
        <v>46487</v>
      </c>
      <c r="W4005" t="s">
        <v>38</v>
      </c>
      <c r="X4005">
        <v>12</v>
      </c>
      <c r="Y4005" t="s">
        <v>49</v>
      </c>
      <c r="AA4005" t="s">
        <v>112</v>
      </c>
      <c r="AB4005">
        <v>12</v>
      </c>
      <c r="AC4005" t="s">
        <v>93</v>
      </c>
      <c r="AD4005" t="s">
        <v>140</v>
      </c>
      <c r="AE4005" t="s">
        <v>46</v>
      </c>
      <c r="AF4005" t="s">
        <v>119</v>
      </c>
      <c r="AG4005" t="str">
        <f t="shared" si="85"/>
        <v>CC 12x</v>
      </c>
      <c r="AH4005" t="str">
        <f t="shared" si="86"/>
        <v/>
      </c>
    </row>
    <row r="4006" spans="1:34">
      <c r="A4006">
        <v>2026</v>
      </c>
      <c r="B4006">
        <v>4</v>
      </c>
      <c r="C4006" s="83">
        <v>53883576735</v>
      </c>
      <c r="D4006" t="s">
        <v>3489</v>
      </c>
      <c r="E4006">
        <v>59033122697</v>
      </c>
      <c r="F4006">
        <v>636980</v>
      </c>
      <c r="G4006">
        <v>54154650501</v>
      </c>
      <c r="H4006" t="s">
        <v>35</v>
      </c>
      <c r="I4006" s="36">
        <v>4500</v>
      </c>
      <c r="J4006" s="36">
        <v>4500</v>
      </c>
      <c r="K4006" s="85">
        <v>0</v>
      </c>
      <c r="L4006" s="36">
        <v>375</v>
      </c>
      <c r="M4006" s="36">
        <v>375</v>
      </c>
      <c r="N4006" s="36">
        <v>0</v>
      </c>
      <c r="O4006" s="36">
        <v>0</v>
      </c>
      <c r="P4006" t="s">
        <v>668</v>
      </c>
      <c r="Q4006" t="s">
        <v>91</v>
      </c>
      <c r="R4006" t="s">
        <v>91</v>
      </c>
      <c r="S4006" s="1">
        <v>46121</v>
      </c>
      <c r="T4006" s="1">
        <v>46121</v>
      </c>
      <c r="V4006" s="1">
        <v>46486</v>
      </c>
      <c r="W4006" t="s">
        <v>38</v>
      </c>
      <c r="X4006">
        <v>12</v>
      </c>
      <c r="Y4006" t="s">
        <v>49</v>
      </c>
      <c r="AA4006" t="s">
        <v>117</v>
      </c>
      <c r="AB4006">
        <v>1</v>
      </c>
      <c r="AC4006" t="s">
        <v>93</v>
      </c>
      <c r="AD4006" t="s">
        <v>138</v>
      </c>
      <c r="AE4006" t="s">
        <v>135</v>
      </c>
      <c r="AF4006" t="s">
        <v>119</v>
      </c>
      <c r="AG4006" t="str">
        <f t="shared" si="85"/>
        <v>À Vista</v>
      </c>
      <c r="AH4006" t="str">
        <f t="shared" si="86"/>
        <v/>
      </c>
    </row>
    <row r="4007" spans="1:34">
      <c r="A4007">
        <v>2026</v>
      </c>
      <c r="B4007">
        <v>4</v>
      </c>
      <c r="C4007" s="83">
        <v>53883886654</v>
      </c>
      <c r="D4007" t="s">
        <v>3490</v>
      </c>
      <c r="E4007">
        <v>59083458356</v>
      </c>
      <c r="F4007">
        <v>637019</v>
      </c>
      <c r="G4007">
        <v>54205068100</v>
      </c>
      <c r="H4007" t="s">
        <v>35</v>
      </c>
      <c r="I4007" s="36">
        <v>2874</v>
      </c>
      <c r="J4007" s="36">
        <v>2874</v>
      </c>
      <c r="K4007" s="85">
        <v>0</v>
      </c>
      <c r="L4007" s="36">
        <v>239.5</v>
      </c>
      <c r="M4007" s="36">
        <v>239.5</v>
      </c>
      <c r="N4007" s="36">
        <v>0</v>
      </c>
      <c r="O4007" s="36">
        <v>0</v>
      </c>
      <c r="P4007" t="s">
        <v>90</v>
      </c>
      <c r="Q4007" t="s">
        <v>91</v>
      </c>
      <c r="R4007" t="s">
        <v>91</v>
      </c>
      <c r="S4007" s="1">
        <v>46122</v>
      </c>
      <c r="T4007" s="1">
        <v>46122</v>
      </c>
      <c r="V4007" s="1">
        <v>46487</v>
      </c>
      <c r="W4007" t="s">
        <v>38</v>
      </c>
      <c r="X4007">
        <v>12</v>
      </c>
      <c r="Y4007" t="s">
        <v>49</v>
      </c>
      <c r="AA4007" t="s">
        <v>92</v>
      </c>
      <c r="AB4007">
        <v>12</v>
      </c>
      <c r="AC4007" t="s">
        <v>93</v>
      </c>
      <c r="AD4007" t="s">
        <v>140</v>
      </c>
      <c r="AE4007" t="s">
        <v>46</v>
      </c>
      <c r="AF4007" t="s">
        <v>119</v>
      </c>
      <c r="AG4007" t="str">
        <f t="shared" si="85"/>
        <v>Recorrente</v>
      </c>
      <c r="AH4007" t="str">
        <f t="shared" si="86"/>
        <v/>
      </c>
    </row>
    <row r="4008" spans="1:34">
      <c r="A4008">
        <v>2026</v>
      </c>
      <c r="B4008">
        <v>4</v>
      </c>
      <c r="C4008" s="83">
        <v>53883928342</v>
      </c>
      <c r="D4008" t="s">
        <v>3491</v>
      </c>
      <c r="E4008">
        <v>59168020023</v>
      </c>
      <c r="F4008">
        <v>637084</v>
      </c>
      <c r="G4008">
        <v>54283304579</v>
      </c>
      <c r="H4008" t="s">
        <v>35</v>
      </c>
      <c r="I4008" s="36">
        <v>5754</v>
      </c>
      <c r="J4008" s="36">
        <v>5754</v>
      </c>
      <c r="K4008" s="85">
        <v>0</v>
      </c>
      <c r="L4008" s="36">
        <v>479.5</v>
      </c>
      <c r="M4008" s="36">
        <v>479.5</v>
      </c>
      <c r="N4008" s="36">
        <v>0</v>
      </c>
      <c r="O4008" s="36">
        <v>0</v>
      </c>
      <c r="P4008" t="s">
        <v>129</v>
      </c>
      <c r="Q4008" t="s">
        <v>91</v>
      </c>
      <c r="R4008" t="s">
        <v>91</v>
      </c>
      <c r="S4008" s="1">
        <v>46126</v>
      </c>
      <c r="T4008" s="1">
        <v>46126</v>
      </c>
      <c r="V4008" s="1">
        <v>46491</v>
      </c>
      <c r="W4008" t="s">
        <v>38</v>
      </c>
      <c r="X4008">
        <v>12</v>
      </c>
      <c r="Y4008" t="s">
        <v>49</v>
      </c>
      <c r="AA4008" t="s">
        <v>122</v>
      </c>
      <c r="AB4008">
        <v>12</v>
      </c>
      <c r="AC4008" t="s">
        <v>93</v>
      </c>
      <c r="AD4008" t="s">
        <v>85</v>
      </c>
      <c r="AE4008" t="s">
        <v>46</v>
      </c>
      <c r="AF4008" t="s">
        <v>44</v>
      </c>
      <c r="AG4008" t="str">
        <f t="shared" si="85"/>
        <v>Recorrente</v>
      </c>
      <c r="AH4008" t="str">
        <f t="shared" si="86"/>
        <v/>
      </c>
    </row>
    <row r="4009" spans="1:34">
      <c r="A4009">
        <v>2026</v>
      </c>
      <c r="B4009">
        <v>4</v>
      </c>
      <c r="C4009" s="83">
        <v>53883932737</v>
      </c>
      <c r="D4009" t="s">
        <v>3492</v>
      </c>
      <c r="E4009">
        <v>59171678002</v>
      </c>
      <c r="F4009">
        <v>637105</v>
      </c>
      <c r="G4009">
        <v>54284111751</v>
      </c>
      <c r="H4009" t="s">
        <v>35</v>
      </c>
      <c r="I4009" s="36">
        <v>7014.6</v>
      </c>
      <c r="J4009" s="36">
        <v>7014.6</v>
      </c>
      <c r="K4009" s="85">
        <v>0</v>
      </c>
      <c r="L4009" s="36">
        <v>584.54999999999995</v>
      </c>
      <c r="M4009" s="36">
        <v>0</v>
      </c>
      <c r="N4009" s="36">
        <v>40.950000000000003</v>
      </c>
      <c r="O4009" s="36">
        <v>543.6</v>
      </c>
      <c r="P4009" t="s">
        <v>127</v>
      </c>
      <c r="Q4009" t="s">
        <v>111</v>
      </c>
      <c r="R4009" t="s">
        <v>111</v>
      </c>
      <c r="S4009" s="1">
        <v>46127</v>
      </c>
      <c r="T4009" s="1">
        <v>46127</v>
      </c>
      <c r="V4009" s="1">
        <v>46519</v>
      </c>
      <c r="W4009" t="s">
        <v>38</v>
      </c>
      <c r="Y4009" t="s">
        <v>49</v>
      </c>
      <c r="AA4009" t="s">
        <v>82</v>
      </c>
      <c r="AB4009">
        <v>1</v>
      </c>
      <c r="AC4009" t="s">
        <v>113</v>
      </c>
      <c r="AD4009" t="s">
        <v>125</v>
      </c>
      <c r="AE4009" t="s">
        <v>43</v>
      </c>
      <c r="AF4009" t="s">
        <v>47</v>
      </c>
      <c r="AG4009" t="str">
        <f t="shared" si="85"/>
        <v>À Vista</v>
      </c>
      <c r="AH4009" t="str">
        <f t="shared" si="86"/>
        <v/>
      </c>
    </row>
    <row r="4010" spans="1:34">
      <c r="A4010">
        <v>2026</v>
      </c>
      <c r="B4010">
        <v>4</v>
      </c>
      <c r="C4010" s="83">
        <v>53883932737</v>
      </c>
      <c r="D4010" t="s">
        <v>3492</v>
      </c>
      <c r="E4010">
        <v>59171678002</v>
      </c>
      <c r="F4010">
        <v>637105</v>
      </c>
      <c r="G4010">
        <v>54284111752</v>
      </c>
      <c r="H4010" t="s">
        <v>35</v>
      </c>
      <c r="I4010" s="36">
        <v>7014.6</v>
      </c>
      <c r="J4010" s="36">
        <v>7014.6</v>
      </c>
      <c r="K4010" s="85">
        <v>0</v>
      </c>
      <c r="L4010" s="36">
        <v>584.54999999999995</v>
      </c>
      <c r="M4010" s="36">
        <v>0</v>
      </c>
      <c r="N4010" s="36">
        <v>40.950000000000003</v>
      </c>
      <c r="O4010" s="36">
        <v>543.6</v>
      </c>
      <c r="P4010" t="s">
        <v>127</v>
      </c>
      <c r="Q4010" t="s">
        <v>111</v>
      </c>
      <c r="R4010" t="s">
        <v>111</v>
      </c>
      <c r="S4010" s="1">
        <v>46127</v>
      </c>
      <c r="T4010" s="1">
        <v>46127</v>
      </c>
      <c r="V4010" s="1">
        <v>46519</v>
      </c>
      <c r="W4010" t="s">
        <v>38</v>
      </c>
      <c r="Y4010" t="s">
        <v>49</v>
      </c>
      <c r="AA4010" t="s">
        <v>82</v>
      </c>
      <c r="AB4010">
        <v>1</v>
      </c>
      <c r="AC4010" t="s">
        <v>113</v>
      </c>
      <c r="AD4010" t="s">
        <v>125</v>
      </c>
      <c r="AE4010" t="s">
        <v>43</v>
      </c>
      <c r="AF4010" t="s">
        <v>47</v>
      </c>
      <c r="AG4010" t="str">
        <f t="shared" si="85"/>
        <v>À Vista</v>
      </c>
      <c r="AH4010" t="str">
        <f t="shared" si="86"/>
        <v/>
      </c>
    </row>
    <row r="4011" spans="1:34">
      <c r="A4011">
        <v>2026</v>
      </c>
      <c r="B4011">
        <v>4</v>
      </c>
      <c r="C4011" s="83">
        <v>53883932737</v>
      </c>
      <c r="D4011" t="s">
        <v>3492</v>
      </c>
      <c r="E4011">
        <v>59171678002</v>
      </c>
      <c r="F4011">
        <v>637105</v>
      </c>
      <c r="G4011">
        <v>54284111753</v>
      </c>
      <c r="H4011" t="s">
        <v>35</v>
      </c>
      <c r="I4011" s="36">
        <v>7014.6</v>
      </c>
      <c r="J4011" s="36">
        <v>7014.6</v>
      </c>
      <c r="K4011" s="85">
        <v>0</v>
      </c>
      <c r="L4011" s="36">
        <v>584.54999999999995</v>
      </c>
      <c r="M4011" s="36">
        <v>0</v>
      </c>
      <c r="N4011" s="36">
        <v>40.950000000000003</v>
      </c>
      <c r="O4011" s="36">
        <v>543.6</v>
      </c>
      <c r="P4011" t="s">
        <v>127</v>
      </c>
      <c r="Q4011" t="s">
        <v>111</v>
      </c>
      <c r="R4011" t="s">
        <v>111</v>
      </c>
      <c r="S4011" s="1">
        <v>46127</v>
      </c>
      <c r="T4011" s="1">
        <v>46127</v>
      </c>
      <c r="V4011" s="1">
        <v>46519</v>
      </c>
      <c r="W4011" t="s">
        <v>38</v>
      </c>
      <c r="Y4011" t="s">
        <v>49</v>
      </c>
      <c r="AA4011" t="s">
        <v>82</v>
      </c>
      <c r="AB4011">
        <v>1</v>
      </c>
      <c r="AC4011" t="s">
        <v>113</v>
      </c>
      <c r="AD4011" t="s">
        <v>125</v>
      </c>
      <c r="AE4011" t="s">
        <v>43</v>
      </c>
      <c r="AF4011" t="s">
        <v>47</v>
      </c>
      <c r="AG4011" t="str">
        <f t="shared" si="85"/>
        <v>À Vista</v>
      </c>
      <c r="AH4011" t="str">
        <f t="shared" si="86"/>
        <v/>
      </c>
    </row>
    <row r="4012" spans="1:34">
      <c r="A4012">
        <v>2026</v>
      </c>
      <c r="B4012">
        <v>4</v>
      </c>
      <c r="C4012" s="83">
        <v>53883967666</v>
      </c>
      <c r="D4012" t="s">
        <v>3493</v>
      </c>
      <c r="E4012">
        <v>59146692737</v>
      </c>
      <c r="F4012">
        <v>637066</v>
      </c>
      <c r="G4012">
        <v>54270977665</v>
      </c>
      <c r="H4012" t="s">
        <v>35</v>
      </c>
      <c r="I4012" s="36">
        <v>2874</v>
      </c>
      <c r="J4012" s="36">
        <v>2874</v>
      </c>
      <c r="K4012" s="85">
        <v>0</v>
      </c>
      <c r="L4012" s="36">
        <v>239.5</v>
      </c>
      <c r="M4012" s="36">
        <v>239.5</v>
      </c>
      <c r="N4012" s="36">
        <v>0</v>
      </c>
      <c r="O4012" s="36">
        <v>0</v>
      </c>
      <c r="P4012" t="s">
        <v>90</v>
      </c>
      <c r="Q4012" t="s">
        <v>91</v>
      </c>
      <c r="R4012" t="s">
        <v>91</v>
      </c>
      <c r="S4012" s="1">
        <v>46125</v>
      </c>
      <c r="T4012" s="1">
        <v>46125</v>
      </c>
      <c r="V4012" s="1">
        <v>46491</v>
      </c>
      <c r="W4012" t="s">
        <v>38</v>
      </c>
      <c r="X4012">
        <v>12</v>
      </c>
      <c r="Y4012" t="s">
        <v>49</v>
      </c>
      <c r="AA4012" t="s">
        <v>122</v>
      </c>
      <c r="AB4012">
        <v>12</v>
      </c>
      <c r="AC4012" t="s">
        <v>93</v>
      </c>
      <c r="AD4012" t="s">
        <v>140</v>
      </c>
      <c r="AE4012" t="s">
        <v>46</v>
      </c>
      <c r="AF4012" t="s">
        <v>119</v>
      </c>
      <c r="AG4012" t="str">
        <f t="shared" si="85"/>
        <v>Recorrente</v>
      </c>
      <c r="AH4012" t="str">
        <f t="shared" si="86"/>
        <v/>
      </c>
    </row>
    <row r="4013" spans="1:34">
      <c r="A4013">
        <v>2026</v>
      </c>
      <c r="B4013">
        <v>4</v>
      </c>
      <c r="C4013" s="83">
        <v>53883980365</v>
      </c>
      <c r="D4013" t="s">
        <v>3494</v>
      </c>
      <c r="E4013">
        <v>58899604832</v>
      </c>
      <c r="F4013">
        <v>637070</v>
      </c>
      <c r="G4013">
        <v>54271012892</v>
      </c>
      <c r="H4013" t="s">
        <v>35</v>
      </c>
      <c r="I4013" s="36">
        <v>4872</v>
      </c>
      <c r="J4013" s="36">
        <v>4872</v>
      </c>
      <c r="K4013" s="85">
        <v>0</v>
      </c>
      <c r="L4013" s="36">
        <v>406</v>
      </c>
      <c r="M4013" s="36">
        <v>406</v>
      </c>
      <c r="N4013" s="36">
        <v>0</v>
      </c>
      <c r="O4013" s="36">
        <v>0</v>
      </c>
      <c r="P4013" t="s">
        <v>313</v>
      </c>
      <c r="Q4013" t="s">
        <v>349</v>
      </c>
      <c r="R4013" t="s">
        <v>349</v>
      </c>
      <c r="S4013" s="1">
        <v>46126</v>
      </c>
      <c r="T4013" s="1">
        <v>46126</v>
      </c>
      <c r="V4013" s="1">
        <v>46491</v>
      </c>
      <c r="W4013" t="s">
        <v>38</v>
      </c>
      <c r="X4013">
        <v>12</v>
      </c>
      <c r="Y4013" t="s">
        <v>49</v>
      </c>
      <c r="AA4013" t="s">
        <v>112</v>
      </c>
      <c r="AB4013">
        <v>12</v>
      </c>
      <c r="AC4013" t="s">
        <v>350</v>
      </c>
      <c r="AD4013" t="s">
        <v>118</v>
      </c>
      <c r="AE4013" t="s">
        <v>43</v>
      </c>
      <c r="AF4013" t="s">
        <v>119</v>
      </c>
      <c r="AG4013" t="str">
        <f t="shared" si="85"/>
        <v>CC 12x</v>
      </c>
      <c r="AH4013" t="str">
        <f t="shared" si="86"/>
        <v/>
      </c>
    </row>
    <row r="4014" spans="1:34">
      <c r="A4014">
        <v>2026</v>
      </c>
      <c r="B4014">
        <v>4</v>
      </c>
      <c r="C4014" s="83">
        <v>53934657617</v>
      </c>
      <c r="D4014" t="s">
        <v>3495</v>
      </c>
      <c r="E4014">
        <v>59088959510</v>
      </c>
      <c r="F4014">
        <v>637042</v>
      </c>
      <c r="G4014">
        <v>54150104920</v>
      </c>
      <c r="H4014" t="s">
        <v>35</v>
      </c>
      <c r="I4014" s="36">
        <v>14394</v>
      </c>
      <c r="J4014" s="36">
        <v>14394</v>
      </c>
      <c r="K4014" s="85">
        <v>0</v>
      </c>
      <c r="L4014" s="36">
        <v>1199.5</v>
      </c>
      <c r="M4014" s="36">
        <v>1199.5</v>
      </c>
      <c r="N4014" s="36">
        <v>0</v>
      </c>
      <c r="O4014" s="36">
        <v>0</v>
      </c>
      <c r="P4014" t="s">
        <v>348</v>
      </c>
      <c r="Q4014" t="s">
        <v>349</v>
      </c>
      <c r="R4014" t="s">
        <v>349</v>
      </c>
      <c r="S4014" s="1">
        <v>46122</v>
      </c>
      <c r="T4014" s="1">
        <v>46122</v>
      </c>
      <c r="V4014" s="1">
        <v>46487</v>
      </c>
      <c r="W4014" t="s">
        <v>38</v>
      </c>
      <c r="X4014">
        <v>12</v>
      </c>
      <c r="Y4014" t="s">
        <v>49</v>
      </c>
      <c r="AA4014" t="s">
        <v>122</v>
      </c>
      <c r="AB4014">
        <v>12</v>
      </c>
      <c r="AC4014" t="s">
        <v>350</v>
      </c>
      <c r="AD4014" t="s">
        <v>154</v>
      </c>
      <c r="AE4014" t="s">
        <v>46</v>
      </c>
      <c r="AF4014" t="s">
        <v>47</v>
      </c>
      <c r="AG4014" t="str">
        <f t="shared" si="85"/>
        <v>Recorrente</v>
      </c>
      <c r="AH4014" t="str">
        <f t="shared" si="86"/>
        <v/>
      </c>
    </row>
    <row r="4015" spans="1:34">
      <c r="A4015">
        <v>2026</v>
      </c>
      <c r="B4015">
        <v>4</v>
      </c>
      <c r="C4015" s="83">
        <v>53948551015</v>
      </c>
      <c r="D4015" t="s">
        <v>3496</v>
      </c>
      <c r="E4015">
        <v>59024040075</v>
      </c>
      <c r="F4015">
        <v>637036</v>
      </c>
      <c r="G4015">
        <v>54150112585</v>
      </c>
      <c r="H4015" t="s">
        <v>35</v>
      </c>
      <c r="I4015" s="36">
        <v>3067.2</v>
      </c>
      <c r="J4015" s="36">
        <v>3067.2</v>
      </c>
      <c r="K4015" s="85">
        <v>0</v>
      </c>
      <c r="L4015" s="36">
        <v>255.6</v>
      </c>
      <c r="M4015" s="36">
        <v>255.6</v>
      </c>
      <c r="N4015" s="36">
        <v>0</v>
      </c>
      <c r="O4015" s="36">
        <v>0</v>
      </c>
      <c r="P4015" t="s">
        <v>348</v>
      </c>
      <c r="Q4015" t="s">
        <v>349</v>
      </c>
      <c r="R4015" t="s">
        <v>349</v>
      </c>
      <c r="S4015" s="1">
        <v>46122</v>
      </c>
      <c r="T4015" s="1">
        <v>46122</v>
      </c>
      <c r="U4015" s="1"/>
      <c r="V4015" s="1">
        <v>46487</v>
      </c>
      <c r="W4015" t="s">
        <v>38</v>
      </c>
      <c r="X4015">
        <v>12</v>
      </c>
      <c r="Y4015" t="s">
        <v>49</v>
      </c>
      <c r="AA4015" t="s">
        <v>112</v>
      </c>
      <c r="AB4015">
        <v>12</v>
      </c>
      <c r="AC4015" t="s">
        <v>350</v>
      </c>
      <c r="AD4015" t="s">
        <v>142</v>
      </c>
      <c r="AE4015" t="s">
        <v>95</v>
      </c>
      <c r="AF4015" t="s">
        <v>44</v>
      </c>
      <c r="AG4015" t="str">
        <f t="shared" si="85"/>
        <v>CC 12x</v>
      </c>
      <c r="AH4015" t="str">
        <f t="shared" si="86"/>
        <v/>
      </c>
    </row>
    <row r="4016" spans="1:34">
      <c r="A4016">
        <v>2026</v>
      </c>
      <c r="B4016">
        <v>4</v>
      </c>
      <c r="C4016" s="83">
        <v>53948592942</v>
      </c>
      <c r="D4016" t="s">
        <v>3497</v>
      </c>
      <c r="E4016">
        <v>59728206362</v>
      </c>
      <c r="F4016">
        <v>531483</v>
      </c>
      <c r="G4016">
        <v>54880545624</v>
      </c>
      <c r="H4016" t="s">
        <v>35</v>
      </c>
      <c r="I4016" s="36">
        <v>2874</v>
      </c>
      <c r="J4016" s="36">
        <v>2874</v>
      </c>
      <c r="K4016" s="85">
        <v>0</v>
      </c>
      <c r="L4016" s="36">
        <v>239.5</v>
      </c>
      <c r="M4016" s="36">
        <v>0</v>
      </c>
      <c r="N4016" s="36">
        <v>0</v>
      </c>
      <c r="O4016" s="36">
        <v>239.5</v>
      </c>
      <c r="P4016" t="s">
        <v>110</v>
      </c>
      <c r="Q4016" t="s">
        <v>111</v>
      </c>
      <c r="R4016" t="s">
        <v>111</v>
      </c>
      <c r="S4016" s="1">
        <v>46141</v>
      </c>
      <c r="T4016" s="1">
        <v>46141</v>
      </c>
      <c r="U4016" s="1">
        <v>46137</v>
      </c>
      <c r="V4016" s="1">
        <v>46506</v>
      </c>
      <c r="W4016" t="s">
        <v>38</v>
      </c>
      <c r="X4016">
        <v>12</v>
      </c>
      <c r="Y4016" t="s">
        <v>49</v>
      </c>
      <c r="Z4016" t="s">
        <v>76</v>
      </c>
      <c r="AA4016" t="s">
        <v>122</v>
      </c>
      <c r="AB4016">
        <v>12</v>
      </c>
      <c r="AC4016" t="s">
        <v>113</v>
      </c>
      <c r="AD4016" t="s">
        <v>140</v>
      </c>
      <c r="AE4016" t="s">
        <v>46</v>
      </c>
      <c r="AF4016" t="s">
        <v>119</v>
      </c>
      <c r="AG4016" t="str">
        <f t="shared" si="85"/>
        <v>Recorrente</v>
      </c>
      <c r="AH4016" t="str">
        <f t="shared" si="86"/>
        <v/>
      </c>
    </row>
    <row r="4017" spans="1:34">
      <c r="A4017">
        <v>2026</v>
      </c>
      <c r="B4017">
        <v>4</v>
      </c>
      <c r="C4017" s="83">
        <v>53948608134</v>
      </c>
      <c r="D4017" t="s">
        <v>3498</v>
      </c>
      <c r="E4017">
        <v>59090326281</v>
      </c>
      <c r="F4017">
        <v>637011</v>
      </c>
      <c r="G4017">
        <v>54150093362</v>
      </c>
      <c r="H4017" t="s">
        <v>35</v>
      </c>
      <c r="I4017" s="36">
        <v>2299.1999999999998</v>
      </c>
      <c r="J4017" s="36">
        <v>2299.1999999999998</v>
      </c>
      <c r="K4017" s="85">
        <v>0</v>
      </c>
      <c r="L4017" s="36">
        <v>191.6</v>
      </c>
      <c r="M4017" s="36">
        <v>191.6</v>
      </c>
      <c r="N4017" s="36">
        <v>0</v>
      </c>
      <c r="O4017" s="36">
        <v>0</v>
      </c>
      <c r="P4017" t="s">
        <v>1073</v>
      </c>
      <c r="Q4017" t="s">
        <v>314</v>
      </c>
      <c r="R4017" t="s">
        <v>314</v>
      </c>
      <c r="S4017" s="1">
        <v>46122</v>
      </c>
      <c r="T4017" s="1">
        <v>46122</v>
      </c>
      <c r="V4017" s="1">
        <v>46487</v>
      </c>
      <c r="W4017" t="s">
        <v>38</v>
      </c>
      <c r="X4017">
        <v>12</v>
      </c>
      <c r="Y4017" t="s">
        <v>49</v>
      </c>
      <c r="AA4017" t="s">
        <v>112</v>
      </c>
      <c r="AB4017">
        <v>12</v>
      </c>
      <c r="AC4017" t="s">
        <v>315</v>
      </c>
      <c r="AD4017" t="s">
        <v>140</v>
      </c>
      <c r="AE4017" t="s">
        <v>46</v>
      </c>
      <c r="AF4017" t="s">
        <v>119</v>
      </c>
      <c r="AG4017" t="str">
        <f t="shared" si="85"/>
        <v>CC 12x</v>
      </c>
      <c r="AH4017" t="str">
        <f t="shared" si="86"/>
        <v/>
      </c>
    </row>
    <row r="4018" spans="1:34">
      <c r="A4018">
        <v>2026</v>
      </c>
      <c r="B4018">
        <v>4</v>
      </c>
      <c r="C4018" s="83">
        <v>53948613956</v>
      </c>
      <c r="D4018" t="s">
        <v>3499</v>
      </c>
      <c r="E4018">
        <v>59095908898</v>
      </c>
      <c r="F4018">
        <v>637039</v>
      </c>
      <c r="G4018">
        <v>54205093253</v>
      </c>
      <c r="H4018" t="s">
        <v>35</v>
      </c>
      <c r="I4018" s="36">
        <v>2299.1999999999998</v>
      </c>
      <c r="J4018" s="36">
        <v>2299.1999999999998</v>
      </c>
      <c r="K4018" s="85">
        <v>0</v>
      </c>
      <c r="L4018" s="36">
        <v>191.6</v>
      </c>
      <c r="M4018" s="36">
        <v>191.6</v>
      </c>
      <c r="N4018" s="36">
        <v>0</v>
      </c>
      <c r="O4018" s="36">
        <v>0</v>
      </c>
      <c r="P4018" t="s">
        <v>129</v>
      </c>
      <c r="Q4018" t="s">
        <v>91</v>
      </c>
      <c r="R4018" t="s">
        <v>91</v>
      </c>
      <c r="S4018" s="1">
        <v>46122</v>
      </c>
      <c r="T4018" s="1">
        <v>46122</v>
      </c>
      <c r="V4018" s="1">
        <v>46487</v>
      </c>
      <c r="W4018" t="s">
        <v>38</v>
      </c>
      <c r="X4018">
        <v>12</v>
      </c>
      <c r="Y4018" t="s">
        <v>49</v>
      </c>
      <c r="AA4018" t="s">
        <v>112</v>
      </c>
      <c r="AB4018">
        <v>12</v>
      </c>
      <c r="AC4018" t="s">
        <v>93</v>
      </c>
      <c r="AD4018" t="s">
        <v>140</v>
      </c>
      <c r="AE4018" t="s">
        <v>46</v>
      </c>
      <c r="AF4018" t="s">
        <v>119</v>
      </c>
      <c r="AG4018" t="str">
        <f t="shared" si="85"/>
        <v>CC 12x</v>
      </c>
      <c r="AH4018" t="str">
        <f t="shared" si="86"/>
        <v/>
      </c>
    </row>
    <row r="4019" spans="1:34">
      <c r="A4019">
        <v>2026</v>
      </c>
      <c r="B4019">
        <v>4</v>
      </c>
      <c r="C4019" s="83">
        <v>53948613956</v>
      </c>
      <c r="D4019" t="s">
        <v>3499</v>
      </c>
      <c r="E4019">
        <v>59095908898</v>
      </c>
      <c r="F4019">
        <v>637039</v>
      </c>
      <c r="G4019">
        <v>54205093254</v>
      </c>
      <c r="H4019" t="s">
        <v>35</v>
      </c>
      <c r="I4019" s="36">
        <v>6715.2</v>
      </c>
      <c r="J4019" s="36">
        <v>6715.2</v>
      </c>
      <c r="K4019" s="85">
        <v>0</v>
      </c>
      <c r="L4019" s="36">
        <v>559.6</v>
      </c>
      <c r="M4019" s="36">
        <v>559.6</v>
      </c>
      <c r="N4019" s="36">
        <v>0</v>
      </c>
      <c r="O4019" s="36">
        <v>0</v>
      </c>
      <c r="P4019" t="s">
        <v>129</v>
      </c>
      <c r="Q4019" t="s">
        <v>91</v>
      </c>
      <c r="R4019" t="s">
        <v>91</v>
      </c>
      <c r="S4019" s="1">
        <v>46122</v>
      </c>
      <c r="T4019" s="1">
        <v>46122</v>
      </c>
      <c r="V4019" s="1">
        <v>46487</v>
      </c>
      <c r="W4019" t="s">
        <v>38</v>
      </c>
      <c r="X4019">
        <v>12</v>
      </c>
      <c r="Y4019" t="s">
        <v>49</v>
      </c>
      <c r="AA4019" t="s">
        <v>112</v>
      </c>
      <c r="AB4019">
        <v>12</v>
      </c>
      <c r="AC4019" t="s">
        <v>93</v>
      </c>
      <c r="AD4019" t="s">
        <v>94</v>
      </c>
      <c r="AE4019" t="s">
        <v>95</v>
      </c>
      <c r="AF4019" t="s">
        <v>96</v>
      </c>
      <c r="AG4019" t="str">
        <f t="shared" si="85"/>
        <v>CC 12x</v>
      </c>
      <c r="AH4019" t="str">
        <f t="shared" si="86"/>
        <v/>
      </c>
    </row>
    <row r="4020" spans="1:34">
      <c r="A4020">
        <v>2026</v>
      </c>
      <c r="B4020">
        <v>4</v>
      </c>
      <c r="C4020" s="83">
        <v>53948613956</v>
      </c>
      <c r="D4020" t="s">
        <v>3499</v>
      </c>
      <c r="E4020">
        <v>59186281782</v>
      </c>
      <c r="F4020">
        <v>637230</v>
      </c>
      <c r="G4020">
        <v>54372636535</v>
      </c>
      <c r="H4020" t="s">
        <v>35</v>
      </c>
      <c r="I4020" s="36">
        <v>2874</v>
      </c>
      <c r="J4020" s="36">
        <v>2874</v>
      </c>
      <c r="K4020" s="85">
        <v>0</v>
      </c>
      <c r="L4020" s="36">
        <v>239.5</v>
      </c>
      <c r="M4020" s="36">
        <v>239.5</v>
      </c>
      <c r="N4020" s="36">
        <v>0</v>
      </c>
      <c r="O4020" s="36">
        <v>0</v>
      </c>
      <c r="P4020" t="s">
        <v>129</v>
      </c>
      <c r="Q4020" t="s">
        <v>91</v>
      </c>
      <c r="R4020" t="s">
        <v>91</v>
      </c>
      <c r="S4020" s="1">
        <v>46134</v>
      </c>
      <c r="T4020" s="1">
        <v>46134</v>
      </c>
      <c r="V4020" s="1">
        <v>46499</v>
      </c>
      <c r="W4020" t="s">
        <v>38</v>
      </c>
      <c r="X4020">
        <v>12</v>
      </c>
      <c r="Y4020" t="s">
        <v>49</v>
      </c>
      <c r="AA4020" t="s">
        <v>112</v>
      </c>
      <c r="AB4020">
        <v>12</v>
      </c>
      <c r="AC4020" t="s">
        <v>93</v>
      </c>
      <c r="AD4020" t="s">
        <v>140</v>
      </c>
      <c r="AE4020" t="s">
        <v>46</v>
      </c>
      <c r="AF4020" t="s">
        <v>119</v>
      </c>
      <c r="AG4020" t="str">
        <f t="shared" si="85"/>
        <v>CC 12x</v>
      </c>
      <c r="AH4020" t="str">
        <f t="shared" si="86"/>
        <v/>
      </c>
    </row>
    <row r="4021" spans="1:34">
      <c r="A4021">
        <v>2026</v>
      </c>
      <c r="B4021">
        <v>4</v>
      </c>
      <c r="C4021" s="83">
        <v>53948653733</v>
      </c>
      <c r="D4021" t="s">
        <v>3500</v>
      </c>
      <c r="E4021">
        <v>59171362713</v>
      </c>
      <c r="F4021">
        <v>637092</v>
      </c>
      <c r="G4021">
        <v>54284726951</v>
      </c>
      <c r="H4021" t="s">
        <v>35</v>
      </c>
      <c r="I4021" s="36">
        <v>2759.04</v>
      </c>
      <c r="J4021" s="36">
        <v>2759.04</v>
      </c>
      <c r="K4021" s="85">
        <v>0</v>
      </c>
      <c r="L4021" s="36">
        <v>229.92</v>
      </c>
      <c r="M4021" s="36">
        <v>229.92</v>
      </c>
      <c r="N4021" s="36">
        <v>0</v>
      </c>
      <c r="O4021" s="36">
        <v>0</v>
      </c>
      <c r="P4021" t="s">
        <v>3179</v>
      </c>
      <c r="Q4021" t="s">
        <v>300</v>
      </c>
      <c r="R4021" t="s">
        <v>300</v>
      </c>
      <c r="S4021" s="1">
        <v>46126</v>
      </c>
      <c r="T4021" s="1">
        <v>46126</v>
      </c>
      <c r="V4021" s="1">
        <v>46491</v>
      </c>
      <c r="W4021" t="s">
        <v>38</v>
      </c>
      <c r="X4021">
        <v>12</v>
      </c>
      <c r="Y4021" t="s">
        <v>49</v>
      </c>
      <c r="AA4021" t="s">
        <v>112</v>
      </c>
      <c r="AB4021">
        <v>12</v>
      </c>
      <c r="AC4021" t="s">
        <v>301</v>
      </c>
      <c r="AD4021" t="s">
        <v>118</v>
      </c>
      <c r="AE4021" t="s">
        <v>43</v>
      </c>
      <c r="AF4021" t="s">
        <v>119</v>
      </c>
      <c r="AG4021" t="str">
        <f t="shared" si="85"/>
        <v>CC 12x</v>
      </c>
      <c r="AH4021" t="str">
        <f t="shared" si="86"/>
        <v/>
      </c>
    </row>
    <row r="4022" spans="1:34">
      <c r="A4022">
        <v>2026</v>
      </c>
      <c r="B4022">
        <v>4</v>
      </c>
      <c r="C4022" s="83">
        <v>53948747026</v>
      </c>
      <c r="D4022" t="s">
        <v>3501</v>
      </c>
      <c r="E4022">
        <v>59098530148</v>
      </c>
      <c r="F4022">
        <v>637012</v>
      </c>
      <c r="G4022">
        <v>54149969688</v>
      </c>
      <c r="H4022" t="s">
        <v>35</v>
      </c>
      <c r="I4022" s="36">
        <v>2874</v>
      </c>
      <c r="J4022" s="36">
        <v>2874</v>
      </c>
      <c r="K4022" s="85">
        <v>0</v>
      </c>
      <c r="L4022" s="36">
        <v>239.5</v>
      </c>
      <c r="M4022" s="36">
        <v>239.5</v>
      </c>
      <c r="N4022" s="36">
        <v>0</v>
      </c>
      <c r="O4022" s="36">
        <v>0</v>
      </c>
      <c r="P4022" t="s">
        <v>668</v>
      </c>
      <c r="Q4022" t="s">
        <v>91</v>
      </c>
      <c r="R4022" t="s">
        <v>91</v>
      </c>
      <c r="S4022" s="1">
        <v>46122</v>
      </c>
      <c r="T4022" s="1">
        <v>46122</v>
      </c>
      <c r="V4022" s="1">
        <v>46487</v>
      </c>
      <c r="W4022" t="s">
        <v>38</v>
      </c>
      <c r="X4022">
        <v>12</v>
      </c>
      <c r="Y4022" t="s">
        <v>49</v>
      </c>
      <c r="AA4022" t="s">
        <v>112</v>
      </c>
      <c r="AB4022">
        <v>12</v>
      </c>
      <c r="AC4022" t="s">
        <v>93</v>
      </c>
      <c r="AD4022" t="s">
        <v>140</v>
      </c>
      <c r="AE4022" t="s">
        <v>46</v>
      </c>
      <c r="AF4022" t="s">
        <v>119</v>
      </c>
      <c r="AG4022" t="str">
        <f t="shared" si="85"/>
        <v>CC 12x</v>
      </c>
      <c r="AH4022" t="str">
        <f t="shared" si="86"/>
        <v/>
      </c>
    </row>
    <row r="4023" spans="1:34">
      <c r="A4023">
        <v>2026</v>
      </c>
      <c r="B4023">
        <v>4</v>
      </c>
      <c r="C4023" s="83">
        <v>53948747026</v>
      </c>
      <c r="D4023" t="s">
        <v>3501</v>
      </c>
      <c r="E4023">
        <v>59098530148</v>
      </c>
      <c r="F4023">
        <v>637012</v>
      </c>
      <c r="G4023">
        <v>54149969689</v>
      </c>
      <c r="H4023" t="s">
        <v>35</v>
      </c>
      <c r="I4023" s="36">
        <v>2874</v>
      </c>
      <c r="J4023" s="36">
        <v>2874</v>
      </c>
      <c r="K4023" s="85">
        <v>0</v>
      </c>
      <c r="L4023" s="36">
        <v>239.5</v>
      </c>
      <c r="M4023" s="36">
        <v>239.5</v>
      </c>
      <c r="N4023" s="36">
        <v>0</v>
      </c>
      <c r="O4023" s="36">
        <v>0</v>
      </c>
      <c r="P4023" t="s">
        <v>668</v>
      </c>
      <c r="Q4023" t="s">
        <v>91</v>
      </c>
      <c r="R4023" t="s">
        <v>91</v>
      </c>
      <c r="S4023" s="1">
        <v>46122</v>
      </c>
      <c r="T4023" s="1">
        <v>46122</v>
      </c>
      <c r="V4023" s="1">
        <v>46487</v>
      </c>
      <c r="W4023" t="s">
        <v>38</v>
      </c>
      <c r="X4023">
        <v>12</v>
      </c>
      <c r="Y4023" t="s">
        <v>49</v>
      </c>
      <c r="AA4023" t="s">
        <v>112</v>
      </c>
      <c r="AB4023">
        <v>12</v>
      </c>
      <c r="AC4023" t="s">
        <v>93</v>
      </c>
      <c r="AD4023" t="s">
        <v>118</v>
      </c>
      <c r="AE4023" t="s">
        <v>43</v>
      </c>
      <c r="AF4023" t="s">
        <v>119</v>
      </c>
      <c r="AG4023" t="str">
        <f t="shared" si="85"/>
        <v>CC 12x</v>
      </c>
      <c r="AH4023" t="str">
        <f t="shared" si="86"/>
        <v/>
      </c>
    </row>
    <row r="4024" spans="1:34">
      <c r="A4024">
        <v>2026</v>
      </c>
      <c r="B4024">
        <v>4</v>
      </c>
      <c r="C4024" s="83">
        <v>53948747026</v>
      </c>
      <c r="D4024" t="s">
        <v>3501</v>
      </c>
      <c r="E4024">
        <v>59098530148</v>
      </c>
      <c r="F4024">
        <v>637012</v>
      </c>
      <c r="G4024">
        <v>54149969690</v>
      </c>
      <c r="H4024" t="s">
        <v>35</v>
      </c>
      <c r="I4024" s="36">
        <v>3828.24</v>
      </c>
      <c r="J4024" s="36">
        <v>3828.2489999999998</v>
      </c>
      <c r="K4024" s="85">
        <v>0</v>
      </c>
      <c r="L4024" s="36">
        <v>319.02075000000002</v>
      </c>
      <c r="M4024" s="36">
        <v>319.02075000000002</v>
      </c>
      <c r="N4024" s="36">
        <v>0</v>
      </c>
      <c r="O4024" s="36">
        <v>0</v>
      </c>
      <c r="P4024" t="s">
        <v>668</v>
      </c>
      <c r="Q4024" t="s">
        <v>91</v>
      </c>
      <c r="R4024" t="s">
        <v>91</v>
      </c>
      <c r="S4024" s="1">
        <v>46122</v>
      </c>
      <c r="T4024" s="1">
        <v>46122</v>
      </c>
      <c r="V4024" s="1">
        <v>46487</v>
      </c>
      <c r="W4024" t="s">
        <v>38</v>
      </c>
      <c r="X4024">
        <v>12</v>
      </c>
      <c r="Y4024" t="s">
        <v>49</v>
      </c>
      <c r="AA4024" t="s">
        <v>112</v>
      </c>
      <c r="AB4024">
        <v>12</v>
      </c>
      <c r="AC4024" t="s">
        <v>93</v>
      </c>
      <c r="AD4024" t="s">
        <v>142</v>
      </c>
      <c r="AE4024" t="s">
        <v>95</v>
      </c>
      <c r="AF4024" t="s">
        <v>44</v>
      </c>
      <c r="AG4024" t="str">
        <f t="shared" si="85"/>
        <v>CC 12x</v>
      </c>
      <c r="AH4024" t="str">
        <f t="shared" si="86"/>
        <v/>
      </c>
    </row>
    <row r="4025" spans="1:34">
      <c r="A4025">
        <v>2026</v>
      </c>
      <c r="B4025">
        <v>4</v>
      </c>
      <c r="C4025" s="83">
        <v>53948751471</v>
      </c>
      <c r="D4025" t="s">
        <v>3502</v>
      </c>
      <c r="E4025">
        <v>59093119253</v>
      </c>
      <c r="F4025">
        <v>637033</v>
      </c>
      <c r="G4025">
        <v>54205148582</v>
      </c>
      <c r="H4025" t="s">
        <v>35</v>
      </c>
      <c r="I4025" s="36">
        <v>4411.2</v>
      </c>
      <c r="J4025" s="36">
        <v>4411.2</v>
      </c>
      <c r="K4025" s="85">
        <v>0</v>
      </c>
      <c r="L4025" s="36">
        <v>367.6</v>
      </c>
      <c r="M4025" s="36">
        <v>367.6</v>
      </c>
      <c r="N4025" s="36">
        <v>0</v>
      </c>
      <c r="O4025" s="36">
        <v>0</v>
      </c>
      <c r="P4025" t="s">
        <v>668</v>
      </c>
      <c r="Q4025" t="s">
        <v>91</v>
      </c>
      <c r="R4025" t="s">
        <v>91</v>
      </c>
      <c r="S4025" s="1">
        <v>46122</v>
      </c>
      <c r="T4025" s="1">
        <v>46122</v>
      </c>
      <c r="V4025" s="1">
        <v>46487</v>
      </c>
      <c r="W4025" t="s">
        <v>38</v>
      </c>
      <c r="X4025">
        <v>12</v>
      </c>
      <c r="Y4025" t="s">
        <v>49</v>
      </c>
      <c r="AA4025" t="s">
        <v>112</v>
      </c>
      <c r="AB4025">
        <v>12</v>
      </c>
      <c r="AC4025" t="s">
        <v>93</v>
      </c>
      <c r="AD4025" t="s">
        <v>138</v>
      </c>
      <c r="AE4025" t="s">
        <v>135</v>
      </c>
      <c r="AF4025" t="s">
        <v>119</v>
      </c>
      <c r="AG4025" t="str">
        <f t="shared" si="85"/>
        <v>CC 12x</v>
      </c>
      <c r="AH4025" t="str">
        <f t="shared" si="86"/>
        <v/>
      </c>
    </row>
    <row r="4026" spans="1:34">
      <c r="A4026">
        <v>2026</v>
      </c>
      <c r="B4026">
        <v>4</v>
      </c>
      <c r="C4026" s="83">
        <v>53957353657</v>
      </c>
      <c r="D4026" t="s">
        <v>3503</v>
      </c>
      <c r="E4026">
        <v>58902511175</v>
      </c>
      <c r="F4026">
        <v>637044</v>
      </c>
      <c r="G4026">
        <v>54118702710</v>
      </c>
      <c r="H4026" t="s">
        <v>35</v>
      </c>
      <c r="I4026" s="36">
        <v>5456.04</v>
      </c>
      <c r="J4026" s="36">
        <v>5456.1</v>
      </c>
      <c r="K4026" s="85">
        <v>0</v>
      </c>
      <c r="L4026" s="36">
        <v>454.67500000000001</v>
      </c>
      <c r="M4026" s="36">
        <v>0</v>
      </c>
      <c r="N4026" s="36">
        <v>454.67500000000001</v>
      </c>
      <c r="O4026" s="36">
        <v>0</v>
      </c>
      <c r="P4026" t="s">
        <v>520</v>
      </c>
      <c r="Q4026" t="s">
        <v>191</v>
      </c>
      <c r="R4026" t="s">
        <v>191</v>
      </c>
      <c r="S4026" s="1">
        <v>46122</v>
      </c>
      <c r="T4026" s="1">
        <v>46122</v>
      </c>
      <c r="V4026" s="1">
        <v>46487</v>
      </c>
      <c r="W4026" t="s">
        <v>38</v>
      </c>
      <c r="X4026">
        <v>12</v>
      </c>
      <c r="Y4026" t="s">
        <v>49</v>
      </c>
      <c r="AA4026" t="s">
        <v>92</v>
      </c>
      <c r="AB4026">
        <v>12</v>
      </c>
      <c r="AC4026" t="s">
        <v>192</v>
      </c>
      <c r="AD4026" t="s">
        <v>94</v>
      </c>
      <c r="AE4026" t="s">
        <v>95</v>
      </c>
      <c r="AF4026" t="s">
        <v>96</v>
      </c>
      <c r="AG4026" t="str">
        <f t="shared" si="85"/>
        <v>Recorrente</v>
      </c>
      <c r="AH4026" t="str">
        <f t="shared" si="86"/>
        <v/>
      </c>
    </row>
    <row r="4027" spans="1:34">
      <c r="A4027">
        <v>2026</v>
      </c>
      <c r="B4027">
        <v>4</v>
      </c>
      <c r="C4027" s="83">
        <v>53957353657</v>
      </c>
      <c r="D4027" t="s">
        <v>3503</v>
      </c>
      <c r="E4027">
        <v>58902511175</v>
      </c>
      <c r="F4027">
        <v>637044</v>
      </c>
      <c r="G4027">
        <v>54118702711</v>
      </c>
      <c r="H4027" t="s">
        <v>35</v>
      </c>
      <c r="I4027" s="36">
        <v>2717.76</v>
      </c>
      <c r="J4027" s="36">
        <v>2717.82</v>
      </c>
      <c r="K4027" s="85">
        <v>0</v>
      </c>
      <c r="L4027" s="36">
        <v>226.48500000000001</v>
      </c>
      <c r="M4027" s="36">
        <v>0</v>
      </c>
      <c r="N4027" s="36">
        <v>226.48500000000001</v>
      </c>
      <c r="O4027" s="36">
        <v>0</v>
      </c>
      <c r="P4027" t="s">
        <v>520</v>
      </c>
      <c r="Q4027" t="s">
        <v>191</v>
      </c>
      <c r="R4027" t="s">
        <v>191</v>
      </c>
      <c r="S4027" s="1">
        <v>46122</v>
      </c>
      <c r="T4027" s="1">
        <v>46122</v>
      </c>
      <c r="V4027" s="1">
        <v>46487</v>
      </c>
      <c r="W4027" t="s">
        <v>38</v>
      </c>
      <c r="X4027">
        <v>12</v>
      </c>
      <c r="Y4027" t="s">
        <v>49</v>
      </c>
      <c r="AA4027" t="s">
        <v>92</v>
      </c>
      <c r="AB4027">
        <v>12</v>
      </c>
      <c r="AC4027" t="s">
        <v>192</v>
      </c>
      <c r="AD4027" t="s">
        <v>288</v>
      </c>
      <c r="AE4027" t="s">
        <v>289</v>
      </c>
      <c r="AF4027" t="s">
        <v>59</v>
      </c>
      <c r="AG4027" t="str">
        <f t="shared" si="85"/>
        <v>Recorrente</v>
      </c>
      <c r="AH4027" t="str">
        <f t="shared" si="86"/>
        <v/>
      </c>
    </row>
    <row r="4028" spans="1:34">
      <c r="A4028">
        <v>2026</v>
      </c>
      <c r="B4028">
        <v>4</v>
      </c>
      <c r="C4028" s="83">
        <v>53957353657</v>
      </c>
      <c r="D4028" t="s">
        <v>3503</v>
      </c>
      <c r="E4028">
        <v>58902511175</v>
      </c>
      <c r="F4028">
        <v>637044</v>
      </c>
      <c r="G4028">
        <v>54118702712</v>
      </c>
      <c r="H4028" t="s">
        <v>35</v>
      </c>
      <c r="I4028" s="36">
        <v>1396.2</v>
      </c>
      <c r="J4028" s="36">
        <v>1396.2</v>
      </c>
      <c r="K4028" s="85">
        <v>0</v>
      </c>
      <c r="L4028" s="36">
        <v>116.35</v>
      </c>
      <c r="M4028" s="36">
        <v>0</v>
      </c>
      <c r="N4028" s="36">
        <v>116.35</v>
      </c>
      <c r="O4028" s="36">
        <v>0</v>
      </c>
      <c r="P4028" t="s">
        <v>520</v>
      </c>
      <c r="Q4028" t="s">
        <v>191</v>
      </c>
      <c r="R4028" t="s">
        <v>191</v>
      </c>
      <c r="S4028" s="1">
        <v>46122</v>
      </c>
      <c r="T4028" s="1">
        <v>46122</v>
      </c>
      <c r="V4028" s="1">
        <v>46487</v>
      </c>
      <c r="W4028" t="s">
        <v>38</v>
      </c>
      <c r="X4028">
        <v>12</v>
      </c>
      <c r="Y4028" t="s">
        <v>49</v>
      </c>
      <c r="AA4028" t="s">
        <v>92</v>
      </c>
      <c r="AB4028">
        <v>12</v>
      </c>
      <c r="AC4028" t="s">
        <v>192</v>
      </c>
      <c r="AD4028" t="s">
        <v>527</v>
      </c>
      <c r="AE4028" t="s">
        <v>257</v>
      </c>
      <c r="AF4028" t="s">
        <v>59</v>
      </c>
      <c r="AG4028" t="str">
        <f t="shared" si="85"/>
        <v>Recorrente</v>
      </c>
      <c r="AH4028" t="str">
        <f t="shared" si="86"/>
        <v/>
      </c>
    </row>
    <row r="4029" spans="1:34">
      <c r="A4029">
        <v>2026</v>
      </c>
      <c r="B4029">
        <v>4</v>
      </c>
      <c r="C4029" s="83">
        <v>54003211307</v>
      </c>
      <c r="D4029" t="s">
        <v>3504</v>
      </c>
      <c r="E4029">
        <v>59648281183</v>
      </c>
      <c r="F4029">
        <v>637330</v>
      </c>
      <c r="G4029">
        <v>54703897684</v>
      </c>
      <c r="H4029" t="s">
        <v>35</v>
      </c>
      <c r="I4029" s="36">
        <v>2299.1999999999998</v>
      </c>
      <c r="J4029" s="36">
        <v>2299.1999999999998</v>
      </c>
      <c r="K4029" s="85">
        <v>0</v>
      </c>
      <c r="L4029" s="36">
        <v>191.6</v>
      </c>
      <c r="M4029" s="36">
        <v>191.6</v>
      </c>
      <c r="N4029" s="36">
        <v>0</v>
      </c>
      <c r="O4029" s="36">
        <v>0</v>
      </c>
      <c r="P4029" t="s">
        <v>348</v>
      </c>
      <c r="Q4029" t="s">
        <v>349</v>
      </c>
      <c r="R4029" t="s">
        <v>349</v>
      </c>
      <c r="S4029" s="1">
        <v>46136</v>
      </c>
      <c r="T4029" s="1">
        <v>46136</v>
      </c>
      <c r="V4029" s="1">
        <v>46506</v>
      </c>
      <c r="W4029" t="s">
        <v>38</v>
      </c>
      <c r="X4029">
        <v>12</v>
      </c>
      <c r="Y4029" t="s">
        <v>49</v>
      </c>
      <c r="AA4029" t="s">
        <v>122</v>
      </c>
      <c r="AB4029">
        <v>12</v>
      </c>
      <c r="AC4029" t="s">
        <v>350</v>
      </c>
      <c r="AD4029" t="s">
        <v>118</v>
      </c>
      <c r="AE4029" t="s">
        <v>43</v>
      </c>
      <c r="AF4029" t="s">
        <v>119</v>
      </c>
      <c r="AG4029" t="str">
        <f t="shared" si="85"/>
        <v>Recorrente</v>
      </c>
      <c r="AH4029" t="str">
        <f t="shared" si="86"/>
        <v/>
      </c>
    </row>
    <row r="4030" spans="1:34">
      <c r="A4030">
        <v>2026</v>
      </c>
      <c r="B4030">
        <v>4</v>
      </c>
      <c r="C4030" s="83">
        <v>54003211307</v>
      </c>
      <c r="D4030" t="s">
        <v>3504</v>
      </c>
      <c r="E4030">
        <v>59648281183</v>
      </c>
      <c r="F4030">
        <v>637330</v>
      </c>
      <c r="G4030">
        <v>54703897685</v>
      </c>
      <c r="H4030" t="s">
        <v>35</v>
      </c>
      <c r="I4030" s="36">
        <v>2299.1999999999998</v>
      </c>
      <c r="J4030" s="36">
        <v>2299.1999999999998</v>
      </c>
      <c r="K4030" s="85">
        <v>0</v>
      </c>
      <c r="L4030" s="36">
        <v>191.6</v>
      </c>
      <c r="M4030" s="36">
        <v>191.6</v>
      </c>
      <c r="N4030" s="36">
        <v>0</v>
      </c>
      <c r="O4030" s="36">
        <v>0</v>
      </c>
      <c r="P4030" t="s">
        <v>348</v>
      </c>
      <c r="Q4030" t="s">
        <v>349</v>
      </c>
      <c r="R4030" t="s">
        <v>349</v>
      </c>
      <c r="S4030" s="1">
        <v>46136</v>
      </c>
      <c r="T4030" s="1">
        <v>46136</v>
      </c>
      <c r="V4030" s="1">
        <v>46506</v>
      </c>
      <c r="W4030" t="s">
        <v>38</v>
      </c>
      <c r="X4030">
        <v>12</v>
      </c>
      <c r="Y4030" t="s">
        <v>49</v>
      </c>
      <c r="AA4030" t="s">
        <v>122</v>
      </c>
      <c r="AB4030">
        <v>12</v>
      </c>
      <c r="AC4030" t="s">
        <v>350</v>
      </c>
      <c r="AD4030" t="s">
        <v>140</v>
      </c>
      <c r="AE4030" t="s">
        <v>46</v>
      </c>
      <c r="AF4030" t="s">
        <v>119</v>
      </c>
      <c r="AG4030" t="str">
        <f t="shared" si="85"/>
        <v>Recorrente</v>
      </c>
      <c r="AH4030" t="str">
        <f t="shared" si="86"/>
        <v/>
      </c>
    </row>
    <row r="4031" spans="1:34">
      <c r="A4031">
        <v>2026</v>
      </c>
      <c r="B4031">
        <v>4</v>
      </c>
      <c r="C4031" s="83">
        <v>54003218806</v>
      </c>
      <c r="D4031" t="s">
        <v>3505</v>
      </c>
      <c r="E4031">
        <v>59239761321</v>
      </c>
      <c r="F4031">
        <v>637200</v>
      </c>
      <c r="G4031">
        <v>54466115658</v>
      </c>
      <c r="H4031" t="s">
        <v>35</v>
      </c>
      <c r="I4031" s="36">
        <v>2586.6</v>
      </c>
      <c r="J4031" s="36">
        <v>2586.6</v>
      </c>
      <c r="K4031" s="85">
        <v>0</v>
      </c>
      <c r="L4031" s="36">
        <v>215.55</v>
      </c>
      <c r="M4031" s="36">
        <v>215.55</v>
      </c>
      <c r="N4031" s="36">
        <v>0</v>
      </c>
      <c r="O4031" s="36">
        <v>0</v>
      </c>
      <c r="P4031" t="s">
        <v>829</v>
      </c>
      <c r="Q4031" t="s">
        <v>300</v>
      </c>
      <c r="R4031" t="s">
        <v>300</v>
      </c>
      <c r="S4031" s="1">
        <v>46132</v>
      </c>
      <c r="T4031" s="1">
        <v>46132</v>
      </c>
      <c r="V4031" s="1">
        <v>46497</v>
      </c>
      <c r="W4031" t="s">
        <v>38</v>
      </c>
      <c r="X4031">
        <v>12</v>
      </c>
      <c r="Y4031" t="s">
        <v>49</v>
      </c>
      <c r="AA4031" t="s">
        <v>117</v>
      </c>
      <c r="AB4031">
        <v>1</v>
      </c>
      <c r="AC4031" t="s">
        <v>301</v>
      </c>
      <c r="AD4031" t="s">
        <v>118</v>
      </c>
      <c r="AE4031" t="s">
        <v>43</v>
      </c>
      <c r="AF4031" t="s">
        <v>119</v>
      </c>
      <c r="AG4031" t="str">
        <f t="shared" si="85"/>
        <v>À Vista</v>
      </c>
      <c r="AH4031" t="str">
        <f t="shared" si="86"/>
        <v/>
      </c>
    </row>
    <row r="4032" spans="1:34">
      <c r="A4032">
        <v>2026</v>
      </c>
      <c r="B4032">
        <v>4</v>
      </c>
      <c r="C4032" s="83">
        <v>54003335306</v>
      </c>
      <c r="D4032" t="s">
        <v>3506</v>
      </c>
      <c r="E4032">
        <v>59235399755</v>
      </c>
      <c r="F4032">
        <v>637164</v>
      </c>
      <c r="G4032">
        <v>54372793186</v>
      </c>
      <c r="H4032" t="s">
        <v>35</v>
      </c>
      <c r="I4032" s="36">
        <v>3114</v>
      </c>
      <c r="J4032" s="36">
        <v>3114</v>
      </c>
      <c r="K4032" s="85">
        <v>0</v>
      </c>
      <c r="L4032" s="36">
        <v>259.5</v>
      </c>
      <c r="M4032" s="36">
        <v>259.5</v>
      </c>
      <c r="N4032" s="36">
        <v>0</v>
      </c>
      <c r="O4032" s="36">
        <v>0</v>
      </c>
      <c r="P4032" t="s">
        <v>511</v>
      </c>
      <c r="Q4032" t="s">
        <v>300</v>
      </c>
      <c r="R4032" t="s">
        <v>300</v>
      </c>
      <c r="S4032" s="1">
        <v>46129</v>
      </c>
      <c r="T4032" s="1">
        <v>46129</v>
      </c>
      <c r="V4032" s="1"/>
      <c r="W4032" t="s">
        <v>2733</v>
      </c>
      <c r="Y4032" t="s">
        <v>49</v>
      </c>
      <c r="AA4032" t="s">
        <v>122</v>
      </c>
      <c r="AB4032">
        <v>12</v>
      </c>
      <c r="AC4032" t="s">
        <v>301</v>
      </c>
      <c r="AD4032" t="s">
        <v>2734</v>
      </c>
      <c r="AE4032" t="s">
        <v>106</v>
      </c>
      <c r="AF4032" t="s">
        <v>59</v>
      </c>
      <c r="AG4032" t="str">
        <f t="shared" si="85"/>
        <v>Recorrente</v>
      </c>
      <c r="AH4032" t="str">
        <f t="shared" si="86"/>
        <v/>
      </c>
    </row>
    <row r="4033" spans="1:34">
      <c r="A4033">
        <v>2026</v>
      </c>
      <c r="B4033">
        <v>4</v>
      </c>
      <c r="C4033" s="83">
        <v>54004229044</v>
      </c>
      <c r="D4033" t="s">
        <v>3507</v>
      </c>
      <c r="E4033">
        <v>59223781785</v>
      </c>
      <c r="F4033">
        <v>637146</v>
      </c>
      <c r="G4033">
        <v>54372495994</v>
      </c>
      <c r="H4033" t="s">
        <v>35</v>
      </c>
      <c r="I4033" s="36">
        <v>8886.24</v>
      </c>
      <c r="J4033" s="36">
        <v>8886.2999999999993</v>
      </c>
      <c r="K4033" s="85">
        <v>0</v>
      </c>
      <c r="L4033" s="36">
        <v>740.52499999999998</v>
      </c>
      <c r="M4033" s="36">
        <v>740.52499999999998</v>
      </c>
      <c r="N4033" s="36">
        <v>0</v>
      </c>
      <c r="O4033" s="36">
        <v>0</v>
      </c>
      <c r="P4033" t="s">
        <v>129</v>
      </c>
      <c r="Q4033" t="s">
        <v>91</v>
      </c>
      <c r="R4033" t="s">
        <v>91</v>
      </c>
      <c r="S4033" s="1">
        <v>46128</v>
      </c>
      <c r="T4033" s="1">
        <v>46128</v>
      </c>
      <c r="V4033" s="1">
        <v>46494</v>
      </c>
      <c r="W4033" t="s">
        <v>38</v>
      </c>
      <c r="X4033">
        <v>12</v>
      </c>
      <c r="Y4033" t="s">
        <v>49</v>
      </c>
      <c r="AA4033" t="s">
        <v>112</v>
      </c>
      <c r="AB4033">
        <v>12</v>
      </c>
      <c r="AC4033" t="s">
        <v>93</v>
      </c>
      <c r="AD4033" t="s">
        <v>134</v>
      </c>
      <c r="AE4033" t="s">
        <v>135</v>
      </c>
      <c r="AF4033" t="s">
        <v>44</v>
      </c>
      <c r="AG4033" t="str">
        <f t="shared" ref="AG4033:AG4084" si="87">IF(IFERROR(SEARCH("Recorrente",AA4033),0)&gt;0,"Recorrente",IF(AB4033=1,"À Vista",IF(AB4033&lt;=3,"CC 3x",IF(AB4033&lt;=12,"CC 12x",IF(AB4033&gt;12,"Recorrente","")))))</f>
        <v>CC 12x</v>
      </c>
      <c r="AH4033" t="str">
        <f t="shared" ref="AH4033:AH4084" si="88">IF(AND(SUMIF(E:E,E4033,I:I)&gt;=400000,Q4033="B2G"),"n","")</f>
        <v/>
      </c>
    </row>
    <row r="4034" spans="1:34">
      <c r="A4034">
        <v>2026</v>
      </c>
      <c r="B4034">
        <v>4</v>
      </c>
      <c r="C4034" s="83">
        <v>54004312928</v>
      </c>
      <c r="D4034" t="s">
        <v>3508</v>
      </c>
      <c r="E4034">
        <v>59021366575</v>
      </c>
      <c r="F4034">
        <v>637002</v>
      </c>
      <c r="G4034">
        <v>54154490924</v>
      </c>
      <c r="H4034" t="s">
        <v>35</v>
      </c>
      <c r="I4034" s="36">
        <v>2586.6</v>
      </c>
      <c r="J4034" s="36">
        <v>2586.6</v>
      </c>
      <c r="K4034" s="85">
        <v>0</v>
      </c>
      <c r="L4034" s="36">
        <v>215.55</v>
      </c>
      <c r="M4034" s="36">
        <v>215.55</v>
      </c>
      <c r="N4034" s="36">
        <v>0</v>
      </c>
      <c r="O4034" s="36">
        <v>0</v>
      </c>
      <c r="P4034" t="s">
        <v>129</v>
      </c>
      <c r="Q4034" t="s">
        <v>91</v>
      </c>
      <c r="R4034" t="s">
        <v>91</v>
      </c>
      <c r="S4034" s="1">
        <v>46122</v>
      </c>
      <c r="T4034" s="1">
        <v>46122</v>
      </c>
      <c r="V4034" s="1">
        <v>46490</v>
      </c>
      <c r="W4034" t="s">
        <v>38</v>
      </c>
      <c r="X4034">
        <v>12</v>
      </c>
      <c r="Y4034" t="s">
        <v>49</v>
      </c>
      <c r="AA4034" t="s">
        <v>122</v>
      </c>
      <c r="AB4034">
        <v>12</v>
      </c>
      <c r="AC4034" t="s">
        <v>93</v>
      </c>
      <c r="AD4034" t="s">
        <v>140</v>
      </c>
      <c r="AE4034" t="s">
        <v>46</v>
      </c>
      <c r="AF4034" t="s">
        <v>119</v>
      </c>
      <c r="AG4034" t="str">
        <f t="shared" si="87"/>
        <v>Recorrente</v>
      </c>
      <c r="AH4034" t="str">
        <f t="shared" si="88"/>
        <v/>
      </c>
    </row>
    <row r="4035" spans="1:34">
      <c r="A4035">
        <v>2026</v>
      </c>
      <c r="B4035">
        <v>4</v>
      </c>
      <c r="C4035" s="83">
        <v>54089407783</v>
      </c>
      <c r="D4035" t="s">
        <v>3509</v>
      </c>
      <c r="E4035">
        <v>59482813024</v>
      </c>
      <c r="F4035">
        <v>637507</v>
      </c>
      <c r="G4035">
        <v>54917804375</v>
      </c>
      <c r="H4035" t="s">
        <v>35</v>
      </c>
      <c r="I4035" s="36">
        <v>9531</v>
      </c>
      <c r="J4035" s="36">
        <v>9531</v>
      </c>
      <c r="K4035" s="85">
        <v>0</v>
      </c>
      <c r="L4035" s="36">
        <v>794.25</v>
      </c>
      <c r="M4035" s="36">
        <v>794.25</v>
      </c>
      <c r="N4035" s="36">
        <v>0</v>
      </c>
      <c r="O4035" s="36">
        <v>0</v>
      </c>
      <c r="P4035" t="s">
        <v>90</v>
      </c>
      <c r="Q4035" t="s">
        <v>91</v>
      </c>
      <c r="R4035" t="s">
        <v>91</v>
      </c>
      <c r="S4035" s="1">
        <v>46142</v>
      </c>
      <c r="T4035" s="1">
        <v>46142</v>
      </c>
      <c r="V4035" s="1">
        <v>46507</v>
      </c>
      <c r="W4035" t="s">
        <v>38</v>
      </c>
      <c r="X4035">
        <v>12</v>
      </c>
      <c r="Y4035" t="s">
        <v>49</v>
      </c>
      <c r="AA4035" t="s">
        <v>82</v>
      </c>
      <c r="AB4035">
        <v>1</v>
      </c>
      <c r="AC4035" t="s">
        <v>93</v>
      </c>
      <c r="AD4035" t="s">
        <v>149</v>
      </c>
      <c r="AE4035" t="s">
        <v>43</v>
      </c>
      <c r="AF4035" t="s">
        <v>96</v>
      </c>
      <c r="AG4035" t="str">
        <f t="shared" si="87"/>
        <v>À Vista</v>
      </c>
      <c r="AH4035" t="str">
        <f t="shared" si="88"/>
        <v/>
      </c>
    </row>
    <row r="4036" spans="1:34">
      <c r="A4036">
        <v>2026</v>
      </c>
      <c r="B4036">
        <v>4</v>
      </c>
      <c r="C4036" s="83">
        <v>54150812224</v>
      </c>
      <c r="D4036" t="s">
        <v>3510</v>
      </c>
      <c r="E4036">
        <v>59314450095</v>
      </c>
      <c r="F4036">
        <v>637195</v>
      </c>
      <c r="G4036">
        <v>54437681235</v>
      </c>
      <c r="H4036" t="s">
        <v>35</v>
      </c>
      <c r="I4036" s="36">
        <v>2874</v>
      </c>
      <c r="J4036" s="36">
        <v>2874</v>
      </c>
      <c r="K4036" s="85">
        <v>0</v>
      </c>
      <c r="L4036" s="36">
        <v>239.5</v>
      </c>
      <c r="M4036" s="36">
        <v>239.5</v>
      </c>
      <c r="N4036" s="36">
        <v>0</v>
      </c>
      <c r="O4036" s="36">
        <v>0</v>
      </c>
      <c r="P4036" t="s">
        <v>497</v>
      </c>
      <c r="Q4036" t="s">
        <v>498</v>
      </c>
      <c r="R4036" t="s">
        <v>498</v>
      </c>
      <c r="S4036" s="1">
        <v>46131</v>
      </c>
      <c r="T4036" s="1">
        <v>46131</v>
      </c>
      <c r="V4036" s="1">
        <v>46496</v>
      </c>
      <c r="W4036" t="s">
        <v>38</v>
      </c>
      <c r="X4036">
        <v>12</v>
      </c>
      <c r="Y4036" t="s">
        <v>49</v>
      </c>
      <c r="AA4036" t="s">
        <v>112</v>
      </c>
      <c r="AB4036">
        <v>12</v>
      </c>
      <c r="AC4036" t="s">
        <v>499</v>
      </c>
      <c r="AD4036" t="s">
        <v>118</v>
      </c>
      <c r="AE4036" t="s">
        <v>43</v>
      </c>
      <c r="AF4036" t="s">
        <v>119</v>
      </c>
      <c r="AG4036" t="str">
        <f t="shared" si="87"/>
        <v>CC 12x</v>
      </c>
      <c r="AH4036" t="str">
        <f t="shared" si="88"/>
        <v/>
      </c>
    </row>
    <row r="4037" spans="1:34">
      <c r="A4037">
        <v>2026</v>
      </c>
      <c r="B4037">
        <v>4</v>
      </c>
      <c r="C4037" s="83">
        <v>54170475823</v>
      </c>
      <c r="D4037" t="s">
        <v>3511</v>
      </c>
      <c r="E4037">
        <v>59236756852</v>
      </c>
      <c r="F4037">
        <v>637218</v>
      </c>
      <c r="G4037">
        <v>54462970988</v>
      </c>
      <c r="H4037" t="s">
        <v>35</v>
      </c>
      <c r="I4037" s="36">
        <v>11334.6</v>
      </c>
      <c r="J4037" s="36">
        <v>3980.5443369999998</v>
      </c>
      <c r="K4037" s="85">
        <v>7354.0556630000001</v>
      </c>
      <c r="L4037" s="36">
        <v>331.7120281</v>
      </c>
      <c r="M4037" s="36">
        <v>0</v>
      </c>
      <c r="N4037" s="36">
        <v>331.7120281</v>
      </c>
      <c r="O4037" s="36">
        <v>0</v>
      </c>
      <c r="P4037" t="s">
        <v>804</v>
      </c>
      <c r="Q4037" t="s">
        <v>191</v>
      </c>
      <c r="R4037" t="s">
        <v>191</v>
      </c>
      <c r="S4037" s="1">
        <v>46132</v>
      </c>
      <c r="T4037" s="1">
        <v>46133</v>
      </c>
      <c r="V4037" s="1">
        <v>46498</v>
      </c>
      <c r="W4037" t="s">
        <v>38</v>
      </c>
      <c r="Y4037" t="s">
        <v>49</v>
      </c>
      <c r="AA4037" t="s">
        <v>122</v>
      </c>
      <c r="AB4037">
        <v>12</v>
      </c>
      <c r="AC4037" t="s">
        <v>192</v>
      </c>
      <c r="AD4037" t="s">
        <v>146</v>
      </c>
      <c r="AE4037" t="s">
        <v>135</v>
      </c>
      <c r="AF4037" t="s">
        <v>96</v>
      </c>
      <c r="AG4037" t="str">
        <f t="shared" si="87"/>
        <v>Recorrente</v>
      </c>
      <c r="AH4037" t="str">
        <f t="shared" si="88"/>
        <v/>
      </c>
    </row>
    <row r="4038" spans="1:34">
      <c r="A4038">
        <v>2026</v>
      </c>
      <c r="B4038">
        <v>4</v>
      </c>
      <c r="C4038" s="83">
        <v>54170475823</v>
      </c>
      <c r="D4038" t="s">
        <v>3511</v>
      </c>
      <c r="E4038">
        <v>59236756852</v>
      </c>
      <c r="F4038">
        <v>637218</v>
      </c>
      <c r="G4038">
        <v>54462970989</v>
      </c>
      <c r="H4038" t="s">
        <v>35</v>
      </c>
      <c r="I4038" s="36">
        <v>966.6</v>
      </c>
      <c r="J4038" s="36">
        <v>339.45566289999999</v>
      </c>
      <c r="K4038" s="85">
        <v>627.14433710000003</v>
      </c>
      <c r="L4038" s="36">
        <v>28.28797191</v>
      </c>
      <c r="M4038" s="36">
        <v>0</v>
      </c>
      <c r="N4038" s="36">
        <v>28.28797191</v>
      </c>
      <c r="O4038" s="36">
        <v>0</v>
      </c>
      <c r="P4038" t="s">
        <v>804</v>
      </c>
      <c r="Q4038" t="s">
        <v>191</v>
      </c>
      <c r="R4038" t="s">
        <v>191</v>
      </c>
      <c r="S4038" s="1">
        <v>46132</v>
      </c>
      <c r="T4038" s="1">
        <v>46133</v>
      </c>
      <c r="V4038" s="1">
        <v>46498</v>
      </c>
      <c r="W4038" t="s">
        <v>38</v>
      </c>
      <c r="Y4038" t="s">
        <v>49</v>
      </c>
      <c r="AA4038" t="s">
        <v>122</v>
      </c>
      <c r="AB4038">
        <v>12</v>
      </c>
      <c r="AC4038" t="s">
        <v>192</v>
      </c>
      <c r="AD4038" t="s">
        <v>256</v>
      </c>
      <c r="AE4038" t="s">
        <v>257</v>
      </c>
      <c r="AF4038" t="s">
        <v>59</v>
      </c>
      <c r="AG4038" t="str">
        <f t="shared" si="87"/>
        <v>Recorrente</v>
      </c>
      <c r="AH4038" t="str">
        <f t="shared" si="88"/>
        <v/>
      </c>
    </row>
    <row r="4039" spans="1:34">
      <c r="A4039">
        <v>2026</v>
      </c>
      <c r="B4039">
        <v>4</v>
      </c>
      <c r="C4039" s="83">
        <v>54175738651</v>
      </c>
      <c r="D4039" t="s">
        <v>3512</v>
      </c>
      <c r="E4039">
        <v>59366959762</v>
      </c>
      <c r="F4039">
        <v>637226</v>
      </c>
      <c r="G4039">
        <v>54509825799</v>
      </c>
      <c r="H4039" t="s">
        <v>35</v>
      </c>
      <c r="I4039" s="36">
        <v>4278.84</v>
      </c>
      <c r="J4039" s="36">
        <v>4278.8999999999996</v>
      </c>
      <c r="K4039" s="85">
        <v>0</v>
      </c>
      <c r="L4039" s="36">
        <v>356.57499999999999</v>
      </c>
      <c r="M4039" s="36">
        <v>356.57499999999999</v>
      </c>
      <c r="N4039" s="36">
        <v>0</v>
      </c>
      <c r="O4039" s="36">
        <v>0</v>
      </c>
      <c r="P4039" t="s">
        <v>2004</v>
      </c>
      <c r="Q4039" t="s">
        <v>300</v>
      </c>
      <c r="R4039" t="s">
        <v>300</v>
      </c>
      <c r="S4039" s="1">
        <v>46134</v>
      </c>
      <c r="T4039" s="1">
        <v>46134</v>
      </c>
      <c r="V4039" s="1">
        <v>46499</v>
      </c>
      <c r="W4039" t="s">
        <v>38</v>
      </c>
      <c r="X4039">
        <v>12</v>
      </c>
      <c r="Y4039" t="s">
        <v>49</v>
      </c>
      <c r="AA4039" t="s">
        <v>112</v>
      </c>
      <c r="AB4039">
        <v>12</v>
      </c>
      <c r="AC4039" t="s">
        <v>301</v>
      </c>
      <c r="AD4039" t="s">
        <v>84</v>
      </c>
      <c r="AE4039" t="s">
        <v>43</v>
      </c>
      <c r="AF4039" t="s">
        <v>44</v>
      </c>
      <c r="AG4039" t="str">
        <f t="shared" si="87"/>
        <v>CC 12x</v>
      </c>
      <c r="AH4039" t="str">
        <f t="shared" si="88"/>
        <v/>
      </c>
    </row>
    <row r="4040" spans="1:34">
      <c r="A4040">
        <v>2026</v>
      </c>
      <c r="B4040">
        <v>4</v>
      </c>
      <c r="C4040" s="83">
        <v>54220679318</v>
      </c>
      <c r="D4040" t="s">
        <v>3513</v>
      </c>
      <c r="E4040">
        <v>59440274294</v>
      </c>
      <c r="F4040">
        <v>637261</v>
      </c>
      <c r="G4040">
        <v>54509397633</v>
      </c>
      <c r="H4040" t="s">
        <v>35</v>
      </c>
      <c r="I4040" s="36">
        <v>2724</v>
      </c>
      <c r="J4040" s="36">
        <v>2724</v>
      </c>
      <c r="K4040" s="85">
        <v>0</v>
      </c>
      <c r="L4040" s="36">
        <v>227</v>
      </c>
      <c r="M4040" s="36">
        <v>227</v>
      </c>
      <c r="N4040" s="36">
        <v>0</v>
      </c>
      <c r="O4040" s="36">
        <v>0</v>
      </c>
      <c r="P4040" t="s">
        <v>313</v>
      </c>
      <c r="Q4040" t="s">
        <v>349</v>
      </c>
      <c r="R4040" t="s">
        <v>349</v>
      </c>
      <c r="S4040" s="1">
        <v>46135</v>
      </c>
      <c r="T4040" s="1">
        <v>46135</v>
      </c>
      <c r="V4040" s="1">
        <v>46500</v>
      </c>
      <c r="W4040" t="s">
        <v>38</v>
      </c>
      <c r="X4040">
        <v>12</v>
      </c>
      <c r="Y4040" t="s">
        <v>49</v>
      </c>
      <c r="AA4040" t="s">
        <v>112</v>
      </c>
      <c r="AB4040">
        <v>12</v>
      </c>
      <c r="AC4040" t="s">
        <v>350</v>
      </c>
      <c r="AD4040" t="s">
        <v>118</v>
      </c>
      <c r="AE4040" t="s">
        <v>43</v>
      </c>
      <c r="AF4040" t="s">
        <v>119</v>
      </c>
      <c r="AG4040" t="str">
        <f t="shared" si="87"/>
        <v>CC 12x</v>
      </c>
      <c r="AH4040" t="str">
        <f t="shared" si="88"/>
        <v/>
      </c>
    </row>
    <row r="4041" spans="1:34">
      <c r="A4041">
        <v>2026</v>
      </c>
      <c r="B4041">
        <v>4</v>
      </c>
      <c r="C4041" s="83">
        <v>54222847258</v>
      </c>
      <c r="D4041" t="s">
        <v>3514</v>
      </c>
      <c r="E4041">
        <v>59212989594</v>
      </c>
      <c r="F4041">
        <v>637225</v>
      </c>
      <c r="G4041">
        <v>54510007593</v>
      </c>
      <c r="H4041" t="s">
        <v>35</v>
      </c>
      <c r="I4041" s="36">
        <v>3067.2</v>
      </c>
      <c r="J4041" s="36">
        <v>3067.2</v>
      </c>
      <c r="K4041" s="85">
        <v>0</v>
      </c>
      <c r="L4041" s="36">
        <v>255.6</v>
      </c>
      <c r="M4041" s="36">
        <v>255.6</v>
      </c>
      <c r="N4041" s="36">
        <v>0</v>
      </c>
      <c r="O4041" s="36">
        <v>0</v>
      </c>
      <c r="P4041" t="s">
        <v>829</v>
      </c>
      <c r="Q4041" t="s">
        <v>300</v>
      </c>
      <c r="R4041" t="s">
        <v>300</v>
      </c>
      <c r="S4041" s="1">
        <v>46134</v>
      </c>
      <c r="T4041" s="1">
        <v>46134</v>
      </c>
      <c r="V4041" s="1">
        <v>46499</v>
      </c>
      <c r="W4041" t="s">
        <v>38</v>
      </c>
      <c r="X4041">
        <v>12</v>
      </c>
      <c r="Y4041" t="s">
        <v>49</v>
      </c>
      <c r="AA4041" t="s">
        <v>112</v>
      </c>
      <c r="AB4041">
        <v>12</v>
      </c>
      <c r="AC4041" t="s">
        <v>301</v>
      </c>
      <c r="AD4041" t="s">
        <v>142</v>
      </c>
      <c r="AE4041" t="s">
        <v>95</v>
      </c>
      <c r="AF4041" t="s">
        <v>44</v>
      </c>
      <c r="AG4041" t="str">
        <f t="shared" si="87"/>
        <v>CC 12x</v>
      </c>
      <c r="AH4041" t="str">
        <f t="shared" si="88"/>
        <v/>
      </c>
    </row>
    <row r="4042" spans="1:34">
      <c r="A4042">
        <v>2026</v>
      </c>
      <c r="B4042">
        <v>4</v>
      </c>
      <c r="C4042" s="83">
        <v>54306075471</v>
      </c>
      <c r="D4042" t="s">
        <v>3515</v>
      </c>
      <c r="E4042">
        <v>59510114383</v>
      </c>
      <c r="F4042">
        <v>637255</v>
      </c>
      <c r="G4042">
        <v>54593909423</v>
      </c>
      <c r="H4042" t="s">
        <v>35</v>
      </c>
      <c r="I4042" s="36">
        <v>2874</v>
      </c>
      <c r="J4042" s="36">
        <v>2874</v>
      </c>
      <c r="K4042" s="85">
        <v>0</v>
      </c>
      <c r="L4042" s="36">
        <v>239.5</v>
      </c>
      <c r="M4042" s="36">
        <v>239.5</v>
      </c>
      <c r="N4042" s="36">
        <v>0</v>
      </c>
      <c r="O4042" s="36">
        <v>0</v>
      </c>
      <c r="P4042" t="s">
        <v>829</v>
      </c>
      <c r="Q4042" t="s">
        <v>300</v>
      </c>
      <c r="R4042" t="s">
        <v>300</v>
      </c>
      <c r="S4042" s="1">
        <v>46135</v>
      </c>
      <c r="T4042" s="1">
        <v>46135</v>
      </c>
      <c r="V4042" s="1">
        <v>46500</v>
      </c>
      <c r="W4042" t="s">
        <v>38</v>
      </c>
      <c r="X4042">
        <v>12</v>
      </c>
      <c r="Y4042" t="s">
        <v>49</v>
      </c>
      <c r="AA4042" t="s">
        <v>112</v>
      </c>
      <c r="AB4042">
        <v>12</v>
      </c>
      <c r="AC4042" t="s">
        <v>301</v>
      </c>
      <c r="AD4042" t="s">
        <v>140</v>
      </c>
      <c r="AE4042" t="s">
        <v>46</v>
      </c>
      <c r="AF4042" t="s">
        <v>119</v>
      </c>
      <c r="AG4042" t="str">
        <f t="shared" si="87"/>
        <v>CC 12x</v>
      </c>
      <c r="AH4042" t="str">
        <f t="shared" si="88"/>
        <v/>
      </c>
    </row>
    <row r="4043" spans="1:34">
      <c r="A4043">
        <v>2026</v>
      </c>
      <c r="B4043">
        <v>4</v>
      </c>
      <c r="C4043" s="83">
        <v>54342364675</v>
      </c>
      <c r="D4043" t="s">
        <v>3516</v>
      </c>
      <c r="E4043">
        <v>59849345848</v>
      </c>
      <c r="F4043">
        <v>637526</v>
      </c>
      <c r="G4043">
        <v>54945926723</v>
      </c>
      <c r="H4043" t="s">
        <v>35</v>
      </c>
      <c r="I4043" s="36">
        <v>5083.2</v>
      </c>
      <c r="J4043" s="36">
        <v>5083.2</v>
      </c>
      <c r="K4043" s="85">
        <v>0</v>
      </c>
      <c r="L4043" s="36">
        <v>423.6</v>
      </c>
      <c r="M4043" s="36">
        <v>423.6</v>
      </c>
      <c r="N4043" s="36">
        <v>0</v>
      </c>
      <c r="O4043" s="36">
        <v>0</v>
      </c>
      <c r="P4043" t="s">
        <v>348</v>
      </c>
      <c r="Q4043" t="s">
        <v>349</v>
      </c>
      <c r="R4043" t="s">
        <v>349</v>
      </c>
      <c r="S4043" s="1">
        <v>46142</v>
      </c>
      <c r="T4043" s="1">
        <v>46142</v>
      </c>
      <c r="V4043" s="1">
        <v>46507</v>
      </c>
      <c r="W4043" t="s">
        <v>38</v>
      </c>
      <c r="X4043">
        <v>12</v>
      </c>
      <c r="Y4043" t="s">
        <v>49</v>
      </c>
      <c r="AA4043" t="s">
        <v>117</v>
      </c>
      <c r="AB4043">
        <v>1</v>
      </c>
      <c r="AC4043" t="s">
        <v>350</v>
      </c>
      <c r="AD4043" t="s">
        <v>158</v>
      </c>
      <c r="AE4043" t="s">
        <v>43</v>
      </c>
      <c r="AF4043" t="s">
        <v>47</v>
      </c>
      <c r="AG4043" t="str">
        <f t="shared" si="87"/>
        <v>À Vista</v>
      </c>
      <c r="AH4043" t="str">
        <f t="shared" si="88"/>
        <v/>
      </c>
    </row>
    <row r="4044" spans="1:34">
      <c r="A4044">
        <v>2026</v>
      </c>
      <c r="B4044">
        <v>4</v>
      </c>
      <c r="C4044" s="83">
        <v>54402865409</v>
      </c>
      <c r="D4044" t="s">
        <v>3517</v>
      </c>
      <c r="E4044">
        <v>59446128232</v>
      </c>
      <c r="F4044">
        <v>637271</v>
      </c>
      <c r="G4044">
        <v>54566855592</v>
      </c>
      <c r="H4044" t="s">
        <v>35</v>
      </c>
      <c r="I4044" s="36">
        <v>259.5</v>
      </c>
      <c r="J4044" s="36">
        <v>3114</v>
      </c>
      <c r="K4044" s="85">
        <v>0</v>
      </c>
      <c r="L4044" s="36">
        <v>259.5</v>
      </c>
      <c r="M4044" s="36">
        <v>259.5</v>
      </c>
      <c r="N4044" s="36">
        <v>0</v>
      </c>
      <c r="O4044" s="36">
        <v>0</v>
      </c>
      <c r="P4044" t="s">
        <v>2004</v>
      </c>
      <c r="Q4044" t="s">
        <v>300</v>
      </c>
      <c r="R4044" t="s">
        <v>300</v>
      </c>
      <c r="S4044" s="1">
        <v>46135</v>
      </c>
      <c r="T4044" s="1">
        <v>46135</v>
      </c>
      <c r="V4044" s="1"/>
      <c r="W4044" t="s">
        <v>2733</v>
      </c>
      <c r="Y4044" t="s">
        <v>49</v>
      </c>
      <c r="AA4044" t="s">
        <v>122</v>
      </c>
      <c r="AB4044">
        <v>1</v>
      </c>
      <c r="AC4044" t="s">
        <v>301</v>
      </c>
      <c r="AD4044" t="s">
        <v>2734</v>
      </c>
      <c r="AE4044" t="s">
        <v>106</v>
      </c>
      <c r="AF4044" t="s">
        <v>59</v>
      </c>
      <c r="AG4044" t="str">
        <f t="shared" si="87"/>
        <v>Recorrente</v>
      </c>
      <c r="AH4044" t="str">
        <f t="shared" si="88"/>
        <v/>
      </c>
    </row>
    <row r="4045" spans="1:34">
      <c r="A4045">
        <v>2026</v>
      </c>
      <c r="B4045">
        <v>4</v>
      </c>
      <c r="C4045" s="83">
        <v>54404845604</v>
      </c>
      <c r="D4045" t="s">
        <v>3518</v>
      </c>
      <c r="E4045">
        <v>59092338972</v>
      </c>
      <c r="F4045">
        <v>637332</v>
      </c>
      <c r="G4045">
        <v>54703838722</v>
      </c>
      <c r="H4045" t="s">
        <v>35</v>
      </c>
      <c r="I4045" s="36">
        <v>6291.36</v>
      </c>
      <c r="J4045" s="36">
        <v>6291.3029999999999</v>
      </c>
      <c r="K4045" s="85">
        <v>5.7000000000000002E-2</v>
      </c>
      <c r="L4045" s="36">
        <v>524.27525000000003</v>
      </c>
      <c r="M4045" s="36">
        <v>524.27525000000003</v>
      </c>
      <c r="N4045" s="36">
        <v>0</v>
      </c>
      <c r="O4045" s="36">
        <v>0</v>
      </c>
      <c r="P4045" t="s">
        <v>506</v>
      </c>
      <c r="Q4045" t="s">
        <v>300</v>
      </c>
      <c r="R4045" t="s">
        <v>300</v>
      </c>
      <c r="S4045" s="1">
        <v>46136</v>
      </c>
      <c r="T4045" s="1">
        <v>46136</v>
      </c>
      <c r="V4045" s="1">
        <v>46501</v>
      </c>
      <c r="W4045" t="s">
        <v>38</v>
      </c>
      <c r="X4045">
        <v>12</v>
      </c>
      <c r="Y4045" t="s">
        <v>49</v>
      </c>
      <c r="AA4045" t="s">
        <v>117</v>
      </c>
      <c r="AB4045">
        <v>1</v>
      </c>
      <c r="AC4045" t="s">
        <v>301</v>
      </c>
      <c r="AD4045" t="s">
        <v>94</v>
      </c>
      <c r="AE4045" t="s">
        <v>95</v>
      </c>
      <c r="AF4045" t="s">
        <v>96</v>
      </c>
      <c r="AG4045" t="str">
        <f t="shared" si="87"/>
        <v>À Vista</v>
      </c>
      <c r="AH4045" t="str">
        <f t="shared" si="88"/>
        <v/>
      </c>
    </row>
    <row r="4046" spans="1:34">
      <c r="A4046">
        <v>2026</v>
      </c>
      <c r="B4046">
        <v>4</v>
      </c>
      <c r="C4046" s="83">
        <v>54446810249</v>
      </c>
      <c r="D4046" t="s">
        <v>3519</v>
      </c>
      <c r="E4046">
        <v>59724935325</v>
      </c>
      <c r="F4046">
        <v>637513</v>
      </c>
      <c r="G4046">
        <v>54917926740</v>
      </c>
      <c r="H4046" t="s">
        <v>35</v>
      </c>
      <c r="I4046" s="36">
        <v>5718.6</v>
      </c>
      <c r="J4046" s="36">
        <v>5718.6</v>
      </c>
      <c r="K4046" s="85">
        <v>0</v>
      </c>
      <c r="L4046" s="36">
        <v>476.55</v>
      </c>
      <c r="M4046" s="36">
        <v>476.55</v>
      </c>
      <c r="N4046" s="36">
        <v>0</v>
      </c>
      <c r="O4046" s="36">
        <v>0</v>
      </c>
      <c r="P4046" t="s">
        <v>313</v>
      </c>
      <c r="Q4046" t="s">
        <v>349</v>
      </c>
      <c r="R4046" t="s">
        <v>349</v>
      </c>
      <c r="S4046" s="1">
        <v>46142</v>
      </c>
      <c r="T4046" s="1">
        <v>46142</v>
      </c>
      <c r="V4046" s="1">
        <v>46507</v>
      </c>
      <c r="W4046" t="s">
        <v>38</v>
      </c>
      <c r="X4046">
        <v>12</v>
      </c>
      <c r="Y4046" t="s">
        <v>49</v>
      </c>
      <c r="AA4046" t="s">
        <v>92</v>
      </c>
      <c r="AB4046">
        <v>12</v>
      </c>
      <c r="AC4046" t="s">
        <v>350</v>
      </c>
      <c r="AD4046" t="s">
        <v>149</v>
      </c>
      <c r="AE4046" t="s">
        <v>43</v>
      </c>
      <c r="AF4046" t="s">
        <v>96</v>
      </c>
      <c r="AG4046" t="str">
        <f t="shared" si="87"/>
        <v>Recorrente</v>
      </c>
      <c r="AH4046" t="str">
        <f t="shared" si="88"/>
        <v/>
      </c>
    </row>
    <row r="4047" spans="1:34">
      <c r="A4047">
        <v>2026</v>
      </c>
      <c r="B4047">
        <v>4</v>
      </c>
      <c r="C4047" s="83">
        <v>54446810249</v>
      </c>
      <c r="D4047" t="s">
        <v>3519</v>
      </c>
      <c r="E4047">
        <v>59724935325</v>
      </c>
      <c r="F4047">
        <v>637513</v>
      </c>
      <c r="G4047">
        <v>54917926741</v>
      </c>
      <c r="H4047" t="s">
        <v>35</v>
      </c>
      <c r="I4047" s="36">
        <v>8634.6</v>
      </c>
      <c r="J4047" s="36">
        <v>8634.6</v>
      </c>
      <c r="K4047" s="85">
        <v>0</v>
      </c>
      <c r="L4047" s="36">
        <v>719.55</v>
      </c>
      <c r="M4047" s="36">
        <v>719.55</v>
      </c>
      <c r="N4047" s="36">
        <v>0</v>
      </c>
      <c r="O4047" s="36">
        <v>0</v>
      </c>
      <c r="P4047" t="s">
        <v>313</v>
      </c>
      <c r="Q4047" t="s">
        <v>349</v>
      </c>
      <c r="R4047" t="s">
        <v>349</v>
      </c>
      <c r="S4047" s="1">
        <v>46142</v>
      </c>
      <c r="T4047" s="1">
        <v>46142</v>
      </c>
      <c r="V4047" s="1">
        <v>46507</v>
      </c>
      <c r="W4047" t="s">
        <v>38</v>
      </c>
      <c r="X4047">
        <v>12</v>
      </c>
      <c r="Y4047" t="s">
        <v>49</v>
      </c>
      <c r="AA4047" t="s">
        <v>92</v>
      </c>
      <c r="AB4047">
        <v>12</v>
      </c>
      <c r="AC4047" t="s">
        <v>350</v>
      </c>
      <c r="AD4047" t="s">
        <v>131</v>
      </c>
      <c r="AE4047" t="s">
        <v>46</v>
      </c>
      <c r="AF4047" t="s">
        <v>96</v>
      </c>
      <c r="AG4047" t="str">
        <f t="shared" si="87"/>
        <v>Recorrente</v>
      </c>
      <c r="AH4047" t="str">
        <f t="shared" si="88"/>
        <v/>
      </c>
    </row>
    <row r="4048" spans="1:34">
      <c r="A4048">
        <v>2026</v>
      </c>
      <c r="B4048">
        <v>4</v>
      </c>
      <c r="C4048" s="83">
        <v>54446810249</v>
      </c>
      <c r="D4048" t="s">
        <v>3519</v>
      </c>
      <c r="E4048">
        <v>59724935325</v>
      </c>
      <c r="F4048">
        <v>637513</v>
      </c>
      <c r="G4048">
        <v>54917926742</v>
      </c>
      <c r="H4048" t="s">
        <v>35</v>
      </c>
      <c r="I4048" s="36">
        <v>7554.6</v>
      </c>
      <c r="J4048" s="36">
        <v>7554.6</v>
      </c>
      <c r="K4048" s="85">
        <v>0</v>
      </c>
      <c r="L4048" s="36">
        <v>629.54999999999995</v>
      </c>
      <c r="M4048" s="36">
        <v>629.54999999999995</v>
      </c>
      <c r="N4048" s="36">
        <v>0</v>
      </c>
      <c r="O4048" s="36">
        <v>0</v>
      </c>
      <c r="P4048" t="s">
        <v>313</v>
      </c>
      <c r="Q4048" t="s">
        <v>349</v>
      </c>
      <c r="R4048" t="s">
        <v>349</v>
      </c>
      <c r="S4048" s="1">
        <v>46142</v>
      </c>
      <c r="T4048" s="1">
        <v>46142</v>
      </c>
      <c r="V4048" s="1">
        <v>46507</v>
      </c>
      <c r="W4048" t="s">
        <v>38</v>
      </c>
      <c r="X4048">
        <v>12</v>
      </c>
      <c r="Y4048" t="s">
        <v>49</v>
      </c>
      <c r="AA4048" t="s">
        <v>92</v>
      </c>
      <c r="AB4048">
        <v>12</v>
      </c>
      <c r="AC4048" t="s">
        <v>350</v>
      </c>
      <c r="AD4048" t="s">
        <v>94</v>
      </c>
      <c r="AE4048" t="s">
        <v>95</v>
      </c>
      <c r="AF4048" t="s">
        <v>96</v>
      </c>
      <c r="AG4048" t="str">
        <f t="shared" si="87"/>
        <v>Recorrente</v>
      </c>
      <c r="AH4048" t="str">
        <f t="shared" si="88"/>
        <v/>
      </c>
    </row>
    <row r="4049" spans="1:34">
      <c r="A4049">
        <v>2026</v>
      </c>
      <c r="B4049">
        <v>4</v>
      </c>
      <c r="C4049" s="83">
        <v>54512130834</v>
      </c>
      <c r="D4049" t="s">
        <v>3520</v>
      </c>
      <c r="E4049">
        <v>59806434363</v>
      </c>
      <c r="F4049">
        <v>637467</v>
      </c>
      <c r="G4049">
        <v>54880536910</v>
      </c>
      <c r="H4049" t="s">
        <v>35</v>
      </c>
      <c r="I4049" s="36">
        <v>3666.6</v>
      </c>
      <c r="J4049" s="36">
        <v>3666.6</v>
      </c>
      <c r="K4049" s="85">
        <v>0</v>
      </c>
      <c r="L4049" s="36">
        <v>305.55</v>
      </c>
      <c r="M4049" s="36">
        <v>305.55</v>
      </c>
      <c r="N4049" s="36">
        <v>0</v>
      </c>
      <c r="O4049" s="36">
        <v>0</v>
      </c>
      <c r="P4049" t="s">
        <v>506</v>
      </c>
      <c r="Q4049" t="s">
        <v>300</v>
      </c>
      <c r="R4049" t="s">
        <v>300</v>
      </c>
      <c r="S4049" s="1">
        <v>46141</v>
      </c>
      <c r="T4049" s="1">
        <v>46141</v>
      </c>
      <c r="V4049" s="1">
        <v>46506</v>
      </c>
      <c r="W4049" t="s">
        <v>38</v>
      </c>
      <c r="X4049">
        <v>12</v>
      </c>
      <c r="Y4049" t="s">
        <v>49</v>
      </c>
      <c r="AA4049" t="s">
        <v>122</v>
      </c>
      <c r="AB4049">
        <v>12</v>
      </c>
      <c r="AC4049" t="s">
        <v>301</v>
      </c>
      <c r="AD4049" t="s">
        <v>160</v>
      </c>
      <c r="AE4049" t="s">
        <v>43</v>
      </c>
      <c r="AF4049" t="s">
        <v>44</v>
      </c>
      <c r="AG4049" t="str">
        <f t="shared" si="87"/>
        <v>Recorrente</v>
      </c>
      <c r="AH4049" t="str">
        <f t="shared" si="88"/>
        <v/>
      </c>
    </row>
    <row r="4050" spans="1:34">
      <c r="A4050">
        <v>2026</v>
      </c>
      <c r="B4050">
        <v>4</v>
      </c>
      <c r="C4050" s="83">
        <v>54512170623</v>
      </c>
      <c r="D4050" t="s">
        <v>3521</v>
      </c>
      <c r="E4050">
        <v>59779128185</v>
      </c>
      <c r="F4050">
        <v>637424</v>
      </c>
      <c r="G4050">
        <v>54839833472</v>
      </c>
      <c r="H4050" t="s">
        <v>35</v>
      </c>
      <c r="I4050" s="36">
        <v>5754</v>
      </c>
      <c r="J4050" s="36">
        <v>5754</v>
      </c>
      <c r="K4050" s="85">
        <v>0</v>
      </c>
      <c r="L4050" s="36">
        <v>479.5</v>
      </c>
      <c r="M4050" s="36">
        <v>479.5</v>
      </c>
      <c r="N4050" s="36">
        <v>0</v>
      </c>
      <c r="O4050" s="36">
        <v>0</v>
      </c>
      <c r="P4050" t="s">
        <v>2004</v>
      </c>
      <c r="Q4050" t="s">
        <v>300</v>
      </c>
      <c r="R4050" t="s">
        <v>300</v>
      </c>
      <c r="S4050" s="1">
        <v>46140</v>
      </c>
      <c r="T4050" s="1">
        <v>46140</v>
      </c>
      <c r="V4050" s="1">
        <v>46505</v>
      </c>
      <c r="W4050" t="s">
        <v>38</v>
      </c>
      <c r="X4050">
        <v>12</v>
      </c>
      <c r="Y4050" t="s">
        <v>49</v>
      </c>
      <c r="AA4050" t="s">
        <v>122</v>
      </c>
      <c r="AB4050">
        <v>12</v>
      </c>
      <c r="AC4050" t="s">
        <v>301</v>
      </c>
      <c r="AD4050" t="s">
        <v>85</v>
      </c>
      <c r="AE4050" t="s">
        <v>46</v>
      </c>
      <c r="AF4050" t="s">
        <v>44</v>
      </c>
      <c r="AG4050" t="str">
        <f t="shared" si="87"/>
        <v>Recorrente</v>
      </c>
      <c r="AH4050" t="str">
        <f t="shared" si="88"/>
        <v/>
      </c>
    </row>
    <row r="4051" spans="1:34">
      <c r="A4051">
        <v>2026</v>
      </c>
      <c r="B4051">
        <v>4</v>
      </c>
      <c r="C4051" s="83">
        <v>54512179237</v>
      </c>
      <c r="D4051" t="s">
        <v>3522</v>
      </c>
      <c r="E4051">
        <v>59770037861</v>
      </c>
      <c r="F4051">
        <v>637496</v>
      </c>
      <c r="G4051">
        <v>54804071589</v>
      </c>
      <c r="H4051" t="s">
        <v>35</v>
      </c>
      <c r="I4051" s="36">
        <v>61590</v>
      </c>
      <c r="J4051" s="36">
        <v>61590</v>
      </c>
      <c r="K4051" s="85">
        <v>0</v>
      </c>
      <c r="L4051" s="36">
        <v>5132.5</v>
      </c>
      <c r="M4051" s="36">
        <v>5132.5</v>
      </c>
      <c r="N4051" s="36">
        <v>0</v>
      </c>
      <c r="O4051" s="36">
        <v>0</v>
      </c>
      <c r="P4051" t="s">
        <v>668</v>
      </c>
      <c r="Q4051" t="s">
        <v>91</v>
      </c>
      <c r="R4051" t="s">
        <v>91</v>
      </c>
      <c r="S4051" s="1">
        <v>46142</v>
      </c>
      <c r="T4051" s="1">
        <v>46142</v>
      </c>
      <c r="V4051" s="1">
        <v>46518</v>
      </c>
      <c r="W4051" t="s">
        <v>38</v>
      </c>
      <c r="X4051">
        <v>13</v>
      </c>
      <c r="Y4051" t="s">
        <v>49</v>
      </c>
      <c r="AA4051" t="s">
        <v>92</v>
      </c>
      <c r="AB4051">
        <v>12</v>
      </c>
      <c r="AC4051" t="s">
        <v>93</v>
      </c>
      <c r="AD4051" t="s">
        <v>351</v>
      </c>
      <c r="AE4051" t="s">
        <v>95</v>
      </c>
      <c r="AF4051" t="s">
        <v>96</v>
      </c>
      <c r="AG4051" t="str">
        <f t="shared" si="87"/>
        <v>Recorrente</v>
      </c>
      <c r="AH4051" t="str">
        <f t="shared" si="88"/>
        <v/>
      </c>
    </row>
    <row r="4052" spans="1:34">
      <c r="A4052">
        <v>2026</v>
      </c>
      <c r="B4052">
        <v>4</v>
      </c>
      <c r="C4052" s="83">
        <v>54512253778</v>
      </c>
      <c r="D4052" t="s">
        <v>3523</v>
      </c>
      <c r="E4052">
        <v>59806894947</v>
      </c>
      <c r="F4052">
        <v>637503</v>
      </c>
      <c r="G4052">
        <v>54884877148</v>
      </c>
      <c r="H4052" t="s">
        <v>35</v>
      </c>
      <c r="I4052" s="36">
        <v>4638.6000000000004</v>
      </c>
      <c r="J4052" s="36">
        <v>4638.6000000000004</v>
      </c>
      <c r="K4052" s="85">
        <v>0</v>
      </c>
      <c r="L4052" s="36">
        <v>386.55</v>
      </c>
      <c r="M4052" s="36">
        <v>386.55</v>
      </c>
      <c r="N4052" s="36">
        <v>0</v>
      </c>
      <c r="O4052" s="36">
        <v>0</v>
      </c>
      <c r="P4052" t="s">
        <v>348</v>
      </c>
      <c r="Q4052" t="s">
        <v>349</v>
      </c>
      <c r="R4052" t="s">
        <v>349</v>
      </c>
      <c r="S4052" s="1">
        <v>46142</v>
      </c>
      <c r="T4052" s="1">
        <v>46142</v>
      </c>
      <c r="V4052" s="1">
        <v>46507</v>
      </c>
      <c r="W4052" t="s">
        <v>38</v>
      </c>
      <c r="X4052">
        <v>12</v>
      </c>
      <c r="Y4052" t="s">
        <v>49</v>
      </c>
      <c r="AA4052" t="s">
        <v>112</v>
      </c>
      <c r="AB4052">
        <v>12</v>
      </c>
      <c r="AC4052" t="s">
        <v>350</v>
      </c>
      <c r="AD4052" t="s">
        <v>163</v>
      </c>
      <c r="AE4052" t="s">
        <v>43</v>
      </c>
      <c r="AF4052" t="s">
        <v>96</v>
      </c>
      <c r="AG4052" t="str">
        <f t="shared" si="87"/>
        <v>CC 12x</v>
      </c>
      <c r="AH4052" t="str">
        <f t="shared" si="88"/>
        <v/>
      </c>
    </row>
    <row r="4053" spans="1:34">
      <c r="A4053">
        <v>2026</v>
      </c>
      <c r="B4053">
        <v>4</v>
      </c>
      <c r="C4053" s="83">
        <v>54533434439</v>
      </c>
      <c r="D4053" t="s">
        <v>3524</v>
      </c>
      <c r="E4053">
        <v>59865608118</v>
      </c>
      <c r="F4053">
        <v>637506</v>
      </c>
      <c r="G4053">
        <v>54884829954</v>
      </c>
      <c r="H4053" t="s">
        <v>35</v>
      </c>
      <c r="I4053" s="36">
        <v>259.5</v>
      </c>
      <c r="J4053" s="36">
        <v>3114</v>
      </c>
      <c r="K4053" s="85">
        <v>0</v>
      </c>
      <c r="L4053" s="36">
        <v>259.5</v>
      </c>
      <c r="M4053" s="36">
        <v>259.5</v>
      </c>
      <c r="N4053" s="36">
        <v>0</v>
      </c>
      <c r="O4053" s="36">
        <v>0</v>
      </c>
      <c r="P4053" t="s">
        <v>2004</v>
      </c>
      <c r="Q4053" t="s">
        <v>300</v>
      </c>
      <c r="R4053" t="s">
        <v>300</v>
      </c>
      <c r="S4053" s="1">
        <v>46142</v>
      </c>
      <c r="T4053" s="1">
        <v>46142</v>
      </c>
      <c r="V4053" s="1"/>
      <c r="W4053" t="s">
        <v>2733</v>
      </c>
      <c r="Y4053" t="s">
        <v>49</v>
      </c>
      <c r="AA4053" t="s">
        <v>122</v>
      </c>
      <c r="AB4053">
        <v>1</v>
      </c>
      <c r="AC4053" t="s">
        <v>301</v>
      </c>
      <c r="AD4053" t="s">
        <v>2734</v>
      </c>
      <c r="AE4053" t="s">
        <v>106</v>
      </c>
      <c r="AF4053" t="s">
        <v>59</v>
      </c>
      <c r="AG4053" t="str">
        <f t="shared" si="87"/>
        <v>Recorrente</v>
      </c>
      <c r="AH4053" t="str">
        <f t="shared" si="88"/>
        <v/>
      </c>
    </row>
    <row r="4054" spans="1:34">
      <c r="A4054">
        <v>2026</v>
      </c>
      <c r="B4054">
        <v>4</v>
      </c>
      <c r="C4054" s="83">
        <v>54589263222</v>
      </c>
      <c r="D4054" t="s">
        <v>3525</v>
      </c>
      <c r="E4054">
        <v>59812188509</v>
      </c>
      <c r="F4054">
        <v>637482</v>
      </c>
      <c r="G4054">
        <v>54880824929</v>
      </c>
      <c r="H4054" t="s">
        <v>35</v>
      </c>
      <c r="I4054" s="36">
        <v>2874</v>
      </c>
      <c r="J4054" s="36">
        <v>2874</v>
      </c>
      <c r="K4054" s="85">
        <v>0</v>
      </c>
      <c r="L4054" s="36">
        <v>239.5</v>
      </c>
      <c r="M4054" s="36">
        <v>239.5</v>
      </c>
      <c r="N4054" s="36">
        <v>0</v>
      </c>
      <c r="O4054" s="36">
        <v>0</v>
      </c>
      <c r="P4054" t="s">
        <v>1339</v>
      </c>
      <c r="Q4054" t="s">
        <v>498</v>
      </c>
      <c r="R4054" t="s">
        <v>498</v>
      </c>
      <c r="S4054" s="1">
        <v>46141</v>
      </c>
      <c r="T4054" s="1">
        <v>46141</v>
      </c>
      <c r="V4054" s="1">
        <v>46506</v>
      </c>
      <c r="W4054" t="s">
        <v>38</v>
      </c>
      <c r="X4054">
        <v>12</v>
      </c>
      <c r="Y4054" t="s">
        <v>49</v>
      </c>
      <c r="AA4054" t="s">
        <v>112</v>
      </c>
      <c r="AB4054">
        <v>12</v>
      </c>
      <c r="AC4054" t="s">
        <v>499</v>
      </c>
      <c r="AD4054" t="s">
        <v>140</v>
      </c>
      <c r="AE4054" t="s">
        <v>46</v>
      </c>
      <c r="AF4054" t="s">
        <v>119</v>
      </c>
      <c r="AG4054" t="str">
        <f t="shared" si="87"/>
        <v>CC 12x</v>
      </c>
      <c r="AH4054" t="str">
        <f t="shared" si="88"/>
        <v/>
      </c>
    </row>
    <row r="4055" spans="1:34">
      <c r="A4055">
        <v>2026</v>
      </c>
      <c r="B4055">
        <v>4</v>
      </c>
      <c r="C4055" s="83">
        <v>54589387013</v>
      </c>
      <c r="D4055" t="s">
        <v>3526</v>
      </c>
      <c r="E4055">
        <v>59861177966</v>
      </c>
      <c r="F4055">
        <v>637531</v>
      </c>
      <c r="G4055">
        <v>54947512206</v>
      </c>
      <c r="H4055" t="s">
        <v>35</v>
      </c>
      <c r="I4055" s="36">
        <v>9354</v>
      </c>
      <c r="J4055" s="36">
        <v>9354</v>
      </c>
      <c r="K4055" s="85">
        <v>0</v>
      </c>
      <c r="L4055" s="36">
        <v>779.5</v>
      </c>
      <c r="M4055" s="36">
        <v>779.5</v>
      </c>
      <c r="N4055" s="36">
        <v>0</v>
      </c>
      <c r="O4055" s="36">
        <v>0</v>
      </c>
      <c r="P4055" t="s">
        <v>129</v>
      </c>
      <c r="Q4055" t="s">
        <v>91</v>
      </c>
      <c r="R4055" t="s">
        <v>91</v>
      </c>
      <c r="S4055" s="1">
        <v>46142</v>
      </c>
      <c r="T4055" s="1">
        <v>46142</v>
      </c>
      <c r="V4055" s="1">
        <v>46512</v>
      </c>
      <c r="W4055" t="s">
        <v>38</v>
      </c>
      <c r="X4055">
        <v>13</v>
      </c>
      <c r="Y4055" t="s">
        <v>49</v>
      </c>
      <c r="AA4055" t="s">
        <v>122</v>
      </c>
      <c r="AB4055">
        <v>12</v>
      </c>
      <c r="AC4055" t="s">
        <v>93</v>
      </c>
      <c r="AD4055" t="s">
        <v>134</v>
      </c>
      <c r="AE4055" t="s">
        <v>135</v>
      </c>
      <c r="AF4055" t="s">
        <v>44</v>
      </c>
      <c r="AG4055" t="str">
        <f t="shared" si="87"/>
        <v>Recorrente</v>
      </c>
      <c r="AH4055" t="str">
        <f t="shared" si="88"/>
        <v/>
      </c>
    </row>
    <row r="4056" spans="1:34">
      <c r="A4056">
        <v>2026</v>
      </c>
      <c r="B4056">
        <v>4</v>
      </c>
      <c r="C4056" s="83">
        <v>54596613723</v>
      </c>
      <c r="D4056" t="s">
        <v>3527</v>
      </c>
      <c r="E4056">
        <v>47966167442</v>
      </c>
      <c r="F4056">
        <v>637522</v>
      </c>
      <c r="G4056">
        <v>54917937188</v>
      </c>
      <c r="H4056" t="s">
        <v>35</v>
      </c>
      <c r="I4056" s="36">
        <v>54360</v>
      </c>
      <c r="J4056" s="36">
        <v>10872</v>
      </c>
      <c r="K4056" s="85">
        <v>43488</v>
      </c>
      <c r="L4056" s="36">
        <v>906</v>
      </c>
      <c r="M4056" s="36">
        <v>906</v>
      </c>
      <c r="N4056" s="36">
        <v>0</v>
      </c>
      <c r="O4056" s="36">
        <v>0</v>
      </c>
      <c r="P4056" t="s">
        <v>66</v>
      </c>
      <c r="Q4056" t="s">
        <v>37</v>
      </c>
      <c r="R4056" t="s">
        <v>37</v>
      </c>
      <c r="S4056" s="1">
        <v>46142</v>
      </c>
      <c r="T4056" s="1">
        <v>46142</v>
      </c>
      <c r="V4056" s="1">
        <v>47968</v>
      </c>
      <c r="W4056" t="s">
        <v>1633</v>
      </c>
      <c r="X4056">
        <v>60</v>
      </c>
      <c r="Y4056" t="s">
        <v>49</v>
      </c>
      <c r="AA4056" t="s">
        <v>40</v>
      </c>
      <c r="AB4056">
        <v>1</v>
      </c>
      <c r="AC4056" t="s">
        <v>41</v>
      </c>
      <c r="AD4056" t="s">
        <v>54</v>
      </c>
      <c r="AE4056" t="s">
        <v>46</v>
      </c>
      <c r="AF4056" t="s">
        <v>44</v>
      </c>
      <c r="AG4056" t="str">
        <f t="shared" si="87"/>
        <v>À Vista</v>
      </c>
      <c r="AH4056" t="str">
        <f t="shared" si="88"/>
        <v/>
      </c>
    </row>
    <row r="4057" spans="1:34">
      <c r="A4057">
        <v>2026</v>
      </c>
      <c r="B4057">
        <v>4</v>
      </c>
      <c r="C4057" s="83">
        <v>54596613723</v>
      </c>
      <c r="D4057" t="s">
        <v>3527</v>
      </c>
      <c r="E4057">
        <v>47966167442</v>
      </c>
      <c r="F4057">
        <v>637522</v>
      </c>
      <c r="G4057">
        <v>54917937189</v>
      </c>
      <c r="H4057" t="s">
        <v>35</v>
      </c>
      <c r="I4057" s="36">
        <v>92880</v>
      </c>
      <c r="J4057" s="36">
        <v>18576</v>
      </c>
      <c r="K4057" s="85">
        <v>74304</v>
      </c>
      <c r="L4057" s="36">
        <v>1548</v>
      </c>
      <c r="M4057" s="36">
        <v>1548</v>
      </c>
      <c r="N4057" s="36">
        <v>0</v>
      </c>
      <c r="O4057" s="36">
        <v>0</v>
      </c>
      <c r="P4057" t="s">
        <v>66</v>
      </c>
      <c r="Q4057" t="s">
        <v>37</v>
      </c>
      <c r="R4057" t="s">
        <v>37</v>
      </c>
      <c r="S4057" s="1">
        <v>46142</v>
      </c>
      <c r="T4057" s="1">
        <v>46142</v>
      </c>
      <c r="V4057" s="1">
        <v>47968</v>
      </c>
      <c r="W4057" t="s">
        <v>1633</v>
      </c>
      <c r="X4057">
        <v>60</v>
      </c>
      <c r="Y4057" t="s">
        <v>49</v>
      </c>
      <c r="AA4057" t="s">
        <v>40</v>
      </c>
      <c r="AB4057">
        <v>1</v>
      </c>
      <c r="AC4057" t="s">
        <v>41</v>
      </c>
      <c r="AD4057" t="s">
        <v>53</v>
      </c>
      <c r="AE4057" t="s">
        <v>43</v>
      </c>
      <c r="AF4057" t="s">
        <v>44</v>
      </c>
      <c r="AG4057" t="str">
        <f t="shared" si="87"/>
        <v>À Vista</v>
      </c>
      <c r="AH4057" t="str">
        <f t="shared" si="88"/>
        <v/>
      </c>
    </row>
    <row r="4058" spans="1:34">
      <c r="A4058">
        <v>2026</v>
      </c>
      <c r="B4058">
        <v>4</v>
      </c>
      <c r="C4058" s="83">
        <v>56733569794</v>
      </c>
      <c r="D4058" t="s">
        <v>3528</v>
      </c>
      <c r="E4058">
        <v>58962527553</v>
      </c>
      <c r="F4058">
        <v>636962</v>
      </c>
      <c r="G4058">
        <v>54118761771</v>
      </c>
      <c r="H4058" t="s">
        <v>35</v>
      </c>
      <c r="I4058" s="36">
        <v>2400</v>
      </c>
      <c r="J4058" s="36">
        <v>2400</v>
      </c>
      <c r="K4058" s="85">
        <v>0</v>
      </c>
      <c r="L4058" s="36">
        <v>200</v>
      </c>
      <c r="M4058" s="36">
        <v>200</v>
      </c>
      <c r="N4058" s="36">
        <v>0</v>
      </c>
      <c r="O4058" s="36">
        <v>0</v>
      </c>
      <c r="P4058" t="s">
        <v>511</v>
      </c>
      <c r="Q4058" t="s">
        <v>300</v>
      </c>
      <c r="R4058" t="s">
        <v>300</v>
      </c>
      <c r="S4058" s="1">
        <v>46120</v>
      </c>
      <c r="T4058" s="1">
        <v>46120</v>
      </c>
      <c r="U4058" s="1"/>
      <c r="V4058" s="1">
        <v>46485</v>
      </c>
      <c r="W4058" t="s">
        <v>38</v>
      </c>
      <c r="X4058">
        <v>12</v>
      </c>
      <c r="Y4058" t="s">
        <v>49</v>
      </c>
      <c r="AA4058" t="s">
        <v>117</v>
      </c>
      <c r="AB4058">
        <v>1</v>
      </c>
      <c r="AC4058" t="s">
        <v>301</v>
      </c>
      <c r="AD4058" t="s">
        <v>118</v>
      </c>
      <c r="AE4058" t="s">
        <v>43</v>
      </c>
      <c r="AF4058" t="s">
        <v>119</v>
      </c>
      <c r="AG4058" t="str">
        <f t="shared" si="87"/>
        <v>À Vista</v>
      </c>
      <c r="AH4058" t="str">
        <f t="shared" si="88"/>
        <v/>
      </c>
    </row>
    <row r="4059" spans="1:34">
      <c r="A4059">
        <v>2026</v>
      </c>
      <c r="B4059">
        <v>4</v>
      </c>
      <c r="C4059" s="83">
        <v>56851428784</v>
      </c>
      <c r="D4059" t="s">
        <v>3529</v>
      </c>
      <c r="E4059">
        <v>58522159649</v>
      </c>
      <c r="F4059">
        <v>270342</v>
      </c>
      <c r="G4059">
        <v>54006745352</v>
      </c>
      <c r="H4059" t="s">
        <v>35</v>
      </c>
      <c r="I4059" s="36">
        <v>4452.6000000000004</v>
      </c>
      <c r="J4059" s="36">
        <v>4452.6000000000004</v>
      </c>
      <c r="K4059" s="85">
        <v>0</v>
      </c>
      <c r="L4059" s="36">
        <v>371.05</v>
      </c>
      <c r="M4059" s="36">
        <v>0</v>
      </c>
      <c r="N4059" s="36">
        <v>0</v>
      </c>
      <c r="O4059" s="36">
        <v>371.04624999999999</v>
      </c>
      <c r="P4059" t="s">
        <v>110</v>
      </c>
      <c r="Q4059" t="s">
        <v>111</v>
      </c>
      <c r="R4059" t="s">
        <v>111</v>
      </c>
      <c r="S4059" s="1">
        <v>46118</v>
      </c>
      <c r="T4059" s="1">
        <v>46118</v>
      </c>
      <c r="U4059" s="1">
        <v>46113</v>
      </c>
      <c r="V4059" s="1">
        <v>46483</v>
      </c>
      <c r="W4059" t="s">
        <v>38</v>
      </c>
      <c r="X4059">
        <v>12</v>
      </c>
      <c r="Y4059" t="s">
        <v>49</v>
      </c>
      <c r="Z4059" t="s">
        <v>81</v>
      </c>
      <c r="AA4059" t="s">
        <v>112</v>
      </c>
      <c r="AB4059">
        <v>12</v>
      </c>
      <c r="AC4059" t="s">
        <v>113</v>
      </c>
      <c r="AD4059" t="s">
        <v>138</v>
      </c>
      <c r="AE4059" t="s">
        <v>135</v>
      </c>
      <c r="AF4059" t="s">
        <v>119</v>
      </c>
      <c r="AG4059" t="str">
        <f t="shared" si="87"/>
        <v>CC 12x</v>
      </c>
      <c r="AH4059" t="str">
        <f t="shared" si="88"/>
        <v/>
      </c>
    </row>
    <row r="4060" spans="1:34">
      <c r="A4060">
        <v>2026</v>
      </c>
      <c r="B4060">
        <v>4</v>
      </c>
      <c r="C4060" s="83">
        <v>67389039112</v>
      </c>
      <c r="D4060" t="s">
        <v>3530</v>
      </c>
      <c r="E4060">
        <v>58914310292</v>
      </c>
      <c r="F4060">
        <v>636925</v>
      </c>
      <c r="G4060">
        <v>54041861634</v>
      </c>
      <c r="H4060" t="s">
        <v>35</v>
      </c>
      <c r="I4060" s="36">
        <v>2874</v>
      </c>
      <c r="J4060" s="36">
        <v>2874</v>
      </c>
      <c r="K4060" s="85">
        <v>0</v>
      </c>
      <c r="L4060" s="36">
        <v>239.5</v>
      </c>
      <c r="M4060" s="36">
        <v>239.5</v>
      </c>
      <c r="N4060" s="36">
        <v>0</v>
      </c>
      <c r="O4060" s="36">
        <v>0</v>
      </c>
      <c r="P4060" t="s">
        <v>2004</v>
      </c>
      <c r="Q4060" t="s">
        <v>300</v>
      </c>
      <c r="R4060" t="s">
        <v>300</v>
      </c>
      <c r="S4060" s="1">
        <v>46119</v>
      </c>
      <c r="T4060" s="1">
        <v>46119</v>
      </c>
      <c r="V4060" s="1">
        <v>46484</v>
      </c>
      <c r="W4060" t="s">
        <v>38</v>
      </c>
      <c r="X4060">
        <v>12</v>
      </c>
      <c r="Y4060" t="s">
        <v>49</v>
      </c>
      <c r="AA4060" t="s">
        <v>122</v>
      </c>
      <c r="AB4060">
        <v>12</v>
      </c>
      <c r="AC4060" t="s">
        <v>301</v>
      </c>
      <c r="AD4060" t="s">
        <v>140</v>
      </c>
      <c r="AE4060" t="s">
        <v>46</v>
      </c>
      <c r="AF4060" t="s">
        <v>119</v>
      </c>
      <c r="AG4060" t="str">
        <f t="shared" si="87"/>
        <v>Recorrente</v>
      </c>
      <c r="AH4060" t="str">
        <f t="shared" si="88"/>
        <v/>
      </c>
    </row>
    <row r="4061" spans="1:34">
      <c r="A4061">
        <v>2026</v>
      </c>
      <c r="B4061">
        <v>4</v>
      </c>
      <c r="C4061" s="83">
        <v>82510196314</v>
      </c>
      <c r="D4061" t="s">
        <v>3531</v>
      </c>
      <c r="E4061">
        <v>58632890796</v>
      </c>
      <c r="F4061">
        <v>636854</v>
      </c>
      <c r="G4061">
        <v>53854223253</v>
      </c>
      <c r="H4061" t="s">
        <v>35</v>
      </c>
      <c r="I4061" s="36">
        <v>2874</v>
      </c>
      <c r="J4061" s="36">
        <v>2874</v>
      </c>
      <c r="K4061" s="85">
        <v>0</v>
      </c>
      <c r="L4061" s="36">
        <v>239.5</v>
      </c>
      <c r="M4061" s="36">
        <v>239.5</v>
      </c>
      <c r="N4061" s="36">
        <v>0</v>
      </c>
      <c r="O4061" s="36">
        <v>0</v>
      </c>
      <c r="P4061" t="s">
        <v>511</v>
      </c>
      <c r="Q4061" t="s">
        <v>300</v>
      </c>
      <c r="R4061" t="s">
        <v>300</v>
      </c>
      <c r="S4061" s="1">
        <v>46114</v>
      </c>
      <c r="T4061" s="1">
        <v>46114</v>
      </c>
      <c r="U4061" s="1"/>
      <c r="V4061" s="1">
        <v>46479</v>
      </c>
      <c r="W4061" t="s">
        <v>38</v>
      </c>
      <c r="X4061">
        <v>12</v>
      </c>
      <c r="Y4061" t="s">
        <v>49</v>
      </c>
      <c r="AA4061" t="s">
        <v>122</v>
      </c>
      <c r="AB4061">
        <v>12</v>
      </c>
      <c r="AC4061" t="s">
        <v>301</v>
      </c>
      <c r="AD4061" t="s">
        <v>118</v>
      </c>
      <c r="AE4061" t="s">
        <v>43</v>
      </c>
      <c r="AF4061" t="s">
        <v>119</v>
      </c>
      <c r="AG4061" t="str">
        <f t="shared" si="87"/>
        <v>Recorrente</v>
      </c>
      <c r="AH4061" t="str">
        <f t="shared" si="88"/>
        <v/>
      </c>
    </row>
    <row r="4062" spans="1:34">
      <c r="A4062">
        <v>2026</v>
      </c>
      <c r="B4062">
        <v>4</v>
      </c>
      <c r="C4062" s="83">
        <v>86641275983</v>
      </c>
      <c r="D4062" t="s">
        <v>3532</v>
      </c>
      <c r="E4062">
        <v>59032337688</v>
      </c>
      <c r="F4062">
        <v>628536</v>
      </c>
      <c r="G4062">
        <v>54154481987</v>
      </c>
      <c r="H4062" t="s">
        <v>35</v>
      </c>
      <c r="I4062" s="36">
        <v>2155.44</v>
      </c>
      <c r="J4062" s="36">
        <v>2155.44</v>
      </c>
      <c r="K4062" s="85">
        <v>0</v>
      </c>
      <c r="L4062" s="36">
        <v>179.62</v>
      </c>
      <c r="M4062" s="36">
        <v>0</v>
      </c>
      <c r="N4062" s="36">
        <v>0</v>
      </c>
      <c r="O4062" s="36">
        <v>179.625</v>
      </c>
      <c r="P4062" t="s">
        <v>162</v>
      </c>
      <c r="Q4062" t="s">
        <v>111</v>
      </c>
      <c r="R4062" t="s">
        <v>111</v>
      </c>
      <c r="S4062" s="1">
        <v>46122</v>
      </c>
      <c r="T4062" s="1">
        <v>46122</v>
      </c>
      <c r="U4062" s="1">
        <v>46123</v>
      </c>
      <c r="V4062" s="1">
        <v>46488</v>
      </c>
      <c r="W4062" t="s">
        <v>38</v>
      </c>
      <c r="X4062">
        <v>12</v>
      </c>
      <c r="Y4062" t="s">
        <v>49</v>
      </c>
      <c r="Z4062" t="s">
        <v>76</v>
      </c>
      <c r="AA4062" t="s">
        <v>117</v>
      </c>
      <c r="AB4062">
        <v>1</v>
      </c>
      <c r="AC4062" t="s">
        <v>113</v>
      </c>
      <c r="AD4062" t="s">
        <v>140</v>
      </c>
      <c r="AE4062" t="s">
        <v>46</v>
      </c>
      <c r="AF4062" t="s">
        <v>119</v>
      </c>
      <c r="AG4062" t="str">
        <f t="shared" si="87"/>
        <v>À Vista</v>
      </c>
      <c r="AH4062" t="str">
        <f t="shared" si="88"/>
        <v/>
      </c>
    </row>
    <row r="4063" spans="1:34">
      <c r="A4063">
        <v>2026</v>
      </c>
      <c r="B4063">
        <v>4</v>
      </c>
      <c r="C4063" s="83">
        <v>86786264084</v>
      </c>
      <c r="D4063" t="s">
        <v>3533</v>
      </c>
      <c r="E4063">
        <v>59372621125</v>
      </c>
      <c r="F4063">
        <v>637216</v>
      </c>
      <c r="G4063">
        <v>54479518000</v>
      </c>
      <c r="H4063" t="s">
        <v>35</v>
      </c>
      <c r="I4063" s="36">
        <v>5514</v>
      </c>
      <c r="J4063" s="36">
        <v>5514</v>
      </c>
      <c r="K4063" s="85">
        <v>0</v>
      </c>
      <c r="L4063" s="36">
        <v>459.5</v>
      </c>
      <c r="M4063" s="36">
        <v>459.5</v>
      </c>
      <c r="N4063" s="36">
        <v>0</v>
      </c>
      <c r="O4063" s="36">
        <v>0</v>
      </c>
      <c r="P4063" t="s">
        <v>497</v>
      </c>
      <c r="Q4063" t="s">
        <v>498</v>
      </c>
      <c r="R4063" t="s">
        <v>498</v>
      </c>
      <c r="S4063" s="1">
        <v>46132</v>
      </c>
      <c r="T4063" s="1">
        <v>46132</v>
      </c>
      <c r="V4063" s="1">
        <v>46497</v>
      </c>
      <c r="W4063" t="s">
        <v>38</v>
      </c>
      <c r="X4063">
        <v>12</v>
      </c>
      <c r="Y4063" t="s">
        <v>49</v>
      </c>
      <c r="AA4063" t="s">
        <v>112</v>
      </c>
      <c r="AB4063">
        <v>12</v>
      </c>
      <c r="AC4063" t="s">
        <v>499</v>
      </c>
      <c r="AD4063" t="s">
        <v>138</v>
      </c>
      <c r="AE4063" t="s">
        <v>135</v>
      </c>
      <c r="AF4063" t="s">
        <v>119</v>
      </c>
      <c r="AG4063" t="str">
        <f t="shared" si="87"/>
        <v>CC 12x</v>
      </c>
      <c r="AH4063" t="str">
        <f t="shared" si="88"/>
        <v/>
      </c>
    </row>
    <row r="4064" spans="1:34">
      <c r="A4064">
        <v>2026</v>
      </c>
      <c r="B4064">
        <v>4</v>
      </c>
      <c r="C4064" s="83">
        <v>92115156375</v>
      </c>
      <c r="D4064" t="s">
        <v>3534</v>
      </c>
      <c r="E4064">
        <v>59166502964</v>
      </c>
      <c r="F4064">
        <v>637076</v>
      </c>
      <c r="G4064">
        <v>54280054662</v>
      </c>
      <c r="H4064" t="s">
        <v>35</v>
      </c>
      <c r="I4064" s="36">
        <v>3114</v>
      </c>
      <c r="J4064" s="36">
        <v>3114</v>
      </c>
      <c r="K4064" s="85">
        <v>0</v>
      </c>
      <c r="L4064" s="36">
        <v>259.5</v>
      </c>
      <c r="M4064" s="36">
        <v>259.5</v>
      </c>
      <c r="N4064" s="36">
        <v>0</v>
      </c>
      <c r="O4064" s="36">
        <v>0</v>
      </c>
      <c r="P4064" t="s">
        <v>506</v>
      </c>
      <c r="Q4064" t="s">
        <v>300</v>
      </c>
      <c r="R4064" t="s">
        <v>300</v>
      </c>
      <c r="S4064" s="1">
        <v>46126</v>
      </c>
      <c r="T4064" s="1">
        <v>46126</v>
      </c>
      <c r="U4064" s="1"/>
      <c r="V4064" s="1"/>
      <c r="W4064" t="s">
        <v>2733</v>
      </c>
      <c r="Y4064" t="s">
        <v>49</v>
      </c>
      <c r="AA4064" t="s">
        <v>122</v>
      </c>
      <c r="AB4064">
        <v>12</v>
      </c>
      <c r="AC4064" t="s">
        <v>301</v>
      </c>
      <c r="AD4064" t="s">
        <v>2734</v>
      </c>
      <c r="AE4064" t="s">
        <v>106</v>
      </c>
      <c r="AF4064" t="s">
        <v>59</v>
      </c>
      <c r="AG4064" t="str">
        <f t="shared" si="87"/>
        <v>Recorrente</v>
      </c>
      <c r="AH4064" t="str">
        <f t="shared" si="88"/>
        <v/>
      </c>
    </row>
    <row r="4065" spans="1:34">
      <c r="A4065">
        <v>2026</v>
      </c>
      <c r="B4065">
        <v>4</v>
      </c>
      <c r="C4065" s="83">
        <v>92898068239</v>
      </c>
      <c r="D4065" t="s">
        <v>3535</v>
      </c>
      <c r="E4065">
        <v>57893188209</v>
      </c>
      <c r="F4065">
        <v>533606</v>
      </c>
      <c r="G4065">
        <v>53150923429</v>
      </c>
      <c r="H4065" t="s">
        <v>35</v>
      </c>
      <c r="I4065" s="36">
        <v>4530.6000000000004</v>
      </c>
      <c r="J4065" s="36">
        <v>4530.6000000000004</v>
      </c>
      <c r="K4065" s="85">
        <v>0</v>
      </c>
      <c r="L4065" s="36">
        <v>377.55</v>
      </c>
      <c r="M4065" s="36">
        <v>0</v>
      </c>
      <c r="N4065" s="36">
        <v>48.6</v>
      </c>
      <c r="O4065" s="36">
        <v>328.95</v>
      </c>
      <c r="P4065" t="s">
        <v>165</v>
      </c>
      <c r="Q4065" t="s">
        <v>166</v>
      </c>
      <c r="R4065" t="s">
        <v>166</v>
      </c>
      <c r="S4065" s="1">
        <v>46137</v>
      </c>
      <c r="T4065" s="1">
        <v>46137</v>
      </c>
      <c r="U4065" s="1">
        <v>46137</v>
      </c>
      <c r="V4065" s="1">
        <v>46502</v>
      </c>
      <c r="W4065" t="s">
        <v>38</v>
      </c>
      <c r="X4065">
        <v>12</v>
      </c>
      <c r="Y4065" t="s">
        <v>49</v>
      </c>
      <c r="Z4065" t="s">
        <v>81</v>
      </c>
      <c r="AA4065" t="s">
        <v>122</v>
      </c>
      <c r="AB4065">
        <v>12</v>
      </c>
      <c r="AC4065" t="s">
        <v>166</v>
      </c>
      <c r="AD4065" t="s">
        <v>84</v>
      </c>
      <c r="AE4065" t="s">
        <v>43</v>
      </c>
      <c r="AF4065" t="s">
        <v>44</v>
      </c>
      <c r="AG4065" t="str">
        <f t="shared" si="87"/>
        <v>Recorrente</v>
      </c>
      <c r="AH4065" t="str">
        <f t="shared" si="88"/>
        <v/>
      </c>
    </row>
    <row r="4066" spans="1:34">
      <c r="A4066">
        <v>2026</v>
      </c>
      <c r="B4066">
        <v>4</v>
      </c>
      <c r="C4066" s="83">
        <v>93419744358</v>
      </c>
      <c r="D4066" t="s">
        <v>3536</v>
      </c>
      <c r="E4066">
        <v>59086932642</v>
      </c>
      <c r="F4066">
        <v>625799</v>
      </c>
      <c r="G4066">
        <v>54205209936</v>
      </c>
      <c r="H4066" t="s">
        <v>35</v>
      </c>
      <c r="I4066" s="36">
        <v>4686.84</v>
      </c>
      <c r="J4066" s="36">
        <v>4686.84</v>
      </c>
      <c r="K4066" s="85">
        <v>0</v>
      </c>
      <c r="L4066" s="36">
        <v>390.57</v>
      </c>
      <c r="M4066" s="36">
        <v>390.57</v>
      </c>
      <c r="N4066" s="36">
        <v>0</v>
      </c>
      <c r="O4066" s="36">
        <v>0</v>
      </c>
      <c r="P4066" t="s">
        <v>121</v>
      </c>
      <c r="Q4066" t="s">
        <v>111</v>
      </c>
      <c r="R4066" t="s">
        <v>111</v>
      </c>
      <c r="S4066" s="1">
        <v>46122</v>
      </c>
      <c r="T4066" s="1">
        <v>46122</v>
      </c>
      <c r="U4066" s="1">
        <v>46044</v>
      </c>
      <c r="V4066" s="1">
        <v>46487</v>
      </c>
      <c r="W4066" t="s">
        <v>38</v>
      </c>
      <c r="X4066">
        <v>15</v>
      </c>
      <c r="Y4066" t="s">
        <v>49</v>
      </c>
      <c r="Z4066" t="s">
        <v>81</v>
      </c>
      <c r="AA4066" t="s">
        <v>122</v>
      </c>
      <c r="AB4066">
        <v>12</v>
      </c>
      <c r="AC4066" t="s">
        <v>113</v>
      </c>
      <c r="AD4066" t="s">
        <v>138</v>
      </c>
      <c r="AE4066" t="s">
        <v>135</v>
      </c>
      <c r="AF4066" t="s">
        <v>119</v>
      </c>
      <c r="AG4066" t="str">
        <f t="shared" si="87"/>
        <v>Recorrente</v>
      </c>
      <c r="AH4066" t="str">
        <f t="shared" si="88"/>
        <v/>
      </c>
    </row>
    <row r="4067" spans="1:34">
      <c r="A4067">
        <v>2026</v>
      </c>
      <c r="B4067">
        <v>4</v>
      </c>
      <c r="C4067" s="83">
        <v>93437747813</v>
      </c>
      <c r="D4067" t="s">
        <v>3537</v>
      </c>
      <c r="E4067">
        <v>59156543252</v>
      </c>
      <c r="F4067">
        <v>532740</v>
      </c>
      <c r="G4067">
        <v>54741259592</v>
      </c>
      <c r="H4067" t="s">
        <v>35</v>
      </c>
      <c r="I4067" s="36">
        <v>7015.44</v>
      </c>
      <c r="J4067" s="36">
        <v>7015.44</v>
      </c>
      <c r="K4067" s="85">
        <v>0</v>
      </c>
      <c r="L4067" s="36">
        <v>584.62</v>
      </c>
      <c r="M4067" s="36">
        <v>0</v>
      </c>
      <c r="N4067" s="36">
        <v>132.125</v>
      </c>
      <c r="O4067" s="36">
        <v>452.5</v>
      </c>
      <c r="P4067" t="s">
        <v>110</v>
      </c>
      <c r="Q4067" t="s">
        <v>111</v>
      </c>
      <c r="R4067" t="s">
        <v>111</v>
      </c>
      <c r="S4067" s="1">
        <v>46139</v>
      </c>
      <c r="T4067" s="1">
        <v>46139</v>
      </c>
      <c r="U4067" s="1">
        <v>46125</v>
      </c>
      <c r="V4067" s="1">
        <v>46504</v>
      </c>
      <c r="W4067" t="s">
        <v>38</v>
      </c>
      <c r="X4067">
        <v>12</v>
      </c>
      <c r="Y4067" t="s">
        <v>49</v>
      </c>
      <c r="Z4067" t="s">
        <v>81</v>
      </c>
      <c r="AA4067" t="s">
        <v>122</v>
      </c>
      <c r="AB4067">
        <v>12</v>
      </c>
      <c r="AC4067" t="s">
        <v>113</v>
      </c>
      <c r="AD4067" t="s">
        <v>134</v>
      </c>
      <c r="AE4067" t="s">
        <v>135</v>
      </c>
      <c r="AF4067" t="s">
        <v>44</v>
      </c>
      <c r="AG4067" t="str">
        <f t="shared" si="87"/>
        <v>Recorrente</v>
      </c>
      <c r="AH4067" t="str">
        <f t="shared" si="88"/>
        <v/>
      </c>
    </row>
    <row r="4068" spans="1:34">
      <c r="A4068">
        <v>2026</v>
      </c>
      <c r="B4068">
        <v>4</v>
      </c>
      <c r="C4068" s="83">
        <v>93530248501</v>
      </c>
      <c r="D4068" t="s">
        <v>3538</v>
      </c>
      <c r="E4068">
        <v>57209220099</v>
      </c>
      <c r="F4068">
        <v>628080</v>
      </c>
      <c r="G4068">
        <v>53850820922</v>
      </c>
      <c r="H4068" t="s">
        <v>35</v>
      </c>
      <c r="I4068" s="36">
        <v>5178.6000000000004</v>
      </c>
      <c r="J4068" s="36">
        <v>5178.6000000000004</v>
      </c>
      <c r="K4068" s="85">
        <v>0</v>
      </c>
      <c r="L4068" s="36">
        <v>431.55</v>
      </c>
      <c r="M4068" s="36">
        <v>0</v>
      </c>
      <c r="N4068" s="36">
        <v>46.5</v>
      </c>
      <c r="O4068" s="36">
        <v>385.05</v>
      </c>
      <c r="P4068" t="s">
        <v>127</v>
      </c>
      <c r="Q4068" t="s">
        <v>111</v>
      </c>
      <c r="R4068" t="s">
        <v>111</v>
      </c>
      <c r="S4068" s="1">
        <v>46114</v>
      </c>
      <c r="T4068" s="1">
        <v>46114</v>
      </c>
      <c r="U4068" s="1">
        <v>46112</v>
      </c>
      <c r="V4068" s="1">
        <v>46479</v>
      </c>
      <c r="W4068" t="s">
        <v>38</v>
      </c>
      <c r="X4068">
        <v>13</v>
      </c>
      <c r="Y4068" t="s">
        <v>49</v>
      </c>
      <c r="Z4068" t="s">
        <v>81</v>
      </c>
      <c r="AA4068" t="s">
        <v>112</v>
      </c>
      <c r="AB4068">
        <v>12</v>
      </c>
      <c r="AC4068" t="s">
        <v>113</v>
      </c>
      <c r="AD4068" t="s">
        <v>85</v>
      </c>
      <c r="AE4068" t="s">
        <v>46</v>
      </c>
      <c r="AF4068" t="s">
        <v>44</v>
      </c>
      <c r="AG4068" t="str">
        <f t="shared" si="87"/>
        <v>CC 12x</v>
      </c>
      <c r="AH4068" t="str">
        <f t="shared" si="88"/>
        <v/>
      </c>
    </row>
    <row r="4069" spans="1:34">
      <c r="A4069">
        <v>2026</v>
      </c>
      <c r="B4069">
        <v>4</v>
      </c>
      <c r="C4069" s="83">
        <v>96517399583</v>
      </c>
      <c r="D4069" t="s">
        <v>3539</v>
      </c>
      <c r="E4069">
        <v>57841643627</v>
      </c>
      <c r="F4069">
        <v>311294</v>
      </c>
      <c r="G4069">
        <v>53084256270</v>
      </c>
      <c r="H4069" t="s">
        <v>35</v>
      </c>
      <c r="I4069" s="36">
        <v>2874</v>
      </c>
      <c r="J4069" s="36">
        <v>2874</v>
      </c>
      <c r="K4069" s="85">
        <v>0</v>
      </c>
      <c r="L4069" s="36">
        <v>239.5</v>
      </c>
      <c r="M4069" s="36">
        <v>0</v>
      </c>
      <c r="N4069" s="36">
        <v>0.5</v>
      </c>
      <c r="O4069" s="36">
        <v>239</v>
      </c>
      <c r="P4069" t="s">
        <v>165</v>
      </c>
      <c r="Q4069" t="s">
        <v>166</v>
      </c>
      <c r="R4069" t="s">
        <v>166</v>
      </c>
      <c r="S4069" s="1">
        <v>46136</v>
      </c>
      <c r="T4069" s="1">
        <v>46136</v>
      </c>
      <c r="U4069" s="1">
        <v>46136</v>
      </c>
      <c r="V4069" s="1">
        <v>46501</v>
      </c>
      <c r="W4069" t="s">
        <v>38</v>
      </c>
      <c r="X4069">
        <v>12</v>
      </c>
      <c r="Y4069" t="s">
        <v>49</v>
      </c>
      <c r="Z4069" t="s">
        <v>81</v>
      </c>
      <c r="AA4069" t="s">
        <v>122</v>
      </c>
      <c r="AB4069">
        <v>12</v>
      </c>
      <c r="AC4069" t="s">
        <v>166</v>
      </c>
      <c r="AD4069" t="s">
        <v>140</v>
      </c>
      <c r="AE4069" t="s">
        <v>46</v>
      </c>
      <c r="AF4069" t="s">
        <v>119</v>
      </c>
      <c r="AG4069" t="str">
        <f t="shared" si="87"/>
        <v>Recorrente</v>
      </c>
      <c r="AH4069" t="str">
        <f t="shared" si="88"/>
        <v/>
      </c>
    </row>
    <row r="4070" spans="1:34">
      <c r="A4070">
        <v>2026</v>
      </c>
      <c r="B4070">
        <v>4</v>
      </c>
      <c r="C4070" s="83">
        <v>96540887303</v>
      </c>
      <c r="D4070" t="s">
        <v>3540</v>
      </c>
      <c r="E4070">
        <v>58658458025</v>
      </c>
      <c r="F4070">
        <v>300946</v>
      </c>
      <c r="G4070">
        <v>53812398087</v>
      </c>
      <c r="H4070" t="s">
        <v>35</v>
      </c>
      <c r="I4070" s="36">
        <v>5247</v>
      </c>
      <c r="J4070" s="36">
        <v>3993.36</v>
      </c>
      <c r="K4070" s="85">
        <v>1253.6400000000001</v>
      </c>
      <c r="L4070" s="36">
        <v>332.78</v>
      </c>
      <c r="M4070" s="36">
        <v>0</v>
      </c>
      <c r="N4070" s="36">
        <v>332.78</v>
      </c>
      <c r="O4070" s="36">
        <v>0</v>
      </c>
      <c r="P4070" t="s">
        <v>323</v>
      </c>
      <c r="Q4070" t="s">
        <v>191</v>
      </c>
      <c r="R4070" t="s">
        <v>191</v>
      </c>
      <c r="S4070" s="1">
        <v>46113</v>
      </c>
      <c r="T4070" s="1">
        <v>46113</v>
      </c>
      <c r="U4070" s="1">
        <v>46638</v>
      </c>
      <c r="V4070" s="1">
        <v>46638</v>
      </c>
      <c r="W4070" t="s">
        <v>102</v>
      </c>
      <c r="X4070">
        <v>17</v>
      </c>
      <c r="Y4070" t="s">
        <v>49</v>
      </c>
      <c r="Z4070" t="s">
        <v>324</v>
      </c>
      <c r="AA4070" t="s">
        <v>122</v>
      </c>
      <c r="AB4070">
        <v>17</v>
      </c>
      <c r="AC4070" t="s">
        <v>192</v>
      </c>
      <c r="AD4070" t="s">
        <v>134</v>
      </c>
      <c r="AE4070" t="s">
        <v>135</v>
      </c>
      <c r="AF4070" t="s">
        <v>44</v>
      </c>
      <c r="AG4070" t="str">
        <f t="shared" si="87"/>
        <v>Recorrente</v>
      </c>
      <c r="AH4070" t="str">
        <f t="shared" si="88"/>
        <v/>
      </c>
    </row>
    <row r="4071" spans="1:34">
      <c r="A4071">
        <v>2026</v>
      </c>
      <c r="B4071">
        <v>4</v>
      </c>
      <c r="C4071" s="83">
        <v>96812712863</v>
      </c>
      <c r="D4071" t="s">
        <v>3541</v>
      </c>
      <c r="E4071">
        <v>58943479984</v>
      </c>
      <c r="F4071">
        <v>628416</v>
      </c>
      <c r="G4071">
        <v>54149709490</v>
      </c>
      <c r="H4071" t="s">
        <v>35</v>
      </c>
      <c r="I4071" s="36">
        <v>3308.4</v>
      </c>
      <c r="J4071" s="36">
        <v>3308.4</v>
      </c>
      <c r="K4071" s="85">
        <v>4.5474699999999999E-13</v>
      </c>
      <c r="L4071" s="36">
        <v>275.7</v>
      </c>
      <c r="M4071" s="36">
        <v>0</v>
      </c>
      <c r="N4071" s="36">
        <v>61.2</v>
      </c>
      <c r="O4071" s="36">
        <v>214.5</v>
      </c>
      <c r="P4071" t="s">
        <v>116</v>
      </c>
      <c r="Q4071" t="s">
        <v>111</v>
      </c>
      <c r="R4071" t="s">
        <v>111</v>
      </c>
      <c r="S4071" s="1">
        <v>46121</v>
      </c>
      <c r="T4071" s="1">
        <v>46121</v>
      </c>
      <c r="U4071" s="1">
        <v>46121</v>
      </c>
      <c r="V4071" s="1">
        <v>46486</v>
      </c>
      <c r="W4071" t="s">
        <v>38</v>
      </c>
      <c r="X4071">
        <v>12</v>
      </c>
      <c r="Y4071" t="s">
        <v>49</v>
      </c>
      <c r="Z4071" t="s">
        <v>81</v>
      </c>
      <c r="AA4071" t="s">
        <v>117</v>
      </c>
      <c r="AB4071">
        <v>1</v>
      </c>
      <c r="AC4071" t="s">
        <v>113</v>
      </c>
      <c r="AD4071" t="s">
        <v>138</v>
      </c>
      <c r="AE4071" t="s">
        <v>135</v>
      </c>
      <c r="AF4071" t="s">
        <v>119</v>
      </c>
      <c r="AG4071" t="str">
        <f t="shared" si="87"/>
        <v>À Vista</v>
      </c>
      <c r="AH4071" t="str">
        <f t="shared" si="88"/>
        <v/>
      </c>
    </row>
    <row r="4072" spans="1:34">
      <c r="A4072">
        <v>2026</v>
      </c>
      <c r="B4072">
        <v>4</v>
      </c>
      <c r="C4072" s="83">
        <v>9706921019</v>
      </c>
      <c r="D4072" t="s">
        <v>3542</v>
      </c>
      <c r="E4072">
        <v>57581213303</v>
      </c>
      <c r="F4072">
        <v>612925</v>
      </c>
      <c r="G4072">
        <v>54006940166</v>
      </c>
      <c r="H4072" t="s">
        <v>35</v>
      </c>
      <c r="I4072" s="36">
        <v>2586.6</v>
      </c>
      <c r="J4072" s="36">
        <v>2586.6</v>
      </c>
      <c r="K4072" s="85">
        <v>0</v>
      </c>
      <c r="L4072" s="36">
        <v>215.55</v>
      </c>
      <c r="M4072" s="36">
        <v>0</v>
      </c>
      <c r="N4072" s="36">
        <v>12.55</v>
      </c>
      <c r="O4072" s="36">
        <v>203</v>
      </c>
      <c r="P4072" t="s">
        <v>121</v>
      </c>
      <c r="Q4072" t="s">
        <v>111</v>
      </c>
      <c r="R4072" t="s">
        <v>111</v>
      </c>
      <c r="S4072" s="1">
        <v>46118</v>
      </c>
      <c r="T4072" s="1">
        <v>46118</v>
      </c>
      <c r="U4072" s="1">
        <v>46116</v>
      </c>
      <c r="V4072" s="1">
        <v>46483</v>
      </c>
      <c r="W4072" t="s">
        <v>38</v>
      </c>
      <c r="X4072">
        <v>12</v>
      </c>
      <c r="Y4072" t="s">
        <v>49</v>
      </c>
      <c r="Z4072" t="s">
        <v>81</v>
      </c>
      <c r="AA4072" t="s">
        <v>122</v>
      </c>
      <c r="AB4072">
        <v>12</v>
      </c>
      <c r="AC4072" t="s">
        <v>113</v>
      </c>
      <c r="AD4072" t="s">
        <v>118</v>
      </c>
      <c r="AE4072" t="s">
        <v>43</v>
      </c>
      <c r="AF4072" t="s">
        <v>119</v>
      </c>
      <c r="AG4072" t="str">
        <f t="shared" si="87"/>
        <v>Recorrente</v>
      </c>
      <c r="AH4072" t="str">
        <f t="shared" si="88"/>
        <v/>
      </c>
    </row>
    <row r="4073" spans="1:34">
      <c r="A4073">
        <v>2026</v>
      </c>
      <c r="B4073">
        <v>4</v>
      </c>
      <c r="C4073" s="83">
        <v>9707857584</v>
      </c>
      <c r="D4073" t="s">
        <v>3543</v>
      </c>
      <c r="E4073">
        <v>59024955165</v>
      </c>
      <c r="F4073">
        <v>613233</v>
      </c>
      <c r="G4073">
        <v>54372751285</v>
      </c>
      <c r="H4073" t="s">
        <v>35</v>
      </c>
      <c r="I4073" s="36">
        <v>2868</v>
      </c>
      <c r="J4073" s="36">
        <v>2868</v>
      </c>
      <c r="K4073" s="85">
        <v>0</v>
      </c>
      <c r="L4073" s="36">
        <v>239</v>
      </c>
      <c r="M4073" s="36">
        <v>0</v>
      </c>
      <c r="N4073" s="36">
        <v>0</v>
      </c>
      <c r="O4073" s="36">
        <v>239</v>
      </c>
      <c r="P4073" t="s">
        <v>137</v>
      </c>
      <c r="Q4073" t="s">
        <v>111</v>
      </c>
      <c r="R4073" t="s">
        <v>111</v>
      </c>
      <c r="S4073" s="1">
        <v>46129</v>
      </c>
      <c r="T4073" s="1">
        <v>46129</v>
      </c>
      <c r="U4073" s="1">
        <v>46122</v>
      </c>
      <c r="V4073" s="1">
        <v>46487</v>
      </c>
      <c r="W4073" t="s">
        <v>38</v>
      </c>
      <c r="X4073">
        <v>12</v>
      </c>
      <c r="Y4073" t="s">
        <v>49</v>
      </c>
      <c r="Z4073" t="s">
        <v>81</v>
      </c>
      <c r="AA4073" t="s">
        <v>122</v>
      </c>
      <c r="AB4073">
        <v>12</v>
      </c>
      <c r="AC4073" t="s">
        <v>113</v>
      </c>
      <c r="AD4073" t="s">
        <v>118</v>
      </c>
      <c r="AE4073" t="s">
        <v>43</v>
      </c>
      <c r="AF4073" t="s">
        <v>119</v>
      </c>
      <c r="AG4073" t="str">
        <f t="shared" si="87"/>
        <v>Recorrente</v>
      </c>
      <c r="AH4073" t="str">
        <f t="shared" si="88"/>
        <v/>
      </c>
    </row>
    <row r="4074" spans="1:34">
      <c r="A4074">
        <v>2026</v>
      </c>
      <c r="B4074">
        <v>4</v>
      </c>
      <c r="C4074" s="83">
        <v>9755413015</v>
      </c>
      <c r="D4074" t="s">
        <v>3544</v>
      </c>
      <c r="E4074">
        <v>56478246269</v>
      </c>
      <c r="F4074">
        <v>612804</v>
      </c>
      <c r="G4074">
        <v>51751474733</v>
      </c>
      <c r="H4074" t="s">
        <v>35</v>
      </c>
      <c r="I4074" s="36">
        <v>2586.6</v>
      </c>
      <c r="J4074" s="36">
        <v>2586.6</v>
      </c>
      <c r="K4074" s="85">
        <v>0</v>
      </c>
      <c r="L4074" s="36">
        <v>215.55</v>
      </c>
      <c r="M4074" s="36">
        <v>0</v>
      </c>
      <c r="N4074" s="36">
        <v>33.909999999999997</v>
      </c>
      <c r="O4074" s="36">
        <v>181.64</v>
      </c>
      <c r="P4074" t="s">
        <v>165</v>
      </c>
      <c r="Q4074" t="s">
        <v>166</v>
      </c>
      <c r="R4074" t="s">
        <v>166</v>
      </c>
      <c r="S4074" s="1">
        <v>46115</v>
      </c>
      <c r="T4074" s="1">
        <v>46115</v>
      </c>
      <c r="U4074" s="1">
        <v>46115</v>
      </c>
      <c r="V4074" s="1">
        <v>46480</v>
      </c>
      <c r="W4074" t="s">
        <v>38</v>
      </c>
      <c r="X4074">
        <v>12</v>
      </c>
      <c r="Y4074" t="s">
        <v>49</v>
      </c>
      <c r="Z4074" t="s">
        <v>81</v>
      </c>
      <c r="AA4074" t="s">
        <v>112</v>
      </c>
      <c r="AB4074">
        <v>12</v>
      </c>
      <c r="AC4074" t="s">
        <v>166</v>
      </c>
      <c r="AD4074" t="s">
        <v>140</v>
      </c>
      <c r="AE4074" t="s">
        <v>46</v>
      </c>
      <c r="AF4074" t="s">
        <v>119</v>
      </c>
      <c r="AG4074" t="str">
        <f t="shared" si="87"/>
        <v>CC 12x</v>
      </c>
      <c r="AH4074" t="str">
        <f t="shared" si="88"/>
        <v/>
      </c>
    </row>
    <row r="4075" spans="1:34">
      <c r="A4075">
        <v>2026</v>
      </c>
      <c r="B4075">
        <v>4</v>
      </c>
      <c r="C4075" s="83">
        <v>9759349612</v>
      </c>
      <c r="D4075" t="s">
        <v>3545</v>
      </c>
      <c r="E4075">
        <v>58856931939</v>
      </c>
      <c r="F4075">
        <v>612927</v>
      </c>
      <c r="G4075">
        <v>54270994802</v>
      </c>
      <c r="H4075" t="s">
        <v>35</v>
      </c>
      <c r="I4075" s="36">
        <v>4357.92</v>
      </c>
      <c r="J4075" s="36">
        <v>4357.92</v>
      </c>
      <c r="K4075" s="85">
        <v>0</v>
      </c>
      <c r="L4075" s="36">
        <v>363.16</v>
      </c>
      <c r="M4075" s="36">
        <v>0</v>
      </c>
      <c r="N4075" s="36">
        <v>0</v>
      </c>
      <c r="O4075" s="36">
        <v>363.16250000000002</v>
      </c>
      <c r="P4075" t="s">
        <v>127</v>
      </c>
      <c r="Q4075" t="s">
        <v>111</v>
      </c>
      <c r="R4075" t="s">
        <v>111</v>
      </c>
      <c r="S4075" s="1">
        <v>46126</v>
      </c>
      <c r="T4075" s="1">
        <v>46126</v>
      </c>
      <c r="U4075" s="1">
        <v>46116</v>
      </c>
      <c r="V4075" s="1">
        <v>46491</v>
      </c>
      <c r="W4075" t="s">
        <v>38</v>
      </c>
      <c r="X4075">
        <v>12</v>
      </c>
      <c r="Y4075" t="s">
        <v>49</v>
      </c>
      <c r="Z4075" t="s">
        <v>81</v>
      </c>
      <c r="AA4075" t="s">
        <v>122</v>
      </c>
      <c r="AB4075">
        <v>12</v>
      </c>
      <c r="AC4075" t="s">
        <v>113</v>
      </c>
      <c r="AD4075" t="s">
        <v>243</v>
      </c>
      <c r="AE4075" t="s">
        <v>95</v>
      </c>
      <c r="AF4075" t="s">
        <v>244</v>
      </c>
      <c r="AG4075" t="str">
        <f t="shared" si="87"/>
        <v>Recorrente</v>
      </c>
      <c r="AH4075" t="str">
        <f t="shared" si="88"/>
        <v/>
      </c>
    </row>
    <row r="4076" spans="1:34">
      <c r="A4076">
        <v>2026</v>
      </c>
      <c r="B4076">
        <v>4</v>
      </c>
      <c r="C4076" s="83">
        <v>9759349612</v>
      </c>
      <c r="D4076" t="s">
        <v>3545</v>
      </c>
      <c r="E4076">
        <v>58856931939</v>
      </c>
      <c r="F4076">
        <v>612927</v>
      </c>
      <c r="G4076">
        <v>54270994803</v>
      </c>
      <c r="H4076" t="s">
        <v>35</v>
      </c>
      <c r="I4076" s="36">
        <v>4357.92</v>
      </c>
      <c r="J4076" s="36">
        <v>4357.92</v>
      </c>
      <c r="K4076" s="85">
        <v>0</v>
      </c>
      <c r="L4076" s="36">
        <v>363.16</v>
      </c>
      <c r="M4076" s="36">
        <v>0</v>
      </c>
      <c r="N4076" s="36">
        <v>0</v>
      </c>
      <c r="O4076" s="36">
        <v>363.16250000000002</v>
      </c>
      <c r="P4076" t="s">
        <v>127</v>
      </c>
      <c r="Q4076" t="s">
        <v>111</v>
      </c>
      <c r="R4076" t="s">
        <v>111</v>
      </c>
      <c r="S4076" s="1">
        <v>46126</v>
      </c>
      <c r="T4076" s="1">
        <v>46126</v>
      </c>
      <c r="U4076" s="1">
        <v>46116</v>
      </c>
      <c r="V4076" s="1">
        <v>46491</v>
      </c>
      <c r="W4076" t="s">
        <v>38</v>
      </c>
      <c r="X4076">
        <v>12</v>
      </c>
      <c r="Y4076" t="s">
        <v>49</v>
      </c>
      <c r="Z4076" t="s">
        <v>81</v>
      </c>
      <c r="AA4076" t="s">
        <v>122</v>
      </c>
      <c r="AB4076">
        <v>12</v>
      </c>
      <c r="AC4076" t="s">
        <v>113</v>
      </c>
      <c r="AD4076" t="s">
        <v>134</v>
      </c>
      <c r="AE4076" t="s">
        <v>135</v>
      </c>
      <c r="AF4076" t="s">
        <v>44</v>
      </c>
      <c r="AG4076" t="str">
        <f t="shared" si="87"/>
        <v>Recorrente</v>
      </c>
      <c r="AH4076" t="str">
        <f t="shared" si="88"/>
        <v/>
      </c>
    </row>
    <row r="4077" spans="1:34">
      <c r="A4077">
        <v>2026</v>
      </c>
      <c r="B4077">
        <v>4</v>
      </c>
      <c r="C4077" s="83">
        <v>9761268321</v>
      </c>
      <c r="D4077" t="s">
        <v>3546</v>
      </c>
      <c r="E4077">
        <v>58835000343</v>
      </c>
      <c r="F4077">
        <v>612806</v>
      </c>
      <c r="G4077">
        <v>53971410569</v>
      </c>
      <c r="H4077" t="s">
        <v>35</v>
      </c>
      <c r="I4077" s="36">
        <v>2442.84</v>
      </c>
      <c r="J4077" s="36">
        <v>2442.84</v>
      </c>
      <c r="K4077" s="85">
        <v>0</v>
      </c>
      <c r="L4077" s="36">
        <v>203.57</v>
      </c>
      <c r="M4077" s="36">
        <v>0</v>
      </c>
      <c r="N4077" s="36">
        <v>21.934999999999999</v>
      </c>
      <c r="O4077" s="36">
        <v>181.64</v>
      </c>
      <c r="P4077" t="s">
        <v>162</v>
      </c>
      <c r="Q4077" t="s">
        <v>111</v>
      </c>
      <c r="R4077" t="s">
        <v>111</v>
      </c>
      <c r="S4077" s="1">
        <v>46118</v>
      </c>
      <c r="T4077" s="1">
        <v>46118</v>
      </c>
      <c r="U4077" s="1">
        <v>46115</v>
      </c>
      <c r="V4077" s="1">
        <v>46483</v>
      </c>
      <c r="W4077" t="s">
        <v>38</v>
      </c>
      <c r="X4077">
        <v>12</v>
      </c>
      <c r="Y4077" t="s">
        <v>49</v>
      </c>
      <c r="Z4077" t="s">
        <v>81</v>
      </c>
      <c r="AA4077" t="s">
        <v>112</v>
      </c>
      <c r="AB4077">
        <v>12</v>
      </c>
      <c r="AC4077" t="s">
        <v>113</v>
      </c>
      <c r="AD4077" t="s">
        <v>118</v>
      </c>
      <c r="AE4077" t="s">
        <v>43</v>
      </c>
      <c r="AF4077" t="s">
        <v>119</v>
      </c>
      <c r="AG4077" t="str">
        <f t="shared" si="87"/>
        <v>CC 12x</v>
      </c>
      <c r="AH4077" t="str">
        <f t="shared" si="88"/>
        <v/>
      </c>
    </row>
    <row r="4078" spans="1:34">
      <c r="A4078">
        <v>2026</v>
      </c>
      <c r="B4078">
        <v>4</v>
      </c>
      <c r="C4078" s="83">
        <v>97757430174</v>
      </c>
      <c r="D4078" t="s">
        <v>3547</v>
      </c>
      <c r="E4078">
        <v>59150811470</v>
      </c>
      <c r="F4078">
        <v>637077</v>
      </c>
      <c r="G4078">
        <v>54280055469</v>
      </c>
      <c r="H4078" t="s">
        <v>35</v>
      </c>
      <c r="I4078" s="36">
        <v>3114</v>
      </c>
      <c r="J4078" s="36">
        <v>3114</v>
      </c>
      <c r="K4078" s="85">
        <v>0</v>
      </c>
      <c r="L4078" s="36">
        <v>259.5</v>
      </c>
      <c r="M4078" s="36">
        <v>259.5</v>
      </c>
      <c r="N4078" s="36">
        <v>0</v>
      </c>
      <c r="O4078" s="36">
        <v>0</v>
      </c>
      <c r="P4078" t="s">
        <v>506</v>
      </c>
      <c r="Q4078" t="s">
        <v>300</v>
      </c>
      <c r="R4078" t="s">
        <v>300</v>
      </c>
      <c r="S4078" s="1">
        <v>46126</v>
      </c>
      <c r="T4078" s="1">
        <v>46126</v>
      </c>
      <c r="U4078" s="1"/>
      <c r="V4078" s="1"/>
      <c r="W4078" t="s">
        <v>2733</v>
      </c>
      <c r="Y4078" t="s">
        <v>49</v>
      </c>
      <c r="AA4078" t="s">
        <v>122</v>
      </c>
      <c r="AB4078">
        <v>12</v>
      </c>
      <c r="AC4078" t="s">
        <v>301</v>
      </c>
      <c r="AD4078" t="s">
        <v>2734</v>
      </c>
      <c r="AE4078" t="s">
        <v>106</v>
      </c>
      <c r="AF4078" t="s">
        <v>59</v>
      </c>
      <c r="AG4078" t="str">
        <f t="shared" si="87"/>
        <v>Recorrente</v>
      </c>
      <c r="AH4078" t="str">
        <f t="shared" si="88"/>
        <v/>
      </c>
    </row>
    <row r="4079" spans="1:34">
      <c r="A4079">
        <v>2026</v>
      </c>
      <c r="B4079">
        <v>4</v>
      </c>
      <c r="C4079" s="83">
        <v>9777177507</v>
      </c>
      <c r="D4079" t="s">
        <v>3548</v>
      </c>
      <c r="E4079">
        <v>56484457024</v>
      </c>
      <c r="F4079">
        <v>612800</v>
      </c>
      <c r="G4079">
        <v>51821238920</v>
      </c>
      <c r="H4079" t="s">
        <v>35</v>
      </c>
      <c r="I4079" s="36">
        <v>8418.6</v>
      </c>
      <c r="J4079" s="36">
        <v>8418.6</v>
      </c>
      <c r="K4079" s="85">
        <v>0</v>
      </c>
      <c r="L4079" s="36">
        <v>701.55</v>
      </c>
      <c r="M4079" s="36">
        <v>0</v>
      </c>
      <c r="N4079" s="36">
        <v>104.81</v>
      </c>
      <c r="O4079" s="36">
        <v>596.74</v>
      </c>
      <c r="P4079" t="s">
        <v>165</v>
      </c>
      <c r="Q4079" t="s">
        <v>166</v>
      </c>
      <c r="R4079" t="s">
        <v>166</v>
      </c>
      <c r="S4079" s="1">
        <v>46115</v>
      </c>
      <c r="T4079" s="1">
        <v>46115</v>
      </c>
      <c r="U4079" s="1">
        <v>46115</v>
      </c>
      <c r="V4079" s="1">
        <v>46480</v>
      </c>
      <c r="W4079" t="s">
        <v>38</v>
      </c>
      <c r="X4079">
        <v>12</v>
      </c>
      <c r="Y4079" t="s">
        <v>49</v>
      </c>
      <c r="Z4079" t="s">
        <v>81</v>
      </c>
      <c r="AA4079" t="s">
        <v>122</v>
      </c>
      <c r="AB4079">
        <v>12</v>
      </c>
      <c r="AC4079" t="s">
        <v>166</v>
      </c>
      <c r="AD4079" t="s">
        <v>134</v>
      </c>
      <c r="AE4079" t="s">
        <v>135</v>
      </c>
      <c r="AF4079" t="s">
        <v>44</v>
      </c>
      <c r="AG4079" t="str">
        <f t="shared" si="87"/>
        <v>Recorrente</v>
      </c>
      <c r="AH4079" t="str">
        <f t="shared" si="88"/>
        <v/>
      </c>
    </row>
    <row r="4080" spans="1:34">
      <c r="A4080">
        <v>2026</v>
      </c>
      <c r="B4080">
        <v>4</v>
      </c>
      <c r="C4080" s="83">
        <v>9777177507</v>
      </c>
      <c r="D4080" t="s">
        <v>3548</v>
      </c>
      <c r="E4080">
        <v>56521859451</v>
      </c>
      <c r="F4080">
        <v>612799</v>
      </c>
      <c r="G4080">
        <v>51801561692</v>
      </c>
      <c r="H4080" t="s">
        <v>35</v>
      </c>
      <c r="I4080" s="36">
        <v>3834</v>
      </c>
      <c r="J4080" s="36">
        <v>3834</v>
      </c>
      <c r="K4080" s="85">
        <v>0</v>
      </c>
      <c r="L4080" s="36">
        <v>319.5</v>
      </c>
      <c r="M4080" s="36">
        <v>0</v>
      </c>
      <c r="N4080" s="36">
        <v>36.4</v>
      </c>
      <c r="O4080" s="36">
        <v>283.10000000000002</v>
      </c>
      <c r="P4080" t="s">
        <v>165</v>
      </c>
      <c r="Q4080" t="s">
        <v>166</v>
      </c>
      <c r="R4080" t="s">
        <v>166</v>
      </c>
      <c r="S4080" s="1">
        <v>46115</v>
      </c>
      <c r="T4080" s="1">
        <v>46115</v>
      </c>
      <c r="U4080" s="1">
        <v>46115</v>
      </c>
      <c r="V4080" s="1">
        <v>46480</v>
      </c>
      <c r="W4080" t="s">
        <v>38</v>
      </c>
      <c r="X4080">
        <v>12</v>
      </c>
      <c r="Y4080" t="s">
        <v>49</v>
      </c>
      <c r="Z4080" t="s">
        <v>81</v>
      </c>
      <c r="AA4080" t="s">
        <v>122</v>
      </c>
      <c r="AB4080">
        <v>12</v>
      </c>
      <c r="AC4080" t="s">
        <v>166</v>
      </c>
      <c r="AD4080" t="s">
        <v>142</v>
      </c>
      <c r="AE4080" t="s">
        <v>95</v>
      </c>
      <c r="AF4080" t="s">
        <v>44</v>
      </c>
      <c r="AG4080" t="str">
        <f t="shared" si="87"/>
        <v>Recorrente</v>
      </c>
      <c r="AH4080" t="str">
        <f t="shared" si="88"/>
        <v/>
      </c>
    </row>
    <row r="4081" spans="1:34">
      <c r="A4081">
        <v>2026</v>
      </c>
      <c r="B4081">
        <v>4</v>
      </c>
      <c r="C4081" s="83">
        <v>98326737579</v>
      </c>
      <c r="D4081" t="s">
        <v>3549</v>
      </c>
      <c r="E4081">
        <v>56275242117</v>
      </c>
      <c r="F4081">
        <v>318436</v>
      </c>
      <c r="G4081">
        <v>51639494180</v>
      </c>
      <c r="H4081" t="s">
        <v>35</v>
      </c>
      <c r="I4081" s="36">
        <v>5718.6</v>
      </c>
      <c r="J4081" s="36">
        <v>5718.6</v>
      </c>
      <c r="K4081" s="85">
        <v>0</v>
      </c>
      <c r="L4081" s="36">
        <v>476.55</v>
      </c>
      <c r="M4081" s="36">
        <v>0</v>
      </c>
      <c r="N4081" s="36">
        <v>97.31</v>
      </c>
      <c r="O4081" s="36">
        <v>379.24</v>
      </c>
      <c r="P4081" t="s">
        <v>165</v>
      </c>
      <c r="Q4081" t="s">
        <v>166</v>
      </c>
      <c r="R4081" t="s">
        <v>166</v>
      </c>
      <c r="S4081" s="1">
        <v>46113</v>
      </c>
      <c r="T4081" s="1">
        <v>46113</v>
      </c>
      <c r="U4081" s="1">
        <v>46113</v>
      </c>
      <c r="V4081" s="1">
        <v>46478</v>
      </c>
      <c r="W4081" t="s">
        <v>38</v>
      </c>
      <c r="X4081">
        <v>12</v>
      </c>
      <c r="Y4081" t="s">
        <v>49</v>
      </c>
      <c r="Z4081" t="s">
        <v>81</v>
      </c>
      <c r="AA4081" t="s">
        <v>112</v>
      </c>
      <c r="AB4081">
        <v>12</v>
      </c>
      <c r="AC4081" t="s">
        <v>166</v>
      </c>
      <c r="AD4081" t="s">
        <v>149</v>
      </c>
      <c r="AE4081" t="s">
        <v>43</v>
      </c>
      <c r="AF4081" t="s">
        <v>96</v>
      </c>
      <c r="AG4081" t="str">
        <f t="shared" si="87"/>
        <v>CC 12x</v>
      </c>
      <c r="AH4081" t="str">
        <f t="shared" si="88"/>
        <v/>
      </c>
    </row>
    <row r="4082" spans="1:34">
      <c r="A4082">
        <v>2026</v>
      </c>
      <c r="B4082">
        <v>4</v>
      </c>
      <c r="C4082" s="83">
        <v>98328133298</v>
      </c>
      <c r="D4082" t="s">
        <v>2677</v>
      </c>
      <c r="E4082">
        <v>57530676068</v>
      </c>
      <c r="F4082">
        <v>613855</v>
      </c>
      <c r="G4082">
        <v>52760858011</v>
      </c>
      <c r="H4082" t="s">
        <v>35</v>
      </c>
      <c r="I4082" s="36">
        <v>9354</v>
      </c>
      <c r="J4082" s="36">
        <v>9354</v>
      </c>
      <c r="K4082" s="85">
        <v>0</v>
      </c>
      <c r="L4082" s="36">
        <v>779.5</v>
      </c>
      <c r="M4082" s="36">
        <v>0</v>
      </c>
      <c r="N4082" s="36">
        <v>151.35</v>
      </c>
      <c r="O4082" s="36">
        <v>628.15</v>
      </c>
      <c r="P4082" t="s">
        <v>165</v>
      </c>
      <c r="Q4082" t="s">
        <v>166</v>
      </c>
      <c r="R4082" t="s">
        <v>166</v>
      </c>
      <c r="S4082" s="1">
        <v>46130</v>
      </c>
      <c r="T4082" s="1">
        <v>46130</v>
      </c>
      <c r="U4082" s="1">
        <v>46130</v>
      </c>
      <c r="V4082" s="1">
        <v>46495</v>
      </c>
      <c r="W4082" t="s">
        <v>38</v>
      </c>
      <c r="X4082">
        <v>12</v>
      </c>
      <c r="Y4082" t="s">
        <v>49</v>
      </c>
      <c r="Z4082" t="s">
        <v>81</v>
      </c>
      <c r="AA4082" t="s">
        <v>112</v>
      </c>
      <c r="AB4082">
        <v>12</v>
      </c>
      <c r="AC4082" t="s">
        <v>166</v>
      </c>
      <c r="AD4082" t="s">
        <v>134</v>
      </c>
      <c r="AE4082" t="s">
        <v>135</v>
      </c>
      <c r="AF4082" t="s">
        <v>44</v>
      </c>
      <c r="AG4082" t="str">
        <f t="shared" si="87"/>
        <v>CC 12x</v>
      </c>
      <c r="AH4082" t="str">
        <f t="shared" si="88"/>
        <v/>
      </c>
    </row>
    <row r="4083" spans="1:34">
      <c r="A4083">
        <v>2026</v>
      </c>
      <c r="B4083">
        <v>4</v>
      </c>
      <c r="C4083" s="83">
        <v>98698796891</v>
      </c>
      <c r="D4083" t="s">
        <v>3550</v>
      </c>
      <c r="E4083">
        <v>57837561372</v>
      </c>
      <c r="F4083">
        <v>628916</v>
      </c>
      <c r="G4083">
        <v>53020040285</v>
      </c>
      <c r="H4083" t="s">
        <v>35</v>
      </c>
      <c r="I4083" s="36">
        <v>5718.6</v>
      </c>
      <c r="J4083" s="36">
        <v>5718.6</v>
      </c>
      <c r="K4083" s="85">
        <v>0</v>
      </c>
      <c r="L4083" s="36">
        <v>476.55</v>
      </c>
      <c r="M4083" s="36">
        <v>0</v>
      </c>
      <c r="N4083" s="36">
        <v>97.31</v>
      </c>
      <c r="O4083" s="36">
        <v>379.24</v>
      </c>
      <c r="P4083" t="s">
        <v>165</v>
      </c>
      <c r="Q4083" t="s">
        <v>166</v>
      </c>
      <c r="R4083" t="s">
        <v>166</v>
      </c>
      <c r="S4083" s="1">
        <v>46136</v>
      </c>
      <c r="T4083" s="1">
        <v>46136</v>
      </c>
      <c r="U4083" s="1">
        <v>46136</v>
      </c>
      <c r="V4083" s="1">
        <v>46501</v>
      </c>
      <c r="W4083" t="s">
        <v>38</v>
      </c>
      <c r="X4083">
        <v>12</v>
      </c>
      <c r="Y4083" t="s">
        <v>49</v>
      </c>
      <c r="Z4083" t="s">
        <v>81</v>
      </c>
      <c r="AA4083" t="s">
        <v>112</v>
      </c>
      <c r="AB4083">
        <v>12</v>
      </c>
      <c r="AC4083" t="s">
        <v>166</v>
      </c>
      <c r="AD4083" t="s">
        <v>149</v>
      </c>
      <c r="AE4083" t="s">
        <v>43</v>
      </c>
      <c r="AF4083" t="s">
        <v>96</v>
      </c>
      <c r="AG4083" t="str">
        <f t="shared" si="87"/>
        <v>CC 12x</v>
      </c>
      <c r="AH4083" t="str">
        <f t="shared" si="88"/>
        <v/>
      </c>
    </row>
    <row r="4084" spans="1:34">
      <c r="A4084">
        <v>2026</v>
      </c>
      <c r="B4084">
        <v>4</v>
      </c>
      <c r="C4084" s="83">
        <v>98983953704</v>
      </c>
      <c r="D4084" t="s">
        <v>3551</v>
      </c>
      <c r="E4084">
        <v>57509134123</v>
      </c>
      <c r="F4084">
        <v>628663</v>
      </c>
      <c r="G4084">
        <v>52800142916</v>
      </c>
      <c r="H4084" t="s">
        <v>35</v>
      </c>
      <c r="I4084" s="36">
        <v>3450.6</v>
      </c>
      <c r="J4084" s="36">
        <v>3450.6</v>
      </c>
      <c r="K4084" s="85">
        <v>0</v>
      </c>
      <c r="L4084" s="36">
        <v>287.55</v>
      </c>
      <c r="M4084" s="36">
        <v>0</v>
      </c>
      <c r="N4084" s="36">
        <v>34.25</v>
      </c>
      <c r="O4084" s="36">
        <v>253.3</v>
      </c>
      <c r="P4084" t="s">
        <v>165</v>
      </c>
      <c r="Q4084" t="s">
        <v>166</v>
      </c>
      <c r="R4084" t="s">
        <v>166</v>
      </c>
      <c r="S4084" s="1">
        <v>46127</v>
      </c>
      <c r="T4084" s="1">
        <v>46127</v>
      </c>
      <c r="U4084" s="1">
        <v>46127</v>
      </c>
      <c r="V4084" s="1">
        <v>46492</v>
      </c>
      <c r="W4084" t="s">
        <v>38</v>
      </c>
      <c r="X4084">
        <v>12</v>
      </c>
      <c r="Y4084" t="s">
        <v>49</v>
      </c>
      <c r="Z4084" t="s">
        <v>81</v>
      </c>
      <c r="AA4084" t="s">
        <v>112</v>
      </c>
      <c r="AB4084">
        <v>12</v>
      </c>
      <c r="AC4084" t="s">
        <v>166</v>
      </c>
      <c r="AD4084" t="s">
        <v>142</v>
      </c>
      <c r="AE4084" t="s">
        <v>95</v>
      </c>
      <c r="AF4084" t="s">
        <v>44</v>
      </c>
      <c r="AG4084" t="str">
        <f t="shared" si="87"/>
        <v>CC 12x</v>
      </c>
      <c r="AH4084" t="str">
        <f t="shared" si="88"/>
        <v/>
      </c>
    </row>
    <row r="4085" spans="1:34">
      <c r="A4085">
        <v>2026</v>
      </c>
      <c r="B4085">
        <v>4</v>
      </c>
      <c r="C4085" s="83">
        <v>113178575698</v>
      </c>
      <c r="D4085" t="s">
        <v>3552</v>
      </c>
      <c r="E4085">
        <v>59613337889</v>
      </c>
      <c r="F4085">
        <v>532643</v>
      </c>
      <c r="G4085">
        <v>54741260954</v>
      </c>
      <c r="H4085" t="s">
        <v>35</v>
      </c>
      <c r="I4085" s="36">
        <v>4452.6000000000004</v>
      </c>
      <c r="J4085" s="36">
        <v>4452.6000000000004</v>
      </c>
      <c r="K4085" s="85">
        <v>0</v>
      </c>
      <c r="L4085" s="36">
        <v>371.05</v>
      </c>
      <c r="M4085" s="36">
        <v>0</v>
      </c>
      <c r="N4085" s="36">
        <v>27.846250000000001</v>
      </c>
      <c r="O4085" s="36">
        <v>343.2</v>
      </c>
      <c r="P4085" t="s">
        <v>110</v>
      </c>
      <c r="Q4085" t="s">
        <v>111</v>
      </c>
      <c r="R4085" t="s">
        <v>111</v>
      </c>
      <c r="S4085" s="1">
        <v>46136</v>
      </c>
      <c r="T4085" s="1">
        <v>46136</v>
      </c>
      <c r="U4085" s="1">
        <v>46129</v>
      </c>
      <c r="V4085" s="1">
        <v>46501</v>
      </c>
      <c r="W4085" t="s">
        <v>38</v>
      </c>
      <c r="X4085">
        <v>12</v>
      </c>
      <c r="Y4085" t="s">
        <v>49</v>
      </c>
      <c r="Z4085" t="s">
        <v>81</v>
      </c>
      <c r="AA4085" t="s">
        <v>112</v>
      </c>
      <c r="AB4085">
        <v>12</v>
      </c>
      <c r="AC4085" t="s">
        <v>113</v>
      </c>
      <c r="AD4085" t="s">
        <v>138</v>
      </c>
      <c r="AE4085" t="s">
        <v>135</v>
      </c>
      <c r="AF4085" t="s">
        <v>119</v>
      </c>
      <c r="AG4085" t="str">
        <f t="shared" ref="AG4085" si="89">IF(IFERROR(SEARCH("Recorrente",AA4085),0)&gt;0,"Recorrente",IF(AB4085=1,"À Vista",IF(AB4085&lt;=3,"CC 3x",IF(AB4085&lt;=12,"CC 12x",IF(AB4085&gt;12,"Recorrente","")))))</f>
        <v>CC 12x</v>
      </c>
      <c r="AH4085" t="str">
        <f t="shared" ref="AH4085" si="90">IF(AND(SUMIF(E:E,E4085,I:I)&gt;=400000,Q4085="B2G"),"n","")</f>
        <v/>
      </c>
    </row>
    <row r="4086" spans="1:34">
      <c r="A4086">
        <v>2026</v>
      </c>
      <c r="B4086">
        <v>5</v>
      </c>
      <c r="C4086" s="83">
        <v>32446401358</v>
      </c>
      <c r="D4086" t="s">
        <v>3553</v>
      </c>
      <c r="E4086">
        <v>60844038219</v>
      </c>
      <c r="F4086">
        <v>638272</v>
      </c>
      <c r="G4086">
        <v>55911228418</v>
      </c>
      <c r="H4086" t="s">
        <v>673</v>
      </c>
      <c r="I4086" s="36">
        <v>1140000</v>
      </c>
      <c r="J4086" s="36">
        <v>0</v>
      </c>
      <c r="K4086" s="85">
        <v>0</v>
      </c>
      <c r="L4086" s="36">
        <v>0</v>
      </c>
      <c r="M4086" s="36">
        <v>0</v>
      </c>
      <c r="N4086" s="36">
        <v>0</v>
      </c>
      <c r="O4086" s="36">
        <v>0</v>
      </c>
      <c r="P4086" t="s">
        <v>668</v>
      </c>
      <c r="Q4086" t="s">
        <v>91</v>
      </c>
      <c r="R4086" t="s">
        <v>91</v>
      </c>
      <c r="S4086" s="112">
        <v>46171</v>
      </c>
      <c r="T4086" s="112">
        <v>46171</v>
      </c>
      <c r="U4086" s="112"/>
      <c r="V4086" s="112">
        <v>46732</v>
      </c>
      <c r="W4086" t="s">
        <v>3554</v>
      </c>
      <c r="X4086">
        <v>19</v>
      </c>
      <c r="Y4086" t="s">
        <v>1229</v>
      </c>
      <c r="AA4086" t="s">
        <v>40</v>
      </c>
      <c r="AB4086">
        <v>12</v>
      </c>
      <c r="AC4086" t="s">
        <v>93</v>
      </c>
      <c r="AD4086" t="s">
        <v>3555</v>
      </c>
      <c r="AE4086" t="s">
        <v>106</v>
      </c>
      <c r="AF4086" t="s">
        <v>59</v>
      </c>
      <c r="AG4086" t="str">
        <f t="shared" ref="AG4086:AG4149" si="91">IF(IFERROR(SEARCH("Recorrente",AA4086),0)&gt;0,"Recorrente",IF(AB4086=1,"À Vista",IF(AB4086&lt;=3,"CC 3x",IF(AB4086&lt;=12,"CC 12x",IF(AB4086&gt;12,"Recorrente","")))))</f>
        <v>CC 12x</v>
      </c>
      <c r="AH4086" t="str">
        <f t="shared" ref="AH4086:AH4149" si="92">IF(AND(SUMIF(E:E,E4086,I:I)&gt;=400000,Q4086="B2G"),"n","")</f>
        <v/>
      </c>
    </row>
    <row r="4087" spans="1:34">
      <c r="A4087">
        <v>2026</v>
      </c>
      <c r="B4087">
        <v>5</v>
      </c>
      <c r="C4087" s="83">
        <v>32446401358</v>
      </c>
      <c r="D4087" t="s">
        <v>3553</v>
      </c>
      <c r="E4087">
        <v>49260544903</v>
      </c>
      <c r="F4087">
        <v>638065</v>
      </c>
      <c r="G4087">
        <v>55685278480</v>
      </c>
      <c r="H4087" t="s">
        <v>35</v>
      </c>
      <c r="I4087" s="36">
        <v>1002141</v>
      </c>
      <c r="J4087" s="36">
        <v>334046.9999</v>
      </c>
      <c r="K4087" s="85">
        <v>668094.00009999995</v>
      </c>
      <c r="L4087" s="36">
        <v>27837.24999</v>
      </c>
      <c r="M4087" s="36">
        <v>27837.24999</v>
      </c>
      <c r="N4087" s="36">
        <v>0</v>
      </c>
      <c r="O4087" s="36">
        <v>0</v>
      </c>
      <c r="P4087" t="s">
        <v>668</v>
      </c>
      <c r="Q4087" t="s">
        <v>91</v>
      </c>
      <c r="R4087" t="s">
        <v>91</v>
      </c>
      <c r="S4087" s="112">
        <v>46171</v>
      </c>
      <c r="T4087" s="112">
        <v>46171</v>
      </c>
      <c r="U4087" s="112"/>
      <c r="V4087" s="112">
        <v>47267</v>
      </c>
      <c r="W4087" t="s">
        <v>102</v>
      </c>
      <c r="X4087">
        <v>36</v>
      </c>
      <c r="Y4087" t="s">
        <v>49</v>
      </c>
      <c r="AA4087" t="s">
        <v>40</v>
      </c>
      <c r="AB4087">
        <v>36</v>
      </c>
      <c r="AC4087" t="s">
        <v>93</v>
      </c>
      <c r="AD4087" t="s">
        <v>94</v>
      </c>
      <c r="AE4087" t="s">
        <v>95</v>
      </c>
      <c r="AF4087" t="s">
        <v>96</v>
      </c>
      <c r="AG4087" t="str">
        <f t="shared" si="91"/>
        <v>Recorrente</v>
      </c>
      <c r="AH4087" t="str">
        <f t="shared" si="92"/>
        <v/>
      </c>
    </row>
    <row r="4088" spans="1:34">
      <c r="A4088">
        <v>2026</v>
      </c>
      <c r="B4088">
        <v>5</v>
      </c>
      <c r="C4088" s="83">
        <v>32446401358</v>
      </c>
      <c r="D4088" t="s">
        <v>3553</v>
      </c>
      <c r="E4088">
        <v>60844038219</v>
      </c>
      <c r="F4088">
        <v>638272</v>
      </c>
      <c r="G4088">
        <v>55911228419</v>
      </c>
      <c r="H4088" t="s">
        <v>673</v>
      </c>
      <c r="I4088" s="36">
        <v>698880</v>
      </c>
      <c r="J4088" s="36">
        <v>0</v>
      </c>
      <c r="K4088" s="85">
        <v>0</v>
      </c>
      <c r="L4088" s="36">
        <v>0</v>
      </c>
      <c r="M4088" s="36">
        <v>0</v>
      </c>
      <c r="N4088" s="36">
        <v>0</v>
      </c>
      <c r="O4088" s="36">
        <v>0</v>
      </c>
      <c r="P4088" t="s">
        <v>668</v>
      </c>
      <c r="Q4088" t="s">
        <v>91</v>
      </c>
      <c r="R4088" t="s">
        <v>91</v>
      </c>
      <c r="S4088" s="112">
        <v>46171</v>
      </c>
      <c r="T4088" s="112">
        <v>46171</v>
      </c>
      <c r="U4088" s="112"/>
      <c r="V4088" s="112">
        <v>46732</v>
      </c>
      <c r="W4088" t="s">
        <v>3554</v>
      </c>
      <c r="X4088">
        <v>19</v>
      </c>
      <c r="Y4088" t="s">
        <v>1229</v>
      </c>
      <c r="AA4088" t="s">
        <v>40</v>
      </c>
      <c r="AB4088">
        <v>12</v>
      </c>
      <c r="AC4088" t="s">
        <v>93</v>
      </c>
      <c r="AD4088" t="s">
        <v>3556</v>
      </c>
      <c r="AE4088" t="s">
        <v>106</v>
      </c>
      <c r="AF4088" t="s">
        <v>59</v>
      </c>
      <c r="AG4088" t="str">
        <f t="shared" si="91"/>
        <v>CC 12x</v>
      </c>
      <c r="AH4088" t="str">
        <f t="shared" si="92"/>
        <v/>
      </c>
    </row>
    <row r="4089" spans="1:34">
      <c r="A4089">
        <v>2026</v>
      </c>
      <c r="B4089">
        <v>5</v>
      </c>
      <c r="C4089" s="83">
        <v>33226771587</v>
      </c>
      <c r="D4089" t="s">
        <v>3557</v>
      </c>
      <c r="E4089">
        <v>57668934266</v>
      </c>
      <c r="F4089">
        <v>638073</v>
      </c>
      <c r="G4089">
        <v>55686071071</v>
      </c>
      <c r="H4089" t="s">
        <v>35</v>
      </c>
      <c r="I4089" s="36">
        <v>220374</v>
      </c>
      <c r="J4089" s="36">
        <v>73458</v>
      </c>
      <c r="K4089" s="85">
        <v>146916</v>
      </c>
      <c r="L4089" s="36">
        <v>6121.5</v>
      </c>
      <c r="M4089" s="36">
        <v>6121.5</v>
      </c>
      <c r="N4089" s="36">
        <v>0</v>
      </c>
      <c r="O4089" s="36">
        <v>0</v>
      </c>
      <c r="P4089" t="s">
        <v>2068</v>
      </c>
      <c r="Q4089" t="s">
        <v>3558</v>
      </c>
      <c r="R4089" t="s">
        <v>37</v>
      </c>
      <c r="S4089" s="112">
        <v>46171</v>
      </c>
      <c r="T4089" s="112">
        <v>46171</v>
      </c>
      <c r="V4089" s="112">
        <v>47267</v>
      </c>
      <c r="W4089" t="s">
        <v>102</v>
      </c>
      <c r="X4089">
        <v>36</v>
      </c>
      <c r="Y4089" t="s">
        <v>49</v>
      </c>
      <c r="AA4089" t="s">
        <v>40</v>
      </c>
      <c r="AB4089">
        <v>1</v>
      </c>
      <c r="AC4089" t="s">
        <v>41</v>
      </c>
      <c r="AD4089" t="s">
        <v>100</v>
      </c>
      <c r="AE4089" t="s">
        <v>46</v>
      </c>
      <c r="AF4089" t="s">
        <v>47</v>
      </c>
      <c r="AG4089" t="str">
        <f t="shared" si="91"/>
        <v>À Vista</v>
      </c>
      <c r="AH4089" t="str">
        <f t="shared" si="92"/>
        <v/>
      </c>
    </row>
    <row r="4090" spans="1:34">
      <c r="A4090">
        <v>2026</v>
      </c>
      <c r="B4090">
        <v>5</v>
      </c>
      <c r="C4090" s="83">
        <v>33226771587</v>
      </c>
      <c r="D4090" t="s">
        <v>3557</v>
      </c>
      <c r="E4090">
        <v>57668934266</v>
      </c>
      <c r="F4090">
        <v>638073</v>
      </c>
      <c r="G4090">
        <v>55686071069</v>
      </c>
      <c r="H4090" t="s">
        <v>35</v>
      </c>
      <c r="I4090" s="36">
        <v>216000</v>
      </c>
      <c r="J4090" s="36">
        <v>72000</v>
      </c>
      <c r="K4090" s="85">
        <v>144000</v>
      </c>
      <c r="L4090" s="36">
        <v>6000</v>
      </c>
      <c r="M4090" s="36">
        <v>6000</v>
      </c>
      <c r="N4090" s="36">
        <v>0</v>
      </c>
      <c r="O4090" s="36">
        <v>0</v>
      </c>
      <c r="P4090" t="s">
        <v>2068</v>
      </c>
      <c r="Q4090" t="s">
        <v>3558</v>
      </c>
      <c r="R4090" t="s">
        <v>37</v>
      </c>
      <c r="S4090" s="112">
        <v>46171</v>
      </c>
      <c r="T4090" s="112">
        <v>46171</v>
      </c>
      <c r="U4090" s="112"/>
      <c r="V4090" s="112">
        <v>47267</v>
      </c>
      <c r="W4090" t="s">
        <v>102</v>
      </c>
      <c r="X4090">
        <v>36</v>
      </c>
      <c r="Y4090" t="s">
        <v>49</v>
      </c>
      <c r="AA4090" t="s">
        <v>40</v>
      </c>
      <c r="AB4090">
        <v>1</v>
      </c>
      <c r="AC4090" t="s">
        <v>41</v>
      </c>
      <c r="AD4090" t="s">
        <v>2952</v>
      </c>
      <c r="AE4090" t="s">
        <v>51</v>
      </c>
      <c r="AF4090" t="s">
        <v>47</v>
      </c>
      <c r="AG4090" t="str">
        <f t="shared" si="91"/>
        <v>À Vista</v>
      </c>
      <c r="AH4090" t="str">
        <f t="shared" si="92"/>
        <v/>
      </c>
    </row>
    <row r="4091" spans="1:34">
      <c r="A4091">
        <v>2026</v>
      </c>
      <c r="B4091">
        <v>5</v>
      </c>
      <c r="C4091" s="83">
        <v>32446401358</v>
      </c>
      <c r="D4091" t="s">
        <v>3553</v>
      </c>
      <c r="E4091">
        <v>60844038219</v>
      </c>
      <c r="F4091">
        <v>638272</v>
      </c>
      <c r="G4091">
        <v>55911228417</v>
      </c>
      <c r="H4091" t="s">
        <v>673</v>
      </c>
      <c r="I4091" s="36">
        <v>182000</v>
      </c>
      <c r="J4091" s="36">
        <v>0</v>
      </c>
      <c r="K4091" s="85">
        <v>0</v>
      </c>
      <c r="L4091" s="36">
        <v>0</v>
      </c>
      <c r="M4091" s="36">
        <v>0</v>
      </c>
      <c r="N4091" s="36">
        <v>0</v>
      </c>
      <c r="O4091" s="36">
        <v>0</v>
      </c>
      <c r="P4091" t="s">
        <v>668</v>
      </c>
      <c r="Q4091" t="s">
        <v>91</v>
      </c>
      <c r="R4091" t="s">
        <v>91</v>
      </c>
      <c r="S4091" s="112">
        <v>46171</v>
      </c>
      <c r="T4091" s="112">
        <v>46171</v>
      </c>
      <c r="U4091" s="112"/>
      <c r="V4091" s="112">
        <v>46732</v>
      </c>
      <c r="W4091" t="s">
        <v>3554</v>
      </c>
      <c r="X4091">
        <v>19</v>
      </c>
      <c r="Y4091" t="s">
        <v>1229</v>
      </c>
      <c r="AA4091" t="s">
        <v>40</v>
      </c>
      <c r="AB4091">
        <v>12</v>
      </c>
      <c r="AC4091" t="s">
        <v>93</v>
      </c>
      <c r="AD4091" t="s">
        <v>3559</v>
      </c>
      <c r="AE4091" t="s">
        <v>106</v>
      </c>
      <c r="AF4091" t="s">
        <v>59</v>
      </c>
      <c r="AG4091" t="str">
        <f t="shared" si="91"/>
        <v>CC 12x</v>
      </c>
      <c r="AH4091" t="str">
        <f t="shared" si="92"/>
        <v/>
      </c>
    </row>
    <row r="4092" spans="1:34">
      <c r="A4092">
        <v>2026</v>
      </c>
      <c r="B4092">
        <v>5</v>
      </c>
      <c r="C4092" s="83">
        <v>33226771587</v>
      </c>
      <c r="D4092" t="s">
        <v>3557</v>
      </c>
      <c r="E4092">
        <v>57668934266</v>
      </c>
      <c r="F4092">
        <v>638073</v>
      </c>
      <c r="G4092">
        <v>55686071070</v>
      </c>
      <c r="H4092" t="s">
        <v>35</v>
      </c>
      <c r="I4092" s="36">
        <v>160380</v>
      </c>
      <c r="J4092" s="36">
        <v>53460</v>
      </c>
      <c r="K4092" s="85">
        <v>106920</v>
      </c>
      <c r="L4092" s="36">
        <v>4455</v>
      </c>
      <c r="M4092" s="36">
        <v>4455</v>
      </c>
      <c r="N4092" s="36">
        <v>0</v>
      </c>
      <c r="O4092" s="36">
        <v>0</v>
      </c>
      <c r="P4092" t="s">
        <v>2068</v>
      </c>
      <c r="Q4092" t="s">
        <v>3558</v>
      </c>
      <c r="R4092" t="s">
        <v>37</v>
      </c>
      <c r="S4092" s="112">
        <v>46171</v>
      </c>
      <c r="T4092" s="112">
        <v>46171</v>
      </c>
      <c r="U4092" s="112"/>
      <c r="V4092" s="112">
        <v>47267</v>
      </c>
      <c r="W4092" t="s">
        <v>102</v>
      </c>
      <c r="X4092">
        <v>36</v>
      </c>
      <c r="Y4092" t="s">
        <v>49</v>
      </c>
      <c r="AA4092" t="s">
        <v>40</v>
      </c>
      <c r="AB4092">
        <v>1</v>
      </c>
      <c r="AC4092" t="s">
        <v>41</v>
      </c>
      <c r="AD4092" t="s">
        <v>70</v>
      </c>
      <c r="AE4092" t="s">
        <v>43</v>
      </c>
      <c r="AF4092" t="s">
        <v>47</v>
      </c>
      <c r="AG4092" t="str">
        <f t="shared" si="91"/>
        <v>À Vista</v>
      </c>
      <c r="AH4092" t="str">
        <f t="shared" si="92"/>
        <v/>
      </c>
    </row>
    <row r="4093" spans="1:34">
      <c r="A4093">
        <v>2026</v>
      </c>
      <c r="B4093">
        <v>5</v>
      </c>
      <c r="C4093" s="83">
        <v>52944575843</v>
      </c>
      <c r="D4093" t="s">
        <v>3560</v>
      </c>
      <c r="E4093">
        <v>58065912135</v>
      </c>
      <c r="F4093">
        <v>638076</v>
      </c>
      <c r="G4093">
        <v>55687712521</v>
      </c>
      <c r="H4093" t="s">
        <v>35</v>
      </c>
      <c r="I4093" s="36">
        <v>101472</v>
      </c>
      <c r="J4093" s="36">
        <v>0</v>
      </c>
      <c r="K4093" s="85">
        <v>0</v>
      </c>
      <c r="L4093" s="36">
        <v>0</v>
      </c>
      <c r="M4093" s="36">
        <v>0</v>
      </c>
      <c r="N4093" s="36">
        <v>0</v>
      </c>
      <c r="O4093" s="36">
        <v>0</v>
      </c>
      <c r="P4093" t="s">
        <v>1165</v>
      </c>
      <c r="Q4093" t="s">
        <v>3558</v>
      </c>
      <c r="R4093" t="s">
        <v>37</v>
      </c>
      <c r="S4093" s="112">
        <v>46171</v>
      </c>
      <c r="T4093" s="112">
        <v>46171</v>
      </c>
      <c r="U4093" s="112"/>
      <c r="V4093" s="112"/>
      <c r="W4093" t="s">
        <v>39</v>
      </c>
      <c r="Y4093" t="s">
        <v>39</v>
      </c>
      <c r="AA4093" t="s">
        <v>40</v>
      </c>
      <c r="AB4093">
        <v>1</v>
      </c>
      <c r="AC4093" t="s">
        <v>41</v>
      </c>
      <c r="AD4093" t="s">
        <v>3407</v>
      </c>
      <c r="AE4093" t="s">
        <v>43</v>
      </c>
      <c r="AF4093" t="s">
        <v>47</v>
      </c>
      <c r="AG4093" t="str">
        <f t="shared" si="91"/>
        <v>À Vista</v>
      </c>
      <c r="AH4093" t="str">
        <f t="shared" si="92"/>
        <v/>
      </c>
    </row>
    <row r="4094" spans="1:34">
      <c r="A4094">
        <v>2026</v>
      </c>
      <c r="B4094">
        <v>5</v>
      </c>
      <c r="C4094" s="83">
        <v>53080868362</v>
      </c>
      <c r="D4094" t="s">
        <v>3561</v>
      </c>
      <c r="E4094">
        <v>57739275322</v>
      </c>
      <c r="F4094">
        <v>637856</v>
      </c>
      <c r="G4094">
        <v>55340058705</v>
      </c>
      <c r="H4094" t="s">
        <v>35</v>
      </c>
      <c r="I4094" s="36">
        <v>86400</v>
      </c>
      <c r="J4094" s="36">
        <v>28800</v>
      </c>
      <c r="K4094" s="85">
        <v>57600</v>
      </c>
      <c r="L4094" s="36">
        <v>2400</v>
      </c>
      <c r="M4094" s="36">
        <v>2400</v>
      </c>
      <c r="N4094" s="36">
        <v>0</v>
      </c>
      <c r="O4094" s="36">
        <v>0</v>
      </c>
      <c r="P4094" t="s">
        <v>87</v>
      </c>
      <c r="Q4094" t="s">
        <v>3558</v>
      </c>
      <c r="R4094" t="s">
        <v>37</v>
      </c>
      <c r="S4094" s="112">
        <v>46161</v>
      </c>
      <c r="T4094" s="112">
        <v>46161</v>
      </c>
      <c r="U4094" s="112"/>
      <c r="V4094" s="112">
        <v>47257</v>
      </c>
      <c r="W4094" t="s">
        <v>102</v>
      </c>
      <c r="X4094">
        <v>36</v>
      </c>
      <c r="Y4094" t="s">
        <v>49</v>
      </c>
      <c r="AA4094" t="s">
        <v>40</v>
      </c>
      <c r="AB4094">
        <v>1</v>
      </c>
      <c r="AC4094" t="s">
        <v>41</v>
      </c>
      <c r="AD4094" t="s">
        <v>73</v>
      </c>
      <c r="AE4094" t="s">
        <v>51</v>
      </c>
      <c r="AF4094" t="s">
        <v>47</v>
      </c>
      <c r="AG4094" t="str">
        <f t="shared" si="91"/>
        <v>À Vista</v>
      </c>
      <c r="AH4094" t="str">
        <f t="shared" si="92"/>
        <v/>
      </c>
    </row>
    <row r="4095" spans="1:34">
      <c r="A4095">
        <v>2026</v>
      </c>
      <c r="B4095">
        <v>5</v>
      </c>
      <c r="C4095" s="83">
        <v>51942779545</v>
      </c>
      <c r="D4095" t="s">
        <v>3562</v>
      </c>
      <c r="E4095">
        <v>56889122844</v>
      </c>
      <c r="F4095">
        <v>637724</v>
      </c>
      <c r="G4095">
        <v>55196577155</v>
      </c>
      <c r="H4095" t="s">
        <v>35</v>
      </c>
      <c r="I4095" s="36">
        <v>79500</v>
      </c>
      <c r="J4095" s="36">
        <v>63600</v>
      </c>
      <c r="K4095" s="85">
        <v>15900</v>
      </c>
      <c r="L4095" s="36">
        <v>5300</v>
      </c>
      <c r="M4095" s="36">
        <v>5300</v>
      </c>
      <c r="N4095" s="36">
        <v>0</v>
      </c>
      <c r="O4095" s="36">
        <v>0</v>
      </c>
      <c r="P4095" t="s">
        <v>1192</v>
      </c>
      <c r="Q4095" t="s">
        <v>1193</v>
      </c>
      <c r="R4095" t="s">
        <v>1193</v>
      </c>
      <c r="S4095" s="112">
        <v>46167</v>
      </c>
      <c r="T4095" s="112">
        <v>46167</v>
      </c>
      <c r="U4095" s="112"/>
      <c r="V4095" s="112">
        <v>46610</v>
      </c>
      <c r="W4095" t="s">
        <v>1194</v>
      </c>
      <c r="X4095">
        <v>15</v>
      </c>
      <c r="Y4095" t="s">
        <v>49</v>
      </c>
      <c r="AA4095" t="s">
        <v>92</v>
      </c>
      <c r="AB4095">
        <v>15</v>
      </c>
      <c r="AC4095" t="s">
        <v>1195</v>
      </c>
      <c r="AD4095" t="s">
        <v>2217</v>
      </c>
      <c r="AE4095" t="s">
        <v>106</v>
      </c>
      <c r="AF4095" t="s">
        <v>59</v>
      </c>
      <c r="AG4095" t="str">
        <f t="shared" si="91"/>
        <v>Recorrente</v>
      </c>
      <c r="AH4095" t="str">
        <f t="shared" si="92"/>
        <v/>
      </c>
    </row>
    <row r="4096" spans="1:34">
      <c r="A4096">
        <v>2026</v>
      </c>
      <c r="B4096">
        <v>5</v>
      </c>
      <c r="C4096" s="83">
        <v>55517231903</v>
      </c>
      <c r="D4096" t="s">
        <v>3563</v>
      </c>
      <c r="E4096">
        <v>18692804158</v>
      </c>
      <c r="F4096">
        <v>638069</v>
      </c>
      <c r="G4096">
        <v>55685295896</v>
      </c>
      <c r="H4096" t="s">
        <v>35</v>
      </c>
      <c r="I4096" s="36">
        <v>79500</v>
      </c>
      <c r="J4096" s="36">
        <v>63600</v>
      </c>
      <c r="K4096" s="85">
        <v>15900</v>
      </c>
      <c r="L4096" s="36">
        <v>5300</v>
      </c>
      <c r="M4096" s="36">
        <v>5300</v>
      </c>
      <c r="N4096" s="36">
        <v>0</v>
      </c>
      <c r="O4096" s="36">
        <v>0</v>
      </c>
      <c r="P4096" t="s">
        <v>1192</v>
      </c>
      <c r="Q4096" t="s">
        <v>1193</v>
      </c>
      <c r="R4096" t="s">
        <v>1193</v>
      </c>
      <c r="S4096" s="112">
        <v>46171</v>
      </c>
      <c r="T4096" s="112">
        <v>46171</v>
      </c>
      <c r="V4096" s="112">
        <v>46640</v>
      </c>
      <c r="W4096" t="s">
        <v>1194</v>
      </c>
      <c r="X4096">
        <v>16</v>
      </c>
      <c r="Y4096" t="s">
        <v>49</v>
      </c>
      <c r="AA4096" t="s">
        <v>92</v>
      </c>
      <c r="AB4096">
        <v>15</v>
      </c>
      <c r="AC4096" t="s">
        <v>1195</v>
      </c>
      <c r="AD4096" t="s">
        <v>2217</v>
      </c>
      <c r="AE4096" t="s">
        <v>106</v>
      </c>
      <c r="AF4096" t="s">
        <v>59</v>
      </c>
      <c r="AG4096" t="str">
        <f t="shared" si="91"/>
        <v>Recorrente</v>
      </c>
      <c r="AH4096" t="str">
        <f t="shared" si="92"/>
        <v/>
      </c>
    </row>
    <row r="4097" spans="1:34">
      <c r="A4097">
        <v>2026</v>
      </c>
      <c r="B4097">
        <v>5</v>
      </c>
      <c r="C4097" s="83">
        <v>19433900109</v>
      </c>
      <c r="D4097" t="s">
        <v>3564</v>
      </c>
      <c r="E4097">
        <v>57977754435</v>
      </c>
      <c r="F4097">
        <v>637857</v>
      </c>
      <c r="G4097">
        <v>55339821981</v>
      </c>
      <c r="H4097" t="s">
        <v>35</v>
      </c>
      <c r="I4097" s="36">
        <v>53460</v>
      </c>
      <c r="J4097" s="36">
        <v>17820</v>
      </c>
      <c r="K4097" s="85">
        <v>35640</v>
      </c>
      <c r="L4097" s="36">
        <v>1485</v>
      </c>
      <c r="M4097" s="36">
        <v>1485</v>
      </c>
      <c r="N4097" s="36">
        <v>0</v>
      </c>
      <c r="O4097" s="36">
        <v>0</v>
      </c>
      <c r="P4097" t="s">
        <v>87</v>
      </c>
      <c r="Q4097" t="s">
        <v>3558</v>
      </c>
      <c r="R4097" t="s">
        <v>37</v>
      </c>
      <c r="S4097" s="112">
        <v>46161</v>
      </c>
      <c r="T4097" s="112">
        <v>46161</v>
      </c>
      <c r="U4097" s="112"/>
      <c r="V4097" s="112">
        <v>47278</v>
      </c>
      <c r="W4097" t="s">
        <v>102</v>
      </c>
      <c r="X4097">
        <v>37</v>
      </c>
      <c r="Y4097" t="s">
        <v>49</v>
      </c>
      <c r="AA4097" t="s">
        <v>40</v>
      </c>
      <c r="AB4097">
        <v>1</v>
      </c>
      <c r="AC4097" t="s">
        <v>41</v>
      </c>
      <c r="AD4097" t="s">
        <v>70</v>
      </c>
      <c r="AE4097" t="s">
        <v>43</v>
      </c>
      <c r="AF4097" t="s">
        <v>47</v>
      </c>
      <c r="AG4097" t="str">
        <f t="shared" si="91"/>
        <v>À Vista</v>
      </c>
      <c r="AH4097" t="str">
        <f t="shared" si="92"/>
        <v/>
      </c>
    </row>
    <row r="4098" spans="1:34">
      <c r="A4098">
        <v>2026</v>
      </c>
      <c r="B4098">
        <v>5</v>
      </c>
      <c r="C4098" s="83">
        <v>19435626086</v>
      </c>
      <c r="D4098" t="s">
        <v>3565</v>
      </c>
      <c r="E4098">
        <v>58029811125</v>
      </c>
      <c r="F4098">
        <v>637590</v>
      </c>
      <c r="G4098">
        <v>55074296461</v>
      </c>
      <c r="H4098" t="s">
        <v>35</v>
      </c>
      <c r="I4098" s="36">
        <v>52779.839999999997</v>
      </c>
      <c r="J4098" s="36">
        <v>52779.839999999997</v>
      </c>
      <c r="K4098" s="85">
        <v>0</v>
      </c>
      <c r="L4098" s="36">
        <v>4398.32</v>
      </c>
      <c r="M4098" s="36">
        <v>4398.32</v>
      </c>
      <c r="N4098" s="36">
        <v>0</v>
      </c>
      <c r="O4098" s="36">
        <v>0</v>
      </c>
      <c r="P4098" t="s">
        <v>98</v>
      </c>
      <c r="Q4098" t="s">
        <v>3558</v>
      </c>
      <c r="R4098" t="s">
        <v>37</v>
      </c>
      <c r="S4098" s="112">
        <v>46148</v>
      </c>
      <c r="T4098" s="112">
        <v>46148</v>
      </c>
      <c r="U4098" s="112"/>
      <c r="V4098" s="112">
        <v>46535</v>
      </c>
      <c r="W4098" t="s">
        <v>38</v>
      </c>
      <c r="X4098">
        <v>12</v>
      </c>
      <c r="Y4098" t="s">
        <v>49</v>
      </c>
      <c r="AA4098" t="s">
        <v>40</v>
      </c>
      <c r="AB4098">
        <v>1</v>
      </c>
      <c r="AC4098" t="s">
        <v>41</v>
      </c>
      <c r="AD4098" t="s">
        <v>57</v>
      </c>
      <c r="AE4098" t="s">
        <v>58</v>
      </c>
      <c r="AF4098" t="s">
        <v>59</v>
      </c>
      <c r="AG4098" t="str">
        <f t="shared" si="91"/>
        <v>À Vista</v>
      </c>
      <c r="AH4098" t="str">
        <f t="shared" si="92"/>
        <v/>
      </c>
    </row>
    <row r="4099" spans="1:34">
      <c r="A4099">
        <v>2026</v>
      </c>
      <c r="B4099">
        <v>5</v>
      </c>
      <c r="C4099" s="83">
        <v>19485501767</v>
      </c>
      <c r="D4099" t="s">
        <v>3566</v>
      </c>
      <c r="E4099">
        <v>56884598434</v>
      </c>
      <c r="F4099">
        <v>638045</v>
      </c>
      <c r="G4099">
        <v>55660896653</v>
      </c>
      <c r="H4099" t="s">
        <v>35</v>
      </c>
      <c r="I4099" s="36">
        <v>49320</v>
      </c>
      <c r="J4099" s="36">
        <v>49320</v>
      </c>
      <c r="K4099" s="85">
        <v>0</v>
      </c>
      <c r="L4099" s="36">
        <v>4110</v>
      </c>
      <c r="M4099" s="36">
        <v>4110</v>
      </c>
      <c r="N4099" s="36">
        <v>0</v>
      </c>
      <c r="O4099" s="36">
        <v>0</v>
      </c>
      <c r="P4099" t="s">
        <v>1243</v>
      </c>
      <c r="Q4099" t="s">
        <v>3558</v>
      </c>
      <c r="R4099" t="s">
        <v>37</v>
      </c>
      <c r="S4099" s="112">
        <v>46170</v>
      </c>
      <c r="T4099" s="112">
        <v>46170</v>
      </c>
      <c r="V4099" s="112">
        <v>46535</v>
      </c>
      <c r="W4099" t="s">
        <v>38</v>
      </c>
      <c r="X4099">
        <v>12</v>
      </c>
      <c r="Y4099" t="s">
        <v>49</v>
      </c>
      <c r="AA4099" t="s">
        <v>40</v>
      </c>
      <c r="AB4099">
        <v>1</v>
      </c>
      <c r="AC4099" t="s">
        <v>41</v>
      </c>
      <c r="AD4099" t="s">
        <v>53</v>
      </c>
      <c r="AE4099" t="s">
        <v>43</v>
      </c>
      <c r="AF4099" t="s">
        <v>44</v>
      </c>
      <c r="AG4099" t="str">
        <f t="shared" si="91"/>
        <v>À Vista</v>
      </c>
      <c r="AH4099" t="str">
        <f t="shared" si="92"/>
        <v/>
      </c>
    </row>
    <row r="4100" spans="1:34">
      <c r="A4100">
        <v>2026</v>
      </c>
      <c r="B4100">
        <v>5</v>
      </c>
      <c r="C4100" s="83">
        <v>34191240269</v>
      </c>
      <c r="D4100" t="s">
        <v>3567</v>
      </c>
      <c r="E4100">
        <v>53946447761</v>
      </c>
      <c r="F4100">
        <v>637921</v>
      </c>
      <c r="G4100">
        <v>55479091997</v>
      </c>
      <c r="H4100" t="s">
        <v>35</v>
      </c>
      <c r="I4100" s="36">
        <v>46440</v>
      </c>
      <c r="J4100" s="36">
        <v>23220</v>
      </c>
      <c r="K4100" s="85">
        <v>23220</v>
      </c>
      <c r="L4100" s="36">
        <v>1935</v>
      </c>
      <c r="M4100" s="36">
        <v>1935</v>
      </c>
      <c r="N4100" s="36">
        <v>0</v>
      </c>
      <c r="O4100" s="36">
        <v>0</v>
      </c>
      <c r="P4100" t="s">
        <v>1165</v>
      </c>
      <c r="Q4100" t="s">
        <v>3558</v>
      </c>
      <c r="R4100" t="s">
        <v>37</v>
      </c>
      <c r="S4100" s="112">
        <v>46164</v>
      </c>
      <c r="T4100" s="112">
        <v>46164</v>
      </c>
      <c r="V4100" s="112">
        <v>46895</v>
      </c>
      <c r="W4100" t="s">
        <v>56</v>
      </c>
      <c r="X4100">
        <v>24</v>
      </c>
      <c r="Y4100" t="s">
        <v>49</v>
      </c>
      <c r="AA4100" t="s">
        <v>40</v>
      </c>
      <c r="AB4100">
        <v>1</v>
      </c>
      <c r="AC4100" t="s">
        <v>41</v>
      </c>
      <c r="AD4100" t="s">
        <v>53</v>
      </c>
      <c r="AE4100" t="s">
        <v>43</v>
      </c>
      <c r="AF4100" t="s">
        <v>44</v>
      </c>
      <c r="AG4100" t="str">
        <f t="shared" si="91"/>
        <v>À Vista</v>
      </c>
      <c r="AH4100" t="str">
        <f t="shared" si="92"/>
        <v/>
      </c>
    </row>
    <row r="4101" spans="1:34">
      <c r="A4101">
        <v>2026</v>
      </c>
      <c r="B4101">
        <v>5</v>
      </c>
      <c r="C4101" s="83">
        <v>19433900109</v>
      </c>
      <c r="D4101" t="s">
        <v>3564</v>
      </c>
      <c r="E4101">
        <v>57977754435</v>
      </c>
      <c r="F4101">
        <v>637857</v>
      </c>
      <c r="G4101">
        <v>55339821982</v>
      </c>
      <c r="H4101" t="s">
        <v>35</v>
      </c>
      <c r="I4101" s="36">
        <v>43200</v>
      </c>
      <c r="J4101" s="36">
        <v>14400</v>
      </c>
      <c r="K4101" s="85">
        <v>28800</v>
      </c>
      <c r="L4101" s="36">
        <v>1200</v>
      </c>
      <c r="M4101" s="36">
        <v>1200</v>
      </c>
      <c r="N4101" s="36">
        <v>0</v>
      </c>
      <c r="O4101" s="36">
        <v>0</v>
      </c>
      <c r="P4101" t="s">
        <v>87</v>
      </c>
      <c r="Q4101" t="s">
        <v>3558</v>
      </c>
      <c r="R4101" t="s">
        <v>37</v>
      </c>
      <c r="S4101" s="112">
        <v>46161</v>
      </c>
      <c r="T4101" s="112">
        <v>46161</v>
      </c>
      <c r="U4101" s="112"/>
      <c r="V4101" s="112">
        <v>47278</v>
      </c>
      <c r="W4101" t="s">
        <v>102</v>
      </c>
      <c r="X4101">
        <v>37</v>
      </c>
      <c r="Y4101" t="s">
        <v>49</v>
      </c>
      <c r="AA4101" t="s">
        <v>40</v>
      </c>
      <c r="AB4101">
        <v>1</v>
      </c>
      <c r="AC4101" t="s">
        <v>41</v>
      </c>
      <c r="AD4101" t="s">
        <v>73</v>
      </c>
      <c r="AE4101" t="s">
        <v>51</v>
      </c>
      <c r="AF4101" t="s">
        <v>47</v>
      </c>
      <c r="AG4101" t="str">
        <f t="shared" si="91"/>
        <v>À Vista</v>
      </c>
      <c r="AH4101" t="str">
        <f t="shared" si="92"/>
        <v/>
      </c>
    </row>
    <row r="4102" spans="1:34">
      <c r="A4102">
        <v>2026</v>
      </c>
      <c r="B4102">
        <v>5</v>
      </c>
      <c r="C4102" s="83">
        <v>19435381383</v>
      </c>
      <c r="D4102" t="s">
        <v>3568</v>
      </c>
      <c r="E4102">
        <v>48508883592</v>
      </c>
      <c r="F4102">
        <v>637996</v>
      </c>
      <c r="G4102">
        <v>55642973078</v>
      </c>
      <c r="H4102" t="s">
        <v>35</v>
      </c>
      <c r="I4102" s="36">
        <v>43200</v>
      </c>
      <c r="J4102" s="36">
        <v>14400</v>
      </c>
      <c r="K4102" s="85">
        <v>28800</v>
      </c>
      <c r="L4102" s="36">
        <v>1200</v>
      </c>
      <c r="M4102" s="36">
        <v>1200</v>
      </c>
      <c r="N4102" s="36">
        <v>0</v>
      </c>
      <c r="O4102" s="36">
        <v>0</v>
      </c>
      <c r="P4102" t="s">
        <v>98</v>
      </c>
      <c r="Q4102" t="s">
        <v>3558</v>
      </c>
      <c r="R4102" t="s">
        <v>37</v>
      </c>
      <c r="S4102" s="112">
        <v>46169</v>
      </c>
      <c r="T4102" s="112">
        <v>46169</v>
      </c>
      <c r="U4102" s="112"/>
      <c r="V4102" s="112">
        <v>47265</v>
      </c>
      <c r="W4102" t="s">
        <v>102</v>
      </c>
      <c r="X4102">
        <v>36</v>
      </c>
      <c r="Y4102" t="s">
        <v>49</v>
      </c>
      <c r="AA4102" t="s">
        <v>40</v>
      </c>
      <c r="AB4102">
        <v>1</v>
      </c>
      <c r="AC4102" t="s">
        <v>41</v>
      </c>
      <c r="AD4102" t="s">
        <v>73</v>
      </c>
      <c r="AE4102" t="s">
        <v>51</v>
      </c>
      <c r="AF4102" t="s">
        <v>47</v>
      </c>
      <c r="AG4102" t="str">
        <f t="shared" si="91"/>
        <v>À Vista</v>
      </c>
      <c r="AH4102" t="str">
        <f t="shared" si="92"/>
        <v/>
      </c>
    </row>
    <row r="4103" spans="1:34">
      <c r="A4103">
        <v>2026</v>
      </c>
      <c r="B4103">
        <v>5</v>
      </c>
      <c r="C4103" s="83">
        <v>19435381383</v>
      </c>
      <c r="D4103" t="s">
        <v>3568</v>
      </c>
      <c r="E4103">
        <v>48508883592</v>
      </c>
      <c r="F4103">
        <v>637996</v>
      </c>
      <c r="G4103">
        <v>55642973079</v>
      </c>
      <c r="H4103" t="s">
        <v>35</v>
      </c>
      <c r="I4103" s="36">
        <v>35640</v>
      </c>
      <c r="J4103" s="36">
        <v>11880</v>
      </c>
      <c r="K4103" s="85">
        <v>23760</v>
      </c>
      <c r="L4103" s="36">
        <v>990</v>
      </c>
      <c r="M4103" s="36">
        <v>990</v>
      </c>
      <c r="N4103" s="36">
        <v>0</v>
      </c>
      <c r="O4103" s="36">
        <v>0</v>
      </c>
      <c r="P4103" t="s">
        <v>98</v>
      </c>
      <c r="Q4103" t="s">
        <v>3558</v>
      </c>
      <c r="R4103" t="s">
        <v>37</v>
      </c>
      <c r="S4103" s="112">
        <v>46169</v>
      </c>
      <c r="T4103" s="112">
        <v>46169</v>
      </c>
      <c r="U4103" s="112"/>
      <c r="V4103" s="112">
        <v>47265</v>
      </c>
      <c r="W4103" t="s">
        <v>102</v>
      </c>
      <c r="X4103">
        <v>36</v>
      </c>
      <c r="Y4103" t="s">
        <v>49</v>
      </c>
      <c r="AA4103" t="s">
        <v>40</v>
      </c>
      <c r="AB4103">
        <v>1</v>
      </c>
      <c r="AC4103" t="s">
        <v>41</v>
      </c>
      <c r="AD4103" t="s">
        <v>70</v>
      </c>
      <c r="AE4103" t="s">
        <v>43</v>
      </c>
      <c r="AF4103" t="s">
        <v>47</v>
      </c>
      <c r="AG4103" t="str">
        <f t="shared" si="91"/>
        <v>À Vista</v>
      </c>
      <c r="AH4103" t="str">
        <f t="shared" si="92"/>
        <v/>
      </c>
    </row>
    <row r="4104" spans="1:34">
      <c r="A4104">
        <v>2026</v>
      </c>
      <c r="B4104">
        <v>5</v>
      </c>
      <c r="C4104" s="83">
        <v>19433900132</v>
      </c>
      <c r="D4104" t="s">
        <v>3569</v>
      </c>
      <c r="E4104">
        <v>60142269239</v>
      </c>
      <c r="F4104">
        <v>629654</v>
      </c>
      <c r="G4104">
        <v>55682396082</v>
      </c>
      <c r="H4104" t="s">
        <v>35</v>
      </c>
      <c r="I4104" s="36">
        <v>35430</v>
      </c>
      <c r="J4104" s="36">
        <v>35430</v>
      </c>
      <c r="K4104" s="85">
        <v>0</v>
      </c>
      <c r="L4104" s="36">
        <v>2952.5</v>
      </c>
      <c r="M4104" s="36">
        <v>0</v>
      </c>
      <c r="N4104" s="36">
        <v>167.5</v>
      </c>
      <c r="O4104" s="36">
        <v>2785</v>
      </c>
      <c r="P4104" t="s">
        <v>1165</v>
      </c>
      <c r="Q4104" t="s">
        <v>3558</v>
      </c>
      <c r="R4104" t="s">
        <v>79</v>
      </c>
      <c r="S4104" s="112">
        <v>46171</v>
      </c>
      <c r="T4104" s="112">
        <v>46171</v>
      </c>
      <c r="U4104" s="112">
        <v>46161</v>
      </c>
      <c r="V4104" s="112">
        <v>46536</v>
      </c>
      <c r="W4104" t="s">
        <v>38</v>
      </c>
      <c r="X4104">
        <v>12</v>
      </c>
      <c r="Y4104" t="s">
        <v>49</v>
      </c>
      <c r="Z4104" t="s">
        <v>76</v>
      </c>
      <c r="AA4104" t="s">
        <v>92</v>
      </c>
      <c r="AB4104">
        <v>4</v>
      </c>
      <c r="AC4104" t="s">
        <v>83</v>
      </c>
      <c r="AD4104" t="s">
        <v>100</v>
      </c>
      <c r="AE4104" t="s">
        <v>46</v>
      </c>
      <c r="AF4104" t="s">
        <v>47</v>
      </c>
      <c r="AG4104" t="str">
        <f t="shared" si="91"/>
        <v>Recorrente</v>
      </c>
      <c r="AH4104" t="str">
        <f t="shared" si="92"/>
        <v/>
      </c>
    </row>
    <row r="4105" spans="1:34">
      <c r="A4105">
        <v>2026</v>
      </c>
      <c r="B4105">
        <v>5</v>
      </c>
      <c r="C4105" s="83">
        <v>54803358045</v>
      </c>
      <c r="D4105" t="s">
        <v>3570</v>
      </c>
      <c r="E4105">
        <v>58941346440</v>
      </c>
      <c r="F4105">
        <v>638051</v>
      </c>
      <c r="G4105">
        <v>55658885391</v>
      </c>
      <c r="H4105" t="s">
        <v>35</v>
      </c>
      <c r="I4105" s="36">
        <v>34545.599999999999</v>
      </c>
      <c r="J4105" s="36">
        <v>34545.599999999999</v>
      </c>
      <c r="K4105" s="85">
        <v>0</v>
      </c>
      <c r="L4105" s="36">
        <v>2878.8</v>
      </c>
      <c r="M4105" s="36">
        <v>2878.8</v>
      </c>
      <c r="N4105" s="36">
        <v>0</v>
      </c>
      <c r="O4105" s="36">
        <v>0</v>
      </c>
      <c r="P4105" t="s">
        <v>348</v>
      </c>
      <c r="Q4105" t="s">
        <v>349</v>
      </c>
      <c r="R4105" t="s">
        <v>349</v>
      </c>
      <c r="S4105" s="112">
        <v>46170</v>
      </c>
      <c r="T4105" s="112">
        <v>46170</v>
      </c>
      <c r="U4105" s="112"/>
      <c r="V4105" s="112">
        <v>46536</v>
      </c>
      <c r="W4105" t="s">
        <v>38</v>
      </c>
      <c r="X4105">
        <v>12</v>
      </c>
      <c r="Y4105" t="s">
        <v>49</v>
      </c>
      <c r="AA4105" t="s">
        <v>112</v>
      </c>
      <c r="AB4105">
        <v>12</v>
      </c>
      <c r="AC4105" t="s">
        <v>350</v>
      </c>
      <c r="AD4105" t="s">
        <v>154</v>
      </c>
      <c r="AE4105" t="s">
        <v>46</v>
      </c>
      <c r="AF4105" t="s">
        <v>47</v>
      </c>
      <c r="AG4105" t="str">
        <f t="shared" si="91"/>
        <v>CC 12x</v>
      </c>
      <c r="AH4105" t="str">
        <f t="shared" si="92"/>
        <v/>
      </c>
    </row>
    <row r="4106" spans="1:34">
      <c r="A4106">
        <v>2026</v>
      </c>
      <c r="B4106">
        <v>5</v>
      </c>
      <c r="C4106" s="83">
        <v>19435486030</v>
      </c>
      <c r="D4106" t="s">
        <v>3571</v>
      </c>
      <c r="E4106">
        <v>33265398033</v>
      </c>
      <c r="F4106">
        <v>623650</v>
      </c>
      <c r="G4106">
        <v>55340590902</v>
      </c>
      <c r="H4106" t="s">
        <v>35</v>
      </c>
      <c r="I4106" s="36">
        <v>32085</v>
      </c>
      <c r="J4106" s="36">
        <v>10695</v>
      </c>
      <c r="K4106" s="85">
        <v>21390</v>
      </c>
      <c r="L4106" s="36">
        <v>891.25</v>
      </c>
      <c r="M4106" s="36">
        <v>0</v>
      </c>
      <c r="N4106" s="36">
        <v>891.25</v>
      </c>
      <c r="O4106" s="36">
        <v>0</v>
      </c>
      <c r="P4106" t="s">
        <v>98</v>
      </c>
      <c r="Q4106" t="s">
        <v>3558</v>
      </c>
      <c r="R4106" t="s">
        <v>37</v>
      </c>
      <c r="S4106" s="112">
        <v>46162</v>
      </c>
      <c r="T4106" s="112">
        <v>46162</v>
      </c>
      <c r="U4106" s="112"/>
      <c r="V4106" s="112"/>
      <c r="W4106" t="s">
        <v>102</v>
      </c>
      <c r="X4106">
        <v>36</v>
      </c>
      <c r="Y4106" t="s">
        <v>49</v>
      </c>
      <c r="Z4106" t="s">
        <v>324</v>
      </c>
      <c r="AA4106" t="s">
        <v>117</v>
      </c>
      <c r="AB4106">
        <v>1</v>
      </c>
      <c r="AC4106" t="s">
        <v>41</v>
      </c>
      <c r="AD4106" t="s">
        <v>1622</v>
      </c>
      <c r="AE4106" t="s">
        <v>46</v>
      </c>
      <c r="AF4106" t="s">
        <v>47</v>
      </c>
      <c r="AG4106" t="str">
        <f t="shared" si="91"/>
        <v>À Vista</v>
      </c>
      <c r="AH4106" t="str">
        <f t="shared" si="92"/>
        <v/>
      </c>
    </row>
    <row r="4107" spans="1:34">
      <c r="A4107">
        <v>2026</v>
      </c>
      <c r="B4107">
        <v>5</v>
      </c>
      <c r="C4107" s="83">
        <v>19435381383</v>
      </c>
      <c r="D4107" t="s">
        <v>3568</v>
      </c>
      <c r="E4107">
        <v>48508883592</v>
      </c>
      <c r="F4107">
        <v>637996</v>
      </c>
      <c r="G4107">
        <v>55642973077</v>
      </c>
      <c r="H4107" t="s">
        <v>35</v>
      </c>
      <c r="I4107" s="36">
        <v>31482</v>
      </c>
      <c r="J4107" s="36">
        <v>10494</v>
      </c>
      <c r="K4107" s="85">
        <v>20988</v>
      </c>
      <c r="L4107" s="36">
        <v>874.5</v>
      </c>
      <c r="M4107" s="36">
        <v>874.5</v>
      </c>
      <c r="N4107" s="36">
        <v>0</v>
      </c>
      <c r="O4107" s="36">
        <v>0</v>
      </c>
      <c r="P4107" t="s">
        <v>98</v>
      </c>
      <c r="Q4107" t="s">
        <v>3558</v>
      </c>
      <c r="R4107" t="s">
        <v>37</v>
      </c>
      <c r="S4107" s="112">
        <v>46169</v>
      </c>
      <c r="T4107" s="112">
        <v>46169</v>
      </c>
      <c r="U4107" s="112"/>
      <c r="V4107" s="112">
        <v>47265</v>
      </c>
      <c r="W4107" t="s">
        <v>102</v>
      </c>
      <c r="X4107">
        <v>36</v>
      </c>
      <c r="Y4107" t="s">
        <v>49</v>
      </c>
      <c r="AA4107" t="s">
        <v>40</v>
      </c>
      <c r="AB4107">
        <v>1</v>
      </c>
      <c r="AC4107" t="s">
        <v>41</v>
      </c>
      <c r="AD4107" t="s">
        <v>100</v>
      </c>
      <c r="AE4107" t="s">
        <v>46</v>
      </c>
      <c r="AF4107" t="s">
        <v>47</v>
      </c>
      <c r="AG4107" t="str">
        <f t="shared" si="91"/>
        <v>À Vista</v>
      </c>
      <c r="AH4107" t="str">
        <f t="shared" si="92"/>
        <v/>
      </c>
    </row>
    <row r="4108" spans="1:34">
      <c r="A4108">
        <v>2026</v>
      </c>
      <c r="B4108">
        <v>5</v>
      </c>
      <c r="C4108" s="83">
        <v>45993097641</v>
      </c>
      <c r="D4108" t="s">
        <v>3572</v>
      </c>
      <c r="E4108">
        <v>50524330635</v>
      </c>
      <c r="F4108">
        <v>637824</v>
      </c>
      <c r="G4108">
        <v>55319796261</v>
      </c>
      <c r="H4108" t="s">
        <v>35</v>
      </c>
      <c r="I4108" s="36">
        <v>31482</v>
      </c>
      <c r="J4108" s="36">
        <v>10494</v>
      </c>
      <c r="K4108" s="85">
        <v>20988</v>
      </c>
      <c r="L4108" s="36">
        <v>874.5</v>
      </c>
      <c r="M4108" s="36">
        <v>874.5</v>
      </c>
      <c r="N4108" s="36">
        <v>0</v>
      </c>
      <c r="O4108" s="36">
        <v>0</v>
      </c>
      <c r="P4108" t="s">
        <v>98</v>
      </c>
      <c r="Q4108" t="s">
        <v>3558</v>
      </c>
      <c r="R4108" t="s">
        <v>37</v>
      </c>
      <c r="S4108" s="112">
        <v>46160</v>
      </c>
      <c r="T4108" s="112">
        <v>46160</v>
      </c>
      <c r="U4108" s="112"/>
      <c r="V4108" s="112">
        <v>47270</v>
      </c>
      <c r="W4108" t="s">
        <v>102</v>
      </c>
      <c r="X4108">
        <v>37</v>
      </c>
      <c r="Y4108" t="s">
        <v>49</v>
      </c>
      <c r="AA4108" t="s">
        <v>40</v>
      </c>
      <c r="AB4108">
        <v>1</v>
      </c>
      <c r="AC4108" t="s">
        <v>41</v>
      </c>
      <c r="AD4108" t="s">
        <v>100</v>
      </c>
      <c r="AE4108" t="s">
        <v>46</v>
      </c>
      <c r="AF4108" t="s">
        <v>47</v>
      </c>
      <c r="AG4108" t="str">
        <f t="shared" si="91"/>
        <v>À Vista</v>
      </c>
      <c r="AH4108" t="str">
        <f t="shared" si="92"/>
        <v/>
      </c>
    </row>
    <row r="4109" spans="1:34">
      <c r="A4109">
        <v>2026</v>
      </c>
      <c r="B4109">
        <v>5</v>
      </c>
      <c r="C4109" s="83">
        <v>19435586202</v>
      </c>
      <c r="D4109" t="s">
        <v>683</v>
      </c>
      <c r="E4109">
        <v>60177564288</v>
      </c>
      <c r="F4109">
        <v>637736</v>
      </c>
      <c r="G4109">
        <v>55237308002</v>
      </c>
      <c r="H4109" t="s">
        <v>104</v>
      </c>
      <c r="I4109" s="36">
        <v>30000</v>
      </c>
      <c r="J4109" s="36">
        <v>0</v>
      </c>
      <c r="K4109" s="85">
        <v>0</v>
      </c>
      <c r="L4109" s="36">
        <v>0</v>
      </c>
      <c r="M4109" s="36">
        <v>0</v>
      </c>
      <c r="N4109" s="36">
        <v>0</v>
      </c>
      <c r="O4109" s="36">
        <v>0</v>
      </c>
      <c r="P4109" t="s">
        <v>684</v>
      </c>
      <c r="Q4109" t="s">
        <v>79</v>
      </c>
      <c r="R4109" t="s">
        <v>79</v>
      </c>
      <c r="S4109" s="112">
        <v>46154</v>
      </c>
      <c r="T4109" s="112">
        <v>46154</v>
      </c>
      <c r="U4109" s="112"/>
      <c r="V4109" s="112">
        <v>46529</v>
      </c>
      <c r="W4109" t="s">
        <v>38</v>
      </c>
      <c r="X4109">
        <v>12</v>
      </c>
      <c r="Y4109" t="s">
        <v>104</v>
      </c>
      <c r="AA4109" t="s">
        <v>40</v>
      </c>
      <c r="AB4109">
        <v>1</v>
      </c>
      <c r="AC4109" t="s">
        <v>2972</v>
      </c>
      <c r="AD4109" t="s">
        <v>685</v>
      </c>
      <c r="AE4109" t="s">
        <v>106</v>
      </c>
      <c r="AF4109" t="s">
        <v>59</v>
      </c>
      <c r="AG4109" t="str">
        <f t="shared" si="91"/>
        <v>À Vista</v>
      </c>
      <c r="AH4109" t="str">
        <f t="shared" si="92"/>
        <v/>
      </c>
    </row>
    <row r="4110" spans="1:34">
      <c r="A4110">
        <v>2026</v>
      </c>
      <c r="B4110">
        <v>5</v>
      </c>
      <c r="C4110" s="83">
        <v>19435580769</v>
      </c>
      <c r="D4110" t="s">
        <v>3573</v>
      </c>
      <c r="E4110">
        <v>32297397644</v>
      </c>
      <c r="F4110">
        <v>637714</v>
      </c>
      <c r="G4110">
        <v>55196565177</v>
      </c>
      <c r="H4110" t="s">
        <v>35</v>
      </c>
      <c r="I4110" s="36">
        <v>28860</v>
      </c>
      <c r="J4110" s="36">
        <v>28860</v>
      </c>
      <c r="K4110" s="85">
        <v>0</v>
      </c>
      <c r="L4110" s="36">
        <v>2405</v>
      </c>
      <c r="M4110" s="36">
        <v>2405</v>
      </c>
      <c r="N4110" s="36">
        <v>0</v>
      </c>
      <c r="O4110" s="36">
        <v>0</v>
      </c>
      <c r="P4110" t="s">
        <v>87</v>
      </c>
      <c r="Q4110" t="s">
        <v>3558</v>
      </c>
      <c r="R4110" t="s">
        <v>37</v>
      </c>
      <c r="S4110" s="112">
        <v>46153</v>
      </c>
      <c r="T4110" s="112">
        <v>46153</v>
      </c>
      <c r="U4110" s="112"/>
      <c r="V4110" s="112">
        <v>46518</v>
      </c>
      <c r="W4110" t="s">
        <v>38</v>
      </c>
      <c r="X4110">
        <v>12</v>
      </c>
      <c r="Y4110" t="s">
        <v>49</v>
      </c>
      <c r="AA4110" t="s">
        <v>40</v>
      </c>
      <c r="AB4110">
        <v>1</v>
      </c>
      <c r="AC4110" t="s">
        <v>41</v>
      </c>
      <c r="AD4110" t="s">
        <v>54</v>
      </c>
      <c r="AE4110" t="s">
        <v>46</v>
      </c>
      <c r="AF4110" t="s">
        <v>44</v>
      </c>
      <c r="AG4110" t="str">
        <f t="shared" si="91"/>
        <v>À Vista</v>
      </c>
      <c r="AH4110" t="str">
        <f t="shared" si="92"/>
        <v/>
      </c>
    </row>
    <row r="4111" spans="1:34">
      <c r="A4111">
        <v>2026</v>
      </c>
      <c r="B4111">
        <v>5</v>
      </c>
      <c r="C4111" s="83">
        <v>19485501767</v>
      </c>
      <c r="D4111" t="s">
        <v>3566</v>
      </c>
      <c r="E4111">
        <v>56884598434</v>
      </c>
      <c r="F4111">
        <v>638045</v>
      </c>
      <c r="G4111">
        <v>55660896654</v>
      </c>
      <c r="H4111" t="s">
        <v>35</v>
      </c>
      <c r="I4111" s="36">
        <v>28860</v>
      </c>
      <c r="J4111" s="36">
        <v>28860</v>
      </c>
      <c r="K4111" s="85">
        <v>0</v>
      </c>
      <c r="L4111" s="36">
        <v>2405</v>
      </c>
      <c r="M4111" s="36">
        <v>2405</v>
      </c>
      <c r="N4111" s="36">
        <v>0</v>
      </c>
      <c r="O4111" s="36">
        <v>0</v>
      </c>
      <c r="P4111" t="s">
        <v>1243</v>
      </c>
      <c r="Q4111" t="s">
        <v>3558</v>
      </c>
      <c r="R4111" t="s">
        <v>37</v>
      </c>
      <c r="S4111" s="112">
        <v>46170</v>
      </c>
      <c r="T4111" s="112">
        <v>46170</v>
      </c>
      <c r="U4111" s="112"/>
      <c r="V4111" s="112">
        <v>46535</v>
      </c>
      <c r="W4111" t="s">
        <v>38</v>
      </c>
      <c r="X4111">
        <v>12</v>
      </c>
      <c r="Y4111" t="s">
        <v>49</v>
      </c>
      <c r="AA4111" t="s">
        <v>40</v>
      </c>
      <c r="AB4111">
        <v>1</v>
      </c>
      <c r="AC4111" t="s">
        <v>41</v>
      </c>
      <c r="AD4111" t="s">
        <v>54</v>
      </c>
      <c r="AE4111" t="s">
        <v>46</v>
      </c>
      <c r="AF4111" t="s">
        <v>44</v>
      </c>
      <c r="AG4111" t="str">
        <f t="shared" si="91"/>
        <v>À Vista</v>
      </c>
      <c r="AH4111" t="str">
        <f t="shared" si="92"/>
        <v/>
      </c>
    </row>
    <row r="4112" spans="1:34">
      <c r="A4112">
        <v>2026</v>
      </c>
      <c r="B4112">
        <v>5</v>
      </c>
      <c r="C4112" s="83">
        <v>54751401062</v>
      </c>
      <c r="D4112" t="s">
        <v>3574</v>
      </c>
      <c r="E4112">
        <v>60056660890</v>
      </c>
      <c r="F4112">
        <v>637723</v>
      </c>
      <c r="G4112">
        <v>55191111729</v>
      </c>
      <c r="H4112" t="s">
        <v>35</v>
      </c>
      <c r="I4112" s="36">
        <v>28788</v>
      </c>
      <c r="J4112" s="36">
        <v>9094.08</v>
      </c>
      <c r="K4112" s="85">
        <v>19693.919999999998</v>
      </c>
      <c r="L4112" s="36">
        <v>757.84</v>
      </c>
      <c r="M4112" s="36">
        <v>0</v>
      </c>
      <c r="N4112" s="36">
        <v>757.84</v>
      </c>
      <c r="O4112" s="36">
        <v>0</v>
      </c>
      <c r="P4112" t="s">
        <v>367</v>
      </c>
      <c r="Q4112" t="s">
        <v>191</v>
      </c>
      <c r="R4112" t="s">
        <v>191</v>
      </c>
      <c r="S4112" s="112">
        <v>46153</v>
      </c>
      <c r="T4112" s="112">
        <v>46153</v>
      </c>
      <c r="U4112" s="112"/>
      <c r="V4112" s="112">
        <v>46884</v>
      </c>
      <c r="W4112" t="s">
        <v>56</v>
      </c>
      <c r="Y4112" t="s">
        <v>49</v>
      </c>
      <c r="AA4112" t="s">
        <v>122</v>
      </c>
      <c r="AB4112">
        <v>24</v>
      </c>
      <c r="AC4112" t="s">
        <v>192</v>
      </c>
      <c r="AD4112" t="s">
        <v>154</v>
      </c>
      <c r="AE4112" t="s">
        <v>46</v>
      </c>
      <c r="AF4112" t="s">
        <v>47</v>
      </c>
      <c r="AG4112" t="str">
        <f t="shared" si="91"/>
        <v>Recorrente</v>
      </c>
      <c r="AH4112" t="str">
        <f t="shared" si="92"/>
        <v/>
      </c>
    </row>
    <row r="4113" spans="1:34">
      <c r="A4113">
        <v>2026</v>
      </c>
      <c r="B4113">
        <v>5</v>
      </c>
      <c r="C4113" s="83">
        <v>114517114548</v>
      </c>
      <c r="D4113" t="s">
        <v>947</v>
      </c>
      <c r="E4113">
        <v>60555377047</v>
      </c>
      <c r="F4113">
        <v>638033</v>
      </c>
      <c r="G4113">
        <v>55647333204</v>
      </c>
      <c r="H4113" t="s">
        <v>35</v>
      </c>
      <c r="I4113" s="36">
        <v>28289.040000000001</v>
      </c>
      <c r="J4113" s="36">
        <v>1804.856972</v>
      </c>
      <c r="K4113" s="85">
        <v>26484.18303</v>
      </c>
      <c r="L4113" s="36">
        <v>150.4047477</v>
      </c>
      <c r="M4113" s="36">
        <v>0</v>
      </c>
      <c r="N4113" s="36">
        <v>150.4047477</v>
      </c>
      <c r="O4113" s="36">
        <v>0</v>
      </c>
      <c r="P4113" t="s">
        <v>367</v>
      </c>
      <c r="Q4113" t="s">
        <v>191</v>
      </c>
      <c r="R4113" t="s">
        <v>191</v>
      </c>
      <c r="S4113" s="112">
        <v>46170</v>
      </c>
      <c r="T4113" s="112">
        <v>46170</v>
      </c>
      <c r="U4113" s="112"/>
      <c r="V4113" s="112">
        <v>46901</v>
      </c>
      <c r="W4113" t="s">
        <v>56</v>
      </c>
      <c r="Y4113" t="s">
        <v>549</v>
      </c>
      <c r="AA4113" t="s">
        <v>122</v>
      </c>
      <c r="AB4113">
        <v>24</v>
      </c>
      <c r="AC4113" t="s">
        <v>192</v>
      </c>
      <c r="AD4113" t="s">
        <v>125</v>
      </c>
      <c r="AE4113" t="s">
        <v>43</v>
      </c>
      <c r="AF4113" t="s">
        <v>47</v>
      </c>
      <c r="AG4113" t="str">
        <f t="shared" si="91"/>
        <v>Recorrente</v>
      </c>
      <c r="AH4113" t="str">
        <f t="shared" si="92"/>
        <v/>
      </c>
    </row>
    <row r="4114" spans="1:34">
      <c r="A4114">
        <v>2026</v>
      </c>
      <c r="B4114">
        <v>5</v>
      </c>
      <c r="C4114" s="83">
        <v>39255998381</v>
      </c>
      <c r="D4114" t="s">
        <v>3575</v>
      </c>
      <c r="E4114">
        <v>60250374470</v>
      </c>
      <c r="F4114">
        <v>637788</v>
      </c>
      <c r="G4114">
        <v>55252748825</v>
      </c>
      <c r="H4114" t="s">
        <v>35</v>
      </c>
      <c r="I4114" s="36">
        <v>28214.400000000001</v>
      </c>
      <c r="J4114" s="36">
        <v>4111.2</v>
      </c>
      <c r="K4114" s="85">
        <v>24103.200000000001</v>
      </c>
      <c r="L4114" s="36">
        <v>342.6</v>
      </c>
      <c r="M4114" s="36">
        <v>0</v>
      </c>
      <c r="N4114" s="36">
        <v>342.6</v>
      </c>
      <c r="O4114" s="36">
        <v>0</v>
      </c>
      <c r="P4114" t="s">
        <v>367</v>
      </c>
      <c r="Q4114" t="s">
        <v>191</v>
      </c>
      <c r="R4114" t="s">
        <v>191</v>
      </c>
      <c r="S4114" s="112">
        <v>46156</v>
      </c>
      <c r="T4114" s="112">
        <v>46156</v>
      </c>
      <c r="V4114" s="112">
        <v>46887</v>
      </c>
      <c r="W4114" t="s">
        <v>56</v>
      </c>
      <c r="Y4114" t="s">
        <v>49</v>
      </c>
      <c r="AA4114" t="s">
        <v>122</v>
      </c>
      <c r="AB4114">
        <v>24</v>
      </c>
      <c r="AC4114" t="s">
        <v>192</v>
      </c>
      <c r="AD4114" t="s">
        <v>336</v>
      </c>
      <c r="AE4114" t="s">
        <v>135</v>
      </c>
      <c r="AF4114" t="s">
        <v>47</v>
      </c>
      <c r="AG4114" t="str">
        <f t="shared" si="91"/>
        <v>Recorrente</v>
      </c>
      <c r="AH4114" t="str">
        <f t="shared" si="92"/>
        <v/>
      </c>
    </row>
    <row r="4115" spans="1:34">
      <c r="A4115">
        <v>2026</v>
      </c>
      <c r="B4115">
        <v>5</v>
      </c>
      <c r="C4115" s="83">
        <v>19435438773</v>
      </c>
      <c r="D4115" t="s">
        <v>3576</v>
      </c>
      <c r="E4115">
        <v>39934435086</v>
      </c>
      <c r="F4115">
        <v>637601</v>
      </c>
      <c r="G4115">
        <v>55076417325</v>
      </c>
      <c r="H4115" t="s">
        <v>35</v>
      </c>
      <c r="I4115" s="36">
        <v>26736</v>
      </c>
      <c r="J4115" s="36">
        <v>0</v>
      </c>
      <c r="K4115" s="85">
        <v>0</v>
      </c>
      <c r="L4115" s="36">
        <v>0</v>
      </c>
      <c r="M4115" s="36">
        <v>0</v>
      </c>
      <c r="N4115" s="36">
        <v>0</v>
      </c>
      <c r="O4115" s="36">
        <v>0</v>
      </c>
      <c r="P4115" t="s">
        <v>98</v>
      </c>
      <c r="Q4115" t="s">
        <v>3558</v>
      </c>
      <c r="R4115" t="s">
        <v>37</v>
      </c>
      <c r="S4115" s="112">
        <v>46148</v>
      </c>
      <c r="T4115" s="112">
        <v>46148</v>
      </c>
      <c r="V4115" s="112"/>
      <c r="W4115" t="s">
        <v>39</v>
      </c>
      <c r="Y4115" t="s">
        <v>39</v>
      </c>
      <c r="AA4115" t="s">
        <v>40</v>
      </c>
      <c r="AB4115">
        <v>1</v>
      </c>
      <c r="AC4115" t="s">
        <v>41</v>
      </c>
      <c r="AD4115" t="s">
        <v>3406</v>
      </c>
      <c r="AE4115" t="s">
        <v>46</v>
      </c>
      <c r="AF4115" t="s">
        <v>47</v>
      </c>
      <c r="AG4115" t="str">
        <f t="shared" si="91"/>
        <v>À Vista</v>
      </c>
      <c r="AH4115" t="str">
        <f t="shared" si="92"/>
        <v/>
      </c>
    </row>
    <row r="4116" spans="1:34">
      <c r="A4116">
        <v>2026</v>
      </c>
      <c r="B4116">
        <v>5</v>
      </c>
      <c r="C4116" s="83">
        <v>13683222084</v>
      </c>
      <c r="D4116" t="s">
        <v>3577</v>
      </c>
      <c r="E4116">
        <v>58816375315</v>
      </c>
      <c r="F4116">
        <v>315443</v>
      </c>
      <c r="G4116">
        <v>54016188290</v>
      </c>
      <c r="H4116" t="s">
        <v>35</v>
      </c>
      <c r="I4116" s="36">
        <v>24687.599999999999</v>
      </c>
      <c r="J4116" s="36">
        <v>12343.8</v>
      </c>
      <c r="K4116" s="85">
        <v>12343.8</v>
      </c>
      <c r="L4116" s="36">
        <v>1028.6500000000001</v>
      </c>
      <c r="M4116" s="36">
        <v>0</v>
      </c>
      <c r="N4116" s="36">
        <v>354.78458330000001</v>
      </c>
      <c r="O4116" s="36">
        <v>673.86541669999997</v>
      </c>
      <c r="P4116" t="s">
        <v>165</v>
      </c>
      <c r="Q4116" t="s">
        <v>166</v>
      </c>
      <c r="R4116" t="s">
        <v>166</v>
      </c>
      <c r="S4116" s="112">
        <v>46161</v>
      </c>
      <c r="T4116" s="112">
        <v>46161</v>
      </c>
      <c r="U4116" s="112">
        <v>46161</v>
      </c>
      <c r="V4116" s="112">
        <v>46892</v>
      </c>
      <c r="W4116" t="s">
        <v>56</v>
      </c>
      <c r="X4116">
        <v>24</v>
      </c>
      <c r="Y4116" t="s">
        <v>49</v>
      </c>
      <c r="Z4116" t="s">
        <v>81</v>
      </c>
      <c r="AA4116" t="s">
        <v>122</v>
      </c>
      <c r="AB4116">
        <v>24</v>
      </c>
      <c r="AC4116" t="s">
        <v>166</v>
      </c>
      <c r="AD4116" t="s">
        <v>336</v>
      </c>
      <c r="AE4116" t="s">
        <v>135</v>
      </c>
      <c r="AF4116" t="s">
        <v>47</v>
      </c>
      <c r="AG4116" t="str">
        <f t="shared" si="91"/>
        <v>Recorrente</v>
      </c>
      <c r="AH4116" t="str">
        <f t="shared" si="92"/>
        <v/>
      </c>
    </row>
    <row r="4117" spans="1:34">
      <c r="A4117">
        <v>2026</v>
      </c>
      <c r="B4117">
        <v>5</v>
      </c>
      <c r="C4117" s="83">
        <v>19435580769</v>
      </c>
      <c r="D4117" t="s">
        <v>3573</v>
      </c>
      <c r="E4117">
        <v>32297397644</v>
      </c>
      <c r="F4117">
        <v>637714</v>
      </c>
      <c r="G4117">
        <v>55196565248</v>
      </c>
      <c r="H4117" t="s">
        <v>35</v>
      </c>
      <c r="I4117" s="36">
        <v>24660</v>
      </c>
      <c r="J4117" s="36">
        <v>24660</v>
      </c>
      <c r="K4117" s="85">
        <v>0</v>
      </c>
      <c r="L4117" s="36">
        <v>2055</v>
      </c>
      <c r="M4117" s="36">
        <v>2055</v>
      </c>
      <c r="N4117" s="36">
        <v>0</v>
      </c>
      <c r="O4117" s="36">
        <v>0</v>
      </c>
      <c r="P4117" t="s">
        <v>87</v>
      </c>
      <c r="Q4117" t="s">
        <v>3558</v>
      </c>
      <c r="R4117" t="s">
        <v>37</v>
      </c>
      <c r="S4117" s="112">
        <v>46153</v>
      </c>
      <c r="T4117" s="112">
        <v>46153</v>
      </c>
      <c r="V4117" s="112">
        <v>46518</v>
      </c>
      <c r="W4117" t="s">
        <v>38</v>
      </c>
      <c r="X4117">
        <v>12</v>
      </c>
      <c r="Y4117" t="s">
        <v>49</v>
      </c>
      <c r="AA4117" t="s">
        <v>40</v>
      </c>
      <c r="AB4117">
        <v>1</v>
      </c>
      <c r="AC4117" t="s">
        <v>41</v>
      </c>
      <c r="AD4117" t="s">
        <v>53</v>
      </c>
      <c r="AE4117" t="s">
        <v>43</v>
      </c>
      <c r="AF4117" t="s">
        <v>44</v>
      </c>
      <c r="AG4117" t="str">
        <f t="shared" si="91"/>
        <v>À Vista</v>
      </c>
      <c r="AH4117" t="str">
        <f t="shared" si="92"/>
        <v/>
      </c>
    </row>
    <row r="4118" spans="1:34">
      <c r="A4118">
        <v>2026</v>
      </c>
      <c r="B4118">
        <v>5</v>
      </c>
      <c r="C4118" s="83">
        <v>19435493545</v>
      </c>
      <c r="D4118" t="s">
        <v>3578</v>
      </c>
      <c r="E4118">
        <v>52327288400</v>
      </c>
      <c r="F4118">
        <v>536799</v>
      </c>
      <c r="G4118">
        <v>55855534223</v>
      </c>
      <c r="H4118" t="s">
        <v>35</v>
      </c>
      <c r="I4118" s="36">
        <v>22225.919999999998</v>
      </c>
      <c r="J4118" s="36">
        <v>22225.919999999998</v>
      </c>
      <c r="K4118" s="85">
        <v>0</v>
      </c>
      <c r="L4118" s="36">
        <v>1852.16</v>
      </c>
      <c r="M4118" s="36">
        <v>0</v>
      </c>
      <c r="N4118" s="36">
        <v>77.92</v>
      </c>
      <c r="O4118" s="36">
        <v>1774.24</v>
      </c>
      <c r="P4118" t="s">
        <v>75</v>
      </c>
      <c r="Q4118" t="s">
        <v>3558</v>
      </c>
      <c r="R4118" t="s">
        <v>37</v>
      </c>
      <c r="S4118" s="112">
        <v>46169</v>
      </c>
      <c r="T4118" s="112">
        <v>46169</v>
      </c>
      <c r="U4118" s="112">
        <v>46193</v>
      </c>
      <c r="V4118" s="112">
        <v>46558</v>
      </c>
      <c r="W4118" t="s">
        <v>38</v>
      </c>
      <c r="X4118">
        <v>12</v>
      </c>
      <c r="Y4118" t="s">
        <v>49</v>
      </c>
      <c r="Z4118" t="s">
        <v>81</v>
      </c>
      <c r="AA4118" t="s">
        <v>40</v>
      </c>
      <c r="AB4118">
        <v>1</v>
      </c>
      <c r="AC4118" t="s">
        <v>41</v>
      </c>
      <c r="AD4118" t="s">
        <v>100</v>
      </c>
      <c r="AE4118" t="s">
        <v>46</v>
      </c>
      <c r="AF4118" t="s">
        <v>47</v>
      </c>
      <c r="AG4118" t="str">
        <f t="shared" si="91"/>
        <v>À Vista</v>
      </c>
      <c r="AH4118" t="str">
        <f t="shared" si="92"/>
        <v/>
      </c>
    </row>
    <row r="4119" spans="1:34">
      <c r="A4119">
        <v>2026</v>
      </c>
      <c r="B4119">
        <v>5</v>
      </c>
      <c r="C4119" s="83">
        <v>19435493545</v>
      </c>
      <c r="D4119" t="s">
        <v>3578</v>
      </c>
      <c r="E4119">
        <v>52327288400</v>
      </c>
      <c r="F4119">
        <v>536799</v>
      </c>
      <c r="G4119">
        <v>55855534224</v>
      </c>
      <c r="H4119" t="s">
        <v>35</v>
      </c>
      <c r="I4119" s="36">
        <v>22225.919999999998</v>
      </c>
      <c r="J4119" s="36">
        <v>22225.919999999998</v>
      </c>
      <c r="K4119" s="85">
        <v>0</v>
      </c>
      <c r="L4119" s="36">
        <v>1852.16</v>
      </c>
      <c r="M4119" s="36">
        <v>0</v>
      </c>
      <c r="N4119" s="36">
        <v>77.92</v>
      </c>
      <c r="O4119" s="36">
        <v>1774.24</v>
      </c>
      <c r="P4119" t="s">
        <v>75</v>
      </c>
      <c r="Q4119" t="s">
        <v>3558</v>
      </c>
      <c r="R4119" t="s">
        <v>37</v>
      </c>
      <c r="S4119" s="112">
        <v>46169</v>
      </c>
      <c r="T4119" s="112">
        <v>46169</v>
      </c>
      <c r="U4119" s="112">
        <v>46193</v>
      </c>
      <c r="V4119" s="112">
        <v>46558</v>
      </c>
      <c r="W4119" t="s">
        <v>38</v>
      </c>
      <c r="X4119">
        <v>12</v>
      </c>
      <c r="Y4119" t="s">
        <v>49</v>
      </c>
      <c r="Z4119" t="s">
        <v>81</v>
      </c>
      <c r="AA4119" t="s">
        <v>40</v>
      </c>
      <c r="AB4119">
        <v>1</v>
      </c>
      <c r="AC4119" t="s">
        <v>41</v>
      </c>
      <c r="AD4119" t="s">
        <v>70</v>
      </c>
      <c r="AE4119" t="s">
        <v>43</v>
      </c>
      <c r="AF4119" t="s">
        <v>47</v>
      </c>
      <c r="AG4119" t="str">
        <f t="shared" si="91"/>
        <v>À Vista</v>
      </c>
      <c r="AH4119" t="str">
        <f t="shared" si="92"/>
        <v/>
      </c>
    </row>
    <row r="4120" spans="1:34">
      <c r="A4120">
        <v>2026</v>
      </c>
      <c r="B4120">
        <v>5</v>
      </c>
      <c r="C4120" s="83">
        <v>19435493545</v>
      </c>
      <c r="D4120" t="s">
        <v>3578</v>
      </c>
      <c r="E4120">
        <v>52327288400</v>
      </c>
      <c r="F4120">
        <v>536799</v>
      </c>
      <c r="G4120">
        <v>55855534225</v>
      </c>
      <c r="H4120" t="s">
        <v>35</v>
      </c>
      <c r="I4120" s="36">
        <v>22225.919999999998</v>
      </c>
      <c r="J4120" s="36">
        <v>22225.919999999998</v>
      </c>
      <c r="K4120" s="85">
        <v>0</v>
      </c>
      <c r="L4120" s="36">
        <v>1852.16</v>
      </c>
      <c r="M4120" s="36">
        <v>0</v>
      </c>
      <c r="N4120" s="36">
        <v>77.92</v>
      </c>
      <c r="O4120" s="36">
        <v>1774.24</v>
      </c>
      <c r="P4120" t="s">
        <v>75</v>
      </c>
      <c r="Q4120" t="s">
        <v>3558</v>
      </c>
      <c r="R4120" t="s">
        <v>37</v>
      </c>
      <c r="S4120" s="112">
        <v>46169</v>
      </c>
      <c r="T4120" s="112">
        <v>46169</v>
      </c>
      <c r="U4120" s="112">
        <v>46193</v>
      </c>
      <c r="V4120" s="112">
        <v>46558</v>
      </c>
      <c r="W4120" t="s">
        <v>38</v>
      </c>
      <c r="X4120">
        <v>12</v>
      </c>
      <c r="Y4120" t="s">
        <v>49</v>
      </c>
      <c r="Z4120" t="s">
        <v>81</v>
      </c>
      <c r="AA4120" t="s">
        <v>40</v>
      </c>
      <c r="AB4120">
        <v>1</v>
      </c>
      <c r="AC4120" t="s">
        <v>41</v>
      </c>
      <c r="AD4120" t="s">
        <v>54</v>
      </c>
      <c r="AE4120" t="s">
        <v>46</v>
      </c>
      <c r="AF4120" t="s">
        <v>44</v>
      </c>
      <c r="AG4120" t="str">
        <f t="shared" si="91"/>
        <v>À Vista</v>
      </c>
      <c r="AH4120" t="str">
        <f t="shared" si="92"/>
        <v/>
      </c>
    </row>
    <row r="4121" spans="1:34">
      <c r="A4121">
        <v>2026</v>
      </c>
      <c r="B4121">
        <v>5</v>
      </c>
      <c r="C4121" s="83">
        <v>20973395341</v>
      </c>
      <c r="D4121" t="s">
        <v>3579</v>
      </c>
      <c r="E4121">
        <v>60014736529</v>
      </c>
      <c r="F4121">
        <v>637753</v>
      </c>
      <c r="G4121">
        <v>55191523448</v>
      </c>
      <c r="H4121" t="s">
        <v>35</v>
      </c>
      <c r="I4121" s="36">
        <v>21615.84</v>
      </c>
      <c r="J4121" s="36">
        <v>10807.963379999999</v>
      </c>
      <c r="K4121" s="85">
        <v>10807.876619999999</v>
      </c>
      <c r="L4121" s="36">
        <v>900.66361500000005</v>
      </c>
      <c r="M4121" s="36">
        <v>0</v>
      </c>
      <c r="N4121" s="36">
        <v>686.31008259999999</v>
      </c>
      <c r="O4121" s="36">
        <v>214.35353240000001</v>
      </c>
      <c r="P4121" t="s">
        <v>520</v>
      </c>
      <c r="Q4121" t="s">
        <v>191</v>
      </c>
      <c r="R4121" t="s">
        <v>191</v>
      </c>
      <c r="S4121" s="112">
        <v>46154</v>
      </c>
      <c r="T4121" s="112">
        <v>46154</v>
      </c>
      <c r="U4121" s="112"/>
      <c r="V4121" s="112">
        <v>46901</v>
      </c>
      <c r="W4121" t="s">
        <v>56</v>
      </c>
      <c r="Y4121" t="s">
        <v>549</v>
      </c>
      <c r="AA4121" t="s">
        <v>92</v>
      </c>
      <c r="AB4121">
        <v>24</v>
      </c>
      <c r="AC4121" t="s">
        <v>192</v>
      </c>
      <c r="AD4121" t="s">
        <v>158</v>
      </c>
      <c r="AE4121" t="s">
        <v>43</v>
      </c>
      <c r="AF4121" t="s">
        <v>47</v>
      </c>
      <c r="AG4121" t="str">
        <f t="shared" si="91"/>
        <v>Recorrente</v>
      </c>
      <c r="AH4121" t="str">
        <f t="shared" si="92"/>
        <v/>
      </c>
    </row>
    <row r="4122" spans="1:34">
      <c r="A4122">
        <v>2026</v>
      </c>
      <c r="B4122">
        <v>5</v>
      </c>
      <c r="C4122" s="83">
        <v>23568604753</v>
      </c>
      <c r="D4122" t="s">
        <v>826</v>
      </c>
      <c r="E4122">
        <v>59244923311</v>
      </c>
      <c r="F4122">
        <v>637636</v>
      </c>
      <c r="G4122">
        <v>55095925085</v>
      </c>
      <c r="H4122" t="s">
        <v>35</v>
      </c>
      <c r="I4122" s="36">
        <v>21615.84</v>
      </c>
      <c r="J4122" s="36">
        <v>7765.2028170000003</v>
      </c>
      <c r="K4122" s="85">
        <v>13850.63718</v>
      </c>
      <c r="L4122" s="36">
        <v>647.10023469999999</v>
      </c>
      <c r="M4122" s="36">
        <v>0</v>
      </c>
      <c r="N4122" s="36">
        <v>647.10023469999999</v>
      </c>
      <c r="O4122" s="36">
        <v>0</v>
      </c>
      <c r="P4122" t="s">
        <v>520</v>
      </c>
      <c r="Q4122" t="s">
        <v>191</v>
      </c>
      <c r="R4122" t="s">
        <v>191</v>
      </c>
      <c r="S4122" s="112">
        <v>46149</v>
      </c>
      <c r="T4122" s="112">
        <v>46149</v>
      </c>
      <c r="U4122" s="112"/>
      <c r="V4122" s="112">
        <v>46886</v>
      </c>
      <c r="W4122" t="s">
        <v>56</v>
      </c>
      <c r="Y4122" t="s">
        <v>549</v>
      </c>
      <c r="AA4122" t="s">
        <v>92</v>
      </c>
      <c r="AB4122">
        <v>24</v>
      </c>
      <c r="AC4122" t="s">
        <v>192</v>
      </c>
      <c r="AD4122" t="s">
        <v>174</v>
      </c>
      <c r="AE4122" t="s">
        <v>43</v>
      </c>
      <c r="AF4122" t="s">
        <v>47</v>
      </c>
      <c r="AG4122" t="str">
        <f t="shared" si="91"/>
        <v>Recorrente</v>
      </c>
      <c r="AH4122" t="str">
        <f t="shared" si="92"/>
        <v/>
      </c>
    </row>
    <row r="4123" spans="1:34">
      <c r="A4123">
        <v>2026</v>
      </c>
      <c r="B4123">
        <v>5</v>
      </c>
      <c r="C4123" s="83">
        <v>150808245340</v>
      </c>
      <c r="D4123" t="s">
        <v>3580</v>
      </c>
      <c r="E4123">
        <v>60023939396</v>
      </c>
      <c r="F4123">
        <v>637593</v>
      </c>
      <c r="G4123">
        <v>55072107121</v>
      </c>
      <c r="H4123" t="s">
        <v>35</v>
      </c>
      <c r="I4123" s="36">
        <v>21384.720000000001</v>
      </c>
      <c r="J4123" s="36">
        <v>10692.306</v>
      </c>
      <c r="K4123" s="85">
        <v>10692.414000000001</v>
      </c>
      <c r="L4123" s="36">
        <v>891.02549999999997</v>
      </c>
      <c r="M4123" s="36">
        <v>891.02549999999997</v>
      </c>
      <c r="N4123" s="36">
        <v>0</v>
      </c>
      <c r="O4123" s="36">
        <v>0</v>
      </c>
      <c r="P4123" t="s">
        <v>506</v>
      </c>
      <c r="Q4123" t="s">
        <v>300</v>
      </c>
      <c r="R4123" t="s">
        <v>300</v>
      </c>
      <c r="S4123" s="112">
        <v>46148</v>
      </c>
      <c r="T4123" s="112">
        <v>46148</v>
      </c>
      <c r="U4123" s="112"/>
      <c r="V4123" s="112">
        <v>46879</v>
      </c>
      <c r="W4123" t="s">
        <v>56</v>
      </c>
      <c r="X4123">
        <v>24</v>
      </c>
      <c r="Y4123" t="s">
        <v>49</v>
      </c>
      <c r="AA4123" t="s">
        <v>122</v>
      </c>
      <c r="AB4123">
        <v>24</v>
      </c>
      <c r="AC4123" t="s">
        <v>301</v>
      </c>
      <c r="AD4123" t="s">
        <v>146</v>
      </c>
      <c r="AE4123" t="s">
        <v>135</v>
      </c>
      <c r="AF4123" t="s">
        <v>96</v>
      </c>
      <c r="AG4123" t="str">
        <f t="shared" si="91"/>
        <v>Recorrente</v>
      </c>
      <c r="AH4123" t="str">
        <f t="shared" si="92"/>
        <v/>
      </c>
    </row>
    <row r="4124" spans="1:34">
      <c r="A4124">
        <v>2026</v>
      </c>
      <c r="B4124">
        <v>5</v>
      </c>
      <c r="C4124" s="83">
        <v>144872976916</v>
      </c>
      <c r="D4124" t="s">
        <v>3581</v>
      </c>
      <c r="E4124">
        <v>60650853481</v>
      </c>
      <c r="F4124">
        <v>638034</v>
      </c>
      <c r="G4124">
        <v>55647337282</v>
      </c>
      <c r="H4124" t="s">
        <v>35</v>
      </c>
      <c r="I4124" s="36">
        <v>20748</v>
      </c>
      <c r="J4124" s="36">
        <v>3210.6430409999998</v>
      </c>
      <c r="K4124" s="85">
        <v>17537.356960000001</v>
      </c>
      <c r="L4124" s="36">
        <v>267.55358669999998</v>
      </c>
      <c r="M4124" s="36">
        <v>0</v>
      </c>
      <c r="N4124" s="36">
        <v>267.55358669999998</v>
      </c>
      <c r="O4124" s="36">
        <v>0</v>
      </c>
      <c r="P4124" t="s">
        <v>367</v>
      </c>
      <c r="Q4124" t="s">
        <v>191</v>
      </c>
      <c r="R4124" t="s">
        <v>191</v>
      </c>
      <c r="S4124" s="112">
        <v>46170</v>
      </c>
      <c r="T4124" s="112">
        <v>46170</v>
      </c>
      <c r="U4124" s="112"/>
      <c r="V4124" s="112">
        <v>46901</v>
      </c>
      <c r="W4124" t="s">
        <v>56</v>
      </c>
      <c r="Y4124" t="s">
        <v>49</v>
      </c>
      <c r="AA4124" t="s">
        <v>122</v>
      </c>
      <c r="AB4124">
        <v>24</v>
      </c>
      <c r="AC4124" t="s">
        <v>192</v>
      </c>
      <c r="AD4124" t="s">
        <v>154</v>
      </c>
      <c r="AE4124" t="s">
        <v>46</v>
      </c>
      <c r="AF4124" t="s">
        <v>47</v>
      </c>
      <c r="AG4124" t="str">
        <f t="shared" si="91"/>
        <v>Recorrente</v>
      </c>
      <c r="AH4124" t="str">
        <f t="shared" si="92"/>
        <v/>
      </c>
    </row>
    <row r="4125" spans="1:34">
      <c r="A4125">
        <v>2026</v>
      </c>
      <c r="B4125">
        <v>5</v>
      </c>
      <c r="C4125" s="83">
        <v>31622903119</v>
      </c>
      <c r="D4125" t="s">
        <v>3582</v>
      </c>
      <c r="E4125">
        <v>60628280167</v>
      </c>
      <c r="F4125">
        <v>638104</v>
      </c>
      <c r="G4125">
        <v>55687736890</v>
      </c>
      <c r="H4125" t="s">
        <v>35</v>
      </c>
      <c r="I4125" s="36">
        <v>20592</v>
      </c>
      <c r="J4125" s="36">
        <v>10296</v>
      </c>
      <c r="K4125" s="85">
        <v>10296</v>
      </c>
      <c r="L4125" s="36">
        <v>858</v>
      </c>
      <c r="M4125" s="36">
        <v>858</v>
      </c>
      <c r="N4125" s="36">
        <v>0</v>
      </c>
      <c r="O4125" s="36">
        <v>0</v>
      </c>
      <c r="P4125" t="s">
        <v>313</v>
      </c>
      <c r="Q4125" t="s">
        <v>191</v>
      </c>
      <c r="R4125" t="s">
        <v>349</v>
      </c>
      <c r="S4125" s="112">
        <v>46172</v>
      </c>
      <c r="T4125" s="112">
        <v>46172</v>
      </c>
      <c r="U4125" s="112"/>
      <c r="V4125" s="112">
        <v>46907</v>
      </c>
      <c r="W4125" t="s">
        <v>56</v>
      </c>
      <c r="X4125">
        <v>25</v>
      </c>
      <c r="Y4125" t="s">
        <v>49</v>
      </c>
      <c r="AA4125" t="s">
        <v>122</v>
      </c>
      <c r="AB4125">
        <v>24</v>
      </c>
      <c r="AC4125" t="s">
        <v>350</v>
      </c>
      <c r="AD4125" t="s">
        <v>146</v>
      </c>
      <c r="AE4125" t="s">
        <v>135</v>
      </c>
      <c r="AF4125" t="s">
        <v>96</v>
      </c>
      <c r="AG4125" t="str">
        <f t="shared" si="91"/>
        <v>Recorrente</v>
      </c>
      <c r="AH4125" t="str">
        <f t="shared" si="92"/>
        <v/>
      </c>
    </row>
    <row r="4126" spans="1:34">
      <c r="A4126">
        <v>2026</v>
      </c>
      <c r="B4126">
        <v>5</v>
      </c>
      <c r="C4126" s="83">
        <v>54803358045</v>
      </c>
      <c r="D4126" t="s">
        <v>3570</v>
      </c>
      <c r="E4126">
        <v>58941346440</v>
      </c>
      <c r="F4126">
        <v>638051</v>
      </c>
      <c r="G4126">
        <v>55658885390</v>
      </c>
      <c r="H4126" t="s">
        <v>35</v>
      </c>
      <c r="I4126" s="36">
        <v>20145.599999999999</v>
      </c>
      <c r="J4126" s="36">
        <v>20145.599999999999</v>
      </c>
      <c r="K4126" s="85">
        <v>0</v>
      </c>
      <c r="L4126" s="36">
        <v>1678.8</v>
      </c>
      <c r="M4126" s="36">
        <v>1678.8</v>
      </c>
      <c r="N4126" s="36">
        <v>0</v>
      </c>
      <c r="O4126" s="36">
        <v>0</v>
      </c>
      <c r="P4126" t="s">
        <v>348</v>
      </c>
      <c r="Q4126" t="s">
        <v>349</v>
      </c>
      <c r="R4126" t="s">
        <v>349</v>
      </c>
      <c r="S4126" s="112">
        <v>46170</v>
      </c>
      <c r="T4126" s="112">
        <v>46170</v>
      </c>
      <c r="U4126" s="112"/>
      <c r="V4126" s="112">
        <v>46536</v>
      </c>
      <c r="W4126" t="s">
        <v>38</v>
      </c>
      <c r="X4126">
        <v>12</v>
      </c>
      <c r="Y4126" t="s">
        <v>49</v>
      </c>
      <c r="AA4126" t="s">
        <v>112</v>
      </c>
      <c r="AB4126">
        <v>12</v>
      </c>
      <c r="AC4126" t="s">
        <v>350</v>
      </c>
      <c r="AD4126" t="s">
        <v>94</v>
      </c>
      <c r="AE4126" t="s">
        <v>95</v>
      </c>
      <c r="AF4126" t="s">
        <v>96</v>
      </c>
      <c r="AG4126" t="str">
        <f t="shared" si="91"/>
        <v>CC 12x</v>
      </c>
      <c r="AH4126" t="str">
        <f t="shared" si="92"/>
        <v/>
      </c>
    </row>
    <row r="4127" spans="1:34">
      <c r="A4127">
        <v>2026</v>
      </c>
      <c r="B4127">
        <v>5</v>
      </c>
      <c r="C4127" s="83">
        <v>19435476754</v>
      </c>
      <c r="D4127" t="s">
        <v>3583</v>
      </c>
      <c r="E4127">
        <v>59751693911</v>
      </c>
      <c r="F4127">
        <v>637786</v>
      </c>
      <c r="G4127">
        <v>55252741167</v>
      </c>
      <c r="H4127" t="s">
        <v>35</v>
      </c>
      <c r="I4127" s="36">
        <v>19728</v>
      </c>
      <c r="J4127" s="36">
        <v>0</v>
      </c>
      <c r="K4127" s="85">
        <v>0</v>
      </c>
      <c r="L4127" s="36">
        <v>0</v>
      </c>
      <c r="M4127" s="36">
        <v>0</v>
      </c>
      <c r="N4127" s="36">
        <v>0</v>
      </c>
      <c r="O4127" s="36">
        <v>0</v>
      </c>
      <c r="P4127" t="s">
        <v>1243</v>
      </c>
      <c r="Q4127" t="s">
        <v>3558</v>
      </c>
      <c r="R4127" t="s">
        <v>37</v>
      </c>
      <c r="S4127" s="112">
        <v>46156</v>
      </c>
      <c r="T4127" s="112">
        <v>46156</v>
      </c>
      <c r="U4127" s="112"/>
      <c r="V4127" s="112"/>
      <c r="W4127" t="s">
        <v>39</v>
      </c>
      <c r="Y4127" t="s">
        <v>39</v>
      </c>
      <c r="AA4127" t="s">
        <v>40</v>
      </c>
      <c r="AB4127">
        <v>4</v>
      </c>
      <c r="AC4127" t="s">
        <v>41</v>
      </c>
      <c r="AD4127" t="s">
        <v>2961</v>
      </c>
      <c r="AE4127" t="s">
        <v>43</v>
      </c>
      <c r="AF4127" t="s">
        <v>44</v>
      </c>
      <c r="AG4127" t="str">
        <f t="shared" si="91"/>
        <v>CC 12x</v>
      </c>
      <c r="AH4127" t="str">
        <f t="shared" si="92"/>
        <v/>
      </c>
    </row>
    <row r="4128" spans="1:34">
      <c r="A4128">
        <v>2026</v>
      </c>
      <c r="B4128">
        <v>5</v>
      </c>
      <c r="C4128" s="83">
        <v>54803358045</v>
      </c>
      <c r="D4128" t="s">
        <v>3570</v>
      </c>
      <c r="E4128">
        <v>58941346440</v>
      </c>
      <c r="F4128">
        <v>638051</v>
      </c>
      <c r="G4128">
        <v>55658885392</v>
      </c>
      <c r="H4128" t="s">
        <v>35</v>
      </c>
      <c r="I4128" s="36">
        <v>18705.599999999999</v>
      </c>
      <c r="J4128" s="36">
        <v>18705.599999999999</v>
      </c>
      <c r="K4128" s="85">
        <v>0</v>
      </c>
      <c r="L4128" s="36">
        <v>1558.8</v>
      </c>
      <c r="M4128" s="36">
        <v>1558.8</v>
      </c>
      <c r="N4128" s="36">
        <v>0</v>
      </c>
      <c r="O4128" s="36">
        <v>0</v>
      </c>
      <c r="P4128" t="s">
        <v>348</v>
      </c>
      <c r="Q4128" t="s">
        <v>349</v>
      </c>
      <c r="R4128" t="s">
        <v>349</v>
      </c>
      <c r="S4128" s="112">
        <v>46170</v>
      </c>
      <c r="T4128" s="112">
        <v>46170</v>
      </c>
      <c r="U4128" s="112"/>
      <c r="V4128" s="112">
        <v>46536</v>
      </c>
      <c r="W4128" t="s">
        <v>38</v>
      </c>
      <c r="X4128">
        <v>12</v>
      </c>
      <c r="Y4128" t="s">
        <v>49</v>
      </c>
      <c r="AA4128" t="s">
        <v>112</v>
      </c>
      <c r="AB4128">
        <v>12</v>
      </c>
      <c r="AC4128" t="s">
        <v>350</v>
      </c>
      <c r="AD4128" t="s">
        <v>125</v>
      </c>
      <c r="AE4128" t="s">
        <v>43</v>
      </c>
      <c r="AF4128" t="s">
        <v>47</v>
      </c>
      <c r="AG4128" t="str">
        <f t="shared" si="91"/>
        <v>CC 12x</v>
      </c>
      <c r="AH4128" t="str">
        <f t="shared" si="92"/>
        <v/>
      </c>
    </row>
    <row r="4129" spans="1:34">
      <c r="A4129">
        <v>2026</v>
      </c>
      <c r="B4129">
        <v>5</v>
      </c>
      <c r="C4129" s="83">
        <v>30095852363</v>
      </c>
      <c r="D4129" t="s">
        <v>3584</v>
      </c>
      <c r="E4129">
        <v>33609126656</v>
      </c>
      <c r="F4129">
        <v>637683</v>
      </c>
      <c r="G4129">
        <v>55155156544</v>
      </c>
      <c r="H4129" t="s">
        <v>35</v>
      </c>
      <c r="I4129" s="36">
        <v>18576</v>
      </c>
      <c r="J4129" s="36">
        <v>0</v>
      </c>
      <c r="K4129" s="85">
        <v>0</v>
      </c>
      <c r="L4129" s="36">
        <v>0</v>
      </c>
      <c r="M4129" s="36">
        <v>0</v>
      </c>
      <c r="N4129" s="36">
        <v>0</v>
      </c>
      <c r="O4129" s="36">
        <v>0</v>
      </c>
      <c r="P4129" t="s">
        <v>2068</v>
      </c>
      <c r="Q4129" t="s">
        <v>3558</v>
      </c>
      <c r="R4129" t="s">
        <v>37</v>
      </c>
      <c r="S4129" s="112">
        <v>46150</v>
      </c>
      <c r="T4129" s="112">
        <v>46150</v>
      </c>
      <c r="U4129" s="112"/>
      <c r="V4129" s="112"/>
      <c r="W4129" t="s">
        <v>39</v>
      </c>
      <c r="Y4129" t="s">
        <v>39</v>
      </c>
      <c r="AA4129" t="s">
        <v>40</v>
      </c>
      <c r="AB4129">
        <v>1</v>
      </c>
      <c r="AC4129" t="s">
        <v>41</v>
      </c>
      <c r="AD4129" t="s">
        <v>3585</v>
      </c>
      <c r="AE4129" t="s">
        <v>43</v>
      </c>
      <c r="AF4129" t="s">
        <v>44</v>
      </c>
      <c r="AG4129" t="str">
        <f t="shared" si="91"/>
        <v>À Vista</v>
      </c>
      <c r="AH4129" t="str">
        <f t="shared" si="92"/>
        <v/>
      </c>
    </row>
    <row r="4130" spans="1:34">
      <c r="A4130">
        <v>2026</v>
      </c>
      <c r="B4130">
        <v>5</v>
      </c>
      <c r="C4130" s="83">
        <v>19435626086</v>
      </c>
      <c r="D4130" t="s">
        <v>3565</v>
      </c>
      <c r="E4130">
        <v>58029811125</v>
      </c>
      <c r="F4130">
        <v>637590</v>
      </c>
      <c r="G4130">
        <v>55074296462</v>
      </c>
      <c r="H4130" t="s">
        <v>35</v>
      </c>
      <c r="I4130" s="36">
        <v>18230.16</v>
      </c>
      <c r="J4130" s="36">
        <v>18230.16</v>
      </c>
      <c r="K4130" s="85">
        <v>0</v>
      </c>
      <c r="L4130" s="36">
        <v>1519.18</v>
      </c>
      <c r="M4130" s="36">
        <v>1519.18</v>
      </c>
      <c r="N4130" s="36">
        <v>0</v>
      </c>
      <c r="O4130" s="36">
        <v>0</v>
      </c>
      <c r="P4130" t="s">
        <v>98</v>
      </c>
      <c r="Q4130" t="s">
        <v>3558</v>
      </c>
      <c r="R4130" t="s">
        <v>37</v>
      </c>
      <c r="S4130" s="112">
        <v>46148</v>
      </c>
      <c r="T4130" s="112">
        <v>46148</v>
      </c>
      <c r="U4130" s="112"/>
      <c r="V4130" s="112">
        <v>46535</v>
      </c>
      <c r="W4130" t="s">
        <v>38</v>
      </c>
      <c r="X4130">
        <v>12</v>
      </c>
      <c r="Y4130" t="s">
        <v>49</v>
      </c>
      <c r="AA4130" t="s">
        <v>40</v>
      </c>
      <c r="AB4130">
        <v>1</v>
      </c>
      <c r="AC4130" t="s">
        <v>41</v>
      </c>
      <c r="AD4130" t="s">
        <v>3586</v>
      </c>
      <c r="AE4130" t="s">
        <v>58</v>
      </c>
      <c r="AF4130" t="s">
        <v>59</v>
      </c>
      <c r="AG4130" t="str">
        <f t="shared" si="91"/>
        <v>À Vista</v>
      </c>
      <c r="AH4130" t="str">
        <f t="shared" si="92"/>
        <v/>
      </c>
    </row>
    <row r="4131" spans="1:34">
      <c r="A4131">
        <v>2026</v>
      </c>
      <c r="B4131">
        <v>5</v>
      </c>
      <c r="C4131" s="83">
        <v>45993097641</v>
      </c>
      <c r="D4131" t="s">
        <v>3572</v>
      </c>
      <c r="E4131">
        <v>50524330635</v>
      </c>
      <c r="F4131">
        <v>637824</v>
      </c>
      <c r="G4131">
        <v>55319796262</v>
      </c>
      <c r="H4131" t="s">
        <v>35</v>
      </c>
      <c r="I4131" s="36">
        <v>17820</v>
      </c>
      <c r="J4131" s="36">
        <v>5940</v>
      </c>
      <c r="K4131" s="85">
        <v>11880</v>
      </c>
      <c r="L4131" s="36">
        <v>495</v>
      </c>
      <c r="M4131" s="36">
        <v>495</v>
      </c>
      <c r="N4131" s="36">
        <v>0</v>
      </c>
      <c r="O4131" s="36">
        <v>0</v>
      </c>
      <c r="P4131" t="s">
        <v>98</v>
      </c>
      <c r="Q4131" t="s">
        <v>3558</v>
      </c>
      <c r="R4131" t="s">
        <v>37</v>
      </c>
      <c r="S4131" s="112">
        <v>46160</v>
      </c>
      <c r="T4131" s="112">
        <v>46160</v>
      </c>
      <c r="U4131" s="112"/>
      <c r="V4131" s="112">
        <v>47270</v>
      </c>
      <c r="W4131" t="s">
        <v>102</v>
      </c>
      <c r="X4131">
        <v>37</v>
      </c>
      <c r="Y4131" t="s">
        <v>49</v>
      </c>
      <c r="AA4131" t="s">
        <v>40</v>
      </c>
      <c r="AB4131">
        <v>1</v>
      </c>
      <c r="AC4131" t="s">
        <v>41</v>
      </c>
      <c r="AD4131" t="s">
        <v>70</v>
      </c>
      <c r="AE4131" t="s">
        <v>43</v>
      </c>
      <c r="AF4131" t="s">
        <v>47</v>
      </c>
      <c r="AG4131" t="str">
        <f t="shared" si="91"/>
        <v>À Vista</v>
      </c>
      <c r="AH4131" t="str">
        <f t="shared" si="92"/>
        <v/>
      </c>
    </row>
    <row r="4132" spans="1:34">
      <c r="A4132">
        <v>2026</v>
      </c>
      <c r="B4132">
        <v>5</v>
      </c>
      <c r="C4132" s="83">
        <v>53284613147</v>
      </c>
      <c r="D4132" t="s">
        <v>3587</v>
      </c>
      <c r="E4132">
        <v>60051318895</v>
      </c>
      <c r="F4132">
        <v>637589</v>
      </c>
      <c r="G4132">
        <v>55073673293</v>
      </c>
      <c r="H4132" t="s">
        <v>35</v>
      </c>
      <c r="I4132" s="36">
        <v>17631.599999999999</v>
      </c>
      <c r="J4132" s="36">
        <v>6453.3779469999999</v>
      </c>
      <c r="K4132" s="85">
        <v>11178.22205</v>
      </c>
      <c r="L4132" s="36">
        <v>537.78149559999997</v>
      </c>
      <c r="M4132" s="36">
        <v>0</v>
      </c>
      <c r="N4132" s="36">
        <v>537.78149559999997</v>
      </c>
      <c r="O4132" s="36">
        <v>0</v>
      </c>
      <c r="P4132" t="s">
        <v>367</v>
      </c>
      <c r="Q4132" t="s">
        <v>191</v>
      </c>
      <c r="R4132" t="s">
        <v>191</v>
      </c>
      <c r="S4132" s="112">
        <v>46148</v>
      </c>
      <c r="T4132" s="112">
        <v>46148</v>
      </c>
      <c r="U4132" s="112"/>
      <c r="V4132" s="112">
        <v>46879</v>
      </c>
      <c r="W4132" t="s">
        <v>56</v>
      </c>
      <c r="Y4132" t="s">
        <v>49</v>
      </c>
      <c r="AA4132" t="s">
        <v>122</v>
      </c>
      <c r="AB4132">
        <v>24</v>
      </c>
      <c r="AC4132" t="s">
        <v>192</v>
      </c>
      <c r="AD4132" t="s">
        <v>146</v>
      </c>
      <c r="AE4132" t="s">
        <v>135</v>
      </c>
      <c r="AF4132" t="s">
        <v>96</v>
      </c>
      <c r="AG4132" t="str">
        <f t="shared" si="91"/>
        <v>Recorrente</v>
      </c>
      <c r="AH4132" t="str">
        <f t="shared" si="92"/>
        <v/>
      </c>
    </row>
    <row r="4133" spans="1:34">
      <c r="A4133">
        <v>2026</v>
      </c>
      <c r="B4133">
        <v>5</v>
      </c>
      <c r="C4133" s="83">
        <v>19435486030</v>
      </c>
      <c r="D4133" t="s">
        <v>3571</v>
      </c>
      <c r="E4133">
        <v>33265398033</v>
      </c>
      <c r="F4133">
        <v>623650</v>
      </c>
      <c r="G4133">
        <v>55340590905</v>
      </c>
      <c r="H4133" t="s">
        <v>35</v>
      </c>
      <c r="I4133" s="36">
        <v>17397</v>
      </c>
      <c r="J4133" s="36">
        <v>5799</v>
      </c>
      <c r="K4133" s="85">
        <v>11598</v>
      </c>
      <c r="L4133" s="36">
        <v>483.25</v>
      </c>
      <c r="M4133" s="36">
        <v>0</v>
      </c>
      <c r="N4133" s="36">
        <v>483.25</v>
      </c>
      <c r="O4133" s="36">
        <v>0</v>
      </c>
      <c r="P4133" t="s">
        <v>98</v>
      </c>
      <c r="Q4133" t="s">
        <v>3558</v>
      </c>
      <c r="R4133" t="s">
        <v>37</v>
      </c>
      <c r="S4133" s="112">
        <v>46162</v>
      </c>
      <c r="T4133" s="112">
        <v>46162</v>
      </c>
      <c r="U4133" s="112"/>
      <c r="V4133" s="112"/>
      <c r="W4133" t="s">
        <v>102</v>
      </c>
      <c r="X4133">
        <v>36</v>
      </c>
      <c r="Y4133" t="s">
        <v>49</v>
      </c>
      <c r="Z4133" t="s">
        <v>324</v>
      </c>
      <c r="AA4133" t="s">
        <v>117</v>
      </c>
      <c r="AB4133">
        <v>1</v>
      </c>
      <c r="AC4133" t="s">
        <v>41</v>
      </c>
      <c r="AD4133" t="s">
        <v>1623</v>
      </c>
      <c r="AE4133" t="s">
        <v>43</v>
      </c>
      <c r="AF4133" t="s">
        <v>47</v>
      </c>
      <c r="AG4133" t="str">
        <f t="shared" si="91"/>
        <v>À Vista</v>
      </c>
      <c r="AH4133" t="str">
        <f t="shared" si="92"/>
        <v/>
      </c>
    </row>
    <row r="4134" spans="1:34">
      <c r="A4134">
        <v>2026</v>
      </c>
      <c r="B4134">
        <v>5</v>
      </c>
      <c r="C4134" s="83">
        <v>19435611712</v>
      </c>
      <c r="D4134" t="s">
        <v>1185</v>
      </c>
      <c r="E4134">
        <v>50703517965</v>
      </c>
      <c r="F4134">
        <v>629942</v>
      </c>
      <c r="G4134">
        <v>55237309735</v>
      </c>
      <c r="H4134" t="s">
        <v>35</v>
      </c>
      <c r="I4134" s="36">
        <v>17316</v>
      </c>
      <c r="J4134" s="36">
        <v>5772</v>
      </c>
      <c r="K4134" s="85">
        <v>11544</v>
      </c>
      <c r="L4134" s="36">
        <v>481</v>
      </c>
      <c r="M4134" s="36">
        <v>0</v>
      </c>
      <c r="N4134" s="36">
        <v>28</v>
      </c>
      <c r="O4134" s="36">
        <v>453</v>
      </c>
      <c r="P4134" t="s">
        <v>98</v>
      </c>
      <c r="Q4134" t="s">
        <v>3558</v>
      </c>
      <c r="R4134" t="s">
        <v>37</v>
      </c>
      <c r="S4134" s="112">
        <v>46154</v>
      </c>
      <c r="T4134" s="112">
        <v>46154</v>
      </c>
      <c r="U4134" s="112">
        <v>46172</v>
      </c>
      <c r="V4134" s="112">
        <v>47268</v>
      </c>
      <c r="W4134" t="s">
        <v>102</v>
      </c>
      <c r="X4134">
        <v>36</v>
      </c>
      <c r="Y4134" t="s">
        <v>49</v>
      </c>
      <c r="Z4134" t="s">
        <v>81</v>
      </c>
      <c r="AA4134" t="s">
        <v>40</v>
      </c>
      <c r="AB4134">
        <v>1</v>
      </c>
      <c r="AC4134" t="s">
        <v>41</v>
      </c>
      <c r="AD4134" t="s">
        <v>54</v>
      </c>
      <c r="AE4134" t="s">
        <v>46</v>
      </c>
      <c r="AF4134" t="s">
        <v>44</v>
      </c>
      <c r="AG4134" t="str">
        <f t="shared" si="91"/>
        <v>À Vista</v>
      </c>
      <c r="AH4134" t="str">
        <f t="shared" si="92"/>
        <v/>
      </c>
    </row>
    <row r="4135" spans="1:34">
      <c r="A4135">
        <v>2026</v>
      </c>
      <c r="B4135">
        <v>5</v>
      </c>
      <c r="C4135" s="83">
        <v>53947919765</v>
      </c>
      <c r="D4135" t="s">
        <v>3588</v>
      </c>
      <c r="E4135">
        <v>59461943323</v>
      </c>
      <c r="F4135">
        <v>637977</v>
      </c>
      <c r="G4135">
        <v>55519555373</v>
      </c>
      <c r="H4135" t="s">
        <v>35</v>
      </c>
      <c r="I4135" s="36">
        <v>16788</v>
      </c>
      <c r="J4135" s="36">
        <v>16788</v>
      </c>
      <c r="K4135" s="85">
        <v>0</v>
      </c>
      <c r="L4135" s="36">
        <v>1399</v>
      </c>
      <c r="M4135" s="36">
        <v>1399</v>
      </c>
      <c r="N4135" s="36">
        <v>0</v>
      </c>
      <c r="O4135" s="36">
        <v>0</v>
      </c>
      <c r="P4135" t="s">
        <v>129</v>
      </c>
      <c r="Q4135" t="s">
        <v>91</v>
      </c>
      <c r="R4135" t="s">
        <v>91</v>
      </c>
      <c r="S4135" s="112">
        <v>46168</v>
      </c>
      <c r="T4135" s="112">
        <v>46168</v>
      </c>
      <c r="V4135" s="112">
        <v>46544</v>
      </c>
      <c r="W4135" t="s">
        <v>38</v>
      </c>
      <c r="X4135">
        <v>13</v>
      </c>
      <c r="Y4135" t="s">
        <v>49</v>
      </c>
      <c r="AA4135" t="s">
        <v>92</v>
      </c>
      <c r="AB4135">
        <v>12</v>
      </c>
      <c r="AC4135" t="s">
        <v>93</v>
      </c>
      <c r="AD4135" t="s">
        <v>94</v>
      </c>
      <c r="AE4135" t="s">
        <v>95</v>
      </c>
      <c r="AF4135" t="s">
        <v>96</v>
      </c>
      <c r="AG4135" t="str">
        <f t="shared" si="91"/>
        <v>Recorrente</v>
      </c>
      <c r="AH4135" t="str">
        <f t="shared" si="92"/>
        <v/>
      </c>
    </row>
    <row r="4136" spans="1:34">
      <c r="A4136">
        <v>2026</v>
      </c>
      <c r="B4136">
        <v>5</v>
      </c>
      <c r="C4136" s="83">
        <v>19435686041</v>
      </c>
      <c r="D4136" t="s">
        <v>2986</v>
      </c>
      <c r="E4136">
        <v>59096198230</v>
      </c>
      <c r="F4136">
        <v>637957</v>
      </c>
      <c r="G4136">
        <v>55611060586</v>
      </c>
      <c r="H4136" t="s">
        <v>35</v>
      </c>
      <c r="I4136" s="36">
        <v>16680</v>
      </c>
      <c r="J4136" s="36">
        <v>16680</v>
      </c>
      <c r="K4136" s="85">
        <v>0</v>
      </c>
      <c r="L4136" s="36">
        <v>1390</v>
      </c>
      <c r="M4136" s="36">
        <v>1390</v>
      </c>
      <c r="N4136" s="36">
        <v>0</v>
      </c>
      <c r="O4136" s="36">
        <v>0</v>
      </c>
      <c r="P4136" t="s">
        <v>98</v>
      </c>
      <c r="Q4136" t="s">
        <v>3558</v>
      </c>
      <c r="R4136" t="s">
        <v>37</v>
      </c>
      <c r="S4136" s="112">
        <v>46167</v>
      </c>
      <c r="T4136" s="112">
        <v>46167</v>
      </c>
      <c r="U4136" s="112"/>
      <c r="V4136" s="112">
        <v>46532</v>
      </c>
      <c r="W4136" t="s">
        <v>38</v>
      </c>
      <c r="X4136">
        <v>12</v>
      </c>
      <c r="Y4136" t="s">
        <v>49</v>
      </c>
      <c r="AA4136" t="s">
        <v>40</v>
      </c>
      <c r="AB4136">
        <v>1</v>
      </c>
      <c r="AC4136" t="s">
        <v>41</v>
      </c>
      <c r="AD4136" t="s">
        <v>3589</v>
      </c>
      <c r="AE4136" t="s">
        <v>106</v>
      </c>
      <c r="AF4136" t="s">
        <v>59</v>
      </c>
      <c r="AG4136" t="str">
        <f t="shared" si="91"/>
        <v>À Vista</v>
      </c>
      <c r="AH4136" t="str">
        <f t="shared" si="92"/>
        <v/>
      </c>
    </row>
    <row r="4137" spans="1:34">
      <c r="A4137">
        <v>2026</v>
      </c>
      <c r="B4137">
        <v>5</v>
      </c>
      <c r="C4137" s="83">
        <v>2089034</v>
      </c>
      <c r="D4137" t="s">
        <v>3590</v>
      </c>
      <c r="E4137">
        <v>60333293828</v>
      </c>
      <c r="F4137">
        <v>637844</v>
      </c>
      <c r="G4137">
        <v>55324675588</v>
      </c>
      <c r="H4137" t="s">
        <v>35</v>
      </c>
      <c r="I4137" s="36">
        <v>16520.400000000001</v>
      </c>
      <c r="J4137" s="36">
        <v>8260.2000000000007</v>
      </c>
      <c r="K4137" s="85">
        <v>8260.2000000000007</v>
      </c>
      <c r="L4137" s="36">
        <v>688.35</v>
      </c>
      <c r="M4137" s="36">
        <v>0</v>
      </c>
      <c r="N4137" s="36">
        <v>688.35</v>
      </c>
      <c r="O4137" s="36">
        <v>0</v>
      </c>
      <c r="P4137" t="s">
        <v>367</v>
      </c>
      <c r="Q4137" t="s">
        <v>191</v>
      </c>
      <c r="R4137" t="s">
        <v>191</v>
      </c>
      <c r="S4137" s="112">
        <v>46161</v>
      </c>
      <c r="T4137" s="112">
        <v>46161</v>
      </c>
      <c r="U4137" s="112"/>
      <c r="V4137" s="112">
        <v>46892</v>
      </c>
      <c r="W4137" t="s">
        <v>56</v>
      </c>
      <c r="X4137">
        <v>24</v>
      </c>
      <c r="Y4137" t="s">
        <v>49</v>
      </c>
      <c r="AA4137" t="s">
        <v>122</v>
      </c>
      <c r="AB4137">
        <v>24</v>
      </c>
      <c r="AC4137" t="s">
        <v>192</v>
      </c>
      <c r="AD4137" t="s">
        <v>351</v>
      </c>
      <c r="AE4137" t="s">
        <v>95</v>
      </c>
      <c r="AF4137" t="s">
        <v>96</v>
      </c>
      <c r="AG4137" t="str">
        <f t="shared" si="91"/>
        <v>Recorrente</v>
      </c>
      <c r="AH4137" t="str">
        <f t="shared" si="92"/>
        <v/>
      </c>
    </row>
    <row r="4138" spans="1:34">
      <c r="A4138">
        <v>2026</v>
      </c>
      <c r="B4138">
        <v>5</v>
      </c>
      <c r="C4138" s="83">
        <v>145799439270</v>
      </c>
      <c r="D4138" t="s">
        <v>3591</v>
      </c>
      <c r="E4138">
        <v>58566517261</v>
      </c>
      <c r="F4138">
        <v>315001</v>
      </c>
      <c r="G4138">
        <v>54379365722</v>
      </c>
      <c r="H4138" t="s">
        <v>35</v>
      </c>
      <c r="I4138" s="36">
        <v>16202.52</v>
      </c>
      <c r="J4138" s="36">
        <v>5400.84</v>
      </c>
      <c r="K4138" s="85">
        <v>10801.68</v>
      </c>
      <c r="L4138" s="36">
        <v>450.07</v>
      </c>
      <c r="M4138" s="36">
        <v>0</v>
      </c>
      <c r="N4138" s="36">
        <v>55.865000000000002</v>
      </c>
      <c r="O4138" s="36">
        <v>394.21</v>
      </c>
      <c r="P4138" t="s">
        <v>121</v>
      </c>
      <c r="Q4138" t="s">
        <v>111</v>
      </c>
      <c r="R4138" t="s">
        <v>111</v>
      </c>
      <c r="S4138" s="112">
        <v>46146</v>
      </c>
      <c r="T4138" s="112">
        <v>46146</v>
      </c>
      <c r="U4138" s="112">
        <v>46152</v>
      </c>
      <c r="V4138" s="112">
        <v>47248</v>
      </c>
      <c r="W4138" t="s">
        <v>102</v>
      </c>
      <c r="X4138">
        <v>36</v>
      </c>
      <c r="Y4138" t="s">
        <v>49</v>
      </c>
      <c r="Z4138" t="s">
        <v>81</v>
      </c>
      <c r="AA4138" t="s">
        <v>122</v>
      </c>
      <c r="AB4138">
        <v>36</v>
      </c>
      <c r="AC4138" t="s">
        <v>113</v>
      </c>
      <c r="AD4138" t="s">
        <v>149</v>
      </c>
      <c r="AE4138" t="s">
        <v>43</v>
      </c>
      <c r="AF4138" t="s">
        <v>96</v>
      </c>
      <c r="AG4138" t="str">
        <f t="shared" si="91"/>
        <v>Recorrente</v>
      </c>
      <c r="AH4138" t="str">
        <f t="shared" si="92"/>
        <v/>
      </c>
    </row>
    <row r="4139" spans="1:34">
      <c r="A4139">
        <v>2026</v>
      </c>
      <c r="B4139">
        <v>5</v>
      </c>
      <c r="C4139" s="83">
        <v>20945375121</v>
      </c>
      <c r="D4139" t="s">
        <v>3592</v>
      </c>
      <c r="E4139">
        <v>58542282020</v>
      </c>
      <c r="F4139">
        <v>612968</v>
      </c>
      <c r="G4139">
        <v>53712952204</v>
      </c>
      <c r="H4139" t="s">
        <v>35</v>
      </c>
      <c r="I4139" s="36">
        <v>16110</v>
      </c>
      <c r="J4139" s="36">
        <v>16110</v>
      </c>
      <c r="K4139" s="85">
        <v>0</v>
      </c>
      <c r="L4139" s="36">
        <v>1342.5</v>
      </c>
      <c r="M4139" s="36">
        <v>0</v>
      </c>
      <c r="N4139" s="36">
        <v>252.38</v>
      </c>
      <c r="O4139" s="36">
        <v>1090.1199999999999</v>
      </c>
      <c r="P4139" t="s">
        <v>165</v>
      </c>
      <c r="Q4139" t="s">
        <v>166</v>
      </c>
      <c r="R4139" t="s">
        <v>166</v>
      </c>
      <c r="S4139" s="112">
        <v>46156</v>
      </c>
      <c r="T4139" s="112">
        <v>46156</v>
      </c>
      <c r="U4139" s="112">
        <v>46156</v>
      </c>
      <c r="V4139" s="112">
        <v>46521</v>
      </c>
      <c r="W4139" t="s">
        <v>38</v>
      </c>
      <c r="X4139">
        <v>12</v>
      </c>
      <c r="Y4139" t="s">
        <v>49</v>
      </c>
      <c r="Z4139" t="s">
        <v>81</v>
      </c>
      <c r="AA4139" t="s">
        <v>112</v>
      </c>
      <c r="AB4139">
        <v>6</v>
      </c>
      <c r="AC4139" t="s">
        <v>166</v>
      </c>
      <c r="AD4139" t="s">
        <v>362</v>
      </c>
      <c r="AE4139" t="s">
        <v>363</v>
      </c>
      <c r="AF4139" t="s">
        <v>59</v>
      </c>
      <c r="AG4139" t="str">
        <f t="shared" si="91"/>
        <v>CC 12x</v>
      </c>
      <c r="AH4139" t="str">
        <f t="shared" si="92"/>
        <v/>
      </c>
    </row>
    <row r="4140" spans="1:34">
      <c r="A4140">
        <v>2026</v>
      </c>
      <c r="B4140">
        <v>5</v>
      </c>
      <c r="C4140" s="83">
        <v>53947919765</v>
      </c>
      <c r="D4140" t="s">
        <v>3588</v>
      </c>
      <c r="E4140">
        <v>59461943323</v>
      </c>
      <c r="F4140">
        <v>637977</v>
      </c>
      <c r="G4140">
        <v>55519555372</v>
      </c>
      <c r="H4140" t="s">
        <v>35</v>
      </c>
      <c r="I4140" s="36">
        <v>16110</v>
      </c>
      <c r="J4140" s="36">
        <v>16110</v>
      </c>
      <c r="K4140" s="85">
        <v>0</v>
      </c>
      <c r="L4140" s="36">
        <v>1342.5</v>
      </c>
      <c r="M4140" s="36">
        <v>1342.5</v>
      </c>
      <c r="N4140" s="36">
        <v>0</v>
      </c>
      <c r="O4140" s="36">
        <v>0</v>
      </c>
      <c r="P4140" t="s">
        <v>129</v>
      </c>
      <c r="Q4140" t="s">
        <v>91</v>
      </c>
      <c r="R4140" t="s">
        <v>91</v>
      </c>
      <c r="S4140" s="112">
        <v>46168</v>
      </c>
      <c r="T4140" s="112">
        <v>46168</v>
      </c>
      <c r="U4140" s="112"/>
      <c r="V4140" s="112">
        <v>46544</v>
      </c>
      <c r="W4140" t="s">
        <v>38</v>
      </c>
      <c r="X4140">
        <v>13</v>
      </c>
      <c r="Y4140" t="s">
        <v>49</v>
      </c>
      <c r="AA4140" t="s">
        <v>92</v>
      </c>
      <c r="AB4140">
        <v>12</v>
      </c>
      <c r="AC4140" t="s">
        <v>93</v>
      </c>
      <c r="AD4140" t="s">
        <v>527</v>
      </c>
      <c r="AE4140" t="s">
        <v>257</v>
      </c>
      <c r="AF4140" t="s">
        <v>59</v>
      </c>
      <c r="AG4140" t="str">
        <f t="shared" si="91"/>
        <v>Recorrente</v>
      </c>
      <c r="AH4140" t="str">
        <f t="shared" si="92"/>
        <v/>
      </c>
    </row>
    <row r="4141" spans="1:34">
      <c r="A4141">
        <v>2026</v>
      </c>
      <c r="B4141">
        <v>5</v>
      </c>
      <c r="C4141" s="83">
        <v>52808693155</v>
      </c>
      <c r="D4141" t="s">
        <v>3593</v>
      </c>
      <c r="E4141">
        <v>57829461372</v>
      </c>
      <c r="F4141">
        <v>638031</v>
      </c>
      <c r="G4141">
        <v>55648735336</v>
      </c>
      <c r="H4141" t="s">
        <v>35</v>
      </c>
      <c r="I4141" s="36">
        <v>15578.4</v>
      </c>
      <c r="J4141" s="36">
        <v>15578.4</v>
      </c>
      <c r="K4141" s="85">
        <v>0</v>
      </c>
      <c r="L4141" s="36">
        <v>1298.2</v>
      </c>
      <c r="M4141" s="36">
        <v>1298.2</v>
      </c>
      <c r="N4141" s="36">
        <v>0</v>
      </c>
      <c r="O4141" s="36">
        <v>0</v>
      </c>
      <c r="P4141" t="s">
        <v>668</v>
      </c>
      <c r="Q4141" t="s">
        <v>91</v>
      </c>
      <c r="R4141" t="s">
        <v>91</v>
      </c>
      <c r="S4141" s="112">
        <v>46169</v>
      </c>
      <c r="T4141" s="112">
        <v>46169</v>
      </c>
      <c r="U4141" s="112"/>
      <c r="V4141" s="112">
        <v>46534</v>
      </c>
      <c r="W4141" t="s">
        <v>38</v>
      </c>
      <c r="X4141">
        <v>12</v>
      </c>
      <c r="Y4141" t="s">
        <v>49</v>
      </c>
      <c r="AA4141" t="s">
        <v>92</v>
      </c>
      <c r="AB4141">
        <v>1</v>
      </c>
      <c r="AC4141" t="s">
        <v>93</v>
      </c>
      <c r="AD4141" t="s">
        <v>125</v>
      </c>
      <c r="AE4141" t="s">
        <v>43</v>
      </c>
      <c r="AF4141" t="s">
        <v>47</v>
      </c>
      <c r="AG4141" t="str">
        <f t="shared" si="91"/>
        <v>Recorrente</v>
      </c>
      <c r="AH4141" t="str">
        <f t="shared" si="92"/>
        <v/>
      </c>
    </row>
    <row r="4142" spans="1:34">
      <c r="A4142">
        <v>2026</v>
      </c>
      <c r="B4142">
        <v>5</v>
      </c>
      <c r="C4142" s="83">
        <v>53077352027</v>
      </c>
      <c r="D4142" t="s">
        <v>3594</v>
      </c>
      <c r="E4142">
        <v>56699659649</v>
      </c>
      <c r="F4142">
        <v>637872</v>
      </c>
      <c r="G4142">
        <v>55339865246</v>
      </c>
      <c r="H4142" t="s">
        <v>35</v>
      </c>
      <c r="I4142" s="36">
        <v>15384</v>
      </c>
      <c r="J4142" s="36">
        <v>0</v>
      </c>
      <c r="K4142" s="85">
        <v>0</v>
      </c>
      <c r="L4142" s="36">
        <v>0</v>
      </c>
      <c r="M4142" s="36">
        <v>0</v>
      </c>
      <c r="N4142" s="36">
        <v>0</v>
      </c>
      <c r="O4142" s="36">
        <v>0</v>
      </c>
      <c r="P4142" t="s">
        <v>36</v>
      </c>
      <c r="Q4142" t="s">
        <v>3558</v>
      </c>
      <c r="R4142" t="s">
        <v>37</v>
      </c>
      <c r="S4142" s="112">
        <v>46162</v>
      </c>
      <c r="T4142" s="112">
        <v>46162</v>
      </c>
      <c r="U4142" s="112"/>
      <c r="V4142" s="112"/>
      <c r="W4142" t="s">
        <v>39</v>
      </c>
      <c r="Y4142" t="s">
        <v>39</v>
      </c>
      <c r="AA4142" t="s">
        <v>40</v>
      </c>
      <c r="AB4142">
        <v>1</v>
      </c>
      <c r="AC4142" t="s">
        <v>41</v>
      </c>
      <c r="AD4142" t="s">
        <v>3407</v>
      </c>
      <c r="AE4142" t="s">
        <v>43</v>
      </c>
      <c r="AF4142" t="s">
        <v>47</v>
      </c>
      <c r="AG4142" t="str">
        <f t="shared" si="91"/>
        <v>À Vista</v>
      </c>
      <c r="AH4142" t="str">
        <f t="shared" si="92"/>
        <v/>
      </c>
    </row>
    <row r="4143" spans="1:34">
      <c r="A4143">
        <v>2026</v>
      </c>
      <c r="B4143">
        <v>5</v>
      </c>
      <c r="C4143" s="83">
        <v>211121033272</v>
      </c>
      <c r="D4143" t="s">
        <v>3595</v>
      </c>
      <c r="E4143">
        <v>59182864751</v>
      </c>
      <c r="F4143">
        <v>315341</v>
      </c>
      <c r="G4143">
        <v>55038866580</v>
      </c>
      <c r="H4143" t="s">
        <v>35</v>
      </c>
      <c r="I4143" s="36">
        <v>15106.8</v>
      </c>
      <c r="J4143" s="36">
        <v>7553.4</v>
      </c>
      <c r="K4143" s="85">
        <v>7553.4</v>
      </c>
      <c r="L4143" s="36">
        <v>629.45000000000005</v>
      </c>
      <c r="M4143" s="36">
        <v>0</v>
      </c>
      <c r="N4143" s="36">
        <v>67.8</v>
      </c>
      <c r="O4143" s="36">
        <v>561.65</v>
      </c>
      <c r="P4143" t="s">
        <v>162</v>
      </c>
      <c r="Q4143" t="s">
        <v>111</v>
      </c>
      <c r="R4143" t="s">
        <v>111</v>
      </c>
      <c r="S4143" s="112">
        <v>46146</v>
      </c>
      <c r="T4143" s="112">
        <v>46146</v>
      </c>
      <c r="U4143" s="112">
        <v>46160</v>
      </c>
      <c r="V4143" s="112">
        <v>46891</v>
      </c>
      <c r="W4143" t="s">
        <v>56</v>
      </c>
      <c r="X4143">
        <v>24</v>
      </c>
      <c r="Y4143" t="s">
        <v>49</v>
      </c>
      <c r="Z4143" t="s">
        <v>81</v>
      </c>
      <c r="AA4143" t="s">
        <v>122</v>
      </c>
      <c r="AB4143">
        <v>24</v>
      </c>
      <c r="AC4143" t="s">
        <v>113</v>
      </c>
      <c r="AD4143" t="s">
        <v>134</v>
      </c>
      <c r="AE4143" t="s">
        <v>135</v>
      </c>
      <c r="AF4143" t="s">
        <v>44</v>
      </c>
      <c r="AG4143" t="str">
        <f t="shared" si="91"/>
        <v>Recorrente</v>
      </c>
      <c r="AH4143" t="str">
        <f t="shared" si="92"/>
        <v/>
      </c>
    </row>
    <row r="4144" spans="1:34">
      <c r="A4144">
        <v>2026</v>
      </c>
      <c r="B4144">
        <v>5</v>
      </c>
      <c r="C4144" s="83">
        <v>102356794121</v>
      </c>
      <c r="D4144" t="s">
        <v>3596</v>
      </c>
      <c r="E4144">
        <v>59219688223</v>
      </c>
      <c r="F4144">
        <v>612437</v>
      </c>
      <c r="G4144">
        <v>55089652835</v>
      </c>
      <c r="H4144" t="s">
        <v>35</v>
      </c>
      <c r="I4144" s="36">
        <v>15077.04</v>
      </c>
      <c r="J4144" s="36">
        <v>15077.04</v>
      </c>
      <c r="K4144" s="85">
        <v>0</v>
      </c>
      <c r="L4144" s="36">
        <v>1256.42</v>
      </c>
      <c r="M4144" s="36">
        <v>0</v>
      </c>
      <c r="N4144" s="36">
        <v>33.322499999999998</v>
      </c>
      <c r="O4144" s="36">
        <v>1223.0999999999999</v>
      </c>
      <c r="P4144" t="s">
        <v>137</v>
      </c>
      <c r="Q4144" t="s">
        <v>111</v>
      </c>
      <c r="R4144" t="s">
        <v>111</v>
      </c>
      <c r="S4144" s="112">
        <v>46149</v>
      </c>
      <c r="T4144" s="112">
        <v>46149</v>
      </c>
      <c r="U4144" s="112">
        <v>46142</v>
      </c>
      <c r="V4144" s="112">
        <v>46514</v>
      </c>
      <c r="W4144" t="s">
        <v>38</v>
      </c>
      <c r="X4144">
        <v>13</v>
      </c>
      <c r="Y4144" t="s">
        <v>49</v>
      </c>
      <c r="Z4144" t="s">
        <v>81</v>
      </c>
      <c r="AA4144" t="s">
        <v>117</v>
      </c>
      <c r="AB4144">
        <v>1</v>
      </c>
      <c r="AC4144" t="s">
        <v>113</v>
      </c>
      <c r="AD4144" t="s">
        <v>336</v>
      </c>
      <c r="AE4144" t="s">
        <v>135</v>
      </c>
      <c r="AF4144" t="s">
        <v>47</v>
      </c>
      <c r="AG4144" t="str">
        <f t="shared" si="91"/>
        <v>À Vista</v>
      </c>
      <c r="AH4144" t="str">
        <f t="shared" si="92"/>
        <v/>
      </c>
    </row>
    <row r="4145" spans="1:34">
      <c r="A4145">
        <v>2026</v>
      </c>
      <c r="B4145">
        <v>5</v>
      </c>
      <c r="C4145" s="83">
        <v>2078511</v>
      </c>
      <c r="D4145" t="s">
        <v>3597</v>
      </c>
      <c r="E4145">
        <v>60349222260</v>
      </c>
      <c r="F4145">
        <v>637855</v>
      </c>
      <c r="G4145">
        <v>55339507251</v>
      </c>
      <c r="H4145" t="s">
        <v>35</v>
      </c>
      <c r="I4145" s="36">
        <v>14880.24</v>
      </c>
      <c r="J4145" s="36">
        <v>7440.1715999999997</v>
      </c>
      <c r="K4145" s="85">
        <v>7440.0684000000001</v>
      </c>
      <c r="L4145" s="36">
        <v>620.01430000000005</v>
      </c>
      <c r="M4145" s="36">
        <v>620.01430000000005</v>
      </c>
      <c r="N4145" s="36">
        <v>0</v>
      </c>
      <c r="O4145" s="36">
        <v>0</v>
      </c>
      <c r="P4145" t="s">
        <v>2004</v>
      </c>
      <c r="Q4145" t="s">
        <v>300</v>
      </c>
      <c r="R4145" t="s">
        <v>300</v>
      </c>
      <c r="S4145" s="112">
        <v>46161</v>
      </c>
      <c r="T4145" s="112">
        <v>46161</v>
      </c>
      <c r="U4145" s="112"/>
      <c r="V4145" s="112">
        <v>46892</v>
      </c>
      <c r="W4145" t="s">
        <v>56</v>
      </c>
      <c r="X4145">
        <v>24</v>
      </c>
      <c r="Y4145" t="s">
        <v>49</v>
      </c>
      <c r="AA4145" t="s">
        <v>122</v>
      </c>
      <c r="AB4145">
        <v>24</v>
      </c>
      <c r="AC4145" t="s">
        <v>301</v>
      </c>
      <c r="AD4145" t="s">
        <v>134</v>
      </c>
      <c r="AE4145" t="s">
        <v>135</v>
      </c>
      <c r="AF4145" t="s">
        <v>44</v>
      </c>
      <c r="AG4145" t="str">
        <f t="shared" si="91"/>
        <v>Recorrente</v>
      </c>
      <c r="AH4145" t="str">
        <f t="shared" si="92"/>
        <v/>
      </c>
    </row>
    <row r="4146" spans="1:34">
      <c r="A4146">
        <v>2026</v>
      </c>
      <c r="B4146">
        <v>5</v>
      </c>
      <c r="C4146" s="83">
        <v>19435434021</v>
      </c>
      <c r="D4146" t="s">
        <v>3598</v>
      </c>
      <c r="E4146">
        <v>56206437945</v>
      </c>
      <c r="F4146">
        <v>637946</v>
      </c>
      <c r="G4146">
        <v>55608420864</v>
      </c>
      <c r="H4146" t="s">
        <v>35</v>
      </c>
      <c r="I4146" s="36">
        <v>14796</v>
      </c>
      <c r="J4146" s="36">
        <v>14796</v>
      </c>
      <c r="K4146" s="85">
        <v>0</v>
      </c>
      <c r="L4146" s="36">
        <v>1233</v>
      </c>
      <c r="M4146" s="36">
        <v>1233</v>
      </c>
      <c r="N4146" s="36">
        <v>0</v>
      </c>
      <c r="O4146" s="36">
        <v>0</v>
      </c>
      <c r="P4146" t="s">
        <v>36</v>
      </c>
      <c r="Q4146" t="s">
        <v>3558</v>
      </c>
      <c r="R4146" t="s">
        <v>37</v>
      </c>
      <c r="S4146" s="112">
        <v>46167</v>
      </c>
      <c r="T4146" s="112">
        <v>46167</v>
      </c>
      <c r="U4146" s="112"/>
      <c r="V4146" s="112">
        <v>46560</v>
      </c>
      <c r="W4146" t="s">
        <v>38</v>
      </c>
      <c r="X4146">
        <v>13</v>
      </c>
      <c r="Y4146" t="s">
        <v>49</v>
      </c>
      <c r="AA4146" t="s">
        <v>40</v>
      </c>
      <c r="AB4146">
        <v>1</v>
      </c>
      <c r="AC4146" t="s">
        <v>41</v>
      </c>
      <c r="AD4146" t="s">
        <v>53</v>
      </c>
      <c r="AE4146" t="s">
        <v>43</v>
      </c>
      <c r="AF4146" t="s">
        <v>44</v>
      </c>
      <c r="AG4146" t="str">
        <f t="shared" si="91"/>
        <v>À Vista</v>
      </c>
      <c r="AH4146" t="str">
        <f t="shared" si="92"/>
        <v/>
      </c>
    </row>
    <row r="4147" spans="1:34">
      <c r="A4147">
        <v>2026</v>
      </c>
      <c r="B4147">
        <v>5</v>
      </c>
      <c r="C4147" s="83">
        <v>19435438773</v>
      </c>
      <c r="D4147" t="s">
        <v>3576</v>
      </c>
      <c r="E4147">
        <v>39934435086</v>
      </c>
      <c r="F4147">
        <v>637601</v>
      </c>
      <c r="G4147">
        <v>55076417326</v>
      </c>
      <c r="H4147" t="s">
        <v>35</v>
      </c>
      <c r="I4147" s="36">
        <v>14496</v>
      </c>
      <c r="J4147" s="36">
        <v>0</v>
      </c>
      <c r="K4147" s="85">
        <v>0</v>
      </c>
      <c r="L4147" s="36">
        <v>0</v>
      </c>
      <c r="M4147" s="36">
        <v>0</v>
      </c>
      <c r="N4147" s="36">
        <v>0</v>
      </c>
      <c r="O4147" s="36">
        <v>0</v>
      </c>
      <c r="P4147" t="s">
        <v>98</v>
      </c>
      <c r="Q4147" t="s">
        <v>3558</v>
      </c>
      <c r="R4147" t="s">
        <v>37</v>
      </c>
      <c r="S4147" s="112">
        <v>46148</v>
      </c>
      <c r="T4147" s="112">
        <v>46148</v>
      </c>
      <c r="U4147" s="112"/>
      <c r="V4147" s="112"/>
      <c r="W4147" t="s">
        <v>39</v>
      </c>
      <c r="Y4147" t="s">
        <v>39</v>
      </c>
      <c r="AA4147" t="s">
        <v>40</v>
      </c>
      <c r="AB4147">
        <v>1</v>
      </c>
      <c r="AC4147" t="s">
        <v>41</v>
      </c>
      <c r="AD4147" t="s">
        <v>3407</v>
      </c>
      <c r="AE4147" t="s">
        <v>43</v>
      </c>
      <c r="AF4147" t="s">
        <v>47</v>
      </c>
      <c r="AG4147" t="str">
        <f t="shared" si="91"/>
        <v>À Vista</v>
      </c>
      <c r="AH4147" t="str">
        <f t="shared" si="92"/>
        <v/>
      </c>
    </row>
    <row r="4148" spans="1:34">
      <c r="A4148">
        <v>2026</v>
      </c>
      <c r="B4148">
        <v>5</v>
      </c>
      <c r="C4148" s="83">
        <v>128719127876</v>
      </c>
      <c r="D4148" t="s">
        <v>3599</v>
      </c>
      <c r="E4148">
        <v>58651244631</v>
      </c>
      <c r="F4148">
        <v>315226</v>
      </c>
      <c r="G4148">
        <v>53814173039</v>
      </c>
      <c r="H4148" t="s">
        <v>35</v>
      </c>
      <c r="I4148" s="36">
        <v>14390.88</v>
      </c>
      <c r="J4148" s="36">
        <v>7195.44</v>
      </c>
      <c r="K4148" s="85">
        <v>7195.44</v>
      </c>
      <c r="L4148" s="36">
        <v>599.62</v>
      </c>
      <c r="M4148" s="36">
        <v>0</v>
      </c>
      <c r="N4148" s="36">
        <v>186.07</v>
      </c>
      <c r="O4148" s="36">
        <v>413.55500000000001</v>
      </c>
      <c r="P4148" t="s">
        <v>165</v>
      </c>
      <c r="Q4148" t="s">
        <v>166</v>
      </c>
      <c r="R4148" t="s">
        <v>166</v>
      </c>
      <c r="S4148" s="112">
        <v>46158</v>
      </c>
      <c r="T4148" s="112">
        <v>46158</v>
      </c>
      <c r="U4148" s="112">
        <v>46158</v>
      </c>
      <c r="V4148" s="112">
        <v>46889</v>
      </c>
      <c r="W4148" t="s">
        <v>56</v>
      </c>
      <c r="X4148">
        <v>24</v>
      </c>
      <c r="Y4148" t="s">
        <v>49</v>
      </c>
      <c r="Z4148" t="s">
        <v>81</v>
      </c>
      <c r="AA4148" t="s">
        <v>122</v>
      </c>
      <c r="AB4148">
        <v>24</v>
      </c>
      <c r="AC4148" t="s">
        <v>166</v>
      </c>
      <c r="AD4148" t="s">
        <v>131</v>
      </c>
      <c r="AE4148" t="s">
        <v>46</v>
      </c>
      <c r="AF4148" t="s">
        <v>96</v>
      </c>
      <c r="AG4148" t="str">
        <f t="shared" si="91"/>
        <v>Recorrente</v>
      </c>
      <c r="AH4148" t="str">
        <f t="shared" si="92"/>
        <v/>
      </c>
    </row>
    <row r="4149" spans="1:34">
      <c r="A4149">
        <v>2026</v>
      </c>
      <c r="B4149">
        <v>5</v>
      </c>
      <c r="C4149" s="83">
        <v>182444603807</v>
      </c>
      <c r="D4149" t="s">
        <v>3600</v>
      </c>
      <c r="E4149">
        <v>58657398649</v>
      </c>
      <c r="F4149">
        <v>535152</v>
      </c>
      <c r="G4149">
        <v>53837203761</v>
      </c>
      <c r="H4149" t="s">
        <v>35</v>
      </c>
      <c r="I4149" s="36">
        <v>14390.88</v>
      </c>
      <c r="J4149" s="36">
        <v>7195.44</v>
      </c>
      <c r="K4149" s="85">
        <v>7195.44</v>
      </c>
      <c r="L4149" s="36">
        <v>599.62</v>
      </c>
      <c r="M4149" s="36">
        <v>0</v>
      </c>
      <c r="N4149" s="36">
        <v>124.5738636</v>
      </c>
      <c r="O4149" s="36">
        <v>475.05113640000002</v>
      </c>
      <c r="P4149" t="s">
        <v>165</v>
      </c>
      <c r="Q4149" t="s">
        <v>166</v>
      </c>
      <c r="R4149" t="s">
        <v>166</v>
      </c>
      <c r="S4149" s="112">
        <v>46158</v>
      </c>
      <c r="T4149" s="112">
        <v>46158</v>
      </c>
      <c r="U4149" s="112">
        <v>46158</v>
      </c>
      <c r="V4149" s="112">
        <v>46889</v>
      </c>
      <c r="W4149" t="s">
        <v>56</v>
      </c>
      <c r="X4149">
        <v>24</v>
      </c>
      <c r="Y4149" t="s">
        <v>49</v>
      </c>
      <c r="Z4149" t="s">
        <v>81</v>
      </c>
      <c r="AA4149" t="s">
        <v>122</v>
      </c>
      <c r="AB4149">
        <v>24</v>
      </c>
      <c r="AC4149" t="s">
        <v>166</v>
      </c>
      <c r="AD4149" t="s">
        <v>131</v>
      </c>
      <c r="AE4149" t="s">
        <v>46</v>
      </c>
      <c r="AF4149" t="s">
        <v>96</v>
      </c>
      <c r="AG4149" t="str">
        <f t="shared" si="91"/>
        <v>Recorrente</v>
      </c>
      <c r="AH4149" t="str">
        <f t="shared" si="92"/>
        <v/>
      </c>
    </row>
    <row r="4150" spans="1:34">
      <c r="A4150">
        <v>2026</v>
      </c>
      <c r="B4150">
        <v>5</v>
      </c>
      <c r="C4150" s="83">
        <v>30553842183</v>
      </c>
      <c r="D4150" t="s">
        <v>3601</v>
      </c>
      <c r="E4150">
        <v>58443455585</v>
      </c>
      <c r="F4150">
        <v>534653</v>
      </c>
      <c r="G4150">
        <v>53636540436</v>
      </c>
      <c r="H4150" t="s">
        <v>35</v>
      </c>
      <c r="I4150" s="36">
        <v>14390.88</v>
      </c>
      <c r="J4150" s="36">
        <v>7195.44</v>
      </c>
      <c r="K4150" s="85">
        <v>7195.44</v>
      </c>
      <c r="L4150" s="36">
        <v>599.62</v>
      </c>
      <c r="M4150" s="36">
        <v>0</v>
      </c>
      <c r="N4150" s="36">
        <v>186.07166670000001</v>
      </c>
      <c r="O4150" s="36">
        <v>413.55333330000002</v>
      </c>
      <c r="P4150" t="s">
        <v>165</v>
      </c>
      <c r="Q4150" t="s">
        <v>166</v>
      </c>
      <c r="R4150" t="s">
        <v>166</v>
      </c>
      <c r="S4150" s="112">
        <v>46153</v>
      </c>
      <c r="T4150" s="112">
        <v>46153</v>
      </c>
      <c r="U4150" s="112">
        <v>46153</v>
      </c>
      <c r="V4150" s="112">
        <v>46884</v>
      </c>
      <c r="W4150" t="s">
        <v>56</v>
      </c>
      <c r="X4150">
        <v>24</v>
      </c>
      <c r="Y4150" t="s">
        <v>49</v>
      </c>
      <c r="Z4150" t="s">
        <v>81</v>
      </c>
      <c r="AA4150" t="s">
        <v>122</v>
      </c>
      <c r="AB4150">
        <v>24</v>
      </c>
      <c r="AC4150" t="s">
        <v>166</v>
      </c>
      <c r="AD4150" t="s">
        <v>131</v>
      </c>
      <c r="AE4150" t="s">
        <v>46</v>
      </c>
      <c r="AF4150" t="s">
        <v>96</v>
      </c>
      <c r="AG4150" t="str">
        <f t="shared" ref="AG4150:AG4213" si="93">IF(IFERROR(SEARCH("Recorrente",AA4150),0)&gt;0,"Recorrente",IF(AB4150=1,"À Vista",IF(AB4150&lt;=3,"CC 3x",IF(AB4150&lt;=12,"CC 12x",IF(AB4150&gt;12,"Recorrente","")))))</f>
        <v>Recorrente</v>
      </c>
      <c r="AH4150" t="str">
        <f t="shared" ref="AH4150:AH4213" si="94">IF(AND(SUMIF(E:E,E4150,I:I)&gt;=400000,Q4150="B2G"),"n","")</f>
        <v/>
      </c>
    </row>
    <row r="4151" spans="1:34">
      <c r="A4151">
        <v>2026</v>
      </c>
      <c r="B4151">
        <v>5</v>
      </c>
      <c r="C4151" s="83">
        <v>54803345930</v>
      </c>
      <c r="D4151" t="s">
        <v>3602</v>
      </c>
      <c r="E4151">
        <v>60155471642</v>
      </c>
      <c r="F4151">
        <v>637692</v>
      </c>
      <c r="G4151">
        <v>55155411127</v>
      </c>
      <c r="H4151" t="s">
        <v>35</v>
      </c>
      <c r="I4151" s="36">
        <v>14292</v>
      </c>
      <c r="J4151" s="36">
        <v>1357.1594110000001</v>
      </c>
      <c r="K4151" s="85">
        <v>12934.84059</v>
      </c>
      <c r="L4151" s="36">
        <v>113.0966176</v>
      </c>
      <c r="M4151" s="36">
        <v>0</v>
      </c>
      <c r="N4151" s="36">
        <v>113.0966176</v>
      </c>
      <c r="O4151" s="36">
        <v>0</v>
      </c>
      <c r="P4151" t="s">
        <v>367</v>
      </c>
      <c r="Q4151" t="s">
        <v>191</v>
      </c>
      <c r="R4151" t="s">
        <v>191</v>
      </c>
      <c r="S4151" s="112">
        <v>46150</v>
      </c>
      <c r="T4151" s="112">
        <v>46150</v>
      </c>
      <c r="U4151" s="112"/>
      <c r="V4151" s="112">
        <v>46884</v>
      </c>
      <c r="W4151" t="s">
        <v>56</v>
      </c>
      <c r="Y4151" t="s">
        <v>49</v>
      </c>
      <c r="AA4151" t="s">
        <v>122</v>
      </c>
      <c r="AB4151">
        <v>24</v>
      </c>
      <c r="AC4151" t="s">
        <v>192</v>
      </c>
      <c r="AD4151" t="s">
        <v>125</v>
      </c>
      <c r="AE4151" t="s">
        <v>43</v>
      </c>
      <c r="AF4151" t="s">
        <v>47</v>
      </c>
      <c r="AG4151" t="str">
        <f t="shared" si="93"/>
        <v>Recorrente</v>
      </c>
      <c r="AH4151" t="str">
        <f t="shared" si="94"/>
        <v/>
      </c>
    </row>
    <row r="4152" spans="1:34">
      <c r="A4152">
        <v>2026</v>
      </c>
      <c r="B4152">
        <v>5</v>
      </c>
      <c r="C4152" s="83">
        <v>54803345930</v>
      </c>
      <c r="D4152" t="s">
        <v>3602</v>
      </c>
      <c r="E4152">
        <v>60155471642</v>
      </c>
      <c r="F4152">
        <v>637692</v>
      </c>
      <c r="G4152">
        <v>55155411126</v>
      </c>
      <c r="H4152" t="s">
        <v>35</v>
      </c>
      <c r="I4152" s="36">
        <v>13560</v>
      </c>
      <c r="J4152" s="36">
        <v>1287.648029</v>
      </c>
      <c r="K4152" s="85">
        <v>12272.35197</v>
      </c>
      <c r="L4152" s="36">
        <v>107.3040024</v>
      </c>
      <c r="M4152" s="36">
        <v>0</v>
      </c>
      <c r="N4152" s="36">
        <v>107.3040024</v>
      </c>
      <c r="O4152" s="36">
        <v>0</v>
      </c>
      <c r="P4152" t="s">
        <v>367</v>
      </c>
      <c r="Q4152" t="s">
        <v>191</v>
      </c>
      <c r="R4152" t="s">
        <v>191</v>
      </c>
      <c r="S4152" s="112">
        <v>46150</v>
      </c>
      <c r="T4152" s="112">
        <v>46150</v>
      </c>
      <c r="U4152" s="112"/>
      <c r="V4152" s="112">
        <v>46884</v>
      </c>
      <c r="W4152" t="s">
        <v>56</v>
      </c>
      <c r="Y4152" t="s">
        <v>49</v>
      </c>
      <c r="AA4152" t="s">
        <v>122</v>
      </c>
      <c r="AB4152">
        <v>24</v>
      </c>
      <c r="AC4152" t="s">
        <v>192</v>
      </c>
      <c r="AD4152" t="s">
        <v>125</v>
      </c>
      <c r="AE4152" t="s">
        <v>43</v>
      </c>
      <c r="AF4152" t="s">
        <v>47</v>
      </c>
      <c r="AG4152" t="str">
        <f t="shared" si="93"/>
        <v>Recorrente</v>
      </c>
      <c r="AH4152" t="str">
        <f t="shared" si="94"/>
        <v/>
      </c>
    </row>
    <row r="4153" spans="1:34">
      <c r="A4153">
        <v>2026</v>
      </c>
      <c r="B4153">
        <v>5</v>
      </c>
      <c r="C4153" s="83">
        <v>20559096450</v>
      </c>
      <c r="D4153" t="s">
        <v>3603</v>
      </c>
      <c r="E4153">
        <v>60452515472</v>
      </c>
      <c r="F4153">
        <v>635363</v>
      </c>
      <c r="G4153">
        <v>55412913518</v>
      </c>
      <c r="H4153" t="s">
        <v>35</v>
      </c>
      <c r="I4153" s="36">
        <v>13375.44</v>
      </c>
      <c r="J4153" s="36">
        <v>5181</v>
      </c>
      <c r="K4153" s="85">
        <v>8194.44</v>
      </c>
      <c r="L4153" s="36">
        <v>431.75</v>
      </c>
      <c r="M4153" s="36">
        <v>0</v>
      </c>
      <c r="N4153" s="36">
        <v>431.75</v>
      </c>
      <c r="O4153" s="36">
        <v>0</v>
      </c>
      <c r="P4153" t="s">
        <v>367</v>
      </c>
      <c r="Q4153" t="s">
        <v>191</v>
      </c>
      <c r="R4153" t="s">
        <v>191</v>
      </c>
      <c r="S4153" s="112">
        <v>46163</v>
      </c>
      <c r="T4153" s="112">
        <v>46163</v>
      </c>
      <c r="U4153" s="112">
        <v>47105</v>
      </c>
      <c r="V4153" s="112">
        <v>47105</v>
      </c>
      <c r="W4153" t="s">
        <v>102</v>
      </c>
      <c r="X4153">
        <v>31</v>
      </c>
      <c r="Y4153" t="s">
        <v>49</v>
      </c>
      <c r="Z4153" t="s">
        <v>324</v>
      </c>
      <c r="AA4153" t="s">
        <v>122</v>
      </c>
      <c r="AB4153">
        <v>30</v>
      </c>
      <c r="AC4153" t="s">
        <v>192</v>
      </c>
      <c r="AD4153" t="s">
        <v>85</v>
      </c>
      <c r="AE4153" t="s">
        <v>46</v>
      </c>
      <c r="AF4153" t="s">
        <v>44</v>
      </c>
      <c r="AG4153" t="str">
        <f t="shared" si="93"/>
        <v>Recorrente</v>
      </c>
      <c r="AH4153" t="str">
        <f t="shared" si="94"/>
        <v/>
      </c>
    </row>
    <row r="4154" spans="1:34">
      <c r="A4154">
        <v>2026</v>
      </c>
      <c r="B4154">
        <v>5</v>
      </c>
      <c r="C4154" s="83">
        <v>19435621010</v>
      </c>
      <c r="D4154" t="s">
        <v>2124</v>
      </c>
      <c r="E4154">
        <v>50253741420</v>
      </c>
      <c r="F4154">
        <v>629784</v>
      </c>
      <c r="G4154">
        <v>55339793743</v>
      </c>
      <c r="H4154" t="s">
        <v>35</v>
      </c>
      <c r="I4154" s="36">
        <v>13368</v>
      </c>
      <c r="J4154" s="36">
        <v>13368</v>
      </c>
      <c r="K4154" s="85">
        <v>0</v>
      </c>
      <c r="L4154" s="36">
        <v>1114</v>
      </c>
      <c r="M4154" s="36">
        <v>0</v>
      </c>
      <c r="N4154" s="36">
        <v>0</v>
      </c>
      <c r="O4154" s="36">
        <v>1114</v>
      </c>
      <c r="P4154" t="s">
        <v>98</v>
      </c>
      <c r="Q4154" t="s">
        <v>3558</v>
      </c>
      <c r="R4154" t="s">
        <v>37</v>
      </c>
      <c r="S4154" s="112">
        <v>46162</v>
      </c>
      <c r="T4154" s="112">
        <v>46162</v>
      </c>
      <c r="U4154" s="112">
        <v>46165</v>
      </c>
      <c r="V4154" s="112">
        <v>46530</v>
      </c>
      <c r="W4154" t="s">
        <v>38</v>
      </c>
      <c r="X4154">
        <v>12</v>
      </c>
      <c r="Y4154" t="s">
        <v>49</v>
      </c>
      <c r="Z4154" t="s">
        <v>81</v>
      </c>
      <c r="AA4154" t="s">
        <v>40</v>
      </c>
      <c r="AB4154">
        <v>1</v>
      </c>
      <c r="AC4154" t="s">
        <v>41</v>
      </c>
      <c r="AD4154" t="s">
        <v>100</v>
      </c>
      <c r="AE4154" t="s">
        <v>46</v>
      </c>
      <c r="AF4154" t="s">
        <v>47</v>
      </c>
      <c r="AG4154" t="str">
        <f t="shared" si="93"/>
        <v>À Vista</v>
      </c>
      <c r="AH4154" t="str">
        <f t="shared" si="94"/>
        <v/>
      </c>
    </row>
    <row r="4155" spans="1:34">
      <c r="A4155">
        <v>2026</v>
      </c>
      <c r="B4155">
        <v>5</v>
      </c>
      <c r="C4155" s="83">
        <v>220069071747</v>
      </c>
      <c r="D4155" t="s">
        <v>3604</v>
      </c>
      <c r="E4155">
        <v>60109552470</v>
      </c>
      <c r="F4155">
        <v>534422</v>
      </c>
      <c r="G4155">
        <v>55155403946</v>
      </c>
      <c r="H4155" t="s">
        <v>35</v>
      </c>
      <c r="I4155" s="36">
        <v>13225.44</v>
      </c>
      <c r="J4155" s="36">
        <v>13225.44</v>
      </c>
      <c r="K4155" s="85">
        <v>0</v>
      </c>
      <c r="L4155" s="36">
        <v>1102.1199999999999</v>
      </c>
      <c r="M4155" s="36">
        <v>0</v>
      </c>
      <c r="N4155" s="36">
        <v>150.82499999999999</v>
      </c>
      <c r="O4155" s="36">
        <v>951.3</v>
      </c>
      <c r="P4155" t="s">
        <v>127</v>
      </c>
      <c r="Q4155" t="s">
        <v>111</v>
      </c>
      <c r="R4155" t="s">
        <v>111</v>
      </c>
      <c r="S4155" s="112">
        <v>46150</v>
      </c>
      <c r="T4155" s="112">
        <v>46150</v>
      </c>
      <c r="U4155" s="112">
        <v>46151</v>
      </c>
      <c r="V4155" s="112">
        <v>46516</v>
      </c>
      <c r="W4155" t="s">
        <v>38</v>
      </c>
      <c r="X4155">
        <v>12</v>
      </c>
      <c r="Y4155" t="s">
        <v>49</v>
      </c>
      <c r="Z4155" t="s">
        <v>81</v>
      </c>
      <c r="AA4155" t="s">
        <v>112</v>
      </c>
      <c r="AB4155">
        <v>12</v>
      </c>
      <c r="AC4155" t="s">
        <v>113</v>
      </c>
      <c r="AD4155" t="s">
        <v>336</v>
      </c>
      <c r="AE4155" t="s">
        <v>135</v>
      </c>
      <c r="AF4155" t="s">
        <v>47</v>
      </c>
      <c r="AG4155" t="str">
        <f t="shared" si="93"/>
        <v>CC 12x</v>
      </c>
      <c r="AH4155" t="str">
        <f t="shared" si="94"/>
        <v/>
      </c>
    </row>
    <row r="4156" spans="1:34">
      <c r="A4156">
        <v>2026</v>
      </c>
      <c r="B4156">
        <v>5</v>
      </c>
      <c r="C4156" s="83">
        <v>54511451181</v>
      </c>
      <c r="D4156" t="s">
        <v>3605</v>
      </c>
      <c r="E4156">
        <v>58656385699</v>
      </c>
      <c r="F4156">
        <v>637790</v>
      </c>
      <c r="G4156">
        <v>55253980008</v>
      </c>
      <c r="H4156" t="s">
        <v>35</v>
      </c>
      <c r="I4156" s="36">
        <v>12960</v>
      </c>
      <c r="J4156" s="36">
        <v>12960</v>
      </c>
      <c r="K4156" s="85">
        <v>0</v>
      </c>
      <c r="L4156" s="36">
        <v>1080</v>
      </c>
      <c r="M4156" s="36">
        <v>0</v>
      </c>
      <c r="N4156" s="36">
        <v>1080</v>
      </c>
      <c r="O4156" s="36">
        <v>0</v>
      </c>
      <c r="P4156" t="s">
        <v>313</v>
      </c>
      <c r="Q4156" t="s">
        <v>191</v>
      </c>
      <c r="R4156" t="s">
        <v>191</v>
      </c>
      <c r="S4156" s="112">
        <v>46156</v>
      </c>
      <c r="T4156" s="112">
        <v>46156</v>
      </c>
      <c r="U4156" s="112"/>
      <c r="V4156" s="112">
        <v>46521</v>
      </c>
      <c r="W4156" t="s">
        <v>38</v>
      </c>
      <c r="X4156">
        <v>12</v>
      </c>
      <c r="Y4156" t="s">
        <v>49</v>
      </c>
      <c r="AA4156" t="s">
        <v>122</v>
      </c>
      <c r="AB4156">
        <v>12</v>
      </c>
      <c r="AC4156" t="s">
        <v>192</v>
      </c>
      <c r="AD4156" t="s">
        <v>154</v>
      </c>
      <c r="AE4156" t="s">
        <v>46</v>
      </c>
      <c r="AF4156" t="s">
        <v>47</v>
      </c>
      <c r="AG4156" t="str">
        <f t="shared" si="93"/>
        <v>Recorrente</v>
      </c>
      <c r="AH4156" t="str">
        <f t="shared" si="94"/>
        <v/>
      </c>
    </row>
    <row r="4157" spans="1:34">
      <c r="A4157">
        <v>2026</v>
      </c>
      <c r="B4157">
        <v>5</v>
      </c>
      <c r="C4157" s="83">
        <v>146446674317</v>
      </c>
      <c r="D4157" t="s">
        <v>3606</v>
      </c>
      <c r="E4157">
        <v>58560267916</v>
      </c>
      <c r="F4157">
        <v>611984</v>
      </c>
      <c r="G4157">
        <v>55088874368</v>
      </c>
      <c r="H4157" t="s">
        <v>35</v>
      </c>
      <c r="I4157" s="36">
        <v>12954.6</v>
      </c>
      <c r="J4157" s="36">
        <v>12954.6</v>
      </c>
      <c r="K4157" s="85">
        <v>1.8199999999999999E-12</v>
      </c>
      <c r="L4157" s="36">
        <v>1079.55</v>
      </c>
      <c r="M4157" s="36">
        <v>0</v>
      </c>
      <c r="N4157" s="36">
        <v>21.25</v>
      </c>
      <c r="O4157" s="36">
        <v>1058.3</v>
      </c>
      <c r="P4157" t="s">
        <v>121</v>
      </c>
      <c r="Q4157" t="s">
        <v>111</v>
      </c>
      <c r="R4157" t="s">
        <v>111</v>
      </c>
      <c r="S4157" s="112">
        <v>46149</v>
      </c>
      <c r="T4157" s="112">
        <v>46149</v>
      </c>
      <c r="U4157" s="112">
        <v>46109</v>
      </c>
      <c r="V4157" s="112">
        <v>46514</v>
      </c>
      <c r="W4157" t="s">
        <v>38</v>
      </c>
      <c r="X4157">
        <v>14</v>
      </c>
      <c r="Y4157" t="s">
        <v>49</v>
      </c>
      <c r="Z4157" t="s">
        <v>81</v>
      </c>
      <c r="AA4157" t="s">
        <v>122</v>
      </c>
      <c r="AB4157">
        <v>12</v>
      </c>
      <c r="AC4157" t="s">
        <v>113</v>
      </c>
      <c r="AD4157" t="s">
        <v>154</v>
      </c>
      <c r="AE4157" t="s">
        <v>46</v>
      </c>
      <c r="AF4157" t="s">
        <v>47</v>
      </c>
      <c r="AG4157" t="str">
        <f t="shared" si="93"/>
        <v>Recorrente</v>
      </c>
      <c r="AH4157" t="str">
        <f t="shared" si="94"/>
        <v/>
      </c>
    </row>
    <row r="4158" spans="1:34">
      <c r="A4158">
        <v>2026</v>
      </c>
      <c r="B4158">
        <v>5</v>
      </c>
      <c r="C4158" s="83">
        <v>55399964210</v>
      </c>
      <c r="D4158" t="s">
        <v>3607</v>
      </c>
      <c r="E4158">
        <v>58948847173</v>
      </c>
      <c r="F4158">
        <v>314813</v>
      </c>
      <c r="G4158">
        <v>55373599747</v>
      </c>
      <c r="H4158" t="s">
        <v>35</v>
      </c>
      <c r="I4158" s="36">
        <v>12888</v>
      </c>
      <c r="J4158" s="36">
        <v>12888</v>
      </c>
      <c r="K4158" s="85">
        <v>0</v>
      </c>
      <c r="L4158" s="36">
        <v>1074</v>
      </c>
      <c r="M4158" s="36">
        <v>0</v>
      </c>
      <c r="N4158" s="36">
        <v>155.51</v>
      </c>
      <c r="O4158" s="36">
        <v>918.49</v>
      </c>
      <c r="P4158" t="s">
        <v>162</v>
      </c>
      <c r="Q4158" t="s">
        <v>111</v>
      </c>
      <c r="R4158" t="s">
        <v>111</v>
      </c>
      <c r="S4158" s="112">
        <v>46161</v>
      </c>
      <c r="T4158" s="112">
        <v>46161</v>
      </c>
      <c r="U4158" s="112">
        <v>46150</v>
      </c>
      <c r="V4158" s="112">
        <v>46526</v>
      </c>
      <c r="W4158" t="s">
        <v>38</v>
      </c>
      <c r="X4158">
        <v>12</v>
      </c>
      <c r="Y4158" t="s">
        <v>49</v>
      </c>
      <c r="Z4158" t="s">
        <v>81</v>
      </c>
      <c r="AA4158" t="s">
        <v>92</v>
      </c>
      <c r="AB4158">
        <v>2</v>
      </c>
      <c r="AC4158" t="s">
        <v>113</v>
      </c>
      <c r="AD4158" t="s">
        <v>256</v>
      </c>
      <c r="AE4158" t="s">
        <v>257</v>
      </c>
      <c r="AF4158" t="s">
        <v>59</v>
      </c>
      <c r="AG4158" t="str">
        <f t="shared" si="93"/>
        <v>Recorrente</v>
      </c>
      <c r="AH4158" t="str">
        <f t="shared" si="94"/>
        <v/>
      </c>
    </row>
    <row r="4159" spans="1:34">
      <c r="A4159">
        <v>2026</v>
      </c>
      <c r="B4159">
        <v>5</v>
      </c>
      <c r="C4159" s="83">
        <v>55081341208</v>
      </c>
      <c r="D4159" t="s">
        <v>3608</v>
      </c>
      <c r="E4159">
        <v>60430825041</v>
      </c>
      <c r="F4159">
        <v>637892</v>
      </c>
      <c r="G4159">
        <v>55407991669</v>
      </c>
      <c r="H4159" t="s">
        <v>35</v>
      </c>
      <c r="I4159" s="36">
        <v>12708</v>
      </c>
      <c r="J4159" s="36">
        <v>2123.7600000000002</v>
      </c>
      <c r="K4159" s="85">
        <v>10584.24</v>
      </c>
      <c r="L4159" s="36">
        <v>176.98</v>
      </c>
      <c r="M4159" s="36">
        <v>0</v>
      </c>
      <c r="N4159" s="36">
        <v>176.98</v>
      </c>
      <c r="O4159" s="36">
        <v>0</v>
      </c>
      <c r="P4159" t="s">
        <v>367</v>
      </c>
      <c r="Q4159" t="s">
        <v>191</v>
      </c>
      <c r="R4159" t="s">
        <v>191</v>
      </c>
      <c r="S4159" s="112">
        <v>46163</v>
      </c>
      <c r="T4159" s="112">
        <v>46163</v>
      </c>
      <c r="U4159" s="112"/>
      <c r="V4159" s="112">
        <v>46894</v>
      </c>
      <c r="W4159" t="s">
        <v>56</v>
      </c>
      <c r="Y4159" t="s">
        <v>49</v>
      </c>
      <c r="AA4159" t="s">
        <v>122</v>
      </c>
      <c r="AB4159">
        <v>24</v>
      </c>
      <c r="AC4159" t="s">
        <v>192</v>
      </c>
      <c r="AD4159" t="s">
        <v>149</v>
      </c>
      <c r="AE4159" t="s">
        <v>43</v>
      </c>
      <c r="AF4159" t="s">
        <v>96</v>
      </c>
      <c r="AG4159" t="str">
        <f t="shared" si="93"/>
        <v>Recorrente</v>
      </c>
      <c r="AH4159" t="str">
        <f t="shared" si="94"/>
        <v/>
      </c>
    </row>
    <row r="4160" spans="1:34">
      <c r="A4160">
        <v>2026</v>
      </c>
      <c r="B4160">
        <v>5</v>
      </c>
      <c r="C4160" s="83">
        <v>23479234895</v>
      </c>
      <c r="D4160" t="s">
        <v>3609</v>
      </c>
      <c r="E4160">
        <v>60185945649</v>
      </c>
      <c r="F4160">
        <v>637803</v>
      </c>
      <c r="G4160">
        <v>55254486391</v>
      </c>
      <c r="H4160" t="s">
        <v>35</v>
      </c>
      <c r="I4160" s="36">
        <v>12594</v>
      </c>
      <c r="J4160" s="36">
        <v>12594</v>
      </c>
      <c r="K4160" s="85">
        <v>0</v>
      </c>
      <c r="L4160" s="36">
        <v>1049.5</v>
      </c>
      <c r="M4160" s="36">
        <v>1049.5</v>
      </c>
      <c r="N4160" s="36">
        <v>0</v>
      </c>
      <c r="O4160" s="36">
        <v>0</v>
      </c>
      <c r="P4160" t="s">
        <v>90</v>
      </c>
      <c r="Q4160" t="s">
        <v>91</v>
      </c>
      <c r="R4160" t="s">
        <v>91</v>
      </c>
      <c r="S4160" s="112">
        <v>46157</v>
      </c>
      <c r="T4160" s="112">
        <v>46157</v>
      </c>
      <c r="U4160" s="112"/>
      <c r="V4160" s="112">
        <v>46540</v>
      </c>
      <c r="W4160" t="s">
        <v>38</v>
      </c>
      <c r="X4160">
        <v>13</v>
      </c>
      <c r="Y4160" t="s">
        <v>49</v>
      </c>
      <c r="AA4160" t="s">
        <v>92</v>
      </c>
      <c r="AB4160">
        <v>12</v>
      </c>
      <c r="AC4160" t="s">
        <v>93</v>
      </c>
      <c r="AD4160" t="s">
        <v>146</v>
      </c>
      <c r="AE4160" t="s">
        <v>135</v>
      </c>
      <c r="AF4160" t="s">
        <v>96</v>
      </c>
      <c r="AG4160" t="str">
        <f t="shared" si="93"/>
        <v>Recorrente</v>
      </c>
      <c r="AH4160" t="str">
        <f t="shared" si="94"/>
        <v/>
      </c>
    </row>
    <row r="4161" spans="1:34">
      <c r="A4161">
        <v>2026</v>
      </c>
      <c r="B4161">
        <v>5</v>
      </c>
      <c r="C4161" s="83">
        <v>33376749394</v>
      </c>
      <c r="D4161" t="s">
        <v>3610</v>
      </c>
      <c r="E4161">
        <v>60234784374</v>
      </c>
      <c r="F4161">
        <v>637766</v>
      </c>
      <c r="G4161">
        <v>55242589610</v>
      </c>
      <c r="H4161" t="s">
        <v>35</v>
      </c>
      <c r="I4161" s="36">
        <v>12594</v>
      </c>
      <c r="J4161" s="36">
        <v>12594</v>
      </c>
      <c r="K4161" s="85">
        <v>0</v>
      </c>
      <c r="L4161" s="36">
        <v>1049.5</v>
      </c>
      <c r="M4161" s="36">
        <v>1049.5</v>
      </c>
      <c r="N4161" s="36">
        <v>0</v>
      </c>
      <c r="O4161" s="36">
        <v>0</v>
      </c>
      <c r="Q4161" t="s">
        <v>498</v>
      </c>
      <c r="R4161" t="s">
        <v>498</v>
      </c>
      <c r="S4161" s="112">
        <v>46155</v>
      </c>
      <c r="T4161" s="112">
        <v>46155</v>
      </c>
      <c r="U4161" s="112"/>
      <c r="V4161" s="112">
        <v>46520</v>
      </c>
      <c r="W4161" t="s">
        <v>38</v>
      </c>
      <c r="X4161">
        <v>12</v>
      </c>
      <c r="Y4161" t="s">
        <v>49</v>
      </c>
      <c r="AA4161" t="s">
        <v>122</v>
      </c>
      <c r="AB4161">
        <v>12</v>
      </c>
      <c r="AC4161" t="s">
        <v>499</v>
      </c>
      <c r="AD4161" t="s">
        <v>146</v>
      </c>
      <c r="AE4161" t="s">
        <v>135</v>
      </c>
      <c r="AF4161" t="s">
        <v>96</v>
      </c>
      <c r="AG4161" t="str">
        <f t="shared" si="93"/>
        <v>Recorrente</v>
      </c>
      <c r="AH4161" t="str">
        <f t="shared" si="94"/>
        <v/>
      </c>
    </row>
    <row r="4162" spans="1:34">
      <c r="A4162">
        <v>2026</v>
      </c>
      <c r="B4162">
        <v>5</v>
      </c>
      <c r="C4162" s="83">
        <v>104421233485</v>
      </c>
      <c r="D4162" t="s">
        <v>3611</v>
      </c>
      <c r="E4162">
        <v>59145939461</v>
      </c>
      <c r="F4162">
        <v>316651</v>
      </c>
      <c r="G4162">
        <v>55612279453</v>
      </c>
      <c r="H4162" t="s">
        <v>35</v>
      </c>
      <c r="I4162" s="36">
        <v>12587.28</v>
      </c>
      <c r="J4162" s="36">
        <v>6293.64</v>
      </c>
      <c r="K4162" s="85">
        <v>6293.64</v>
      </c>
      <c r="L4162" s="36">
        <v>524.47</v>
      </c>
      <c r="M4162" s="36">
        <v>0</v>
      </c>
      <c r="N4162" s="36">
        <v>92.512916700000005</v>
      </c>
      <c r="O4162" s="36">
        <v>431.95833329999999</v>
      </c>
      <c r="P4162" t="s">
        <v>110</v>
      </c>
      <c r="Q4162" t="s">
        <v>111</v>
      </c>
      <c r="R4162" t="s">
        <v>111</v>
      </c>
      <c r="S4162" s="112">
        <v>46167</v>
      </c>
      <c r="T4162" s="112">
        <v>46167</v>
      </c>
      <c r="U4162" s="112">
        <v>46168</v>
      </c>
      <c r="V4162" s="112">
        <v>46899</v>
      </c>
      <c r="W4162" t="s">
        <v>56</v>
      </c>
      <c r="X4162">
        <v>24</v>
      </c>
      <c r="Y4162" t="s">
        <v>49</v>
      </c>
      <c r="Z4162" t="s">
        <v>81</v>
      </c>
      <c r="AA4162" t="s">
        <v>122</v>
      </c>
      <c r="AB4162">
        <v>24</v>
      </c>
      <c r="AC4162" t="s">
        <v>113</v>
      </c>
      <c r="AD4162" t="s">
        <v>125</v>
      </c>
      <c r="AE4162" t="s">
        <v>43</v>
      </c>
      <c r="AF4162" t="s">
        <v>47</v>
      </c>
      <c r="AG4162" t="str">
        <f t="shared" si="93"/>
        <v>Recorrente</v>
      </c>
      <c r="AH4162" t="str">
        <f t="shared" si="94"/>
        <v/>
      </c>
    </row>
    <row r="4163" spans="1:34">
      <c r="A4163">
        <v>2026</v>
      </c>
      <c r="B4163">
        <v>5</v>
      </c>
      <c r="C4163" s="83">
        <v>19435665026</v>
      </c>
      <c r="D4163" t="s">
        <v>1199</v>
      </c>
      <c r="E4163">
        <v>60300264844</v>
      </c>
      <c r="F4163">
        <v>535151</v>
      </c>
      <c r="G4163">
        <v>55340243736</v>
      </c>
      <c r="H4163" t="s">
        <v>35</v>
      </c>
      <c r="I4163" s="36">
        <v>12306.84</v>
      </c>
      <c r="J4163" s="36">
        <v>12306.84</v>
      </c>
      <c r="K4163" s="85">
        <v>0</v>
      </c>
      <c r="L4163" s="36">
        <v>1025.57</v>
      </c>
      <c r="M4163" s="36">
        <v>0</v>
      </c>
      <c r="N4163" s="36">
        <v>33.0625</v>
      </c>
      <c r="O4163" s="36">
        <v>992.51</v>
      </c>
      <c r="P4163" t="s">
        <v>162</v>
      </c>
      <c r="Q4163" t="s">
        <v>111</v>
      </c>
      <c r="R4163" t="s">
        <v>111</v>
      </c>
      <c r="S4163" s="112">
        <v>46161</v>
      </c>
      <c r="T4163" s="112">
        <v>46161</v>
      </c>
      <c r="U4163" s="112">
        <v>46158</v>
      </c>
      <c r="V4163" s="112">
        <v>46526</v>
      </c>
      <c r="W4163" t="s">
        <v>38</v>
      </c>
      <c r="X4163">
        <v>12</v>
      </c>
      <c r="Y4163" t="s">
        <v>49</v>
      </c>
      <c r="Z4163" t="s">
        <v>81</v>
      </c>
      <c r="AA4163" t="s">
        <v>122</v>
      </c>
      <c r="AB4163">
        <v>12</v>
      </c>
      <c r="AC4163" t="s">
        <v>113</v>
      </c>
      <c r="AD4163" t="s">
        <v>154</v>
      </c>
      <c r="AE4163" t="s">
        <v>46</v>
      </c>
      <c r="AF4163" t="s">
        <v>47</v>
      </c>
      <c r="AG4163" t="str">
        <f t="shared" si="93"/>
        <v>Recorrente</v>
      </c>
      <c r="AH4163" t="str">
        <f t="shared" si="94"/>
        <v/>
      </c>
    </row>
    <row r="4164" spans="1:34">
      <c r="A4164">
        <v>2026</v>
      </c>
      <c r="B4164">
        <v>5</v>
      </c>
      <c r="C4164" s="83">
        <v>19485560094</v>
      </c>
      <c r="D4164" t="s">
        <v>3612</v>
      </c>
      <c r="E4164">
        <v>60174747702</v>
      </c>
      <c r="F4164">
        <v>637751</v>
      </c>
      <c r="G4164">
        <v>55237400442</v>
      </c>
      <c r="H4164" t="s">
        <v>35</v>
      </c>
      <c r="I4164" s="36">
        <v>12222</v>
      </c>
      <c r="J4164" s="36">
        <v>2389.215314</v>
      </c>
      <c r="K4164" s="85">
        <v>9832.7846860000009</v>
      </c>
      <c r="L4164" s="36">
        <v>199.1012762</v>
      </c>
      <c r="M4164" s="36">
        <v>0</v>
      </c>
      <c r="N4164" s="36">
        <v>199.1012762</v>
      </c>
      <c r="O4164" s="36">
        <v>0</v>
      </c>
      <c r="P4164" t="s">
        <v>520</v>
      </c>
      <c r="Q4164" t="s">
        <v>191</v>
      </c>
      <c r="R4164" t="s">
        <v>191</v>
      </c>
      <c r="S4164" s="112">
        <v>46154</v>
      </c>
      <c r="T4164" s="112">
        <v>46154</v>
      </c>
      <c r="U4164" s="112"/>
      <c r="V4164" s="112">
        <v>46886</v>
      </c>
      <c r="W4164" t="s">
        <v>56</v>
      </c>
      <c r="Y4164" t="s">
        <v>49</v>
      </c>
      <c r="AA4164" t="s">
        <v>122</v>
      </c>
      <c r="AB4164">
        <v>24</v>
      </c>
      <c r="AC4164" t="s">
        <v>192</v>
      </c>
      <c r="AD4164" t="s">
        <v>114</v>
      </c>
      <c r="AE4164" t="s">
        <v>43</v>
      </c>
      <c r="AF4164" t="s">
        <v>44</v>
      </c>
      <c r="AG4164" t="str">
        <f t="shared" si="93"/>
        <v>Recorrente</v>
      </c>
      <c r="AH4164" t="str">
        <f t="shared" si="94"/>
        <v/>
      </c>
    </row>
    <row r="4165" spans="1:34">
      <c r="A4165">
        <v>2026</v>
      </c>
      <c r="B4165">
        <v>5</v>
      </c>
      <c r="C4165" s="83">
        <v>19485560094</v>
      </c>
      <c r="D4165" t="s">
        <v>3612</v>
      </c>
      <c r="E4165">
        <v>60174747702</v>
      </c>
      <c r="F4165">
        <v>637751</v>
      </c>
      <c r="G4165">
        <v>55237400443</v>
      </c>
      <c r="H4165" t="s">
        <v>35</v>
      </c>
      <c r="I4165" s="36">
        <v>12222</v>
      </c>
      <c r="J4165" s="36">
        <v>2389.215314</v>
      </c>
      <c r="K4165" s="85">
        <v>9832.7846860000009</v>
      </c>
      <c r="L4165" s="36">
        <v>199.1012762</v>
      </c>
      <c r="M4165" s="36">
        <v>0</v>
      </c>
      <c r="N4165" s="36">
        <v>199.1012762</v>
      </c>
      <c r="O4165" s="36">
        <v>0</v>
      </c>
      <c r="P4165" t="s">
        <v>520</v>
      </c>
      <c r="Q4165" t="s">
        <v>191</v>
      </c>
      <c r="R4165" t="s">
        <v>191</v>
      </c>
      <c r="S4165" s="112">
        <v>46154</v>
      </c>
      <c r="T4165" s="112">
        <v>46154</v>
      </c>
      <c r="U4165" s="112"/>
      <c r="V4165" s="112">
        <v>46886</v>
      </c>
      <c r="W4165" t="s">
        <v>56</v>
      </c>
      <c r="Y4165" t="s">
        <v>49</v>
      </c>
      <c r="AA4165" t="s">
        <v>122</v>
      </c>
      <c r="AB4165">
        <v>24</v>
      </c>
      <c r="AC4165" t="s">
        <v>192</v>
      </c>
      <c r="AD4165" t="s">
        <v>160</v>
      </c>
      <c r="AE4165" t="s">
        <v>43</v>
      </c>
      <c r="AF4165" t="s">
        <v>44</v>
      </c>
      <c r="AG4165" t="str">
        <f t="shared" si="93"/>
        <v>Recorrente</v>
      </c>
      <c r="AH4165" t="str">
        <f t="shared" si="94"/>
        <v/>
      </c>
    </row>
    <row r="4166" spans="1:34">
      <c r="A4166">
        <v>2026</v>
      </c>
      <c r="B4166">
        <v>5</v>
      </c>
      <c r="C4166" s="83">
        <v>19435681579</v>
      </c>
      <c r="D4166" t="s">
        <v>3613</v>
      </c>
      <c r="E4166">
        <v>55389535876</v>
      </c>
      <c r="F4166">
        <v>523711</v>
      </c>
      <c r="G4166">
        <v>55647277577</v>
      </c>
      <c r="H4166" t="s">
        <v>35</v>
      </c>
      <c r="I4166" s="36">
        <v>11877.6</v>
      </c>
      <c r="J4166" s="36">
        <v>402.9</v>
      </c>
      <c r="K4166" s="85">
        <v>11474.7</v>
      </c>
      <c r="L4166" s="36">
        <v>33.575000000000003</v>
      </c>
      <c r="M4166" s="36">
        <v>0</v>
      </c>
      <c r="N4166" s="36">
        <v>33.575000000000003</v>
      </c>
      <c r="O4166" s="36">
        <v>0</v>
      </c>
      <c r="P4166" t="s">
        <v>1165</v>
      </c>
      <c r="Q4166" t="s">
        <v>3558</v>
      </c>
      <c r="R4166" t="s">
        <v>79</v>
      </c>
      <c r="S4166" s="112">
        <v>46169</v>
      </c>
      <c r="T4166" s="112">
        <v>46169</v>
      </c>
      <c r="U4166" s="112">
        <v>46170</v>
      </c>
      <c r="V4166" s="112">
        <v>46573</v>
      </c>
      <c r="W4166" t="s">
        <v>38</v>
      </c>
      <c r="X4166">
        <v>14</v>
      </c>
      <c r="Y4166" t="s">
        <v>49</v>
      </c>
      <c r="Z4166" t="s">
        <v>324</v>
      </c>
      <c r="AA4166" t="s">
        <v>82</v>
      </c>
      <c r="AB4166">
        <v>1</v>
      </c>
      <c r="AC4166" t="s">
        <v>83</v>
      </c>
      <c r="AD4166" t="s">
        <v>2952</v>
      </c>
      <c r="AE4166" t="s">
        <v>51</v>
      </c>
      <c r="AF4166" t="s">
        <v>47</v>
      </c>
      <c r="AG4166" t="str">
        <f t="shared" si="93"/>
        <v>À Vista</v>
      </c>
      <c r="AH4166" t="str">
        <f t="shared" si="94"/>
        <v/>
      </c>
    </row>
    <row r="4167" spans="1:34">
      <c r="A4167">
        <v>2026</v>
      </c>
      <c r="B4167">
        <v>5</v>
      </c>
      <c r="C4167" s="83">
        <v>112049494152</v>
      </c>
      <c r="D4167" t="s">
        <v>2738</v>
      </c>
      <c r="E4167">
        <v>58447322457</v>
      </c>
      <c r="F4167">
        <v>534788</v>
      </c>
      <c r="G4167">
        <v>53646779725</v>
      </c>
      <c r="H4167" t="s">
        <v>35</v>
      </c>
      <c r="I4167" s="36">
        <v>11690.88</v>
      </c>
      <c r="J4167" s="36">
        <v>5845.44</v>
      </c>
      <c r="K4167" s="85">
        <v>5845.44</v>
      </c>
      <c r="L4167" s="36">
        <v>487.12</v>
      </c>
      <c r="M4167" s="36">
        <v>0</v>
      </c>
      <c r="N4167" s="36">
        <v>121.265</v>
      </c>
      <c r="O4167" s="36">
        <v>365.86</v>
      </c>
      <c r="P4167" t="s">
        <v>165</v>
      </c>
      <c r="Q4167" t="s">
        <v>166</v>
      </c>
      <c r="R4167" t="s">
        <v>166</v>
      </c>
      <c r="S4167" s="112">
        <v>46153</v>
      </c>
      <c r="T4167" s="112">
        <v>46153</v>
      </c>
      <c r="U4167" s="112">
        <v>46153</v>
      </c>
      <c r="V4167" s="112">
        <v>46884</v>
      </c>
      <c r="W4167" t="s">
        <v>56</v>
      </c>
      <c r="X4167">
        <v>24</v>
      </c>
      <c r="Y4167" t="s">
        <v>49</v>
      </c>
      <c r="Z4167" t="s">
        <v>81</v>
      </c>
      <c r="AA4167" t="s">
        <v>122</v>
      </c>
      <c r="AB4167">
        <v>24</v>
      </c>
      <c r="AC4167" t="s">
        <v>166</v>
      </c>
      <c r="AD4167" t="s">
        <v>125</v>
      </c>
      <c r="AE4167" t="s">
        <v>43</v>
      </c>
      <c r="AF4167" t="s">
        <v>47</v>
      </c>
      <c r="AG4167" t="str">
        <f t="shared" si="93"/>
        <v>Recorrente</v>
      </c>
      <c r="AH4167" t="str">
        <f t="shared" si="94"/>
        <v/>
      </c>
    </row>
    <row r="4168" spans="1:34">
      <c r="A4168">
        <v>2026</v>
      </c>
      <c r="B4168">
        <v>5</v>
      </c>
      <c r="C4168" s="83">
        <v>20950370592</v>
      </c>
      <c r="D4168" t="s">
        <v>3614</v>
      </c>
      <c r="E4168">
        <v>60012535348</v>
      </c>
      <c r="F4168">
        <v>615704</v>
      </c>
      <c r="G4168">
        <v>55320735522</v>
      </c>
      <c r="H4168" t="s">
        <v>35</v>
      </c>
      <c r="I4168" s="36">
        <v>11659.08</v>
      </c>
      <c r="J4168" s="36">
        <v>11659.08</v>
      </c>
      <c r="K4168" s="85">
        <v>0</v>
      </c>
      <c r="L4168" s="36">
        <v>971.59</v>
      </c>
      <c r="M4168" s="36">
        <v>0</v>
      </c>
      <c r="N4168" s="36">
        <v>72.045000000000002</v>
      </c>
      <c r="O4168" s="36">
        <v>899.55</v>
      </c>
      <c r="P4168" t="s">
        <v>127</v>
      </c>
      <c r="Q4168" t="s">
        <v>111</v>
      </c>
      <c r="R4168" t="s">
        <v>111</v>
      </c>
      <c r="S4168" s="112">
        <v>46161</v>
      </c>
      <c r="T4168" s="112">
        <v>46161</v>
      </c>
      <c r="U4168" s="112">
        <v>46166</v>
      </c>
      <c r="V4168" s="112">
        <v>46531</v>
      </c>
      <c r="W4168" t="s">
        <v>38</v>
      </c>
      <c r="X4168">
        <v>12</v>
      </c>
      <c r="Y4168" t="s">
        <v>49</v>
      </c>
      <c r="Z4168" t="s">
        <v>81</v>
      </c>
      <c r="AA4168" t="s">
        <v>82</v>
      </c>
      <c r="AB4168">
        <v>1</v>
      </c>
      <c r="AC4168" t="s">
        <v>113</v>
      </c>
      <c r="AD4168" t="s">
        <v>154</v>
      </c>
      <c r="AE4168" t="s">
        <v>46</v>
      </c>
      <c r="AF4168" t="s">
        <v>47</v>
      </c>
      <c r="AG4168" t="str">
        <f t="shared" si="93"/>
        <v>À Vista</v>
      </c>
      <c r="AH4168" t="str">
        <f t="shared" si="94"/>
        <v/>
      </c>
    </row>
    <row r="4169" spans="1:34">
      <c r="A4169">
        <v>2026</v>
      </c>
      <c r="B4169">
        <v>5</v>
      </c>
      <c r="C4169" s="83">
        <v>47179627178</v>
      </c>
      <c r="D4169" t="s">
        <v>3615</v>
      </c>
      <c r="E4169">
        <v>60275598247</v>
      </c>
      <c r="F4169">
        <v>312177</v>
      </c>
      <c r="G4169">
        <v>55275805521</v>
      </c>
      <c r="H4169" t="s">
        <v>35</v>
      </c>
      <c r="I4169" s="36">
        <v>11515.2</v>
      </c>
      <c r="J4169" s="36">
        <v>11515.2</v>
      </c>
      <c r="K4169" s="85">
        <v>0</v>
      </c>
      <c r="L4169" s="36">
        <v>959.6</v>
      </c>
      <c r="M4169" s="36">
        <v>0</v>
      </c>
      <c r="N4169" s="36">
        <v>179.8</v>
      </c>
      <c r="O4169" s="36">
        <v>779.8</v>
      </c>
      <c r="P4169" t="s">
        <v>133</v>
      </c>
      <c r="Q4169" t="s">
        <v>111</v>
      </c>
      <c r="R4169" t="s">
        <v>111</v>
      </c>
      <c r="S4169" s="112">
        <v>46157</v>
      </c>
      <c r="T4169" s="112">
        <v>46157</v>
      </c>
      <c r="U4169" s="112">
        <v>46124</v>
      </c>
      <c r="V4169" s="112">
        <v>46522</v>
      </c>
      <c r="W4169" t="s">
        <v>38</v>
      </c>
      <c r="X4169">
        <v>13</v>
      </c>
      <c r="Y4169" t="s">
        <v>49</v>
      </c>
      <c r="Z4169" t="s">
        <v>81</v>
      </c>
      <c r="AA4169" t="s">
        <v>112</v>
      </c>
      <c r="AB4169">
        <v>12</v>
      </c>
      <c r="AC4169" t="s">
        <v>113</v>
      </c>
      <c r="AD4169" t="s">
        <v>154</v>
      </c>
      <c r="AE4169" t="s">
        <v>46</v>
      </c>
      <c r="AF4169" t="s">
        <v>47</v>
      </c>
      <c r="AG4169" t="str">
        <f t="shared" si="93"/>
        <v>CC 12x</v>
      </c>
      <c r="AH4169" t="str">
        <f t="shared" si="94"/>
        <v/>
      </c>
    </row>
    <row r="4170" spans="1:34">
      <c r="A4170">
        <v>2026</v>
      </c>
      <c r="B4170">
        <v>5</v>
      </c>
      <c r="C4170" s="83">
        <v>52808693155</v>
      </c>
      <c r="D4170" t="s">
        <v>3593</v>
      </c>
      <c r="E4170">
        <v>57829461372</v>
      </c>
      <c r="F4170">
        <v>638031</v>
      </c>
      <c r="G4170">
        <v>55648735339</v>
      </c>
      <c r="H4170" t="s">
        <v>35</v>
      </c>
      <c r="I4170" s="36">
        <v>11437.2</v>
      </c>
      <c r="J4170" s="36">
        <v>11437.2</v>
      </c>
      <c r="K4170" s="85">
        <v>0</v>
      </c>
      <c r="L4170" s="36">
        <v>953.1</v>
      </c>
      <c r="M4170" s="36">
        <v>953.1</v>
      </c>
      <c r="N4170" s="36">
        <v>0</v>
      </c>
      <c r="O4170" s="36">
        <v>0</v>
      </c>
      <c r="P4170" t="s">
        <v>668</v>
      </c>
      <c r="Q4170" t="s">
        <v>91</v>
      </c>
      <c r="R4170" t="s">
        <v>91</v>
      </c>
      <c r="S4170" s="112">
        <v>46169</v>
      </c>
      <c r="T4170" s="112">
        <v>46169</v>
      </c>
      <c r="U4170" s="112"/>
      <c r="V4170" s="112">
        <v>46534</v>
      </c>
      <c r="W4170" t="s">
        <v>38</v>
      </c>
      <c r="X4170">
        <v>12</v>
      </c>
      <c r="Y4170" t="s">
        <v>49</v>
      </c>
      <c r="AA4170" t="s">
        <v>92</v>
      </c>
      <c r="AB4170">
        <v>1</v>
      </c>
      <c r="AC4170" t="s">
        <v>93</v>
      </c>
      <c r="AD4170" t="s">
        <v>351</v>
      </c>
      <c r="AE4170" t="s">
        <v>95</v>
      </c>
      <c r="AF4170" t="s">
        <v>96</v>
      </c>
      <c r="AG4170" t="str">
        <f t="shared" si="93"/>
        <v>Recorrente</v>
      </c>
      <c r="AH4170" t="str">
        <f t="shared" si="94"/>
        <v/>
      </c>
    </row>
    <row r="4171" spans="1:34">
      <c r="A4171">
        <v>2026</v>
      </c>
      <c r="B4171">
        <v>5</v>
      </c>
      <c r="C4171" s="83">
        <v>19435472655</v>
      </c>
      <c r="D4171" t="s">
        <v>3616</v>
      </c>
      <c r="E4171">
        <v>60177806665</v>
      </c>
      <c r="F4171">
        <v>313841</v>
      </c>
      <c r="G4171">
        <v>55237356149</v>
      </c>
      <c r="H4171" t="s">
        <v>35</v>
      </c>
      <c r="I4171" s="36">
        <v>11334.6</v>
      </c>
      <c r="J4171" s="36">
        <v>11334.6</v>
      </c>
      <c r="K4171" s="85">
        <v>0</v>
      </c>
      <c r="L4171" s="36">
        <v>944.55</v>
      </c>
      <c r="M4171" s="36">
        <v>0</v>
      </c>
      <c r="N4171" s="36">
        <v>120.9</v>
      </c>
      <c r="O4171" s="36">
        <v>823.65</v>
      </c>
      <c r="P4171" t="s">
        <v>121</v>
      </c>
      <c r="Q4171" t="s">
        <v>111</v>
      </c>
      <c r="R4171" t="s">
        <v>111</v>
      </c>
      <c r="S4171" s="112">
        <v>46155</v>
      </c>
      <c r="T4171" s="112">
        <v>46155</v>
      </c>
      <c r="U4171" s="112">
        <v>46137</v>
      </c>
      <c r="V4171" s="112">
        <v>46520</v>
      </c>
      <c r="W4171" t="s">
        <v>38</v>
      </c>
      <c r="X4171">
        <v>13</v>
      </c>
      <c r="Y4171" t="s">
        <v>49</v>
      </c>
      <c r="Z4171" t="s">
        <v>81</v>
      </c>
      <c r="AA4171" t="s">
        <v>122</v>
      </c>
      <c r="AB4171">
        <v>12</v>
      </c>
      <c r="AC4171" t="s">
        <v>113</v>
      </c>
      <c r="AD4171" t="s">
        <v>146</v>
      </c>
      <c r="AE4171" t="s">
        <v>135</v>
      </c>
      <c r="AF4171" t="s">
        <v>96</v>
      </c>
      <c r="AG4171" t="str">
        <f t="shared" si="93"/>
        <v>Recorrente</v>
      </c>
      <c r="AH4171" t="str">
        <f t="shared" si="94"/>
        <v/>
      </c>
    </row>
    <row r="4172" spans="1:34">
      <c r="A4172">
        <v>2026</v>
      </c>
      <c r="B4172">
        <v>5</v>
      </c>
      <c r="C4172" s="83">
        <v>34380801347</v>
      </c>
      <c r="D4172" t="s">
        <v>896</v>
      </c>
      <c r="E4172">
        <v>58824053841</v>
      </c>
      <c r="F4172">
        <v>534158</v>
      </c>
      <c r="G4172">
        <v>55038960047</v>
      </c>
      <c r="H4172" t="s">
        <v>35</v>
      </c>
      <c r="I4172" s="36">
        <v>11001.54</v>
      </c>
      <c r="J4172" s="36">
        <v>11001.54</v>
      </c>
      <c r="K4172" s="85">
        <v>0</v>
      </c>
      <c r="L4172" s="36">
        <v>916.79499999999996</v>
      </c>
      <c r="M4172" s="36">
        <v>0</v>
      </c>
      <c r="N4172" s="36">
        <v>658.28132500000004</v>
      </c>
      <c r="O4172" s="36">
        <v>258.51499999999999</v>
      </c>
      <c r="P4172" t="s">
        <v>110</v>
      </c>
      <c r="Q4172" t="s">
        <v>111</v>
      </c>
      <c r="R4172" t="s">
        <v>111</v>
      </c>
      <c r="S4172" s="112">
        <v>46146</v>
      </c>
      <c r="T4172" s="112">
        <v>46146</v>
      </c>
      <c r="U4172" s="112">
        <v>46146</v>
      </c>
      <c r="V4172" s="112">
        <v>46511</v>
      </c>
      <c r="W4172" t="s">
        <v>38</v>
      </c>
      <c r="X4172">
        <v>12</v>
      </c>
      <c r="Y4172" t="s">
        <v>49</v>
      </c>
      <c r="Z4172" t="s">
        <v>76</v>
      </c>
      <c r="AA4172" t="s">
        <v>122</v>
      </c>
      <c r="AB4172">
        <v>12</v>
      </c>
      <c r="AC4172" t="s">
        <v>113</v>
      </c>
      <c r="AD4172" t="s">
        <v>131</v>
      </c>
      <c r="AE4172" t="s">
        <v>46</v>
      </c>
      <c r="AF4172" t="s">
        <v>96</v>
      </c>
      <c r="AG4172" t="str">
        <f t="shared" si="93"/>
        <v>Recorrente</v>
      </c>
      <c r="AH4172" t="str">
        <f t="shared" si="94"/>
        <v/>
      </c>
    </row>
    <row r="4173" spans="1:34">
      <c r="A4173">
        <v>2026</v>
      </c>
      <c r="B4173">
        <v>5</v>
      </c>
      <c r="C4173" s="83">
        <v>34380801347</v>
      </c>
      <c r="D4173" t="s">
        <v>896</v>
      </c>
      <c r="E4173">
        <v>58824053841</v>
      </c>
      <c r="F4173">
        <v>534158</v>
      </c>
      <c r="G4173">
        <v>55038960048</v>
      </c>
      <c r="H4173" t="s">
        <v>35</v>
      </c>
      <c r="I4173" s="36">
        <v>11001.54</v>
      </c>
      <c r="J4173" s="36">
        <v>11001.54</v>
      </c>
      <c r="K4173" s="85">
        <v>0</v>
      </c>
      <c r="L4173" s="36">
        <v>916.79499999999996</v>
      </c>
      <c r="M4173" s="36">
        <v>0</v>
      </c>
      <c r="N4173" s="36">
        <v>658.28132500000004</v>
      </c>
      <c r="O4173" s="36">
        <v>258.51499999999999</v>
      </c>
      <c r="P4173" t="s">
        <v>110</v>
      </c>
      <c r="Q4173" t="s">
        <v>111</v>
      </c>
      <c r="R4173" t="s">
        <v>111</v>
      </c>
      <c r="S4173" s="112">
        <v>46146</v>
      </c>
      <c r="T4173" s="112">
        <v>46146</v>
      </c>
      <c r="U4173" s="112">
        <v>46146</v>
      </c>
      <c r="V4173" s="112">
        <v>46511</v>
      </c>
      <c r="W4173" t="s">
        <v>38</v>
      </c>
      <c r="X4173">
        <v>12</v>
      </c>
      <c r="Y4173" t="s">
        <v>49</v>
      </c>
      <c r="Z4173" t="s">
        <v>76</v>
      </c>
      <c r="AA4173" t="s">
        <v>122</v>
      </c>
      <c r="AB4173">
        <v>12</v>
      </c>
      <c r="AC4173" t="s">
        <v>113</v>
      </c>
      <c r="AD4173" t="s">
        <v>256</v>
      </c>
      <c r="AE4173" t="s">
        <v>257</v>
      </c>
      <c r="AF4173" t="s">
        <v>59</v>
      </c>
      <c r="AG4173" t="str">
        <f t="shared" si="93"/>
        <v>Recorrente</v>
      </c>
      <c r="AH4173" t="str">
        <f t="shared" si="94"/>
        <v/>
      </c>
    </row>
    <row r="4174" spans="1:34">
      <c r="A4174">
        <v>2026</v>
      </c>
      <c r="B4174">
        <v>5</v>
      </c>
      <c r="C4174" s="83">
        <v>19435580598</v>
      </c>
      <c r="D4174" t="s">
        <v>1179</v>
      </c>
      <c r="E4174">
        <v>58669651036</v>
      </c>
      <c r="F4174">
        <v>535284</v>
      </c>
      <c r="G4174">
        <v>53816157189</v>
      </c>
      <c r="H4174" t="s">
        <v>35</v>
      </c>
      <c r="I4174" s="36">
        <v>10911.6</v>
      </c>
      <c r="J4174" s="36">
        <v>5455.8</v>
      </c>
      <c r="K4174" s="85">
        <v>5455.8</v>
      </c>
      <c r="L4174" s="36">
        <v>454.65</v>
      </c>
      <c r="M4174" s="36">
        <v>0</v>
      </c>
      <c r="N4174" s="36">
        <v>137.65</v>
      </c>
      <c r="O4174" s="36">
        <v>317</v>
      </c>
      <c r="P4174" t="s">
        <v>165</v>
      </c>
      <c r="Q4174" t="s">
        <v>166</v>
      </c>
      <c r="R4174" t="s">
        <v>166</v>
      </c>
      <c r="S4174" s="112">
        <v>46159</v>
      </c>
      <c r="T4174" s="112">
        <v>46159</v>
      </c>
      <c r="U4174" s="112">
        <v>46159</v>
      </c>
      <c r="V4174" s="112">
        <v>46890</v>
      </c>
      <c r="W4174" t="s">
        <v>56</v>
      </c>
      <c r="X4174">
        <v>24</v>
      </c>
      <c r="Y4174" t="s">
        <v>49</v>
      </c>
      <c r="Z4174" t="s">
        <v>81</v>
      </c>
      <c r="AA4174" t="s">
        <v>122</v>
      </c>
      <c r="AB4174">
        <v>24</v>
      </c>
      <c r="AC4174" t="s">
        <v>166</v>
      </c>
      <c r="AD4174" t="s">
        <v>125</v>
      </c>
      <c r="AE4174" t="s">
        <v>43</v>
      </c>
      <c r="AF4174" t="s">
        <v>47</v>
      </c>
      <c r="AG4174" t="str">
        <f t="shared" si="93"/>
        <v>Recorrente</v>
      </c>
      <c r="AH4174" t="str">
        <f t="shared" si="94"/>
        <v/>
      </c>
    </row>
    <row r="4175" spans="1:34">
      <c r="A4175">
        <v>2026</v>
      </c>
      <c r="B4175">
        <v>5</v>
      </c>
      <c r="C4175" s="83">
        <v>2073867</v>
      </c>
      <c r="D4175" t="s">
        <v>3617</v>
      </c>
      <c r="E4175">
        <v>58888277300</v>
      </c>
      <c r="F4175">
        <v>511181</v>
      </c>
      <c r="G4175">
        <v>54018248960</v>
      </c>
      <c r="H4175" t="s">
        <v>35</v>
      </c>
      <c r="I4175" s="36">
        <v>10911.6</v>
      </c>
      <c r="J4175" s="36">
        <v>5455.8</v>
      </c>
      <c r="K4175" s="85">
        <v>5455.8</v>
      </c>
      <c r="L4175" s="36">
        <v>454.65</v>
      </c>
      <c r="M4175" s="36">
        <v>0</v>
      </c>
      <c r="N4175" s="36">
        <v>138.3954167</v>
      </c>
      <c r="O4175" s="36">
        <v>316.25458329999998</v>
      </c>
      <c r="P4175" t="s">
        <v>165</v>
      </c>
      <c r="Q4175" t="s">
        <v>166</v>
      </c>
      <c r="R4175" t="s">
        <v>166</v>
      </c>
      <c r="S4175" s="112">
        <v>46164</v>
      </c>
      <c r="T4175" s="112">
        <v>46164</v>
      </c>
      <c r="U4175" s="112">
        <v>46164</v>
      </c>
      <c r="V4175" s="112">
        <v>46895</v>
      </c>
      <c r="W4175" t="s">
        <v>56</v>
      </c>
      <c r="X4175">
        <v>24</v>
      </c>
      <c r="Y4175" t="s">
        <v>49</v>
      </c>
      <c r="Z4175" t="s">
        <v>81</v>
      </c>
      <c r="AA4175" t="s">
        <v>122</v>
      </c>
      <c r="AB4175">
        <v>24</v>
      </c>
      <c r="AC4175" t="s">
        <v>166</v>
      </c>
      <c r="AD4175" t="s">
        <v>125</v>
      </c>
      <c r="AE4175" t="s">
        <v>43</v>
      </c>
      <c r="AF4175" t="s">
        <v>47</v>
      </c>
      <c r="AG4175" t="str">
        <f t="shared" si="93"/>
        <v>Recorrente</v>
      </c>
      <c r="AH4175" t="str">
        <f t="shared" si="94"/>
        <v/>
      </c>
    </row>
    <row r="4176" spans="1:34">
      <c r="A4176">
        <v>2026</v>
      </c>
      <c r="B4176">
        <v>5</v>
      </c>
      <c r="C4176" s="83">
        <v>19485949071</v>
      </c>
      <c r="D4176" t="s">
        <v>3007</v>
      </c>
      <c r="E4176">
        <v>60009760881</v>
      </c>
      <c r="F4176">
        <v>637577</v>
      </c>
      <c r="G4176">
        <v>55039010384</v>
      </c>
      <c r="H4176" t="s">
        <v>35</v>
      </c>
      <c r="I4176" s="36">
        <v>10801.8</v>
      </c>
      <c r="J4176" s="36">
        <v>10801.8</v>
      </c>
      <c r="K4176" s="85">
        <v>0</v>
      </c>
      <c r="L4176" s="36">
        <v>900.15</v>
      </c>
      <c r="M4176" s="36">
        <v>900.15</v>
      </c>
      <c r="N4176" s="36">
        <v>0</v>
      </c>
      <c r="O4176" s="36">
        <v>0</v>
      </c>
      <c r="P4176" t="s">
        <v>348</v>
      </c>
      <c r="Q4176" t="s">
        <v>349</v>
      </c>
      <c r="R4176" t="s">
        <v>349</v>
      </c>
      <c r="S4176" s="112">
        <v>46147</v>
      </c>
      <c r="T4176" s="112">
        <v>46147</v>
      </c>
      <c r="U4176" s="112"/>
      <c r="V4176" s="112">
        <v>46535</v>
      </c>
      <c r="W4176" t="s">
        <v>38</v>
      </c>
      <c r="X4176">
        <v>12</v>
      </c>
      <c r="Y4176" t="s">
        <v>49</v>
      </c>
      <c r="AA4176" t="s">
        <v>117</v>
      </c>
      <c r="AB4176">
        <v>1</v>
      </c>
      <c r="AC4176" t="s">
        <v>350</v>
      </c>
      <c r="AD4176" t="s">
        <v>351</v>
      </c>
      <c r="AE4176" t="s">
        <v>95</v>
      </c>
      <c r="AF4176" t="s">
        <v>96</v>
      </c>
      <c r="AG4176" t="str">
        <f t="shared" si="93"/>
        <v>À Vista</v>
      </c>
      <c r="AH4176" t="str">
        <f t="shared" si="94"/>
        <v/>
      </c>
    </row>
    <row r="4177" spans="1:34">
      <c r="A4177">
        <v>2026</v>
      </c>
      <c r="B4177">
        <v>5</v>
      </c>
      <c r="C4177" s="83">
        <v>124836844811</v>
      </c>
      <c r="D4177" t="s">
        <v>3618</v>
      </c>
      <c r="E4177">
        <v>60034872677</v>
      </c>
      <c r="F4177">
        <v>629844</v>
      </c>
      <c r="G4177">
        <v>55642407204</v>
      </c>
      <c r="H4177" t="s">
        <v>35</v>
      </c>
      <c r="I4177" s="36">
        <v>10795.44</v>
      </c>
      <c r="J4177" s="36">
        <v>10795.44</v>
      </c>
      <c r="K4177" s="85">
        <v>0</v>
      </c>
      <c r="L4177" s="36">
        <v>899.62</v>
      </c>
      <c r="M4177" s="36">
        <v>0</v>
      </c>
      <c r="N4177" s="36">
        <v>47.414999999999999</v>
      </c>
      <c r="O4177" s="36">
        <v>852.21</v>
      </c>
      <c r="P4177" t="s">
        <v>133</v>
      </c>
      <c r="Q4177" t="s">
        <v>111</v>
      </c>
      <c r="R4177" t="s">
        <v>111</v>
      </c>
      <c r="S4177" s="112">
        <v>46169</v>
      </c>
      <c r="T4177" s="112">
        <v>46169</v>
      </c>
      <c r="U4177" s="112">
        <v>46169</v>
      </c>
      <c r="V4177" s="112">
        <v>46534</v>
      </c>
      <c r="W4177" t="s">
        <v>38</v>
      </c>
      <c r="X4177">
        <v>12</v>
      </c>
      <c r="Y4177" t="s">
        <v>49</v>
      </c>
      <c r="Z4177" t="s">
        <v>81</v>
      </c>
      <c r="AA4177" t="s">
        <v>122</v>
      </c>
      <c r="AB4177">
        <v>12</v>
      </c>
      <c r="AC4177" t="s">
        <v>113</v>
      </c>
      <c r="AD4177" t="s">
        <v>154</v>
      </c>
      <c r="AE4177" t="s">
        <v>46</v>
      </c>
      <c r="AF4177" t="s">
        <v>47</v>
      </c>
      <c r="AG4177" t="str">
        <f t="shared" si="93"/>
        <v>Recorrente</v>
      </c>
      <c r="AH4177" t="str">
        <f t="shared" si="94"/>
        <v/>
      </c>
    </row>
    <row r="4178" spans="1:34">
      <c r="A4178">
        <v>2026</v>
      </c>
      <c r="B4178">
        <v>5</v>
      </c>
      <c r="C4178" s="83">
        <v>2122175</v>
      </c>
      <c r="D4178" t="s">
        <v>3619</v>
      </c>
      <c r="E4178">
        <v>58649782146</v>
      </c>
      <c r="F4178">
        <v>315086</v>
      </c>
      <c r="G4178">
        <v>55412610487</v>
      </c>
      <c r="H4178" t="s">
        <v>35</v>
      </c>
      <c r="I4178" s="36">
        <v>10773.12</v>
      </c>
      <c r="J4178" s="36">
        <v>5386.56</v>
      </c>
      <c r="K4178" s="85">
        <v>5386.56</v>
      </c>
      <c r="L4178" s="36">
        <v>448.88</v>
      </c>
      <c r="M4178" s="36">
        <v>0</v>
      </c>
      <c r="N4178" s="36">
        <v>0</v>
      </c>
      <c r="O4178" s="36">
        <v>448.88</v>
      </c>
      <c r="P4178" t="s">
        <v>133</v>
      </c>
      <c r="Q4178" t="s">
        <v>111</v>
      </c>
      <c r="R4178" t="s">
        <v>111</v>
      </c>
      <c r="S4178" s="112">
        <v>46163</v>
      </c>
      <c r="T4178" s="112">
        <v>46163</v>
      </c>
      <c r="U4178" s="112">
        <v>46157</v>
      </c>
      <c r="V4178" s="112">
        <v>46894</v>
      </c>
      <c r="W4178" t="s">
        <v>56</v>
      </c>
      <c r="X4178">
        <v>24</v>
      </c>
      <c r="Y4178" t="s">
        <v>49</v>
      </c>
      <c r="Z4178" t="s">
        <v>81</v>
      </c>
      <c r="AA4178" t="s">
        <v>122</v>
      </c>
      <c r="AB4178">
        <v>24</v>
      </c>
      <c r="AC4178" t="s">
        <v>113</v>
      </c>
      <c r="AD4178" t="s">
        <v>125</v>
      </c>
      <c r="AE4178" t="s">
        <v>43</v>
      </c>
      <c r="AF4178" t="s">
        <v>47</v>
      </c>
      <c r="AG4178" t="str">
        <f t="shared" si="93"/>
        <v>Recorrente</v>
      </c>
      <c r="AH4178" t="str">
        <f t="shared" si="94"/>
        <v/>
      </c>
    </row>
    <row r="4179" spans="1:34">
      <c r="A4179">
        <v>2026</v>
      </c>
      <c r="B4179">
        <v>5</v>
      </c>
      <c r="C4179" s="83">
        <v>174711182153</v>
      </c>
      <c r="D4179" t="s">
        <v>3620</v>
      </c>
      <c r="E4179">
        <v>58963771712</v>
      </c>
      <c r="F4179">
        <v>319363</v>
      </c>
      <c r="G4179">
        <v>55042443815</v>
      </c>
      <c r="H4179" t="s">
        <v>35</v>
      </c>
      <c r="I4179" s="36">
        <v>10704.84</v>
      </c>
      <c r="J4179" s="36">
        <v>10704.84</v>
      </c>
      <c r="K4179" s="85">
        <v>0</v>
      </c>
      <c r="L4179" s="36">
        <v>892.07</v>
      </c>
      <c r="M4179" s="36">
        <v>0</v>
      </c>
      <c r="N4179" s="36">
        <v>0</v>
      </c>
      <c r="O4179" s="36">
        <v>892.07500000000005</v>
      </c>
      <c r="P4179" t="s">
        <v>116</v>
      </c>
      <c r="Q4179" t="s">
        <v>111</v>
      </c>
      <c r="R4179" t="s">
        <v>111</v>
      </c>
      <c r="S4179" s="112">
        <v>46146</v>
      </c>
      <c r="T4179" s="112">
        <v>46146</v>
      </c>
      <c r="U4179" s="112">
        <v>46151</v>
      </c>
      <c r="V4179" s="112">
        <v>46516</v>
      </c>
      <c r="W4179" t="s">
        <v>38</v>
      </c>
      <c r="X4179">
        <v>12</v>
      </c>
      <c r="Y4179" t="s">
        <v>49</v>
      </c>
      <c r="Z4179" t="s">
        <v>81</v>
      </c>
      <c r="AA4179" t="s">
        <v>122</v>
      </c>
      <c r="AB4179">
        <v>12</v>
      </c>
      <c r="AC4179" t="s">
        <v>113</v>
      </c>
      <c r="AD4179" t="s">
        <v>146</v>
      </c>
      <c r="AE4179" t="s">
        <v>135</v>
      </c>
      <c r="AF4179" t="s">
        <v>96</v>
      </c>
      <c r="AG4179" t="str">
        <f t="shared" si="93"/>
        <v>Recorrente</v>
      </c>
      <c r="AH4179" t="str">
        <f t="shared" si="94"/>
        <v/>
      </c>
    </row>
    <row r="4180" spans="1:34">
      <c r="A4180">
        <v>2026</v>
      </c>
      <c r="B4180">
        <v>5</v>
      </c>
      <c r="C4180" s="83">
        <v>121070582086</v>
      </c>
      <c r="D4180" t="s">
        <v>3621</v>
      </c>
      <c r="E4180">
        <v>59145639175</v>
      </c>
      <c r="F4180">
        <v>629892</v>
      </c>
      <c r="G4180">
        <v>55412645380</v>
      </c>
      <c r="H4180" t="s">
        <v>35</v>
      </c>
      <c r="I4180" s="36">
        <v>10704.48</v>
      </c>
      <c r="J4180" s="36">
        <v>10704.48</v>
      </c>
      <c r="K4180" s="85">
        <v>0</v>
      </c>
      <c r="L4180" s="36">
        <v>892.04</v>
      </c>
      <c r="M4180" s="36">
        <v>0</v>
      </c>
      <c r="N4180" s="36">
        <v>0</v>
      </c>
      <c r="O4180" s="36">
        <v>892.04351499999996</v>
      </c>
      <c r="P4180" t="s">
        <v>116</v>
      </c>
      <c r="Q4180" t="s">
        <v>111</v>
      </c>
      <c r="R4180" t="s">
        <v>111</v>
      </c>
      <c r="S4180" s="112">
        <v>46162</v>
      </c>
      <c r="T4180" s="112">
        <v>46162</v>
      </c>
      <c r="U4180" s="112">
        <v>46170</v>
      </c>
      <c r="V4180" s="112">
        <v>46535</v>
      </c>
      <c r="W4180" t="s">
        <v>38</v>
      </c>
      <c r="X4180">
        <v>12</v>
      </c>
      <c r="Y4180" t="s">
        <v>49</v>
      </c>
      <c r="Z4180" t="s">
        <v>76</v>
      </c>
      <c r="AA4180" t="s">
        <v>122</v>
      </c>
      <c r="AB4180">
        <v>12</v>
      </c>
      <c r="AC4180" t="s">
        <v>113</v>
      </c>
      <c r="AD4180" t="s">
        <v>146</v>
      </c>
      <c r="AE4180" t="s">
        <v>135</v>
      </c>
      <c r="AF4180" t="s">
        <v>96</v>
      </c>
      <c r="AG4180" t="str">
        <f t="shared" si="93"/>
        <v>Recorrente</v>
      </c>
      <c r="AH4180" t="str">
        <f t="shared" si="94"/>
        <v/>
      </c>
    </row>
    <row r="4181" spans="1:34">
      <c r="A4181">
        <v>2026</v>
      </c>
      <c r="B4181">
        <v>5</v>
      </c>
      <c r="C4181" s="83">
        <v>19435696820</v>
      </c>
      <c r="D4181" t="s">
        <v>3622</v>
      </c>
      <c r="E4181">
        <v>50370055560</v>
      </c>
      <c r="F4181">
        <v>616097</v>
      </c>
      <c r="G4181">
        <v>55582211967</v>
      </c>
      <c r="H4181" t="s">
        <v>35</v>
      </c>
      <c r="I4181" s="36">
        <v>10704</v>
      </c>
      <c r="J4181" s="36">
        <v>5352</v>
      </c>
      <c r="K4181" s="85">
        <v>5352</v>
      </c>
      <c r="L4181" s="36">
        <v>446</v>
      </c>
      <c r="M4181" s="36">
        <v>0</v>
      </c>
      <c r="N4181" s="36">
        <v>83</v>
      </c>
      <c r="O4181" s="36">
        <v>363</v>
      </c>
      <c r="P4181" t="s">
        <v>75</v>
      </c>
      <c r="Q4181" t="s">
        <v>3558</v>
      </c>
      <c r="R4181" t="s">
        <v>37</v>
      </c>
      <c r="S4181" s="112">
        <v>46164</v>
      </c>
      <c r="T4181" s="112">
        <v>46164</v>
      </c>
      <c r="U4181" s="112">
        <v>46166</v>
      </c>
      <c r="V4181" s="112">
        <v>46897</v>
      </c>
      <c r="W4181" t="s">
        <v>56</v>
      </c>
      <c r="X4181">
        <v>24</v>
      </c>
      <c r="Y4181" t="s">
        <v>49</v>
      </c>
      <c r="Z4181" t="s">
        <v>76</v>
      </c>
      <c r="AA4181" t="s">
        <v>40</v>
      </c>
      <c r="AB4181">
        <v>1</v>
      </c>
      <c r="AC4181" t="s">
        <v>41</v>
      </c>
      <c r="AD4181" t="s">
        <v>54</v>
      </c>
      <c r="AE4181" t="s">
        <v>46</v>
      </c>
      <c r="AF4181" t="s">
        <v>44</v>
      </c>
      <c r="AG4181" t="str">
        <f t="shared" si="93"/>
        <v>À Vista</v>
      </c>
      <c r="AH4181" t="str">
        <f t="shared" si="94"/>
        <v/>
      </c>
    </row>
    <row r="4182" spans="1:34">
      <c r="A4182">
        <v>2026</v>
      </c>
      <c r="B4182">
        <v>5</v>
      </c>
      <c r="C4182" s="83">
        <v>19435696820</v>
      </c>
      <c r="D4182" t="s">
        <v>3622</v>
      </c>
      <c r="E4182">
        <v>50370055560</v>
      </c>
      <c r="F4182">
        <v>616097</v>
      </c>
      <c r="G4182">
        <v>55582211968</v>
      </c>
      <c r="H4182" t="s">
        <v>35</v>
      </c>
      <c r="I4182" s="36">
        <v>10704</v>
      </c>
      <c r="J4182" s="36">
        <v>5352</v>
      </c>
      <c r="K4182" s="85">
        <v>5352</v>
      </c>
      <c r="L4182" s="36">
        <v>446</v>
      </c>
      <c r="M4182" s="36">
        <v>0</v>
      </c>
      <c r="N4182" s="36">
        <v>83</v>
      </c>
      <c r="O4182" s="36">
        <v>363</v>
      </c>
      <c r="P4182" t="s">
        <v>75</v>
      </c>
      <c r="Q4182" t="s">
        <v>3558</v>
      </c>
      <c r="R4182" t="s">
        <v>37</v>
      </c>
      <c r="S4182" s="112">
        <v>46164</v>
      </c>
      <c r="T4182" s="112">
        <v>46164</v>
      </c>
      <c r="U4182" s="112">
        <v>46166</v>
      </c>
      <c r="V4182" s="112">
        <v>46897</v>
      </c>
      <c r="W4182" t="s">
        <v>56</v>
      </c>
      <c r="X4182">
        <v>24</v>
      </c>
      <c r="Y4182" t="s">
        <v>49</v>
      </c>
      <c r="Z4182" t="s">
        <v>76</v>
      </c>
      <c r="AA4182" t="s">
        <v>40</v>
      </c>
      <c r="AB4182">
        <v>1</v>
      </c>
      <c r="AC4182" t="s">
        <v>41</v>
      </c>
      <c r="AD4182" t="s">
        <v>53</v>
      </c>
      <c r="AE4182" t="s">
        <v>43</v>
      </c>
      <c r="AF4182" t="s">
        <v>44</v>
      </c>
      <c r="AG4182" t="str">
        <f t="shared" si="93"/>
        <v>À Vista</v>
      </c>
      <c r="AH4182" t="str">
        <f t="shared" si="94"/>
        <v/>
      </c>
    </row>
    <row r="4183" spans="1:34">
      <c r="A4183">
        <v>2026</v>
      </c>
      <c r="B4183">
        <v>5</v>
      </c>
      <c r="C4183" s="83">
        <v>54711417624</v>
      </c>
      <c r="D4183" t="s">
        <v>3623</v>
      </c>
      <c r="E4183">
        <v>60717259614</v>
      </c>
      <c r="F4183">
        <v>638105</v>
      </c>
      <c r="G4183">
        <v>55687741780</v>
      </c>
      <c r="H4183" t="s">
        <v>673</v>
      </c>
      <c r="I4183" s="36">
        <v>10640</v>
      </c>
      <c r="J4183" s="36">
        <v>0</v>
      </c>
      <c r="K4183" s="85">
        <v>0</v>
      </c>
      <c r="L4183" s="36">
        <v>0</v>
      </c>
      <c r="M4183" s="36">
        <v>0</v>
      </c>
      <c r="N4183" s="36">
        <v>0</v>
      </c>
      <c r="O4183" s="36">
        <v>0</v>
      </c>
      <c r="P4183" t="s">
        <v>90</v>
      </c>
      <c r="Q4183" t="s">
        <v>91</v>
      </c>
      <c r="R4183" t="s">
        <v>91</v>
      </c>
      <c r="S4183" s="112">
        <v>46172</v>
      </c>
      <c r="T4183" s="112">
        <v>46172</v>
      </c>
      <c r="U4183" s="112"/>
      <c r="V4183" s="112">
        <v>46281</v>
      </c>
      <c r="W4183" t="s">
        <v>1228</v>
      </c>
      <c r="X4183">
        <v>4</v>
      </c>
      <c r="Y4183" t="s">
        <v>1229</v>
      </c>
      <c r="AA4183" t="s">
        <v>92</v>
      </c>
      <c r="AB4183">
        <v>3</v>
      </c>
      <c r="AC4183" t="s">
        <v>93</v>
      </c>
      <c r="AD4183" t="s">
        <v>3624</v>
      </c>
      <c r="AE4183" t="s">
        <v>106</v>
      </c>
      <c r="AF4183" t="s">
        <v>59</v>
      </c>
      <c r="AG4183" t="str">
        <f t="shared" si="93"/>
        <v>Recorrente</v>
      </c>
      <c r="AH4183" t="str">
        <f t="shared" si="94"/>
        <v/>
      </c>
    </row>
    <row r="4184" spans="1:34">
      <c r="A4184">
        <v>2026</v>
      </c>
      <c r="B4184">
        <v>5</v>
      </c>
      <c r="C4184" s="83">
        <v>36780507065</v>
      </c>
      <c r="D4184" t="s">
        <v>1638</v>
      </c>
      <c r="E4184">
        <v>60710979328</v>
      </c>
      <c r="F4184">
        <v>638062</v>
      </c>
      <c r="G4184">
        <v>55684403778</v>
      </c>
      <c r="H4184" t="s">
        <v>35</v>
      </c>
      <c r="I4184" s="36">
        <v>10357.200000000001</v>
      </c>
      <c r="J4184" s="36">
        <v>2304.6</v>
      </c>
      <c r="K4184" s="85">
        <v>8052.6</v>
      </c>
      <c r="L4184" s="36">
        <v>192.05</v>
      </c>
      <c r="M4184" s="36">
        <v>0</v>
      </c>
      <c r="N4184" s="36">
        <v>192.05</v>
      </c>
      <c r="O4184" s="36">
        <v>0</v>
      </c>
      <c r="P4184" t="s">
        <v>367</v>
      </c>
      <c r="Q4184" t="s">
        <v>191</v>
      </c>
      <c r="R4184" t="s">
        <v>191</v>
      </c>
      <c r="S4184" s="112">
        <v>46171</v>
      </c>
      <c r="T4184" s="112">
        <v>46171</v>
      </c>
      <c r="U4184" s="112">
        <v>46792</v>
      </c>
      <c r="V4184" s="112">
        <v>46902</v>
      </c>
      <c r="W4184" t="s">
        <v>56</v>
      </c>
      <c r="X4184">
        <v>3</v>
      </c>
      <c r="Y4184" t="s">
        <v>49</v>
      </c>
      <c r="AA4184" t="s">
        <v>122</v>
      </c>
      <c r="AB4184">
        <v>24</v>
      </c>
      <c r="AC4184" t="s">
        <v>192</v>
      </c>
      <c r="AD4184" t="s">
        <v>85</v>
      </c>
      <c r="AE4184" t="s">
        <v>46</v>
      </c>
      <c r="AF4184" t="s">
        <v>44</v>
      </c>
      <c r="AG4184" t="str">
        <f t="shared" si="93"/>
        <v>Recorrente</v>
      </c>
      <c r="AH4184" t="str">
        <f t="shared" si="94"/>
        <v/>
      </c>
    </row>
    <row r="4185" spans="1:34">
      <c r="A4185">
        <v>2026</v>
      </c>
      <c r="B4185">
        <v>5</v>
      </c>
      <c r="C4185" s="83">
        <v>54896462233</v>
      </c>
      <c r="D4185" t="s">
        <v>3625</v>
      </c>
      <c r="E4185">
        <v>60174648694</v>
      </c>
      <c r="F4185">
        <v>638027</v>
      </c>
      <c r="G4185">
        <v>55647265199</v>
      </c>
      <c r="H4185" t="s">
        <v>35</v>
      </c>
      <c r="I4185" s="36">
        <v>10327.08</v>
      </c>
      <c r="J4185" s="36">
        <v>10327.08</v>
      </c>
      <c r="K4185" s="85">
        <v>0</v>
      </c>
      <c r="L4185" s="36">
        <v>860.59</v>
      </c>
      <c r="M4185" s="36">
        <v>860.59</v>
      </c>
      <c r="N4185" s="36">
        <v>0</v>
      </c>
      <c r="O4185" s="36">
        <v>0</v>
      </c>
      <c r="P4185" t="s">
        <v>506</v>
      </c>
      <c r="Q4185" t="s">
        <v>300</v>
      </c>
      <c r="R4185" t="s">
        <v>300</v>
      </c>
      <c r="S4185" s="112">
        <v>46169</v>
      </c>
      <c r="T4185" s="112">
        <v>46169</v>
      </c>
      <c r="U4185" s="112"/>
      <c r="V4185" s="112">
        <v>46534</v>
      </c>
      <c r="W4185" t="s">
        <v>38</v>
      </c>
      <c r="X4185">
        <v>12</v>
      </c>
      <c r="Y4185" t="s">
        <v>49</v>
      </c>
      <c r="AA4185" t="s">
        <v>117</v>
      </c>
      <c r="AB4185">
        <v>1</v>
      </c>
      <c r="AC4185" t="s">
        <v>301</v>
      </c>
      <c r="AD4185" t="s">
        <v>146</v>
      </c>
      <c r="AE4185" t="s">
        <v>135</v>
      </c>
      <c r="AF4185" t="s">
        <v>96</v>
      </c>
      <c r="AG4185" t="str">
        <f t="shared" si="93"/>
        <v>À Vista</v>
      </c>
      <c r="AH4185" t="str">
        <f t="shared" si="94"/>
        <v/>
      </c>
    </row>
    <row r="4186" spans="1:34">
      <c r="A4186">
        <v>2026</v>
      </c>
      <c r="B4186">
        <v>5</v>
      </c>
      <c r="C4186" s="83">
        <v>114517114548</v>
      </c>
      <c r="D4186" t="s">
        <v>947</v>
      </c>
      <c r="E4186">
        <v>60555377047</v>
      </c>
      <c r="F4186">
        <v>638033</v>
      </c>
      <c r="G4186">
        <v>55647333205</v>
      </c>
      <c r="H4186" t="s">
        <v>35</v>
      </c>
      <c r="I4186" s="36">
        <v>10310.4</v>
      </c>
      <c r="J4186" s="36">
        <v>657.80798059999995</v>
      </c>
      <c r="K4186" s="85">
        <v>9652.5920189999997</v>
      </c>
      <c r="L4186" s="36">
        <v>54.817331719999999</v>
      </c>
      <c r="M4186" s="36">
        <v>0</v>
      </c>
      <c r="N4186" s="36">
        <v>54.817331719999999</v>
      </c>
      <c r="O4186" s="36">
        <v>0</v>
      </c>
      <c r="P4186" t="s">
        <v>367</v>
      </c>
      <c r="Q4186" t="s">
        <v>191</v>
      </c>
      <c r="R4186" t="s">
        <v>191</v>
      </c>
      <c r="S4186" s="112">
        <v>46170</v>
      </c>
      <c r="T4186" s="112">
        <v>46170</v>
      </c>
      <c r="U4186" s="112"/>
      <c r="V4186" s="112">
        <v>46901</v>
      </c>
      <c r="W4186" t="s">
        <v>56</v>
      </c>
      <c r="Y4186" t="s">
        <v>549</v>
      </c>
      <c r="AA4186" t="s">
        <v>122</v>
      </c>
      <c r="AB4186">
        <v>24</v>
      </c>
      <c r="AC4186" t="s">
        <v>192</v>
      </c>
      <c r="AD4186" t="s">
        <v>256</v>
      </c>
      <c r="AE4186" t="s">
        <v>257</v>
      </c>
      <c r="AF4186" t="s">
        <v>59</v>
      </c>
      <c r="AG4186" t="str">
        <f t="shared" si="93"/>
        <v>Recorrente</v>
      </c>
      <c r="AH4186" t="str">
        <f t="shared" si="94"/>
        <v/>
      </c>
    </row>
    <row r="4187" spans="1:34">
      <c r="A4187">
        <v>2026</v>
      </c>
      <c r="B4187">
        <v>5</v>
      </c>
      <c r="C4187" s="83">
        <v>114517114548</v>
      </c>
      <c r="D4187" t="s">
        <v>947</v>
      </c>
      <c r="E4187">
        <v>60555377047</v>
      </c>
      <c r="F4187">
        <v>638033</v>
      </c>
      <c r="G4187">
        <v>55647333202</v>
      </c>
      <c r="H4187" t="s">
        <v>35</v>
      </c>
      <c r="I4187" s="36">
        <v>10224.48</v>
      </c>
      <c r="J4187" s="36">
        <v>652.32624750000002</v>
      </c>
      <c r="K4187" s="85">
        <v>9572.1537530000005</v>
      </c>
      <c r="L4187" s="36">
        <v>54.360520620000003</v>
      </c>
      <c r="M4187" s="36">
        <v>0</v>
      </c>
      <c r="N4187" s="36">
        <v>54.360520620000003</v>
      </c>
      <c r="O4187" s="36">
        <v>0</v>
      </c>
      <c r="P4187" t="s">
        <v>367</v>
      </c>
      <c r="Q4187" t="s">
        <v>191</v>
      </c>
      <c r="R4187" t="s">
        <v>191</v>
      </c>
      <c r="S4187" s="112">
        <v>46170</v>
      </c>
      <c r="T4187" s="112">
        <v>46170</v>
      </c>
      <c r="V4187" s="112">
        <v>46901</v>
      </c>
      <c r="W4187" t="s">
        <v>56</v>
      </c>
      <c r="Y4187" t="s">
        <v>549</v>
      </c>
      <c r="AA4187" t="s">
        <v>122</v>
      </c>
      <c r="AB4187">
        <v>24</v>
      </c>
      <c r="AC4187" t="s">
        <v>192</v>
      </c>
      <c r="AD4187" t="s">
        <v>362</v>
      </c>
      <c r="AE4187" t="s">
        <v>363</v>
      </c>
      <c r="AF4187" t="s">
        <v>59</v>
      </c>
      <c r="AG4187" t="str">
        <f t="shared" si="93"/>
        <v>Recorrente</v>
      </c>
      <c r="AH4187" t="str">
        <f t="shared" si="94"/>
        <v/>
      </c>
    </row>
    <row r="4188" spans="1:34">
      <c r="A4188">
        <v>2026</v>
      </c>
      <c r="B4188">
        <v>5</v>
      </c>
      <c r="C4188" s="83">
        <v>191454387747</v>
      </c>
      <c r="D4188" t="s">
        <v>3626</v>
      </c>
      <c r="E4188">
        <v>59681247840</v>
      </c>
      <c r="F4188">
        <v>315804</v>
      </c>
      <c r="G4188">
        <v>55271604243</v>
      </c>
      <c r="H4188" t="s">
        <v>35</v>
      </c>
      <c r="I4188" s="36">
        <v>10169.64</v>
      </c>
      <c r="J4188" s="36">
        <v>10169.64</v>
      </c>
      <c r="K4188" s="85">
        <v>0</v>
      </c>
      <c r="L4188" s="36">
        <v>847.47</v>
      </c>
      <c r="M4188" s="36">
        <v>0</v>
      </c>
      <c r="N4188" s="36">
        <v>203.27125000000001</v>
      </c>
      <c r="O4188" s="36">
        <v>644.20000000000005</v>
      </c>
      <c r="P4188" t="s">
        <v>137</v>
      </c>
      <c r="Q4188" t="s">
        <v>111</v>
      </c>
      <c r="R4188" t="s">
        <v>111</v>
      </c>
      <c r="S4188" s="112">
        <v>46160</v>
      </c>
      <c r="T4188" s="112">
        <v>46160</v>
      </c>
      <c r="U4188" s="112">
        <v>46167</v>
      </c>
      <c r="V4188" s="112">
        <v>46532</v>
      </c>
      <c r="W4188" t="s">
        <v>38</v>
      </c>
      <c r="X4188">
        <v>12</v>
      </c>
      <c r="Y4188" t="s">
        <v>49</v>
      </c>
      <c r="Z4188" t="s">
        <v>81</v>
      </c>
      <c r="AA4188" t="s">
        <v>122</v>
      </c>
      <c r="AB4188">
        <v>12</v>
      </c>
      <c r="AC4188" t="s">
        <v>113</v>
      </c>
      <c r="AD4188" t="s">
        <v>146</v>
      </c>
      <c r="AE4188" t="s">
        <v>135</v>
      </c>
      <c r="AF4188" t="s">
        <v>96</v>
      </c>
      <c r="AG4188" t="str">
        <f t="shared" si="93"/>
        <v>Recorrente</v>
      </c>
      <c r="AH4188" t="str">
        <f t="shared" si="94"/>
        <v/>
      </c>
    </row>
    <row r="4189" spans="1:34">
      <c r="A4189">
        <v>2026</v>
      </c>
      <c r="B4189">
        <v>5</v>
      </c>
      <c r="C4189" s="83">
        <v>144872976916</v>
      </c>
      <c r="D4189" t="s">
        <v>3581</v>
      </c>
      <c r="E4189">
        <v>60650853481</v>
      </c>
      <c r="F4189">
        <v>638034</v>
      </c>
      <c r="G4189">
        <v>55647337281</v>
      </c>
      <c r="H4189" t="s">
        <v>35</v>
      </c>
      <c r="I4189" s="36">
        <v>10132.08</v>
      </c>
      <c r="J4189" s="36">
        <v>1567.8976500000001</v>
      </c>
      <c r="K4189" s="85">
        <v>8564.1823499999991</v>
      </c>
      <c r="L4189" s="36">
        <v>130.65813750000001</v>
      </c>
      <c r="M4189" s="36">
        <v>0</v>
      </c>
      <c r="N4189" s="36">
        <v>130.65813750000001</v>
      </c>
      <c r="O4189" s="36">
        <v>0</v>
      </c>
      <c r="P4189" t="s">
        <v>367</v>
      </c>
      <c r="Q4189" t="s">
        <v>191</v>
      </c>
      <c r="R4189" t="s">
        <v>191</v>
      </c>
      <c r="S4189" s="112">
        <v>46170</v>
      </c>
      <c r="T4189" s="112">
        <v>46170</v>
      </c>
      <c r="U4189" s="112"/>
      <c r="V4189" s="112">
        <v>46901</v>
      </c>
      <c r="W4189" t="s">
        <v>56</v>
      </c>
      <c r="Y4189" t="s">
        <v>49</v>
      </c>
      <c r="AA4189" t="s">
        <v>122</v>
      </c>
      <c r="AB4189">
        <v>24</v>
      </c>
      <c r="AC4189" t="s">
        <v>192</v>
      </c>
      <c r="AD4189" t="s">
        <v>125</v>
      </c>
      <c r="AE4189" t="s">
        <v>43</v>
      </c>
      <c r="AF4189" t="s">
        <v>47</v>
      </c>
      <c r="AG4189" t="str">
        <f t="shared" si="93"/>
        <v>Recorrente</v>
      </c>
      <c r="AH4189" t="str">
        <f t="shared" si="94"/>
        <v/>
      </c>
    </row>
    <row r="4190" spans="1:34">
      <c r="A4190">
        <v>2026</v>
      </c>
      <c r="B4190">
        <v>5</v>
      </c>
      <c r="C4190" s="83">
        <v>208033701016</v>
      </c>
      <c r="D4190" t="s">
        <v>3627</v>
      </c>
      <c r="E4190">
        <v>59644344740</v>
      </c>
      <c r="F4190">
        <v>637614</v>
      </c>
      <c r="G4190">
        <v>55072705346</v>
      </c>
      <c r="H4190" t="s">
        <v>35</v>
      </c>
      <c r="I4190" s="36">
        <v>10075.799999999999</v>
      </c>
      <c r="J4190" s="36">
        <v>10075.799999999999</v>
      </c>
      <c r="K4190" s="85">
        <v>0</v>
      </c>
      <c r="L4190" s="36">
        <v>839.65</v>
      </c>
      <c r="M4190" s="36">
        <v>0</v>
      </c>
      <c r="N4190" s="36">
        <v>265.0872043</v>
      </c>
      <c r="O4190" s="36">
        <v>574.56279570000004</v>
      </c>
      <c r="P4190" t="s">
        <v>162</v>
      </c>
      <c r="Q4190" t="s">
        <v>111</v>
      </c>
      <c r="R4190" t="s">
        <v>111</v>
      </c>
      <c r="S4190" s="112">
        <v>46149</v>
      </c>
      <c r="T4190" s="112">
        <v>46149</v>
      </c>
      <c r="U4190" s="112"/>
      <c r="V4190" s="112">
        <v>46514</v>
      </c>
      <c r="W4190" t="s">
        <v>38</v>
      </c>
      <c r="Y4190" t="s">
        <v>49</v>
      </c>
      <c r="AA4190" t="s">
        <v>112</v>
      </c>
      <c r="AB4190">
        <v>12</v>
      </c>
      <c r="AC4190" t="s">
        <v>113</v>
      </c>
      <c r="AD4190" t="s">
        <v>154</v>
      </c>
      <c r="AE4190" t="s">
        <v>46</v>
      </c>
      <c r="AF4190" t="s">
        <v>47</v>
      </c>
      <c r="AG4190" t="str">
        <f t="shared" si="93"/>
        <v>CC 12x</v>
      </c>
      <c r="AH4190" t="str">
        <f t="shared" si="94"/>
        <v/>
      </c>
    </row>
    <row r="4191" spans="1:34">
      <c r="A4191">
        <v>2026</v>
      </c>
      <c r="B4191">
        <v>5</v>
      </c>
      <c r="C4191" s="83">
        <v>2257061</v>
      </c>
      <c r="D4191" t="s">
        <v>3628</v>
      </c>
      <c r="E4191">
        <v>60456698206</v>
      </c>
      <c r="F4191">
        <v>637954</v>
      </c>
      <c r="G4191">
        <v>55609892137</v>
      </c>
      <c r="H4191" t="s">
        <v>35</v>
      </c>
      <c r="I4191" s="36">
        <v>10068</v>
      </c>
      <c r="J4191" s="36">
        <v>2610</v>
      </c>
      <c r="K4191" s="85">
        <v>7458</v>
      </c>
      <c r="L4191" s="36">
        <v>217.5</v>
      </c>
      <c r="M4191" s="36">
        <v>0</v>
      </c>
      <c r="N4191" s="36">
        <v>217.5</v>
      </c>
      <c r="O4191" s="36">
        <v>0</v>
      </c>
      <c r="P4191" t="s">
        <v>367</v>
      </c>
      <c r="Q4191" t="s">
        <v>191</v>
      </c>
      <c r="R4191" t="s">
        <v>191</v>
      </c>
      <c r="S4191" s="112">
        <v>46167</v>
      </c>
      <c r="T4191" s="112">
        <v>46167</v>
      </c>
      <c r="U4191" s="112">
        <v>46371</v>
      </c>
      <c r="V4191" s="112">
        <v>46898</v>
      </c>
      <c r="W4191" t="s">
        <v>56</v>
      </c>
      <c r="X4191">
        <v>17</v>
      </c>
      <c r="Y4191" t="s">
        <v>49</v>
      </c>
      <c r="AA4191" t="s">
        <v>122</v>
      </c>
      <c r="AB4191">
        <v>24</v>
      </c>
      <c r="AC4191" t="s">
        <v>192</v>
      </c>
      <c r="AD4191" t="s">
        <v>84</v>
      </c>
      <c r="AE4191" t="s">
        <v>43</v>
      </c>
      <c r="AF4191" t="s">
        <v>44</v>
      </c>
      <c r="AG4191" t="str">
        <f t="shared" si="93"/>
        <v>Recorrente</v>
      </c>
      <c r="AH4191" t="str">
        <f t="shared" si="94"/>
        <v/>
      </c>
    </row>
    <row r="4192" spans="1:34">
      <c r="A4192">
        <v>2026</v>
      </c>
      <c r="B4192">
        <v>5</v>
      </c>
      <c r="C4192" s="83">
        <v>19485501767</v>
      </c>
      <c r="D4192" t="s">
        <v>3566</v>
      </c>
      <c r="E4192">
        <v>60709135447</v>
      </c>
      <c r="F4192">
        <v>638058</v>
      </c>
      <c r="G4192">
        <v>55682386794</v>
      </c>
      <c r="H4192" t="s">
        <v>673</v>
      </c>
      <c r="I4192" s="36">
        <v>10000</v>
      </c>
      <c r="J4192" s="36">
        <v>0</v>
      </c>
      <c r="K4192" s="85">
        <v>0</v>
      </c>
      <c r="L4192" s="36">
        <v>0</v>
      </c>
      <c r="M4192" s="36">
        <v>0</v>
      </c>
      <c r="N4192" s="36">
        <v>0</v>
      </c>
      <c r="O4192" s="36">
        <v>0</v>
      </c>
      <c r="P4192" t="s">
        <v>1243</v>
      </c>
      <c r="Q4192" t="s">
        <v>3558</v>
      </c>
      <c r="R4192" t="s">
        <v>37</v>
      </c>
      <c r="S4192" s="112">
        <v>46171</v>
      </c>
      <c r="T4192" s="112">
        <v>46171</v>
      </c>
      <c r="U4192" s="112"/>
      <c r="V4192" s="112">
        <v>46536</v>
      </c>
      <c r="W4192" t="s">
        <v>38</v>
      </c>
      <c r="X4192">
        <v>12</v>
      </c>
      <c r="Y4192" t="s">
        <v>1229</v>
      </c>
      <c r="AA4192" t="s">
        <v>40</v>
      </c>
      <c r="AB4192">
        <v>1</v>
      </c>
      <c r="AC4192" t="s">
        <v>41</v>
      </c>
      <c r="AD4192" t="s">
        <v>2087</v>
      </c>
      <c r="AE4192" t="s">
        <v>106</v>
      </c>
      <c r="AF4192" t="s">
        <v>59</v>
      </c>
      <c r="AG4192" t="str">
        <f t="shared" si="93"/>
        <v>À Vista</v>
      </c>
      <c r="AH4192" t="str">
        <f t="shared" si="94"/>
        <v/>
      </c>
    </row>
    <row r="4193" spans="1:34">
      <c r="A4193">
        <v>2026</v>
      </c>
      <c r="B4193">
        <v>5</v>
      </c>
      <c r="C4193" s="83">
        <v>118238325102</v>
      </c>
      <c r="D4193" t="s">
        <v>3629</v>
      </c>
      <c r="E4193">
        <v>58847164423</v>
      </c>
      <c r="F4193">
        <v>314278</v>
      </c>
      <c r="G4193">
        <v>55061279802</v>
      </c>
      <c r="H4193" t="s">
        <v>35</v>
      </c>
      <c r="I4193" s="36">
        <v>9930.36</v>
      </c>
      <c r="J4193" s="36">
        <v>9930.36</v>
      </c>
      <c r="K4193" s="85">
        <v>0</v>
      </c>
      <c r="L4193" s="36">
        <v>827.53</v>
      </c>
      <c r="M4193" s="36">
        <v>0</v>
      </c>
      <c r="N4193" s="36">
        <v>45.060749999999999</v>
      </c>
      <c r="O4193" s="36">
        <v>782.47</v>
      </c>
      <c r="P4193" t="s">
        <v>116</v>
      </c>
      <c r="Q4193" t="s">
        <v>111</v>
      </c>
      <c r="R4193" t="s">
        <v>111</v>
      </c>
      <c r="S4193" s="112">
        <v>46147</v>
      </c>
      <c r="T4193" s="112">
        <v>46147</v>
      </c>
      <c r="U4193" s="112">
        <v>46147</v>
      </c>
      <c r="V4193" s="112">
        <v>46512</v>
      </c>
      <c r="W4193" t="s">
        <v>38</v>
      </c>
      <c r="X4193">
        <v>12</v>
      </c>
      <c r="Y4193" t="s">
        <v>49</v>
      </c>
      <c r="Z4193" t="s">
        <v>81</v>
      </c>
      <c r="AA4193" t="s">
        <v>122</v>
      </c>
      <c r="AB4193">
        <v>12</v>
      </c>
      <c r="AC4193" t="s">
        <v>113</v>
      </c>
      <c r="AD4193" t="s">
        <v>146</v>
      </c>
      <c r="AE4193" t="s">
        <v>135</v>
      </c>
      <c r="AF4193" t="s">
        <v>96</v>
      </c>
      <c r="AG4193" t="str">
        <f t="shared" si="93"/>
        <v>Recorrente</v>
      </c>
      <c r="AH4193" t="str">
        <f t="shared" si="94"/>
        <v/>
      </c>
    </row>
    <row r="4194" spans="1:34">
      <c r="A4194">
        <v>2026</v>
      </c>
      <c r="B4194">
        <v>5</v>
      </c>
      <c r="C4194" s="83">
        <v>19435681579</v>
      </c>
      <c r="D4194" t="s">
        <v>3613</v>
      </c>
      <c r="E4194">
        <v>55389535876</v>
      </c>
      <c r="F4194">
        <v>523711</v>
      </c>
      <c r="G4194">
        <v>55647277578</v>
      </c>
      <c r="H4194" t="s">
        <v>35</v>
      </c>
      <c r="I4194" s="36">
        <v>9920.4</v>
      </c>
      <c r="J4194" s="36">
        <v>402.9</v>
      </c>
      <c r="K4194" s="85">
        <v>9517.5</v>
      </c>
      <c r="L4194" s="36">
        <v>33.575000000000003</v>
      </c>
      <c r="M4194" s="36">
        <v>0</v>
      </c>
      <c r="N4194" s="36">
        <v>33.575000000000003</v>
      </c>
      <c r="O4194" s="36">
        <v>0</v>
      </c>
      <c r="P4194" t="s">
        <v>1165</v>
      </c>
      <c r="Q4194" t="s">
        <v>3558</v>
      </c>
      <c r="R4194" t="s">
        <v>79</v>
      </c>
      <c r="S4194" s="112">
        <v>46169</v>
      </c>
      <c r="T4194" s="112">
        <v>46169</v>
      </c>
      <c r="U4194" s="112">
        <v>46170</v>
      </c>
      <c r="V4194" s="112">
        <v>46573</v>
      </c>
      <c r="W4194" t="s">
        <v>38</v>
      </c>
      <c r="X4194">
        <v>14</v>
      </c>
      <c r="Y4194" t="s">
        <v>49</v>
      </c>
      <c r="Z4194" t="s">
        <v>324</v>
      </c>
      <c r="AA4194" t="s">
        <v>82</v>
      </c>
      <c r="AB4194">
        <v>1</v>
      </c>
      <c r="AC4194" t="s">
        <v>83</v>
      </c>
      <c r="AD4194" t="s">
        <v>100</v>
      </c>
      <c r="AE4194" t="s">
        <v>46</v>
      </c>
      <c r="AF4194" t="s">
        <v>47</v>
      </c>
      <c r="AG4194" t="str">
        <f t="shared" si="93"/>
        <v>À Vista</v>
      </c>
      <c r="AH4194" t="str">
        <f t="shared" si="94"/>
        <v/>
      </c>
    </row>
    <row r="4195" spans="1:34">
      <c r="A4195">
        <v>2026</v>
      </c>
      <c r="B4195">
        <v>5</v>
      </c>
      <c r="C4195" s="83">
        <v>53284613147</v>
      </c>
      <c r="D4195" t="s">
        <v>3587</v>
      </c>
      <c r="E4195">
        <v>60051318895</v>
      </c>
      <c r="F4195">
        <v>637589</v>
      </c>
      <c r="G4195">
        <v>55073673289</v>
      </c>
      <c r="H4195" t="s">
        <v>35</v>
      </c>
      <c r="I4195" s="36">
        <v>9909.84</v>
      </c>
      <c r="J4195" s="36">
        <v>3627.1369089999998</v>
      </c>
      <c r="K4195" s="85">
        <v>6282.7030910000003</v>
      </c>
      <c r="L4195" s="36">
        <v>302.26140909999998</v>
      </c>
      <c r="M4195" s="36">
        <v>0</v>
      </c>
      <c r="N4195" s="36">
        <v>302.26140909999998</v>
      </c>
      <c r="O4195" s="36">
        <v>0</v>
      </c>
      <c r="P4195" t="s">
        <v>367</v>
      </c>
      <c r="Q4195" t="s">
        <v>191</v>
      </c>
      <c r="R4195" t="s">
        <v>191</v>
      </c>
      <c r="S4195" s="112">
        <v>46148</v>
      </c>
      <c r="T4195" s="112">
        <v>46148</v>
      </c>
      <c r="U4195" s="112"/>
      <c r="V4195" s="112">
        <v>46879</v>
      </c>
      <c r="W4195" t="s">
        <v>56</v>
      </c>
      <c r="Y4195" t="s">
        <v>49</v>
      </c>
      <c r="AA4195" t="s">
        <v>122</v>
      </c>
      <c r="AB4195">
        <v>24</v>
      </c>
      <c r="AC4195" t="s">
        <v>192</v>
      </c>
      <c r="AD4195" t="s">
        <v>85</v>
      </c>
      <c r="AE4195" t="s">
        <v>46</v>
      </c>
      <c r="AF4195" t="s">
        <v>44</v>
      </c>
      <c r="AG4195" t="str">
        <f t="shared" si="93"/>
        <v>Recorrente</v>
      </c>
      <c r="AH4195" t="str">
        <f t="shared" si="94"/>
        <v/>
      </c>
    </row>
    <row r="4196" spans="1:34">
      <c r="A4196">
        <v>2026</v>
      </c>
      <c r="B4196">
        <v>5</v>
      </c>
      <c r="C4196" s="83">
        <v>227511762697</v>
      </c>
      <c r="D4196" t="s">
        <v>3630</v>
      </c>
      <c r="E4196">
        <v>60547642272</v>
      </c>
      <c r="F4196">
        <v>637956</v>
      </c>
      <c r="G4196">
        <v>55611054989</v>
      </c>
      <c r="H4196" t="s">
        <v>35</v>
      </c>
      <c r="I4196" s="36">
        <v>9895.68</v>
      </c>
      <c r="J4196" s="36">
        <v>9895.68</v>
      </c>
      <c r="K4196" s="85">
        <v>0</v>
      </c>
      <c r="L4196" s="36">
        <v>824.64</v>
      </c>
      <c r="M4196" s="36">
        <v>824.64</v>
      </c>
      <c r="N4196" s="36">
        <v>0</v>
      </c>
      <c r="O4196" s="36">
        <v>0</v>
      </c>
      <c r="P4196" t="s">
        <v>829</v>
      </c>
      <c r="Q4196" t="s">
        <v>300</v>
      </c>
      <c r="R4196" t="s">
        <v>300</v>
      </c>
      <c r="S4196" s="112">
        <v>46167</v>
      </c>
      <c r="T4196" s="112">
        <v>46167</v>
      </c>
      <c r="U4196" s="112"/>
      <c r="V4196" s="112">
        <v>46532</v>
      </c>
      <c r="W4196" t="s">
        <v>38</v>
      </c>
      <c r="X4196">
        <v>12</v>
      </c>
      <c r="Y4196" t="s">
        <v>49</v>
      </c>
      <c r="AA4196" t="s">
        <v>112</v>
      </c>
      <c r="AB4196">
        <v>12</v>
      </c>
      <c r="AC4196" t="s">
        <v>301</v>
      </c>
      <c r="AD4196" t="s">
        <v>163</v>
      </c>
      <c r="AE4196" t="s">
        <v>43</v>
      </c>
      <c r="AF4196" t="s">
        <v>96</v>
      </c>
      <c r="AG4196" t="str">
        <f t="shared" si="93"/>
        <v>CC 12x</v>
      </c>
      <c r="AH4196" t="str">
        <f t="shared" si="94"/>
        <v/>
      </c>
    </row>
    <row r="4197" spans="1:34">
      <c r="A4197">
        <v>2026</v>
      </c>
      <c r="B4197">
        <v>5</v>
      </c>
      <c r="C4197" s="83">
        <v>53077352027</v>
      </c>
      <c r="D4197" t="s">
        <v>3594</v>
      </c>
      <c r="E4197">
        <v>56699659649</v>
      </c>
      <c r="F4197">
        <v>637872</v>
      </c>
      <c r="G4197">
        <v>55339865247</v>
      </c>
      <c r="H4197" t="s">
        <v>35</v>
      </c>
      <c r="I4197" s="36">
        <v>9864</v>
      </c>
      <c r="J4197" s="36">
        <v>0</v>
      </c>
      <c r="K4197" s="85">
        <v>0</v>
      </c>
      <c r="L4197" s="36">
        <v>0</v>
      </c>
      <c r="M4197" s="36">
        <v>0</v>
      </c>
      <c r="N4197" s="36">
        <v>0</v>
      </c>
      <c r="O4197" s="36">
        <v>0</v>
      </c>
      <c r="P4197" t="s">
        <v>36</v>
      </c>
      <c r="Q4197" t="s">
        <v>3558</v>
      </c>
      <c r="R4197" t="s">
        <v>37</v>
      </c>
      <c r="S4197" s="112">
        <v>46162</v>
      </c>
      <c r="T4197" s="112">
        <v>46162</v>
      </c>
      <c r="V4197" s="112"/>
      <c r="W4197" t="s">
        <v>39</v>
      </c>
      <c r="Y4197" t="s">
        <v>39</v>
      </c>
      <c r="AA4197" t="s">
        <v>40</v>
      </c>
      <c r="AB4197">
        <v>1</v>
      </c>
      <c r="AC4197" t="s">
        <v>41</v>
      </c>
      <c r="AD4197" t="s">
        <v>3585</v>
      </c>
      <c r="AE4197" t="s">
        <v>43</v>
      </c>
      <c r="AF4197" t="s">
        <v>44</v>
      </c>
      <c r="AG4197" t="str">
        <f t="shared" si="93"/>
        <v>À Vista</v>
      </c>
      <c r="AH4197" t="str">
        <f t="shared" si="94"/>
        <v/>
      </c>
    </row>
    <row r="4198" spans="1:34">
      <c r="A4198">
        <v>2026</v>
      </c>
      <c r="B4198">
        <v>5</v>
      </c>
      <c r="C4198" s="83">
        <v>114800825940</v>
      </c>
      <c r="D4198" t="s">
        <v>3631</v>
      </c>
      <c r="E4198">
        <v>59238323995</v>
      </c>
      <c r="F4198">
        <v>316628</v>
      </c>
      <c r="G4198">
        <v>54346268708</v>
      </c>
      <c r="H4198" t="s">
        <v>35</v>
      </c>
      <c r="I4198" s="36">
        <v>9594</v>
      </c>
      <c r="J4198" s="36">
        <v>9594</v>
      </c>
      <c r="K4198" s="85">
        <v>0</v>
      </c>
      <c r="L4198" s="36">
        <v>799.5</v>
      </c>
      <c r="M4198" s="36">
        <v>0</v>
      </c>
      <c r="N4198" s="36">
        <v>152.4</v>
      </c>
      <c r="O4198" s="36">
        <v>647.1</v>
      </c>
      <c r="P4198" t="s">
        <v>165</v>
      </c>
      <c r="Q4198" t="s">
        <v>166</v>
      </c>
      <c r="R4198" t="s">
        <v>166</v>
      </c>
      <c r="S4198" s="112">
        <v>46169</v>
      </c>
      <c r="T4198" s="112">
        <v>46169</v>
      </c>
      <c r="U4198" s="112">
        <v>46173</v>
      </c>
      <c r="V4198" s="112">
        <v>46538</v>
      </c>
      <c r="W4198" t="s">
        <v>38</v>
      </c>
      <c r="X4198">
        <v>12</v>
      </c>
      <c r="Y4198" t="s">
        <v>49</v>
      </c>
      <c r="Z4198" t="s">
        <v>81</v>
      </c>
      <c r="AA4198" t="s">
        <v>112</v>
      </c>
      <c r="AB4198">
        <v>12</v>
      </c>
      <c r="AC4198" t="s">
        <v>166</v>
      </c>
      <c r="AD4198" t="s">
        <v>131</v>
      </c>
      <c r="AE4198" t="s">
        <v>46</v>
      </c>
      <c r="AF4198" t="s">
        <v>96</v>
      </c>
      <c r="AG4198" t="str">
        <f t="shared" si="93"/>
        <v>CC 12x</v>
      </c>
      <c r="AH4198" t="str">
        <f t="shared" si="94"/>
        <v/>
      </c>
    </row>
    <row r="4199" spans="1:34">
      <c r="A4199">
        <v>2026</v>
      </c>
      <c r="B4199">
        <v>5</v>
      </c>
      <c r="C4199" s="83">
        <v>19435434058</v>
      </c>
      <c r="D4199" t="s">
        <v>2089</v>
      </c>
      <c r="E4199">
        <v>60622352289</v>
      </c>
      <c r="F4199">
        <v>629627</v>
      </c>
      <c r="G4199">
        <v>55611052169</v>
      </c>
      <c r="H4199" t="s">
        <v>35</v>
      </c>
      <c r="I4199" s="36">
        <v>9594</v>
      </c>
      <c r="J4199" s="36">
        <v>9594</v>
      </c>
      <c r="K4199" s="85">
        <v>0</v>
      </c>
      <c r="L4199" s="36">
        <v>799.5</v>
      </c>
      <c r="M4199" s="36">
        <v>0</v>
      </c>
      <c r="N4199" s="36">
        <v>253.06</v>
      </c>
      <c r="O4199" s="36">
        <v>546.44000000000005</v>
      </c>
      <c r="P4199" t="s">
        <v>110</v>
      </c>
      <c r="Q4199" t="s">
        <v>111</v>
      </c>
      <c r="R4199" t="s">
        <v>111</v>
      </c>
      <c r="S4199" s="112">
        <v>46168</v>
      </c>
      <c r="T4199" s="112">
        <v>46168</v>
      </c>
      <c r="U4199" s="112">
        <v>46165</v>
      </c>
      <c r="V4199" s="112">
        <v>46532</v>
      </c>
      <c r="W4199" t="s">
        <v>38</v>
      </c>
      <c r="X4199">
        <v>12</v>
      </c>
      <c r="Y4199" t="s">
        <v>49</v>
      </c>
      <c r="Z4199" t="s">
        <v>81</v>
      </c>
      <c r="AA4199" t="s">
        <v>122</v>
      </c>
      <c r="AB4199">
        <v>12</v>
      </c>
      <c r="AC4199" t="s">
        <v>113</v>
      </c>
      <c r="AD4199" t="s">
        <v>131</v>
      </c>
      <c r="AE4199" t="s">
        <v>46</v>
      </c>
      <c r="AF4199" t="s">
        <v>96</v>
      </c>
      <c r="AG4199" t="str">
        <f t="shared" si="93"/>
        <v>Recorrente</v>
      </c>
      <c r="AH4199" t="str">
        <f t="shared" si="94"/>
        <v/>
      </c>
    </row>
    <row r="4200" spans="1:34">
      <c r="A4200">
        <v>2026</v>
      </c>
      <c r="B4200">
        <v>5</v>
      </c>
      <c r="C4200" s="83">
        <v>54896403712</v>
      </c>
      <c r="D4200" t="s">
        <v>3632</v>
      </c>
      <c r="E4200">
        <v>60253519204</v>
      </c>
      <c r="F4200">
        <v>637795</v>
      </c>
      <c r="G4200">
        <v>55255000891</v>
      </c>
      <c r="H4200" t="s">
        <v>35</v>
      </c>
      <c r="I4200" s="36">
        <v>9594</v>
      </c>
      <c r="J4200" s="36">
        <v>9594</v>
      </c>
      <c r="K4200" s="85">
        <v>0</v>
      </c>
      <c r="L4200" s="36">
        <v>799.5</v>
      </c>
      <c r="M4200" s="36">
        <v>799.5</v>
      </c>
      <c r="N4200" s="36">
        <v>0</v>
      </c>
      <c r="O4200" s="36">
        <v>0</v>
      </c>
      <c r="P4200" t="s">
        <v>129</v>
      </c>
      <c r="Q4200" t="s">
        <v>91</v>
      </c>
      <c r="R4200" t="s">
        <v>91</v>
      </c>
      <c r="S4200" s="112">
        <v>46156</v>
      </c>
      <c r="T4200" s="112">
        <v>46156</v>
      </c>
      <c r="V4200" s="112">
        <v>46536</v>
      </c>
      <c r="W4200" t="s">
        <v>38</v>
      </c>
      <c r="X4200">
        <v>12</v>
      </c>
      <c r="Y4200" t="s">
        <v>49</v>
      </c>
      <c r="AA4200" t="s">
        <v>92</v>
      </c>
      <c r="AB4200">
        <v>12</v>
      </c>
      <c r="AC4200" t="s">
        <v>93</v>
      </c>
      <c r="AD4200" t="s">
        <v>131</v>
      </c>
      <c r="AE4200" t="s">
        <v>46</v>
      </c>
      <c r="AF4200" t="s">
        <v>96</v>
      </c>
      <c r="AG4200" t="str">
        <f t="shared" si="93"/>
        <v>Recorrente</v>
      </c>
      <c r="AH4200" t="str">
        <f t="shared" si="94"/>
        <v/>
      </c>
    </row>
    <row r="4201" spans="1:34">
      <c r="A4201">
        <v>2026</v>
      </c>
      <c r="B4201">
        <v>5</v>
      </c>
      <c r="C4201" s="83">
        <v>55292608614</v>
      </c>
      <c r="D4201" t="s">
        <v>3633</v>
      </c>
      <c r="E4201">
        <v>60633635639</v>
      </c>
      <c r="F4201">
        <v>637969</v>
      </c>
      <c r="G4201">
        <v>55619192193</v>
      </c>
      <c r="H4201" t="s">
        <v>35</v>
      </c>
      <c r="I4201" s="36">
        <v>9594</v>
      </c>
      <c r="J4201" s="36">
        <v>9594</v>
      </c>
      <c r="K4201" s="85">
        <v>0</v>
      </c>
      <c r="L4201" s="36">
        <v>799.5</v>
      </c>
      <c r="M4201" s="36">
        <v>799.5</v>
      </c>
      <c r="N4201" s="36">
        <v>0</v>
      </c>
      <c r="O4201" s="36">
        <v>0</v>
      </c>
      <c r="Q4201" t="s">
        <v>498</v>
      </c>
      <c r="R4201" t="s">
        <v>498</v>
      </c>
      <c r="S4201" s="112">
        <v>46168</v>
      </c>
      <c r="T4201" s="112">
        <v>46168</v>
      </c>
      <c r="U4201" s="112"/>
      <c r="V4201" s="112">
        <v>46533</v>
      </c>
      <c r="W4201" t="s">
        <v>38</v>
      </c>
      <c r="X4201">
        <v>12</v>
      </c>
      <c r="Y4201" t="s">
        <v>49</v>
      </c>
      <c r="AA4201" t="s">
        <v>122</v>
      </c>
      <c r="AB4201">
        <v>12</v>
      </c>
      <c r="AC4201" t="s">
        <v>499</v>
      </c>
      <c r="AD4201" t="s">
        <v>131</v>
      </c>
      <c r="AE4201" t="s">
        <v>46</v>
      </c>
      <c r="AF4201" t="s">
        <v>96</v>
      </c>
      <c r="AG4201" t="str">
        <f t="shared" si="93"/>
        <v>Recorrente</v>
      </c>
      <c r="AH4201" t="str">
        <f t="shared" si="94"/>
        <v/>
      </c>
    </row>
    <row r="4202" spans="1:34">
      <c r="A4202">
        <v>2026</v>
      </c>
      <c r="B4202">
        <v>5</v>
      </c>
      <c r="C4202" s="83">
        <v>19435635608</v>
      </c>
      <c r="D4202" t="s">
        <v>3634</v>
      </c>
      <c r="E4202">
        <v>59040280142</v>
      </c>
      <c r="F4202">
        <v>315752</v>
      </c>
      <c r="G4202">
        <v>54175648429</v>
      </c>
      <c r="H4202" t="s">
        <v>35</v>
      </c>
      <c r="I4202" s="36">
        <v>9530.8799999999992</v>
      </c>
      <c r="J4202" s="36">
        <v>4765.4399999999996</v>
      </c>
      <c r="K4202" s="85">
        <v>4765.4399999999996</v>
      </c>
      <c r="L4202" s="36">
        <v>397.12</v>
      </c>
      <c r="M4202" s="36">
        <v>0</v>
      </c>
      <c r="N4202" s="36">
        <v>85.051666699999998</v>
      </c>
      <c r="O4202" s="36">
        <v>312.0733333</v>
      </c>
      <c r="P4202" t="s">
        <v>165</v>
      </c>
      <c r="Q4202" t="s">
        <v>166</v>
      </c>
      <c r="R4202" t="s">
        <v>166</v>
      </c>
      <c r="S4202" s="112">
        <v>46167</v>
      </c>
      <c r="T4202" s="112">
        <v>46167</v>
      </c>
      <c r="U4202" s="112">
        <v>46167</v>
      </c>
      <c r="V4202" s="112">
        <v>46898</v>
      </c>
      <c r="W4202" t="s">
        <v>56</v>
      </c>
      <c r="X4202">
        <v>24</v>
      </c>
      <c r="Y4202" t="s">
        <v>49</v>
      </c>
      <c r="Z4202" t="s">
        <v>81</v>
      </c>
      <c r="AA4202" t="s">
        <v>122</v>
      </c>
      <c r="AB4202">
        <v>24</v>
      </c>
      <c r="AC4202" t="s">
        <v>166</v>
      </c>
      <c r="AD4202" t="s">
        <v>149</v>
      </c>
      <c r="AE4202" t="s">
        <v>43</v>
      </c>
      <c r="AF4202" t="s">
        <v>96</v>
      </c>
      <c r="AG4202" t="str">
        <f t="shared" si="93"/>
        <v>Recorrente</v>
      </c>
      <c r="AH4202" t="str">
        <f t="shared" si="94"/>
        <v/>
      </c>
    </row>
    <row r="4203" spans="1:34">
      <c r="A4203">
        <v>2026</v>
      </c>
      <c r="B4203">
        <v>5</v>
      </c>
      <c r="C4203" s="83">
        <v>224809807384</v>
      </c>
      <c r="D4203" t="s">
        <v>3635</v>
      </c>
      <c r="E4203">
        <v>60698328983</v>
      </c>
      <c r="F4203">
        <v>638070</v>
      </c>
      <c r="G4203">
        <v>55685308246</v>
      </c>
      <c r="H4203" t="s">
        <v>35</v>
      </c>
      <c r="I4203" s="36">
        <v>9481.44</v>
      </c>
      <c r="J4203" s="36">
        <v>4740.7205999999996</v>
      </c>
      <c r="K4203" s="85">
        <v>4740.7194</v>
      </c>
      <c r="L4203" s="36">
        <v>395.06004999999999</v>
      </c>
      <c r="M4203" s="36">
        <v>395.06004999999999</v>
      </c>
      <c r="N4203" s="36">
        <v>0</v>
      </c>
      <c r="O4203" s="36">
        <v>0</v>
      </c>
      <c r="P4203" t="s">
        <v>2004</v>
      </c>
      <c r="Q4203" t="s">
        <v>300</v>
      </c>
      <c r="R4203" t="s">
        <v>300</v>
      </c>
      <c r="S4203" s="112">
        <v>46171</v>
      </c>
      <c r="T4203" s="112">
        <v>46171</v>
      </c>
      <c r="U4203" s="112"/>
      <c r="V4203" s="112">
        <v>46902</v>
      </c>
      <c r="W4203" t="s">
        <v>56</v>
      </c>
      <c r="X4203">
        <v>24</v>
      </c>
      <c r="Y4203" t="s">
        <v>49</v>
      </c>
      <c r="AA4203" t="s">
        <v>122</v>
      </c>
      <c r="AB4203">
        <v>24</v>
      </c>
      <c r="AC4203" t="s">
        <v>301</v>
      </c>
      <c r="AD4203" t="s">
        <v>85</v>
      </c>
      <c r="AE4203" t="s">
        <v>46</v>
      </c>
      <c r="AF4203" t="s">
        <v>44</v>
      </c>
      <c r="AG4203" t="str">
        <f t="shared" si="93"/>
        <v>Recorrente</v>
      </c>
      <c r="AH4203" t="str">
        <f t="shared" si="94"/>
        <v/>
      </c>
    </row>
    <row r="4204" spans="1:34">
      <c r="A4204">
        <v>2026</v>
      </c>
      <c r="B4204">
        <v>5</v>
      </c>
      <c r="C4204" s="83">
        <v>49068050987</v>
      </c>
      <c r="D4204" t="s">
        <v>695</v>
      </c>
      <c r="E4204">
        <v>59855883852</v>
      </c>
      <c r="F4204">
        <v>637553</v>
      </c>
      <c r="G4204">
        <v>54947605257</v>
      </c>
      <c r="H4204" t="s">
        <v>35</v>
      </c>
      <c r="I4204" s="36">
        <v>9452.16</v>
      </c>
      <c r="J4204" s="36">
        <v>9452.2103999999999</v>
      </c>
      <c r="K4204" s="85">
        <v>0</v>
      </c>
      <c r="L4204" s="36">
        <v>787.68420000000003</v>
      </c>
      <c r="M4204" s="36">
        <v>0</v>
      </c>
      <c r="N4204" s="36">
        <v>787.68420000000003</v>
      </c>
      <c r="O4204" s="36">
        <v>0</v>
      </c>
      <c r="P4204" t="s">
        <v>520</v>
      </c>
      <c r="Q4204" t="s">
        <v>191</v>
      </c>
      <c r="R4204" t="s">
        <v>191</v>
      </c>
      <c r="S4204" s="112">
        <v>46146</v>
      </c>
      <c r="T4204" s="112">
        <v>46146</v>
      </c>
      <c r="U4204" s="112"/>
      <c r="V4204" s="112">
        <v>46549</v>
      </c>
      <c r="W4204" t="s">
        <v>38</v>
      </c>
      <c r="X4204">
        <v>13</v>
      </c>
      <c r="Y4204" t="s">
        <v>49</v>
      </c>
      <c r="AA4204" t="s">
        <v>122</v>
      </c>
      <c r="AB4204">
        <v>12</v>
      </c>
      <c r="AC4204" t="s">
        <v>192</v>
      </c>
      <c r="AD4204" t="s">
        <v>351</v>
      </c>
      <c r="AE4204" t="s">
        <v>95</v>
      </c>
      <c r="AF4204" t="s">
        <v>96</v>
      </c>
      <c r="AG4204" t="str">
        <f t="shared" si="93"/>
        <v>Recorrente</v>
      </c>
      <c r="AH4204" t="str">
        <f t="shared" si="94"/>
        <v/>
      </c>
    </row>
    <row r="4205" spans="1:34">
      <c r="A4205">
        <v>2026</v>
      </c>
      <c r="B4205">
        <v>5</v>
      </c>
      <c r="C4205" s="83">
        <v>82024950817</v>
      </c>
      <c r="D4205" t="s">
        <v>3636</v>
      </c>
      <c r="E4205">
        <v>58726000538</v>
      </c>
      <c r="F4205">
        <v>322414</v>
      </c>
      <c r="G4205">
        <v>53895163505</v>
      </c>
      <c r="H4205" t="s">
        <v>35</v>
      </c>
      <c r="I4205" s="36">
        <v>9445.44</v>
      </c>
      <c r="J4205" s="36">
        <v>9445.44</v>
      </c>
      <c r="K4205" s="85">
        <v>0</v>
      </c>
      <c r="L4205" s="36">
        <v>787.12</v>
      </c>
      <c r="M4205" s="36">
        <v>0</v>
      </c>
      <c r="N4205" s="36">
        <v>108.825</v>
      </c>
      <c r="O4205" s="36">
        <v>678.3</v>
      </c>
      <c r="P4205" t="s">
        <v>165</v>
      </c>
      <c r="Q4205" t="s">
        <v>166</v>
      </c>
      <c r="R4205" t="s">
        <v>166</v>
      </c>
      <c r="S4205" s="112">
        <v>46160</v>
      </c>
      <c r="T4205" s="112">
        <v>46160</v>
      </c>
      <c r="U4205" s="112">
        <v>46160</v>
      </c>
      <c r="V4205" s="112">
        <v>46525</v>
      </c>
      <c r="W4205" t="s">
        <v>38</v>
      </c>
      <c r="X4205">
        <v>12</v>
      </c>
      <c r="Y4205" t="s">
        <v>49</v>
      </c>
      <c r="Z4205" t="s">
        <v>81</v>
      </c>
      <c r="AA4205" t="s">
        <v>122</v>
      </c>
      <c r="AB4205">
        <v>12</v>
      </c>
      <c r="AC4205" t="s">
        <v>166</v>
      </c>
      <c r="AD4205" t="s">
        <v>146</v>
      </c>
      <c r="AE4205" t="s">
        <v>135</v>
      </c>
      <c r="AF4205" t="s">
        <v>96</v>
      </c>
      <c r="AG4205" t="str">
        <f t="shared" si="93"/>
        <v>Recorrente</v>
      </c>
      <c r="AH4205" t="str">
        <f t="shared" si="94"/>
        <v/>
      </c>
    </row>
    <row r="4206" spans="1:34">
      <c r="A4206">
        <v>2026</v>
      </c>
      <c r="B4206">
        <v>5</v>
      </c>
      <c r="C4206" s="83">
        <v>160088984583</v>
      </c>
      <c r="D4206" t="s">
        <v>3637</v>
      </c>
      <c r="E4206">
        <v>51023996176</v>
      </c>
      <c r="F4206">
        <v>638043</v>
      </c>
      <c r="G4206">
        <v>55660891505</v>
      </c>
      <c r="H4206" t="s">
        <v>35</v>
      </c>
      <c r="I4206" s="36">
        <v>9373.68</v>
      </c>
      <c r="J4206" s="36">
        <v>4686.8999999999996</v>
      </c>
      <c r="K4206" s="85">
        <v>4686.78</v>
      </c>
      <c r="L4206" s="36">
        <v>390.57499999999999</v>
      </c>
      <c r="M4206" s="36">
        <v>390.57499999999999</v>
      </c>
      <c r="N4206" s="36">
        <v>0</v>
      </c>
      <c r="O4206" s="36">
        <v>0</v>
      </c>
      <c r="P4206" t="s">
        <v>2004</v>
      </c>
      <c r="Q4206" t="s">
        <v>300</v>
      </c>
      <c r="R4206" t="s">
        <v>300</v>
      </c>
      <c r="S4206" s="112">
        <v>46170</v>
      </c>
      <c r="T4206" s="112">
        <v>46170</v>
      </c>
      <c r="U4206" s="112"/>
      <c r="V4206" s="112">
        <v>46901</v>
      </c>
      <c r="W4206" t="s">
        <v>56</v>
      </c>
      <c r="X4206">
        <v>24</v>
      </c>
      <c r="Y4206" t="s">
        <v>49</v>
      </c>
      <c r="AA4206" t="s">
        <v>122</v>
      </c>
      <c r="AB4206">
        <v>24</v>
      </c>
      <c r="AC4206" t="s">
        <v>301</v>
      </c>
      <c r="AD4206" t="s">
        <v>138</v>
      </c>
      <c r="AE4206" t="s">
        <v>135</v>
      </c>
      <c r="AF4206" t="s">
        <v>119</v>
      </c>
      <c r="AG4206" t="str">
        <f t="shared" si="93"/>
        <v>Recorrente</v>
      </c>
      <c r="AH4206" t="str">
        <f t="shared" si="94"/>
        <v/>
      </c>
    </row>
    <row r="4207" spans="1:34">
      <c r="A4207">
        <v>2026</v>
      </c>
      <c r="B4207">
        <v>5</v>
      </c>
      <c r="C4207" s="83">
        <v>2265501</v>
      </c>
      <c r="D4207" t="s">
        <v>3638</v>
      </c>
      <c r="E4207">
        <v>60233813010</v>
      </c>
      <c r="F4207">
        <v>637762</v>
      </c>
      <c r="G4207">
        <v>55242907054</v>
      </c>
      <c r="H4207" t="s">
        <v>35</v>
      </c>
      <c r="I4207" s="36">
        <v>9373.68</v>
      </c>
      <c r="J4207" s="36">
        <v>4686.8999999999996</v>
      </c>
      <c r="K4207" s="85">
        <v>4686.78</v>
      </c>
      <c r="L4207" s="36">
        <v>390.57499999999999</v>
      </c>
      <c r="M4207" s="36">
        <v>390.57499999999999</v>
      </c>
      <c r="N4207" s="36">
        <v>0</v>
      </c>
      <c r="O4207" s="36">
        <v>0</v>
      </c>
      <c r="P4207" t="s">
        <v>2004</v>
      </c>
      <c r="Q4207" t="s">
        <v>300</v>
      </c>
      <c r="R4207" t="s">
        <v>300</v>
      </c>
      <c r="S4207" s="112">
        <v>46155</v>
      </c>
      <c r="T4207" s="112">
        <v>46155</v>
      </c>
      <c r="U4207" s="112"/>
      <c r="V4207" s="112">
        <v>46886</v>
      </c>
      <c r="W4207" t="s">
        <v>56</v>
      </c>
      <c r="X4207">
        <v>24</v>
      </c>
      <c r="Y4207" t="s">
        <v>49</v>
      </c>
      <c r="AA4207" t="s">
        <v>122</v>
      </c>
      <c r="AB4207">
        <v>24</v>
      </c>
      <c r="AC4207" t="s">
        <v>301</v>
      </c>
      <c r="AD4207" t="s">
        <v>138</v>
      </c>
      <c r="AE4207" t="s">
        <v>135</v>
      </c>
      <c r="AF4207" t="s">
        <v>119</v>
      </c>
      <c r="AG4207" t="str">
        <f t="shared" si="93"/>
        <v>Recorrente</v>
      </c>
      <c r="AH4207" t="str">
        <f t="shared" si="94"/>
        <v/>
      </c>
    </row>
    <row r="4208" spans="1:34">
      <c r="A4208">
        <v>2026</v>
      </c>
      <c r="B4208">
        <v>5</v>
      </c>
      <c r="C4208" s="83">
        <v>163479019882</v>
      </c>
      <c r="D4208" t="s">
        <v>3639</v>
      </c>
      <c r="E4208">
        <v>58669675856</v>
      </c>
      <c r="F4208">
        <v>615606</v>
      </c>
      <c r="G4208">
        <v>53838348213</v>
      </c>
      <c r="H4208" t="s">
        <v>35</v>
      </c>
      <c r="I4208" s="36">
        <v>9354</v>
      </c>
      <c r="J4208" s="36">
        <v>9354</v>
      </c>
      <c r="K4208" s="85">
        <v>0</v>
      </c>
      <c r="L4208" s="36">
        <v>779.5</v>
      </c>
      <c r="M4208" s="36">
        <v>0</v>
      </c>
      <c r="N4208" s="36">
        <v>40.5</v>
      </c>
      <c r="O4208" s="36">
        <v>739</v>
      </c>
      <c r="P4208" t="s">
        <v>165</v>
      </c>
      <c r="Q4208" t="s">
        <v>166</v>
      </c>
      <c r="R4208" t="s">
        <v>166</v>
      </c>
      <c r="S4208" s="112">
        <v>46159</v>
      </c>
      <c r="T4208" s="112">
        <v>46159</v>
      </c>
      <c r="U4208" s="112">
        <v>46159</v>
      </c>
      <c r="V4208" s="112">
        <v>46524</v>
      </c>
      <c r="W4208" t="s">
        <v>38</v>
      </c>
      <c r="X4208">
        <v>12</v>
      </c>
      <c r="Y4208" t="s">
        <v>49</v>
      </c>
      <c r="Z4208" t="s">
        <v>81</v>
      </c>
      <c r="AA4208" t="s">
        <v>122</v>
      </c>
      <c r="AB4208">
        <v>12</v>
      </c>
      <c r="AC4208" t="s">
        <v>166</v>
      </c>
      <c r="AD4208" t="s">
        <v>134</v>
      </c>
      <c r="AE4208" t="s">
        <v>135</v>
      </c>
      <c r="AF4208" t="s">
        <v>44</v>
      </c>
      <c r="AG4208" t="str">
        <f t="shared" si="93"/>
        <v>Recorrente</v>
      </c>
      <c r="AH4208" t="str">
        <f t="shared" si="94"/>
        <v/>
      </c>
    </row>
    <row r="4209" spans="1:34">
      <c r="A4209">
        <v>2026</v>
      </c>
      <c r="B4209">
        <v>5</v>
      </c>
      <c r="C4209" s="83">
        <v>36727789465</v>
      </c>
      <c r="D4209" t="s">
        <v>3640</v>
      </c>
      <c r="E4209">
        <v>58157740977</v>
      </c>
      <c r="F4209">
        <v>314218</v>
      </c>
      <c r="G4209">
        <v>53373603888</v>
      </c>
      <c r="H4209" t="s">
        <v>35</v>
      </c>
      <c r="I4209" s="36">
        <v>9354</v>
      </c>
      <c r="J4209" s="36">
        <v>9354</v>
      </c>
      <c r="K4209" s="85">
        <v>0</v>
      </c>
      <c r="L4209" s="36">
        <v>779.5</v>
      </c>
      <c r="M4209" s="36">
        <v>0</v>
      </c>
      <c r="N4209" s="36">
        <v>114.4</v>
      </c>
      <c r="O4209" s="36">
        <v>665.1</v>
      </c>
      <c r="P4209" t="s">
        <v>165</v>
      </c>
      <c r="Q4209" t="s">
        <v>166</v>
      </c>
      <c r="R4209" t="s">
        <v>166</v>
      </c>
      <c r="S4209" s="112">
        <v>46146</v>
      </c>
      <c r="T4209" s="112">
        <v>46146</v>
      </c>
      <c r="U4209" s="112">
        <v>46146</v>
      </c>
      <c r="V4209" s="112">
        <v>46511</v>
      </c>
      <c r="W4209" t="s">
        <v>38</v>
      </c>
      <c r="X4209">
        <v>12</v>
      </c>
      <c r="Y4209" t="s">
        <v>49</v>
      </c>
      <c r="Z4209" t="s">
        <v>81</v>
      </c>
      <c r="AA4209" t="s">
        <v>122</v>
      </c>
      <c r="AB4209">
        <v>12</v>
      </c>
      <c r="AC4209" t="s">
        <v>166</v>
      </c>
      <c r="AD4209" t="s">
        <v>134</v>
      </c>
      <c r="AE4209" t="s">
        <v>135</v>
      </c>
      <c r="AF4209" t="s">
        <v>44</v>
      </c>
      <c r="AG4209" t="str">
        <f t="shared" si="93"/>
        <v>Recorrente</v>
      </c>
      <c r="AH4209" t="str">
        <f t="shared" si="94"/>
        <v/>
      </c>
    </row>
    <row r="4210" spans="1:34">
      <c r="A4210">
        <v>2026</v>
      </c>
      <c r="B4210">
        <v>5</v>
      </c>
      <c r="C4210" s="83">
        <v>31753268049</v>
      </c>
      <c r="D4210" t="s">
        <v>3414</v>
      </c>
      <c r="E4210">
        <v>60236787006</v>
      </c>
      <c r="F4210">
        <v>637785</v>
      </c>
      <c r="G4210">
        <v>55244683102</v>
      </c>
      <c r="H4210" t="s">
        <v>35</v>
      </c>
      <c r="I4210" s="36">
        <v>9206.4</v>
      </c>
      <c r="J4210" s="36">
        <v>4603.2</v>
      </c>
      <c r="K4210" s="85">
        <v>4603.2</v>
      </c>
      <c r="L4210" s="36">
        <v>383.6</v>
      </c>
      <c r="M4210" s="36">
        <v>0</v>
      </c>
      <c r="N4210" s="36">
        <v>63.070560329999999</v>
      </c>
      <c r="O4210" s="36">
        <v>320.52943970000001</v>
      </c>
      <c r="P4210" t="s">
        <v>127</v>
      </c>
      <c r="Q4210" t="s">
        <v>111</v>
      </c>
      <c r="R4210" t="s">
        <v>111</v>
      </c>
      <c r="S4210" s="112">
        <v>46156</v>
      </c>
      <c r="T4210" s="112">
        <v>46156</v>
      </c>
      <c r="U4210" s="112"/>
      <c r="V4210" s="112">
        <v>46887</v>
      </c>
      <c r="W4210" t="s">
        <v>56</v>
      </c>
      <c r="Y4210" t="s">
        <v>49</v>
      </c>
      <c r="AA4210" t="s">
        <v>122</v>
      </c>
      <c r="AB4210">
        <v>24</v>
      </c>
      <c r="AC4210" t="s">
        <v>113</v>
      </c>
      <c r="AD4210" t="s">
        <v>85</v>
      </c>
      <c r="AE4210" t="s">
        <v>46</v>
      </c>
      <c r="AF4210" t="s">
        <v>44</v>
      </c>
      <c r="AG4210" t="str">
        <f t="shared" si="93"/>
        <v>Recorrente</v>
      </c>
      <c r="AH4210" t="str">
        <f t="shared" si="94"/>
        <v/>
      </c>
    </row>
    <row r="4211" spans="1:34">
      <c r="A4211">
        <v>2026</v>
      </c>
      <c r="B4211">
        <v>5</v>
      </c>
      <c r="C4211" s="83">
        <v>54751411584</v>
      </c>
      <c r="D4211" t="s">
        <v>3641</v>
      </c>
      <c r="E4211">
        <v>60036778537</v>
      </c>
      <c r="F4211">
        <v>637619</v>
      </c>
      <c r="G4211">
        <v>55090763112</v>
      </c>
      <c r="H4211" t="s">
        <v>35</v>
      </c>
      <c r="I4211" s="36">
        <v>9114.24</v>
      </c>
      <c r="J4211" s="36">
        <v>9114.2999999999993</v>
      </c>
      <c r="K4211" s="85">
        <v>0</v>
      </c>
      <c r="L4211" s="36">
        <v>759.52499999999998</v>
      </c>
      <c r="M4211" s="36">
        <v>759.52499999999998</v>
      </c>
      <c r="N4211" s="36">
        <v>0</v>
      </c>
      <c r="O4211" s="36">
        <v>0</v>
      </c>
      <c r="P4211" t="s">
        <v>3642</v>
      </c>
      <c r="Q4211" t="s">
        <v>300</v>
      </c>
      <c r="R4211" t="s">
        <v>300</v>
      </c>
      <c r="S4211" s="112">
        <v>46149</v>
      </c>
      <c r="T4211" s="112">
        <v>46149</v>
      </c>
      <c r="U4211" s="112"/>
      <c r="V4211" s="112">
        <v>46514</v>
      </c>
      <c r="W4211" t="s">
        <v>38</v>
      </c>
      <c r="X4211">
        <v>12</v>
      </c>
      <c r="Y4211" t="s">
        <v>49</v>
      </c>
      <c r="AA4211" t="s">
        <v>122</v>
      </c>
      <c r="AB4211">
        <v>12</v>
      </c>
      <c r="AC4211" t="s">
        <v>301</v>
      </c>
      <c r="AD4211" t="s">
        <v>131</v>
      </c>
      <c r="AE4211" t="s">
        <v>46</v>
      </c>
      <c r="AF4211" t="s">
        <v>96</v>
      </c>
      <c r="AG4211" t="str">
        <f t="shared" si="93"/>
        <v>Recorrente</v>
      </c>
      <c r="AH4211" t="str">
        <f t="shared" si="94"/>
        <v/>
      </c>
    </row>
    <row r="4212" spans="1:34">
      <c r="A4212">
        <v>2026</v>
      </c>
      <c r="B4212">
        <v>5</v>
      </c>
      <c r="C4212" s="83">
        <v>135565224344</v>
      </c>
      <c r="D4212" t="s">
        <v>3643</v>
      </c>
      <c r="E4212">
        <v>60036169596</v>
      </c>
      <c r="F4212">
        <v>535606</v>
      </c>
      <c r="G4212">
        <v>55625910798</v>
      </c>
      <c r="H4212" t="s">
        <v>35</v>
      </c>
      <c r="I4212" s="36">
        <v>9061.2000000000007</v>
      </c>
      <c r="J4212" s="36">
        <v>4530.6000000000004</v>
      </c>
      <c r="K4212" s="85">
        <v>4530.6000000000004</v>
      </c>
      <c r="L4212" s="36">
        <v>377.55</v>
      </c>
      <c r="M4212" s="36">
        <v>0</v>
      </c>
      <c r="N4212" s="36">
        <v>71.25</v>
      </c>
      <c r="O4212" s="36">
        <v>306.3</v>
      </c>
      <c r="P4212" t="s">
        <v>121</v>
      </c>
      <c r="Q4212" t="s">
        <v>111</v>
      </c>
      <c r="R4212" t="s">
        <v>111</v>
      </c>
      <c r="S4212" s="112">
        <v>46168</v>
      </c>
      <c r="T4212" s="112">
        <v>46168</v>
      </c>
      <c r="U4212" s="112">
        <v>46164</v>
      </c>
      <c r="V4212" s="112">
        <v>46899</v>
      </c>
      <c r="W4212" t="s">
        <v>56</v>
      </c>
      <c r="X4212">
        <v>24</v>
      </c>
      <c r="Y4212" t="s">
        <v>49</v>
      </c>
      <c r="Z4212" t="s">
        <v>76</v>
      </c>
      <c r="AA4212" t="s">
        <v>122</v>
      </c>
      <c r="AB4212">
        <v>24</v>
      </c>
      <c r="AC4212" t="s">
        <v>113</v>
      </c>
      <c r="AD4212" t="s">
        <v>84</v>
      </c>
      <c r="AE4212" t="s">
        <v>43</v>
      </c>
      <c r="AF4212" t="s">
        <v>44</v>
      </c>
      <c r="AG4212" t="str">
        <f t="shared" si="93"/>
        <v>Recorrente</v>
      </c>
      <c r="AH4212" t="str">
        <f t="shared" si="94"/>
        <v/>
      </c>
    </row>
    <row r="4213" spans="1:34">
      <c r="A4213">
        <v>2026</v>
      </c>
      <c r="B4213">
        <v>5</v>
      </c>
      <c r="C4213" s="83">
        <v>217313524024</v>
      </c>
      <c r="D4213" t="s">
        <v>3644</v>
      </c>
      <c r="E4213">
        <v>60654901828</v>
      </c>
      <c r="F4213">
        <v>638021</v>
      </c>
      <c r="G4213">
        <v>55644771760</v>
      </c>
      <c r="H4213" t="s">
        <v>35</v>
      </c>
      <c r="I4213" s="36">
        <v>8848.92</v>
      </c>
      <c r="J4213" s="36">
        <v>4204.884</v>
      </c>
      <c r="K4213" s="85">
        <v>4644.0360000000001</v>
      </c>
      <c r="L4213" s="36">
        <v>350.40699999999998</v>
      </c>
      <c r="M4213" s="36">
        <v>0</v>
      </c>
      <c r="N4213" s="36">
        <v>350.40699999999998</v>
      </c>
      <c r="O4213" s="36">
        <v>0</v>
      </c>
      <c r="P4213" t="s">
        <v>323</v>
      </c>
      <c r="Q4213" t="s">
        <v>191</v>
      </c>
      <c r="R4213" t="s">
        <v>191</v>
      </c>
      <c r="S4213" s="112">
        <v>46169</v>
      </c>
      <c r="T4213" s="112">
        <v>46169</v>
      </c>
      <c r="U4213" s="112"/>
      <c r="V4213" s="112">
        <v>46534</v>
      </c>
      <c r="W4213" t="s">
        <v>38</v>
      </c>
      <c r="Y4213" t="s">
        <v>49</v>
      </c>
      <c r="AA4213" t="s">
        <v>122</v>
      </c>
      <c r="AB4213">
        <v>12</v>
      </c>
      <c r="AC4213" t="s">
        <v>192</v>
      </c>
      <c r="AD4213" t="s">
        <v>134</v>
      </c>
      <c r="AE4213" t="s">
        <v>135</v>
      </c>
      <c r="AF4213" t="s">
        <v>44</v>
      </c>
      <c r="AG4213" t="str">
        <f t="shared" si="93"/>
        <v>Recorrente</v>
      </c>
      <c r="AH4213" t="str">
        <f t="shared" si="94"/>
        <v/>
      </c>
    </row>
    <row r="4214" spans="1:34">
      <c r="A4214">
        <v>2026</v>
      </c>
      <c r="B4214">
        <v>5</v>
      </c>
      <c r="C4214" s="83">
        <v>144872976916</v>
      </c>
      <c r="D4214" t="s">
        <v>3581</v>
      </c>
      <c r="E4214">
        <v>60650853481</v>
      </c>
      <c r="F4214">
        <v>638034</v>
      </c>
      <c r="G4214">
        <v>55647337280</v>
      </c>
      <c r="H4214" t="s">
        <v>35</v>
      </c>
      <c r="I4214" s="36">
        <v>8814.48</v>
      </c>
      <c r="J4214" s="36">
        <v>1363.981749</v>
      </c>
      <c r="K4214" s="85">
        <v>7450.498251</v>
      </c>
      <c r="L4214" s="36">
        <v>113.6651457</v>
      </c>
      <c r="M4214" s="36">
        <v>0</v>
      </c>
      <c r="N4214" s="36">
        <v>113.6651457</v>
      </c>
      <c r="O4214" s="36">
        <v>0</v>
      </c>
      <c r="P4214" t="s">
        <v>367</v>
      </c>
      <c r="Q4214" t="s">
        <v>191</v>
      </c>
      <c r="R4214" t="s">
        <v>191</v>
      </c>
      <c r="S4214" s="112">
        <v>46170</v>
      </c>
      <c r="T4214" s="112">
        <v>46170</v>
      </c>
      <c r="U4214" s="112"/>
      <c r="V4214" s="112">
        <v>46901</v>
      </c>
      <c r="W4214" t="s">
        <v>56</v>
      </c>
      <c r="Y4214" t="s">
        <v>49</v>
      </c>
      <c r="AA4214" t="s">
        <v>122</v>
      </c>
      <c r="AB4214">
        <v>24</v>
      </c>
      <c r="AC4214" t="s">
        <v>192</v>
      </c>
      <c r="AD4214" t="s">
        <v>85</v>
      </c>
      <c r="AE4214" t="s">
        <v>46</v>
      </c>
      <c r="AF4214" t="s">
        <v>44</v>
      </c>
      <c r="AG4214" t="str">
        <f t="shared" ref="AG4214:AG4277" si="95">IF(IFERROR(SEARCH("Recorrente",AA4214),0)&gt;0,"Recorrente",IF(AB4214=1,"À Vista",IF(AB4214&lt;=3,"CC 3x",IF(AB4214&lt;=12,"CC 12x",IF(AB4214&gt;12,"Recorrente","")))))</f>
        <v>Recorrente</v>
      </c>
      <c r="AH4214" t="str">
        <f t="shared" ref="AH4214:AH4277" si="96">IF(AND(SUMIF(E:E,E4214,I:I)&gt;=400000,Q4214="B2G"),"n","")</f>
        <v/>
      </c>
    </row>
    <row r="4215" spans="1:34">
      <c r="A4215">
        <v>2026</v>
      </c>
      <c r="B4215">
        <v>5</v>
      </c>
      <c r="C4215" s="83">
        <v>165985900644</v>
      </c>
      <c r="D4215" t="s">
        <v>3645</v>
      </c>
      <c r="E4215">
        <v>59146616660</v>
      </c>
      <c r="F4215">
        <v>511112</v>
      </c>
      <c r="G4215">
        <v>55061280658</v>
      </c>
      <c r="H4215" t="s">
        <v>35</v>
      </c>
      <c r="I4215" s="36">
        <v>8630.8799999999992</v>
      </c>
      <c r="J4215" s="36">
        <v>4315.4399999999996</v>
      </c>
      <c r="K4215" s="85">
        <v>4315.4399999999996</v>
      </c>
      <c r="L4215" s="36">
        <v>359.62</v>
      </c>
      <c r="M4215" s="36">
        <v>0</v>
      </c>
      <c r="N4215" s="36">
        <v>77.370416700000007</v>
      </c>
      <c r="O4215" s="36">
        <v>282.25458329999998</v>
      </c>
      <c r="P4215" t="s">
        <v>137</v>
      </c>
      <c r="Q4215" t="s">
        <v>111</v>
      </c>
      <c r="R4215" t="s">
        <v>111</v>
      </c>
      <c r="S4215" s="112">
        <v>46147</v>
      </c>
      <c r="T4215" s="112">
        <v>46147</v>
      </c>
      <c r="U4215" s="112">
        <v>46164</v>
      </c>
      <c r="V4215" s="112">
        <v>46895</v>
      </c>
      <c r="W4215" t="s">
        <v>56</v>
      </c>
      <c r="X4215">
        <v>24</v>
      </c>
      <c r="Y4215" t="s">
        <v>49</v>
      </c>
      <c r="Z4215" t="s">
        <v>81</v>
      </c>
      <c r="AA4215" t="s">
        <v>122</v>
      </c>
      <c r="AB4215">
        <v>24</v>
      </c>
      <c r="AC4215" t="s">
        <v>113</v>
      </c>
      <c r="AD4215" t="s">
        <v>85</v>
      </c>
      <c r="AE4215" t="s">
        <v>46</v>
      </c>
      <c r="AF4215" t="s">
        <v>44</v>
      </c>
      <c r="AG4215" t="str">
        <f t="shared" si="95"/>
        <v>Recorrente</v>
      </c>
      <c r="AH4215" t="str">
        <f t="shared" si="96"/>
        <v/>
      </c>
    </row>
    <row r="4216" spans="1:34">
      <c r="A4216">
        <v>2026</v>
      </c>
      <c r="B4216">
        <v>5</v>
      </c>
      <c r="C4216" s="83">
        <v>173815614562</v>
      </c>
      <c r="D4216" t="s">
        <v>3646</v>
      </c>
      <c r="E4216">
        <v>58721818270</v>
      </c>
      <c r="F4216">
        <v>323108</v>
      </c>
      <c r="G4216">
        <v>53882363515</v>
      </c>
      <c r="H4216" t="s">
        <v>35</v>
      </c>
      <c r="I4216" s="36">
        <v>8630.8799999999992</v>
      </c>
      <c r="J4216" s="36">
        <v>4315.4399999999996</v>
      </c>
      <c r="K4216" s="85">
        <v>4315.4399999999996</v>
      </c>
      <c r="L4216" s="36">
        <v>359.62</v>
      </c>
      <c r="M4216" s="36">
        <v>0</v>
      </c>
      <c r="N4216" s="36">
        <v>76.717500000000001</v>
      </c>
      <c r="O4216" s="36">
        <v>282.90750000000003</v>
      </c>
      <c r="P4216" t="s">
        <v>165</v>
      </c>
      <c r="Q4216" t="s">
        <v>166</v>
      </c>
      <c r="R4216" t="s">
        <v>166</v>
      </c>
      <c r="S4216" s="112">
        <v>46160</v>
      </c>
      <c r="T4216" s="112">
        <v>46160</v>
      </c>
      <c r="U4216" s="112">
        <v>46160</v>
      </c>
      <c r="V4216" s="112">
        <v>46891</v>
      </c>
      <c r="W4216" t="s">
        <v>56</v>
      </c>
      <c r="X4216">
        <v>24</v>
      </c>
      <c r="Y4216" t="s">
        <v>49</v>
      </c>
      <c r="Z4216" t="s">
        <v>81</v>
      </c>
      <c r="AA4216" t="s">
        <v>122</v>
      </c>
      <c r="AB4216">
        <v>24</v>
      </c>
      <c r="AC4216" t="s">
        <v>166</v>
      </c>
      <c r="AD4216" t="s">
        <v>85</v>
      </c>
      <c r="AE4216" t="s">
        <v>46</v>
      </c>
      <c r="AF4216" t="s">
        <v>44</v>
      </c>
      <c r="AG4216" t="str">
        <f t="shared" si="95"/>
        <v>Recorrente</v>
      </c>
      <c r="AH4216" t="str">
        <f t="shared" si="96"/>
        <v/>
      </c>
    </row>
    <row r="4217" spans="1:34">
      <c r="A4217">
        <v>2026</v>
      </c>
      <c r="B4217">
        <v>5</v>
      </c>
      <c r="C4217" s="83">
        <v>19485560094</v>
      </c>
      <c r="D4217" t="s">
        <v>3612</v>
      </c>
      <c r="E4217">
        <v>60174747702</v>
      </c>
      <c r="F4217">
        <v>637751</v>
      </c>
      <c r="G4217">
        <v>55237400441</v>
      </c>
      <c r="H4217" t="s">
        <v>35</v>
      </c>
      <c r="I4217" s="36">
        <v>8630.8799999999992</v>
      </c>
      <c r="J4217" s="36">
        <v>1687.2293709999999</v>
      </c>
      <c r="K4217" s="85">
        <v>6943.6506289999998</v>
      </c>
      <c r="L4217" s="36">
        <v>140.6024476</v>
      </c>
      <c r="M4217" s="36">
        <v>0</v>
      </c>
      <c r="N4217" s="36">
        <v>140.6024476</v>
      </c>
      <c r="O4217" s="36">
        <v>0</v>
      </c>
      <c r="P4217" t="s">
        <v>520</v>
      </c>
      <c r="Q4217" t="s">
        <v>191</v>
      </c>
      <c r="R4217" t="s">
        <v>191</v>
      </c>
      <c r="S4217" s="112">
        <v>46154</v>
      </c>
      <c r="T4217" s="112">
        <v>46154</v>
      </c>
      <c r="U4217" s="112"/>
      <c r="V4217" s="112">
        <v>46886</v>
      </c>
      <c r="W4217" t="s">
        <v>56</v>
      </c>
      <c r="Y4217" t="s">
        <v>49</v>
      </c>
      <c r="AA4217" t="s">
        <v>122</v>
      </c>
      <c r="AB4217">
        <v>24</v>
      </c>
      <c r="AC4217" t="s">
        <v>192</v>
      </c>
      <c r="AD4217" t="s">
        <v>85</v>
      </c>
      <c r="AE4217" t="s">
        <v>46</v>
      </c>
      <c r="AF4217" t="s">
        <v>44</v>
      </c>
      <c r="AG4217" t="str">
        <f t="shared" si="95"/>
        <v>Recorrente</v>
      </c>
      <c r="AH4217" t="str">
        <f t="shared" si="96"/>
        <v/>
      </c>
    </row>
    <row r="4218" spans="1:34">
      <c r="A4218">
        <v>2026</v>
      </c>
      <c r="B4218">
        <v>5</v>
      </c>
      <c r="C4218" s="83">
        <v>222979834681</v>
      </c>
      <c r="D4218" t="s">
        <v>3647</v>
      </c>
      <c r="E4218">
        <v>58647333712</v>
      </c>
      <c r="F4218">
        <v>510680</v>
      </c>
      <c r="G4218">
        <v>53831507774</v>
      </c>
      <c r="H4218" t="s">
        <v>35</v>
      </c>
      <c r="I4218" s="36">
        <v>8630.8799999999992</v>
      </c>
      <c r="J4218" s="36">
        <v>4315.4399999999996</v>
      </c>
      <c r="K4218" s="85">
        <v>4315.4399999999996</v>
      </c>
      <c r="L4218" s="36">
        <v>359.62</v>
      </c>
      <c r="M4218" s="36">
        <v>0</v>
      </c>
      <c r="N4218" s="36">
        <v>76.714583300000001</v>
      </c>
      <c r="O4218" s="36">
        <v>282.91041669999998</v>
      </c>
      <c r="P4218" t="s">
        <v>165</v>
      </c>
      <c r="Q4218" t="s">
        <v>166</v>
      </c>
      <c r="R4218" t="s">
        <v>166</v>
      </c>
      <c r="S4218" s="112">
        <v>46158</v>
      </c>
      <c r="T4218" s="112">
        <v>46158</v>
      </c>
      <c r="U4218" s="112">
        <v>46158</v>
      </c>
      <c r="V4218" s="112">
        <v>46889</v>
      </c>
      <c r="W4218" t="s">
        <v>56</v>
      </c>
      <c r="X4218">
        <v>24</v>
      </c>
      <c r="Y4218" t="s">
        <v>49</v>
      </c>
      <c r="Z4218" t="s">
        <v>81</v>
      </c>
      <c r="AA4218" t="s">
        <v>122</v>
      </c>
      <c r="AB4218">
        <v>24</v>
      </c>
      <c r="AC4218" t="s">
        <v>166</v>
      </c>
      <c r="AD4218" t="s">
        <v>85</v>
      </c>
      <c r="AE4218" t="s">
        <v>46</v>
      </c>
      <c r="AF4218" t="s">
        <v>44</v>
      </c>
      <c r="AG4218" t="str">
        <f t="shared" si="95"/>
        <v>Recorrente</v>
      </c>
      <c r="AH4218" t="str">
        <f t="shared" si="96"/>
        <v/>
      </c>
    </row>
    <row r="4219" spans="1:34">
      <c r="A4219">
        <v>2026</v>
      </c>
      <c r="B4219">
        <v>5</v>
      </c>
      <c r="C4219" s="83">
        <v>2111530</v>
      </c>
      <c r="D4219" t="s">
        <v>3648</v>
      </c>
      <c r="E4219">
        <v>60167350646</v>
      </c>
      <c r="F4219">
        <v>534636</v>
      </c>
      <c r="G4219">
        <v>55245693365</v>
      </c>
      <c r="H4219" t="s">
        <v>35</v>
      </c>
      <c r="I4219" s="36">
        <v>8605.68</v>
      </c>
      <c r="J4219" s="36">
        <v>8605.68</v>
      </c>
      <c r="K4219" s="85">
        <v>0</v>
      </c>
      <c r="L4219" s="36">
        <v>717.14</v>
      </c>
      <c r="M4219" s="36">
        <v>0</v>
      </c>
      <c r="N4219" s="36">
        <v>15.09</v>
      </c>
      <c r="O4219" s="36">
        <v>702.05</v>
      </c>
      <c r="P4219" t="s">
        <v>133</v>
      </c>
      <c r="Q4219" t="s">
        <v>111</v>
      </c>
      <c r="R4219" t="s">
        <v>111</v>
      </c>
      <c r="S4219" s="112">
        <v>46162</v>
      </c>
      <c r="T4219" s="112">
        <v>46162</v>
      </c>
      <c r="U4219" s="112">
        <v>46152</v>
      </c>
      <c r="V4219" s="112">
        <v>46527</v>
      </c>
      <c r="W4219" t="s">
        <v>38</v>
      </c>
      <c r="X4219">
        <v>12</v>
      </c>
      <c r="Y4219" t="s">
        <v>49</v>
      </c>
      <c r="Z4219" t="s">
        <v>81</v>
      </c>
      <c r="AA4219" t="s">
        <v>122</v>
      </c>
      <c r="AB4219">
        <v>12</v>
      </c>
      <c r="AC4219" t="s">
        <v>113</v>
      </c>
      <c r="AD4219" t="s">
        <v>134</v>
      </c>
      <c r="AE4219" t="s">
        <v>135</v>
      </c>
      <c r="AF4219" t="s">
        <v>44</v>
      </c>
      <c r="AG4219" t="str">
        <f t="shared" si="95"/>
        <v>Recorrente</v>
      </c>
      <c r="AH4219" t="str">
        <f t="shared" si="96"/>
        <v/>
      </c>
    </row>
    <row r="4220" spans="1:34">
      <c r="A4220">
        <v>2026</v>
      </c>
      <c r="B4220">
        <v>5</v>
      </c>
      <c r="C4220" s="83">
        <v>54711458739</v>
      </c>
      <c r="D4220" t="s">
        <v>3649</v>
      </c>
      <c r="E4220">
        <v>60055219307</v>
      </c>
      <c r="F4220">
        <v>637621</v>
      </c>
      <c r="G4220">
        <v>55089657008</v>
      </c>
      <c r="H4220" t="s">
        <v>35</v>
      </c>
      <c r="I4220" s="36">
        <v>8520</v>
      </c>
      <c r="J4220" s="36">
        <v>8520</v>
      </c>
      <c r="K4220" s="85">
        <v>0</v>
      </c>
      <c r="L4220" s="36">
        <v>710</v>
      </c>
      <c r="M4220" s="36">
        <v>710</v>
      </c>
      <c r="N4220" s="36">
        <v>0</v>
      </c>
      <c r="O4220" s="36">
        <v>0</v>
      </c>
      <c r="P4220" t="s">
        <v>313</v>
      </c>
      <c r="Q4220" t="s">
        <v>191</v>
      </c>
      <c r="R4220" t="s">
        <v>349</v>
      </c>
      <c r="S4220" s="112">
        <v>46149</v>
      </c>
      <c r="T4220" s="112">
        <v>46149</v>
      </c>
      <c r="V4220" s="112">
        <v>46514</v>
      </c>
      <c r="W4220" t="s">
        <v>38</v>
      </c>
      <c r="X4220">
        <v>12</v>
      </c>
      <c r="Y4220" t="s">
        <v>49</v>
      </c>
      <c r="AA4220" t="s">
        <v>112</v>
      </c>
      <c r="AB4220">
        <v>12</v>
      </c>
      <c r="AC4220" t="s">
        <v>350</v>
      </c>
      <c r="AD4220" t="s">
        <v>134</v>
      </c>
      <c r="AE4220" t="s">
        <v>135</v>
      </c>
      <c r="AF4220" t="s">
        <v>44</v>
      </c>
      <c r="AG4220" t="str">
        <f t="shared" si="95"/>
        <v>CC 12x</v>
      </c>
      <c r="AH4220" t="str">
        <f t="shared" si="96"/>
        <v/>
      </c>
    </row>
    <row r="4221" spans="1:34">
      <c r="A4221">
        <v>2026</v>
      </c>
      <c r="B4221">
        <v>5</v>
      </c>
      <c r="C4221" s="83">
        <v>118750652787</v>
      </c>
      <c r="D4221" t="s">
        <v>3650</v>
      </c>
      <c r="E4221">
        <v>58671052169</v>
      </c>
      <c r="F4221">
        <v>629239</v>
      </c>
      <c r="G4221">
        <v>55243790884</v>
      </c>
      <c r="H4221" t="s">
        <v>35</v>
      </c>
      <c r="I4221" s="36">
        <v>8508.48</v>
      </c>
      <c r="J4221" s="36">
        <v>8508.48</v>
      </c>
      <c r="K4221" s="85">
        <v>0</v>
      </c>
      <c r="L4221" s="36">
        <v>709.04</v>
      </c>
      <c r="M4221" s="36">
        <v>0</v>
      </c>
      <c r="N4221" s="36">
        <v>210.04220000000001</v>
      </c>
      <c r="O4221" s="36">
        <v>499</v>
      </c>
      <c r="P4221" t="s">
        <v>137</v>
      </c>
      <c r="Q4221" t="s">
        <v>111</v>
      </c>
      <c r="R4221" t="s">
        <v>111</v>
      </c>
      <c r="S4221" s="112">
        <v>46155</v>
      </c>
      <c r="T4221" s="112">
        <v>46155</v>
      </c>
      <c r="U4221" s="112">
        <v>46144</v>
      </c>
      <c r="V4221" s="112">
        <v>46520</v>
      </c>
      <c r="W4221" t="s">
        <v>38</v>
      </c>
      <c r="X4221">
        <v>12</v>
      </c>
      <c r="Y4221" t="s">
        <v>49</v>
      </c>
      <c r="Z4221" t="s">
        <v>81</v>
      </c>
      <c r="AA4221" t="s">
        <v>112</v>
      </c>
      <c r="AB4221">
        <v>12</v>
      </c>
      <c r="AC4221" t="s">
        <v>113</v>
      </c>
      <c r="AD4221" t="s">
        <v>146</v>
      </c>
      <c r="AE4221" t="s">
        <v>135</v>
      </c>
      <c r="AF4221" t="s">
        <v>96</v>
      </c>
      <c r="AG4221" t="str">
        <f t="shared" si="95"/>
        <v>CC 12x</v>
      </c>
      <c r="AH4221" t="str">
        <f t="shared" si="96"/>
        <v/>
      </c>
    </row>
    <row r="4222" spans="1:34">
      <c r="A4222">
        <v>2026</v>
      </c>
      <c r="B4222">
        <v>5</v>
      </c>
      <c r="C4222" s="83">
        <v>128786840230</v>
      </c>
      <c r="D4222" t="s">
        <v>3651</v>
      </c>
      <c r="E4222">
        <v>59137390733</v>
      </c>
      <c r="F4222">
        <v>315732</v>
      </c>
      <c r="G4222">
        <v>54274914089</v>
      </c>
      <c r="H4222" t="s">
        <v>35</v>
      </c>
      <c r="I4222" s="36">
        <v>8418.6</v>
      </c>
      <c r="J4222" s="36">
        <v>8418.6</v>
      </c>
      <c r="K4222" s="85">
        <v>0</v>
      </c>
      <c r="L4222" s="36">
        <v>701.55</v>
      </c>
      <c r="M4222" s="36">
        <v>0</v>
      </c>
      <c r="N4222" s="36">
        <v>184.25</v>
      </c>
      <c r="O4222" s="36">
        <v>517.29999999999995</v>
      </c>
      <c r="P4222" t="s">
        <v>165</v>
      </c>
      <c r="Q4222" t="s">
        <v>166</v>
      </c>
      <c r="R4222" t="s">
        <v>166</v>
      </c>
      <c r="S4222" s="112">
        <v>46168</v>
      </c>
      <c r="T4222" s="112">
        <v>46168</v>
      </c>
      <c r="U4222" s="112">
        <v>46171</v>
      </c>
      <c r="V4222" s="112">
        <v>46536</v>
      </c>
      <c r="W4222" t="s">
        <v>38</v>
      </c>
      <c r="X4222">
        <v>12</v>
      </c>
      <c r="Y4222" t="s">
        <v>49</v>
      </c>
      <c r="Z4222" t="s">
        <v>81</v>
      </c>
      <c r="AA4222" t="s">
        <v>122</v>
      </c>
      <c r="AB4222">
        <v>12</v>
      </c>
      <c r="AC4222" t="s">
        <v>166</v>
      </c>
      <c r="AD4222" t="s">
        <v>134</v>
      </c>
      <c r="AE4222" t="s">
        <v>135</v>
      </c>
      <c r="AF4222" t="s">
        <v>44</v>
      </c>
      <c r="AG4222" t="str">
        <f t="shared" si="95"/>
        <v>Recorrente</v>
      </c>
      <c r="AH4222" t="str">
        <f t="shared" si="96"/>
        <v/>
      </c>
    </row>
    <row r="4223" spans="1:34">
      <c r="A4223">
        <v>2026</v>
      </c>
      <c r="B4223">
        <v>5</v>
      </c>
      <c r="C4223" s="83">
        <v>19435607173</v>
      </c>
      <c r="D4223" t="s">
        <v>3652</v>
      </c>
      <c r="E4223">
        <v>60200385868</v>
      </c>
      <c r="F4223">
        <v>510632</v>
      </c>
      <c r="G4223">
        <v>55243800337</v>
      </c>
      <c r="H4223" t="s">
        <v>35</v>
      </c>
      <c r="I4223" s="36">
        <v>8418.6</v>
      </c>
      <c r="J4223" s="36">
        <v>8418.6</v>
      </c>
      <c r="K4223" s="85">
        <v>0</v>
      </c>
      <c r="L4223" s="36">
        <v>701.55</v>
      </c>
      <c r="M4223" s="36">
        <v>0</v>
      </c>
      <c r="N4223" s="36">
        <v>32.700000000000003</v>
      </c>
      <c r="O4223" s="36">
        <v>668.85</v>
      </c>
      <c r="P4223" t="s">
        <v>116</v>
      </c>
      <c r="Q4223" t="s">
        <v>111</v>
      </c>
      <c r="R4223" t="s">
        <v>111</v>
      </c>
      <c r="S4223" s="112">
        <v>46155</v>
      </c>
      <c r="T4223" s="112">
        <v>46155</v>
      </c>
      <c r="U4223" s="112">
        <v>46153</v>
      </c>
      <c r="V4223" s="112">
        <v>46520</v>
      </c>
      <c r="W4223" t="s">
        <v>38</v>
      </c>
      <c r="X4223">
        <v>12</v>
      </c>
      <c r="Y4223" t="s">
        <v>49</v>
      </c>
      <c r="Z4223" t="s">
        <v>81</v>
      </c>
      <c r="AA4223" t="s">
        <v>112</v>
      </c>
      <c r="AB4223">
        <v>12</v>
      </c>
      <c r="AC4223" t="s">
        <v>113</v>
      </c>
      <c r="AD4223" t="s">
        <v>134</v>
      </c>
      <c r="AE4223" t="s">
        <v>135</v>
      </c>
      <c r="AF4223" t="s">
        <v>44</v>
      </c>
      <c r="AG4223" t="str">
        <f t="shared" si="95"/>
        <v>CC 12x</v>
      </c>
      <c r="AH4223" t="str">
        <f t="shared" si="96"/>
        <v/>
      </c>
    </row>
    <row r="4224" spans="1:34">
      <c r="A4224">
        <v>2026</v>
      </c>
      <c r="B4224">
        <v>5</v>
      </c>
      <c r="C4224" s="83">
        <v>34160973966</v>
      </c>
      <c r="D4224" t="s">
        <v>3653</v>
      </c>
      <c r="E4224">
        <v>59719768989</v>
      </c>
      <c r="F4224">
        <v>629802</v>
      </c>
      <c r="G4224">
        <v>55098700877</v>
      </c>
      <c r="H4224" t="s">
        <v>35</v>
      </c>
      <c r="I4224" s="36">
        <v>8418.6</v>
      </c>
      <c r="J4224" s="36">
        <v>8418.6</v>
      </c>
      <c r="K4224" s="85">
        <v>0</v>
      </c>
      <c r="L4224" s="36">
        <v>701.55</v>
      </c>
      <c r="M4224" s="36">
        <v>0</v>
      </c>
      <c r="N4224" s="36">
        <v>36.450000000000003</v>
      </c>
      <c r="O4224" s="36">
        <v>665.1</v>
      </c>
      <c r="P4224" t="s">
        <v>110</v>
      </c>
      <c r="Q4224" t="s">
        <v>111</v>
      </c>
      <c r="R4224" t="s">
        <v>111</v>
      </c>
      <c r="S4224" s="112">
        <v>46149</v>
      </c>
      <c r="T4224" s="112">
        <v>46149</v>
      </c>
      <c r="U4224" s="112">
        <v>46168</v>
      </c>
      <c r="V4224" s="112">
        <v>46533</v>
      </c>
      <c r="W4224" t="s">
        <v>38</v>
      </c>
      <c r="X4224">
        <v>12</v>
      </c>
      <c r="Y4224" t="s">
        <v>49</v>
      </c>
      <c r="Z4224" t="s">
        <v>81</v>
      </c>
      <c r="AA4224" t="s">
        <v>122</v>
      </c>
      <c r="AB4224">
        <v>12</v>
      </c>
      <c r="AC4224" t="s">
        <v>113</v>
      </c>
      <c r="AD4224" t="s">
        <v>134</v>
      </c>
      <c r="AE4224" t="s">
        <v>135</v>
      </c>
      <c r="AF4224" t="s">
        <v>44</v>
      </c>
      <c r="AG4224" t="str">
        <f t="shared" si="95"/>
        <v>Recorrente</v>
      </c>
      <c r="AH4224" t="str">
        <f t="shared" si="96"/>
        <v/>
      </c>
    </row>
    <row r="4225" spans="1:34">
      <c r="A4225">
        <v>2026</v>
      </c>
      <c r="B4225">
        <v>5</v>
      </c>
      <c r="C4225" s="83">
        <v>19733460480</v>
      </c>
      <c r="D4225" t="s">
        <v>3654</v>
      </c>
      <c r="E4225">
        <v>60646892601</v>
      </c>
      <c r="F4225">
        <v>638082</v>
      </c>
      <c r="G4225">
        <v>55684420717</v>
      </c>
      <c r="H4225" t="s">
        <v>35</v>
      </c>
      <c r="I4225" s="36">
        <v>8394</v>
      </c>
      <c r="J4225" s="36">
        <v>8394</v>
      </c>
      <c r="K4225" s="85">
        <v>0</v>
      </c>
      <c r="L4225" s="36">
        <v>699.5</v>
      </c>
      <c r="M4225" s="36">
        <v>699.5</v>
      </c>
      <c r="N4225" s="36">
        <v>0</v>
      </c>
      <c r="O4225" s="36">
        <v>0</v>
      </c>
      <c r="P4225" t="s">
        <v>90</v>
      </c>
      <c r="Q4225" t="s">
        <v>91</v>
      </c>
      <c r="R4225" t="s">
        <v>91</v>
      </c>
      <c r="S4225" s="112">
        <v>46171</v>
      </c>
      <c r="T4225" s="112">
        <v>46171</v>
      </c>
      <c r="U4225" s="112"/>
      <c r="V4225" s="112">
        <v>46536</v>
      </c>
      <c r="W4225" t="s">
        <v>38</v>
      </c>
      <c r="X4225">
        <v>12</v>
      </c>
      <c r="Y4225" t="s">
        <v>49</v>
      </c>
      <c r="AA4225" t="s">
        <v>92</v>
      </c>
      <c r="AB4225">
        <v>12</v>
      </c>
      <c r="AC4225" t="s">
        <v>93</v>
      </c>
      <c r="AD4225" t="s">
        <v>94</v>
      </c>
      <c r="AE4225" t="s">
        <v>95</v>
      </c>
      <c r="AF4225" t="s">
        <v>96</v>
      </c>
      <c r="AG4225" t="str">
        <f t="shared" si="95"/>
        <v>Recorrente</v>
      </c>
      <c r="AH4225" t="str">
        <f t="shared" si="96"/>
        <v/>
      </c>
    </row>
    <row r="4226" spans="1:34">
      <c r="A4226">
        <v>2026</v>
      </c>
      <c r="B4226">
        <v>5</v>
      </c>
      <c r="C4226" s="83">
        <v>19433895328</v>
      </c>
      <c r="D4226" t="s">
        <v>2070</v>
      </c>
      <c r="E4226">
        <v>60668666371</v>
      </c>
      <c r="F4226">
        <v>638020</v>
      </c>
      <c r="G4226">
        <v>55644798495</v>
      </c>
      <c r="H4226" t="s">
        <v>35</v>
      </c>
      <c r="I4226" s="36">
        <v>8289.24</v>
      </c>
      <c r="J4226" s="36">
        <v>8289.2160000000003</v>
      </c>
      <c r="K4226" s="85">
        <v>2.4E-2</v>
      </c>
      <c r="L4226" s="36">
        <v>690.76800000000003</v>
      </c>
      <c r="M4226" s="36">
        <v>0</v>
      </c>
      <c r="N4226" s="36">
        <v>690.76800000000003</v>
      </c>
      <c r="O4226" s="36">
        <v>0</v>
      </c>
      <c r="P4226" t="s">
        <v>520</v>
      </c>
      <c r="Q4226" t="s">
        <v>191</v>
      </c>
      <c r="R4226" t="s">
        <v>191</v>
      </c>
      <c r="S4226" s="112">
        <v>46169</v>
      </c>
      <c r="T4226" s="112">
        <v>46169</v>
      </c>
      <c r="U4226" s="112"/>
      <c r="V4226" s="112">
        <v>46534</v>
      </c>
      <c r="W4226" t="s">
        <v>38</v>
      </c>
      <c r="X4226">
        <v>12</v>
      </c>
      <c r="Y4226" t="s">
        <v>49</v>
      </c>
      <c r="AA4226" t="s">
        <v>112</v>
      </c>
      <c r="AB4226">
        <v>12</v>
      </c>
      <c r="AC4226" t="s">
        <v>192</v>
      </c>
      <c r="AD4226" t="s">
        <v>131</v>
      </c>
      <c r="AE4226" t="s">
        <v>46</v>
      </c>
      <c r="AF4226" t="s">
        <v>96</v>
      </c>
      <c r="AG4226" t="str">
        <f t="shared" si="95"/>
        <v>CC 12x</v>
      </c>
      <c r="AH4226" t="str">
        <f t="shared" si="96"/>
        <v/>
      </c>
    </row>
    <row r="4227" spans="1:34">
      <c r="A4227">
        <v>2026</v>
      </c>
      <c r="B4227">
        <v>5</v>
      </c>
      <c r="C4227" s="83">
        <v>19435539065</v>
      </c>
      <c r="D4227" t="s">
        <v>3655</v>
      </c>
      <c r="E4227">
        <v>59248900434</v>
      </c>
      <c r="F4227">
        <v>511727</v>
      </c>
      <c r="G4227">
        <v>55623706776</v>
      </c>
      <c r="H4227" t="s">
        <v>35</v>
      </c>
      <c r="I4227" s="36">
        <v>8270.8799999999992</v>
      </c>
      <c r="J4227" s="36">
        <v>4135.4399999999996</v>
      </c>
      <c r="K4227" s="85">
        <v>4135.4399999999996</v>
      </c>
      <c r="L4227" s="36">
        <v>344.62</v>
      </c>
      <c r="M4227" s="36">
        <v>0</v>
      </c>
      <c r="N4227" s="36">
        <v>92.795000000000002</v>
      </c>
      <c r="O4227" s="36">
        <v>251.83</v>
      </c>
      <c r="P4227" t="s">
        <v>137</v>
      </c>
      <c r="Q4227" t="s">
        <v>111</v>
      </c>
      <c r="R4227" t="s">
        <v>111</v>
      </c>
      <c r="S4227" s="112">
        <v>46169</v>
      </c>
      <c r="T4227" s="112">
        <v>46169</v>
      </c>
      <c r="U4227" s="112">
        <v>46173</v>
      </c>
      <c r="V4227" s="112">
        <v>46904</v>
      </c>
      <c r="W4227" t="s">
        <v>56</v>
      </c>
      <c r="X4227">
        <v>24</v>
      </c>
      <c r="Y4227" t="s">
        <v>49</v>
      </c>
      <c r="Z4227" t="s">
        <v>81</v>
      </c>
      <c r="AA4227" t="s">
        <v>122</v>
      </c>
      <c r="AB4227">
        <v>24</v>
      </c>
      <c r="AC4227" t="s">
        <v>113</v>
      </c>
      <c r="AD4227" t="s">
        <v>138</v>
      </c>
      <c r="AE4227" t="s">
        <v>135</v>
      </c>
      <c r="AF4227" t="s">
        <v>119</v>
      </c>
      <c r="AG4227" t="str">
        <f t="shared" si="95"/>
        <v>Recorrente</v>
      </c>
      <c r="AH4227" t="str">
        <f t="shared" si="96"/>
        <v/>
      </c>
    </row>
    <row r="4228" spans="1:34">
      <c r="A4228">
        <v>2026</v>
      </c>
      <c r="B4228">
        <v>5</v>
      </c>
      <c r="C4228" s="83">
        <v>2138831</v>
      </c>
      <c r="D4228" t="s">
        <v>3656</v>
      </c>
      <c r="E4228">
        <v>60042441548</v>
      </c>
      <c r="F4228">
        <v>637592</v>
      </c>
      <c r="G4228">
        <v>55073703582</v>
      </c>
      <c r="H4228" t="s">
        <v>35</v>
      </c>
      <c r="I4228" s="36">
        <v>8260.08</v>
      </c>
      <c r="J4228" s="36">
        <v>4130.1000000000004</v>
      </c>
      <c r="K4228" s="85">
        <v>4129.9799999999996</v>
      </c>
      <c r="L4228" s="36">
        <v>344.17500000000001</v>
      </c>
      <c r="M4228" s="36">
        <v>0</v>
      </c>
      <c r="N4228" s="36">
        <v>344.17500000000001</v>
      </c>
      <c r="O4228" s="36">
        <v>0</v>
      </c>
      <c r="P4228" t="s">
        <v>804</v>
      </c>
      <c r="Q4228" t="s">
        <v>191</v>
      </c>
      <c r="R4228" t="s">
        <v>191</v>
      </c>
      <c r="S4228" s="112">
        <v>46148</v>
      </c>
      <c r="T4228" s="112">
        <v>46148</v>
      </c>
      <c r="U4228" s="112"/>
      <c r="V4228" s="112">
        <v>46879</v>
      </c>
      <c r="W4228" t="s">
        <v>56</v>
      </c>
      <c r="X4228">
        <v>24</v>
      </c>
      <c r="Y4228" t="s">
        <v>49</v>
      </c>
      <c r="AA4228" t="s">
        <v>122</v>
      </c>
      <c r="AB4228">
        <v>24</v>
      </c>
      <c r="AC4228" t="s">
        <v>192</v>
      </c>
      <c r="AD4228" t="s">
        <v>149</v>
      </c>
      <c r="AE4228" t="s">
        <v>43</v>
      </c>
      <c r="AF4228" t="s">
        <v>96</v>
      </c>
      <c r="AG4228" t="str">
        <f t="shared" si="95"/>
        <v>Recorrente</v>
      </c>
      <c r="AH4228" t="str">
        <f t="shared" si="96"/>
        <v/>
      </c>
    </row>
    <row r="4229" spans="1:34">
      <c r="A4229">
        <v>2026</v>
      </c>
      <c r="B4229">
        <v>5</v>
      </c>
      <c r="C4229" s="83">
        <v>19435699819</v>
      </c>
      <c r="D4229" t="s">
        <v>2990</v>
      </c>
      <c r="E4229">
        <v>60182055972</v>
      </c>
      <c r="F4229">
        <v>637734</v>
      </c>
      <c r="G4229">
        <v>55191463991</v>
      </c>
      <c r="H4229" t="s">
        <v>35</v>
      </c>
      <c r="I4229" s="36">
        <v>8250.84</v>
      </c>
      <c r="J4229" s="36">
        <v>8250.84</v>
      </c>
      <c r="K4229" s="85">
        <v>0</v>
      </c>
      <c r="L4229" s="36">
        <v>687.57</v>
      </c>
      <c r="M4229" s="36">
        <v>0</v>
      </c>
      <c r="N4229" s="36">
        <v>687.57</v>
      </c>
      <c r="O4229" s="36">
        <v>0</v>
      </c>
      <c r="P4229" t="s">
        <v>520</v>
      </c>
      <c r="Q4229" t="s">
        <v>191</v>
      </c>
      <c r="R4229" t="s">
        <v>191</v>
      </c>
      <c r="S4229" s="112">
        <v>46154</v>
      </c>
      <c r="T4229" s="112">
        <v>46154</v>
      </c>
      <c r="U4229" s="112"/>
      <c r="V4229" s="112">
        <v>46520</v>
      </c>
      <c r="W4229" t="s">
        <v>38</v>
      </c>
      <c r="X4229">
        <v>12</v>
      </c>
      <c r="Y4229" t="s">
        <v>49</v>
      </c>
      <c r="AA4229" t="s">
        <v>122</v>
      </c>
      <c r="AB4229">
        <v>12</v>
      </c>
      <c r="AC4229" t="s">
        <v>192</v>
      </c>
      <c r="AD4229" t="s">
        <v>131</v>
      </c>
      <c r="AE4229" t="s">
        <v>46</v>
      </c>
      <c r="AF4229" t="s">
        <v>96</v>
      </c>
      <c r="AG4229" t="str">
        <f t="shared" si="95"/>
        <v>Recorrente</v>
      </c>
      <c r="AH4229" t="str">
        <f t="shared" si="96"/>
        <v/>
      </c>
    </row>
    <row r="4230" spans="1:34">
      <c r="A4230">
        <v>2026</v>
      </c>
      <c r="B4230">
        <v>5</v>
      </c>
      <c r="C4230" s="83">
        <v>224267147098</v>
      </c>
      <c r="D4230" t="s">
        <v>3657</v>
      </c>
      <c r="E4230">
        <v>60666166913</v>
      </c>
      <c r="F4230">
        <v>638074</v>
      </c>
      <c r="G4230">
        <v>55686066025</v>
      </c>
      <c r="H4230" t="s">
        <v>35</v>
      </c>
      <c r="I4230" s="36">
        <v>8231.52</v>
      </c>
      <c r="J4230" s="36">
        <v>8231.52</v>
      </c>
      <c r="K4230" s="85">
        <v>0</v>
      </c>
      <c r="L4230" s="36">
        <v>685.96</v>
      </c>
      <c r="M4230" s="36">
        <v>685.96</v>
      </c>
      <c r="N4230" s="36">
        <v>0</v>
      </c>
      <c r="O4230" s="36">
        <v>0</v>
      </c>
      <c r="P4230" t="s">
        <v>506</v>
      </c>
      <c r="Q4230" t="s">
        <v>300</v>
      </c>
      <c r="R4230" t="s">
        <v>300</v>
      </c>
      <c r="S4230" s="112">
        <v>46171</v>
      </c>
      <c r="T4230" s="112">
        <v>46171</v>
      </c>
      <c r="U4230" s="112"/>
      <c r="V4230" s="112">
        <v>46536</v>
      </c>
      <c r="W4230" t="s">
        <v>38</v>
      </c>
      <c r="X4230">
        <v>12</v>
      </c>
      <c r="Y4230" t="s">
        <v>49</v>
      </c>
      <c r="AA4230" t="s">
        <v>122</v>
      </c>
      <c r="AB4230">
        <v>12</v>
      </c>
      <c r="AC4230" t="s">
        <v>301</v>
      </c>
      <c r="AD4230" t="s">
        <v>134</v>
      </c>
      <c r="AE4230" t="s">
        <v>135</v>
      </c>
      <c r="AF4230" t="s">
        <v>44</v>
      </c>
      <c r="AG4230" t="str">
        <f t="shared" si="95"/>
        <v>Recorrente</v>
      </c>
      <c r="AH4230" t="str">
        <f t="shared" si="96"/>
        <v/>
      </c>
    </row>
    <row r="4231" spans="1:34">
      <c r="A4231">
        <v>2026</v>
      </c>
      <c r="B4231">
        <v>5</v>
      </c>
      <c r="C4231" s="83">
        <v>19485965411</v>
      </c>
      <c r="D4231" t="s">
        <v>2092</v>
      </c>
      <c r="E4231">
        <v>60250813474</v>
      </c>
      <c r="F4231">
        <v>315723</v>
      </c>
      <c r="G4231">
        <v>55641828948</v>
      </c>
      <c r="H4231" t="s">
        <v>35</v>
      </c>
      <c r="I4231" s="36">
        <v>8202.84</v>
      </c>
      <c r="J4231" s="36">
        <v>8202.84</v>
      </c>
      <c r="K4231" s="85">
        <v>0</v>
      </c>
      <c r="L4231" s="36">
        <v>683.57</v>
      </c>
      <c r="M4231" s="36">
        <v>0</v>
      </c>
      <c r="N4231" s="36">
        <v>36.472499999999997</v>
      </c>
      <c r="O4231" s="36">
        <v>647.1</v>
      </c>
      <c r="P4231" t="s">
        <v>137</v>
      </c>
      <c r="Q4231" t="s">
        <v>111</v>
      </c>
      <c r="R4231" t="s">
        <v>111</v>
      </c>
      <c r="S4231" s="112">
        <v>46169</v>
      </c>
      <c r="T4231" s="112">
        <v>46169</v>
      </c>
      <c r="U4231" s="112">
        <v>46171</v>
      </c>
      <c r="V4231" s="112">
        <v>46536</v>
      </c>
      <c r="W4231" t="s">
        <v>38</v>
      </c>
      <c r="X4231">
        <v>12</v>
      </c>
      <c r="Y4231" t="s">
        <v>49</v>
      </c>
      <c r="Z4231" t="s">
        <v>81</v>
      </c>
      <c r="AA4231" t="s">
        <v>112</v>
      </c>
      <c r="AB4231">
        <v>12</v>
      </c>
      <c r="AC4231" t="s">
        <v>113</v>
      </c>
      <c r="AD4231" t="s">
        <v>131</v>
      </c>
      <c r="AE4231" t="s">
        <v>46</v>
      </c>
      <c r="AF4231" t="s">
        <v>96</v>
      </c>
      <c r="AG4231" t="str">
        <f t="shared" si="95"/>
        <v>CC 12x</v>
      </c>
      <c r="AH4231" t="str">
        <f t="shared" si="96"/>
        <v/>
      </c>
    </row>
    <row r="4232" spans="1:34">
      <c r="A4232">
        <v>2026</v>
      </c>
      <c r="B4232">
        <v>5</v>
      </c>
      <c r="C4232" s="83">
        <v>19435447729</v>
      </c>
      <c r="D4232" t="s">
        <v>3658</v>
      </c>
      <c r="E4232">
        <v>59697113372</v>
      </c>
      <c r="F4232">
        <v>535051</v>
      </c>
      <c r="G4232">
        <v>55155213612</v>
      </c>
      <c r="H4232" t="s">
        <v>35</v>
      </c>
      <c r="I4232" s="36">
        <v>8154.84</v>
      </c>
      <c r="J4232" s="36">
        <v>8154.84</v>
      </c>
      <c r="K4232" s="85">
        <v>0</v>
      </c>
      <c r="L4232" s="36">
        <v>679.57</v>
      </c>
      <c r="M4232" s="36">
        <v>0</v>
      </c>
      <c r="N4232" s="36">
        <v>68.424999999999997</v>
      </c>
      <c r="O4232" s="36">
        <v>611.15</v>
      </c>
      <c r="P4232" t="s">
        <v>110</v>
      </c>
      <c r="Q4232" t="s">
        <v>111</v>
      </c>
      <c r="R4232" t="s">
        <v>111</v>
      </c>
      <c r="S4232" s="112">
        <v>46150</v>
      </c>
      <c r="T4232" s="112">
        <v>46150</v>
      </c>
      <c r="U4232" s="112">
        <v>46158</v>
      </c>
      <c r="V4232" s="112">
        <v>46523</v>
      </c>
      <c r="W4232" t="s">
        <v>38</v>
      </c>
      <c r="X4232">
        <v>12</v>
      </c>
      <c r="Y4232" t="s">
        <v>49</v>
      </c>
      <c r="Z4232" t="s">
        <v>81</v>
      </c>
      <c r="AA4232" t="s">
        <v>122</v>
      </c>
      <c r="AB4232">
        <v>12</v>
      </c>
      <c r="AC4232" t="s">
        <v>113</v>
      </c>
      <c r="AD4232" t="s">
        <v>131</v>
      </c>
      <c r="AE4232" t="s">
        <v>46</v>
      </c>
      <c r="AF4232" t="s">
        <v>96</v>
      </c>
      <c r="AG4232" t="str">
        <f t="shared" si="95"/>
        <v>Recorrente</v>
      </c>
      <c r="AH4232" t="str">
        <f t="shared" si="96"/>
        <v/>
      </c>
    </row>
    <row r="4233" spans="1:34">
      <c r="A4233">
        <v>2026</v>
      </c>
      <c r="B4233">
        <v>5</v>
      </c>
      <c r="C4233" s="83">
        <v>19486017376</v>
      </c>
      <c r="D4233" t="s">
        <v>3659</v>
      </c>
      <c r="E4233">
        <v>60192544637</v>
      </c>
      <c r="F4233">
        <v>637745</v>
      </c>
      <c r="G4233">
        <v>55191155046</v>
      </c>
      <c r="H4233" t="s">
        <v>35</v>
      </c>
      <c r="I4233" s="36">
        <v>8148</v>
      </c>
      <c r="J4233" s="36">
        <v>1786.066364</v>
      </c>
      <c r="K4233" s="85">
        <v>6361.9336359999998</v>
      </c>
      <c r="L4233" s="36">
        <v>148.83886369999999</v>
      </c>
      <c r="M4233" s="36">
        <v>0</v>
      </c>
      <c r="N4233" s="36">
        <v>148.83886369999999</v>
      </c>
      <c r="O4233" s="36">
        <v>0</v>
      </c>
      <c r="P4233" t="s">
        <v>367</v>
      </c>
      <c r="Q4233" t="s">
        <v>191</v>
      </c>
      <c r="R4233" t="s">
        <v>191</v>
      </c>
      <c r="S4233" s="112">
        <v>46154</v>
      </c>
      <c r="T4233" s="112">
        <v>46154</v>
      </c>
      <c r="U4233" s="112"/>
      <c r="V4233" s="112">
        <v>46885</v>
      </c>
      <c r="W4233" t="s">
        <v>56</v>
      </c>
      <c r="Y4233" t="s">
        <v>49</v>
      </c>
      <c r="AA4233" t="s">
        <v>122</v>
      </c>
      <c r="AB4233">
        <v>24</v>
      </c>
      <c r="AC4233" t="s">
        <v>192</v>
      </c>
      <c r="AD4233" t="s">
        <v>114</v>
      </c>
      <c r="AE4233" t="s">
        <v>43</v>
      </c>
      <c r="AF4233" t="s">
        <v>44</v>
      </c>
      <c r="AG4233" t="str">
        <f t="shared" si="95"/>
        <v>Recorrente</v>
      </c>
      <c r="AH4233" t="str">
        <f t="shared" si="96"/>
        <v/>
      </c>
    </row>
    <row r="4234" spans="1:34">
      <c r="A4234">
        <v>2026</v>
      </c>
      <c r="B4234">
        <v>5</v>
      </c>
      <c r="C4234" s="83">
        <v>218215289514</v>
      </c>
      <c r="D4234" t="s">
        <v>3660</v>
      </c>
      <c r="E4234">
        <v>59772875787</v>
      </c>
      <c r="F4234">
        <v>637579</v>
      </c>
      <c r="G4234">
        <v>55059819129</v>
      </c>
      <c r="H4234" t="s">
        <v>35</v>
      </c>
      <c r="I4234" s="36">
        <v>8100</v>
      </c>
      <c r="J4234" s="36">
        <v>8100</v>
      </c>
      <c r="K4234" s="85">
        <v>0</v>
      </c>
      <c r="L4234" s="36">
        <v>675</v>
      </c>
      <c r="M4234" s="36">
        <v>675</v>
      </c>
      <c r="N4234" s="36">
        <v>0</v>
      </c>
      <c r="O4234" s="36">
        <v>0</v>
      </c>
      <c r="P4234" t="s">
        <v>511</v>
      </c>
      <c r="Q4234" t="s">
        <v>300</v>
      </c>
      <c r="R4234" t="s">
        <v>300</v>
      </c>
      <c r="S4234" s="112">
        <v>46147</v>
      </c>
      <c r="T4234" s="112">
        <v>46147</v>
      </c>
      <c r="U4234" s="112"/>
      <c r="V4234" s="112">
        <v>46512</v>
      </c>
      <c r="W4234" t="s">
        <v>38</v>
      </c>
      <c r="X4234">
        <v>12</v>
      </c>
      <c r="Y4234" t="s">
        <v>49</v>
      </c>
      <c r="AA4234" t="s">
        <v>112</v>
      </c>
      <c r="AB4234">
        <v>12</v>
      </c>
      <c r="AC4234" t="s">
        <v>301</v>
      </c>
      <c r="AD4234" t="s">
        <v>131</v>
      </c>
      <c r="AE4234" t="s">
        <v>46</v>
      </c>
      <c r="AF4234" t="s">
        <v>96</v>
      </c>
      <c r="AG4234" t="str">
        <f t="shared" si="95"/>
        <v>CC 12x</v>
      </c>
      <c r="AH4234" t="str">
        <f t="shared" si="96"/>
        <v/>
      </c>
    </row>
    <row r="4235" spans="1:34">
      <c r="A4235">
        <v>2026</v>
      </c>
      <c r="B4235">
        <v>5</v>
      </c>
      <c r="C4235" s="83">
        <v>19435611656</v>
      </c>
      <c r="D4235" t="s">
        <v>3661</v>
      </c>
      <c r="E4235">
        <v>60076922295</v>
      </c>
      <c r="F4235">
        <v>533314</v>
      </c>
      <c r="G4235">
        <v>55093124736</v>
      </c>
      <c r="H4235" t="s">
        <v>35</v>
      </c>
      <c r="I4235" s="36">
        <v>8044.44</v>
      </c>
      <c r="J4235" s="36">
        <v>8044.44</v>
      </c>
      <c r="K4235" s="85">
        <v>0</v>
      </c>
      <c r="L4235" s="36">
        <v>670.37</v>
      </c>
      <c r="M4235" s="36">
        <v>0</v>
      </c>
      <c r="N4235" s="36">
        <v>14.29</v>
      </c>
      <c r="O4235" s="36">
        <v>656.08</v>
      </c>
      <c r="P4235" t="s">
        <v>116</v>
      </c>
      <c r="Q4235" t="s">
        <v>111</v>
      </c>
      <c r="R4235" t="s">
        <v>111</v>
      </c>
      <c r="S4235" s="112">
        <v>46149</v>
      </c>
      <c r="T4235" s="112">
        <v>46149</v>
      </c>
      <c r="U4235" s="112">
        <v>46132</v>
      </c>
      <c r="V4235" s="112">
        <v>46514</v>
      </c>
      <c r="W4235" t="s">
        <v>38</v>
      </c>
      <c r="X4235">
        <v>13</v>
      </c>
      <c r="Y4235" t="s">
        <v>49</v>
      </c>
      <c r="Z4235" t="s">
        <v>81</v>
      </c>
      <c r="AA4235" t="s">
        <v>92</v>
      </c>
      <c r="AB4235">
        <v>12</v>
      </c>
      <c r="AC4235" t="s">
        <v>113</v>
      </c>
      <c r="AD4235" t="s">
        <v>134</v>
      </c>
      <c r="AE4235" t="s">
        <v>135</v>
      </c>
      <c r="AF4235" t="s">
        <v>44</v>
      </c>
      <c r="AG4235" t="str">
        <f t="shared" si="95"/>
        <v>Recorrente</v>
      </c>
      <c r="AH4235" t="str">
        <f t="shared" si="96"/>
        <v/>
      </c>
    </row>
    <row r="4236" spans="1:34">
      <c r="A4236">
        <v>2026</v>
      </c>
      <c r="B4236">
        <v>5</v>
      </c>
      <c r="C4236" s="83">
        <v>200335117718</v>
      </c>
      <c r="D4236" t="s">
        <v>3662</v>
      </c>
      <c r="E4236">
        <v>59770232086</v>
      </c>
      <c r="F4236">
        <v>536316</v>
      </c>
      <c r="G4236">
        <v>55645986907</v>
      </c>
      <c r="H4236" t="s">
        <v>35</v>
      </c>
      <c r="I4236" s="36">
        <v>8004.24</v>
      </c>
      <c r="J4236" s="36">
        <v>8004.24</v>
      </c>
      <c r="K4236" s="85">
        <v>0</v>
      </c>
      <c r="L4236" s="36">
        <v>667.02</v>
      </c>
      <c r="M4236" s="36">
        <v>0</v>
      </c>
      <c r="N4236" s="36">
        <v>18.018149999999999</v>
      </c>
      <c r="O4236" s="36">
        <v>649</v>
      </c>
      <c r="P4236" t="s">
        <v>137</v>
      </c>
      <c r="Q4236" t="s">
        <v>111</v>
      </c>
      <c r="R4236" t="s">
        <v>111</v>
      </c>
      <c r="S4236" s="112">
        <v>46169</v>
      </c>
      <c r="T4236" s="112">
        <v>46169</v>
      </c>
      <c r="U4236" s="112">
        <v>46171</v>
      </c>
      <c r="V4236" s="112">
        <v>46536</v>
      </c>
      <c r="W4236" t="s">
        <v>38</v>
      </c>
      <c r="X4236">
        <v>12</v>
      </c>
      <c r="Y4236" t="s">
        <v>49</v>
      </c>
      <c r="Z4236" t="s">
        <v>81</v>
      </c>
      <c r="AA4236" t="s">
        <v>122</v>
      </c>
      <c r="AB4236">
        <v>12</v>
      </c>
      <c r="AC4236" t="s">
        <v>113</v>
      </c>
      <c r="AD4236" t="s">
        <v>134</v>
      </c>
      <c r="AE4236" t="s">
        <v>135</v>
      </c>
      <c r="AF4236" t="s">
        <v>44</v>
      </c>
      <c r="AG4236" t="str">
        <f t="shared" si="95"/>
        <v>Recorrente</v>
      </c>
      <c r="AH4236" t="str">
        <f t="shared" si="96"/>
        <v/>
      </c>
    </row>
    <row r="4237" spans="1:34">
      <c r="A4237">
        <v>2026</v>
      </c>
      <c r="B4237">
        <v>5</v>
      </c>
      <c r="C4237" s="83">
        <v>208822032733</v>
      </c>
      <c r="D4237" t="s">
        <v>3663</v>
      </c>
      <c r="E4237">
        <v>60355613051</v>
      </c>
      <c r="F4237">
        <v>613760</v>
      </c>
      <c r="G4237">
        <v>55340526519</v>
      </c>
      <c r="H4237" t="s">
        <v>35</v>
      </c>
      <c r="I4237" s="36">
        <v>8004.24</v>
      </c>
      <c r="J4237" s="36">
        <v>8004.24</v>
      </c>
      <c r="K4237" s="85">
        <v>0</v>
      </c>
      <c r="L4237" s="36">
        <v>667.02</v>
      </c>
      <c r="M4237" s="36">
        <v>0</v>
      </c>
      <c r="N4237" s="36">
        <v>1.91815</v>
      </c>
      <c r="O4237" s="36">
        <v>665.1</v>
      </c>
      <c r="P4237" t="s">
        <v>137</v>
      </c>
      <c r="Q4237" t="s">
        <v>111</v>
      </c>
      <c r="R4237" t="s">
        <v>111</v>
      </c>
      <c r="S4237" s="112">
        <v>46162</v>
      </c>
      <c r="T4237" s="112">
        <v>46162</v>
      </c>
      <c r="U4237" s="112">
        <v>46129</v>
      </c>
      <c r="V4237" s="112">
        <v>46527</v>
      </c>
      <c r="W4237" t="s">
        <v>38</v>
      </c>
      <c r="X4237">
        <v>13</v>
      </c>
      <c r="Y4237" t="s">
        <v>49</v>
      </c>
      <c r="Z4237" t="s">
        <v>81</v>
      </c>
      <c r="AA4237" t="s">
        <v>122</v>
      </c>
      <c r="AB4237">
        <v>12</v>
      </c>
      <c r="AC4237" t="s">
        <v>113</v>
      </c>
      <c r="AD4237" t="s">
        <v>134</v>
      </c>
      <c r="AE4237" t="s">
        <v>135</v>
      </c>
      <c r="AF4237" t="s">
        <v>44</v>
      </c>
      <c r="AG4237" t="str">
        <f t="shared" si="95"/>
        <v>Recorrente</v>
      </c>
      <c r="AH4237" t="str">
        <f t="shared" si="96"/>
        <v/>
      </c>
    </row>
    <row r="4238" spans="1:34">
      <c r="A4238">
        <v>2026</v>
      </c>
      <c r="B4238">
        <v>5</v>
      </c>
      <c r="C4238" s="83">
        <v>20945054369</v>
      </c>
      <c r="D4238" t="s">
        <v>3664</v>
      </c>
      <c r="E4238">
        <v>60014600708</v>
      </c>
      <c r="F4238">
        <v>614410</v>
      </c>
      <c r="G4238">
        <v>55658882892</v>
      </c>
      <c r="H4238" t="s">
        <v>35</v>
      </c>
      <c r="I4238" s="36">
        <v>7974.24</v>
      </c>
      <c r="J4238" s="36">
        <v>7974.24</v>
      </c>
      <c r="K4238" s="85">
        <v>0</v>
      </c>
      <c r="L4238" s="36">
        <v>664.52</v>
      </c>
      <c r="M4238" s="36">
        <v>0</v>
      </c>
      <c r="N4238" s="36">
        <v>5.5250000000000004</v>
      </c>
      <c r="O4238" s="36">
        <v>659</v>
      </c>
      <c r="P4238" t="s">
        <v>110</v>
      </c>
      <c r="Q4238" t="s">
        <v>111</v>
      </c>
      <c r="R4238" t="s">
        <v>111</v>
      </c>
      <c r="S4238" s="112">
        <v>46170</v>
      </c>
      <c r="T4238" s="112">
        <v>46170</v>
      </c>
      <c r="U4238" s="112">
        <v>46173</v>
      </c>
      <c r="V4238" s="112">
        <v>46538</v>
      </c>
      <c r="W4238" t="s">
        <v>38</v>
      </c>
      <c r="X4238">
        <v>12</v>
      </c>
      <c r="Y4238" t="s">
        <v>49</v>
      </c>
      <c r="Z4238" t="s">
        <v>81</v>
      </c>
      <c r="AA4238" t="s">
        <v>92</v>
      </c>
      <c r="AB4238">
        <v>12</v>
      </c>
      <c r="AC4238" t="s">
        <v>113</v>
      </c>
      <c r="AD4238" t="s">
        <v>94</v>
      </c>
      <c r="AE4238" t="s">
        <v>95</v>
      </c>
      <c r="AF4238" t="s">
        <v>96</v>
      </c>
      <c r="AG4238" t="str">
        <f t="shared" si="95"/>
        <v>Recorrente</v>
      </c>
      <c r="AH4238" t="str">
        <f t="shared" si="96"/>
        <v/>
      </c>
    </row>
    <row r="4239" spans="1:34">
      <c r="A4239">
        <v>2026</v>
      </c>
      <c r="B4239">
        <v>5</v>
      </c>
      <c r="C4239" s="83">
        <v>19486017376</v>
      </c>
      <c r="D4239" t="s">
        <v>3659</v>
      </c>
      <c r="E4239">
        <v>60192544637</v>
      </c>
      <c r="F4239">
        <v>637745</v>
      </c>
      <c r="G4239">
        <v>55191155045</v>
      </c>
      <c r="H4239" t="s">
        <v>35</v>
      </c>
      <c r="I4239" s="36">
        <v>7968</v>
      </c>
      <c r="J4239" s="36">
        <v>1746.6121579999999</v>
      </c>
      <c r="K4239" s="85">
        <v>6221.3878420000001</v>
      </c>
      <c r="L4239" s="36">
        <v>145.5510132</v>
      </c>
      <c r="M4239" s="36">
        <v>0</v>
      </c>
      <c r="N4239" s="36">
        <v>145.5510132</v>
      </c>
      <c r="O4239" s="36">
        <v>0</v>
      </c>
      <c r="P4239" t="s">
        <v>367</v>
      </c>
      <c r="Q4239" t="s">
        <v>191</v>
      </c>
      <c r="R4239" t="s">
        <v>191</v>
      </c>
      <c r="S4239" s="112">
        <v>46154</v>
      </c>
      <c r="T4239" s="112">
        <v>46154</v>
      </c>
      <c r="U4239" s="112"/>
      <c r="V4239" s="112">
        <v>46885</v>
      </c>
      <c r="W4239" t="s">
        <v>56</v>
      </c>
      <c r="Y4239" t="s">
        <v>49</v>
      </c>
      <c r="AA4239" t="s">
        <v>122</v>
      </c>
      <c r="AB4239">
        <v>24</v>
      </c>
      <c r="AC4239" t="s">
        <v>192</v>
      </c>
      <c r="AD4239" t="s">
        <v>160</v>
      </c>
      <c r="AE4239" t="s">
        <v>43</v>
      </c>
      <c r="AF4239" t="s">
        <v>44</v>
      </c>
      <c r="AG4239" t="str">
        <f t="shared" si="95"/>
        <v>Recorrente</v>
      </c>
      <c r="AH4239" t="str">
        <f t="shared" si="96"/>
        <v/>
      </c>
    </row>
    <row r="4240" spans="1:34">
      <c r="A4240">
        <v>2026</v>
      </c>
      <c r="B4240">
        <v>5</v>
      </c>
      <c r="C4240" s="83">
        <v>19486017376</v>
      </c>
      <c r="D4240" t="s">
        <v>3659</v>
      </c>
      <c r="E4240">
        <v>60192544637</v>
      </c>
      <c r="F4240">
        <v>637745</v>
      </c>
      <c r="G4240">
        <v>55191155047</v>
      </c>
      <c r="H4240" t="s">
        <v>35</v>
      </c>
      <c r="I4240" s="36">
        <v>7968</v>
      </c>
      <c r="J4240" s="36">
        <v>1746.6121579999999</v>
      </c>
      <c r="K4240" s="85">
        <v>6221.3878420000001</v>
      </c>
      <c r="L4240" s="36">
        <v>145.5510132</v>
      </c>
      <c r="M4240" s="36">
        <v>0</v>
      </c>
      <c r="N4240" s="36">
        <v>145.5510132</v>
      </c>
      <c r="O4240" s="36">
        <v>0</v>
      </c>
      <c r="P4240" t="s">
        <v>367</v>
      </c>
      <c r="Q4240" t="s">
        <v>191</v>
      </c>
      <c r="R4240" t="s">
        <v>191</v>
      </c>
      <c r="S4240" s="112">
        <v>46154</v>
      </c>
      <c r="T4240" s="112">
        <v>46154</v>
      </c>
      <c r="U4240" s="112"/>
      <c r="V4240" s="112">
        <v>46885</v>
      </c>
      <c r="W4240" t="s">
        <v>56</v>
      </c>
      <c r="Y4240" t="s">
        <v>49</v>
      </c>
      <c r="AA4240" t="s">
        <v>122</v>
      </c>
      <c r="AB4240">
        <v>24</v>
      </c>
      <c r="AC4240" t="s">
        <v>192</v>
      </c>
      <c r="AD4240" t="s">
        <v>114</v>
      </c>
      <c r="AE4240" t="s">
        <v>43</v>
      </c>
      <c r="AF4240" t="s">
        <v>44</v>
      </c>
      <c r="AG4240" t="str">
        <f t="shared" si="95"/>
        <v>Recorrente</v>
      </c>
      <c r="AH4240" t="str">
        <f t="shared" si="96"/>
        <v/>
      </c>
    </row>
    <row r="4241" spans="1:34">
      <c r="A4241">
        <v>2026</v>
      </c>
      <c r="B4241">
        <v>5</v>
      </c>
      <c r="C4241" s="83">
        <v>149210718540</v>
      </c>
      <c r="D4241" t="s">
        <v>3665</v>
      </c>
      <c r="E4241">
        <v>60049227663</v>
      </c>
      <c r="F4241">
        <v>614901</v>
      </c>
      <c r="G4241">
        <v>55076436825</v>
      </c>
      <c r="H4241" t="s">
        <v>35</v>
      </c>
      <c r="I4241" s="36">
        <v>7950.96</v>
      </c>
      <c r="J4241" s="36">
        <v>7950.96</v>
      </c>
      <c r="K4241" s="85">
        <v>0</v>
      </c>
      <c r="L4241" s="36">
        <v>662.58</v>
      </c>
      <c r="M4241" s="36">
        <v>0</v>
      </c>
      <c r="N4241" s="36">
        <v>56.58</v>
      </c>
      <c r="O4241" s="36">
        <v>606</v>
      </c>
      <c r="P4241" t="s">
        <v>162</v>
      </c>
      <c r="Q4241" t="s">
        <v>111</v>
      </c>
      <c r="R4241" t="s">
        <v>111</v>
      </c>
      <c r="S4241" s="112">
        <v>46148</v>
      </c>
      <c r="T4241" s="112">
        <v>46148</v>
      </c>
      <c r="U4241" s="112">
        <v>46149</v>
      </c>
      <c r="V4241" s="112">
        <v>46514</v>
      </c>
      <c r="W4241" t="s">
        <v>38</v>
      </c>
      <c r="X4241">
        <v>12</v>
      </c>
      <c r="Y4241" t="s">
        <v>49</v>
      </c>
      <c r="Z4241" t="s">
        <v>81</v>
      </c>
      <c r="AA4241" t="s">
        <v>112</v>
      </c>
      <c r="AB4241">
        <v>12</v>
      </c>
      <c r="AC4241" t="s">
        <v>113</v>
      </c>
      <c r="AD4241" t="s">
        <v>134</v>
      </c>
      <c r="AE4241" t="s">
        <v>135</v>
      </c>
      <c r="AF4241" t="s">
        <v>44</v>
      </c>
      <c r="AG4241" t="str">
        <f t="shared" si="95"/>
        <v>CC 12x</v>
      </c>
      <c r="AH4241" t="str">
        <f t="shared" si="96"/>
        <v/>
      </c>
    </row>
    <row r="4242" spans="1:34">
      <c r="A4242">
        <v>2026</v>
      </c>
      <c r="B4242">
        <v>5</v>
      </c>
      <c r="C4242" s="83">
        <v>19435497219</v>
      </c>
      <c r="D4242" t="s">
        <v>3666</v>
      </c>
      <c r="E4242">
        <v>59150900316</v>
      </c>
      <c r="F4242">
        <v>512712</v>
      </c>
      <c r="G4242">
        <v>55555737927</v>
      </c>
      <c r="H4242" t="s">
        <v>35</v>
      </c>
      <c r="I4242" s="36">
        <v>7950.84</v>
      </c>
      <c r="J4242" s="36">
        <v>7950.84</v>
      </c>
      <c r="K4242" s="85">
        <v>0</v>
      </c>
      <c r="L4242" s="36">
        <v>662.57</v>
      </c>
      <c r="M4242" s="36">
        <v>0</v>
      </c>
      <c r="N4242" s="36">
        <v>0</v>
      </c>
      <c r="O4242" s="36">
        <v>662.57500000000005</v>
      </c>
      <c r="P4242" t="s">
        <v>121</v>
      </c>
      <c r="Q4242" t="s">
        <v>111</v>
      </c>
      <c r="R4242" t="s">
        <v>111</v>
      </c>
      <c r="S4242" s="112">
        <v>46164</v>
      </c>
      <c r="T4242" s="112">
        <v>46164</v>
      </c>
      <c r="U4242" s="112">
        <v>46153</v>
      </c>
      <c r="V4242" s="112">
        <v>46529</v>
      </c>
      <c r="W4242" t="s">
        <v>38</v>
      </c>
      <c r="X4242">
        <v>12</v>
      </c>
      <c r="Y4242" t="s">
        <v>49</v>
      </c>
      <c r="Z4242" t="s">
        <v>81</v>
      </c>
      <c r="AA4242" t="s">
        <v>122</v>
      </c>
      <c r="AB4242">
        <v>12</v>
      </c>
      <c r="AC4242" t="s">
        <v>113</v>
      </c>
      <c r="AD4242" t="s">
        <v>134</v>
      </c>
      <c r="AE4242" t="s">
        <v>135</v>
      </c>
      <c r="AF4242" t="s">
        <v>44</v>
      </c>
      <c r="AG4242" t="str">
        <f t="shared" si="95"/>
        <v>Recorrente</v>
      </c>
      <c r="AH4242" t="str">
        <f t="shared" si="96"/>
        <v/>
      </c>
    </row>
    <row r="4243" spans="1:34">
      <c r="A4243">
        <v>2026</v>
      </c>
      <c r="B4243">
        <v>5</v>
      </c>
      <c r="C4243" s="83">
        <v>19435564600</v>
      </c>
      <c r="D4243" t="s">
        <v>3667</v>
      </c>
      <c r="E4243">
        <v>59691294624</v>
      </c>
      <c r="F4243">
        <v>613042</v>
      </c>
      <c r="G4243">
        <v>55270607641</v>
      </c>
      <c r="H4243" t="s">
        <v>35</v>
      </c>
      <c r="I4243" s="36">
        <v>7950.84</v>
      </c>
      <c r="J4243" s="36">
        <v>7950.84</v>
      </c>
      <c r="K4243" s="85">
        <v>0</v>
      </c>
      <c r="L4243" s="36">
        <v>662.57</v>
      </c>
      <c r="M4243" s="36">
        <v>0</v>
      </c>
      <c r="N4243" s="36">
        <v>117.575</v>
      </c>
      <c r="O4243" s="36">
        <v>545</v>
      </c>
      <c r="P4243" t="s">
        <v>121</v>
      </c>
      <c r="Q4243" t="s">
        <v>111</v>
      </c>
      <c r="R4243" t="s">
        <v>111</v>
      </c>
      <c r="S4243" s="112">
        <v>46157</v>
      </c>
      <c r="T4243" s="112">
        <v>46157</v>
      </c>
      <c r="U4243" s="112">
        <v>46137</v>
      </c>
      <c r="V4243" s="112">
        <v>46522</v>
      </c>
      <c r="W4243" t="s">
        <v>38</v>
      </c>
      <c r="X4243">
        <v>13</v>
      </c>
      <c r="Y4243" t="s">
        <v>49</v>
      </c>
      <c r="Z4243" t="s">
        <v>81</v>
      </c>
      <c r="AA4243" t="s">
        <v>112</v>
      </c>
      <c r="AB4243">
        <v>12</v>
      </c>
      <c r="AC4243" t="s">
        <v>113</v>
      </c>
      <c r="AD4243" t="s">
        <v>134</v>
      </c>
      <c r="AE4243" t="s">
        <v>135</v>
      </c>
      <c r="AF4243" t="s">
        <v>44</v>
      </c>
      <c r="AG4243" t="str">
        <f t="shared" si="95"/>
        <v>CC 12x</v>
      </c>
      <c r="AH4243" t="str">
        <f t="shared" si="96"/>
        <v/>
      </c>
    </row>
    <row r="4244" spans="1:34">
      <c r="A4244">
        <v>2026</v>
      </c>
      <c r="B4244">
        <v>5</v>
      </c>
      <c r="C4244" s="83">
        <v>20945303570</v>
      </c>
      <c r="D4244" t="s">
        <v>3668</v>
      </c>
      <c r="E4244">
        <v>60254134328</v>
      </c>
      <c r="F4244">
        <v>614732</v>
      </c>
      <c r="G4244">
        <v>55253975589</v>
      </c>
      <c r="H4244" t="s">
        <v>35</v>
      </c>
      <c r="I4244" s="36">
        <v>7950.84</v>
      </c>
      <c r="J4244" s="36">
        <v>7950.84</v>
      </c>
      <c r="K4244" s="85">
        <v>0</v>
      </c>
      <c r="L4244" s="36">
        <v>662.57</v>
      </c>
      <c r="M4244" s="36">
        <v>0</v>
      </c>
      <c r="N4244" s="36">
        <v>34.424999999999997</v>
      </c>
      <c r="O4244" s="36">
        <v>628.15</v>
      </c>
      <c r="P4244" t="s">
        <v>133</v>
      </c>
      <c r="Q4244" t="s">
        <v>111</v>
      </c>
      <c r="R4244" t="s">
        <v>111</v>
      </c>
      <c r="S4244" s="112">
        <v>46156</v>
      </c>
      <c r="T4244" s="112">
        <v>46156</v>
      </c>
      <c r="U4244" s="112">
        <v>46149</v>
      </c>
      <c r="V4244" s="112">
        <v>46521</v>
      </c>
      <c r="W4244" t="s">
        <v>38</v>
      </c>
      <c r="X4244">
        <v>12</v>
      </c>
      <c r="Y4244" t="s">
        <v>49</v>
      </c>
      <c r="Z4244" t="s">
        <v>81</v>
      </c>
      <c r="AA4244" t="s">
        <v>92</v>
      </c>
      <c r="AB4244">
        <v>12</v>
      </c>
      <c r="AC4244" t="s">
        <v>113</v>
      </c>
      <c r="AD4244" t="s">
        <v>134</v>
      </c>
      <c r="AE4244" t="s">
        <v>135</v>
      </c>
      <c r="AF4244" t="s">
        <v>44</v>
      </c>
      <c r="AG4244" t="str">
        <f t="shared" si="95"/>
        <v>Recorrente</v>
      </c>
      <c r="AH4244" t="str">
        <f t="shared" si="96"/>
        <v/>
      </c>
    </row>
    <row r="4245" spans="1:34">
      <c r="A4245">
        <v>2026</v>
      </c>
      <c r="B4245">
        <v>5</v>
      </c>
      <c r="C4245" s="83">
        <v>31972009008</v>
      </c>
      <c r="D4245" t="s">
        <v>3669</v>
      </c>
      <c r="E4245">
        <v>60035546915</v>
      </c>
      <c r="F4245">
        <v>628534</v>
      </c>
      <c r="G4245">
        <v>55059872574</v>
      </c>
      <c r="H4245" t="s">
        <v>35</v>
      </c>
      <c r="I4245" s="36">
        <v>7950.84</v>
      </c>
      <c r="J4245" s="36">
        <v>7950.84</v>
      </c>
      <c r="K4245" s="85">
        <v>0</v>
      </c>
      <c r="L4245" s="36">
        <v>662.57</v>
      </c>
      <c r="M4245" s="36">
        <v>0</v>
      </c>
      <c r="N4245" s="36">
        <v>297.92500000000001</v>
      </c>
      <c r="O4245" s="36">
        <v>364.65</v>
      </c>
      <c r="P4245" t="s">
        <v>121</v>
      </c>
      <c r="Q4245" t="s">
        <v>111</v>
      </c>
      <c r="R4245" t="s">
        <v>111</v>
      </c>
      <c r="S4245" s="112">
        <v>46147</v>
      </c>
      <c r="T4245" s="112">
        <v>46147</v>
      </c>
      <c r="U4245" s="112">
        <v>46123</v>
      </c>
      <c r="V4245" s="112">
        <v>46512</v>
      </c>
      <c r="W4245" t="s">
        <v>38</v>
      </c>
      <c r="X4245">
        <v>13</v>
      </c>
      <c r="Y4245" t="s">
        <v>49</v>
      </c>
      <c r="Z4245" t="s">
        <v>76</v>
      </c>
      <c r="AA4245" t="s">
        <v>122</v>
      </c>
      <c r="AB4245">
        <v>12</v>
      </c>
      <c r="AC4245" t="s">
        <v>113</v>
      </c>
      <c r="AD4245" t="s">
        <v>134</v>
      </c>
      <c r="AE4245" t="s">
        <v>135</v>
      </c>
      <c r="AF4245" t="s">
        <v>44</v>
      </c>
      <c r="AG4245" t="str">
        <f t="shared" si="95"/>
        <v>Recorrente</v>
      </c>
      <c r="AH4245" t="str">
        <f t="shared" si="96"/>
        <v/>
      </c>
    </row>
    <row r="4246" spans="1:34">
      <c r="A4246">
        <v>2026</v>
      </c>
      <c r="B4246">
        <v>5</v>
      </c>
      <c r="C4246" s="83">
        <v>139144462914</v>
      </c>
      <c r="D4246" t="s">
        <v>3670</v>
      </c>
      <c r="E4246">
        <v>58595929477</v>
      </c>
      <c r="F4246">
        <v>534843</v>
      </c>
      <c r="G4246">
        <v>53773323332</v>
      </c>
      <c r="H4246" t="s">
        <v>35</v>
      </c>
      <c r="I4246" s="36">
        <v>7794</v>
      </c>
      <c r="J4246" s="36">
        <v>7794</v>
      </c>
      <c r="K4246" s="85">
        <v>0</v>
      </c>
      <c r="L4246" s="36">
        <v>649.5</v>
      </c>
      <c r="M4246" s="36">
        <v>0</v>
      </c>
      <c r="N4246" s="36">
        <v>119.29</v>
      </c>
      <c r="O4246" s="36">
        <v>530.21</v>
      </c>
      <c r="P4246" t="s">
        <v>165</v>
      </c>
      <c r="Q4246" t="s">
        <v>166</v>
      </c>
      <c r="R4246" t="s">
        <v>166</v>
      </c>
      <c r="S4246" s="112">
        <v>46157</v>
      </c>
      <c r="T4246" s="112">
        <v>46157</v>
      </c>
      <c r="U4246" s="112">
        <v>46157</v>
      </c>
      <c r="V4246" s="112">
        <v>46522</v>
      </c>
      <c r="W4246" t="s">
        <v>38</v>
      </c>
      <c r="X4246">
        <v>12</v>
      </c>
      <c r="Y4246" t="s">
        <v>49</v>
      </c>
      <c r="Z4246" t="s">
        <v>81</v>
      </c>
      <c r="AA4246" t="s">
        <v>112</v>
      </c>
      <c r="AB4246">
        <v>10</v>
      </c>
      <c r="AC4246" t="s">
        <v>166</v>
      </c>
      <c r="AD4246" t="s">
        <v>125</v>
      </c>
      <c r="AE4246" t="s">
        <v>43</v>
      </c>
      <c r="AF4246" t="s">
        <v>47</v>
      </c>
      <c r="AG4246" t="str">
        <f t="shared" si="95"/>
        <v>CC 12x</v>
      </c>
      <c r="AH4246" t="str">
        <f t="shared" si="96"/>
        <v/>
      </c>
    </row>
    <row r="4247" spans="1:34">
      <c r="A4247">
        <v>2026</v>
      </c>
      <c r="B4247">
        <v>5</v>
      </c>
      <c r="C4247" s="83">
        <v>112935711272</v>
      </c>
      <c r="D4247" t="s">
        <v>3671</v>
      </c>
      <c r="E4247">
        <v>60316741669</v>
      </c>
      <c r="F4247">
        <v>315354</v>
      </c>
      <c r="G4247">
        <v>55412587043</v>
      </c>
      <c r="H4247" t="s">
        <v>35</v>
      </c>
      <c r="I4247" s="36">
        <v>7747.2</v>
      </c>
      <c r="J4247" s="36">
        <v>7747.2</v>
      </c>
      <c r="K4247" s="85">
        <v>0</v>
      </c>
      <c r="L4247" s="36">
        <v>645.6</v>
      </c>
      <c r="M4247" s="36">
        <v>0</v>
      </c>
      <c r="N4247" s="36">
        <v>142.29624999999999</v>
      </c>
      <c r="O4247" s="36">
        <v>503.3</v>
      </c>
      <c r="P4247" t="s">
        <v>110</v>
      </c>
      <c r="Q4247" t="s">
        <v>111</v>
      </c>
      <c r="R4247" t="s">
        <v>111</v>
      </c>
      <c r="S4247" s="112">
        <v>46163</v>
      </c>
      <c r="T4247" s="112">
        <v>46163</v>
      </c>
      <c r="U4247" s="112">
        <v>46159</v>
      </c>
      <c r="V4247" s="112">
        <v>46528</v>
      </c>
      <c r="W4247" t="s">
        <v>38</v>
      </c>
      <c r="X4247">
        <v>12</v>
      </c>
      <c r="Y4247" t="s">
        <v>49</v>
      </c>
      <c r="Z4247" t="s">
        <v>81</v>
      </c>
      <c r="AA4247" t="s">
        <v>112</v>
      </c>
      <c r="AB4247">
        <v>12</v>
      </c>
      <c r="AC4247" t="s">
        <v>113</v>
      </c>
      <c r="AD4247" t="s">
        <v>131</v>
      </c>
      <c r="AE4247" t="s">
        <v>46</v>
      </c>
      <c r="AF4247" t="s">
        <v>96</v>
      </c>
      <c r="AG4247" t="str">
        <f t="shared" si="95"/>
        <v>CC 12x</v>
      </c>
      <c r="AH4247" t="str">
        <f t="shared" si="96"/>
        <v/>
      </c>
    </row>
    <row r="4248" spans="1:34">
      <c r="A4248">
        <v>2026</v>
      </c>
      <c r="B4248">
        <v>5</v>
      </c>
      <c r="C4248" s="83">
        <v>144872365912</v>
      </c>
      <c r="D4248" t="s">
        <v>3672</v>
      </c>
      <c r="E4248">
        <v>58997540522</v>
      </c>
      <c r="F4248">
        <v>629038</v>
      </c>
      <c r="G4248">
        <v>54884839862</v>
      </c>
      <c r="H4248" t="s">
        <v>35</v>
      </c>
      <c r="I4248" s="36">
        <v>7747.2</v>
      </c>
      <c r="J4248" s="36">
        <v>7747.2</v>
      </c>
      <c r="K4248" s="85">
        <v>0</v>
      </c>
      <c r="L4248" s="36">
        <v>645.6</v>
      </c>
      <c r="M4248" s="36">
        <v>0</v>
      </c>
      <c r="N4248" s="36">
        <v>34.446249999999999</v>
      </c>
      <c r="O4248" s="36">
        <v>611.15</v>
      </c>
      <c r="P4248" t="s">
        <v>137</v>
      </c>
      <c r="Q4248" t="s">
        <v>111</v>
      </c>
      <c r="R4248" t="s">
        <v>111</v>
      </c>
      <c r="S4248" s="112">
        <v>46142</v>
      </c>
      <c r="T4248" s="112">
        <v>46143</v>
      </c>
      <c r="U4248" s="112">
        <v>46145</v>
      </c>
      <c r="V4248" s="112">
        <v>46510</v>
      </c>
      <c r="W4248" t="s">
        <v>38</v>
      </c>
      <c r="X4248">
        <v>12</v>
      </c>
      <c r="Y4248" t="s">
        <v>49</v>
      </c>
      <c r="Z4248" t="s">
        <v>81</v>
      </c>
      <c r="AA4248" t="s">
        <v>112</v>
      </c>
      <c r="AB4248">
        <v>12</v>
      </c>
      <c r="AC4248" t="s">
        <v>113</v>
      </c>
      <c r="AD4248" t="s">
        <v>131</v>
      </c>
      <c r="AE4248" t="s">
        <v>46</v>
      </c>
      <c r="AF4248" t="s">
        <v>96</v>
      </c>
      <c r="AG4248" t="str">
        <f t="shared" si="95"/>
        <v>CC 12x</v>
      </c>
      <c r="AH4248" t="str">
        <f t="shared" si="96"/>
        <v/>
      </c>
    </row>
    <row r="4249" spans="1:34">
      <c r="A4249">
        <v>2026</v>
      </c>
      <c r="B4249">
        <v>5</v>
      </c>
      <c r="C4249" s="83">
        <v>19485932822</v>
      </c>
      <c r="D4249" t="s">
        <v>3673</v>
      </c>
      <c r="E4249">
        <v>59030642334</v>
      </c>
      <c r="F4249">
        <v>314952</v>
      </c>
      <c r="G4249">
        <v>55039060041</v>
      </c>
      <c r="H4249" t="s">
        <v>35</v>
      </c>
      <c r="I4249" s="36">
        <v>7747.2</v>
      </c>
      <c r="J4249" s="36">
        <v>7747.2</v>
      </c>
      <c r="K4249" s="85">
        <v>0</v>
      </c>
      <c r="L4249" s="36">
        <v>645.6</v>
      </c>
      <c r="M4249" s="36">
        <v>0</v>
      </c>
      <c r="N4249" s="36">
        <v>34.454245</v>
      </c>
      <c r="O4249" s="36">
        <v>611.15</v>
      </c>
      <c r="P4249" t="s">
        <v>116</v>
      </c>
      <c r="Q4249" t="s">
        <v>111</v>
      </c>
      <c r="R4249" t="s">
        <v>111</v>
      </c>
      <c r="S4249" s="112">
        <v>46147</v>
      </c>
      <c r="T4249" s="112">
        <v>46147</v>
      </c>
      <c r="U4249" s="112">
        <v>46151</v>
      </c>
      <c r="V4249" s="112">
        <v>46516</v>
      </c>
      <c r="W4249" t="s">
        <v>38</v>
      </c>
      <c r="X4249">
        <v>12</v>
      </c>
      <c r="Y4249" t="s">
        <v>49</v>
      </c>
      <c r="Z4249" t="s">
        <v>81</v>
      </c>
      <c r="AA4249" t="s">
        <v>122</v>
      </c>
      <c r="AB4249">
        <v>12</v>
      </c>
      <c r="AC4249" t="s">
        <v>113</v>
      </c>
      <c r="AD4249" t="s">
        <v>131</v>
      </c>
      <c r="AE4249" t="s">
        <v>46</v>
      </c>
      <c r="AF4249" t="s">
        <v>96</v>
      </c>
      <c r="AG4249" t="str">
        <f t="shared" si="95"/>
        <v>Recorrente</v>
      </c>
      <c r="AH4249" t="str">
        <f t="shared" si="96"/>
        <v/>
      </c>
    </row>
    <row r="4250" spans="1:34">
      <c r="A4250">
        <v>2026</v>
      </c>
      <c r="B4250">
        <v>5</v>
      </c>
      <c r="C4250" s="83">
        <v>143932020058</v>
      </c>
      <c r="D4250" t="s">
        <v>3674</v>
      </c>
      <c r="E4250">
        <v>60331051093</v>
      </c>
      <c r="F4250">
        <v>637952</v>
      </c>
      <c r="G4250">
        <v>55609891851</v>
      </c>
      <c r="H4250" t="s">
        <v>35</v>
      </c>
      <c r="I4250" s="36">
        <v>7730.88</v>
      </c>
      <c r="J4250" s="36">
        <v>3865.5</v>
      </c>
      <c r="K4250" s="85">
        <v>3865.38</v>
      </c>
      <c r="L4250" s="36">
        <v>322.125</v>
      </c>
      <c r="M4250" s="36">
        <v>322.125</v>
      </c>
      <c r="N4250" s="36">
        <v>0</v>
      </c>
      <c r="O4250" s="36">
        <v>0</v>
      </c>
      <c r="P4250" t="s">
        <v>506</v>
      </c>
      <c r="Q4250" t="s">
        <v>300</v>
      </c>
      <c r="R4250" t="s">
        <v>300</v>
      </c>
      <c r="S4250" s="112">
        <v>46167</v>
      </c>
      <c r="T4250" s="112">
        <v>46167</v>
      </c>
      <c r="U4250" s="112"/>
      <c r="V4250" s="112">
        <v>46898</v>
      </c>
      <c r="W4250" t="s">
        <v>56</v>
      </c>
      <c r="X4250">
        <v>24</v>
      </c>
      <c r="Y4250" t="s">
        <v>49</v>
      </c>
      <c r="AA4250" t="s">
        <v>122</v>
      </c>
      <c r="AB4250">
        <v>24</v>
      </c>
      <c r="AC4250" t="s">
        <v>301</v>
      </c>
      <c r="AD4250" t="s">
        <v>229</v>
      </c>
      <c r="AE4250" t="s">
        <v>43</v>
      </c>
      <c r="AF4250" t="s">
        <v>96</v>
      </c>
      <c r="AG4250" t="str">
        <f t="shared" si="95"/>
        <v>Recorrente</v>
      </c>
      <c r="AH4250" t="str">
        <f t="shared" si="96"/>
        <v/>
      </c>
    </row>
    <row r="4251" spans="1:34">
      <c r="A4251">
        <v>2026</v>
      </c>
      <c r="B4251">
        <v>5</v>
      </c>
      <c r="C4251" s="83">
        <v>223400545388</v>
      </c>
      <c r="D4251" t="s">
        <v>3675</v>
      </c>
      <c r="E4251">
        <v>59168209591</v>
      </c>
      <c r="F4251">
        <v>637935</v>
      </c>
      <c r="G4251">
        <v>55623614625</v>
      </c>
      <c r="H4251" t="s">
        <v>35</v>
      </c>
      <c r="I4251" s="36">
        <v>7730.88</v>
      </c>
      <c r="J4251" s="36">
        <v>3865.5</v>
      </c>
      <c r="K4251" s="85">
        <v>3865.38</v>
      </c>
      <c r="L4251" s="36">
        <v>322.125</v>
      </c>
      <c r="M4251" s="36">
        <v>322.125</v>
      </c>
      <c r="N4251" s="36">
        <v>0</v>
      </c>
      <c r="O4251" s="36">
        <v>0</v>
      </c>
      <c r="P4251" t="s">
        <v>506</v>
      </c>
      <c r="Q4251" t="s">
        <v>300</v>
      </c>
      <c r="R4251" t="s">
        <v>300</v>
      </c>
      <c r="S4251" s="112">
        <v>46164</v>
      </c>
      <c r="T4251" s="112">
        <v>46164</v>
      </c>
      <c r="V4251" s="112">
        <v>46899</v>
      </c>
      <c r="W4251" t="s">
        <v>56</v>
      </c>
      <c r="X4251">
        <v>24</v>
      </c>
      <c r="Y4251" t="s">
        <v>49</v>
      </c>
      <c r="AA4251" t="s">
        <v>122</v>
      </c>
      <c r="AB4251">
        <v>24</v>
      </c>
      <c r="AC4251" t="s">
        <v>301</v>
      </c>
      <c r="AD4251" t="s">
        <v>163</v>
      </c>
      <c r="AE4251" t="s">
        <v>43</v>
      </c>
      <c r="AF4251" t="s">
        <v>96</v>
      </c>
      <c r="AG4251" t="str">
        <f t="shared" si="95"/>
        <v>Recorrente</v>
      </c>
      <c r="AH4251" t="str">
        <f t="shared" si="96"/>
        <v/>
      </c>
    </row>
    <row r="4252" spans="1:34">
      <c r="A4252">
        <v>2026</v>
      </c>
      <c r="B4252">
        <v>5</v>
      </c>
      <c r="C4252" s="83">
        <v>31417878873</v>
      </c>
      <c r="D4252" t="s">
        <v>3676</v>
      </c>
      <c r="E4252">
        <v>58066907025</v>
      </c>
      <c r="F4252">
        <v>637784</v>
      </c>
      <c r="G4252">
        <v>55252124807</v>
      </c>
      <c r="H4252" t="s">
        <v>35</v>
      </c>
      <c r="I4252" s="36">
        <v>7692</v>
      </c>
      <c r="J4252" s="36">
        <v>7692</v>
      </c>
      <c r="K4252" s="85">
        <v>0</v>
      </c>
      <c r="L4252" s="36">
        <v>641</v>
      </c>
      <c r="M4252" s="36">
        <v>641</v>
      </c>
      <c r="N4252" s="36">
        <v>0</v>
      </c>
      <c r="O4252" s="36">
        <v>0</v>
      </c>
      <c r="P4252" t="s">
        <v>98</v>
      </c>
      <c r="Q4252" t="s">
        <v>3558</v>
      </c>
      <c r="R4252" t="s">
        <v>37</v>
      </c>
      <c r="S4252" s="112">
        <v>46156</v>
      </c>
      <c r="T4252" s="112">
        <v>46156</v>
      </c>
      <c r="U4252" s="112"/>
      <c r="V4252" s="112">
        <v>46554</v>
      </c>
      <c r="W4252" t="s">
        <v>38</v>
      </c>
      <c r="X4252">
        <v>13</v>
      </c>
      <c r="Y4252" t="s">
        <v>49</v>
      </c>
      <c r="AA4252" t="s">
        <v>40</v>
      </c>
      <c r="AB4252">
        <v>1</v>
      </c>
      <c r="AC4252" t="s">
        <v>41</v>
      </c>
      <c r="AD4252" t="s">
        <v>70</v>
      </c>
      <c r="AE4252" t="s">
        <v>43</v>
      </c>
      <c r="AF4252" t="s">
        <v>47</v>
      </c>
      <c r="AG4252" t="str">
        <f t="shared" si="95"/>
        <v>À Vista</v>
      </c>
      <c r="AH4252" t="str">
        <f t="shared" si="96"/>
        <v/>
      </c>
    </row>
    <row r="4253" spans="1:34">
      <c r="A4253">
        <v>2026</v>
      </c>
      <c r="B4253">
        <v>5</v>
      </c>
      <c r="C4253" s="83">
        <v>53176838262</v>
      </c>
      <c r="D4253" t="s">
        <v>3677</v>
      </c>
      <c r="E4253">
        <v>58316290616</v>
      </c>
      <c r="F4253">
        <v>637978</v>
      </c>
      <c r="G4253">
        <v>55623665336</v>
      </c>
      <c r="H4253" t="s">
        <v>35</v>
      </c>
      <c r="I4253" s="36">
        <v>7692</v>
      </c>
      <c r="J4253" s="36">
        <v>7692</v>
      </c>
      <c r="K4253" s="85">
        <v>0</v>
      </c>
      <c r="L4253" s="36">
        <v>641</v>
      </c>
      <c r="M4253" s="36">
        <v>641</v>
      </c>
      <c r="N4253" s="36">
        <v>0</v>
      </c>
      <c r="O4253" s="36">
        <v>0</v>
      </c>
      <c r="P4253" t="s">
        <v>1165</v>
      </c>
      <c r="Q4253" t="s">
        <v>3558</v>
      </c>
      <c r="R4253" t="s">
        <v>37</v>
      </c>
      <c r="S4253" s="112">
        <v>46168</v>
      </c>
      <c r="T4253" s="112">
        <v>46168</v>
      </c>
      <c r="U4253" s="112"/>
      <c r="V4253" s="112">
        <v>46533</v>
      </c>
      <c r="W4253" t="s">
        <v>38</v>
      </c>
      <c r="X4253">
        <v>12</v>
      </c>
      <c r="Y4253" t="s">
        <v>49</v>
      </c>
      <c r="AA4253" t="s">
        <v>40</v>
      </c>
      <c r="AB4253">
        <v>1</v>
      </c>
      <c r="AC4253" t="s">
        <v>41</v>
      </c>
      <c r="AD4253" t="s">
        <v>70</v>
      </c>
      <c r="AE4253" t="s">
        <v>43</v>
      </c>
      <c r="AF4253" t="s">
        <v>47</v>
      </c>
      <c r="AG4253" t="str">
        <f t="shared" si="95"/>
        <v>À Vista</v>
      </c>
      <c r="AH4253" t="str">
        <f t="shared" si="96"/>
        <v/>
      </c>
    </row>
    <row r="4254" spans="1:34">
      <c r="A4254">
        <v>2026</v>
      </c>
      <c r="B4254">
        <v>5</v>
      </c>
      <c r="C4254" s="83">
        <v>54004229044</v>
      </c>
      <c r="D4254" t="s">
        <v>3507</v>
      </c>
      <c r="E4254">
        <v>60056726593</v>
      </c>
      <c r="F4254">
        <v>637146</v>
      </c>
      <c r="G4254">
        <v>55244718656</v>
      </c>
      <c r="H4254" t="s">
        <v>35</v>
      </c>
      <c r="I4254" s="36">
        <v>7688.52</v>
      </c>
      <c r="J4254" s="36">
        <v>8284.44</v>
      </c>
      <c r="K4254" s="85">
        <v>0</v>
      </c>
      <c r="L4254" s="36">
        <v>690.37</v>
      </c>
      <c r="M4254" s="36">
        <v>0</v>
      </c>
      <c r="N4254" s="36">
        <v>690.37</v>
      </c>
      <c r="O4254" s="36">
        <v>0</v>
      </c>
      <c r="P4254" t="s">
        <v>129</v>
      </c>
      <c r="Q4254" t="s">
        <v>91</v>
      </c>
      <c r="R4254" t="s">
        <v>91</v>
      </c>
      <c r="S4254" s="112">
        <v>46156</v>
      </c>
      <c r="T4254" s="112">
        <v>46156</v>
      </c>
      <c r="U4254" s="112">
        <v>46494</v>
      </c>
      <c r="V4254" s="112">
        <v>46494</v>
      </c>
      <c r="W4254" t="s">
        <v>38</v>
      </c>
      <c r="X4254">
        <v>11</v>
      </c>
      <c r="Y4254" t="s">
        <v>49</v>
      </c>
      <c r="Z4254" t="s">
        <v>324</v>
      </c>
      <c r="AA4254" t="s">
        <v>112</v>
      </c>
      <c r="AB4254">
        <v>11</v>
      </c>
      <c r="AC4254" t="s">
        <v>93</v>
      </c>
      <c r="AD4254" t="s">
        <v>336</v>
      </c>
      <c r="AE4254" t="s">
        <v>135</v>
      </c>
      <c r="AF4254" t="s">
        <v>47</v>
      </c>
      <c r="AG4254" t="str">
        <f t="shared" si="95"/>
        <v>CC 12x</v>
      </c>
      <c r="AH4254" t="str">
        <f t="shared" si="96"/>
        <v/>
      </c>
    </row>
    <row r="4255" spans="1:34">
      <c r="A4255">
        <v>2026</v>
      </c>
      <c r="B4255">
        <v>5</v>
      </c>
      <c r="C4255" s="83">
        <v>19486037272</v>
      </c>
      <c r="D4255" t="s">
        <v>3678</v>
      </c>
      <c r="E4255">
        <v>58949386498</v>
      </c>
      <c r="F4255">
        <v>615095</v>
      </c>
      <c r="G4255">
        <v>55074902353</v>
      </c>
      <c r="H4255" t="s">
        <v>35</v>
      </c>
      <c r="I4255" s="36">
        <v>7575.18</v>
      </c>
      <c r="J4255" s="36">
        <v>7575.18</v>
      </c>
      <c r="K4255" s="85">
        <v>0</v>
      </c>
      <c r="L4255" s="36">
        <v>631.26499999999999</v>
      </c>
      <c r="M4255" s="36">
        <v>0</v>
      </c>
      <c r="N4255" s="36">
        <v>22.121435000000002</v>
      </c>
      <c r="O4255" s="36">
        <v>609.14499999999998</v>
      </c>
      <c r="P4255" t="s">
        <v>110</v>
      </c>
      <c r="Q4255" t="s">
        <v>111</v>
      </c>
      <c r="R4255" t="s">
        <v>111</v>
      </c>
      <c r="S4255" s="112">
        <v>46148</v>
      </c>
      <c r="T4255" s="112">
        <v>46148</v>
      </c>
      <c r="U4255" s="112">
        <v>46151</v>
      </c>
      <c r="V4255" s="112">
        <v>46516</v>
      </c>
      <c r="W4255" t="s">
        <v>38</v>
      </c>
      <c r="X4255">
        <v>12</v>
      </c>
      <c r="Y4255" t="s">
        <v>49</v>
      </c>
      <c r="Z4255" t="s">
        <v>76</v>
      </c>
      <c r="AA4255" t="s">
        <v>92</v>
      </c>
      <c r="AB4255">
        <v>12</v>
      </c>
      <c r="AC4255" t="s">
        <v>113</v>
      </c>
      <c r="AD4255" t="s">
        <v>142</v>
      </c>
      <c r="AE4255" t="s">
        <v>95</v>
      </c>
      <c r="AF4255" t="s">
        <v>44</v>
      </c>
      <c r="AG4255" t="str">
        <f t="shared" si="95"/>
        <v>Recorrente</v>
      </c>
      <c r="AH4255" t="str">
        <f t="shared" si="96"/>
        <v/>
      </c>
    </row>
    <row r="4256" spans="1:34">
      <c r="A4256">
        <v>2026</v>
      </c>
      <c r="B4256">
        <v>5</v>
      </c>
      <c r="C4256" s="83">
        <v>19486037272</v>
      </c>
      <c r="D4256" t="s">
        <v>3678</v>
      </c>
      <c r="E4256">
        <v>58949386498</v>
      </c>
      <c r="F4256">
        <v>615095</v>
      </c>
      <c r="G4256">
        <v>55074902354</v>
      </c>
      <c r="H4256" t="s">
        <v>35</v>
      </c>
      <c r="I4256" s="36">
        <v>7575.18</v>
      </c>
      <c r="J4256" s="36">
        <v>7575.18</v>
      </c>
      <c r="K4256" s="85">
        <v>0</v>
      </c>
      <c r="L4256" s="36">
        <v>631.26499999999999</v>
      </c>
      <c r="M4256" s="36">
        <v>0</v>
      </c>
      <c r="N4256" s="36">
        <v>22.121435000000002</v>
      </c>
      <c r="O4256" s="36">
        <v>609.14499999999998</v>
      </c>
      <c r="P4256" t="s">
        <v>110</v>
      </c>
      <c r="Q4256" t="s">
        <v>111</v>
      </c>
      <c r="R4256" t="s">
        <v>111</v>
      </c>
      <c r="S4256" s="112">
        <v>46148</v>
      </c>
      <c r="T4256" s="112">
        <v>46148</v>
      </c>
      <c r="U4256" s="112">
        <v>46151</v>
      </c>
      <c r="V4256" s="112">
        <v>46516</v>
      </c>
      <c r="W4256" t="s">
        <v>38</v>
      </c>
      <c r="X4256">
        <v>12</v>
      </c>
      <c r="Y4256" t="s">
        <v>49</v>
      </c>
      <c r="Z4256" t="s">
        <v>76</v>
      </c>
      <c r="AA4256" t="s">
        <v>92</v>
      </c>
      <c r="AB4256">
        <v>12</v>
      </c>
      <c r="AC4256" t="s">
        <v>113</v>
      </c>
      <c r="AD4256" t="s">
        <v>146</v>
      </c>
      <c r="AE4256" t="s">
        <v>135</v>
      </c>
      <c r="AF4256" t="s">
        <v>96</v>
      </c>
      <c r="AG4256" t="str">
        <f t="shared" si="95"/>
        <v>Recorrente</v>
      </c>
      <c r="AH4256" t="str">
        <f t="shared" si="96"/>
        <v/>
      </c>
    </row>
    <row r="4257" spans="1:34">
      <c r="A4257">
        <v>2026</v>
      </c>
      <c r="B4257">
        <v>5</v>
      </c>
      <c r="C4257" s="83">
        <v>19435413329</v>
      </c>
      <c r="D4257" t="s">
        <v>3679</v>
      </c>
      <c r="E4257">
        <v>60696518053</v>
      </c>
      <c r="F4257">
        <v>638067</v>
      </c>
      <c r="G4257">
        <v>55685304451</v>
      </c>
      <c r="H4257" t="s">
        <v>35</v>
      </c>
      <c r="I4257" s="36">
        <v>7554.6</v>
      </c>
      <c r="J4257" s="36">
        <v>7554.6</v>
      </c>
      <c r="K4257" s="85">
        <v>0</v>
      </c>
      <c r="L4257" s="36">
        <v>629.54999999999995</v>
      </c>
      <c r="M4257" s="36">
        <v>629.54999999999995</v>
      </c>
      <c r="N4257" s="36">
        <v>0</v>
      </c>
      <c r="O4257" s="36">
        <v>0</v>
      </c>
      <c r="P4257" t="s">
        <v>348</v>
      </c>
      <c r="Q4257" t="s">
        <v>349</v>
      </c>
      <c r="R4257" t="s">
        <v>349</v>
      </c>
      <c r="S4257" s="112">
        <v>46171</v>
      </c>
      <c r="T4257" s="112">
        <v>46171</v>
      </c>
      <c r="U4257" s="112"/>
      <c r="V4257" s="112">
        <v>46536</v>
      </c>
      <c r="W4257" t="s">
        <v>38</v>
      </c>
      <c r="X4257">
        <v>12</v>
      </c>
      <c r="Y4257" t="s">
        <v>49</v>
      </c>
      <c r="AA4257" t="s">
        <v>122</v>
      </c>
      <c r="AB4257">
        <v>12</v>
      </c>
      <c r="AC4257" t="s">
        <v>350</v>
      </c>
      <c r="AD4257" t="s">
        <v>94</v>
      </c>
      <c r="AE4257" t="s">
        <v>95</v>
      </c>
      <c r="AF4257" t="s">
        <v>96</v>
      </c>
      <c r="AG4257" t="str">
        <f t="shared" si="95"/>
        <v>Recorrente</v>
      </c>
      <c r="AH4257" t="str">
        <f t="shared" si="96"/>
        <v/>
      </c>
    </row>
    <row r="4258" spans="1:34">
      <c r="A4258">
        <v>2026</v>
      </c>
      <c r="B4258">
        <v>5</v>
      </c>
      <c r="C4258" s="83">
        <v>102682242474</v>
      </c>
      <c r="D4258" t="s">
        <v>3680</v>
      </c>
      <c r="E4258">
        <v>60030915762</v>
      </c>
      <c r="F4258">
        <v>534436</v>
      </c>
      <c r="G4258">
        <v>55092220343</v>
      </c>
      <c r="H4258" t="s">
        <v>35</v>
      </c>
      <c r="I4258" s="36">
        <v>7553.4</v>
      </c>
      <c r="J4258" s="36">
        <v>7553.4</v>
      </c>
      <c r="K4258" s="85">
        <v>0</v>
      </c>
      <c r="L4258" s="36">
        <v>629.45000000000005</v>
      </c>
      <c r="M4258" s="36">
        <v>0</v>
      </c>
      <c r="N4258" s="36">
        <v>112.15</v>
      </c>
      <c r="O4258" s="36">
        <v>517.29999999999995</v>
      </c>
      <c r="P4258" t="s">
        <v>162</v>
      </c>
      <c r="Q4258" t="s">
        <v>111</v>
      </c>
      <c r="R4258" t="s">
        <v>111</v>
      </c>
      <c r="S4258" s="112">
        <v>46149</v>
      </c>
      <c r="T4258" s="112">
        <v>46149</v>
      </c>
      <c r="U4258" s="112">
        <v>46150</v>
      </c>
      <c r="V4258" s="112">
        <v>46515</v>
      </c>
      <c r="W4258" t="s">
        <v>38</v>
      </c>
      <c r="X4258">
        <v>12</v>
      </c>
      <c r="Y4258" t="s">
        <v>49</v>
      </c>
      <c r="Z4258" t="s">
        <v>81</v>
      </c>
      <c r="AA4258" t="s">
        <v>112</v>
      </c>
      <c r="AB4258">
        <v>12</v>
      </c>
      <c r="AC4258" t="s">
        <v>113</v>
      </c>
      <c r="AD4258" t="s">
        <v>134</v>
      </c>
      <c r="AE4258" t="s">
        <v>135</v>
      </c>
      <c r="AF4258" t="s">
        <v>44</v>
      </c>
      <c r="AG4258" t="str">
        <f t="shared" si="95"/>
        <v>CC 12x</v>
      </c>
      <c r="AH4258" t="str">
        <f t="shared" si="96"/>
        <v/>
      </c>
    </row>
    <row r="4259" spans="1:34">
      <c r="A4259">
        <v>2026</v>
      </c>
      <c r="B4259">
        <v>5</v>
      </c>
      <c r="C4259" s="83">
        <v>139910983197</v>
      </c>
      <c r="D4259" t="s">
        <v>1014</v>
      </c>
      <c r="E4259">
        <v>59145334146</v>
      </c>
      <c r="F4259">
        <v>315110</v>
      </c>
      <c r="G4259">
        <v>55155220833</v>
      </c>
      <c r="H4259" t="s">
        <v>35</v>
      </c>
      <c r="I4259" s="36">
        <v>7553.4</v>
      </c>
      <c r="J4259" s="36">
        <v>7553.4</v>
      </c>
      <c r="K4259" s="85">
        <v>0</v>
      </c>
      <c r="L4259" s="36">
        <v>629.45000000000005</v>
      </c>
      <c r="M4259" s="36">
        <v>0</v>
      </c>
      <c r="N4259" s="36">
        <v>89.976249999999993</v>
      </c>
      <c r="O4259" s="36">
        <v>539.47</v>
      </c>
      <c r="P4259" t="s">
        <v>110</v>
      </c>
      <c r="Q4259" t="s">
        <v>111</v>
      </c>
      <c r="R4259" t="s">
        <v>111</v>
      </c>
      <c r="S4259" s="112">
        <v>46150</v>
      </c>
      <c r="T4259" s="112">
        <v>46150</v>
      </c>
      <c r="U4259" s="112">
        <v>46154</v>
      </c>
      <c r="V4259" s="112">
        <v>46519</v>
      </c>
      <c r="W4259" t="s">
        <v>38</v>
      </c>
      <c r="X4259">
        <v>12</v>
      </c>
      <c r="Y4259" t="s">
        <v>49</v>
      </c>
      <c r="Z4259" t="s">
        <v>81</v>
      </c>
      <c r="AA4259" t="s">
        <v>112</v>
      </c>
      <c r="AB4259">
        <v>12</v>
      </c>
      <c r="AC4259" t="s">
        <v>113</v>
      </c>
      <c r="AD4259" t="s">
        <v>134</v>
      </c>
      <c r="AE4259" t="s">
        <v>135</v>
      </c>
      <c r="AF4259" t="s">
        <v>44</v>
      </c>
      <c r="AG4259" t="str">
        <f t="shared" si="95"/>
        <v>CC 12x</v>
      </c>
      <c r="AH4259" t="str">
        <f t="shared" si="96"/>
        <v/>
      </c>
    </row>
    <row r="4260" spans="1:34">
      <c r="A4260">
        <v>2026</v>
      </c>
      <c r="B4260">
        <v>5</v>
      </c>
      <c r="C4260" s="83">
        <v>19435408291</v>
      </c>
      <c r="D4260" t="s">
        <v>3681</v>
      </c>
      <c r="E4260">
        <v>49708367994</v>
      </c>
      <c r="F4260">
        <v>511270</v>
      </c>
      <c r="G4260">
        <v>55412846095</v>
      </c>
      <c r="H4260" t="s">
        <v>35</v>
      </c>
      <c r="I4260" s="36">
        <v>7553.4</v>
      </c>
      <c r="J4260" s="36">
        <v>7553.4</v>
      </c>
      <c r="K4260" s="85">
        <v>0</v>
      </c>
      <c r="L4260" s="36">
        <v>629.45000000000005</v>
      </c>
      <c r="M4260" s="36">
        <v>0</v>
      </c>
      <c r="N4260" s="36">
        <v>53.026249999999997</v>
      </c>
      <c r="O4260" s="36">
        <v>576.41999999999996</v>
      </c>
      <c r="P4260" t="s">
        <v>110</v>
      </c>
      <c r="Q4260" t="s">
        <v>111</v>
      </c>
      <c r="R4260" t="s">
        <v>111</v>
      </c>
      <c r="S4260" s="112">
        <v>46162</v>
      </c>
      <c r="T4260" s="112">
        <v>46162</v>
      </c>
      <c r="U4260" s="112">
        <v>46162</v>
      </c>
      <c r="V4260" s="112">
        <v>46527</v>
      </c>
      <c r="W4260" t="s">
        <v>38</v>
      </c>
      <c r="X4260">
        <v>12</v>
      </c>
      <c r="Y4260" t="s">
        <v>49</v>
      </c>
      <c r="Z4260" t="s">
        <v>81</v>
      </c>
      <c r="AA4260" t="s">
        <v>112</v>
      </c>
      <c r="AB4260">
        <v>12</v>
      </c>
      <c r="AC4260" t="s">
        <v>113</v>
      </c>
      <c r="AD4260" t="s">
        <v>134</v>
      </c>
      <c r="AE4260" t="s">
        <v>135</v>
      </c>
      <c r="AF4260" t="s">
        <v>44</v>
      </c>
      <c r="AG4260" t="str">
        <f t="shared" si="95"/>
        <v>CC 12x</v>
      </c>
      <c r="AH4260" t="str">
        <f t="shared" si="96"/>
        <v/>
      </c>
    </row>
    <row r="4261" spans="1:34">
      <c r="A4261">
        <v>2026</v>
      </c>
      <c r="B4261">
        <v>5</v>
      </c>
      <c r="C4261" s="83">
        <v>2063233</v>
      </c>
      <c r="D4261" t="s">
        <v>240</v>
      </c>
      <c r="E4261">
        <v>60610294040</v>
      </c>
      <c r="F4261">
        <v>535930</v>
      </c>
      <c r="G4261">
        <v>55645940090</v>
      </c>
      <c r="H4261" t="s">
        <v>35</v>
      </c>
      <c r="I4261" s="36">
        <v>7553.4</v>
      </c>
      <c r="J4261" s="36">
        <v>7553.4</v>
      </c>
      <c r="K4261" s="85">
        <v>0</v>
      </c>
      <c r="L4261" s="36">
        <v>629.45000000000005</v>
      </c>
      <c r="M4261" s="36">
        <v>0</v>
      </c>
      <c r="N4261" s="36">
        <v>45.636249999999997</v>
      </c>
      <c r="O4261" s="36">
        <v>583.80999999999995</v>
      </c>
      <c r="P4261" t="s">
        <v>137</v>
      </c>
      <c r="Q4261" t="s">
        <v>111</v>
      </c>
      <c r="R4261" t="s">
        <v>111</v>
      </c>
      <c r="S4261" s="112">
        <v>46169</v>
      </c>
      <c r="T4261" s="112">
        <v>46169</v>
      </c>
      <c r="U4261" s="112">
        <v>46166</v>
      </c>
      <c r="V4261" s="112">
        <v>46534</v>
      </c>
      <c r="W4261" t="s">
        <v>38</v>
      </c>
      <c r="X4261">
        <v>12</v>
      </c>
      <c r="Y4261" t="s">
        <v>49</v>
      </c>
      <c r="Z4261" t="s">
        <v>81</v>
      </c>
      <c r="AA4261" t="s">
        <v>112</v>
      </c>
      <c r="AB4261">
        <v>12</v>
      </c>
      <c r="AC4261" t="s">
        <v>113</v>
      </c>
      <c r="AD4261" t="s">
        <v>134</v>
      </c>
      <c r="AE4261" t="s">
        <v>135</v>
      </c>
      <c r="AF4261" t="s">
        <v>44</v>
      </c>
      <c r="AG4261" t="str">
        <f t="shared" si="95"/>
        <v>CC 12x</v>
      </c>
      <c r="AH4261" t="str">
        <f t="shared" si="96"/>
        <v/>
      </c>
    </row>
    <row r="4262" spans="1:34">
      <c r="A4262">
        <v>2026</v>
      </c>
      <c r="B4262">
        <v>5</v>
      </c>
      <c r="C4262" s="83">
        <v>2137067</v>
      </c>
      <c r="D4262" t="s">
        <v>3682</v>
      </c>
      <c r="E4262">
        <v>60228437896</v>
      </c>
      <c r="F4262">
        <v>511302</v>
      </c>
      <c r="G4262">
        <v>55621925412</v>
      </c>
      <c r="H4262" t="s">
        <v>35</v>
      </c>
      <c r="I4262" s="36">
        <v>7553.4</v>
      </c>
      <c r="J4262" s="36">
        <v>7553.4</v>
      </c>
      <c r="K4262" s="85">
        <v>0</v>
      </c>
      <c r="L4262" s="36">
        <v>629.45000000000005</v>
      </c>
      <c r="M4262" s="36">
        <v>0</v>
      </c>
      <c r="N4262" s="36">
        <v>64.116249999999994</v>
      </c>
      <c r="O4262" s="36">
        <v>565.33000000000004</v>
      </c>
      <c r="P4262" t="s">
        <v>110</v>
      </c>
      <c r="Q4262" t="s">
        <v>111</v>
      </c>
      <c r="R4262" t="s">
        <v>111</v>
      </c>
      <c r="S4262" s="112">
        <v>46168</v>
      </c>
      <c r="T4262" s="112">
        <v>46168</v>
      </c>
      <c r="U4262" s="112">
        <v>46173</v>
      </c>
      <c r="V4262" s="112">
        <v>46538</v>
      </c>
      <c r="W4262" t="s">
        <v>38</v>
      </c>
      <c r="X4262">
        <v>12</v>
      </c>
      <c r="Y4262" t="s">
        <v>49</v>
      </c>
      <c r="Z4262" t="s">
        <v>81</v>
      </c>
      <c r="AA4262" t="s">
        <v>112</v>
      </c>
      <c r="AB4262">
        <v>12</v>
      </c>
      <c r="AC4262" t="s">
        <v>113</v>
      </c>
      <c r="AD4262" t="s">
        <v>134</v>
      </c>
      <c r="AE4262" t="s">
        <v>135</v>
      </c>
      <c r="AF4262" t="s">
        <v>44</v>
      </c>
      <c r="AG4262" t="str">
        <f t="shared" si="95"/>
        <v>CC 12x</v>
      </c>
      <c r="AH4262" t="str">
        <f t="shared" si="96"/>
        <v/>
      </c>
    </row>
    <row r="4263" spans="1:34">
      <c r="A4263">
        <v>2026</v>
      </c>
      <c r="B4263">
        <v>5</v>
      </c>
      <c r="C4263" s="83">
        <v>220212307870</v>
      </c>
      <c r="D4263" t="s">
        <v>3683</v>
      </c>
      <c r="E4263">
        <v>59674946148</v>
      </c>
      <c r="F4263">
        <v>313233</v>
      </c>
      <c r="G4263">
        <v>55088875698</v>
      </c>
      <c r="H4263" t="s">
        <v>35</v>
      </c>
      <c r="I4263" s="36">
        <v>7553.4</v>
      </c>
      <c r="J4263" s="36">
        <v>7553.4</v>
      </c>
      <c r="K4263" s="85">
        <v>0</v>
      </c>
      <c r="L4263" s="36">
        <v>629.45000000000005</v>
      </c>
      <c r="M4263" s="36">
        <v>0</v>
      </c>
      <c r="N4263" s="36">
        <v>32.704045000000001</v>
      </c>
      <c r="O4263" s="36">
        <v>596.75</v>
      </c>
      <c r="P4263" t="s">
        <v>116</v>
      </c>
      <c r="Q4263" t="s">
        <v>111</v>
      </c>
      <c r="R4263" t="s">
        <v>111</v>
      </c>
      <c r="S4263" s="112">
        <v>46149</v>
      </c>
      <c r="T4263" s="112">
        <v>46149</v>
      </c>
      <c r="U4263" s="112">
        <v>46136</v>
      </c>
      <c r="V4263" s="112">
        <v>46514</v>
      </c>
      <c r="W4263" t="s">
        <v>38</v>
      </c>
      <c r="X4263">
        <v>13</v>
      </c>
      <c r="Y4263" t="s">
        <v>49</v>
      </c>
      <c r="Z4263" t="s">
        <v>81</v>
      </c>
      <c r="AA4263" t="s">
        <v>122</v>
      </c>
      <c r="AB4263">
        <v>12</v>
      </c>
      <c r="AC4263" t="s">
        <v>113</v>
      </c>
      <c r="AD4263" t="s">
        <v>134</v>
      </c>
      <c r="AE4263" t="s">
        <v>135</v>
      </c>
      <c r="AF4263" t="s">
        <v>44</v>
      </c>
      <c r="AG4263" t="str">
        <f t="shared" si="95"/>
        <v>Recorrente</v>
      </c>
      <c r="AH4263" t="str">
        <f t="shared" si="96"/>
        <v/>
      </c>
    </row>
    <row r="4264" spans="1:34">
      <c r="A4264">
        <v>2026</v>
      </c>
      <c r="B4264">
        <v>5</v>
      </c>
      <c r="C4264" s="83">
        <v>220817505625</v>
      </c>
      <c r="D4264" t="s">
        <v>3684</v>
      </c>
      <c r="E4264">
        <v>60163166574</v>
      </c>
      <c r="F4264">
        <v>315042</v>
      </c>
      <c r="G4264">
        <v>55189469800</v>
      </c>
      <c r="H4264" t="s">
        <v>35</v>
      </c>
      <c r="I4264" s="36">
        <v>7553.4</v>
      </c>
      <c r="J4264" s="36">
        <v>7553.4</v>
      </c>
      <c r="K4264" s="85">
        <v>0</v>
      </c>
      <c r="L4264" s="36">
        <v>629.45000000000005</v>
      </c>
      <c r="M4264" s="36">
        <v>0</v>
      </c>
      <c r="N4264" s="36">
        <v>75.2</v>
      </c>
      <c r="O4264" s="36">
        <v>554.25</v>
      </c>
      <c r="P4264" t="s">
        <v>162</v>
      </c>
      <c r="Q4264" t="s">
        <v>111</v>
      </c>
      <c r="R4264" t="s">
        <v>111</v>
      </c>
      <c r="S4264" s="112">
        <v>46153</v>
      </c>
      <c r="T4264" s="112">
        <v>46153</v>
      </c>
      <c r="U4264" s="112">
        <v>46151</v>
      </c>
      <c r="V4264" s="112">
        <v>46518</v>
      </c>
      <c r="W4264" t="s">
        <v>38</v>
      </c>
      <c r="X4264">
        <v>12</v>
      </c>
      <c r="Y4264" t="s">
        <v>49</v>
      </c>
      <c r="Z4264" t="s">
        <v>81</v>
      </c>
      <c r="AA4264" t="s">
        <v>112</v>
      </c>
      <c r="AB4264">
        <v>12</v>
      </c>
      <c r="AC4264" t="s">
        <v>113</v>
      </c>
      <c r="AD4264" t="s">
        <v>134</v>
      </c>
      <c r="AE4264" t="s">
        <v>135</v>
      </c>
      <c r="AF4264" t="s">
        <v>44</v>
      </c>
      <c r="AG4264" t="str">
        <f t="shared" si="95"/>
        <v>CC 12x</v>
      </c>
      <c r="AH4264" t="str">
        <f t="shared" si="96"/>
        <v/>
      </c>
    </row>
    <row r="4265" spans="1:34">
      <c r="A4265">
        <v>2026</v>
      </c>
      <c r="B4265">
        <v>5</v>
      </c>
      <c r="C4265" s="83">
        <v>53141270957</v>
      </c>
      <c r="D4265" t="s">
        <v>2641</v>
      </c>
      <c r="E4265">
        <v>58954218121</v>
      </c>
      <c r="F4265">
        <v>281434</v>
      </c>
      <c r="G4265">
        <v>55042413465</v>
      </c>
      <c r="H4265" t="s">
        <v>35</v>
      </c>
      <c r="I4265" s="36">
        <v>7553.4</v>
      </c>
      <c r="J4265" s="36">
        <v>7553.4</v>
      </c>
      <c r="K4265" s="85">
        <v>0</v>
      </c>
      <c r="L4265" s="36">
        <v>629.45000000000005</v>
      </c>
      <c r="M4265" s="36">
        <v>0</v>
      </c>
      <c r="N4265" s="36">
        <v>8.7862500000000008</v>
      </c>
      <c r="O4265" s="36">
        <v>620.66</v>
      </c>
      <c r="P4265" t="s">
        <v>137</v>
      </c>
      <c r="Q4265" t="s">
        <v>111</v>
      </c>
      <c r="R4265" t="s">
        <v>111</v>
      </c>
      <c r="S4265" s="112">
        <v>46146</v>
      </c>
      <c r="T4265" s="112">
        <v>46146</v>
      </c>
      <c r="U4265" s="112">
        <v>46150</v>
      </c>
      <c r="V4265" s="112">
        <v>46515</v>
      </c>
      <c r="W4265" t="s">
        <v>38</v>
      </c>
      <c r="X4265">
        <v>12</v>
      </c>
      <c r="Y4265" t="s">
        <v>49</v>
      </c>
      <c r="Z4265" t="s">
        <v>81</v>
      </c>
      <c r="AA4265" t="s">
        <v>122</v>
      </c>
      <c r="AB4265">
        <v>12</v>
      </c>
      <c r="AC4265" t="s">
        <v>113</v>
      </c>
      <c r="AD4265" t="s">
        <v>134</v>
      </c>
      <c r="AE4265" t="s">
        <v>135</v>
      </c>
      <c r="AF4265" t="s">
        <v>44</v>
      </c>
      <c r="AG4265" t="str">
        <f t="shared" si="95"/>
        <v>Recorrente</v>
      </c>
      <c r="AH4265" t="str">
        <f t="shared" si="96"/>
        <v/>
      </c>
    </row>
    <row r="4266" spans="1:34">
      <c r="A4266">
        <v>2026</v>
      </c>
      <c r="B4266">
        <v>5</v>
      </c>
      <c r="C4266" s="83">
        <v>19435616870</v>
      </c>
      <c r="D4266" t="s">
        <v>3685</v>
      </c>
      <c r="E4266">
        <v>58959153921</v>
      </c>
      <c r="F4266">
        <v>616024</v>
      </c>
      <c r="G4266">
        <v>54090742575</v>
      </c>
      <c r="H4266" t="s">
        <v>35</v>
      </c>
      <c r="I4266" s="36">
        <v>7550.88</v>
      </c>
      <c r="J4266" s="36">
        <v>3775.44</v>
      </c>
      <c r="K4266" s="85">
        <v>3775.44</v>
      </c>
      <c r="L4266" s="36">
        <v>314.62</v>
      </c>
      <c r="M4266" s="36">
        <v>0</v>
      </c>
      <c r="N4266" s="36">
        <v>56.354166650000003</v>
      </c>
      <c r="O4266" s="36">
        <v>258.27083340000001</v>
      </c>
      <c r="P4266" t="s">
        <v>165</v>
      </c>
      <c r="Q4266" t="s">
        <v>166</v>
      </c>
      <c r="R4266" t="s">
        <v>166</v>
      </c>
      <c r="S4266" s="112">
        <v>46166</v>
      </c>
      <c r="T4266" s="112">
        <v>46166</v>
      </c>
      <c r="U4266" s="112">
        <v>46166</v>
      </c>
      <c r="V4266" s="112">
        <v>46897</v>
      </c>
      <c r="W4266" t="s">
        <v>56</v>
      </c>
      <c r="X4266">
        <v>24</v>
      </c>
      <c r="Y4266" t="s">
        <v>49</v>
      </c>
      <c r="Z4266" t="s">
        <v>81</v>
      </c>
      <c r="AA4266" t="s">
        <v>112</v>
      </c>
      <c r="AB4266">
        <v>12</v>
      </c>
      <c r="AC4266" t="s">
        <v>166</v>
      </c>
      <c r="AD4266" t="s">
        <v>84</v>
      </c>
      <c r="AE4266" t="s">
        <v>43</v>
      </c>
      <c r="AF4266" t="s">
        <v>44</v>
      </c>
      <c r="AG4266" t="str">
        <f t="shared" si="95"/>
        <v>CC 12x</v>
      </c>
      <c r="AH4266" t="str">
        <f t="shared" si="96"/>
        <v/>
      </c>
    </row>
    <row r="4267" spans="1:34">
      <c r="A4267">
        <v>2026</v>
      </c>
      <c r="B4267">
        <v>5</v>
      </c>
      <c r="C4267" s="83">
        <v>19435616870</v>
      </c>
      <c r="D4267" t="s">
        <v>3685</v>
      </c>
      <c r="E4267">
        <v>58959153921</v>
      </c>
      <c r="F4267">
        <v>616024</v>
      </c>
      <c r="G4267">
        <v>54131808110</v>
      </c>
      <c r="H4267" t="s">
        <v>35</v>
      </c>
      <c r="I4267" s="36">
        <v>7550.88</v>
      </c>
      <c r="J4267" s="36">
        <v>3775.44</v>
      </c>
      <c r="K4267" s="85">
        <v>3775.44</v>
      </c>
      <c r="L4267" s="36">
        <v>314.62</v>
      </c>
      <c r="M4267" s="36">
        <v>0</v>
      </c>
      <c r="N4267" s="36">
        <v>56.354166650000003</v>
      </c>
      <c r="O4267" s="36">
        <v>258.27083340000001</v>
      </c>
      <c r="P4267" t="s">
        <v>165</v>
      </c>
      <c r="Q4267" t="s">
        <v>166</v>
      </c>
      <c r="R4267" t="s">
        <v>166</v>
      </c>
      <c r="S4267" s="112">
        <v>46166</v>
      </c>
      <c r="T4267" s="112">
        <v>46166</v>
      </c>
      <c r="U4267" s="112">
        <v>46166</v>
      </c>
      <c r="V4267" s="112">
        <v>46897</v>
      </c>
      <c r="W4267" t="s">
        <v>56</v>
      </c>
      <c r="X4267">
        <v>24</v>
      </c>
      <c r="Y4267" t="s">
        <v>49</v>
      </c>
      <c r="Z4267" t="s">
        <v>81</v>
      </c>
      <c r="AA4267" t="s">
        <v>112</v>
      </c>
      <c r="AB4267">
        <v>12</v>
      </c>
      <c r="AC4267" t="s">
        <v>166</v>
      </c>
      <c r="AD4267" t="s">
        <v>84</v>
      </c>
      <c r="AE4267" t="s">
        <v>43</v>
      </c>
      <c r="AF4267" t="s">
        <v>44</v>
      </c>
      <c r="AG4267" t="str">
        <f t="shared" si="95"/>
        <v>CC 12x</v>
      </c>
      <c r="AH4267" t="str">
        <f t="shared" si="96"/>
        <v/>
      </c>
    </row>
    <row r="4268" spans="1:34">
      <c r="A4268">
        <v>2026</v>
      </c>
      <c r="B4268">
        <v>5</v>
      </c>
      <c r="C4268" s="83">
        <v>2124807</v>
      </c>
      <c r="D4268" t="s">
        <v>3686</v>
      </c>
      <c r="E4268">
        <v>58583890328</v>
      </c>
      <c r="F4268">
        <v>510815</v>
      </c>
      <c r="G4268">
        <v>53792794551</v>
      </c>
      <c r="H4268" t="s">
        <v>35</v>
      </c>
      <c r="I4268" s="36">
        <v>7550.88</v>
      </c>
      <c r="J4268" s="36">
        <v>3775.44</v>
      </c>
      <c r="K4268" s="85">
        <v>3775.44</v>
      </c>
      <c r="L4268" s="36">
        <v>314.62</v>
      </c>
      <c r="M4268" s="36">
        <v>0</v>
      </c>
      <c r="N4268" s="36">
        <v>53.934166699999999</v>
      </c>
      <c r="O4268" s="36">
        <v>260.69083330000001</v>
      </c>
      <c r="P4268" t="s">
        <v>165</v>
      </c>
      <c r="Q4268" t="s">
        <v>166</v>
      </c>
      <c r="R4268" t="s">
        <v>166</v>
      </c>
      <c r="S4268" s="112">
        <v>46157</v>
      </c>
      <c r="T4268" s="112">
        <v>46157</v>
      </c>
      <c r="U4268" s="112">
        <v>46157</v>
      </c>
      <c r="V4268" s="112">
        <v>46888</v>
      </c>
      <c r="W4268" t="s">
        <v>56</v>
      </c>
      <c r="X4268">
        <v>24</v>
      </c>
      <c r="Y4268" t="s">
        <v>49</v>
      </c>
      <c r="Z4268" t="s">
        <v>81</v>
      </c>
      <c r="AA4268" t="s">
        <v>122</v>
      </c>
      <c r="AB4268">
        <v>24</v>
      </c>
      <c r="AC4268" t="s">
        <v>166</v>
      </c>
      <c r="AD4268" t="s">
        <v>84</v>
      </c>
      <c r="AE4268" t="s">
        <v>43</v>
      </c>
      <c r="AF4268" t="s">
        <v>44</v>
      </c>
      <c r="AG4268" t="str">
        <f t="shared" si="95"/>
        <v>Recorrente</v>
      </c>
      <c r="AH4268" t="str">
        <f t="shared" si="96"/>
        <v/>
      </c>
    </row>
    <row r="4269" spans="1:34">
      <c r="A4269">
        <v>2026</v>
      </c>
      <c r="B4269">
        <v>5</v>
      </c>
      <c r="C4269" s="83">
        <v>2105162</v>
      </c>
      <c r="D4269" t="s">
        <v>3687</v>
      </c>
      <c r="E4269">
        <v>60058493535</v>
      </c>
      <c r="F4269">
        <v>637680</v>
      </c>
      <c r="G4269">
        <v>55155207311</v>
      </c>
      <c r="H4269" t="s">
        <v>35</v>
      </c>
      <c r="I4269" s="36">
        <v>7483.2</v>
      </c>
      <c r="J4269" s="36">
        <v>7483.2</v>
      </c>
      <c r="K4269" s="85">
        <v>0</v>
      </c>
      <c r="L4269" s="36">
        <v>623.6</v>
      </c>
      <c r="M4269" s="36">
        <v>623.6</v>
      </c>
      <c r="N4269" s="36">
        <v>0</v>
      </c>
      <c r="O4269" s="36">
        <v>0</v>
      </c>
      <c r="P4269" t="s">
        <v>511</v>
      </c>
      <c r="Q4269" t="s">
        <v>300</v>
      </c>
      <c r="R4269" t="s">
        <v>300</v>
      </c>
      <c r="S4269" s="112">
        <v>46150</v>
      </c>
      <c r="T4269" s="112">
        <v>46150</v>
      </c>
      <c r="U4269" s="112"/>
      <c r="V4269" s="112">
        <v>46515</v>
      </c>
      <c r="W4269" t="s">
        <v>38</v>
      </c>
      <c r="X4269">
        <v>12</v>
      </c>
      <c r="Y4269" t="s">
        <v>49</v>
      </c>
      <c r="AA4269" t="s">
        <v>112</v>
      </c>
      <c r="AB4269">
        <v>12</v>
      </c>
      <c r="AC4269" t="s">
        <v>301</v>
      </c>
      <c r="AD4269" t="s">
        <v>134</v>
      </c>
      <c r="AE4269" t="s">
        <v>135</v>
      </c>
      <c r="AF4269" t="s">
        <v>44</v>
      </c>
      <c r="AG4269" t="str">
        <f t="shared" si="95"/>
        <v>CC 12x</v>
      </c>
      <c r="AH4269" t="str">
        <f t="shared" si="96"/>
        <v/>
      </c>
    </row>
    <row r="4270" spans="1:34">
      <c r="A4270">
        <v>2026</v>
      </c>
      <c r="B4270">
        <v>5</v>
      </c>
      <c r="C4270" s="83">
        <v>33772335466</v>
      </c>
      <c r="D4270" t="s">
        <v>3688</v>
      </c>
      <c r="E4270">
        <v>60236267864</v>
      </c>
      <c r="F4270">
        <v>315378</v>
      </c>
      <c r="G4270">
        <v>55320778349</v>
      </c>
      <c r="H4270" t="s">
        <v>35</v>
      </c>
      <c r="I4270" s="36">
        <v>7483.2</v>
      </c>
      <c r="J4270" s="36">
        <v>7483.2</v>
      </c>
      <c r="K4270" s="85">
        <v>0</v>
      </c>
      <c r="L4270" s="36">
        <v>623.6</v>
      </c>
      <c r="M4270" s="36">
        <v>0</v>
      </c>
      <c r="N4270" s="36">
        <v>54.57</v>
      </c>
      <c r="O4270" s="36">
        <v>569.03</v>
      </c>
      <c r="P4270" t="s">
        <v>127</v>
      </c>
      <c r="Q4270" t="s">
        <v>111</v>
      </c>
      <c r="R4270" t="s">
        <v>111</v>
      </c>
      <c r="S4270" s="112">
        <v>46160</v>
      </c>
      <c r="T4270" s="112">
        <v>46160</v>
      </c>
      <c r="U4270" s="112">
        <v>46173</v>
      </c>
      <c r="V4270" s="112">
        <v>46538</v>
      </c>
      <c r="W4270" t="s">
        <v>38</v>
      </c>
      <c r="X4270">
        <v>12</v>
      </c>
      <c r="Y4270" t="s">
        <v>49</v>
      </c>
      <c r="Z4270" t="s">
        <v>81</v>
      </c>
      <c r="AA4270" t="s">
        <v>112</v>
      </c>
      <c r="AB4270">
        <v>12</v>
      </c>
      <c r="AC4270" t="s">
        <v>113</v>
      </c>
      <c r="AD4270" t="s">
        <v>134</v>
      </c>
      <c r="AE4270" t="s">
        <v>135</v>
      </c>
      <c r="AF4270" t="s">
        <v>44</v>
      </c>
      <c r="AG4270" t="str">
        <f t="shared" si="95"/>
        <v>CC 12x</v>
      </c>
      <c r="AH4270" t="str">
        <f t="shared" si="96"/>
        <v/>
      </c>
    </row>
    <row r="4271" spans="1:34">
      <c r="A4271">
        <v>2026</v>
      </c>
      <c r="B4271">
        <v>5</v>
      </c>
      <c r="C4271" s="83">
        <v>2089034</v>
      </c>
      <c r="D4271" t="s">
        <v>3590</v>
      </c>
      <c r="E4271">
        <v>60333293828</v>
      </c>
      <c r="F4271">
        <v>637844</v>
      </c>
      <c r="G4271">
        <v>55324675590</v>
      </c>
      <c r="H4271" t="s">
        <v>35</v>
      </c>
      <c r="I4271" s="36">
        <v>7480.08</v>
      </c>
      <c r="J4271" s="36">
        <v>3740.1</v>
      </c>
      <c r="K4271" s="85">
        <v>3739.98</v>
      </c>
      <c r="L4271" s="36">
        <v>311.67500000000001</v>
      </c>
      <c r="M4271" s="36">
        <v>0</v>
      </c>
      <c r="N4271" s="36">
        <v>311.67500000000001</v>
      </c>
      <c r="O4271" s="36">
        <v>0</v>
      </c>
      <c r="P4271" t="s">
        <v>367</v>
      </c>
      <c r="Q4271" t="s">
        <v>191</v>
      </c>
      <c r="R4271" t="s">
        <v>191</v>
      </c>
      <c r="S4271" s="112">
        <v>46161</v>
      </c>
      <c r="T4271" s="112">
        <v>46161</v>
      </c>
      <c r="V4271" s="112">
        <v>46892</v>
      </c>
      <c r="W4271" t="s">
        <v>56</v>
      </c>
      <c r="X4271">
        <v>24</v>
      </c>
      <c r="Y4271" t="s">
        <v>49</v>
      </c>
      <c r="AA4271" t="s">
        <v>122</v>
      </c>
      <c r="AB4271">
        <v>24</v>
      </c>
      <c r="AC4271" t="s">
        <v>192</v>
      </c>
      <c r="AD4271" t="s">
        <v>85</v>
      </c>
      <c r="AE4271" t="s">
        <v>46</v>
      </c>
      <c r="AF4271" t="s">
        <v>44</v>
      </c>
      <c r="AG4271" t="str">
        <f t="shared" si="95"/>
        <v>Recorrente</v>
      </c>
      <c r="AH4271" t="str">
        <f t="shared" si="96"/>
        <v/>
      </c>
    </row>
    <row r="4272" spans="1:34">
      <c r="A4272">
        <v>2026</v>
      </c>
      <c r="B4272">
        <v>5</v>
      </c>
      <c r="C4272" s="83">
        <v>19486004374</v>
      </c>
      <c r="D4272" t="s">
        <v>3689</v>
      </c>
      <c r="E4272">
        <v>59239570581</v>
      </c>
      <c r="F4272">
        <v>637791</v>
      </c>
      <c r="G4272">
        <v>55253950233</v>
      </c>
      <c r="H4272" t="s">
        <v>35</v>
      </c>
      <c r="I4272" s="36">
        <v>7333.2</v>
      </c>
      <c r="J4272" s="36">
        <v>7333.2</v>
      </c>
      <c r="K4272" s="85">
        <v>0</v>
      </c>
      <c r="L4272" s="36">
        <v>611.1</v>
      </c>
      <c r="M4272" s="36">
        <v>0</v>
      </c>
      <c r="N4272" s="36">
        <v>392.84750000000003</v>
      </c>
      <c r="O4272" s="36">
        <v>218.2525</v>
      </c>
      <c r="P4272" t="s">
        <v>520</v>
      </c>
      <c r="Q4272" t="s">
        <v>191</v>
      </c>
      <c r="R4272" t="s">
        <v>191</v>
      </c>
      <c r="S4272" s="112">
        <v>46156</v>
      </c>
      <c r="T4272" s="112">
        <v>46156</v>
      </c>
      <c r="U4272" s="112"/>
      <c r="V4272" s="112">
        <v>46521</v>
      </c>
      <c r="W4272" t="s">
        <v>38</v>
      </c>
      <c r="Y4272" t="s">
        <v>49</v>
      </c>
      <c r="AA4272" t="s">
        <v>122</v>
      </c>
      <c r="AB4272">
        <v>12</v>
      </c>
      <c r="AC4272" t="s">
        <v>192</v>
      </c>
      <c r="AD4272" t="s">
        <v>160</v>
      </c>
      <c r="AE4272" t="s">
        <v>43</v>
      </c>
      <c r="AF4272" t="s">
        <v>44</v>
      </c>
      <c r="AG4272" t="str">
        <f t="shared" si="95"/>
        <v>Recorrente</v>
      </c>
      <c r="AH4272" t="str">
        <f t="shared" si="96"/>
        <v/>
      </c>
    </row>
    <row r="4273" spans="1:34">
      <c r="A4273">
        <v>2026</v>
      </c>
      <c r="B4273">
        <v>5</v>
      </c>
      <c r="C4273" s="83">
        <v>31753268049</v>
      </c>
      <c r="D4273" t="s">
        <v>3414</v>
      </c>
      <c r="E4273">
        <v>60236787006</v>
      </c>
      <c r="F4273">
        <v>637785</v>
      </c>
      <c r="G4273">
        <v>55244683101</v>
      </c>
      <c r="H4273" t="s">
        <v>35</v>
      </c>
      <c r="I4273" s="36">
        <v>7333.2</v>
      </c>
      <c r="J4273" s="36">
        <v>3666.6</v>
      </c>
      <c r="K4273" s="85">
        <v>3666.6</v>
      </c>
      <c r="L4273" s="36">
        <v>305.55</v>
      </c>
      <c r="M4273" s="36">
        <v>0</v>
      </c>
      <c r="N4273" s="36">
        <v>50.237772970000002</v>
      </c>
      <c r="O4273" s="36">
        <v>255.31222700000001</v>
      </c>
      <c r="P4273" t="s">
        <v>127</v>
      </c>
      <c r="Q4273" t="s">
        <v>111</v>
      </c>
      <c r="R4273" t="s">
        <v>111</v>
      </c>
      <c r="S4273" s="112">
        <v>46156</v>
      </c>
      <c r="T4273" s="112">
        <v>46156</v>
      </c>
      <c r="V4273" s="112">
        <v>46887</v>
      </c>
      <c r="W4273" t="s">
        <v>56</v>
      </c>
      <c r="Y4273" t="s">
        <v>49</v>
      </c>
      <c r="AA4273" t="s">
        <v>122</v>
      </c>
      <c r="AB4273">
        <v>24</v>
      </c>
      <c r="AC4273" t="s">
        <v>113</v>
      </c>
      <c r="AD4273" t="s">
        <v>114</v>
      </c>
      <c r="AE4273" t="s">
        <v>43</v>
      </c>
      <c r="AF4273" t="s">
        <v>44</v>
      </c>
      <c r="AG4273" t="str">
        <f t="shared" si="95"/>
        <v>Recorrente</v>
      </c>
      <c r="AH4273" t="str">
        <f t="shared" si="96"/>
        <v/>
      </c>
    </row>
    <row r="4274" spans="1:34">
      <c r="A4274">
        <v>2026</v>
      </c>
      <c r="B4274">
        <v>5</v>
      </c>
      <c r="C4274" s="83">
        <v>20973395341</v>
      </c>
      <c r="D4274" t="s">
        <v>3579</v>
      </c>
      <c r="E4274">
        <v>60014736529</v>
      </c>
      <c r="F4274">
        <v>637753</v>
      </c>
      <c r="G4274">
        <v>55191523449</v>
      </c>
      <c r="H4274" t="s">
        <v>35</v>
      </c>
      <c r="I4274" s="36">
        <v>7307.28</v>
      </c>
      <c r="J4274" s="36">
        <v>3653.6835599999999</v>
      </c>
      <c r="K4274" s="85">
        <v>3653.5964399999998</v>
      </c>
      <c r="L4274" s="36">
        <v>304.47363000000001</v>
      </c>
      <c r="M4274" s="36">
        <v>0</v>
      </c>
      <c r="N4274" s="36">
        <v>232.0103962</v>
      </c>
      <c r="O4274" s="36">
        <v>72.463233799999998</v>
      </c>
      <c r="P4274" t="s">
        <v>520</v>
      </c>
      <c r="Q4274" t="s">
        <v>191</v>
      </c>
      <c r="R4274" t="s">
        <v>191</v>
      </c>
      <c r="S4274" s="112">
        <v>46154</v>
      </c>
      <c r="T4274" s="112">
        <v>46154</v>
      </c>
      <c r="V4274" s="112">
        <v>46901</v>
      </c>
      <c r="W4274" t="s">
        <v>56</v>
      </c>
      <c r="Y4274" t="s">
        <v>549</v>
      </c>
      <c r="AA4274" t="s">
        <v>92</v>
      </c>
      <c r="AB4274">
        <v>24</v>
      </c>
      <c r="AC4274" t="s">
        <v>192</v>
      </c>
      <c r="AD4274" t="s">
        <v>362</v>
      </c>
      <c r="AE4274" t="s">
        <v>363</v>
      </c>
      <c r="AF4274" t="s">
        <v>59</v>
      </c>
      <c r="AG4274" t="str">
        <f t="shared" si="95"/>
        <v>Recorrente</v>
      </c>
      <c r="AH4274" t="str">
        <f t="shared" si="96"/>
        <v/>
      </c>
    </row>
    <row r="4275" spans="1:34">
      <c r="A4275">
        <v>2026</v>
      </c>
      <c r="B4275">
        <v>5</v>
      </c>
      <c r="C4275" s="83">
        <v>20973395341</v>
      </c>
      <c r="D4275" t="s">
        <v>3579</v>
      </c>
      <c r="E4275">
        <v>60014736529</v>
      </c>
      <c r="F4275">
        <v>637753</v>
      </c>
      <c r="G4275">
        <v>55191523450</v>
      </c>
      <c r="H4275" t="s">
        <v>35</v>
      </c>
      <c r="I4275" s="36">
        <v>7307.28</v>
      </c>
      <c r="J4275" s="36">
        <v>3653.6835599999999</v>
      </c>
      <c r="K4275" s="85">
        <v>3653.5964399999998</v>
      </c>
      <c r="L4275" s="36">
        <v>304.47363000000001</v>
      </c>
      <c r="M4275" s="36">
        <v>0</v>
      </c>
      <c r="N4275" s="36">
        <v>232.0103962</v>
      </c>
      <c r="O4275" s="36">
        <v>72.463233799999998</v>
      </c>
      <c r="P4275" t="s">
        <v>520</v>
      </c>
      <c r="Q4275" t="s">
        <v>191</v>
      </c>
      <c r="R4275" t="s">
        <v>191</v>
      </c>
      <c r="S4275" s="112">
        <v>46154</v>
      </c>
      <c r="T4275" s="112">
        <v>46154</v>
      </c>
      <c r="U4275" s="112"/>
      <c r="V4275" s="112">
        <v>46901</v>
      </c>
      <c r="W4275" t="s">
        <v>56</v>
      </c>
      <c r="Y4275" t="s">
        <v>549</v>
      </c>
      <c r="AA4275" t="s">
        <v>92</v>
      </c>
      <c r="AB4275">
        <v>24</v>
      </c>
      <c r="AC4275" t="s">
        <v>192</v>
      </c>
      <c r="AD4275" t="s">
        <v>256</v>
      </c>
      <c r="AE4275" t="s">
        <v>257</v>
      </c>
      <c r="AF4275" t="s">
        <v>59</v>
      </c>
      <c r="AG4275" t="str">
        <f t="shared" si="95"/>
        <v>Recorrente</v>
      </c>
      <c r="AH4275" t="str">
        <f t="shared" si="96"/>
        <v/>
      </c>
    </row>
    <row r="4276" spans="1:34">
      <c r="A4276">
        <v>2026</v>
      </c>
      <c r="B4276">
        <v>5</v>
      </c>
      <c r="C4276" s="83">
        <v>23568604753</v>
      </c>
      <c r="D4276" t="s">
        <v>826</v>
      </c>
      <c r="E4276">
        <v>59244923311</v>
      </c>
      <c r="F4276">
        <v>637636</v>
      </c>
      <c r="G4276">
        <v>55095925082</v>
      </c>
      <c r="H4276" t="s">
        <v>35</v>
      </c>
      <c r="I4276" s="36">
        <v>7307.28</v>
      </c>
      <c r="J4276" s="36">
        <v>2625.063842</v>
      </c>
      <c r="K4276" s="85">
        <v>4682.2161580000002</v>
      </c>
      <c r="L4276" s="36">
        <v>218.75532010000001</v>
      </c>
      <c r="M4276" s="36">
        <v>0</v>
      </c>
      <c r="N4276" s="36">
        <v>218.75532010000001</v>
      </c>
      <c r="O4276" s="36">
        <v>0</v>
      </c>
      <c r="P4276" t="s">
        <v>520</v>
      </c>
      <c r="Q4276" t="s">
        <v>191</v>
      </c>
      <c r="R4276" t="s">
        <v>191</v>
      </c>
      <c r="S4276" s="112">
        <v>46149</v>
      </c>
      <c r="T4276" s="112">
        <v>46149</v>
      </c>
      <c r="U4276" s="112"/>
      <c r="V4276" s="112">
        <v>46886</v>
      </c>
      <c r="W4276" t="s">
        <v>56</v>
      </c>
      <c r="Y4276" t="s">
        <v>549</v>
      </c>
      <c r="AA4276" t="s">
        <v>92</v>
      </c>
      <c r="AB4276">
        <v>24</v>
      </c>
      <c r="AC4276" t="s">
        <v>192</v>
      </c>
      <c r="AD4276" t="s">
        <v>362</v>
      </c>
      <c r="AE4276" t="s">
        <v>363</v>
      </c>
      <c r="AF4276" t="s">
        <v>59</v>
      </c>
      <c r="AG4276" t="str">
        <f t="shared" si="95"/>
        <v>Recorrente</v>
      </c>
      <c r="AH4276" t="str">
        <f t="shared" si="96"/>
        <v/>
      </c>
    </row>
    <row r="4277" spans="1:34">
      <c r="A4277">
        <v>2026</v>
      </c>
      <c r="B4277">
        <v>5</v>
      </c>
      <c r="C4277" s="83">
        <v>23568604753</v>
      </c>
      <c r="D4277" t="s">
        <v>826</v>
      </c>
      <c r="E4277">
        <v>59244923311</v>
      </c>
      <c r="F4277">
        <v>637636</v>
      </c>
      <c r="G4277">
        <v>55095925084</v>
      </c>
      <c r="H4277" t="s">
        <v>35</v>
      </c>
      <c r="I4277" s="36">
        <v>7307.28</v>
      </c>
      <c r="J4277" s="36">
        <v>2625.063842</v>
      </c>
      <c r="K4277" s="85">
        <v>4682.2161580000002</v>
      </c>
      <c r="L4277" s="36">
        <v>218.75532010000001</v>
      </c>
      <c r="M4277" s="36">
        <v>0</v>
      </c>
      <c r="N4277" s="36">
        <v>218.75532010000001</v>
      </c>
      <c r="O4277" s="36">
        <v>0</v>
      </c>
      <c r="P4277" t="s">
        <v>520</v>
      </c>
      <c r="Q4277" t="s">
        <v>191</v>
      </c>
      <c r="R4277" t="s">
        <v>191</v>
      </c>
      <c r="S4277" s="112">
        <v>46149</v>
      </c>
      <c r="T4277" s="112">
        <v>46149</v>
      </c>
      <c r="V4277" s="112">
        <v>46886</v>
      </c>
      <c r="W4277" t="s">
        <v>56</v>
      </c>
      <c r="Y4277" t="s">
        <v>549</v>
      </c>
      <c r="AA4277" t="s">
        <v>92</v>
      </c>
      <c r="AB4277">
        <v>24</v>
      </c>
      <c r="AC4277" t="s">
        <v>192</v>
      </c>
      <c r="AD4277" t="s">
        <v>256</v>
      </c>
      <c r="AE4277" t="s">
        <v>257</v>
      </c>
      <c r="AF4277" t="s">
        <v>59</v>
      </c>
      <c r="AG4277" t="str">
        <f t="shared" si="95"/>
        <v>Recorrente</v>
      </c>
      <c r="AH4277" t="str">
        <f t="shared" si="96"/>
        <v/>
      </c>
    </row>
    <row r="4278" spans="1:34">
      <c r="A4278">
        <v>2026</v>
      </c>
      <c r="B4278">
        <v>5</v>
      </c>
      <c r="C4278" s="83">
        <v>2120296</v>
      </c>
      <c r="D4278" t="s">
        <v>3690</v>
      </c>
      <c r="E4278">
        <v>58950857586</v>
      </c>
      <c r="F4278">
        <v>314301</v>
      </c>
      <c r="G4278">
        <v>55319809367</v>
      </c>
      <c r="H4278" t="s">
        <v>35</v>
      </c>
      <c r="I4278" s="36">
        <v>7252.32</v>
      </c>
      <c r="J4278" s="36">
        <v>3626.16</v>
      </c>
      <c r="K4278" s="85">
        <v>3626.16</v>
      </c>
      <c r="L4278" s="36">
        <v>302.18</v>
      </c>
      <c r="M4278" s="36">
        <v>0</v>
      </c>
      <c r="N4278" s="36">
        <v>19.264233300000001</v>
      </c>
      <c r="O4278" s="36">
        <v>282.91666670000001</v>
      </c>
      <c r="P4278" t="s">
        <v>133</v>
      </c>
      <c r="Q4278" t="s">
        <v>111</v>
      </c>
      <c r="R4278" t="s">
        <v>111</v>
      </c>
      <c r="S4278" s="112">
        <v>46162</v>
      </c>
      <c r="T4278" s="112">
        <v>46162</v>
      </c>
      <c r="U4278" s="112">
        <v>46150</v>
      </c>
      <c r="V4278" s="112">
        <v>46893</v>
      </c>
      <c r="W4278" t="s">
        <v>56</v>
      </c>
      <c r="X4278">
        <v>24</v>
      </c>
      <c r="Y4278" t="s">
        <v>49</v>
      </c>
      <c r="Z4278" t="s">
        <v>81</v>
      </c>
      <c r="AA4278" t="s">
        <v>122</v>
      </c>
      <c r="AB4278">
        <v>24</v>
      </c>
      <c r="AC4278" t="s">
        <v>113</v>
      </c>
      <c r="AD4278" t="s">
        <v>85</v>
      </c>
      <c r="AE4278" t="s">
        <v>46</v>
      </c>
      <c r="AF4278" t="s">
        <v>44</v>
      </c>
      <c r="AG4278" t="str">
        <f t="shared" ref="AG4278:AG4341" si="97">IF(IFERROR(SEARCH("Recorrente",AA4278),0)&gt;0,"Recorrente",IF(AB4278=1,"À Vista",IF(AB4278&lt;=3,"CC 3x",IF(AB4278&lt;=12,"CC 12x",IF(AB4278&gt;12,"Recorrente","")))))</f>
        <v>Recorrente</v>
      </c>
      <c r="AH4278" t="str">
        <f t="shared" ref="AH4278:AH4341" si="98">IF(AND(SUMIF(E:E,E4278,I:I)&gt;=400000,Q4278="B2G"),"n","")</f>
        <v/>
      </c>
    </row>
    <row r="4279" spans="1:34">
      <c r="A4279">
        <v>2026</v>
      </c>
      <c r="B4279">
        <v>5</v>
      </c>
      <c r="C4279" s="83">
        <v>55160387159</v>
      </c>
      <c r="D4279" t="s">
        <v>3691</v>
      </c>
      <c r="E4279">
        <v>60536347474</v>
      </c>
      <c r="F4279">
        <v>637932</v>
      </c>
      <c r="G4279">
        <v>55583770794</v>
      </c>
      <c r="H4279" t="s">
        <v>35</v>
      </c>
      <c r="I4279" s="36">
        <v>7202.52</v>
      </c>
      <c r="J4279" s="36">
        <v>4943.9824049999997</v>
      </c>
      <c r="K4279" s="85">
        <v>2258.5375949999998</v>
      </c>
      <c r="L4279" s="36">
        <v>411.99853380000002</v>
      </c>
      <c r="M4279" s="36">
        <v>0</v>
      </c>
      <c r="N4279" s="36">
        <v>411.99853380000002</v>
      </c>
      <c r="O4279" s="36">
        <v>0</v>
      </c>
      <c r="P4279" t="s">
        <v>190</v>
      </c>
      <c r="Q4279" t="s">
        <v>191</v>
      </c>
      <c r="R4279" t="s">
        <v>191</v>
      </c>
      <c r="S4279" s="112">
        <v>46164</v>
      </c>
      <c r="T4279" s="112">
        <v>46164</v>
      </c>
      <c r="U4279" s="112"/>
      <c r="V4279" s="112">
        <v>46548</v>
      </c>
      <c r="W4279" t="s">
        <v>38</v>
      </c>
      <c r="Y4279" t="s">
        <v>49</v>
      </c>
      <c r="AA4279" t="s">
        <v>92</v>
      </c>
      <c r="AB4279">
        <v>12</v>
      </c>
      <c r="AC4279" t="s">
        <v>192</v>
      </c>
      <c r="AD4279" t="s">
        <v>134</v>
      </c>
      <c r="AE4279" t="s">
        <v>135</v>
      </c>
      <c r="AF4279" t="s">
        <v>44</v>
      </c>
      <c r="AG4279" t="str">
        <f t="shared" si="97"/>
        <v>Recorrente</v>
      </c>
      <c r="AH4279" t="str">
        <f t="shared" si="98"/>
        <v/>
      </c>
    </row>
    <row r="4280" spans="1:34">
      <c r="A4280">
        <v>2026</v>
      </c>
      <c r="B4280">
        <v>5</v>
      </c>
      <c r="C4280" s="83">
        <v>19485961854</v>
      </c>
      <c r="D4280" t="s">
        <v>3692</v>
      </c>
      <c r="E4280">
        <v>59766080919</v>
      </c>
      <c r="F4280">
        <v>613321</v>
      </c>
      <c r="G4280">
        <v>55412872725</v>
      </c>
      <c r="H4280" t="s">
        <v>35</v>
      </c>
      <c r="I4280" s="36">
        <v>7200</v>
      </c>
      <c r="J4280" s="36">
        <v>7200</v>
      </c>
      <c r="K4280" s="85">
        <v>0</v>
      </c>
      <c r="L4280" s="36">
        <v>600</v>
      </c>
      <c r="M4280" s="36">
        <v>0</v>
      </c>
      <c r="N4280" s="36">
        <v>6.9</v>
      </c>
      <c r="O4280" s="36">
        <v>593.1</v>
      </c>
      <c r="P4280" t="s">
        <v>116</v>
      </c>
      <c r="Q4280" t="s">
        <v>111</v>
      </c>
      <c r="R4280" t="s">
        <v>111</v>
      </c>
      <c r="S4280" s="112">
        <v>46169</v>
      </c>
      <c r="T4280" s="112">
        <v>46169</v>
      </c>
      <c r="U4280" s="112">
        <v>46170</v>
      </c>
      <c r="V4280" s="112">
        <v>46535</v>
      </c>
      <c r="W4280" t="s">
        <v>38</v>
      </c>
      <c r="X4280">
        <v>12</v>
      </c>
      <c r="Y4280" t="s">
        <v>49</v>
      </c>
      <c r="Z4280" t="s">
        <v>81</v>
      </c>
      <c r="AA4280" t="s">
        <v>92</v>
      </c>
      <c r="AB4280">
        <v>12</v>
      </c>
      <c r="AC4280" t="s">
        <v>113</v>
      </c>
      <c r="AD4280" t="s">
        <v>94</v>
      </c>
      <c r="AE4280" t="s">
        <v>95</v>
      </c>
      <c r="AF4280" t="s">
        <v>96</v>
      </c>
      <c r="AG4280" t="str">
        <f t="shared" si="97"/>
        <v>Recorrente</v>
      </c>
      <c r="AH4280" t="str">
        <f t="shared" si="98"/>
        <v/>
      </c>
    </row>
    <row r="4281" spans="1:34">
      <c r="A4281">
        <v>2026</v>
      </c>
      <c r="B4281">
        <v>5</v>
      </c>
      <c r="C4281" s="83">
        <v>19485961854</v>
      </c>
      <c r="D4281" t="s">
        <v>3692</v>
      </c>
      <c r="E4281">
        <v>59766080919</v>
      </c>
      <c r="F4281">
        <v>613321</v>
      </c>
      <c r="G4281">
        <v>55412872726</v>
      </c>
      <c r="H4281" t="s">
        <v>35</v>
      </c>
      <c r="I4281" s="36">
        <v>7200</v>
      </c>
      <c r="J4281" s="36">
        <v>7200</v>
      </c>
      <c r="K4281" s="85">
        <v>0</v>
      </c>
      <c r="L4281" s="36">
        <v>600</v>
      </c>
      <c r="M4281" s="36">
        <v>0</v>
      </c>
      <c r="N4281" s="36">
        <v>6.9</v>
      </c>
      <c r="O4281" s="36">
        <v>593.1</v>
      </c>
      <c r="P4281" t="s">
        <v>116</v>
      </c>
      <c r="Q4281" t="s">
        <v>111</v>
      </c>
      <c r="R4281" t="s">
        <v>111</v>
      </c>
      <c r="S4281" s="112">
        <v>46169</v>
      </c>
      <c r="T4281" s="112">
        <v>46169</v>
      </c>
      <c r="U4281" s="112">
        <v>46170</v>
      </c>
      <c r="V4281" s="112">
        <v>46535</v>
      </c>
      <c r="W4281" t="s">
        <v>38</v>
      </c>
      <c r="X4281">
        <v>12</v>
      </c>
      <c r="Y4281" t="s">
        <v>49</v>
      </c>
      <c r="Z4281" t="s">
        <v>81</v>
      </c>
      <c r="AA4281" t="s">
        <v>92</v>
      </c>
      <c r="AB4281">
        <v>12</v>
      </c>
      <c r="AC4281" t="s">
        <v>113</v>
      </c>
      <c r="AD4281" t="s">
        <v>94</v>
      </c>
      <c r="AE4281" t="s">
        <v>95</v>
      </c>
      <c r="AF4281" t="s">
        <v>96</v>
      </c>
      <c r="AG4281" t="str">
        <f t="shared" si="97"/>
        <v>Recorrente</v>
      </c>
      <c r="AH4281" t="str">
        <f t="shared" si="98"/>
        <v/>
      </c>
    </row>
    <row r="4282" spans="1:34">
      <c r="A4282">
        <v>2026</v>
      </c>
      <c r="B4282">
        <v>5</v>
      </c>
      <c r="C4282" s="83">
        <v>119684926542</v>
      </c>
      <c r="D4282" t="s">
        <v>3693</v>
      </c>
      <c r="E4282">
        <v>59027300984</v>
      </c>
      <c r="F4282">
        <v>312301</v>
      </c>
      <c r="G4282">
        <v>54881294707</v>
      </c>
      <c r="H4282" t="s">
        <v>35</v>
      </c>
      <c r="I4282" s="36">
        <v>7155.84</v>
      </c>
      <c r="J4282" s="36">
        <v>7155.84</v>
      </c>
      <c r="K4282" s="85">
        <v>0</v>
      </c>
      <c r="L4282" s="36">
        <v>596.32000000000005</v>
      </c>
      <c r="M4282" s="36">
        <v>0</v>
      </c>
      <c r="N4282" s="36">
        <v>79.017499999999998</v>
      </c>
      <c r="O4282" s="36">
        <v>517.29999999999995</v>
      </c>
      <c r="P4282" t="s">
        <v>137</v>
      </c>
      <c r="Q4282" t="s">
        <v>111</v>
      </c>
      <c r="R4282" t="s">
        <v>111</v>
      </c>
      <c r="S4282" s="112">
        <v>46146</v>
      </c>
      <c r="T4282" s="112">
        <v>46146</v>
      </c>
      <c r="U4282" s="112">
        <v>46152</v>
      </c>
      <c r="V4282" s="112">
        <v>46517</v>
      </c>
      <c r="W4282" t="s">
        <v>38</v>
      </c>
      <c r="X4282">
        <v>12</v>
      </c>
      <c r="Y4282" t="s">
        <v>49</v>
      </c>
      <c r="Z4282" t="s">
        <v>81</v>
      </c>
      <c r="AA4282" t="s">
        <v>112</v>
      </c>
      <c r="AB4282">
        <v>12</v>
      </c>
      <c r="AC4282" t="s">
        <v>113</v>
      </c>
      <c r="AD4282" t="s">
        <v>134</v>
      </c>
      <c r="AE4282" t="s">
        <v>135</v>
      </c>
      <c r="AF4282" t="s">
        <v>44</v>
      </c>
      <c r="AG4282" t="str">
        <f t="shared" si="97"/>
        <v>CC 12x</v>
      </c>
      <c r="AH4282" t="str">
        <f t="shared" si="98"/>
        <v/>
      </c>
    </row>
    <row r="4283" spans="1:34">
      <c r="A4283">
        <v>2026</v>
      </c>
      <c r="B4283">
        <v>5</v>
      </c>
      <c r="C4283" s="83">
        <v>19435650154</v>
      </c>
      <c r="D4283" t="s">
        <v>3694</v>
      </c>
      <c r="E4283">
        <v>58654944160</v>
      </c>
      <c r="F4283">
        <v>315106</v>
      </c>
      <c r="G4283">
        <v>55255055971</v>
      </c>
      <c r="H4283" t="s">
        <v>35</v>
      </c>
      <c r="I4283" s="36">
        <v>7155.84</v>
      </c>
      <c r="J4283" s="36">
        <v>7155.84</v>
      </c>
      <c r="K4283" s="85">
        <v>0</v>
      </c>
      <c r="L4283" s="36">
        <v>596.32000000000005</v>
      </c>
      <c r="M4283" s="36">
        <v>0</v>
      </c>
      <c r="N4283" s="36">
        <v>5.1174999999999997</v>
      </c>
      <c r="O4283" s="36">
        <v>591.20000000000005</v>
      </c>
      <c r="P4283" t="s">
        <v>110</v>
      </c>
      <c r="Q4283" t="s">
        <v>111</v>
      </c>
      <c r="R4283" t="s">
        <v>111</v>
      </c>
      <c r="S4283" s="112">
        <v>46156</v>
      </c>
      <c r="T4283" s="112">
        <v>46156</v>
      </c>
      <c r="U4283" s="112">
        <v>46157</v>
      </c>
      <c r="V4283" s="112">
        <v>46522</v>
      </c>
      <c r="W4283" t="s">
        <v>38</v>
      </c>
      <c r="X4283">
        <v>12</v>
      </c>
      <c r="Y4283" t="s">
        <v>49</v>
      </c>
      <c r="Z4283" t="s">
        <v>81</v>
      </c>
      <c r="AA4283" t="s">
        <v>112</v>
      </c>
      <c r="AB4283">
        <v>3</v>
      </c>
      <c r="AC4283" t="s">
        <v>113</v>
      </c>
      <c r="AD4283" t="s">
        <v>134</v>
      </c>
      <c r="AE4283" t="s">
        <v>135</v>
      </c>
      <c r="AF4283" t="s">
        <v>44</v>
      </c>
      <c r="AG4283" t="str">
        <f t="shared" si="97"/>
        <v>CC 3x</v>
      </c>
      <c r="AH4283" t="str">
        <f t="shared" si="98"/>
        <v/>
      </c>
    </row>
    <row r="4284" spans="1:34">
      <c r="A4284">
        <v>2026</v>
      </c>
      <c r="B4284">
        <v>5</v>
      </c>
      <c r="C4284" s="83">
        <v>33604331874</v>
      </c>
      <c r="D4284" t="s">
        <v>3695</v>
      </c>
      <c r="E4284">
        <v>60326582064</v>
      </c>
      <c r="F4284">
        <v>315496</v>
      </c>
      <c r="G4284">
        <v>55340365340</v>
      </c>
      <c r="H4284" t="s">
        <v>35</v>
      </c>
      <c r="I4284" s="36">
        <v>7155.84</v>
      </c>
      <c r="J4284" s="36">
        <v>7155.84</v>
      </c>
      <c r="K4284" s="85">
        <v>0</v>
      </c>
      <c r="L4284" s="36">
        <v>596.32000000000005</v>
      </c>
      <c r="M4284" s="36">
        <v>0</v>
      </c>
      <c r="N4284" s="36">
        <v>5.1174999999999997</v>
      </c>
      <c r="O4284" s="36">
        <v>591.20000000000005</v>
      </c>
      <c r="P4284" t="s">
        <v>137</v>
      </c>
      <c r="Q4284" t="s">
        <v>111</v>
      </c>
      <c r="R4284" t="s">
        <v>111</v>
      </c>
      <c r="S4284" s="112">
        <v>46161</v>
      </c>
      <c r="T4284" s="112">
        <v>46161</v>
      </c>
      <c r="U4284" s="112">
        <v>46173</v>
      </c>
      <c r="V4284" s="112">
        <v>46538</v>
      </c>
      <c r="W4284" t="s">
        <v>38</v>
      </c>
      <c r="X4284">
        <v>12</v>
      </c>
      <c r="Y4284" t="s">
        <v>49</v>
      </c>
      <c r="Z4284" t="s">
        <v>76</v>
      </c>
      <c r="AA4284" t="s">
        <v>112</v>
      </c>
      <c r="AB4284">
        <v>12</v>
      </c>
      <c r="AC4284" t="s">
        <v>113</v>
      </c>
      <c r="AD4284" t="s">
        <v>134</v>
      </c>
      <c r="AE4284" t="s">
        <v>135</v>
      </c>
      <c r="AF4284" t="s">
        <v>44</v>
      </c>
      <c r="AG4284" t="str">
        <f t="shared" si="97"/>
        <v>CC 12x</v>
      </c>
      <c r="AH4284" t="str">
        <f t="shared" si="98"/>
        <v/>
      </c>
    </row>
    <row r="4285" spans="1:34">
      <c r="A4285">
        <v>2026</v>
      </c>
      <c r="B4285">
        <v>5</v>
      </c>
      <c r="C4285" s="83">
        <v>53284613147</v>
      </c>
      <c r="D4285" t="s">
        <v>3587</v>
      </c>
      <c r="E4285">
        <v>60051318895</v>
      </c>
      <c r="F4285">
        <v>637589</v>
      </c>
      <c r="G4285">
        <v>55073673290</v>
      </c>
      <c r="H4285" t="s">
        <v>35</v>
      </c>
      <c r="I4285" s="36">
        <v>7047.6</v>
      </c>
      <c r="J4285" s="36">
        <v>2579.5064779999998</v>
      </c>
      <c r="K4285" s="85">
        <v>4468.0935220000001</v>
      </c>
      <c r="L4285" s="36">
        <v>214.9588732</v>
      </c>
      <c r="M4285" s="36">
        <v>0</v>
      </c>
      <c r="N4285" s="36">
        <v>214.9588732</v>
      </c>
      <c r="O4285" s="36">
        <v>0</v>
      </c>
      <c r="P4285" t="s">
        <v>367</v>
      </c>
      <c r="Q4285" t="s">
        <v>191</v>
      </c>
      <c r="R4285" t="s">
        <v>191</v>
      </c>
      <c r="S4285" s="112">
        <v>46148</v>
      </c>
      <c r="T4285" s="112">
        <v>46148</v>
      </c>
      <c r="U4285" s="112"/>
      <c r="V4285" s="112">
        <v>46879</v>
      </c>
      <c r="W4285" t="s">
        <v>56</v>
      </c>
      <c r="Y4285" t="s">
        <v>49</v>
      </c>
      <c r="AA4285" t="s">
        <v>122</v>
      </c>
      <c r="AB4285">
        <v>24</v>
      </c>
      <c r="AC4285" t="s">
        <v>192</v>
      </c>
      <c r="AD4285" t="s">
        <v>84</v>
      </c>
      <c r="AE4285" t="s">
        <v>43</v>
      </c>
      <c r="AF4285" t="s">
        <v>44</v>
      </c>
      <c r="AG4285" t="str">
        <f t="shared" si="97"/>
        <v>Recorrente</v>
      </c>
      <c r="AH4285" t="str">
        <f t="shared" si="98"/>
        <v/>
      </c>
    </row>
    <row r="4286" spans="1:34">
      <c r="A4286">
        <v>2026</v>
      </c>
      <c r="B4286">
        <v>5</v>
      </c>
      <c r="C4286" s="83">
        <v>53284613147</v>
      </c>
      <c r="D4286" t="s">
        <v>3587</v>
      </c>
      <c r="E4286">
        <v>60051318895</v>
      </c>
      <c r="F4286">
        <v>637589</v>
      </c>
      <c r="G4286">
        <v>55073673292</v>
      </c>
      <c r="H4286" t="s">
        <v>35</v>
      </c>
      <c r="I4286" s="36">
        <v>7047.6</v>
      </c>
      <c r="J4286" s="36">
        <v>2579.5064779999998</v>
      </c>
      <c r="K4286" s="85">
        <v>4468.0935220000001</v>
      </c>
      <c r="L4286" s="36">
        <v>214.9588732</v>
      </c>
      <c r="M4286" s="36">
        <v>0</v>
      </c>
      <c r="N4286" s="36">
        <v>214.9588732</v>
      </c>
      <c r="O4286" s="36">
        <v>0</v>
      </c>
      <c r="P4286" t="s">
        <v>367</v>
      </c>
      <c r="Q4286" t="s">
        <v>191</v>
      </c>
      <c r="R4286" t="s">
        <v>191</v>
      </c>
      <c r="S4286" s="112">
        <v>46148</v>
      </c>
      <c r="T4286" s="112">
        <v>46148</v>
      </c>
      <c r="U4286" s="112"/>
      <c r="V4286" s="112">
        <v>46879</v>
      </c>
      <c r="W4286" t="s">
        <v>56</v>
      </c>
      <c r="Y4286" t="s">
        <v>49</v>
      </c>
      <c r="AA4286" t="s">
        <v>122</v>
      </c>
      <c r="AB4286">
        <v>24</v>
      </c>
      <c r="AC4286" t="s">
        <v>192</v>
      </c>
      <c r="AD4286" t="s">
        <v>84</v>
      </c>
      <c r="AE4286" t="s">
        <v>43</v>
      </c>
      <c r="AF4286" t="s">
        <v>44</v>
      </c>
      <c r="AG4286" t="str">
        <f t="shared" si="97"/>
        <v>Recorrente</v>
      </c>
      <c r="AH4286" t="str">
        <f t="shared" si="98"/>
        <v/>
      </c>
    </row>
    <row r="4287" spans="1:34">
      <c r="A4287">
        <v>2026</v>
      </c>
      <c r="B4287">
        <v>5</v>
      </c>
      <c r="C4287" s="83">
        <v>53284613147</v>
      </c>
      <c r="D4287" t="s">
        <v>3587</v>
      </c>
      <c r="E4287">
        <v>60051318895</v>
      </c>
      <c r="F4287">
        <v>637589</v>
      </c>
      <c r="G4287">
        <v>55073673295</v>
      </c>
      <c r="H4287" t="s">
        <v>35</v>
      </c>
      <c r="I4287" s="36">
        <v>7047.6</v>
      </c>
      <c r="J4287" s="36">
        <v>2579.5064779999998</v>
      </c>
      <c r="K4287" s="85">
        <v>4468.0935220000001</v>
      </c>
      <c r="L4287" s="36">
        <v>214.9588732</v>
      </c>
      <c r="M4287" s="36">
        <v>0</v>
      </c>
      <c r="N4287" s="36">
        <v>214.9588732</v>
      </c>
      <c r="O4287" s="36">
        <v>0</v>
      </c>
      <c r="P4287" t="s">
        <v>367</v>
      </c>
      <c r="Q4287" t="s">
        <v>191</v>
      </c>
      <c r="R4287" t="s">
        <v>191</v>
      </c>
      <c r="S4287" s="112">
        <v>46148</v>
      </c>
      <c r="T4287" s="112">
        <v>46148</v>
      </c>
      <c r="U4287" s="112"/>
      <c r="V4287" s="112">
        <v>46879</v>
      </c>
      <c r="W4287" t="s">
        <v>56</v>
      </c>
      <c r="Y4287" t="s">
        <v>49</v>
      </c>
      <c r="AA4287" t="s">
        <v>122</v>
      </c>
      <c r="AB4287">
        <v>24</v>
      </c>
      <c r="AC4287" t="s">
        <v>192</v>
      </c>
      <c r="AD4287" t="s">
        <v>84</v>
      </c>
      <c r="AE4287" t="s">
        <v>43</v>
      </c>
      <c r="AF4287" t="s">
        <v>44</v>
      </c>
      <c r="AG4287" t="str">
        <f t="shared" si="97"/>
        <v>Recorrente</v>
      </c>
      <c r="AH4287" t="str">
        <f t="shared" si="98"/>
        <v/>
      </c>
    </row>
    <row r="4288" spans="1:34">
      <c r="A4288">
        <v>2026</v>
      </c>
      <c r="B4288">
        <v>5</v>
      </c>
      <c r="C4288" s="83">
        <v>53284613147</v>
      </c>
      <c r="D4288" t="s">
        <v>3587</v>
      </c>
      <c r="E4288">
        <v>60051318895</v>
      </c>
      <c r="F4288">
        <v>637589</v>
      </c>
      <c r="G4288">
        <v>55073673296</v>
      </c>
      <c r="H4288" t="s">
        <v>35</v>
      </c>
      <c r="I4288" s="36">
        <v>7047.6</v>
      </c>
      <c r="J4288" s="36">
        <v>2579.5064779999998</v>
      </c>
      <c r="K4288" s="85">
        <v>4468.0935220000001</v>
      </c>
      <c r="L4288" s="36">
        <v>214.9588732</v>
      </c>
      <c r="M4288" s="36">
        <v>0</v>
      </c>
      <c r="N4288" s="36">
        <v>214.9588732</v>
      </c>
      <c r="O4288" s="36">
        <v>0</v>
      </c>
      <c r="P4288" t="s">
        <v>367</v>
      </c>
      <c r="Q4288" t="s">
        <v>191</v>
      </c>
      <c r="R4288" t="s">
        <v>191</v>
      </c>
      <c r="S4288" s="112">
        <v>46148</v>
      </c>
      <c r="T4288" s="112">
        <v>46148</v>
      </c>
      <c r="U4288" s="112"/>
      <c r="V4288" s="112">
        <v>46879</v>
      </c>
      <c r="W4288" t="s">
        <v>56</v>
      </c>
      <c r="Y4288" t="s">
        <v>49</v>
      </c>
      <c r="AA4288" t="s">
        <v>122</v>
      </c>
      <c r="AB4288">
        <v>24</v>
      </c>
      <c r="AC4288" t="s">
        <v>192</v>
      </c>
      <c r="AD4288" t="s">
        <v>84</v>
      </c>
      <c r="AE4288" t="s">
        <v>43</v>
      </c>
      <c r="AF4288" t="s">
        <v>44</v>
      </c>
      <c r="AG4288" t="str">
        <f t="shared" si="97"/>
        <v>Recorrente</v>
      </c>
      <c r="AH4288" t="str">
        <f t="shared" si="98"/>
        <v/>
      </c>
    </row>
    <row r="4289" spans="1:34">
      <c r="A4289">
        <v>2026</v>
      </c>
      <c r="B4289">
        <v>5</v>
      </c>
      <c r="C4289" s="83">
        <v>118219526293</v>
      </c>
      <c r="D4289" t="s">
        <v>3696</v>
      </c>
      <c r="E4289">
        <v>58632818302</v>
      </c>
      <c r="F4289">
        <v>314076</v>
      </c>
      <c r="G4289">
        <v>54917787482</v>
      </c>
      <c r="H4289" t="s">
        <v>35</v>
      </c>
      <c r="I4289" s="36">
        <v>7015.44</v>
      </c>
      <c r="J4289" s="36">
        <v>7015.44</v>
      </c>
      <c r="K4289" s="85">
        <v>0</v>
      </c>
      <c r="L4289" s="36">
        <v>584.62</v>
      </c>
      <c r="M4289" s="36">
        <v>0</v>
      </c>
      <c r="N4289" s="36">
        <v>76.864999999999995</v>
      </c>
      <c r="O4289" s="36">
        <v>507.76</v>
      </c>
      <c r="P4289" t="s">
        <v>121</v>
      </c>
      <c r="Q4289" t="s">
        <v>111</v>
      </c>
      <c r="R4289" t="s">
        <v>111</v>
      </c>
      <c r="S4289" s="112">
        <v>46142</v>
      </c>
      <c r="T4289" s="112">
        <v>46143</v>
      </c>
      <c r="U4289" s="112">
        <v>46143</v>
      </c>
      <c r="V4289" s="112">
        <v>46508</v>
      </c>
      <c r="W4289" t="s">
        <v>38</v>
      </c>
      <c r="X4289">
        <v>12</v>
      </c>
      <c r="Y4289" t="s">
        <v>49</v>
      </c>
      <c r="Z4289" t="s">
        <v>81</v>
      </c>
      <c r="AA4289" t="s">
        <v>122</v>
      </c>
      <c r="AB4289">
        <v>12</v>
      </c>
      <c r="AC4289" t="s">
        <v>113</v>
      </c>
      <c r="AD4289" t="s">
        <v>134</v>
      </c>
      <c r="AE4289" t="s">
        <v>135</v>
      </c>
      <c r="AF4289" t="s">
        <v>44</v>
      </c>
      <c r="AG4289" t="str">
        <f t="shared" si="97"/>
        <v>Recorrente</v>
      </c>
      <c r="AH4289" t="str">
        <f t="shared" si="98"/>
        <v/>
      </c>
    </row>
    <row r="4290" spans="1:34">
      <c r="A4290">
        <v>2026</v>
      </c>
      <c r="B4290">
        <v>5</v>
      </c>
      <c r="C4290" s="83">
        <v>23986014534</v>
      </c>
      <c r="D4290" t="s">
        <v>3697</v>
      </c>
      <c r="E4290">
        <v>59238169465</v>
      </c>
      <c r="F4290">
        <v>616367</v>
      </c>
      <c r="G4290">
        <v>54342155305</v>
      </c>
      <c r="H4290" t="s">
        <v>35</v>
      </c>
      <c r="I4290" s="36">
        <v>7015.44</v>
      </c>
      <c r="J4290" s="36">
        <v>7015.44</v>
      </c>
      <c r="K4290" s="85">
        <v>0</v>
      </c>
      <c r="L4290" s="36">
        <v>584.62</v>
      </c>
      <c r="M4290" s="36">
        <v>0</v>
      </c>
      <c r="N4290" s="36">
        <v>178.17500000000001</v>
      </c>
      <c r="O4290" s="36">
        <v>406.45</v>
      </c>
      <c r="P4290" t="s">
        <v>165</v>
      </c>
      <c r="Q4290" t="s">
        <v>166</v>
      </c>
      <c r="R4290" t="s">
        <v>166</v>
      </c>
      <c r="S4290" s="112">
        <v>46169</v>
      </c>
      <c r="T4290" s="112">
        <v>46169</v>
      </c>
      <c r="U4290" s="112">
        <v>46173</v>
      </c>
      <c r="V4290" s="112">
        <v>46538</v>
      </c>
      <c r="W4290" t="s">
        <v>38</v>
      </c>
      <c r="X4290">
        <v>12</v>
      </c>
      <c r="Y4290" t="s">
        <v>49</v>
      </c>
      <c r="Z4290" t="s">
        <v>81</v>
      </c>
      <c r="AA4290" t="s">
        <v>112</v>
      </c>
      <c r="AB4290">
        <v>12</v>
      </c>
      <c r="AC4290" t="s">
        <v>166</v>
      </c>
      <c r="AD4290" t="s">
        <v>134</v>
      </c>
      <c r="AE4290" t="s">
        <v>135</v>
      </c>
      <c r="AF4290" t="s">
        <v>44</v>
      </c>
      <c r="AG4290" t="str">
        <f t="shared" si="97"/>
        <v>CC 12x</v>
      </c>
      <c r="AH4290" t="str">
        <f t="shared" si="98"/>
        <v/>
      </c>
    </row>
    <row r="4291" spans="1:34">
      <c r="A4291">
        <v>2026</v>
      </c>
      <c r="B4291">
        <v>5</v>
      </c>
      <c r="C4291" s="83">
        <v>19435700084</v>
      </c>
      <c r="D4291" t="s">
        <v>3698</v>
      </c>
      <c r="E4291">
        <v>58434480457</v>
      </c>
      <c r="F4291">
        <v>534648</v>
      </c>
      <c r="G4291">
        <v>53625852296</v>
      </c>
      <c r="H4291" t="s">
        <v>35</v>
      </c>
      <c r="I4291" s="36">
        <v>7014.6</v>
      </c>
      <c r="J4291" s="36">
        <v>7014.6</v>
      </c>
      <c r="K4291" s="85">
        <v>0</v>
      </c>
      <c r="L4291" s="36">
        <v>584.54999999999995</v>
      </c>
      <c r="M4291" s="36">
        <v>0</v>
      </c>
      <c r="N4291" s="36">
        <v>96.82</v>
      </c>
      <c r="O4291" s="36">
        <v>487.73</v>
      </c>
      <c r="P4291" t="s">
        <v>165</v>
      </c>
      <c r="Q4291" t="s">
        <v>166</v>
      </c>
      <c r="R4291" t="s">
        <v>166</v>
      </c>
      <c r="S4291" s="112">
        <v>46153</v>
      </c>
      <c r="T4291" s="112">
        <v>46153</v>
      </c>
      <c r="U4291" s="112">
        <v>46153</v>
      </c>
      <c r="V4291" s="112">
        <v>46518</v>
      </c>
      <c r="W4291" t="s">
        <v>38</v>
      </c>
      <c r="X4291">
        <v>12</v>
      </c>
      <c r="Y4291" t="s">
        <v>49</v>
      </c>
      <c r="Z4291" t="s">
        <v>81</v>
      </c>
      <c r="AA4291" t="s">
        <v>112</v>
      </c>
      <c r="AB4291">
        <v>12</v>
      </c>
      <c r="AC4291" t="s">
        <v>166</v>
      </c>
      <c r="AD4291" t="s">
        <v>125</v>
      </c>
      <c r="AE4291" t="s">
        <v>43</v>
      </c>
      <c r="AF4291" t="s">
        <v>47</v>
      </c>
      <c r="AG4291" t="str">
        <f t="shared" si="97"/>
        <v>CC 12x</v>
      </c>
      <c r="AH4291" t="str">
        <f t="shared" si="98"/>
        <v/>
      </c>
    </row>
    <row r="4292" spans="1:34">
      <c r="A4292">
        <v>2026</v>
      </c>
      <c r="B4292">
        <v>5</v>
      </c>
      <c r="C4292" s="83">
        <v>228331988593</v>
      </c>
      <c r="D4292" t="s">
        <v>3699</v>
      </c>
      <c r="E4292">
        <v>58600573034</v>
      </c>
      <c r="F4292">
        <v>535013</v>
      </c>
      <c r="G4292">
        <v>53782570813</v>
      </c>
      <c r="H4292" t="s">
        <v>35</v>
      </c>
      <c r="I4292" s="36">
        <v>7014.6</v>
      </c>
      <c r="J4292" s="36">
        <v>7014.6</v>
      </c>
      <c r="K4292" s="85">
        <v>0</v>
      </c>
      <c r="L4292" s="36">
        <v>584.54999999999995</v>
      </c>
      <c r="M4292" s="36">
        <v>0</v>
      </c>
      <c r="N4292" s="36">
        <v>95.31</v>
      </c>
      <c r="O4292" s="36">
        <v>489.24</v>
      </c>
      <c r="P4292" t="s">
        <v>165</v>
      </c>
      <c r="Q4292" t="s">
        <v>166</v>
      </c>
      <c r="R4292" t="s">
        <v>166</v>
      </c>
      <c r="S4292" s="112">
        <v>46157</v>
      </c>
      <c r="T4292" s="112">
        <v>46157</v>
      </c>
      <c r="U4292" s="112">
        <v>46157</v>
      </c>
      <c r="V4292" s="112">
        <v>46522</v>
      </c>
      <c r="W4292" t="s">
        <v>38</v>
      </c>
      <c r="X4292">
        <v>12</v>
      </c>
      <c r="Y4292" t="s">
        <v>49</v>
      </c>
      <c r="Z4292" t="s">
        <v>81</v>
      </c>
      <c r="AA4292" t="s">
        <v>112</v>
      </c>
      <c r="AB4292">
        <v>12</v>
      </c>
      <c r="AC4292" t="s">
        <v>166</v>
      </c>
      <c r="AD4292" t="s">
        <v>125</v>
      </c>
      <c r="AE4292" t="s">
        <v>43</v>
      </c>
      <c r="AF4292" t="s">
        <v>47</v>
      </c>
      <c r="AG4292" t="str">
        <f t="shared" si="97"/>
        <v>CC 12x</v>
      </c>
      <c r="AH4292" t="str">
        <f t="shared" si="98"/>
        <v/>
      </c>
    </row>
    <row r="4293" spans="1:34">
      <c r="A4293">
        <v>2026</v>
      </c>
      <c r="B4293">
        <v>5</v>
      </c>
      <c r="C4293" s="83">
        <v>2089034</v>
      </c>
      <c r="D4293" t="s">
        <v>3590</v>
      </c>
      <c r="E4293">
        <v>60333293828</v>
      </c>
      <c r="F4293">
        <v>637844</v>
      </c>
      <c r="G4293">
        <v>55324675589</v>
      </c>
      <c r="H4293" t="s">
        <v>35</v>
      </c>
      <c r="I4293" s="36">
        <v>6980.88</v>
      </c>
      <c r="J4293" s="36">
        <v>3490.5</v>
      </c>
      <c r="K4293" s="85">
        <v>3490.38</v>
      </c>
      <c r="L4293" s="36">
        <v>290.875</v>
      </c>
      <c r="M4293" s="36">
        <v>0</v>
      </c>
      <c r="N4293" s="36">
        <v>290.875</v>
      </c>
      <c r="O4293" s="36">
        <v>0</v>
      </c>
      <c r="P4293" t="s">
        <v>367</v>
      </c>
      <c r="Q4293" t="s">
        <v>191</v>
      </c>
      <c r="R4293" t="s">
        <v>191</v>
      </c>
      <c r="S4293" s="112">
        <v>46161</v>
      </c>
      <c r="T4293" s="112">
        <v>46161</v>
      </c>
      <c r="U4293" s="112"/>
      <c r="V4293" s="112">
        <v>46892</v>
      </c>
      <c r="W4293" t="s">
        <v>56</v>
      </c>
      <c r="X4293">
        <v>24</v>
      </c>
      <c r="Y4293" t="s">
        <v>49</v>
      </c>
      <c r="AA4293" t="s">
        <v>122</v>
      </c>
      <c r="AB4293">
        <v>24</v>
      </c>
      <c r="AC4293" t="s">
        <v>192</v>
      </c>
      <c r="AD4293" t="s">
        <v>362</v>
      </c>
      <c r="AE4293" t="s">
        <v>363</v>
      </c>
      <c r="AF4293" t="s">
        <v>59</v>
      </c>
      <c r="AG4293" t="str">
        <f t="shared" si="97"/>
        <v>Recorrente</v>
      </c>
      <c r="AH4293" t="str">
        <f t="shared" si="98"/>
        <v/>
      </c>
    </row>
    <row r="4294" spans="1:34">
      <c r="A4294">
        <v>2026</v>
      </c>
      <c r="B4294">
        <v>5</v>
      </c>
      <c r="C4294" s="83">
        <v>54711417624</v>
      </c>
      <c r="D4294" t="s">
        <v>3623</v>
      </c>
      <c r="E4294">
        <v>60010919995</v>
      </c>
      <c r="F4294">
        <v>638106</v>
      </c>
      <c r="G4294">
        <v>55687739678</v>
      </c>
      <c r="H4294" t="s">
        <v>35</v>
      </c>
      <c r="I4294" s="36">
        <v>6951.96</v>
      </c>
      <c r="J4294" s="36">
        <v>6951.9107999999997</v>
      </c>
      <c r="K4294" s="85">
        <v>4.9200000000000001E-2</v>
      </c>
      <c r="L4294" s="36">
        <v>579.32590000000005</v>
      </c>
      <c r="M4294" s="36">
        <v>579.32590000000005</v>
      </c>
      <c r="N4294" s="36">
        <v>0</v>
      </c>
      <c r="O4294" s="36">
        <v>0</v>
      </c>
      <c r="P4294" t="s">
        <v>90</v>
      </c>
      <c r="Q4294" t="s">
        <v>91</v>
      </c>
      <c r="R4294" t="s">
        <v>91</v>
      </c>
      <c r="S4294" s="112">
        <v>46172</v>
      </c>
      <c r="T4294" s="112">
        <v>46172</v>
      </c>
      <c r="U4294" s="112"/>
      <c r="V4294" s="112">
        <v>46554</v>
      </c>
      <c r="W4294" t="s">
        <v>38</v>
      </c>
      <c r="X4294">
        <v>13</v>
      </c>
      <c r="Y4294" t="s">
        <v>49</v>
      </c>
      <c r="AA4294" t="s">
        <v>92</v>
      </c>
      <c r="AB4294">
        <v>12</v>
      </c>
      <c r="AC4294" t="s">
        <v>93</v>
      </c>
      <c r="AD4294" t="s">
        <v>94</v>
      </c>
      <c r="AE4294" t="s">
        <v>95</v>
      </c>
      <c r="AF4294" t="s">
        <v>96</v>
      </c>
      <c r="AG4294" t="str">
        <f t="shared" si="97"/>
        <v>Recorrente</v>
      </c>
      <c r="AH4294" t="str">
        <f t="shared" si="98"/>
        <v/>
      </c>
    </row>
    <row r="4295" spans="1:34">
      <c r="A4295">
        <v>2026</v>
      </c>
      <c r="B4295">
        <v>5</v>
      </c>
      <c r="C4295" s="83">
        <v>222280600968</v>
      </c>
      <c r="D4295" t="s">
        <v>3700</v>
      </c>
      <c r="E4295">
        <v>59216086296</v>
      </c>
      <c r="F4295">
        <v>314249</v>
      </c>
      <c r="G4295">
        <v>55323950205</v>
      </c>
      <c r="H4295" t="s">
        <v>35</v>
      </c>
      <c r="I4295" s="36">
        <v>6931.8</v>
      </c>
      <c r="J4295" s="36">
        <v>6931.8</v>
      </c>
      <c r="K4295" s="85">
        <v>9.0899999999999996E-13</v>
      </c>
      <c r="L4295" s="36">
        <v>577.65</v>
      </c>
      <c r="M4295" s="36">
        <v>0</v>
      </c>
      <c r="N4295" s="36">
        <v>192.596745</v>
      </c>
      <c r="O4295" s="36">
        <v>385.05</v>
      </c>
      <c r="P4295" t="s">
        <v>116</v>
      </c>
      <c r="Q4295" t="s">
        <v>111</v>
      </c>
      <c r="R4295" t="s">
        <v>111</v>
      </c>
      <c r="S4295" s="112">
        <v>46160</v>
      </c>
      <c r="T4295" s="112">
        <v>46160</v>
      </c>
      <c r="U4295" s="112">
        <v>46158</v>
      </c>
      <c r="V4295" s="112">
        <v>46525</v>
      </c>
      <c r="W4295" t="s">
        <v>38</v>
      </c>
      <c r="X4295">
        <v>12</v>
      </c>
      <c r="Y4295" t="s">
        <v>49</v>
      </c>
      <c r="Z4295" t="s">
        <v>76</v>
      </c>
      <c r="AA4295" t="s">
        <v>117</v>
      </c>
      <c r="AB4295">
        <v>1</v>
      </c>
      <c r="AC4295" t="s">
        <v>113</v>
      </c>
      <c r="AD4295" t="s">
        <v>131</v>
      </c>
      <c r="AE4295" t="s">
        <v>46</v>
      </c>
      <c r="AF4295" t="s">
        <v>96</v>
      </c>
      <c r="AG4295" t="str">
        <f t="shared" si="97"/>
        <v>À Vista</v>
      </c>
      <c r="AH4295" t="str">
        <f t="shared" si="98"/>
        <v/>
      </c>
    </row>
    <row r="4296" spans="1:34">
      <c r="A4296">
        <v>2026</v>
      </c>
      <c r="B4296">
        <v>5</v>
      </c>
      <c r="C4296" s="83">
        <v>2125122</v>
      </c>
      <c r="D4296" t="s">
        <v>3701</v>
      </c>
      <c r="E4296">
        <v>60649245335</v>
      </c>
      <c r="F4296">
        <v>637989</v>
      </c>
      <c r="G4296">
        <v>55623697715</v>
      </c>
      <c r="H4296" t="s">
        <v>35</v>
      </c>
      <c r="I4296" s="36">
        <v>6925.68</v>
      </c>
      <c r="J4296" s="36">
        <v>3462.9</v>
      </c>
      <c r="K4296" s="85">
        <v>3462.78</v>
      </c>
      <c r="L4296" s="36">
        <v>288.57499999999999</v>
      </c>
      <c r="M4296" s="36">
        <v>288.57499999999999</v>
      </c>
      <c r="N4296" s="36">
        <v>0</v>
      </c>
      <c r="O4296" s="36">
        <v>0</v>
      </c>
      <c r="P4296" t="s">
        <v>2004</v>
      </c>
      <c r="Q4296" t="s">
        <v>300</v>
      </c>
      <c r="R4296" t="s">
        <v>300</v>
      </c>
      <c r="S4296" s="112">
        <v>46168</v>
      </c>
      <c r="T4296" s="112">
        <v>46168</v>
      </c>
      <c r="U4296" s="112"/>
      <c r="V4296" s="112">
        <v>46899</v>
      </c>
      <c r="W4296" t="s">
        <v>56</v>
      </c>
      <c r="X4296">
        <v>24</v>
      </c>
      <c r="Y4296" t="s">
        <v>49</v>
      </c>
      <c r="AA4296" t="s">
        <v>122</v>
      </c>
      <c r="AB4296">
        <v>24</v>
      </c>
      <c r="AC4296" t="s">
        <v>301</v>
      </c>
      <c r="AD4296" t="s">
        <v>160</v>
      </c>
      <c r="AE4296" t="s">
        <v>43</v>
      </c>
      <c r="AF4296" t="s">
        <v>44</v>
      </c>
      <c r="AG4296" t="str">
        <f t="shared" si="97"/>
        <v>Recorrente</v>
      </c>
      <c r="AH4296" t="str">
        <f t="shared" si="98"/>
        <v/>
      </c>
    </row>
    <row r="4297" spans="1:34">
      <c r="A4297">
        <v>2026</v>
      </c>
      <c r="B4297">
        <v>5</v>
      </c>
      <c r="C4297" s="83">
        <v>222353052763</v>
      </c>
      <c r="D4297" t="s">
        <v>3702</v>
      </c>
      <c r="E4297">
        <v>60206587714</v>
      </c>
      <c r="F4297">
        <v>638022</v>
      </c>
      <c r="G4297">
        <v>55643749425</v>
      </c>
      <c r="H4297" t="s">
        <v>35</v>
      </c>
      <c r="I4297" s="36">
        <v>6925.68</v>
      </c>
      <c r="J4297" s="36">
        <v>3462.9</v>
      </c>
      <c r="K4297" s="85">
        <v>3462.78</v>
      </c>
      <c r="L4297" s="36">
        <v>288.57499999999999</v>
      </c>
      <c r="M4297" s="36">
        <v>288.57499999999999</v>
      </c>
      <c r="N4297" s="36">
        <v>0</v>
      </c>
      <c r="O4297" s="36">
        <v>0</v>
      </c>
      <c r="P4297" t="s">
        <v>2004</v>
      </c>
      <c r="Q4297" t="s">
        <v>300</v>
      </c>
      <c r="R4297" t="s">
        <v>300</v>
      </c>
      <c r="S4297" s="112">
        <v>46169</v>
      </c>
      <c r="T4297" s="112">
        <v>46169</v>
      </c>
      <c r="U4297" s="112"/>
      <c r="V4297" s="112">
        <v>46900</v>
      </c>
      <c r="W4297" t="s">
        <v>56</v>
      </c>
      <c r="X4297">
        <v>24</v>
      </c>
      <c r="Y4297" t="s">
        <v>49</v>
      </c>
      <c r="AA4297" t="s">
        <v>122</v>
      </c>
      <c r="AB4297">
        <v>24</v>
      </c>
      <c r="AC4297" t="s">
        <v>301</v>
      </c>
      <c r="AD4297" t="s">
        <v>160</v>
      </c>
      <c r="AE4297" t="s">
        <v>43</v>
      </c>
      <c r="AF4297" t="s">
        <v>44</v>
      </c>
      <c r="AG4297" t="str">
        <f t="shared" si="97"/>
        <v>Recorrente</v>
      </c>
      <c r="AH4297" t="str">
        <f t="shared" si="98"/>
        <v/>
      </c>
    </row>
    <row r="4298" spans="1:34">
      <c r="A4298">
        <v>2026</v>
      </c>
      <c r="B4298">
        <v>5</v>
      </c>
      <c r="C4298" s="83">
        <v>123038122248</v>
      </c>
      <c r="D4298" t="s">
        <v>1918</v>
      </c>
      <c r="E4298">
        <v>60050614326</v>
      </c>
      <c r="F4298">
        <v>624338</v>
      </c>
      <c r="G4298">
        <v>55611095428</v>
      </c>
      <c r="H4298" t="s">
        <v>35</v>
      </c>
      <c r="I4298" s="36">
        <v>6908.76</v>
      </c>
      <c r="J4298" s="36">
        <v>4115.16</v>
      </c>
      <c r="K4298" s="85">
        <v>2793.6</v>
      </c>
      <c r="L4298" s="36">
        <v>342.93</v>
      </c>
      <c r="M4298" s="36">
        <v>0</v>
      </c>
      <c r="N4298" s="36">
        <v>342.93</v>
      </c>
      <c r="O4298" s="36">
        <v>0</v>
      </c>
      <c r="P4298" t="s">
        <v>367</v>
      </c>
      <c r="Q4298" t="s">
        <v>191</v>
      </c>
      <c r="R4298" t="s">
        <v>191</v>
      </c>
      <c r="S4298" s="112">
        <v>46167</v>
      </c>
      <c r="T4298" s="112">
        <v>46167</v>
      </c>
      <c r="U4298" s="112">
        <v>46720</v>
      </c>
      <c r="V4298" s="112">
        <v>46720</v>
      </c>
      <c r="W4298" t="s">
        <v>102</v>
      </c>
      <c r="X4298">
        <v>18</v>
      </c>
      <c r="Y4298" t="s">
        <v>49</v>
      </c>
      <c r="Z4298" t="s">
        <v>324</v>
      </c>
      <c r="AA4298" t="s">
        <v>122</v>
      </c>
      <c r="AB4298">
        <v>18</v>
      </c>
      <c r="AC4298" t="s">
        <v>192</v>
      </c>
      <c r="AD4298" t="s">
        <v>94</v>
      </c>
      <c r="AE4298" t="s">
        <v>95</v>
      </c>
      <c r="AF4298" t="s">
        <v>96</v>
      </c>
      <c r="AG4298" t="str">
        <f t="shared" si="97"/>
        <v>Recorrente</v>
      </c>
      <c r="AH4298" t="str">
        <f t="shared" si="98"/>
        <v/>
      </c>
    </row>
    <row r="4299" spans="1:34">
      <c r="A4299">
        <v>2026</v>
      </c>
      <c r="B4299">
        <v>5</v>
      </c>
      <c r="C4299" s="83">
        <v>21804440895</v>
      </c>
      <c r="D4299" t="s">
        <v>2479</v>
      </c>
      <c r="E4299">
        <v>60191825736</v>
      </c>
      <c r="F4299">
        <v>630026</v>
      </c>
      <c r="G4299">
        <v>55191497086</v>
      </c>
      <c r="H4299" t="s">
        <v>35</v>
      </c>
      <c r="I4299" s="36">
        <v>6890.4</v>
      </c>
      <c r="J4299" s="36">
        <v>1727.96</v>
      </c>
      <c r="K4299" s="85">
        <v>5162.4399999999996</v>
      </c>
      <c r="L4299" s="36">
        <v>143.99666669999999</v>
      </c>
      <c r="M4299" s="36">
        <v>0</v>
      </c>
      <c r="N4299" s="36">
        <v>143.99666669999999</v>
      </c>
      <c r="O4299" s="36">
        <v>0</v>
      </c>
      <c r="P4299" t="s">
        <v>520</v>
      </c>
      <c r="Q4299" t="s">
        <v>191</v>
      </c>
      <c r="R4299" t="s">
        <v>191</v>
      </c>
      <c r="S4299" s="112">
        <v>46154</v>
      </c>
      <c r="T4299" s="112">
        <v>46154</v>
      </c>
      <c r="U4299" s="112">
        <v>46907</v>
      </c>
      <c r="V4299" s="112">
        <v>46907</v>
      </c>
      <c r="W4299" t="s">
        <v>102</v>
      </c>
      <c r="X4299">
        <v>25</v>
      </c>
      <c r="Y4299" t="s">
        <v>49</v>
      </c>
      <c r="Z4299" t="s">
        <v>324</v>
      </c>
      <c r="AA4299" t="s">
        <v>122</v>
      </c>
      <c r="AB4299">
        <v>24</v>
      </c>
      <c r="AC4299" t="s">
        <v>192</v>
      </c>
      <c r="AD4299" t="s">
        <v>125</v>
      </c>
      <c r="AE4299" t="s">
        <v>43</v>
      </c>
      <c r="AF4299" t="s">
        <v>47</v>
      </c>
      <c r="AG4299" t="str">
        <f t="shared" si="97"/>
        <v>Recorrente</v>
      </c>
      <c r="AH4299" t="str">
        <f t="shared" si="98"/>
        <v/>
      </c>
    </row>
    <row r="4300" spans="1:34">
      <c r="A4300">
        <v>2026</v>
      </c>
      <c r="B4300">
        <v>5</v>
      </c>
      <c r="C4300" s="83">
        <v>19435539025</v>
      </c>
      <c r="D4300" t="s">
        <v>3703</v>
      </c>
      <c r="E4300">
        <v>60276133489</v>
      </c>
      <c r="F4300">
        <v>638061</v>
      </c>
      <c r="G4300">
        <v>55682390607</v>
      </c>
      <c r="H4300" t="s">
        <v>35</v>
      </c>
      <c r="I4300" s="36">
        <v>6873.6</v>
      </c>
      <c r="J4300" s="36">
        <v>6873.6</v>
      </c>
      <c r="K4300" s="85">
        <v>0</v>
      </c>
      <c r="L4300" s="36">
        <v>572.79999999999995</v>
      </c>
      <c r="M4300" s="36">
        <v>0</v>
      </c>
      <c r="N4300" s="36">
        <v>572.79999999999995</v>
      </c>
      <c r="O4300" s="36">
        <v>0</v>
      </c>
      <c r="P4300" t="s">
        <v>367</v>
      </c>
      <c r="Q4300" t="s">
        <v>191</v>
      </c>
      <c r="R4300" t="s">
        <v>191</v>
      </c>
      <c r="S4300" s="112">
        <v>46171</v>
      </c>
      <c r="T4300" s="112">
        <v>46171</v>
      </c>
      <c r="U4300" s="112"/>
      <c r="V4300" s="112">
        <v>46536</v>
      </c>
      <c r="W4300" t="s">
        <v>38</v>
      </c>
      <c r="X4300">
        <v>12</v>
      </c>
      <c r="Y4300" t="s">
        <v>49</v>
      </c>
      <c r="AA4300" t="s">
        <v>122</v>
      </c>
      <c r="AB4300">
        <v>12</v>
      </c>
      <c r="AC4300" t="s">
        <v>192</v>
      </c>
      <c r="AD4300" t="s">
        <v>362</v>
      </c>
      <c r="AE4300" t="s">
        <v>363</v>
      </c>
      <c r="AF4300" t="s">
        <v>59</v>
      </c>
      <c r="AG4300" t="str">
        <f t="shared" si="97"/>
        <v>Recorrente</v>
      </c>
      <c r="AH4300" t="str">
        <f t="shared" si="98"/>
        <v/>
      </c>
    </row>
    <row r="4301" spans="1:34">
      <c r="A4301">
        <v>2026</v>
      </c>
      <c r="B4301">
        <v>5</v>
      </c>
      <c r="C4301" s="83">
        <v>40121981289</v>
      </c>
      <c r="D4301" t="s">
        <v>3704</v>
      </c>
      <c r="E4301">
        <v>60077209741</v>
      </c>
      <c r="F4301">
        <v>635401</v>
      </c>
      <c r="G4301">
        <v>55155455781</v>
      </c>
      <c r="H4301" t="s">
        <v>35</v>
      </c>
      <c r="I4301" s="36">
        <v>6775.8</v>
      </c>
      <c r="J4301" s="36">
        <v>10808.04</v>
      </c>
      <c r="K4301" s="85">
        <v>0</v>
      </c>
      <c r="L4301" s="36">
        <v>900.67</v>
      </c>
      <c r="M4301" s="36">
        <v>0</v>
      </c>
      <c r="N4301" s="36">
        <v>900.67</v>
      </c>
      <c r="O4301" s="36">
        <v>0</v>
      </c>
      <c r="P4301" t="s">
        <v>190</v>
      </c>
      <c r="Q4301" t="s">
        <v>191</v>
      </c>
      <c r="R4301" t="s">
        <v>191</v>
      </c>
      <c r="S4301" s="112">
        <v>46150</v>
      </c>
      <c r="T4301" s="112">
        <v>46150</v>
      </c>
      <c r="U4301" s="112">
        <v>46379</v>
      </c>
      <c r="V4301" s="112">
        <v>46379</v>
      </c>
      <c r="W4301" t="s">
        <v>38</v>
      </c>
      <c r="X4301">
        <v>7</v>
      </c>
      <c r="Y4301" t="s">
        <v>49</v>
      </c>
      <c r="Z4301" t="s">
        <v>324</v>
      </c>
      <c r="AA4301" t="s">
        <v>92</v>
      </c>
      <c r="AB4301">
        <v>7</v>
      </c>
      <c r="AC4301" t="s">
        <v>192</v>
      </c>
      <c r="AD4301" t="s">
        <v>351</v>
      </c>
      <c r="AE4301" t="s">
        <v>95</v>
      </c>
      <c r="AF4301" t="s">
        <v>96</v>
      </c>
      <c r="AG4301" t="str">
        <f t="shared" si="97"/>
        <v>Recorrente</v>
      </c>
      <c r="AH4301" t="str">
        <f t="shared" si="98"/>
        <v/>
      </c>
    </row>
    <row r="4302" spans="1:34">
      <c r="A4302">
        <v>2026</v>
      </c>
      <c r="B4302">
        <v>5</v>
      </c>
      <c r="C4302" s="83">
        <v>122837234768</v>
      </c>
      <c r="D4302" t="s">
        <v>3705</v>
      </c>
      <c r="E4302">
        <v>58574595362</v>
      </c>
      <c r="F4302">
        <v>615456</v>
      </c>
      <c r="G4302">
        <v>55273639601</v>
      </c>
      <c r="H4302" t="s">
        <v>35</v>
      </c>
      <c r="I4302" s="36">
        <v>6715.8</v>
      </c>
      <c r="J4302" s="36">
        <v>6715.8</v>
      </c>
      <c r="K4302" s="85">
        <v>9.0899999999999996E-13</v>
      </c>
      <c r="L4302" s="36">
        <v>559.65</v>
      </c>
      <c r="M4302" s="36">
        <v>0</v>
      </c>
      <c r="N4302" s="36">
        <v>128.25</v>
      </c>
      <c r="O4302" s="36">
        <v>431.4</v>
      </c>
      <c r="P4302" t="s">
        <v>127</v>
      </c>
      <c r="Q4302" t="s">
        <v>111</v>
      </c>
      <c r="R4302" t="s">
        <v>111</v>
      </c>
      <c r="S4302" s="112">
        <v>46157</v>
      </c>
      <c r="T4302" s="112">
        <v>46157</v>
      </c>
      <c r="U4302" s="112">
        <v>46156</v>
      </c>
      <c r="V4302" s="112">
        <v>46522</v>
      </c>
      <c r="W4302" t="s">
        <v>38</v>
      </c>
      <c r="X4302">
        <v>12</v>
      </c>
      <c r="Y4302" t="s">
        <v>49</v>
      </c>
      <c r="Z4302" t="s">
        <v>81</v>
      </c>
      <c r="AA4302" t="s">
        <v>112</v>
      </c>
      <c r="AB4302">
        <v>12</v>
      </c>
      <c r="AC4302" t="s">
        <v>113</v>
      </c>
      <c r="AD4302" t="s">
        <v>131</v>
      </c>
      <c r="AE4302" t="s">
        <v>46</v>
      </c>
      <c r="AF4302" t="s">
        <v>96</v>
      </c>
      <c r="AG4302" t="str">
        <f t="shared" si="97"/>
        <v>CC 12x</v>
      </c>
      <c r="AH4302" t="str">
        <f t="shared" si="98"/>
        <v/>
      </c>
    </row>
    <row r="4303" spans="1:34">
      <c r="A4303">
        <v>2026</v>
      </c>
      <c r="B4303">
        <v>5</v>
      </c>
      <c r="C4303" s="83">
        <v>36650796661</v>
      </c>
      <c r="D4303" t="s">
        <v>3706</v>
      </c>
      <c r="E4303">
        <v>60013959971</v>
      </c>
      <c r="F4303">
        <v>315512</v>
      </c>
      <c r="G4303">
        <v>55319790754</v>
      </c>
      <c r="H4303" t="s">
        <v>35</v>
      </c>
      <c r="I4303" s="36">
        <v>6699.8850000000002</v>
      </c>
      <c r="J4303" s="36">
        <v>6699.8850000000002</v>
      </c>
      <c r="K4303" s="85">
        <v>0</v>
      </c>
      <c r="L4303" s="36">
        <v>558.32375000000002</v>
      </c>
      <c r="M4303" s="36">
        <v>0</v>
      </c>
      <c r="N4303" s="36">
        <v>83.328125</v>
      </c>
      <c r="O4303" s="36">
        <v>475</v>
      </c>
      <c r="P4303" t="s">
        <v>127</v>
      </c>
      <c r="Q4303" t="s">
        <v>111</v>
      </c>
      <c r="R4303" t="s">
        <v>111</v>
      </c>
      <c r="S4303" s="112">
        <v>46160</v>
      </c>
      <c r="T4303" s="112">
        <v>46160</v>
      </c>
      <c r="U4303" s="112">
        <v>46172</v>
      </c>
      <c r="V4303" s="112">
        <v>46537</v>
      </c>
      <c r="W4303" t="s">
        <v>38</v>
      </c>
      <c r="X4303">
        <v>12</v>
      </c>
      <c r="Y4303" t="s">
        <v>49</v>
      </c>
      <c r="Z4303" t="s">
        <v>81</v>
      </c>
      <c r="AA4303" t="s">
        <v>92</v>
      </c>
      <c r="AB4303">
        <v>12</v>
      </c>
      <c r="AC4303" t="s">
        <v>113</v>
      </c>
      <c r="AD4303" t="s">
        <v>94</v>
      </c>
      <c r="AE4303" t="s">
        <v>95</v>
      </c>
      <c r="AF4303" t="s">
        <v>96</v>
      </c>
      <c r="AG4303" t="str">
        <f t="shared" si="97"/>
        <v>Recorrente</v>
      </c>
      <c r="AH4303" t="str">
        <f t="shared" si="98"/>
        <v/>
      </c>
    </row>
    <row r="4304" spans="1:34">
      <c r="A4304">
        <v>2026</v>
      </c>
      <c r="B4304">
        <v>5</v>
      </c>
      <c r="C4304" s="83">
        <v>36650796661</v>
      </c>
      <c r="D4304" t="s">
        <v>3706</v>
      </c>
      <c r="E4304">
        <v>60013959971</v>
      </c>
      <c r="F4304">
        <v>315512</v>
      </c>
      <c r="G4304">
        <v>55319790755</v>
      </c>
      <c r="H4304" t="s">
        <v>35</v>
      </c>
      <c r="I4304" s="36">
        <v>6699.8850000000002</v>
      </c>
      <c r="J4304" s="36">
        <v>6699.8850000000002</v>
      </c>
      <c r="K4304" s="85">
        <v>0</v>
      </c>
      <c r="L4304" s="36">
        <v>558.32375000000002</v>
      </c>
      <c r="M4304" s="36">
        <v>0</v>
      </c>
      <c r="N4304" s="36">
        <v>83.328125</v>
      </c>
      <c r="O4304" s="36">
        <v>475</v>
      </c>
      <c r="P4304" t="s">
        <v>127</v>
      </c>
      <c r="Q4304" t="s">
        <v>111</v>
      </c>
      <c r="R4304" t="s">
        <v>111</v>
      </c>
      <c r="S4304" s="112">
        <v>46160</v>
      </c>
      <c r="T4304" s="112">
        <v>46160</v>
      </c>
      <c r="U4304" s="112">
        <v>46172</v>
      </c>
      <c r="V4304" s="112">
        <v>46537</v>
      </c>
      <c r="W4304" t="s">
        <v>38</v>
      </c>
      <c r="X4304">
        <v>12</v>
      </c>
      <c r="Y4304" t="s">
        <v>49</v>
      </c>
      <c r="Z4304" t="s">
        <v>81</v>
      </c>
      <c r="AA4304" t="s">
        <v>92</v>
      </c>
      <c r="AB4304">
        <v>12</v>
      </c>
      <c r="AC4304" t="s">
        <v>113</v>
      </c>
      <c r="AD4304" t="s">
        <v>94</v>
      </c>
      <c r="AE4304" t="s">
        <v>95</v>
      </c>
      <c r="AF4304" t="s">
        <v>96</v>
      </c>
      <c r="AG4304" t="str">
        <f t="shared" si="97"/>
        <v>Recorrente</v>
      </c>
      <c r="AH4304" t="str">
        <f t="shared" si="98"/>
        <v/>
      </c>
    </row>
    <row r="4305" spans="1:34">
      <c r="A4305">
        <v>2026</v>
      </c>
      <c r="B4305">
        <v>5</v>
      </c>
      <c r="C4305" s="83">
        <v>36650796661</v>
      </c>
      <c r="D4305" t="s">
        <v>3706</v>
      </c>
      <c r="E4305">
        <v>60013959971</v>
      </c>
      <c r="F4305">
        <v>315512</v>
      </c>
      <c r="G4305">
        <v>55319790756</v>
      </c>
      <c r="H4305" t="s">
        <v>35</v>
      </c>
      <c r="I4305" s="36">
        <v>6699.8850000000002</v>
      </c>
      <c r="J4305" s="36">
        <v>6699.8850000000002</v>
      </c>
      <c r="K4305" s="85">
        <v>0</v>
      </c>
      <c r="L4305" s="36">
        <v>558.32375000000002</v>
      </c>
      <c r="M4305" s="36">
        <v>0</v>
      </c>
      <c r="N4305" s="36">
        <v>83.328125</v>
      </c>
      <c r="O4305" s="36">
        <v>475</v>
      </c>
      <c r="P4305" t="s">
        <v>127</v>
      </c>
      <c r="Q4305" t="s">
        <v>111</v>
      </c>
      <c r="R4305" t="s">
        <v>111</v>
      </c>
      <c r="S4305" s="112">
        <v>46160</v>
      </c>
      <c r="T4305" s="112">
        <v>46160</v>
      </c>
      <c r="U4305" s="112">
        <v>46172</v>
      </c>
      <c r="V4305" s="112">
        <v>46537</v>
      </c>
      <c r="W4305" t="s">
        <v>38</v>
      </c>
      <c r="X4305">
        <v>12</v>
      </c>
      <c r="Y4305" t="s">
        <v>49</v>
      </c>
      <c r="Z4305" t="s">
        <v>81</v>
      </c>
      <c r="AA4305" t="s">
        <v>92</v>
      </c>
      <c r="AB4305">
        <v>12</v>
      </c>
      <c r="AC4305" t="s">
        <v>113</v>
      </c>
      <c r="AD4305" t="s">
        <v>94</v>
      </c>
      <c r="AE4305" t="s">
        <v>95</v>
      </c>
      <c r="AF4305" t="s">
        <v>96</v>
      </c>
      <c r="AG4305" t="str">
        <f t="shared" si="97"/>
        <v>Recorrente</v>
      </c>
      <c r="AH4305" t="str">
        <f t="shared" si="98"/>
        <v/>
      </c>
    </row>
    <row r="4306" spans="1:34">
      <c r="A4306">
        <v>2026</v>
      </c>
      <c r="B4306">
        <v>5</v>
      </c>
      <c r="C4306" s="83">
        <v>36650796661</v>
      </c>
      <c r="D4306" t="s">
        <v>3706</v>
      </c>
      <c r="E4306">
        <v>60013959971</v>
      </c>
      <c r="F4306">
        <v>315512</v>
      </c>
      <c r="G4306">
        <v>55319790757</v>
      </c>
      <c r="H4306" t="s">
        <v>35</v>
      </c>
      <c r="I4306" s="36">
        <v>6699.8850000000002</v>
      </c>
      <c r="J4306" s="36">
        <v>6699.8850000000002</v>
      </c>
      <c r="K4306" s="85">
        <v>0</v>
      </c>
      <c r="L4306" s="36">
        <v>558.32375000000002</v>
      </c>
      <c r="M4306" s="36">
        <v>0</v>
      </c>
      <c r="N4306" s="36">
        <v>83.328125</v>
      </c>
      <c r="O4306" s="36">
        <v>475</v>
      </c>
      <c r="P4306" t="s">
        <v>127</v>
      </c>
      <c r="Q4306" t="s">
        <v>111</v>
      </c>
      <c r="R4306" t="s">
        <v>111</v>
      </c>
      <c r="S4306" s="112">
        <v>46160</v>
      </c>
      <c r="T4306" s="112">
        <v>46160</v>
      </c>
      <c r="U4306" s="112">
        <v>46172</v>
      </c>
      <c r="V4306" s="112">
        <v>46537</v>
      </c>
      <c r="W4306" t="s">
        <v>38</v>
      </c>
      <c r="X4306">
        <v>12</v>
      </c>
      <c r="Y4306" t="s">
        <v>49</v>
      </c>
      <c r="Z4306" t="s">
        <v>81</v>
      </c>
      <c r="AA4306" t="s">
        <v>92</v>
      </c>
      <c r="AB4306">
        <v>12</v>
      </c>
      <c r="AC4306" t="s">
        <v>113</v>
      </c>
      <c r="AD4306" t="s">
        <v>351</v>
      </c>
      <c r="AE4306" t="s">
        <v>95</v>
      </c>
      <c r="AF4306" t="s">
        <v>96</v>
      </c>
      <c r="AG4306" t="str">
        <f t="shared" si="97"/>
        <v>Recorrente</v>
      </c>
      <c r="AH4306" t="str">
        <f t="shared" si="98"/>
        <v/>
      </c>
    </row>
    <row r="4307" spans="1:34">
      <c r="A4307">
        <v>2026</v>
      </c>
      <c r="B4307">
        <v>5</v>
      </c>
      <c r="C4307" s="83">
        <v>36650796661</v>
      </c>
      <c r="D4307" t="s">
        <v>3706</v>
      </c>
      <c r="E4307">
        <v>60013959971</v>
      </c>
      <c r="F4307">
        <v>315512</v>
      </c>
      <c r="G4307">
        <v>55319790758</v>
      </c>
      <c r="H4307" t="s">
        <v>35</v>
      </c>
      <c r="I4307" s="36">
        <v>6699.8850000000002</v>
      </c>
      <c r="J4307" s="36">
        <v>6699.8850000000002</v>
      </c>
      <c r="K4307" s="85">
        <v>0</v>
      </c>
      <c r="L4307" s="36">
        <v>558.32375000000002</v>
      </c>
      <c r="M4307" s="36">
        <v>0</v>
      </c>
      <c r="N4307" s="36">
        <v>83.328125</v>
      </c>
      <c r="O4307" s="36">
        <v>475</v>
      </c>
      <c r="P4307" t="s">
        <v>127</v>
      </c>
      <c r="Q4307" t="s">
        <v>111</v>
      </c>
      <c r="R4307" t="s">
        <v>111</v>
      </c>
      <c r="S4307" s="112">
        <v>46160</v>
      </c>
      <c r="T4307" s="112">
        <v>46160</v>
      </c>
      <c r="U4307" s="112">
        <v>46172</v>
      </c>
      <c r="V4307" s="112">
        <v>46537</v>
      </c>
      <c r="W4307" t="s">
        <v>38</v>
      </c>
      <c r="X4307">
        <v>12</v>
      </c>
      <c r="Y4307" t="s">
        <v>49</v>
      </c>
      <c r="Z4307" t="s">
        <v>81</v>
      </c>
      <c r="AA4307" t="s">
        <v>92</v>
      </c>
      <c r="AB4307">
        <v>12</v>
      </c>
      <c r="AC4307" t="s">
        <v>113</v>
      </c>
      <c r="AD4307" t="s">
        <v>94</v>
      </c>
      <c r="AE4307" t="s">
        <v>95</v>
      </c>
      <c r="AF4307" t="s">
        <v>96</v>
      </c>
      <c r="AG4307" t="str">
        <f t="shared" si="97"/>
        <v>Recorrente</v>
      </c>
      <c r="AH4307" t="str">
        <f t="shared" si="98"/>
        <v/>
      </c>
    </row>
    <row r="4308" spans="1:34">
      <c r="A4308">
        <v>2026</v>
      </c>
      <c r="B4308">
        <v>5</v>
      </c>
      <c r="C4308" s="83">
        <v>36650796661</v>
      </c>
      <c r="D4308" t="s">
        <v>3706</v>
      </c>
      <c r="E4308">
        <v>60013959971</v>
      </c>
      <c r="F4308">
        <v>315512</v>
      </c>
      <c r="G4308">
        <v>55319790759</v>
      </c>
      <c r="H4308" t="s">
        <v>35</v>
      </c>
      <c r="I4308" s="36">
        <v>6699.8850000000002</v>
      </c>
      <c r="J4308" s="36">
        <v>6699.8850000000002</v>
      </c>
      <c r="K4308" s="85">
        <v>0</v>
      </c>
      <c r="L4308" s="36">
        <v>558.32375000000002</v>
      </c>
      <c r="M4308" s="36">
        <v>0</v>
      </c>
      <c r="N4308" s="36">
        <v>83.328125</v>
      </c>
      <c r="O4308" s="36">
        <v>475</v>
      </c>
      <c r="P4308" t="s">
        <v>127</v>
      </c>
      <c r="Q4308" t="s">
        <v>111</v>
      </c>
      <c r="R4308" t="s">
        <v>111</v>
      </c>
      <c r="S4308" s="112">
        <v>46160</v>
      </c>
      <c r="T4308" s="112">
        <v>46160</v>
      </c>
      <c r="U4308" s="112">
        <v>46172</v>
      </c>
      <c r="V4308" s="112">
        <v>46537</v>
      </c>
      <c r="W4308" t="s">
        <v>38</v>
      </c>
      <c r="X4308">
        <v>12</v>
      </c>
      <c r="Y4308" t="s">
        <v>49</v>
      </c>
      <c r="Z4308" t="s">
        <v>81</v>
      </c>
      <c r="AA4308" t="s">
        <v>92</v>
      </c>
      <c r="AB4308">
        <v>12</v>
      </c>
      <c r="AC4308" t="s">
        <v>113</v>
      </c>
      <c r="AD4308" t="s">
        <v>94</v>
      </c>
      <c r="AE4308" t="s">
        <v>95</v>
      </c>
      <c r="AF4308" t="s">
        <v>96</v>
      </c>
      <c r="AG4308" t="str">
        <f t="shared" si="97"/>
        <v>Recorrente</v>
      </c>
      <c r="AH4308" t="str">
        <f t="shared" si="98"/>
        <v/>
      </c>
    </row>
    <row r="4309" spans="1:34">
      <c r="A4309">
        <v>2026</v>
      </c>
      <c r="B4309">
        <v>5</v>
      </c>
      <c r="C4309" s="83">
        <v>36650796661</v>
      </c>
      <c r="D4309" t="s">
        <v>3706</v>
      </c>
      <c r="E4309">
        <v>60013959971</v>
      </c>
      <c r="F4309">
        <v>315512</v>
      </c>
      <c r="G4309">
        <v>55319790760</v>
      </c>
      <c r="H4309" t="s">
        <v>35</v>
      </c>
      <c r="I4309" s="36">
        <v>6699.8850000000002</v>
      </c>
      <c r="J4309" s="36">
        <v>6699.8850000000002</v>
      </c>
      <c r="K4309" s="85">
        <v>0</v>
      </c>
      <c r="L4309" s="36">
        <v>558.32375000000002</v>
      </c>
      <c r="M4309" s="36">
        <v>0</v>
      </c>
      <c r="N4309" s="36">
        <v>83.328125</v>
      </c>
      <c r="O4309" s="36">
        <v>475</v>
      </c>
      <c r="P4309" t="s">
        <v>127</v>
      </c>
      <c r="Q4309" t="s">
        <v>111</v>
      </c>
      <c r="R4309" t="s">
        <v>111</v>
      </c>
      <c r="S4309" s="112">
        <v>46160</v>
      </c>
      <c r="T4309" s="112">
        <v>46160</v>
      </c>
      <c r="U4309" s="112">
        <v>46172</v>
      </c>
      <c r="V4309" s="112">
        <v>46537</v>
      </c>
      <c r="W4309" t="s">
        <v>38</v>
      </c>
      <c r="X4309">
        <v>12</v>
      </c>
      <c r="Y4309" t="s">
        <v>49</v>
      </c>
      <c r="Z4309" t="s">
        <v>81</v>
      </c>
      <c r="AA4309" t="s">
        <v>92</v>
      </c>
      <c r="AB4309">
        <v>12</v>
      </c>
      <c r="AC4309" t="s">
        <v>113</v>
      </c>
      <c r="AD4309" t="s">
        <v>94</v>
      </c>
      <c r="AE4309" t="s">
        <v>95</v>
      </c>
      <c r="AF4309" t="s">
        <v>96</v>
      </c>
      <c r="AG4309" t="str">
        <f t="shared" si="97"/>
        <v>Recorrente</v>
      </c>
      <c r="AH4309" t="str">
        <f t="shared" si="98"/>
        <v/>
      </c>
    </row>
    <row r="4310" spans="1:34">
      <c r="A4310">
        <v>2026</v>
      </c>
      <c r="B4310">
        <v>5</v>
      </c>
      <c r="C4310" s="83">
        <v>36650796661</v>
      </c>
      <c r="D4310" t="s">
        <v>3706</v>
      </c>
      <c r="E4310">
        <v>60013959971</v>
      </c>
      <c r="F4310">
        <v>315512</v>
      </c>
      <c r="G4310">
        <v>55319790761</v>
      </c>
      <c r="H4310" t="s">
        <v>35</v>
      </c>
      <c r="I4310" s="36">
        <v>6699.8850000000002</v>
      </c>
      <c r="J4310" s="36">
        <v>6699.8850000000002</v>
      </c>
      <c r="K4310" s="85">
        <v>0</v>
      </c>
      <c r="L4310" s="36">
        <v>558.32375000000002</v>
      </c>
      <c r="M4310" s="36">
        <v>0</v>
      </c>
      <c r="N4310" s="36">
        <v>83.328125</v>
      </c>
      <c r="O4310" s="36">
        <v>475</v>
      </c>
      <c r="P4310" t="s">
        <v>127</v>
      </c>
      <c r="Q4310" t="s">
        <v>111</v>
      </c>
      <c r="R4310" t="s">
        <v>111</v>
      </c>
      <c r="S4310" s="112">
        <v>46160</v>
      </c>
      <c r="T4310" s="112">
        <v>46160</v>
      </c>
      <c r="U4310" s="112">
        <v>46172</v>
      </c>
      <c r="V4310" s="112">
        <v>46537</v>
      </c>
      <c r="W4310" t="s">
        <v>38</v>
      </c>
      <c r="X4310">
        <v>12</v>
      </c>
      <c r="Y4310" t="s">
        <v>49</v>
      </c>
      <c r="Z4310" t="s">
        <v>81</v>
      </c>
      <c r="AA4310" t="s">
        <v>92</v>
      </c>
      <c r="AB4310">
        <v>12</v>
      </c>
      <c r="AC4310" t="s">
        <v>113</v>
      </c>
      <c r="AD4310" t="s">
        <v>94</v>
      </c>
      <c r="AE4310" t="s">
        <v>95</v>
      </c>
      <c r="AF4310" t="s">
        <v>96</v>
      </c>
      <c r="AG4310" t="str">
        <f t="shared" si="97"/>
        <v>Recorrente</v>
      </c>
      <c r="AH4310" t="str">
        <f t="shared" si="98"/>
        <v/>
      </c>
    </row>
    <row r="4311" spans="1:34">
      <c r="A4311">
        <v>2026</v>
      </c>
      <c r="B4311">
        <v>5</v>
      </c>
      <c r="C4311" s="83">
        <v>2077970</v>
      </c>
      <c r="D4311" t="s">
        <v>3707</v>
      </c>
      <c r="E4311">
        <v>58103339156</v>
      </c>
      <c r="F4311">
        <v>312156</v>
      </c>
      <c r="G4311">
        <v>53264880199</v>
      </c>
      <c r="H4311" t="s">
        <v>35</v>
      </c>
      <c r="I4311" s="36">
        <v>6690.6</v>
      </c>
      <c r="J4311" s="36">
        <v>6690.6</v>
      </c>
      <c r="K4311" s="85">
        <v>0</v>
      </c>
      <c r="L4311" s="36">
        <v>557.54999999999995</v>
      </c>
      <c r="M4311" s="36">
        <v>0</v>
      </c>
      <c r="N4311" s="36">
        <v>110.785</v>
      </c>
      <c r="O4311" s="36">
        <v>446.76499999999999</v>
      </c>
      <c r="P4311" t="s">
        <v>165</v>
      </c>
      <c r="Q4311" t="s">
        <v>166</v>
      </c>
      <c r="R4311" t="s">
        <v>166</v>
      </c>
      <c r="S4311" s="112">
        <v>46144</v>
      </c>
      <c r="T4311" s="112">
        <v>46144</v>
      </c>
      <c r="U4311" s="112">
        <v>46144</v>
      </c>
      <c r="V4311" s="112">
        <v>46509</v>
      </c>
      <c r="W4311" t="s">
        <v>38</v>
      </c>
      <c r="X4311">
        <v>12</v>
      </c>
      <c r="Y4311" t="s">
        <v>49</v>
      </c>
      <c r="Z4311" t="s">
        <v>81</v>
      </c>
      <c r="AA4311" t="s">
        <v>112</v>
      </c>
      <c r="AB4311">
        <v>12</v>
      </c>
      <c r="AC4311" t="s">
        <v>166</v>
      </c>
      <c r="AD4311" t="s">
        <v>138</v>
      </c>
      <c r="AE4311" t="s">
        <v>135</v>
      </c>
      <c r="AF4311" t="s">
        <v>119</v>
      </c>
      <c r="AG4311" t="str">
        <f t="shared" si="97"/>
        <v>CC 12x</v>
      </c>
      <c r="AH4311" t="str">
        <f t="shared" si="98"/>
        <v/>
      </c>
    </row>
    <row r="4312" spans="1:34">
      <c r="A4312">
        <v>2026</v>
      </c>
      <c r="B4312">
        <v>5</v>
      </c>
      <c r="C4312" s="83">
        <v>2077970</v>
      </c>
      <c r="D4312" t="s">
        <v>3707</v>
      </c>
      <c r="E4312">
        <v>58103339156</v>
      </c>
      <c r="F4312">
        <v>312156</v>
      </c>
      <c r="G4312">
        <v>53273212801</v>
      </c>
      <c r="H4312" t="s">
        <v>35</v>
      </c>
      <c r="I4312" s="36">
        <v>6690.6</v>
      </c>
      <c r="J4312" s="36">
        <v>6690.6</v>
      </c>
      <c r="K4312" s="85">
        <v>0</v>
      </c>
      <c r="L4312" s="36">
        <v>557.54999999999995</v>
      </c>
      <c r="M4312" s="36">
        <v>0</v>
      </c>
      <c r="N4312" s="36">
        <v>110.785</v>
      </c>
      <c r="O4312" s="36">
        <v>446.76499999999999</v>
      </c>
      <c r="P4312" t="s">
        <v>165</v>
      </c>
      <c r="Q4312" t="s">
        <v>166</v>
      </c>
      <c r="R4312" t="s">
        <v>166</v>
      </c>
      <c r="S4312" s="112">
        <v>46144</v>
      </c>
      <c r="T4312" s="112">
        <v>46144</v>
      </c>
      <c r="U4312" s="112">
        <v>46144</v>
      </c>
      <c r="V4312" s="112">
        <v>46509</v>
      </c>
      <c r="W4312" t="s">
        <v>38</v>
      </c>
      <c r="X4312">
        <v>12</v>
      </c>
      <c r="Y4312" t="s">
        <v>49</v>
      </c>
      <c r="Z4312" t="s">
        <v>81</v>
      </c>
      <c r="AA4312" t="s">
        <v>112</v>
      </c>
      <c r="AB4312">
        <v>12</v>
      </c>
      <c r="AC4312" t="s">
        <v>166</v>
      </c>
      <c r="AD4312" t="s">
        <v>134</v>
      </c>
      <c r="AE4312" t="s">
        <v>135</v>
      </c>
      <c r="AF4312" t="s">
        <v>44</v>
      </c>
      <c r="AG4312" t="str">
        <f t="shared" si="97"/>
        <v>CC 12x</v>
      </c>
      <c r="AH4312" t="str">
        <f t="shared" si="98"/>
        <v/>
      </c>
    </row>
    <row r="4313" spans="1:34">
      <c r="A4313">
        <v>2026</v>
      </c>
      <c r="B4313">
        <v>5</v>
      </c>
      <c r="C4313" s="83">
        <v>31926845624</v>
      </c>
      <c r="D4313" t="s">
        <v>3708</v>
      </c>
      <c r="E4313">
        <v>59171469644</v>
      </c>
      <c r="F4313">
        <v>628888</v>
      </c>
      <c r="G4313">
        <v>55196564224</v>
      </c>
      <c r="H4313" t="s">
        <v>35</v>
      </c>
      <c r="I4313" s="36">
        <v>6689.7</v>
      </c>
      <c r="J4313" s="36">
        <v>6689.7</v>
      </c>
      <c r="K4313" s="85">
        <v>0</v>
      </c>
      <c r="L4313" s="36">
        <v>557.47500000000002</v>
      </c>
      <c r="M4313" s="36">
        <v>0</v>
      </c>
      <c r="N4313" s="36">
        <v>93.165000000000006</v>
      </c>
      <c r="O4313" s="36">
        <v>464.31</v>
      </c>
      <c r="P4313" t="s">
        <v>133</v>
      </c>
      <c r="Q4313" t="s">
        <v>111</v>
      </c>
      <c r="R4313" t="s">
        <v>111</v>
      </c>
      <c r="S4313" s="112">
        <v>46153</v>
      </c>
      <c r="T4313" s="112">
        <v>46153</v>
      </c>
      <c r="U4313" s="112">
        <v>46134</v>
      </c>
      <c r="V4313" s="112">
        <v>46518</v>
      </c>
      <c r="W4313" t="s">
        <v>38</v>
      </c>
      <c r="X4313">
        <v>13</v>
      </c>
      <c r="Y4313" t="s">
        <v>49</v>
      </c>
      <c r="Z4313" t="s">
        <v>81</v>
      </c>
      <c r="AA4313" t="s">
        <v>92</v>
      </c>
      <c r="AB4313">
        <v>12</v>
      </c>
      <c r="AC4313" t="s">
        <v>113</v>
      </c>
      <c r="AD4313" t="s">
        <v>256</v>
      </c>
      <c r="AE4313" t="s">
        <v>257</v>
      </c>
      <c r="AF4313" t="s">
        <v>59</v>
      </c>
      <c r="AG4313" t="str">
        <f t="shared" si="97"/>
        <v>Recorrente</v>
      </c>
      <c r="AH4313" t="str">
        <f t="shared" si="98"/>
        <v/>
      </c>
    </row>
    <row r="4314" spans="1:34">
      <c r="A4314">
        <v>2026</v>
      </c>
      <c r="B4314">
        <v>5</v>
      </c>
      <c r="C4314" s="83">
        <v>31926845624</v>
      </c>
      <c r="D4314" t="s">
        <v>3708</v>
      </c>
      <c r="E4314">
        <v>59171469644</v>
      </c>
      <c r="F4314">
        <v>628888</v>
      </c>
      <c r="G4314">
        <v>55196564225</v>
      </c>
      <c r="H4314" t="s">
        <v>35</v>
      </c>
      <c r="I4314" s="36">
        <v>6689.7</v>
      </c>
      <c r="J4314" s="36">
        <v>6689.7</v>
      </c>
      <c r="K4314" s="85">
        <v>0</v>
      </c>
      <c r="L4314" s="36">
        <v>557.47500000000002</v>
      </c>
      <c r="M4314" s="36">
        <v>0</v>
      </c>
      <c r="N4314" s="36">
        <v>93.165000000000006</v>
      </c>
      <c r="O4314" s="36">
        <v>464.31</v>
      </c>
      <c r="P4314" t="s">
        <v>133</v>
      </c>
      <c r="Q4314" t="s">
        <v>111</v>
      </c>
      <c r="R4314" t="s">
        <v>111</v>
      </c>
      <c r="S4314" s="112">
        <v>46153</v>
      </c>
      <c r="T4314" s="112">
        <v>46153</v>
      </c>
      <c r="U4314" s="112">
        <v>46134</v>
      </c>
      <c r="V4314" s="112">
        <v>46518</v>
      </c>
      <c r="W4314" t="s">
        <v>38</v>
      </c>
      <c r="X4314">
        <v>13</v>
      </c>
      <c r="Y4314" t="s">
        <v>49</v>
      </c>
      <c r="Z4314" t="s">
        <v>81</v>
      </c>
      <c r="AA4314" t="s">
        <v>92</v>
      </c>
      <c r="AB4314">
        <v>12</v>
      </c>
      <c r="AC4314" t="s">
        <v>113</v>
      </c>
      <c r="AD4314" t="s">
        <v>351</v>
      </c>
      <c r="AE4314" t="s">
        <v>95</v>
      </c>
      <c r="AF4314" t="s">
        <v>96</v>
      </c>
      <c r="AG4314" t="str">
        <f t="shared" si="97"/>
        <v>Recorrente</v>
      </c>
      <c r="AH4314" t="str">
        <f t="shared" si="98"/>
        <v/>
      </c>
    </row>
    <row r="4315" spans="1:34">
      <c r="A4315">
        <v>2026</v>
      </c>
      <c r="B4315">
        <v>5</v>
      </c>
      <c r="C4315" s="83">
        <v>121057153137</v>
      </c>
      <c r="D4315" t="s">
        <v>3709</v>
      </c>
      <c r="E4315">
        <v>60164859304</v>
      </c>
      <c r="F4315">
        <v>629513</v>
      </c>
      <c r="G4315">
        <v>55269564783</v>
      </c>
      <c r="H4315" t="s">
        <v>35</v>
      </c>
      <c r="I4315" s="36">
        <v>6664.68</v>
      </c>
      <c r="J4315" s="36">
        <v>6664.68</v>
      </c>
      <c r="K4315" s="85">
        <v>0</v>
      </c>
      <c r="L4315" s="36">
        <v>555.39</v>
      </c>
      <c r="M4315" s="36">
        <v>0</v>
      </c>
      <c r="N4315" s="36">
        <v>111.99375000000001</v>
      </c>
      <c r="O4315" s="36">
        <v>443.4</v>
      </c>
      <c r="P4315" t="s">
        <v>137</v>
      </c>
      <c r="Q4315" t="s">
        <v>111</v>
      </c>
      <c r="R4315" t="s">
        <v>111</v>
      </c>
      <c r="S4315" s="112">
        <v>46157</v>
      </c>
      <c r="T4315" s="112">
        <v>46157</v>
      </c>
      <c r="U4315" s="112">
        <v>46154</v>
      </c>
      <c r="V4315" s="112">
        <v>46522</v>
      </c>
      <c r="W4315" t="s">
        <v>38</v>
      </c>
      <c r="X4315">
        <v>12</v>
      </c>
      <c r="Y4315" t="s">
        <v>49</v>
      </c>
      <c r="Z4315" t="s">
        <v>81</v>
      </c>
      <c r="AA4315" t="s">
        <v>122</v>
      </c>
      <c r="AB4315">
        <v>12</v>
      </c>
      <c r="AC4315" t="s">
        <v>113</v>
      </c>
      <c r="AD4315" t="s">
        <v>134</v>
      </c>
      <c r="AE4315" t="s">
        <v>135</v>
      </c>
      <c r="AF4315" t="s">
        <v>44</v>
      </c>
      <c r="AG4315" t="str">
        <f t="shared" si="97"/>
        <v>Recorrente</v>
      </c>
      <c r="AH4315" t="str">
        <f t="shared" si="98"/>
        <v/>
      </c>
    </row>
    <row r="4316" spans="1:34">
      <c r="A4316">
        <v>2026</v>
      </c>
      <c r="B4316">
        <v>5</v>
      </c>
      <c r="C4316" s="83">
        <v>121045998925</v>
      </c>
      <c r="D4316" t="s">
        <v>3710</v>
      </c>
      <c r="E4316">
        <v>59890482359</v>
      </c>
      <c r="F4316">
        <v>511422</v>
      </c>
      <c r="G4316">
        <v>55621007364</v>
      </c>
      <c r="H4316" t="s">
        <v>35</v>
      </c>
      <c r="I4316" s="36">
        <v>6636</v>
      </c>
      <c r="J4316" s="36">
        <v>6636</v>
      </c>
      <c r="K4316" s="85">
        <v>0</v>
      </c>
      <c r="L4316" s="36">
        <v>553</v>
      </c>
      <c r="M4316" s="36">
        <v>0</v>
      </c>
      <c r="N4316" s="36">
        <v>39.6</v>
      </c>
      <c r="O4316" s="36">
        <v>513.4</v>
      </c>
      <c r="P4316" t="s">
        <v>127</v>
      </c>
      <c r="Q4316" t="s">
        <v>111</v>
      </c>
      <c r="R4316" t="s">
        <v>111</v>
      </c>
      <c r="S4316" s="112">
        <v>46168</v>
      </c>
      <c r="T4316" s="112">
        <v>46168</v>
      </c>
      <c r="U4316" s="112">
        <v>46173</v>
      </c>
      <c r="V4316" s="112">
        <v>46538</v>
      </c>
      <c r="W4316" t="s">
        <v>38</v>
      </c>
      <c r="X4316">
        <v>12</v>
      </c>
      <c r="Y4316" t="s">
        <v>49</v>
      </c>
      <c r="Z4316" t="s">
        <v>81</v>
      </c>
      <c r="AA4316" t="s">
        <v>122</v>
      </c>
      <c r="AB4316">
        <v>12</v>
      </c>
      <c r="AC4316" t="s">
        <v>113</v>
      </c>
      <c r="AD4316" t="s">
        <v>125</v>
      </c>
      <c r="AE4316" t="s">
        <v>43</v>
      </c>
      <c r="AF4316" t="s">
        <v>47</v>
      </c>
      <c r="AG4316" t="str">
        <f t="shared" si="97"/>
        <v>Recorrente</v>
      </c>
      <c r="AH4316" t="str">
        <f t="shared" si="98"/>
        <v/>
      </c>
    </row>
    <row r="4317" spans="1:34">
      <c r="A4317">
        <v>2026</v>
      </c>
      <c r="B4317">
        <v>5</v>
      </c>
      <c r="C4317" s="83">
        <v>2062101</v>
      </c>
      <c r="D4317" t="s">
        <v>797</v>
      </c>
      <c r="E4317">
        <v>59316779079</v>
      </c>
      <c r="F4317">
        <v>314953</v>
      </c>
      <c r="G4317">
        <v>55335104840</v>
      </c>
      <c r="H4317" t="s">
        <v>35</v>
      </c>
      <c r="I4317" s="36">
        <v>6624.84</v>
      </c>
      <c r="J4317" s="36">
        <v>6624.84</v>
      </c>
      <c r="K4317" s="85">
        <v>0</v>
      </c>
      <c r="L4317" s="36">
        <v>552.07000000000005</v>
      </c>
      <c r="M4317" s="36">
        <v>0</v>
      </c>
      <c r="N4317" s="36">
        <v>297.59100000000001</v>
      </c>
      <c r="O4317" s="36">
        <v>254.48400000000001</v>
      </c>
      <c r="P4317" t="s">
        <v>121</v>
      </c>
      <c r="Q4317" t="s">
        <v>111</v>
      </c>
      <c r="R4317" t="s">
        <v>111</v>
      </c>
      <c r="S4317" s="112">
        <v>46161</v>
      </c>
      <c r="T4317" s="112">
        <v>46161</v>
      </c>
      <c r="U4317" s="112">
        <v>46160</v>
      </c>
      <c r="V4317" s="112">
        <v>46526</v>
      </c>
      <c r="W4317" t="s">
        <v>38</v>
      </c>
      <c r="X4317">
        <v>12</v>
      </c>
      <c r="Y4317" t="s">
        <v>49</v>
      </c>
      <c r="Z4317" t="s">
        <v>81</v>
      </c>
      <c r="AA4317" t="s">
        <v>122</v>
      </c>
      <c r="AB4317">
        <v>12</v>
      </c>
      <c r="AC4317" t="s">
        <v>113</v>
      </c>
      <c r="AD4317" t="s">
        <v>125</v>
      </c>
      <c r="AE4317" t="s">
        <v>43</v>
      </c>
      <c r="AF4317" t="s">
        <v>47</v>
      </c>
      <c r="AG4317" t="str">
        <f t="shared" si="97"/>
        <v>Recorrente</v>
      </c>
      <c r="AH4317" t="str">
        <f t="shared" si="98"/>
        <v/>
      </c>
    </row>
    <row r="4318" spans="1:34">
      <c r="A4318">
        <v>2026</v>
      </c>
      <c r="B4318">
        <v>5</v>
      </c>
      <c r="C4318" s="83">
        <v>218157158263</v>
      </c>
      <c r="D4318" t="s">
        <v>3711</v>
      </c>
      <c r="E4318">
        <v>58644509001</v>
      </c>
      <c r="F4318">
        <v>276191</v>
      </c>
      <c r="G4318">
        <v>53821994844</v>
      </c>
      <c r="H4318" t="s">
        <v>35</v>
      </c>
      <c r="I4318" s="36">
        <v>6582.6</v>
      </c>
      <c r="J4318" s="36">
        <v>6582.6</v>
      </c>
      <c r="K4318" s="85">
        <v>0</v>
      </c>
      <c r="L4318" s="36">
        <v>548.54999999999995</v>
      </c>
      <c r="M4318" s="36">
        <v>0</v>
      </c>
      <c r="N4318" s="36">
        <v>78.5</v>
      </c>
      <c r="O4318" s="36">
        <v>470.05</v>
      </c>
      <c r="P4318" t="s">
        <v>165</v>
      </c>
      <c r="Q4318" t="s">
        <v>166</v>
      </c>
      <c r="R4318" t="s">
        <v>166</v>
      </c>
      <c r="S4318" s="112">
        <v>46158</v>
      </c>
      <c r="T4318" s="112">
        <v>46158</v>
      </c>
      <c r="U4318" s="112">
        <v>46158</v>
      </c>
      <c r="V4318" s="112">
        <v>46523</v>
      </c>
      <c r="W4318" t="s">
        <v>38</v>
      </c>
      <c r="X4318">
        <v>12</v>
      </c>
      <c r="Y4318" t="s">
        <v>49</v>
      </c>
      <c r="Z4318" t="s">
        <v>81</v>
      </c>
      <c r="AA4318" t="s">
        <v>122</v>
      </c>
      <c r="AB4318">
        <v>12</v>
      </c>
      <c r="AC4318" t="s">
        <v>166</v>
      </c>
      <c r="AD4318" t="s">
        <v>84</v>
      </c>
      <c r="AE4318" t="s">
        <v>43</v>
      </c>
      <c r="AF4318" t="s">
        <v>44</v>
      </c>
      <c r="AG4318" t="str">
        <f t="shared" si="97"/>
        <v>Recorrente</v>
      </c>
      <c r="AH4318" t="str">
        <f t="shared" si="98"/>
        <v/>
      </c>
    </row>
    <row r="4319" spans="1:34">
      <c r="A4319">
        <v>2026</v>
      </c>
      <c r="B4319">
        <v>5</v>
      </c>
      <c r="C4319" s="83">
        <v>218157158263</v>
      </c>
      <c r="D4319" t="s">
        <v>3711</v>
      </c>
      <c r="E4319">
        <v>58644509001</v>
      </c>
      <c r="F4319">
        <v>276191</v>
      </c>
      <c r="G4319">
        <v>53829276500</v>
      </c>
      <c r="H4319" t="s">
        <v>35</v>
      </c>
      <c r="I4319" s="36">
        <v>6582.6</v>
      </c>
      <c r="J4319" s="36">
        <v>6582.6</v>
      </c>
      <c r="K4319" s="85">
        <v>0</v>
      </c>
      <c r="L4319" s="36">
        <v>548.54999999999995</v>
      </c>
      <c r="M4319" s="36">
        <v>0</v>
      </c>
      <c r="N4319" s="36">
        <v>78.5</v>
      </c>
      <c r="O4319" s="36">
        <v>470.05</v>
      </c>
      <c r="P4319" t="s">
        <v>165</v>
      </c>
      <c r="Q4319" t="s">
        <v>166</v>
      </c>
      <c r="R4319" t="s">
        <v>166</v>
      </c>
      <c r="S4319" s="112">
        <v>46158</v>
      </c>
      <c r="T4319" s="112">
        <v>46158</v>
      </c>
      <c r="U4319" s="112">
        <v>46158</v>
      </c>
      <c r="V4319" s="112">
        <v>46523</v>
      </c>
      <c r="W4319" t="s">
        <v>38</v>
      </c>
      <c r="X4319">
        <v>12</v>
      </c>
      <c r="Y4319" t="s">
        <v>49</v>
      </c>
      <c r="Z4319" t="s">
        <v>81</v>
      </c>
      <c r="AA4319" t="s">
        <v>122</v>
      </c>
      <c r="AB4319">
        <v>12</v>
      </c>
      <c r="AC4319" t="s">
        <v>166</v>
      </c>
      <c r="AD4319" t="s">
        <v>131</v>
      </c>
      <c r="AE4319" t="s">
        <v>46</v>
      </c>
      <c r="AF4319" t="s">
        <v>96</v>
      </c>
      <c r="AG4319" t="str">
        <f t="shared" si="97"/>
        <v>Recorrente</v>
      </c>
      <c r="AH4319" t="str">
        <f t="shared" si="98"/>
        <v/>
      </c>
    </row>
    <row r="4320" spans="1:34">
      <c r="A4320">
        <v>2026</v>
      </c>
      <c r="B4320">
        <v>5</v>
      </c>
      <c r="C4320" s="83">
        <v>220412632187</v>
      </c>
      <c r="D4320" t="s">
        <v>3712</v>
      </c>
      <c r="E4320">
        <v>60100711177</v>
      </c>
      <c r="F4320">
        <v>637689</v>
      </c>
      <c r="G4320">
        <v>55155409033</v>
      </c>
      <c r="H4320" t="s">
        <v>35</v>
      </c>
      <c r="I4320" s="36">
        <v>6547.8</v>
      </c>
      <c r="J4320" s="36">
        <v>6547.8</v>
      </c>
      <c r="K4320" s="85">
        <v>9.0899999999999996E-13</v>
      </c>
      <c r="L4320" s="36">
        <v>545.65</v>
      </c>
      <c r="M4320" s="36">
        <v>0</v>
      </c>
      <c r="N4320" s="36">
        <v>216.7</v>
      </c>
      <c r="O4320" s="36">
        <v>328.95</v>
      </c>
      <c r="P4320" t="s">
        <v>804</v>
      </c>
      <c r="Q4320" t="s">
        <v>191</v>
      </c>
      <c r="R4320" t="s">
        <v>191</v>
      </c>
      <c r="S4320" s="112">
        <v>46150</v>
      </c>
      <c r="T4320" s="112">
        <v>46150</v>
      </c>
      <c r="U4320" s="112"/>
      <c r="V4320" s="112">
        <v>46515</v>
      </c>
      <c r="W4320" t="s">
        <v>38</v>
      </c>
      <c r="Y4320" t="s">
        <v>49</v>
      </c>
      <c r="AA4320" t="s">
        <v>122</v>
      </c>
      <c r="AB4320">
        <v>12</v>
      </c>
      <c r="AC4320" t="s">
        <v>192</v>
      </c>
      <c r="AD4320" t="s">
        <v>134</v>
      </c>
      <c r="AE4320" t="s">
        <v>135</v>
      </c>
      <c r="AF4320" t="s">
        <v>44</v>
      </c>
      <c r="AG4320" t="str">
        <f t="shared" si="97"/>
        <v>Recorrente</v>
      </c>
      <c r="AH4320" t="str">
        <f t="shared" si="98"/>
        <v/>
      </c>
    </row>
    <row r="4321" spans="1:34">
      <c r="A4321">
        <v>2026</v>
      </c>
      <c r="B4321">
        <v>5</v>
      </c>
      <c r="C4321" s="83">
        <v>52808693155</v>
      </c>
      <c r="D4321" t="s">
        <v>3593</v>
      </c>
      <c r="E4321">
        <v>57829461372</v>
      </c>
      <c r="F4321">
        <v>638031</v>
      </c>
      <c r="G4321">
        <v>55648735332</v>
      </c>
      <c r="H4321" t="s">
        <v>35</v>
      </c>
      <c r="I4321" s="36">
        <v>6480</v>
      </c>
      <c r="J4321" s="36">
        <v>6480</v>
      </c>
      <c r="K4321" s="85">
        <v>0</v>
      </c>
      <c r="L4321" s="36">
        <v>540</v>
      </c>
      <c r="M4321" s="36">
        <v>540</v>
      </c>
      <c r="N4321" s="36">
        <v>0</v>
      </c>
      <c r="O4321" s="36">
        <v>0</v>
      </c>
      <c r="P4321" t="s">
        <v>668</v>
      </c>
      <c r="Q4321" t="s">
        <v>91</v>
      </c>
      <c r="R4321" t="s">
        <v>91</v>
      </c>
      <c r="S4321" s="112">
        <v>46169</v>
      </c>
      <c r="T4321" s="112">
        <v>46169</v>
      </c>
      <c r="U4321" s="112"/>
      <c r="V4321" s="112">
        <v>46534</v>
      </c>
      <c r="W4321" t="s">
        <v>38</v>
      </c>
      <c r="X4321">
        <v>12</v>
      </c>
      <c r="Y4321" t="s">
        <v>49</v>
      </c>
      <c r="AA4321" t="s">
        <v>92</v>
      </c>
      <c r="AB4321">
        <v>1</v>
      </c>
      <c r="AC4321" t="s">
        <v>93</v>
      </c>
      <c r="AD4321" t="s">
        <v>833</v>
      </c>
      <c r="AE4321" t="s">
        <v>58</v>
      </c>
      <c r="AF4321" t="s">
        <v>59</v>
      </c>
      <c r="AG4321" t="str">
        <f t="shared" si="97"/>
        <v>Recorrente</v>
      </c>
      <c r="AH4321" t="str">
        <f t="shared" si="98"/>
        <v/>
      </c>
    </row>
    <row r="4322" spans="1:34">
      <c r="A4322">
        <v>2026</v>
      </c>
      <c r="B4322">
        <v>5</v>
      </c>
      <c r="C4322" s="83">
        <v>206413089676</v>
      </c>
      <c r="D4322" t="s">
        <v>3713</v>
      </c>
      <c r="E4322">
        <v>59182261633</v>
      </c>
      <c r="F4322">
        <v>629870</v>
      </c>
      <c r="G4322">
        <v>55088871086</v>
      </c>
      <c r="H4322" t="s">
        <v>35</v>
      </c>
      <c r="I4322" s="36">
        <v>6475.92</v>
      </c>
      <c r="J4322" s="36">
        <v>6475.92</v>
      </c>
      <c r="K4322" s="85">
        <v>0</v>
      </c>
      <c r="L4322" s="36">
        <v>539.66</v>
      </c>
      <c r="M4322" s="36">
        <v>0</v>
      </c>
      <c r="N4322" s="36">
        <v>267.86250000000001</v>
      </c>
      <c r="O4322" s="36">
        <v>271.8</v>
      </c>
      <c r="P4322" t="s">
        <v>116</v>
      </c>
      <c r="Q4322" t="s">
        <v>111</v>
      </c>
      <c r="R4322" t="s">
        <v>111</v>
      </c>
      <c r="S4322" s="112">
        <v>46149</v>
      </c>
      <c r="T4322" s="112">
        <v>46149</v>
      </c>
      <c r="U4322" s="112">
        <v>46169</v>
      </c>
      <c r="V4322" s="112">
        <v>46534</v>
      </c>
      <c r="W4322" t="s">
        <v>38</v>
      </c>
      <c r="X4322">
        <v>12</v>
      </c>
      <c r="Y4322" t="s">
        <v>49</v>
      </c>
      <c r="Z4322" t="s">
        <v>76</v>
      </c>
      <c r="AA4322" t="s">
        <v>112</v>
      </c>
      <c r="AB4322">
        <v>12</v>
      </c>
      <c r="AC4322" t="s">
        <v>113</v>
      </c>
      <c r="AD4322" t="s">
        <v>131</v>
      </c>
      <c r="AE4322" t="s">
        <v>46</v>
      </c>
      <c r="AF4322" t="s">
        <v>96</v>
      </c>
      <c r="AG4322" t="str">
        <f t="shared" si="97"/>
        <v>CC 12x</v>
      </c>
      <c r="AH4322" t="str">
        <f t="shared" si="98"/>
        <v/>
      </c>
    </row>
    <row r="4323" spans="1:34">
      <c r="A4323">
        <v>2026</v>
      </c>
      <c r="B4323">
        <v>5</v>
      </c>
      <c r="C4323" s="83">
        <v>220966482206</v>
      </c>
      <c r="D4323" t="s">
        <v>3714</v>
      </c>
      <c r="E4323">
        <v>60141263400</v>
      </c>
      <c r="F4323">
        <v>513675</v>
      </c>
      <c r="G4323">
        <v>55237485838</v>
      </c>
      <c r="H4323" t="s">
        <v>35</v>
      </c>
      <c r="I4323" s="36">
        <v>6475.92</v>
      </c>
      <c r="J4323" s="36">
        <v>6475.92</v>
      </c>
      <c r="K4323" s="85">
        <v>0</v>
      </c>
      <c r="L4323" s="36">
        <v>539.66</v>
      </c>
      <c r="M4323" s="36">
        <v>0</v>
      </c>
      <c r="N4323" s="36">
        <v>180.16249999999999</v>
      </c>
      <c r="O4323" s="36">
        <v>359.5</v>
      </c>
      <c r="P4323" t="s">
        <v>110</v>
      </c>
      <c r="Q4323" t="s">
        <v>111</v>
      </c>
      <c r="R4323" t="s">
        <v>111</v>
      </c>
      <c r="S4323" s="112">
        <v>46155</v>
      </c>
      <c r="T4323" s="112">
        <v>46155</v>
      </c>
      <c r="U4323" s="112">
        <v>46150</v>
      </c>
      <c r="V4323" s="112">
        <v>46520</v>
      </c>
      <c r="W4323" t="s">
        <v>38</v>
      </c>
      <c r="X4323">
        <v>12</v>
      </c>
      <c r="Y4323" t="s">
        <v>49</v>
      </c>
      <c r="Z4323" t="s">
        <v>81</v>
      </c>
      <c r="AA4323" t="s">
        <v>112</v>
      </c>
      <c r="AB4323">
        <v>12</v>
      </c>
      <c r="AC4323" t="s">
        <v>113</v>
      </c>
      <c r="AD4323" t="s">
        <v>131</v>
      </c>
      <c r="AE4323" t="s">
        <v>46</v>
      </c>
      <c r="AF4323" t="s">
        <v>96</v>
      </c>
      <c r="AG4323" t="str">
        <f t="shared" si="97"/>
        <v>CC 12x</v>
      </c>
      <c r="AH4323" t="str">
        <f t="shared" si="98"/>
        <v/>
      </c>
    </row>
    <row r="4324" spans="1:34">
      <c r="A4324">
        <v>2026</v>
      </c>
      <c r="B4324">
        <v>5</v>
      </c>
      <c r="C4324" s="83">
        <v>92919224428</v>
      </c>
      <c r="D4324" t="s">
        <v>3715</v>
      </c>
      <c r="E4324">
        <v>58877997235</v>
      </c>
      <c r="F4324">
        <v>626839</v>
      </c>
      <c r="G4324">
        <v>55038843432</v>
      </c>
      <c r="H4324" t="s">
        <v>35</v>
      </c>
      <c r="I4324" s="36">
        <v>6475.92</v>
      </c>
      <c r="J4324" s="36">
        <v>6475.92</v>
      </c>
      <c r="K4324" s="85">
        <v>0</v>
      </c>
      <c r="L4324" s="36">
        <v>539.66</v>
      </c>
      <c r="M4324" s="36">
        <v>0</v>
      </c>
      <c r="N4324" s="36">
        <v>0</v>
      </c>
      <c r="O4324" s="36">
        <v>539.66250000000002</v>
      </c>
      <c r="P4324" t="s">
        <v>133</v>
      </c>
      <c r="Q4324" t="s">
        <v>111</v>
      </c>
      <c r="R4324" t="s">
        <v>111</v>
      </c>
      <c r="S4324" s="112">
        <v>46149</v>
      </c>
      <c r="T4324" s="112">
        <v>46149</v>
      </c>
      <c r="U4324" s="112">
        <v>46077</v>
      </c>
      <c r="V4324" s="112">
        <v>46514</v>
      </c>
      <c r="W4324" t="s">
        <v>38</v>
      </c>
      <c r="X4324">
        <v>15</v>
      </c>
      <c r="Y4324" t="s">
        <v>49</v>
      </c>
      <c r="Z4324" t="s">
        <v>81</v>
      </c>
      <c r="AA4324" t="s">
        <v>112</v>
      </c>
      <c r="AB4324">
        <v>12</v>
      </c>
      <c r="AC4324" t="s">
        <v>113</v>
      </c>
      <c r="AD4324" t="s">
        <v>131</v>
      </c>
      <c r="AE4324" t="s">
        <v>46</v>
      </c>
      <c r="AF4324" t="s">
        <v>96</v>
      </c>
      <c r="AG4324" t="str">
        <f t="shared" si="97"/>
        <v>CC 12x</v>
      </c>
      <c r="AH4324" t="str">
        <f t="shared" si="98"/>
        <v/>
      </c>
    </row>
    <row r="4325" spans="1:34">
      <c r="A4325">
        <v>2026</v>
      </c>
      <c r="B4325">
        <v>5</v>
      </c>
      <c r="C4325" s="83">
        <v>143918625539</v>
      </c>
      <c r="D4325" t="s">
        <v>1972</v>
      </c>
      <c r="E4325">
        <v>59172641137</v>
      </c>
      <c r="F4325">
        <v>629936</v>
      </c>
      <c r="G4325">
        <v>54288919097</v>
      </c>
      <c r="H4325" t="s">
        <v>35</v>
      </c>
      <c r="I4325" s="36">
        <v>6354</v>
      </c>
      <c r="J4325" s="36">
        <v>6354</v>
      </c>
      <c r="K4325" s="85">
        <v>0</v>
      </c>
      <c r="L4325" s="36">
        <v>529.5</v>
      </c>
      <c r="M4325" s="36">
        <v>0</v>
      </c>
      <c r="N4325" s="36">
        <v>32.5</v>
      </c>
      <c r="O4325" s="36">
        <v>497</v>
      </c>
      <c r="P4325" t="s">
        <v>165</v>
      </c>
      <c r="Q4325" t="s">
        <v>166</v>
      </c>
      <c r="R4325" t="s">
        <v>166</v>
      </c>
      <c r="S4325" s="112">
        <v>46169</v>
      </c>
      <c r="T4325" s="112">
        <v>46169</v>
      </c>
      <c r="U4325" s="112">
        <v>46172</v>
      </c>
      <c r="V4325" s="112">
        <v>46537</v>
      </c>
      <c r="W4325" t="s">
        <v>38</v>
      </c>
      <c r="X4325">
        <v>12</v>
      </c>
      <c r="Y4325" t="s">
        <v>49</v>
      </c>
      <c r="Z4325" t="s">
        <v>81</v>
      </c>
      <c r="AA4325" t="s">
        <v>112</v>
      </c>
      <c r="AB4325">
        <v>12</v>
      </c>
      <c r="AC4325" t="s">
        <v>166</v>
      </c>
      <c r="AD4325" t="s">
        <v>149</v>
      </c>
      <c r="AE4325" t="s">
        <v>43</v>
      </c>
      <c r="AF4325" t="s">
        <v>96</v>
      </c>
      <c r="AG4325" t="str">
        <f t="shared" si="97"/>
        <v>CC 12x</v>
      </c>
      <c r="AH4325" t="str">
        <f t="shared" si="98"/>
        <v/>
      </c>
    </row>
    <row r="4326" spans="1:34">
      <c r="A4326">
        <v>2026</v>
      </c>
      <c r="B4326">
        <v>5</v>
      </c>
      <c r="C4326" s="83">
        <v>19435408457</v>
      </c>
      <c r="D4326" t="s">
        <v>3716</v>
      </c>
      <c r="E4326">
        <v>58103407978</v>
      </c>
      <c r="F4326">
        <v>534064</v>
      </c>
      <c r="G4326">
        <v>53269804561</v>
      </c>
      <c r="H4326" t="s">
        <v>35</v>
      </c>
      <c r="I4326" s="36">
        <v>6354</v>
      </c>
      <c r="J4326" s="36">
        <v>6354</v>
      </c>
      <c r="K4326" s="85">
        <v>0</v>
      </c>
      <c r="L4326" s="36">
        <v>529.5</v>
      </c>
      <c r="M4326" s="36">
        <v>0</v>
      </c>
      <c r="N4326" s="36">
        <v>55.45</v>
      </c>
      <c r="O4326" s="36">
        <v>474.05</v>
      </c>
      <c r="P4326" t="s">
        <v>165</v>
      </c>
      <c r="Q4326" t="s">
        <v>166</v>
      </c>
      <c r="R4326" t="s">
        <v>166</v>
      </c>
      <c r="S4326" s="112">
        <v>46144</v>
      </c>
      <c r="T4326" s="112">
        <v>46144</v>
      </c>
      <c r="U4326" s="112">
        <v>46144</v>
      </c>
      <c r="V4326" s="112">
        <v>46509</v>
      </c>
      <c r="W4326" t="s">
        <v>38</v>
      </c>
      <c r="X4326">
        <v>12</v>
      </c>
      <c r="Y4326" t="s">
        <v>49</v>
      </c>
      <c r="Z4326" t="s">
        <v>81</v>
      </c>
      <c r="AA4326" t="s">
        <v>112</v>
      </c>
      <c r="AB4326">
        <v>12</v>
      </c>
      <c r="AC4326" t="s">
        <v>166</v>
      </c>
      <c r="AD4326" t="s">
        <v>149</v>
      </c>
      <c r="AE4326" t="s">
        <v>43</v>
      </c>
      <c r="AF4326" t="s">
        <v>96</v>
      </c>
      <c r="AG4326" t="str">
        <f t="shared" si="97"/>
        <v>CC 12x</v>
      </c>
      <c r="AH4326" t="str">
        <f t="shared" si="98"/>
        <v/>
      </c>
    </row>
    <row r="4327" spans="1:34">
      <c r="A4327">
        <v>2026</v>
      </c>
      <c r="B4327">
        <v>5</v>
      </c>
      <c r="C4327" s="83">
        <v>19435607087</v>
      </c>
      <c r="D4327" t="s">
        <v>3717</v>
      </c>
      <c r="E4327">
        <v>58182081578</v>
      </c>
      <c r="F4327">
        <v>281895</v>
      </c>
      <c r="G4327">
        <v>53383042309</v>
      </c>
      <c r="H4327" t="s">
        <v>35</v>
      </c>
      <c r="I4327" s="36">
        <v>6354</v>
      </c>
      <c r="J4327" s="36">
        <v>6354</v>
      </c>
      <c r="K4327" s="85">
        <v>0</v>
      </c>
      <c r="L4327" s="36">
        <v>529.5</v>
      </c>
      <c r="M4327" s="36">
        <v>0</v>
      </c>
      <c r="N4327" s="36">
        <v>105.35</v>
      </c>
      <c r="O4327" s="36">
        <v>424.15</v>
      </c>
      <c r="P4327" t="s">
        <v>165</v>
      </c>
      <c r="Q4327" t="s">
        <v>166</v>
      </c>
      <c r="R4327" t="s">
        <v>166</v>
      </c>
      <c r="S4327" s="112">
        <v>46146</v>
      </c>
      <c r="T4327" s="112">
        <v>46146</v>
      </c>
      <c r="U4327" s="112">
        <v>46146</v>
      </c>
      <c r="V4327" s="112">
        <v>46511</v>
      </c>
      <c r="W4327" t="s">
        <v>38</v>
      </c>
      <c r="X4327">
        <v>12</v>
      </c>
      <c r="Y4327" t="s">
        <v>49</v>
      </c>
      <c r="Z4327" t="s">
        <v>81</v>
      </c>
      <c r="AA4327" t="s">
        <v>112</v>
      </c>
      <c r="AB4327">
        <v>12</v>
      </c>
      <c r="AC4327" t="s">
        <v>166</v>
      </c>
      <c r="AD4327" t="s">
        <v>149</v>
      </c>
      <c r="AE4327" t="s">
        <v>43</v>
      </c>
      <c r="AF4327" t="s">
        <v>96</v>
      </c>
      <c r="AG4327" t="str">
        <f t="shared" si="97"/>
        <v>CC 12x</v>
      </c>
      <c r="AH4327" t="str">
        <f t="shared" si="98"/>
        <v/>
      </c>
    </row>
    <row r="4328" spans="1:34">
      <c r="A4328">
        <v>2026</v>
      </c>
      <c r="B4328">
        <v>5</v>
      </c>
      <c r="C4328" s="83">
        <v>2269801</v>
      </c>
      <c r="D4328" t="s">
        <v>3718</v>
      </c>
      <c r="E4328">
        <v>60330074237</v>
      </c>
      <c r="F4328">
        <v>637831</v>
      </c>
      <c r="G4328">
        <v>55322867320</v>
      </c>
      <c r="H4328" t="s">
        <v>35</v>
      </c>
      <c r="I4328" s="36">
        <v>6354</v>
      </c>
      <c r="J4328" s="36">
        <v>6354</v>
      </c>
      <c r="K4328" s="85">
        <v>0</v>
      </c>
      <c r="L4328" s="36">
        <v>529.5</v>
      </c>
      <c r="M4328" s="36">
        <v>529.5</v>
      </c>
      <c r="N4328" s="36">
        <v>0</v>
      </c>
      <c r="O4328" s="36">
        <v>0</v>
      </c>
      <c r="Q4328" t="s">
        <v>498</v>
      </c>
      <c r="R4328" t="s">
        <v>498</v>
      </c>
      <c r="S4328" s="112">
        <v>46160</v>
      </c>
      <c r="T4328" s="112">
        <v>46160</v>
      </c>
      <c r="U4328" s="112"/>
      <c r="V4328" s="112">
        <v>46525</v>
      </c>
      <c r="W4328" t="s">
        <v>38</v>
      </c>
      <c r="X4328">
        <v>12</v>
      </c>
      <c r="Y4328" t="s">
        <v>49</v>
      </c>
      <c r="AA4328" t="s">
        <v>117</v>
      </c>
      <c r="AB4328">
        <v>1</v>
      </c>
      <c r="AC4328" t="s">
        <v>499</v>
      </c>
      <c r="AD4328" t="s">
        <v>149</v>
      </c>
      <c r="AE4328" t="s">
        <v>43</v>
      </c>
      <c r="AF4328" t="s">
        <v>96</v>
      </c>
      <c r="AG4328" t="str">
        <f t="shared" si="97"/>
        <v>À Vista</v>
      </c>
      <c r="AH4328" t="str">
        <f t="shared" si="98"/>
        <v/>
      </c>
    </row>
    <row r="4329" spans="1:34">
      <c r="A4329">
        <v>2026</v>
      </c>
      <c r="B4329">
        <v>5</v>
      </c>
      <c r="C4329" s="83">
        <v>34195045952</v>
      </c>
      <c r="D4329" t="s">
        <v>3719</v>
      </c>
      <c r="E4329">
        <v>59135913134</v>
      </c>
      <c r="F4329">
        <v>629878</v>
      </c>
      <c r="G4329">
        <v>54235120263</v>
      </c>
      <c r="H4329" t="s">
        <v>35</v>
      </c>
      <c r="I4329" s="36">
        <v>6354</v>
      </c>
      <c r="J4329" s="36">
        <v>6354</v>
      </c>
      <c r="K4329" s="85">
        <v>0</v>
      </c>
      <c r="L4329" s="36">
        <v>529.5</v>
      </c>
      <c r="M4329" s="36">
        <v>0</v>
      </c>
      <c r="N4329" s="36">
        <v>80.400000000000006</v>
      </c>
      <c r="O4329" s="36">
        <v>449.1</v>
      </c>
      <c r="P4329" t="s">
        <v>165</v>
      </c>
      <c r="Q4329" t="s">
        <v>166</v>
      </c>
      <c r="R4329" t="s">
        <v>166</v>
      </c>
      <c r="S4329" s="112">
        <v>46168</v>
      </c>
      <c r="T4329" s="112">
        <v>46168</v>
      </c>
      <c r="U4329" s="112">
        <v>46170</v>
      </c>
      <c r="V4329" s="112">
        <v>46535</v>
      </c>
      <c r="W4329" t="s">
        <v>38</v>
      </c>
      <c r="X4329">
        <v>12</v>
      </c>
      <c r="Y4329" t="s">
        <v>49</v>
      </c>
      <c r="Z4329" t="s">
        <v>81</v>
      </c>
      <c r="AA4329" t="s">
        <v>112</v>
      </c>
      <c r="AB4329">
        <v>12</v>
      </c>
      <c r="AC4329" t="s">
        <v>166</v>
      </c>
      <c r="AD4329" t="s">
        <v>174</v>
      </c>
      <c r="AE4329" t="s">
        <v>43</v>
      </c>
      <c r="AF4329" t="s">
        <v>47</v>
      </c>
      <c r="AG4329" t="str">
        <f t="shared" si="97"/>
        <v>CC 12x</v>
      </c>
      <c r="AH4329" t="str">
        <f t="shared" si="98"/>
        <v/>
      </c>
    </row>
    <row r="4330" spans="1:34">
      <c r="A4330">
        <v>2026</v>
      </c>
      <c r="B4330">
        <v>5</v>
      </c>
      <c r="C4330" s="83">
        <v>54896398985</v>
      </c>
      <c r="D4330" t="s">
        <v>3720</v>
      </c>
      <c r="E4330">
        <v>60198040083</v>
      </c>
      <c r="F4330">
        <v>637740</v>
      </c>
      <c r="G4330">
        <v>55196553850</v>
      </c>
      <c r="H4330" t="s">
        <v>35</v>
      </c>
      <c r="I4330" s="36">
        <v>6354</v>
      </c>
      <c r="J4330" s="36">
        <v>6354</v>
      </c>
      <c r="K4330" s="85">
        <v>0</v>
      </c>
      <c r="L4330" s="36">
        <v>529.5</v>
      </c>
      <c r="M4330" s="36">
        <v>529.5</v>
      </c>
      <c r="N4330" s="36">
        <v>0</v>
      </c>
      <c r="O4330" s="36">
        <v>0</v>
      </c>
      <c r="P4330" t="s">
        <v>348</v>
      </c>
      <c r="Q4330" t="s">
        <v>349</v>
      </c>
      <c r="R4330" t="s">
        <v>349</v>
      </c>
      <c r="S4330" s="112">
        <v>46154</v>
      </c>
      <c r="T4330" s="112">
        <v>46154</v>
      </c>
      <c r="U4330" s="112"/>
      <c r="V4330" s="112">
        <v>46519</v>
      </c>
      <c r="W4330" t="s">
        <v>38</v>
      </c>
      <c r="X4330">
        <v>12</v>
      </c>
      <c r="Y4330" t="s">
        <v>49</v>
      </c>
      <c r="AA4330" t="s">
        <v>40</v>
      </c>
      <c r="AB4330">
        <v>12</v>
      </c>
      <c r="AC4330" t="s">
        <v>350</v>
      </c>
      <c r="AD4330" t="s">
        <v>158</v>
      </c>
      <c r="AE4330" t="s">
        <v>43</v>
      </c>
      <c r="AF4330" t="s">
        <v>47</v>
      </c>
      <c r="AG4330" t="str">
        <f t="shared" si="97"/>
        <v>CC 12x</v>
      </c>
      <c r="AH4330" t="str">
        <f t="shared" si="98"/>
        <v/>
      </c>
    </row>
    <row r="4331" spans="1:34">
      <c r="A4331">
        <v>2026</v>
      </c>
      <c r="B4331">
        <v>5</v>
      </c>
      <c r="C4331" s="83">
        <v>224322320684</v>
      </c>
      <c r="D4331" t="s">
        <v>3721</v>
      </c>
      <c r="E4331">
        <v>59454001080</v>
      </c>
      <c r="F4331">
        <v>315067</v>
      </c>
      <c r="G4331">
        <v>55191357445</v>
      </c>
      <c r="H4331" t="s">
        <v>35</v>
      </c>
      <c r="I4331" s="36">
        <v>6313.92</v>
      </c>
      <c r="J4331" s="36">
        <v>6313.92</v>
      </c>
      <c r="K4331" s="85">
        <v>0</v>
      </c>
      <c r="L4331" s="36">
        <v>526.16</v>
      </c>
      <c r="M4331" s="36">
        <v>0</v>
      </c>
      <c r="N4331" s="36">
        <v>82.762500000000003</v>
      </c>
      <c r="O4331" s="36">
        <v>443.4</v>
      </c>
      <c r="P4331" t="s">
        <v>116</v>
      </c>
      <c r="Q4331" t="s">
        <v>111</v>
      </c>
      <c r="R4331" t="s">
        <v>111</v>
      </c>
      <c r="S4331" s="112">
        <v>46153</v>
      </c>
      <c r="T4331" s="112">
        <v>46153</v>
      </c>
      <c r="U4331" s="112">
        <v>46154</v>
      </c>
      <c r="V4331" s="112">
        <v>46519</v>
      </c>
      <c r="W4331" t="s">
        <v>38</v>
      </c>
      <c r="X4331">
        <v>12</v>
      </c>
      <c r="Y4331" t="s">
        <v>49</v>
      </c>
      <c r="Z4331" t="s">
        <v>81</v>
      </c>
      <c r="AA4331" t="s">
        <v>112</v>
      </c>
      <c r="AB4331">
        <v>12</v>
      </c>
      <c r="AC4331" t="s">
        <v>113</v>
      </c>
      <c r="AD4331" t="s">
        <v>134</v>
      </c>
      <c r="AE4331" t="s">
        <v>135</v>
      </c>
      <c r="AF4331" t="s">
        <v>44</v>
      </c>
      <c r="AG4331" t="str">
        <f t="shared" si="97"/>
        <v>CC 12x</v>
      </c>
      <c r="AH4331" t="str">
        <f t="shared" si="98"/>
        <v/>
      </c>
    </row>
    <row r="4332" spans="1:34">
      <c r="A4332">
        <v>2026</v>
      </c>
      <c r="B4332">
        <v>5</v>
      </c>
      <c r="C4332" s="83">
        <v>123149602158</v>
      </c>
      <c r="D4332" t="s">
        <v>3722</v>
      </c>
      <c r="E4332">
        <v>59767585816</v>
      </c>
      <c r="F4332">
        <v>629789</v>
      </c>
      <c r="G4332">
        <v>55661502084</v>
      </c>
      <c r="H4332" t="s">
        <v>35</v>
      </c>
      <c r="I4332" s="36">
        <v>6293.64</v>
      </c>
      <c r="J4332" s="36">
        <v>6293.64</v>
      </c>
      <c r="K4332" s="85">
        <v>0</v>
      </c>
      <c r="L4332" s="36">
        <v>524.47</v>
      </c>
      <c r="M4332" s="36">
        <v>0</v>
      </c>
      <c r="N4332" s="36">
        <v>94.121250000000003</v>
      </c>
      <c r="O4332" s="36">
        <v>430.35</v>
      </c>
      <c r="P4332" t="s">
        <v>116</v>
      </c>
      <c r="Q4332" t="s">
        <v>111</v>
      </c>
      <c r="R4332" t="s">
        <v>111</v>
      </c>
      <c r="S4332" s="112">
        <v>46171</v>
      </c>
      <c r="T4332" s="112">
        <v>46171</v>
      </c>
      <c r="U4332" s="112">
        <v>46171</v>
      </c>
      <c r="V4332" s="112">
        <v>46536</v>
      </c>
      <c r="W4332" t="s">
        <v>38</v>
      </c>
      <c r="X4332">
        <v>12</v>
      </c>
      <c r="Y4332" t="s">
        <v>49</v>
      </c>
      <c r="Z4332" t="s">
        <v>81</v>
      </c>
      <c r="AA4332" t="s">
        <v>122</v>
      </c>
      <c r="AB4332">
        <v>12</v>
      </c>
      <c r="AC4332" t="s">
        <v>113</v>
      </c>
      <c r="AD4332" t="s">
        <v>125</v>
      </c>
      <c r="AE4332" t="s">
        <v>43</v>
      </c>
      <c r="AF4332" t="s">
        <v>47</v>
      </c>
      <c r="AG4332" t="str">
        <f t="shared" si="97"/>
        <v>Recorrente</v>
      </c>
      <c r="AH4332" t="str">
        <f t="shared" si="98"/>
        <v/>
      </c>
    </row>
    <row r="4333" spans="1:34">
      <c r="A4333">
        <v>2026</v>
      </c>
      <c r="B4333">
        <v>5</v>
      </c>
      <c r="C4333" s="83">
        <v>160050831399</v>
      </c>
      <c r="D4333" t="s">
        <v>3723</v>
      </c>
      <c r="E4333">
        <v>59177894016</v>
      </c>
      <c r="F4333">
        <v>536462</v>
      </c>
      <c r="G4333">
        <v>54372586548</v>
      </c>
      <c r="H4333" t="s">
        <v>35</v>
      </c>
      <c r="I4333" s="36">
        <v>6293.64</v>
      </c>
      <c r="J4333" s="36">
        <v>6293.64</v>
      </c>
      <c r="K4333" s="85">
        <v>0</v>
      </c>
      <c r="L4333" s="36">
        <v>524.47</v>
      </c>
      <c r="M4333" s="36">
        <v>0</v>
      </c>
      <c r="N4333" s="36">
        <v>101.67</v>
      </c>
      <c r="O4333" s="36">
        <v>422.8</v>
      </c>
      <c r="P4333" t="s">
        <v>162</v>
      </c>
      <c r="Q4333" t="s">
        <v>111</v>
      </c>
      <c r="R4333" t="s">
        <v>111</v>
      </c>
      <c r="S4333" s="112">
        <v>46128</v>
      </c>
      <c r="T4333" s="112">
        <v>46143</v>
      </c>
      <c r="U4333" s="112">
        <v>46172</v>
      </c>
      <c r="V4333" s="112">
        <v>46537</v>
      </c>
      <c r="W4333" t="s">
        <v>38</v>
      </c>
      <c r="X4333">
        <v>12</v>
      </c>
      <c r="Y4333" t="s">
        <v>49</v>
      </c>
      <c r="Z4333" t="s">
        <v>81</v>
      </c>
      <c r="AA4333" t="s">
        <v>112</v>
      </c>
      <c r="AB4333">
        <v>12</v>
      </c>
      <c r="AC4333" t="s">
        <v>113</v>
      </c>
      <c r="AD4333" t="s">
        <v>125</v>
      </c>
      <c r="AE4333" t="s">
        <v>43</v>
      </c>
      <c r="AF4333" t="s">
        <v>47</v>
      </c>
      <c r="AG4333" t="str">
        <f t="shared" si="97"/>
        <v>CC 12x</v>
      </c>
      <c r="AH4333" t="str">
        <f t="shared" si="98"/>
        <v/>
      </c>
    </row>
    <row r="4334" spans="1:34">
      <c r="A4334">
        <v>2026</v>
      </c>
      <c r="B4334">
        <v>5</v>
      </c>
      <c r="C4334" s="83">
        <v>53077352027</v>
      </c>
      <c r="D4334" t="s">
        <v>3594</v>
      </c>
      <c r="E4334">
        <v>56699659649</v>
      </c>
      <c r="F4334">
        <v>637872</v>
      </c>
      <c r="G4334">
        <v>55339865244</v>
      </c>
      <c r="H4334" t="s">
        <v>35</v>
      </c>
      <c r="I4334" s="36">
        <v>6154</v>
      </c>
      <c r="J4334" s="36">
        <v>6154</v>
      </c>
      <c r="K4334" s="85">
        <v>0</v>
      </c>
      <c r="L4334" s="36">
        <v>512.83333333333337</v>
      </c>
      <c r="M4334" s="36">
        <v>512.83333333333337</v>
      </c>
      <c r="N4334" s="36">
        <v>0</v>
      </c>
      <c r="O4334" s="36">
        <v>0</v>
      </c>
      <c r="P4334" t="s">
        <v>36</v>
      </c>
      <c r="Q4334" t="s">
        <v>3558</v>
      </c>
      <c r="R4334" t="s">
        <v>37</v>
      </c>
      <c r="S4334" s="112">
        <v>46162</v>
      </c>
      <c r="T4334" s="112">
        <v>46162</v>
      </c>
      <c r="U4334" s="112"/>
      <c r="V4334" s="112"/>
      <c r="W4334" t="s">
        <v>38</v>
      </c>
      <c r="X4334">
        <v>12</v>
      </c>
      <c r="Y4334" t="s">
        <v>49</v>
      </c>
      <c r="AA4334" t="s">
        <v>40</v>
      </c>
      <c r="AB4334">
        <v>1</v>
      </c>
      <c r="AC4334" t="s">
        <v>41</v>
      </c>
      <c r="AD4334" t="s">
        <v>48</v>
      </c>
      <c r="AE4334" t="s">
        <v>43</v>
      </c>
      <c r="AF4334" t="s">
        <v>47</v>
      </c>
      <c r="AG4334" t="str">
        <f t="shared" si="97"/>
        <v>À Vista</v>
      </c>
      <c r="AH4334" t="str">
        <f t="shared" si="98"/>
        <v/>
      </c>
    </row>
    <row r="4335" spans="1:34">
      <c r="A4335">
        <v>2026</v>
      </c>
      <c r="B4335">
        <v>5</v>
      </c>
      <c r="C4335" s="83">
        <v>54801127095</v>
      </c>
      <c r="D4335" t="s">
        <v>3724</v>
      </c>
      <c r="E4335">
        <v>60057015719</v>
      </c>
      <c r="F4335">
        <v>637633</v>
      </c>
      <c r="G4335">
        <v>55093973166</v>
      </c>
      <c r="H4335" t="s">
        <v>35</v>
      </c>
      <c r="I4335" s="36">
        <v>6099.84</v>
      </c>
      <c r="J4335" s="36">
        <v>6099.84</v>
      </c>
      <c r="K4335" s="85">
        <v>0</v>
      </c>
      <c r="L4335" s="36">
        <v>508.32</v>
      </c>
      <c r="M4335" s="36">
        <v>508.32</v>
      </c>
      <c r="N4335" s="36">
        <v>0</v>
      </c>
      <c r="O4335" s="36">
        <v>0</v>
      </c>
      <c r="P4335" t="s">
        <v>2004</v>
      </c>
      <c r="Q4335" t="s">
        <v>300</v>
      </c>
      <c r="R4335" t="s">
        <v>300</v>
      </c>
      <c r="S4335" s="112">
        <v>46149</v>
      </c>
      <c r="T4335" s="112">
        <v>46149</v>
      </c>
      <c r="U4335" s="112"/>
      <c r="V4335" s="112">
        <v>46514</v>
      </c>
      <c r="W4335" t="s">
        <v>38</v>
      </c>
      <c r="X4335">
        <v>12</v>
      </c>
      <c r="Y4335" t="s">
        <v>49</v>
      </c>
      <c r="AA4335" t="s">
        <v>112</v>
      </c>
      <c r="AB4335">
        <v>12</v>
      </c>
      <c r="AC4335" t="s">
        <v>301</v>
      </c>
      <c r="AD4335" t="s">
        <v>174</v>
      </c>
      <c r="AE4335" t="s">
        <v>43</v>
      </c>
      <c r="AF4335" t="s">
        <v>47</v>
      </c>
      <c r="AG4335" t="str">
        <f t="shared" si="97"/>
        <v>CC 12x</v>
      </c>
      <c r="AH4335" t="str">
        <f t="shared" si="98"/>
        <v/>
      </c>
    </row>
    <row r="4336" spans="1:34">
      <c r="A4336">
        <v>2026</v>
      </c>
      <c r="B4336">
        <v>5</v>
      </c>
      <c r="C4336" s="83">
        <v>114517114548</v>
      </c>
      <c r="D4336" t="s">
        <v>947</v>
      </c>
      <c r="E4336">
        <v>60555377047</v>
      </c>
      <c r="F4336">
        <v>638033</v>
      </c>
      <c r="G4336">
        <v>55647333203</v>
      </c>
      <c r="H4336" t="s">
        <v>673</v>
      </c>
      <c r="I4336" s="36">
        <v>6000</v>
      </c>
      <c r="J4336" s="36">
        <v>0</v>
      </c>
      <c r="K4336" s="85">
        <v>0</v>
      </c>
      <c r="L4336" s="36">
        <v>0</v>
      </c>
      <c r="M4336" s="36">
        <v>0</v>
      </c>
      <c r="N4336" s="36">
        <v>0</v>
      </c>
      <c r="O4336" s="36">
        <v>0</v>
      </c>
      <c r="P4336" t="s">
        <v>367</v>
      </c>
      <c r="Q4336" t="s">
        <v>191</v>
      </c>
      <c r="R4336" t="s">
        <v>191</v>
      </c>
      <c r="S4336" s="112">
        <v>46170</v>
      </c>
      <c r="T4336" s="112">
        <v>46170</v>
      </c>
      <c r="U4336" s="112"/>
      <c r="V4336" s="112">
        <v>46901</v>
      </c>
      <c r="W4336" t="s">
        <v>56</v>
      </c>
      <c r="Y4336" t="s">
        <v>549</v>
      </c>
      <c r="AA4336" t="s">
        <v>122</v>
      </c>
      <c r="AB4336">
        <v>24</v>
      </c>
      <c r="AC4336" t="s">
        <v>192</v>
      </c>
      <c r="AD4336" t="s">
        <v>674</v>
      </c>
      <c r="AE4336" t="s">
        <v>106</v>
      </c>
      <c r="AF4336" t="s">
        <v>59</v>
      </c>
      <c r="AG4336" t="str">
        <f t="shared" si="97"/>
        <v>Recorrente</v>
      </c>
      <c r="AH4336" t="str">
        <f t="shared" si="98"/>
        <v/>
      </c>
    </row>
    <row r="4337" spans="1:34">
      <c r="A4337">
        <v>2026</v>
      </c>
      <c r="B4337">
        <v>5</v>
      </c>
      <c r="C4337" s="83">
        <v>19485975099</v>
      </c>
      <c r="D4337" t="s">
        <v>3725</v>
      </c>
      <c r="E4337">
        <v>60072710971</v>
      </c>
      <c r="F4337">
        <v>637849</v>
      </c>
      <c r="G4337">
        <v>55335120223</v>
      </c>
      <c r="H4337" t="s">
        <v>35</v>
      </c>
      <c r="I4337" s="36">
        <v>6000</v>
      </c>
      <c r="J4337" s="36">
        <v>6000</v>
      </c>
      <c r="K4337" s="85">
        <v>0</v>
      </c>
      <c r="L4337" s="36">
        <v>500</v>
      </c>
      <c r="M4337" s="36">
        <v>500</v>
      </c>
      <c r="N4337" s="36">
        <v>0</v>
      </c>
      <c r="O4337" s="36">
        <v>0</v>
      </c>
      <c r="P4337" t="s">
        <v>313</v>
      </c>
      <c r="Q4337" t="s">
        <v>191</v>
      </c>
      <c r="R4337" t="s">
        <v>349</v>
      </c>
      <c r="S4337" s="112">
        <v>46161</v>
      </c>
      <c r="T4337" s="112">
        <v>46161</v>
      </c>
      <c r="U4337" s="112"/>
      <c r="V4337" s="112">
        <v>46527</v>
      </c>
      <c r="W4337" t="s">
        <v>38</v>
      </c>
      <c r="X4337">
        <v>12</v>
      </c>
      <c r="Y4337" t="s">
        <v>49</v>
      </c>
      <c r="AA4337" t="s">
        <v>112</v>
      </c>
      <c r="AB4337">
        <v>12</v>
      </c>
      <c r="AC4337" t="s">
        <v>350</v>
      </c>
      <c r="AD4337" t="s">
        <v>149</v>
      </c>
      <c r="AE4337" t="s">
        <v>43</v>
      </c>
      <c r="AF4337" t="s">
        <v>96</v>
      </c>
      <c r="AG4337" t="str">
        <f t="shared" si="97"/>
        <v>CC 12x</v>
      </c>
      <c r="AH4337" t="str">
        <f t="shared" si="98"/>
        <v/>
      </c>
    </row>
    <row r="4338" spans="1:34">
      <c r="A4338">
        <v>2026</v>
      </c>
      <c r="B4338">
        <v>5</v>
      </c>
      <c r="C4338" s="83">
        <v>20973395341</v>
      </c>
      <c r="D4338" t="s">
        <v>3579</v>
      </c>
      <c r="E4338">
        <v>60014736529</v>
      </c>
      <c r="F4338">
        <v>637753</v>
      </c>
      <c r="G4338">
        <v>55191523451</v>
      </c>
      <c r="H4338" t="s">
        <v>673</v>
      </c>
      <c r="I4338" s="36">
        <v>6000</v>
      </c>
      <c r="J4338" s="36">
        <v>0</v>
      </c>
      <c r="K4338" s="85">
        <v>0</v>
      </c>
      <c r="L4338" s="36">
        <v>0</v>
      </c>
      <c r="M4338" s="36">
        <v>0</v>
      </c>
      <c r="N4338" s="36">
        <v>0</v>
      </c>
      <c r="O4338" s="36">
        <v>0</v>
      </c>
      <c r="P4338" t="s">
        <v>520</v>
      </c>
      <c r="Q4338" t="s">
        <v>191</v>
      </c>
      <c r="R4338" t="s">
        <v>191</v>
      </c>
      <c r="S4338" s="112">
        <v>46154</v>
      </c>
      <c r="T4338" s="112">
        <v>46154</v>
      </c>
      <c r="U4338" s="112"/>
      <c r="V4338" s="112">
        <v>46901</v>
      </c>
      <c r="W4338" t="s">
        <v>56</v>
      </c>
      <c r="Y4338" t="s">
        <v>549</v>
      </c>
      <c r="AA4338" t="s">
        <v>92</v>
      </c>
      <c r="AB4338">
        <v>24</v>
      </c>
      <c r="AC4338" t="s">
        <v>192</v>
      </c>
      <c r="AD4338" t="s">
        <v>674</v>
      </c>
      <c r="AE4338" t="s">
        <v>106</v>
      </c>
      <c r="AF4338" t="s">
        <v>59</v>
      </c>
      <c r="AG4338" t="str">
        <f t="shared" si="97"/>
        <v>Recorrente</v>
      </c>
      <c r="AH4338" t="str">
        <f t="shared" si="98"/>
        <v/>
      </c>
    </row>
    <row r="4339" spans="1:34">
      <c r="A4339">
        <v>2026</v>
      </c>
      <c r="B4339">
        <v>5</v>
      </c>
      <c r="C4339" s="83">
        <v>23568604753</v>
      </c>
      <c r="D4339" t="s">
        <v>826</v>
      </c>
      <c r="E4339">
        <v>59244923311</v>
      </c>
      <c r="F4339">
        <v>637636</v>
      </c>
      <c r="G4339">
        <v>55095925083</v>
      </c>
      <c r="H4339" t="s">
        <v>673</v>
      </c>
      <c r="I4339" s="36">
        <v>6000</v>
      </c>
      <c r="J4339" s="36">
        <v>0</v>
      </c>
      <c r="K4339" s="85">
        <v>0</v>
      </c>
      <c r="L4339" s="36">
        <v>0</v>
      </c>
      <c r="M4339" s="36">
        <v>0</v>
      </c>
      <c r="N4339" s="36">
        <v>0</v>
      </c>
      <c r="O4339" s="36">
        <v>0</v>
      </c>
      <c r="P4339" t="s">
        <v>520</v>
      </c>
      <c r="Q4339" t="s">
        <v>191</v>
      </c>
      <c r="R4339" t="s">
        <v>191</v>
      </c>
      <c r="S4339" s="112">
        <v>46149</v>
      </c>
      <c r="T4339" s="112">
        <v>46149</v>
      </c>
      <c r="U4339" s="112"/>
      <c r="V4339" s="112">
        <v>46886</v>
      </c>
      <c r="W4339" t="s">
        <v>56</v>
      </c>
      <c r="Y4339" t="s">
        <v>549</v>
      </c>
      <c r="AA4339" t="s">
        <v>92</v>
      </c>
      <c r="AB4339">
        <v>24</v>
      </c>
      <c r="AC4339" t="s">
        <v>192</v>
      </c>
      <c r="AD4339" t="s">
        <v>674</v>
      </c>
      <c r="AE4339" t="s">
        <v>106</v>
      </c>
      <c r="AF4339" t="s">
        <v>59</v>
      </c>
      <c r="AG4339" t="str">
        <f t="shared" si="97"/>
        <v>Recorrente</v>
      </c>
      <c r="AH4339" t="str">
        <f t="shared" si="98"/>
        <v/>
      </c>
    </row>
    <row r="4340" spans="1:34">
      <c r="A4340">
        <v>2026</v>
      </c>
      <c r="B4340">
        <v>5</v>
      </c>
      <c r="C4340" s="83">
        <v>28868437124</v>
      </c>
      <c r="D4340" t="s">
        <v>3726</v>
      </c>
      <c r="E4340">
        <v>60538207402</v>
      </c>
      <c r="F4340">
        <v>630129</v>
      </c>
      <c r="G4340">
        <v>55658897665</v>
      </c>
      <c r="H4340" t="s">
        <v>35</v>
      </c>
      <c r="I4340" s="36">
        <v>5957.28</v>
      </c>
      <c r="J4340" s="36">
        <v>1636.04</v>
      </c>
      <c r="K4340" s="85">
        <v>4321.24</v>
      </c>
      <c r="L4340" s="36">
        <v>136.33666669999999</v>
      </c>
      <c r="M4340" s="36">
        <v>0</v>
      </c>
      <c r="N4340" s="36">
        <v>136.33666669999999</v>
      </c>
      <c r="O4340" s="36">
        <v>0</v>
      </c>
      <c r="P4340" t="s">
        <v>520</v>
      </c>
      <c r="Q4340" t="s">
        <v>191</v>
      </c>
      <c r="R4340" t="s">
        <v>191</v>
      </c>
      <c r="S4340" s="112">
        <v>46170</v>
      </c>
      <c r="T4340" s="112">
        <v>46170</v>
      </c>
      <c r="U4340" s="112">
        <v>46913</v>
      </c>
      <c r="V4340" s="112">
        <v>46913</v>
      </c>
      <c r="W4340" t="s">
        <v>102</v>
      </c>
      <c r="X4340">
        <v>25</v>
      </c>
      <c r="Y4340" t="s">
        <v>49</v>
      </c>
      <c r="Z4340" t="s">
        <v>324</v>
      </c>
      <c r="AA4340" t="s">
        <v>92</v>
      </c>
      <c r="AB4340">
        <v>24</v>
      </c>
      <c r="AC4340" t="s">
        <v>192</v>
      </c>
      <c r="AD4340" t="s">
        <v>174</v>
      </c>
      <c r="AE4340" t="s">
        <v>43</v>
      </c>
      <c r="AF4340" t="s">
        <v>47</v>
      </c>
      <c r="AG4340" t="str">
        <f t="shared" si="97"/>
        <v>Recorrente</v>
      </c>
      <c r="AH4340" t="str">
        <f t="shared" si="98"/>
        <v/>
      </c>
    </row>
    <row r="4341" spans="1:34">
      <c r="A4341">
        <v>2026</v>
      </c>
      <c r="B4341">
        <v>5</v>
      </c>
      <c r="C4341" s="83">
        <v>19435650309</v>
      </c>
      <c r="D4341" t="s">
        <v>459</v>
      </c>
      <c r="E4341">
        <v>54223788871</v>
      </c>
      <c r="F4341">
        <v>619963</v>
      </c>
      <c r="G4341">
        <v>55242231699</v>
      </c>
      <c r="H4341" t="s">
        <v>35</v>
      </c>
      <c r="I4341" s="36">
        <v>5931.78</v>
      </c>
      <c r="J4341" s="36">
        <v>5931.78</v>
      </c>
      <c r="K4341" s="85">
        <v>0</v>
      </c>
      <c r="L4341" s="36">
        <v>494.315</v>
      </c>
      <c r="M4341" s="36">
        <v>0</v>
      </c>
      <c r="N4341" s="36">
        <v>494.315</v>
      </c>
      <c r="O4341" s="36">
        <v>0</v>
      </c>
      <c r="P4341" t="s">
        <v>72</v>
      </c>
      <c r="Q4341" t="s">
        <v>3558</v>
      </c>
      <c r="R4341" t="s">
        <v>37</v>
      </c>
      <c r="S4341" s="112">
        <v>46155</v>
      </c>
      <c r="T4341" s="112">
        <v>46155</v>
      </c>
      <c r="U4341" s="112"/>
      <c r="V4341" s="112"/>
      <c r="W4341" t="s">
        <v>38</v>
      </c>
      <c r="X4341">
        <v>12</v>
      </c>
      <c r="Y4341" t="s">
        <v>49</v>
      </c>
      <c r="Z4341" t="s">
        <v>324</v>
      </c>
      <c r="AA4341" t="s">
        <v>112</v>
      </c>
      <c r="AB4341">
        <v>1</v>
      </c>
      <c r="AC4341" t="s">
        <v>41</v>
      </c>
      <c r="AD4341" t="s">
        <v>48</v>
      </c>
      <c r="AE4341" t="s">
        <v>43</v>
      </c>
      <c r="AF4341" t="s">
        <v>47</v>
      </c>
      <c r="AG4341" t="str">
        <f t="shared" si="97"/>
        <v>À Vista</v>
      </c>
      <c r="AH4341" t="str">
        <f t="shared" si="98"/>
        <v/>
      </c>
    </row>
    <row r="4342" spans="1:34">
      <c r="A4342">
        <v>2026</v>
      </c>
      <c r="B4342">
        <v>5</v>
      </c>
      <c r="C4342" s="83">
        <v>2063342</v>
      </c>
      <c r="D4342" t="s">
        <v>3727</v>
      </c>
      <c r="E4342">
        <v>60055457905</v>
      </c>
      <c r="F4342">
        <v>507275</v>
      </c>
      <c r="G4342">
        <v>55129195287</v>
      </c>
      <c r="H4342" t="s">
        <v>35</v>
      </c>
      <c r="I4342" s="36">
        <v>5923.44</v>
      </c>
      <c r="J4342" s="36">
        <v>5923.44</v>
      </c>
      <c r="K4342" s="85">
        <v>0</v>
      </c>
      <c r="L4342" s="36">
        <v>493.62</v>
      </c>
      <c r="M4342" s="36">
        <v>0</v>
      </c>
      <c r="N4342" s="36">
        <v>31.56</v>
      </c>
      <c r="O4342" s="36">
        <v>462.06</v>
      </c>
      <c r="P4342" t="s">
        <v>116</v>
      </c>
      <c r="Q4342" t="s">
        <v>111</v>
      </c>
      <c r="R4342" t="s">
        <v>111</v>
      </c>
      <c r="S4342" s="112">
        <v>46153</v>
      </c>
      <c r="T4342" s="112">
        <v>46153</v>
      </c>
      <c r="U4342" s="112">
        <v>46094</v>
      </c>
      <c r="V4342" s="112">
        <v>46518</v>
      </c>
      <c r="W4342" t="s">
        <v>38</v>
      </c>
      <c r="X4342">
        <v>14</v>
      </c>
      <c r="Y4342" t="s">
        <v>49</v>
      </c>
      <c r="Z4342" t="s">
        <v>81</v>
      </c>
      <c r="AA4342" t="s">
        <v>122</v>
      </c>
      <c r="AB4342">
        <v>12</v>
      </c>
      <c r="AC4342" t="s">
        <v>113</v>
      </c>
      <c r="AD4342" t="s">
        <v>125</v>
      </c>
      <c r="AE4342" t="s">
        <v>43</v>
      </c>
      <c r="AF4342" t="s">
        <v>47</v>
      </c>
      <c r="AG4342" t="str">
        <f t="shared" ref="AG4342:AG4405" si="99">IF(IFERROR(SEARCH("Recorrente",AA4342),0)&gt;0,"Recorrente",IF(AB4342=1,"À Vista",IF(AB4342&lt;=3,"CC 3x",IF(AB4342&lt;=12,"CC 12x",IF(AB4342&gt;12,"Recorrente","")))))</f>
        <v>Recorrente</v>
      </c>
      <c r="AH4342" t="str">
        <f t="shared" ref="AH4342:AH4405" si="100">IF(AND(SUMIF(E:E,E4342,I:I)&gt;=400000,Q4342="B2G"),"n","")</f>
        <v/>
      </c>
    </row>
    <row r="4343" spans="1:34">
      <c r="A4343">
        <v>2026</v>
      </c>
      <c r="B4343">
        <v>5</v>
      </c>
      <c r="C4343" s="83">
        <v>33598646530</v>
      </c>
      <c r="D4343" t="s">
        <v>3728</v>
      </c>
      <c r="E4343">
        <v>58882599027</v>
      </c>
      <c r="F4343">
        <v>629719</v>
      </c>
      <c r="G4343">
        <v>55191297663</v>
      </c>
      <c r="H4343" t="s">
        <v>35</v>
      </c>
      <c r="I4343" s="36">
        <v>5874.57</v>
      </c>
      <c r="J4343" s="36">
        <v>5874.57</v>
      </c>
      <c r="K4343" s="85">
        <v>0</v>
      </c>
      <c r="L4343" s="36">
        <v>489.54750000000001</v>
      </c>
      <c r="M4343" s="36">
        <v>0</v>
      </c>
      <c r="N4343" s="36">
        <v>98.65</v>
      </c>
      <c r="O4343" s="36">
        <v>390.9</v>
      </c>
      <c r="P4343" t="s">
        <v>127</v>
      </c>
      <c r="Q4343" t="s">
        <v>111</v>
      </c>
      <c r="R4343" t="s">
        <v>111</v>
      </c>
      <c r="S4343" s="112">
        <v>46153</v>
      </c>
      <c r="T4343" s="112">
        <v>46153</v>
      </c>
      <c r="U4343" s="112">
        <v>46163</v>
      </c>
      <c r="V4343" s="112">
        <v>46528</v>
      </c>
      <c r="W4343" t="s">
        <v>38</v>
      </c>
      <c r="X4343">
        <v>12</v>
      </c>
      <c r="Y4343" t="s">
        <v>49</v>
      </c>
      <c r="Z4343" t="s">
        <v>81</v>
      </c>
      <c r="AA4343" t="s">
        <v>122</v>
      </c>
      <c r="AB4343">
        <v>12</v>
      </c>
      <c r="AC4343" t="s">
        <v>113</v>
      </c>
      <c r="AD4343" t="s">
        <v>94</v>
      </c>
      <c r="AE4343" t="s">
        <v>95</v>
      </c>
      <c r="AF4343" t="s">
        <v>96</v>
      </c>
      <c r="AG4343" t="str">
        <f t="shared" si="99"/>
        <v>Recorrente</v>
      </c>
      <c r="AH4343" t="str">
        <f t="shared" si="100"/>
        <v/>
      </c>
    </row>
    <row r="4344" spans="1:34">
      <c r="A4344">
        <v>2026</v>
      </c>
      <c r="B4344">
        <v>5</v>
      </c>
      <c r="C4344" s="83">
        <v>33598646530</v>
      </c>
      <c r="D4344" t="s">
        <v>3728</v>
      </c>
      <c r="E4344">
        <v>58882599027</v>
      </c>
      <c r="F4344">
        <v>629719</v>
      </c>
      <c r="G4344">
        <v>55191297664</v>
      </c>
      <c r="H4344" t="s">
        <v>35</v>
      </c>
      <c r="I4344" s="36">
        <v>5874.57</v>
      </c>
      <c r="J4344" s="36">
        <v>5874.57</v>
      </c>
      <c r="K4344" s="85">
        <v>0</v>
      </c>
      <c r="L4344" s="36">
        <v>489.54750000000001</v>
      </c>
      <c r="M4344" s="36">
        <v>0</v>
      </c>
      <c r="N4344" s="36">
        <v>98.65</v>
      </c>
      <c r="O4344" s="36">
        <v>390.9</v>
      </c>
      <c r="P4344" t="s">
        <v>127</v>
      </c>
      <c r="Q4344" t="s">
        <v>111</v>
      </c>
      <c r="R4344" t="s">
        <v>111</v>
      </c>
      <c r="S4344" s="112">
        <v>46153</v>
      </c>
      <c r="T4344" s="112">
        <v>46153</v>
      </c>
      <c r="U4344" s="112">
        <v>46163</v>
      </c>
      <c r="V4344" s="112">
        <v>46528</v>
      </c>
      <c r="W4344" t="s">
        <v>38</v>
      </c>
      <c r="X4344">
        <v>12</v>
      </c>
      <c r="Y4344" t="s">
        <v>49</v>
      </c>
      <c r="Z4344" t="s">
        <v>81</v>
      </c>
      <c r="AA4344" t="s">
        <v>122</v>
      </c>
      <c r="AB4344">
        <v>12</v>
      </c>
      <c r="AC4344" t="s">
        <v>113</v>
      </c>
      <c r="AD4344" t="s">
        <v>149</v>
      </c>
      <c r="AE4344" t="s">
        <v>43</v>
      </c>
      <c r="AF4344" t="s">
        <v>96</v>
      </c>
      <c r="AG4344" t="str">
        <f t="shared" si="99"/>
        <v>Recorrente</v>
      </c>
      <c r="AH4344" t="str">
        <f t="shared" si="100"/>
        <v/>
      </c>
    </row>
    <row r="4345" spans="1:34">
      <c r="A4345">
        <v>2026</v>
      </c>
      <c r="B4345">
        <v>5</v>
      </c>
      <c r="C4345" s="83">
        <v>33598646530</v>
      </c>
      <c r="D4345" t="s">
        <v>3728</v>
      </c>
      <c r="E4345">
        <v>58882599027</v>
      </c>
      <c r="F4345">
        <v>629719</v>
      </c>
      <c r="G4345">
        <v>55191297665</v>
      </c>
      <c r="H4345" t="s">
        <v>35</v>
      </c>
      <c r="I4345" s="36">
        <v>5874.57</v>
      </c>
      <c r="J4345" s="36">
        <v>5874.57</v>
      </c>
      <c r="K4345" s="85">
        <v>0</v>
      </c>
      <c r="L4345" s="36">
        <v>489.54750000000001</v>
      </c>
      <c r="M4345" s="36">
        <v>0</v>
      </c>
      <c r="N4345" s="36">
        <v>98.65</v>
      </c>
      <c r="O4345" s="36">
        <v>390.9</v>
      </c>
      <c r="P4345" t="s">
        <v>127</v>
      </c>
      <c r="Q4345" t="s">
        <v>111</v>
      </c>
      <c r="R4345" t="s">
        <v>111</v>
      </c>
      <c r="S4345" s="112">
        <v>46153</v>
      </c>
      <c r="T4345" s="112">
        <v>46153</v>
      </c>
      <c r="U4345" s="112">
        <v>46163</v>
      </c>
      <c r="V4345" s="112">
        <v>46528</v>
      </c>
      <c r="W4345" t="s">
        <v>38</v>
      </c>
      <c r="X4345">
        <v>12</v>
      </c>
      <c r="Y4345" t="s">
        <v>49</v>
      </c>
      <c r="Z4345" t="s">
        <v>81</v>
      </c>
      <c r="AA4345" t="s">
        <v>122</v>
      </c>
      <c r="AB4345">
        <v>12</v>
      </c>
      <c r="AC4345" t="s">
        <v>113</v>
      </c>
      <c r="AD4345" t="s">
        <v>256</v>
      </c>
      <c r="AE4345" t="s">
        <v>257</v>
      </c>
      <c r="AF4345" t="s">
        <v>59</v>
      </c>
      <c r="AG4345" t="str">
        <f t="shared" si="99"/>
        <v>Recorrente</v>
      </c>
      <c r="AH4345" t="str">
        <f t="shared" si="100"/>
        <v/>
      </c>
    </row>
    <row r="4346" spans="1:34">
      <c r="A4346">
        <v>2026</v>
      </c>
      <c r="B4346">
        <v>5</v>
      </c>
      <c r="C4346" s="83">
        <v>33598646530</v>
      </c>
      <c r="D4346" t="s">
        <v>3728</v>
      </c>
      <c r="E4346">
        <v>58882599027</v>
      </c>
      <c r="F4346">
        <v>629719</v>
      </c>
      <c r="G4346">
        <v>55191297666</v>
      </c>
      <c r="H4346" t="s">
        <v>35</v>
      </c>
      <c r="I4346" s="36">
        <v>5874.57</v>
      </c>
      <c r="J4346" s="36">
        <v>5874.57</v>
      </c>
      <c r="K4346" s="85">
        <v>0</v>
      </c>
      <c r="L4346" s="36">
        <v>489.54750000000001</v>
      </c>
      <c r="M4346" s="36">
        <v>0</v>
      </c>
      <c r="N4346" s="36">
        <v>98.65</v>
      </c>
      <c r="O4346" s="36">
        <v>390.9</v>
      </c>
      <c r="P4346" t="s">
        <v>127</v>
      </c>
      <c r="Q4346" t="s">
        <v>111</v>
      </c>
      <c r="R4346" t="s">
        <v>111</v>
      </c>
      <c r="S4346" s="112">
        <v>46153</v>
      </c>
      <c r="T4346" s="112">
        <v>46153</v>
      </c>
      <c r="U4346" s="112">
        <v>46163</v>
      </c>
      <c r="V4346" s="112">
        <v>46528</v>
      </c>
      <c r="W4346" t="s">
        <v>38</v>
      </c>
      <c r="X4346">
        <v>12</v>
      </c>
      <c r="Y4346" t="s">
        <v>49</v>
      </c>
      <c r="Z4346" t="s">
        <v>81</v>
      </c>
      <c r="AA4346" t="s">
        <v>122</v>
      </c>
      <c r="AB4346">
        <v>12</v>
      </c>
      <c r="AC4346" t="s">
        <v>113</v>
      </c>
      <c r="AD4346" t="s">
        <v>131</v>
      </c>
      <c r="AE4346" t="s">
        <v>46</v>
      </c>
      <c r="AF4346" t="s">
        <v>96</v>
      </c>
      <c r="AG4346" t="str">
        <f t="shared" si="99"/>
        <v>Recorrente</v>
      </c>
      <c r="AH4346" t="str">
        <f t="shared" si="100"/>
        <v/>
      </c>
    </row>
    <row r="4347" spans="1:34">
      <c r="A4347">
        <v>2026</v>
      </c>
      <c r="B4347">
        <v>5</v>
      </c>
      <c r="C4347" s="83">
        <v>19435433906</v>
      </c>
      <c r="D4347" t="s">
        <v>3729</v>
      </c>
      <c r="E4347">
        <v>59644557400</v>
      </c>
      <c r="F4347">
        <v>637793</v>
      </c>
      <c r="G4347">
        <v>55255019094</v>
      </c>
      <c r="H4347" t="s">
        <v>35</v>
      </c>
      <c r="I4347" s="36">
        <v>5772</v>
      </c>
      <c r="J4347" s="36">
        <v>5772</v>
      </c>
      <c r="K4347" s="85">
        <v>0</v>
      </c>
      <c r="L4347" s="36">
        <v>481</v>
      </c>
      <c r="M4347" s="36">
        <v>481</v>
      </c>
      <c r="N4347" s="36">
        <v>0</v>
      </c>
      <c r="O4347" s="36">
        <v>0</v>
      </c>
      <c r="P4347" t="s">
        <v>98</v>
      </c>
      <c r="Q4347" t="s">
        <v>3558</v>
      </c>
      <c r="R4347" t="s">
        <v>37</v>
      </c>
      <c r="S4347" s="112">
        <v>46156</v>
      </c>
      <c r="T4347" s="112">
        <v>46156</v>
      </c>
      <c r="U4347" s="112"/>
      <c r="V4347" s="112">
        <v>46540</v>
      </c>
      <c r="W4347" t="s">
        <v>38</v>
      </c>
      <c r="X4347">
        <v>13</v>
      </c>
      <c r="Y4347" t="s">
        <v>49</v>
      </c>
      <c r="AA4347" t="s">
        <v>40</v>
      </c>
      <c r="AB4347">
        <v>1</v>
      </c>
      <c r="AC4347" t="s">
        <v>41</v>
      </c>
      <c r="AD4347" t="s">
        <v>54</v>
      </c>
      <c r="AE4347" t="s">
        <v>46</v>
      </c>
      <c r="AF4347" t="s">
        <v>44</v>
      </c>
      <c r="AG4347" t="str">
        <f t="shared" si="99"/>
        <v>À Vista</v>
      </c>
      <c r="AH4347" t="str">
        <f t="shared" si="100"/>
        <v/>
      </c>
    </row>
    <row r="4348" spans="1:34">
      <c r="A4348">
        <v>2026</v>
      </c>
      <c r="B4348">
        <v>5</v>
      </c>
      <c r="C4348" s="83">
        <v>19435566993</v>
      </c>
      <c r="D4348" t="s">
        <v>3730</v>
      </c>
      <c r="E4348">
        <v>60013676095</v>
      </c>
      <c r="F4348">
        <v>535393</v>
      </c>
      <c r="G4348">
        <v>55623695483</v>
      </c>
      <c r="H4348" t="s">
        <v>35</v>
      </c>
      <c r="I4348" s="36">
        <v>5772</v>
      </c>
      <c r="J4348" s="36">
        <v>5772</v>
      </c>
      <c r="K4348" s="85">
        <v>0</v>
      </c>
      <c r="L4348" s="36">
        <v>481</v>
      </c>
      <c r="M4348" s="36">
        <v>0</v>
      </c>
      <c r="N4348" s="36">
        <v>0</v>
      </c>
      <c r="O4348" s="36">
        <v>481</v>
      </c>
      <c r="P4348" t="s">
        <v>3446</v>
      </c>
      <c r="Q4348" t="s">
        <v>37</v>
      </c>
      <c r="R4348" t="s">
        <v>79</v>
      </c>
      <c r="S4348" s="112">
        <v>46168</v>
      </c>
      <c r="T4348" s="112">
        <v>46168</v>
      </c>
      <c r="U4348" s="112">
        <v>46167</v>
      </c>
      <c r="V4348" s="112">
        <v>46533</v>
      </c>
      <c r="W4348" t="s">
        <v>38</v>
      </c>
      <c r="X4348">
        <v>12</v>
      </c>
      <c r="Y4348" t="s">
        <v>49</v>
      </c>
      <c r="Z4348" t="s">
        <v>76</v>
      </c>
      <c r="AA4348" t="s">
        <v>82</v>
      </c>
      <c r="AB4348">
        <v>1</v>
      </c>
      <c r="AC4348" t="s">
        <v>83</v>
      </c>
      <c r="AD4348" t="s">
        <v>54</v>
      </c>
      <c r="AE4348" t="s">
        <v>46</v>
      </c>
      <c r="AF4348" t="s">
        <v>44</v>
      </c>
      <c r="AG4348" t="str">
        <f t="shared" si="99"/>
        <v>À Vista</v>
      </c>
      <c r="AH4348" t="str">
        <f t="shared" si="100"/>
        <v/>
      </c>
    </row>
    <row r="4349" spans="1:34">
      <c r="A4349">
        <v>2026</v>
      </c>
      <c r="B4349">
        <v>5</v>
      </c>
      <c r="C4349" s="83">
        <v>31432284318</v>
      </c>
      <c r="D4349" t="s">
        <v>3731</v>
      </c>
      <c r="E4349">
        <v>49652766499</v>
      </c>
      <c r="F4349">
        <v>629643</v>
      </c>
      <c r="G4349">
        <v>55321911697</v>
      </c>
      <c r="H4349" t="s">
        <v>35</v>
      </c>
      <c r="I4349" s="36">
        <v>5772</v>
      </c>
      <c r="J4349" s="36">
        <v>5772</v>
      </c>
      <c r="K4349" s="85">
        <v>0</v>
      </c>
      <c r="L4349" s="36">
        <v>481</v>
      </c>
      <c r="M4349" s="36">
        <v>0</v>
      </c>
      <c r="N4349" s="36">
        <v>0</v>
      </c>
      <c r="O4349" s="36">
        <v>481</v>
      </c>
      <c r="P4349" t="s">
        <v>75</v>
      </c>
      <c r="Q4349" t="s">
        <v>3558</v>
      </c>
      <c r="R4349" t="s">
        <v>37</v>
      </c>
      <c r="S4349" s="112">
        <v>46160</v>
      </c>
      <c r="T4349" s="112">
        <v>46160</v>
      </c>
      <c r="U4349" s="112">
        <v>46161</v>
      </c>
      <c r="V4349" s="112">
        <v>46525</v>
      </c>
      <c r="W4349" t="s">
        <v>38</v>
      </c>
      <c r="X4349">
        <v>12</v>
      </c>
      <c r="Y4349" t="s">
        <v>49</v>
      </c>
      <c r="Z4349" t="s">
        <v>81</v>
      </c>
      <c r="AA4349" t="s">
        <v>40</v>
      </c>
      <c r="AB4349">
        <v>1</v>
      </c>
      <c r="AC4349" t="s">
        <v>41</v>
      </c>
      <c r="AD4349" t="s">
        <v>54</v>
      </c>
      <c r="AE4349" t="s">
        <v>46</v>
      </c>
      <c r="AF4349" t="s">
        <v>44</v>
      </c>
      <c r="AG4349" t="str">
        <f t="shared" si="99"/>
        <v>À Vista</v>
      </c>
      <c r="AH4349" t="str">
        <f t="shared" si="100"/>
        <v/>
      </c>
    </row>
    <row r="4350" spans="1:34">
      <c r="A4350">
        <v>2026</v>
      </c>
      <c r="B4350">
        <v>5</v>
      </c>
      <c r="C4350" s="83">
        <v>106716341794</v>
      </c>
      <c r="D4350" t="s">
        <v>3732</v>
      </c>
      <c r="E4350">
        <v>59156642329</v>
      </c>
      <c r="F4350">
        <v>615134</v>
      </c>
      <c r="G4350">
        <v>54274941728</v>
      </c>
      <c r="H4350" t="s">
        <v>35</v>
      </c>
      <c r="I4350" s="36">
        <v>5754</v>
      </c>
      <c r="J4350" s="36">
        <v>5754</v>
      </c>
      <c r="K4350" s="85">
        <v>0</v>
      </c>
      <c r="L4350" s="36">
        <v>479.5</v>
      </c>
      <c r="M4350" s="36">
        <v>0</v>
      </c>
      <c r="N4350" s="36">
        <v>94.45</v>
      </c>
      <c r="O4350" s="36">
        <v>385.05</v>
      </c>
      <c r="P4350" t="s">
        <v>165</v>
      </c>
      <c r="Q4350" t="s">
        <v>166</v>
      </c>
      <c r="R4350" t="s">
        <v>166</v>
      </c>
      <c r="S4350" s="112">
        <v>46168</v>
      </c>
      <c r="T4350" s="112">
        <v>46168</v>
      </c>
      <c r="U4350" s="112">
        <v>46171</v>
      </c>
      <c r="V4350" s="112">
        <v>46536</v>
      </c>
      <c r="W4350" t="s">
        <v>38</v>
      </c>
      <c r="X4350">
        <v>12</v>
      </c>
      <c r="Y4350" t="s">
        <v>49</v>
      </c>
      <c r="Z4350" t="s">
        <v>81</v>
      </c>
      <c r="AA4350" t="s">
        <v>122</v>
      </c>
      <c r="AB4350">
        <v>12</v>
      </c>
      <c r="AC4350" t="s">
        <v>166</v>
      </c>
      <c r="AD4350" t="s">
        <v>85</v>
      </c>
      <c r="AE4350" t="s">
        <v>46</v>
      </c>
      <c r="AF4350" t="s">
        <v>44</v>
      </c>
      <c r="AG4350" t="str">
        <f t="shared" si="99"/>
        <v>Recorrente</v>
      </c>
      <c r="AH4350" t="str">
        <f t="shared" si="100"/>
        <v/>
      </c>
    </row>
    <row r="4351" spans="1:34">
      <c r="A4351">
        <v>2026</v>
      </c>
      <c r="B4351">
        <v>5</v>
      </c>
      <c r="C4351" s="83">
        <v>114714546556</v>
      </c>
      <c r="D4351" t="s">
        <v>3733</v>
      </c>
      <c r="E4351">
        <v>58816216333</v>
      </c>
      <c r="F4351">
        <v>510688</v>
      </c>
      <c r="G4351">
        <v>53992063802</v>
      </c>
      <c r="H4351" t="s">
        <v>35</v>
      </c>
      <c r="I4351" s="36">
        <v>5754</v>
      </c>
      <c r="J4351" s="36">
        <v>5754</v>
      </c>
      <c r="K4351" s="85">
        <v>0</v>
      </c>
      <c r="L4351" s="36">
        <v>479.5</v>
      </c>
      <c r="M4351" s="36">
        <v>0</v>
      </c>
      <c r="N4351" s="36">
        <v>49.15</v>
      </c>
      <c r="O4351" s="36">
        <v>430.35</v>
      </c>
      <c r="P4351" t="s">
        <v>165</v>
      </c>
      <c r="Q4351" t="s">
        <v>166</v>
      </c>
      <c r="R4351" t="s">
        <v>166</v>
      </c>
      <c r="S4351" s="112">
        <v>46161</v>
      </c>
      <c r="T4351" s="112">
        <v>46161</v>
      </c>
      <c r="U4351" s="112">
        <v>46161</v>
      </c>
      <c r="V4351" s="112">
        <v>46526</v>
      </c>
      <c r="W4351" t="s">
        <v>38</v>
      </c>
      <c r="X4351">
        <v>12</v>
      </c>
      <c r="Y4351" t="s">
        <v>49</v>
      </c>
      <c r="Z4351" t="s">
        <v>81</v>
      </c>
      <c r="AA4351" t="s">
        <v>112</v>
      </c>
      <c r="AB4351">
        <v>12</v>
      </c>
      <c r="AC4351" t="s">
        <v>166</v>
      </c>
      <c r="AD4351" t="s">
        <v>85</v>
      </c>
      <c r="AE4351" t="s">
        <v>46</v>
      </c>
      <c r="AF4351" t="s">
        <v>44</v>
      </c>
      <c r="AG4351" t="str">
        <f t="shared" si="99"/>
        <v>CC 12x</v>
      </c>
      <c r="AH4351" t="str">
        <f t="shared" si="100"/>
        <v/>
      </c>
    </row>
    <row r="4352" spans="1:34">
      <c r="A4352">
        <v>2026</v>
      </c>
      <c r="B4352">
        <v>5</v>
      </c>
      <c r="C4352" s="83">
        <v>119651735922</v>
      </c>
      <c r="D4352" t="s">
        <v>3734</v>
      </c>
      <c r="E4352">
        <v>58437968505</v>
      </c>
      <c r="F4352">
        <v>510736</v>
      </c>
      <c r="G4352">
        <v>53635147793</v>
      </c>
      <c r="H4352" t="s">
        <v>35</v>
      </c>
      <c r="I4352" s="36">
        <v>5754</v>
      </c>
      <c r="J4352" s="36">
        <v>5754</v>
      </c>
      <c r="K4352" s="85">
        <v>0</v>
      </c>
      <c r="L4352" s="36">
        <v>479.5</v>
      </c>
      <c r="M4352" s="36">
        <v>0</v>
      </c>
      <c r="N4352" s="36">
        <v>94.45</v>
      </c>
      <c r="O4352" s="36">
        <v>385.05</v>
      </c>
      <c r="P4352" t="s">
        <v>165</v>
      </c>
      <c r="Q4352" t="s">
        <v>166</v>
      </c>
      <c r="R4352" t="s">
        <v>166</v>
      </c>
      <c r="S4352" s="112">
        <v>46153</v>
      </c>
      <c r="T4352" s="112">
        <v>46153</v>
      </c>
      <c r="U4352" s="112">
        <v>46153</v>
      </c>
      <c r="V4352" s="112">
        <v>46518</v>
      </c>
      <c r="W4352" t="s">
        <v>38</v>
      </c>
      <c r="X4352">
        <v>12</v>
      </c>
      <c r="Y4352" t="s">
        <v>49</v>
      </c>
      <c r="Z4352" t="s">
        <v>81</v>
      </c>
      <c r="AA4352" t="s">
        <v>112</v>
      </c>
      <c r="AB4352">
        <v>12</v>
      </c>
      <c r="AC4352" t="s">
        <v>166</v>
      </c>
      <c r="AD4352" t="s">
        <v>85</v>
      </c>
      <c r="AE4352" t="s">
        <v>46</v>
      </c>
      <c r="AF4352" t="s">
        <v>44</v>
      </c>
      <c r="AG4352" t="str">
        <f t="shared" si="99"/>
        <v>CC 12x</v>
      </c>
      <c r="AH4352" t="str">
        <f t="shared" si="100"/>
        <v/>
      </c>
    </row>
    <row r="4353" spans="1:34">
      <c r="A4353">
        <v>2026</v>
      </c>
      <c r="B4353">
        <v>5</v>
      </c>
      <c r="C4353" s="83">
        <v>120516416861</v>
      </c>
      <c r="D4353" t="s">
        <v>3735</v>
      </c>
      <c r="E4353">
        <v>60254831170</v>
      </c>
      <c r="F4353">
        <v>637817</v>
      </c>
      <c r="G4353">
        <v>55274316314</v>
      </c>
      <c r="H4353" t="s">
        <v>35</v>
      </c>
      <c r="I4353" s="36">
        <v>5754</v>
      </c>
      <c r="J4353" s="36">
        <v>5754</v>
      </c>
      <c r="K4353" s="85">
        <v>0</v>
      </c>
      <c r="L4353" s="36">
        <v>479.5</v>
      </c>
      <c r="M4353" s="36">
        <v>479.5</v>
      </c>
      <c r="N4353" s="36">
        <v>0</v>
      </c>
      <c r="O4353" s="36">
        <v>0</v>
      </c>
      <c r="P4353" t="s">
        <v>3179</v>
      </c>
      <c r="Q4353" t="s">
        <v>300</v>
      </c>
      <c r="R4353" t="s">
        <v>300</v>
      </c>
      <c r="S4353" s="112">
        <v>46157</v>
      </c>
      <c r="T4353" s="112">
        <v>46157</v>
      </c>
      <c r="U4353" s="112"/>
      <c r="V4353" s="112">
        <v>46522</v>
      </c>
      <c r="W4353" t="s">
        <v>38</v>
      </c>
      <c r="X4353">
        <v>12</v>
      </c>
      <c r="Y4353" t="s">
        <v>49</v>
      </c>
      <c r="AA4353" t="s">
        <v>122</v>
      </c>
      <c r="AB4353">
        <v>12</v>
      </c>
      <c r="AC4353" t="s">
        <v>301</v>
      </c>
      <c r="AD4353" t="s">
        <v>85</v>
      </c>
      <c r="AE4353" t="s">
        <v>46</v>
      </c>
      <c r="AF4353" t="s">
        <v>44</v>
      </c>
      <c r="AG4353" t="str">
        <f t="shared" si="99"/>
        <v>Recorrente</v>
      </c>
      <c r="AH4353" t="str">
        <f t="shared" si="100"/>
        <v/>
      </c>
    </row>
    <row r="4354" spans="1:34">
      <c r="A4354">
        <v>2026</v>
      </c>
      <c r="B4354">
        <v>5</v>
      </c>
      <c r="C4354" s="83">
        <v>121419514804</v>
      </c>
      <c r="D4354" t="s">
        <v>3736</v>
      </c>
      <c r="E4354">
        <v>58523797761</v>
      </c>
      <c r="F4354">
        <v>629537</v>
      </c>
      <c r="G4354">
        <v>53697691953</v>
      </c>
      <c r="H4354" t="s">
        <v>35</v>
      </c>
      <c r="I4354" s="36">
        <v>5754</v>
      </c>
      <c r="J4354" s="36">
        <v>5754</v>
      </c>
      <c r="K4354" s="85">
        <v>0</v>
      </c>
      <c r="L4354" s="36">
        <v>479.5</v>
      </c>
      <c r="M4354" s="36">
        <v>0</v>
      </c>
      <c r="N4354" s="36">
        <v>92.19</v>
      </c>
      <c r="O4354" s="36">
        <v>387.31</v>
      </c>
      <c r="P4354" t="s">
        <v>165</v>
      </c>
      <c r="Q4354" t="s">
        <v>166</v>
      </c>
      <c r="R4354" t="s">
        <v>166</v>
      </c>
      <c r="S4354" s="112">
        <v>46155</v>
      </c>
      <c r="T4354" s="112">
        <v>46155</v>
      </c>
      <c r="U4354" s="112">
        <v>46155</v>
      </c>
      <c r="V4354" s="112">
        <v>46520</v>
      </c>
      <c r="W4354" t="s">
        <v>38</v>
      </c>
      <c r="X4354">
        <v>12</v>
      </c>
      <c r="Y4354" t="s">
        <v>49</v>
      </c>
      <c r="Z4354" t="s">
        <v>81</v>
      </c>
      <c r="AA4354" t="s">
        <v>112</v>
      </c>
      <c r="AB4354">
        <v>12</v>
      </c>
      <c r="AC4354" t="s">
        <v>166</v>
      </c>
      <c r="AD4354" t="s">
        <v>85</v>
      </c>
      <c r="AE4354" t="s">
        <v>46</v>
      </c>
      <c r="AF4354" t="s">
        <v>44</v>
      </c>
      <c r="AG4354" t="str">
        <f t="shared" si="99"/>
        <v>CC 12x</v>
      </c>
      <c r="AH4354" t="str">
        <f t="shared" si="100"/>
        <v/>
      </c>
    </row>
    <row r="4355" spans="1:34">
      <c r="A4355">
        <v>2026</v>
      </c>
      <c r="B4355">
        <v>5</v>
      </c>
      <c r="C4355" s="83">
        <v>145808932614</v>
      </c>
      <c r="D4355" t="s">
        <v>3737</v>
      </c>
      <c r="E4355">
        <v>58324633254</v>
      </c>
      <c r="F4355">
        <v>314829</v>
      </c>
      <c r="G4355">
        <v>53536039765</v>
      </c>
      <c r="H4355" t="s">
        <v>35</v>
      </c>
      <c r="I4355" s="36">
        <v>5754</v>
      </c>
      <c r="J4355" s="36">
        <v>5754</v>
      </c>
      <c r="K4355" s="85">
        <v>0</v>
      </c>
      <c r="L4355" s="36">
        <v>479.5</v>
      </c>
      <c r="M4355" s="36">
        <v>0</v>
      </c>
      <c r="N4355" s="36">
        <v>71.8</v>
      </c>
      <c r="O4355" s="36">
        <v>407.7</v>
      </c>
      <c r="P4355" t="s">
        <v>165</v>
      </c>
      <c r="Q4355" t="s">
        <v>166</v>
      </c>
      <c r="R4355" t="s">
        <v>166</v>
      </c>
      <c r="S4355" s="112">
        <v>46151</v>
      </c>
      <c r="T4355" s="112">
        <v>46151</v>
      </c>
      <c r="U4355" s="112">
        <v>46151</v>
      </c>
      <c r="V4355" s="112">
        <v>46516</v>
      </c>
      <c r="W4355" t="s">
        <v>38</v>
      </c>
      <c r="X4355">
        <v>12</v>
      </c>
      <c r="Y4355" t="s">
        <v>49</v>
      </c>
      <c r="Z4355" t="s">
        <v>81</v>
      </c>
      <c r="AA4355" t="s">
        <v>122</v>
      </c>
      <c r="AB4355">
        <v>12</v>
      </c>
      <c r="AC4355" t="s">
        <v>166</v>
      </c>
      <c r="AD4355" t="s">
        <v>85</v>
      </c>
      <c r="AE4355" t="s">
        <v>46</v>
      </c>
      <c r="AF4355" t="s">
        <v>44</v>
      </c>
      <c r="AG4355" t="str">
        <f t="shared" si="99"/>
        <v>Recorrente</v>
      </c>
      <c r="AH4355" t="str">
        <f t="shared" si="100"/>
        <v/>
      </c>
    </row>
    <row r="4356" spans="1:34">
      <c r="A4356">
        <v>2026</v>
      </c>
      <c r="B4356">
        <v>5</v>
      </c>
      <c r="C4356" s="83">
        <v>148188342674</v>
      </c>
      <c r="D4356" t="s">
        <v>3738</v>
      </c>
      <c r="E4356">
        <v>59676649514</v>
      </c>
      <c r="F4356">
        <v>536029</v>
      </c>
      <c r="G4356">
        <v>55607232590</v>
      </c>
      <c r="H4356" t="s">
        <v>35</v>
      </c>
      <c r="I4356" s="36">
        <v>5754</v>
      </c>
      <c r="J4356" s="36">
        <v>5754</v>
      </c>
      <c r="K4356" s="85">
        <v>0</v>
      </c>
      <c r="L4356" s="36">
        <v>479.5</v>
      </c>
      <c r="M4356" s="36">
        <v>0</v>
      </c>
      <c r="N4356" s="36">
        <v>16.0275</v>
      </c>
      <c r="O4356" s="36">
        <v>463.47250000000003</v>
      </c>
      <c r="P4356" t="s">
        <v>121</v>
      </c>
      <c r="Q4356" t="s">
        <v>111</v>
      </c>
      <c r="R4356" t="s">
        <v>111</v>
      </c>
      <c r="S4356" s="112">
        <v>46167</v>
      </c>
      <c r="T4356" s="112">
        <v>46167</v>
      </c>
      <c r="U4356" s="112">
        <v>46167</v>
      </c>
      <c r="V4356" s="112">
        <v>46532</v>
      </c>
      <c r="W4356" t="s">
        <v>38</v>
      </c>
      <c r="X4356">
        <v>12</v>
      </c>
      <c r="Y4356" t="s">
        <v>49</v>
      </c>
      <c r="Z4356" t="s">
        <v>76</v>
      </c>
      <c r="AA4356" t="s">
        <v>122</v>
      </c>
      <c r="AB4356">
        <v>12</v>
      </c>
      <c r="AC4356" t="s">
        <v>113</v>
      </c>
      <c r="AD4356" t="s">
        <v>85</v>
      </c>
      <c r="AE4356" t="s">
        <v>46</v>
      </c>
      <c r="AF4356" t="s">
        <v>44</v>
      </c>
      <c r="AG4356" t="str">
        <f t="shared" si="99"/>
        <v>Recorrente</v>
      </c>
      <c r="AH4356" t="str">
        <f t="shared" si="100"/>
        <v/>
      </c>
    </row>
    <row r="4357" spans="1:34">
      <c r="A4357">
        <v>2026</v>
      </c>
      <c r="B4357">
        <v>5</v>
      </c>
      <c r="C4357" s="83">
        <v>19435566922</v>
      </c>
      <c r="D4357" t="s">
        <v>3739</v>
      </c>
      <c r="E4357">
        <v>58103086979</v>
      </c>
      <c r="F4357">
        <v>629226</v>
      </c>
      <c r="G4357">
        <v>53264265772</v>
      </c>
      <c r="H4357" t="s">
        <v>35</v>
      </c>
      <c r="I4357" s="36">
        <v>5754</v>
      </c>
      <c r="J4357" s="36">
        <v>5754</v>
      </c>
      <c r="K4357" s="85">
        <v>0</v>
      </c>
      <c r="L4357" s="36">
        <v>479.5</v>
      </c>
      <c r="M4357" s="36">
        <v>0</v>
      </c>
      <c r="N4357" s="36">
        <v>94.45</v>
      </c>
      <c r="O4357" s="36">
        <v>385.05</v>
      </c>
      <c r="P4357" t="s">
        <v>165</v>
      </c>
      <c r="Q4357" t="s">
        <v>166</v>
      </c>
      <c r="R4357" t="s">
        <v>166</v>
      </c>
      <c r="S4357" s="112">
        <v>46144</v>
      </c>
      <c r="T4357" s="112">
        <v>46144</v>
      </c>
      <c r="U4357" s="112">
        <v>46144</v>
      </c>
      <c r="V4357" s="112">
        <v>46509</v>
      </c>
      <c r="W4357" t="s">
        <v>38</v>
      </c>
      <c r="X4357">
        <v>12</v>
      </c>
      <c r="Y4357" t="s">
        <v>49</v>
      </c>
      <c r="Z4357" t="s">
        <v>81</v>
      </c>
      <c r="AA4357" t="s">
        <v>112</v>
      </c>
      <c r="AB4357">
        <v>12</v>
      </c>
      <c r="AC4357" t="s">
        <v>166</v>
      </c>
      <c r="AD4357" t="s">
        <v>85</v>
      </c>
      <c r="AE4357" t="s">
        <v>46</v>
      </c>
      <c r="AF4357" t="s">
        <v>44</v>
      </c>
      <c r="AG4357" t="str">
        <f t="shared" si="99"/>
        <v>CC 12x</v>
      </c>
      <c r="AH4357" t="str">
        <f t="shared" si="100"/>
        <v/>
      </c>
    </row>
    <row r="4358" spans="1:34">
      <c r="A4358">
        <v>2026</v>
      </c>
      <c r="B4358">
        <v>5</v>
      </c>
      <c r="C4358" s="83">
        <v>19486007574</v>
      </c>
      <c r="D4358" t="s">
        <v>3740</v>
      </c>
      <c r="E4358">
        <v>59792210094</v>
      </c>
      <c r="F4358">
        <v>315740</v>
      </c>
      <c r="G4358">
        <v>55682397249</v>
      </c>
      <c r="H4358" t="s">
        <v>35</v>
      </c>
      <c r="I4358" s="36">
        <v>5754</v>
      </c>
      <c r="J4358" s="36">
        <v>5754</v>
      </c>
      <c r="K4358" s="85">
        <v>0</v>
      </c>
      <c r="L4358" s="36">
        <v>479.5</v>
      </c>
      <c r="M4358" s="36">
        <v>0</v>
      </c>
      <c r="N4358" s="36">
        <v>26.5</v>
      </c>
      <c r="O4358" s="36">
        <v>453</v>
      </c>
      <c r="P4358" t="s">
        <v>162</v>
      </c>
      <c r="Q4358" t="s">
        <v>111</v>
      </c>
      <c r="R4358" t="s">
        <v>111</v>
      </c>
      <c r="S4358" s="112">
        <v>46171</v>
      </c>
      <c r="T4358" s="112">
        <v>46171</v>
      </c>
      <c r="U4358" s="112">
        <v>46171</v>
      </c>
      <c r="V4358" s="112">
        <v>46536</v>
      </c>
      <c r="W4358" t="s">
        <v>38</v>
      </c>
      <c r="X4358">
        <v>12</v>
      </c>
      <c r="Y4358" t="s">
        <v>49</v>
      </c>
      <c r="Z4358" t="s">
        <v>81</v>
      </c>
      <c r="AA4358" t="s">
        <v>122</v>
      </c>
      <c r="AB4358">
        <v>12</v>
      </c>
      <c r="AC4358" t="s">
        <v>113</v>
      </c>
      <c r="AD4358" t="s">
        <v>85</v>
      </c>
      <c r="AE4358" t="s">
        <v>46</v>
      </c>
      <c r="AF4358" t="s">
        <v>44</v>
      </c>
      <c r="AG4358" t="str">
        <f t="shared" si="99"/>
        <v>Recorrente</v>
      </c>
      <c r="AH4358" t="str">
        <f t="shared" si="100"/>
        <v/>
      </c>
    </row>
    <row r="4359" spans="1:34">
      <c r="A4359">
        <v>2026</v>
      </c>
      <c r="B4359">
        <v>5</v>
      </c>
      <c r="C4359" s="83">
        <v>2079143</v>
      </c>
      <c r="D4359" t="s">
        <v>3741</v>
      </c>
      <c r="E4359">
        <v>58370898030</v>
      </c>
      <c r="F4359">
        <v>515970</v>
      </c>
      <c r="G4359">
        <v>53578094210</v>
      </c>
      <c r="H4359" t="s">
        <v>35</v>
      </c>
      <c r="I4359" s="36">
        <v>5754</v>
      </c>
      <c r="J4359" s="36">
        <v>5754</v>
      </c>
      <c r="K4359" s="85">
        <v>0</v>
      </c>
      <c r="L4359" s="36">
        <v>479.5</v>
      </c>
      <c r="M4359" s="36">
        <v>0</v>
      </c>
      <c r="N4359" s="36">
        <v>94.45</v>
      </c>
      <c r="O4359" s="36">
        <v>385.05</v>
      </c>
      <c r="P4359" t="s">
        <v>165</v>
      </c>
      <c r="Q4359" t="s">
        <v>166</v>
      </c>
      <c r="R4359" t="s">
        <v>166</v>
      </c>
      <c r="S4359" s="112">
        <v>46152</v>
      </c>
      <c r="T4359" s="112">
        <v>46152</v>
      </c>
      <c r="U4359" s="112">
        <v>46152</v>
      </c>
      <c r="V4359" s="112">
        <v>46517</v>
      </c>
      <c r="W4359" t="s">
        <v>38</v>
      </c>
      <c r="X4359">
        <v>12</v>
      </c>
      <c r="Y4359" t="s">
        <v>49</v>
      </c>
      <c r="Z4359" t="s">
        <v>81</v>
      </c>
      <c r="AA4359" t="s">
        <v>122</v>
      </c>
      <c r="AB4359">
        <v>12</v>
      </c>
      <c r="AC4359" t="s">
        <v>166</v>
      </c>
      <c r="AD4359" t="s">
        <v>85</v>
      </c>
      <c r="AE4359" t="s">
        <v>46</v>
      </c>
      <c r="AF4359" t="s">
        <v>44</v>
      </c>
      <c r="AG4359" t="str">
        <f t="shared" si="99"/>
        <v>Recorrente</v>
      </c>
      <c r="AH4359" t="str">
        <f t="shared" si="100"/>
        <v/>
      </c>
    </row>
    <row r="4360" spans="1:34">
      <c r="A4360">
        <v>2026</v>
      </c>
      <c r="B4360">
        <v>5</v>
      </c>
      <c r="C4360" s="83">
        <v>2094221</v>
      </c>
      <c r="D4360" t="s">
        <v>3742</v>
      </c>
      <c r="E4360">
        <v>58855518487</v>
      </c>
      <c r="F4360">
        <v>615910</v>
      </c>
      <c r="G4360">
        <v>54000373061</v>
      </c>
      <c r="H4360" t="s">
        <v>35</v>
      </c>
      <c r="I4360" s="36">
        <v>5754</v>
      </c>
      <c r="J4360" s="36">
        <v>5754</v>
      </c>
      <c r="K4360" s="85">
        <v>0</v>
      </c>
      <c r="L4360" s="36">
        <v>479.5</v>
      </c>
      <c r="M4360" s="36">
        <v>0</v>
      </c>
      <c r="N4360" s="36">
        <v>26.5</v>
      </c>
      <c r="O4360" s="36">
        <v>453</v>
      </c>
      <c r="P4360" t="s">
        <v>165</v>
      </c>
      <c r="Q4360" t="s">
        <v>166</v>
      </c>
      <c r="R4360" t="s">
        <v>166</v>
      </c>
      <c r="S4360" s="112">
        <v>46163</v>
      </c>
      <c r="T4360" s="112">
        <v>46163</v>
      </c>
      <c r="U4360" s="112">
        <v>46163</v>
      </c>
      <c r="V4360" s="112">
        <v>46528</v>
      </c>
      <c r="W4360" t="s">
        <v>38</v>
      </c>
      <c r="X4360">
        <v>12</v>
      </c>
      <c r="Y4360" t="s">
        <v>49</v>
      </c>
      <c r="Z4360" t="s">
        <v>81</v>
      </c>
      <c r="AA4360" t="s">
        <v>122</v>
      </c>
      <c r="AB4360">
        <v>12</v>
      </c>
      <c r="AC4360" t="s">
        <v>166</v>
      </c>
      <c r="AD4360" t="s">
        <v>85</v>
      </c>
      <c r="AE4360" t="s">
        <v>46</v>
      </c>
      <c r="AF4360" t="s">
        <v>44</v>
      </c>
      <c r="AG4360" t="str">
        <f t="shared" si="99"/>
        <v>Recorrente</v>
      </c>
      <c r="AH4360" t="str">
        <f t="shared" si="100"/>
        <v/>
      </c>
    </row>
    <row r="4361" spans="1:34">
      <c r="A4361">
        <v>2026</v>
      </c>
      <c r="B4361">
        <v>5</v>
      </c>
      <c r="C4361" s="83">
        <v>2096600</v>
      </c>
      <c r="D4361" t="s">
        <v>3743</v>
      </c>
      <c r="E4361">
        <v>58373489556</v>
      </c>
      <c r="F4361">
        <v>534671</v>
      </c>
      <c r="G4361">
        <v>53564501156</v>
      </c>
      <c r="H4361" t="s">
        <v>35</v>
      </c>
      <c r="I4361" s="36">
        <v>5754</v>
      </c>
      <c r="J4361" s="36">
        <v>5754</v>
      </c>
      <c r="K4361" s="85">
        <v>0</v>
      </c>
      <c r="L4361" s="36">
        <v>479.5</v>
      </c>
      <c r="M4361" s="36">
        <v>0</v>
      </c>
      <c r="N4361" s="36">
        <v>94.45</v>
      </c>
      <c r="O4361" s="36">
        <v>385.05</v>
      </c>
      <c r="P4361" t="s">
        <v>165</v>
      </c>
      <c r="Q4361" t="s">
        <v>166</v>
      </c>
      <c r="R4361" t="s">
        <v>166</v>
      </c>
      <c r="S4361" s="112">
        <v>46152</v>
      </c>
      <c r="T4361" s="112">
        <v>46152</v>
      </c>
      <c r="U4361" s="112">
        <v>46152</v>
      </c>
      <c r="V4361" s="112">
        <v>46517</v>
      </c>
      <c r="W4361" t="s">
        <v>38</v>
      </c>
      <c r="X4361">
        <v>12</v>
      </c>
      <c r="Y4361" t="s">
        <v>49</v>
      </c>
      <c r="Z4361" t="s">
        <v>81</v>
      </c>
      <c r="AA4361" t="s">
        <v>122</v>
      </c>
      <c r="AB4361">
        <v>12</v>
      </c>
      <c r="AC4361" t="s">
        <v>166</v>
      </c>
      <c r="AD4361" t="s">
        <v>85</v>
      </c>
      <c r="AE4361" t="s">
        <v>46</v>
      </c>
      <c r="AF4361" t="s">
        <v>44</v>
      </c>
      <c r="AG4361" t="str">
        <f t="shared" si="99"/>
        <v>Recorrente</v>
      </c>
      <c r="AH4361" t="str">
        <f t="shared" si="100"/>
        <v/>
      </c>
    </row>
    <row r="4362" spans="1:34">
      <c r="A4362">
        <v>2026</v>
      </c>
      <c r="B4362">
        <v>5</v>
      </c>
      <c r="C4362" s="83">
        <v>2107839</v>
      </c>
      <c r="D4362" t="s">
        <v>3744</v>
      </c>
      <c r="E4362">
        <v>58436488772</v>
      </c>
      <c r="F4362">
        <v>534752</v>
      </c>
      <c r="G4362">
        <v>53648497547</v>
      </c>
      <c r="H4362" t="s">
        <v>35</v>
      </c>
      <c r="I4362" s="36">
        <v>5754</v>
      </c>
      <c r="J4362" s="36">
        <v>5754</v>
      </c>
      <c r="K4362" s="85">
        <v>0</v>
      </c>
      <c r="L4362" s="36">
        <v>479.5</v>
      </c>
      <c r="M4362" s="36">
        <v>0</v>
      </c>
      <c r="N4362" s="36">
        <v>26.5</v>
      </c>
      <c r="O4362" s="36">
        <v>453</v>
      </c>
      <c r="P4362" t="s">
        <v>165</v>
      </c>
      <c r="Q4362" t="s">
        <v>166</v>
      </c>
      <c r="R4362" t="s">
        <v>166</v>
      </c>
      <c r="S4362" s="112">
        <v>46153</v>
      </c>
      <c r="T4362" s="112">
        <v>46153</v>
      </c>
      <c r="U4362" s="112">
        <v>46153</v>
      </c>
      <c r="V4362" s="112">
        <v>46518</v>
      </c>
      <c r="W4362" t="s">
        <v>38</v>
      </c>
      <c r="X4362">
        <v>12</v>
      </c>
      <c r="Y4362" t="s">
        <v>49</v>
      </c>
      <c r="Z4362" t="s">
        <v>81</v>
      </c>
      <c r="AA4362" t="s">
        <v>112</v>
      </c>
      <c r="AB4362">
        <v>12</v>
      </c>
      <c r="AC4362" t="s">
        <v>166</v>
      </c>
      <c r="AD4362" t="s">
        <v>85</v>
      </c>
      <c r="AE4362" t="s">
        <v>46</v>
      </c>
      <c r="AF4362" t="s">
        <v>44</v>
      </c>
      <c r="AG4362" t="str">
        <f t="shared" si="99"/>
        <v>CC 12x</v>
      </c>
      <c r="AH4362" t="str">
        <f t="shared" si="100"/>
        <v/>
      </c>
    </row>
    <row r="4363" spans="1:34">
      <c r="A4363">
        <v>2026</v>
      </c>
      <c r="B4363">
        <v>5</v>
      </c>
      <c r="C4363" s="83">
        <v>2130696</v>
      </c>
      <c r="D4363" t="s">
        <v>3745</v>
      </c>
      <c r="E4363">
        <v>59170010552</v>
      </c>
      <c r="F4363">
        <v>315802</v>
      </c>
      <c r="G4363">
        <v>54264412316</v>
      </c>
      <c r="H4363" t="s">
        <v>35</v>
      </c>
      <c r="I4363" s="36">
        <v>5754</v>
      </c>
      <c r="J4363" s="36">
        <v>5754</v>
      </c>
      <c r="K4363" s="85">
        <v>0</v>
      </c>
      <c r="L4363" s="36">
        <v>479.5</v>
      </c>
      <c r="M4363" s="36">
        <v>0</v>
      </c>
      <c r="N4363" s="36">
        <v>71.8</v>
      </c>
      <c r="O4363" s="36">
        <v>407.7</v>
      </c>
      <c r="P4363" t="s">
        <v>165</v>
      </c>
      <c r="Q4363" t="s">
        <v>166</v>
      </c>
      <c r="R4363" t="s">
        <v>166</v>
      </c>
      <c r="S4363" s="112">
        <v>46169</v>
      </c>
      <c r="T4363" s="112">
        <v>46169</v>
      </c>
      <c r="U4363" s="112">
        <v>46172</v>
      </c>
      <c r="V4363" s="112">
        <v>46537</v>
      </c>
      <c r="W4363" t="s">
        <v>38</v>
      </c>
      <c r="X4363">
        <v>12</v>
      </c>
      <c r="Y4363" t="s">
        <v>49</v>
      </c>
      <c r="Z4363" t="s">
        <v>81</v>
      </c>
      <c r="AA4363" t="s">
        <v>122</v>
      </c>
      <c r="AB4363">
        <v>12</v>
      </c>
      <c r="AC4363" t="s">
        <v>166</v>
      </c>
      <c r="AD4363" t="s">
        <v>85</v>
      </c>
      <c r="AE4363" t="s">
        <v>46</v>
      </c>
      <c r="AF4363" t="s">
        <v>44</v>
      </c>
      <c r="AG4363" t="str">
        <f t="shared" si="99"/>
        <v>Recorrente</v>
      </c>
      <c r="AH4363" t="str">
        <f t="shared" si="100"/>
        <v/>
      </c>
    </row>
    <row r="4364" spans="1:34">
      <c r="A4364">
        <v>2026</v>
      </c>
      <c r="B4364">
        <v>5</v>
      </c>
      <c r="C4364" s="83">
        <v>214110384460</v>
      </c>
      <c r="D4364" t="s">
        <v>3746</v>
      </c>
      <c r="E4364">
        <v>58281575690</v>
      </c>
      <c r="F4364">
        <v>614969</v>
      </c>
      <c r="G4364">
        <v>53479058735</v>
      </c>
      <c r="H4364" t="s">
        <v>35</v>
      </c>
      <c r="I4364" s="36">
        <v>5754</v>
      </c>
      <c r="J4364" s="36">
        <v>5754</v>
      </c>
      <c r="K4364" s="85">
        <v>0</v>
      </c>
      <c r="L4364" s="36">
        <v>479.5</v>
      </c>
      <c r="M4364" s="36">
        <v>0</v>
      </c>
      <c r="N4364" s="36">
        <v>26.5</v>
      </c>
      <c r="O4364" s="36">
        <v>453</v>
      </c>
      <c r="P4364" t="s">
        <v>165</v>
      </c>
      <c r="Q4364" t="s">
        <v>166</v>
      </c>
      <c r="R4364" t="s">
        <v>166</v>
      </c>
      <c r="S4364" s="112">
        <v>46150</v>
      </c>
      <c r="T4364" s="112">
        <v>46150</v>
      </c>
      <c r="U4364" s="112">
        <v>46150</v>
      </c>
      <c r="V4364" s="112">
        <v>46515</v>
      </c>
      <c r="W4364" t="s">
        <v>38</v>
      </c>
      <c r="X4364">
        <v>12</v>
      </c>
      <c r="Y4364" t="s">
        <v>49</v>
      </c>
      <c r="Z4364" t="s">
        <v>81</v>
      </c>
      <c r="AA4364" t="s">
        <v>112</v>
      </c>
      <c r="AB4364">
        <v>12</v>
      </c>
      <c r="AC4364" t="s">
        <v>166</v>
      </c>
      <c r="AD4364" t="s">
        <v>85</v>
      </c>
      <c r="AE4364" t="s">
        <v>46</v>
      </c>
      <c r="AF4364" t="s">
        <v>44</v>
      </c>
      <c r="AG4364" t="str">
        <f t="shared" si="99"/>
        <v>CC 12x</v>
      </c>
      <c r="AH4364" t="str">
        <f t="shared" si="100"/>
        <v/>
      </c>
    </row>
    <row r="4365" spans="1:34">
      <c r="A4365">
        <v>2026</v>
      </c>
      <c r="B4365">
        <v>5</v>
      </c>
      <c r="C4365" s="83">
        <v>214627647307</v>
      </c>
      <c r="D4365" t="s">
        <v>263</v>
      </c>
      <c r="E4365">
        <v>58176198564</v>
      </c>
      <c r="F4365">
        <v>534307</v>
      </c>
      <c r="G4365">
        <v>53376546213</v>
      </c>
      <c r="H4365" t="s">
        <v>35</v>
      </c>
      <c r="I4365" s="36">
        <v>5754</v>
      </c>
      <c r="J4365" s="36">
        <v>5754</v>
      </c>
      <c r="K4365" s="85">
        <v>0</v>
      </c>
      <c r="L4365" s="36">
        <v>479.5</v>
      </c>
      <c r="M4365" s="36">
        <v>0</v>
      </c>
      <c r="N4365" s="36">
        <v>26.5</v>
      </c>
      <c r="O4365" s="36">
        <v>453</v>
      </c>
      <c r="P4365" t="s">
        <v>165</v>
      </c>
      <c r="Q4365" t="s">
        <v>166</v>
      </c>
      <c r="R4365" t="s">
        <v>166</v>
      </c>
      <c r="S4365" s="112">
        <v>46146</v>
      </c>
      <c r="T4365" s="112">
        <v>46146</v>
      </c>
      <c r="U4365" s="112">
        <v>46146</v>
      </c>
      <c r="V4365" s="112">
        <v>46511</v>
      </c>
      <c r="W4365" t="s">
        <v>38</v>
      </c>
      <c r="X4365">
        <v>12</v>
      </c>
      <c r="Y4365" t="s">
        <v>49</v>
      </c>
      <c r="Z4365" t="s">
        <v>81</v>
      </c>
      <c r="AA4365" t="s">
        <v>112</v>
      </c>
      <c r="AB4365">
        <v>12</v>
      </c>
      <c r="AC4365" t="s">
        <v>166</v>
      </c>
      <c r="AD4365" t="s">
        <v>85</v>
      </c>
      <c r="AE4365" t="s">
        <v>46</v>
      </c>
      <c r="AF4365" t="s">
        <v>44</v>
      </c>
      <c r="AG4365" t="str">
        <f t="shared" si="99"/>
        <v>CC 12x</v>
      </c>
      <c r="AH4365" t="str">
        <f t="shared" si="100"/>
        <v/>
      </c>
    </row>
    <row r="4366" spans="1:34">
      <c r="A4366">
        <v>2026</v>
      </c>
      <c r="B4366">
        <v>5</v>
      </c>
      <c r="C4366" s="83">
        <v>218709466693</v>
      </c>
      <c r="D4366" t="s">
        <v>3747</v>
      </c>
      <c r="E4366">
        <v>60053920615</v>
      </c>
      <c r="F4366">
        <v>637595</v>
      </c>
      <c r="G4366">
        <v>55076371112</v>
      </c>
      <c r="H4366" t="s">
        <v>35</v>
      </c>
      <c r="I4366" s="36">
        <v>5754</v>
      </c>
      <c r="J4366" s="36">
        <v>5754</v>
      </c>
      <c r="K4366" s="85">
        <v>0</v>
      </c>
      <c r="L4366" s="36">
        <v>479.5</v>
      </c>
      <c r="M4366" s="36">
        <v>479.5</v>
      </c>
      <c r="N4366" s="36">
        <v>0</v>
      </c>
      <c r="O4366" s="36">
        <v>0</v>
      </c>
      <c r="P4366" t="s">
        <v>511</v>
      </c>
      <c r="Q4366" t="s">
        <v>300</v>
      </c>
      <c r="R4366" t="s">
        <v>300</v>
      </c>
      <c r="S4366" s="112">
        <v>46148</v>
      </c>
      <c r="T4366" s="112">
        <v>46148</v>
      </c>
      <c r="U4366" s="112"/>
      <c r="V4366" s="112">
        <v>46513</v>
      </c>
      <c r="W4366" t="s">
        <v>38</v>
      </c>
      <c r="X4366">
        <v>12</v>
      </c>
      <c r="Y4366" t="s">
        <v>49</v>
      </c>
      <c r="AA4366" t="s">
        <v>122</v>
      </c>
      <c r="AB4366">
        <v>12</v>
      </c>
      <c r="AC4366" t="s">
        <v>301</v>
      </c>
      <c r="AD4366" t="s">
        <v>85</v>
      </c>
      <c r="AE4366" t="s">
        <v>46</v>
      </c>
      <c r="AF4366" t="s">
        <v>44</v>
      </c>
      <c r="AG4366" t="str">
        <f t="shared" si="99"/>
        <v>Recorrente</v>
      </c>
      <c r="AH4366" t="str">
        <f t="shared" si="100"/>
        <v/>
      </c>
    </row>
    <row r="4367" spans="1:34">
      <c r="A4367">
        <v>2026</v>
      </c>
      <c r="B4367">
        <v>5</v>
      </c>
      <c r="C4367" s="83">
        <v>218761956875</v>
      </c>
      <c r="D4367" t="s">
        <v>3748</v>
      </c>
      <c r="E4367">
        <v>60174109368</v>
      </c>
      <c r="F4367">
        <v>637701</v>
      </c>
      <c r="G4367">
        <v>55189515801</v>
      </c>
      <c r="H4367" t="s">
        <v>35</v>
      </c>
      <c r="I4367" s="36">
        <v>5754</v>
      </c>
      <c r="J4367" s="36">
        <v>5754</v>
      </c>
      <c r="K4367" s="85">
        <v>0</v>
      </c>
      <c r="L4367" s="36">
        <v>479.5</v>
      </c>
      <c r="M4367" s="36">
        <v>479.5</v>
      </c>
      <c r="N4367" s="36">
        <v>0</v>
      </c>
      <c r="O4367" s="36">
        <v>0</v>
      </c>
      <c r="P4367" t="s">
        <v>506</v>
      </c>
      <c r="Q4367" t="s">
        <v>300</v>
      </c>
      <c r="R4367" t="s">
        <v>300</v>
      </c>
      <c r="S4367" s="112">
        <v>46153</v>
      </c>
      <c r="T4367" s="112">
        <v>46153</v>
      </c>
      <c r="U4367" s="112"/>
      <c r="V4367" s="112">
        <v>46518</v>
      </c>
      <c r="W4367" t="s">
        <v>38</v>
      </c>
      <c r="X4367">
        <v>12</v>
      </c>
      <c r="Y4367" t="s">
        <v>49</v>
      </c>
      <c r="AA4367" t="s">
        <v>122</v>
      </c>
      <c r="AB4367">
        <v>12</v>
      </c>
      <c r="AC4367" t="s">
        <v>301</v>
      </c>
      <c r="AD4367" t="s">
        <v>85</v>
      </c>
      <c r="AE4367" t="s">
        <v>46</v>
      </c>
      <c r="AF4367" t="s">
        <v>44</v>
      </c>
      <c r="AG4367" t="str">
        <f t="shared" si="99"/>
        <v>Recorrente</v>
      </c>
      <c r="AH4367" t="str">
        <f t="shared" si="100"/>
        <v/>
      </c>
    </row>
    <row r="4368" spans="1:34">
      <c r="A4368">
        <v>2026</v>
      </c>
      <c r="B4368">
        <v>5</v>
      </c>
      <c r="C4368" s="83">
        <v>219812421238</v>
      </c>
      <c r="D4368" t="s">
        <v>3749</v>
      </c>
      <c r="E4368">
        <v>60055183532</v>
      </c>
      <c r="F4368">
        <v>637643</v>
      </c>
      <c r="G4368">
        <v>55095933782</v>
      </c>
      <c r="H4368" t="s">
        <v>35</v>
      </c>
      <c r="I4368" s="36">
        <v>5754</v>
      </c>
      <c r="J4368" s="36">
        <v>5754</v>
      </c>
      <c r="K4368" s="85">
        <v>0</v>
      </c>
      <c r="L4368" s="36">
        <v>479.5</v>
      </c>
      <c r="M4368" s="36">
        <v>479.5</v>
      </c>
      <c r="N4368" s="36">
        <v>0</v>
      </c>
      <c r="O4368" s="36">
        <v>0</v>
      </c>
      <c r="P4368" t="s">
        <v>511</v>
      </c>
      <c r="Q4368" t="s">
        <v>300</v>
      </c>
      <c r="R4368" t="s">
        <v>300</v>
      </c>
      <c r="S4368" s="112">
        <v>46149</v>
      </c>
      <c r="T4368" s="112">
        <v>46149</v>
      </c>
      <c r="U4368" s="112"/>
      <c r="V4368" s="112">
        <v>46514</v>
      </c>
      <c r="W4368" t="s">
        <v>38</v>
      </c>
      <c r="X4368">
        <v>12</v>
      </c>
      <c r="Y4368" t="s">
        <v>49</v>
      </c>
      <c r="AA4368" t="s">
        <v>122</v>
      </c>
      <c r="AB4368">
        <v>12</v>
      </c>
      <c r="AC4368" t="s">
        <v>301</v>
      </c>
      <c r="AD4368" t="s">
        <v>85</v>
      </c>
      <c r="AE4368" t="s">
        <v>46</v>
      </c>
      <c r="AF4368" t="s">
        <v>44</v>
      </c>
      <c r="AG4368" t="str">
        <f t="shared" si="99"/>
        <v>Recorrente</v>
      </c>
      <c r="AH4368" t="str">
        <f t="shared" si="100"/>
        <v/>
      </c>
    </row>
    <row r="4369" spans="1:34">
      <c r="A4369">
        <v>2026</v>
      </c>
      <c r="B4369">
        <v>5</v>
      </c>
      <c r="C4369" s="83">
        <v>220339467904</v>
      </c>
      <c r="D4369" t="s">
        <v>3750</v>
      </c>
      <c r="E4369">
        <v>60110804235</v>
      </c>
      <c r="F4369">
        <v>637698</v>
      </c>
      <c r="G4369">
        <v>55129222529</v>
      </c>
      <c r="H4369" t="s">
        <v>35</v>
      </c>
      <c r="I4369" s="36">
        <v>5754</v>
      </c>
      <c r="J4369" s="36">
        <v>5754</v>
      </c>
      <c r="K4369" s="85">
        <v>0</v>
      </c>
      <c r="L4369" s="36">
        <v>479.5</v>
      </c>
      <c r="M4369" s="36">
        <v>479.5</v>
      </c>
      <c r="N4369" s="36">
        <v>0</v>
      </c>
      <c r="O4369" s="36">
        <v>0</v>
      </c>
      <c r="P4369" t="s">
        <v>511</v>
      </c>
      <c r="Q4369" t="s">
        <v>300</v>
      </c>
      <c r="R4369" t="s">
        <v>300</v>
      </c>
      <c r="S4369" s="112">
        <v>46152</v>
      </c>
      <c r="T4369" s="112">
        <v>46152</v>
      </c>
      <c r="U4369" s="112"/>
      <c r="V4369" s="112">
        <v>46517</v>
      </c>
      <c r="W4369" t="s">
        <v>38</v>
      </c>
      <c r="X4369">
        <v>12</v>
      </c>
      <c r="Y4369" t="s">
        <v>49</v>
      </c>
      <c r="AA4369" t="s">
        <v>122</v>
      </c>
      <c r="AB4369">
        <v>12</v>
      </c>
      <c r="AC4369" t="s">
        <v>301</v>
      </c>
      <c r="AD4369" t="s">
        <v>85</v>
      </c>
      <c r="AE4369" t="s">
        <v>46</v>
      </c>
      <c r="AF4369" t="s">
        <v>44</v>
      </c>
      <c r="AG4369" t="str">
        <f t="shared" si="99"/>
        <v>Recorrente</v>
      </c>
      <c r="AH4369" t="str">
        <f t="shared" si="100"/>
        <v/>
      </c>
    </row>
    <row r="4370" spans="1:34">
      <c r="A4370">
        <v>2026</v>
      </c>
      <c r="B4370">
        <v>5</v>
      </c>
      <c r="C4370" s="83">
        <v>222789078945</v>
      </c>
      <c r="D4370" t="s">
        <v>3751</v>
      </c>
      <c r="E4370">
        <v>60423208332</v>
      </c>
      <c r="F4370">
        <v>637886</v>
      </c>
      <c r="G4370">
        <v>55412724553</v>
      </c>
      <c r="H4370" t="s">
        <v>35</v>
      </c>
      <c r="I4370" s="36">
        <v>5754</v>
      </c>
      <c r="J4370" s="36">
        <v>5754</v>
      </c>
      <c r="K4370" s="85">
        <v>0</v>
      </c>
      <c r="L4370" s="36">
        <v>479.5</v>
      </c>
      <c r="M4370" s="36">
        <v>479.5</v>
      </c>
      <c r="N4370" s="36">
        <v>0</v>
      </c>
      <c r="O4370" s="36">
        <v>0</v>
      </c>
      <c r="P4370" t="s">
        <v>2004</v>
      </c>
      <c r="Q4370" t="s">
        <v>300</v>
      </c>
      <c r="R4370" t="s">
        <v>300</v>
      </c>
      <c r="S4370" s="112">
        <v>46162</v>
      </c>
      <c r="T4370" s="112">
        <v>46162</v>
      </c>
      <c r="V4370" s="112">
        <v>46527</v>
      </c>
      <c r="W4370" t="s">
        <v>38</v>
      </c>
      <c r="X4370">
        <v>12</v>
      </c>
      <c r="Y4370" t="s">
        <v>49</v>
      </c>
      <c r="AA4370" t="s">
        <v>122</v>
      </c>
      <c r="AB4370">
        <v>12</v>
      </c>
      <c r="AC4370" t="s">
        <v>301</v>
      </c>
      <c r="AD4370" t="s">
        <v>85</v>
      </c>
      <c r="AE4370" t="s">
        <v>46</v>
      </c>
      <c r="AF4370" t="s">
        <v>44</v>
      </c>
      <c r="AG4370" t="str">
        <f t="shared" si="99"/>
        <v>Recorrente</v>
      </c>
      <c r="AH4370" t="str">
        <f t="shared" si="100"/>
        <v/>
      </c>
    </row>
    <row r="4371" spans="1:34">
      <c r="A4371">
        <v>2026</v>
      </c>
      <c r="B4371">
        <v>5</v>
      </c>
      <c r="C4371" s="83">
        <v>228779009156</v>
      </c>
      <c r="D4371" t="s">
        <v>3752</v>
      </c>
      <c r="E4371">
        <v>58273455115</v>
      </c>
      <c r="F4371">
        <v>312292</v>
      </c>
      <c r="G4371">
        <v>53463900722</v>
      </c>
      <c r="H4371" t="s">
        <v>35</v>
      </c>
      <c r="I4371" s="36">
        <v>5754</v>
      </c>
      <c r="J4371" s="36">
        <v>5754</v>
      </c>
      <c r="K4371" s="85">
        <v>0</v>
      </c>
      <c r="L4371" s="36">
        <v>479.5</v>
      </c>
      <c r="M4371" s="36">
        <v>0</v>
      </c>
      <c r="N4371" s="36">
        <v>18.190000000000001</v>
      </c>
      <c r="O4371" s="36">
        <v>461.31</v>
      </c>
      <c r="P4371" t="s">
        <v>165</v>
      </c>
      <c r="Q4371" t="s">
        <v>166</v>
      </c>
      <c r="R4371" t="s">
        <v>166</v>
      </c>
      <c r="S4371" s="112">
        <v>46150</v>
      </c>
      <c r="T4371" s="112">
        <v>46150</v>
      </c>
      <c r="U4371" s="112">
        <v>46150</v>
      </c>
      <c r="V4371" s="112">
        <v>46515</v>
      </c>
      <c r="W4371" t="s">
        <v>38</v>
      </c>
      <c r="X4371">
        <v>12</v>
      </c>
      <c r="Y4371" t="s">
        <v>49</v>
      </c>
      <c r="Z4371" t="s">
        <v>81</v>
      </c>
      <c r="AA4371" t="s">
        <v>122</v>
      </c>
      <c r="AB4371">
        <v>10</v>
      </c>
      <c r="AC4371" t="s">
        <v>166</v>
      </c>
      <c r="AD4371" t="s">
        <v>85</v>
      </c>
      <c r="AE4371" t="s">
        <v>46</v>
      </c>
      <c r="AF4371" t="s">
        <v>44</v>
      </c>
      <c r="AG4371" t="str">
        <f t="shared" si="99"/>
        <v>Recorrente</v>
      </c>
      <c r="AH4371" t="str">
        <f t="shared" si="100"/>
        <v/>
      </c>
    </row>
    <row r="4372" spans="1:34">
      <c r="A4372">
        <v>2026</v>
      </c>
      <c r="B4372">
        <v>5</v>
      </c>
      <c r="C4372" s="83">
        <v>229170815638</v>
      </c>
      <c r="D4372" t="s">
        <v>3753</v>
      </c>
      <c r="E4372">
        <v>60624759943</v>
      </c>
      <c r="F4372">
        <v>637951</v>
      </c>
      <c r="G4372">
        <v>55608797207</v>
      </c>
      <c r="H4372" t="s">
        <v>35</v>
      </c>
      <c r="I4372" s="36">
        <v>5754</v>
      </c>
      <c r="J4372" s="36">
        <v>5754</v>
      </c>
      <c r="K4372" s="85">
        <v>0</v>
      </c>
      <c r="L4372" s="36">
        <v>479.5</v>
      </c>
      <c r="M4372" s="36">
        <v>479.5</v>
      </c>
      <c r="N4372" s="36">
        <v>0</v>
      </c>
      <c r="O4372" s="36">
        <v>0</v>
      </c>
      <c r="Q4372" t="s">
        <v>498</v>
      </c>
      <c r="R4372" t="s">
        <v>498</v>
      </c>
      <c r="S4372" s="112">
        <v>46167</v>
      </c>
      <c r="T4372" s="112">
        <v>46167</v>
      </c>
      <c r="V4372" s="112">
        <v>46532</v>
      </c>
      <c r="W4372" t="s">
        <v>38</v>
      </c>
      <c r="X4372">
        <v>12</v>
      </c>
      <c r="Y4372" t="s">
        <v>49</v>
      </c>
      <c r="AA4372" t="s">
        <v>122</v>
      </c>
      <c r="AB4372">
        <v>12</v>
      </c>
      <c r="AC4372" t="s">
        <v>499</v>
      </c>
      <c r="AD4372" t="s">
        <v>85</v>
      </c>
      <c r="AE4372" t="s">
        <v>46</v>
      </c>
      <c r="AF4372" t="s">
        <v>44</v>
      </c>
      <c r="AG4372" t="str">
        <f t="shared" si="99"/>
        <v>Recorrente</v>
      </c>
      <c r="AH4372" t="str">
        <f t="shared" si="100"/>
        <v/>
      </c>
    </row>
    <row r="4373" spans="1:34">
      <c r="A4373">
        <v>2026</v>
      </c>
      <c r="B4373">
        <v>5</v>
      </c>
      <c r="C4373" s="83">
        <v>22980550462</v>
      </c>
      <c r="D4373" t="s">
        <v>3754</v>
      </c>
      <c r="E4373">
        <v>58502987087</v>
      </c>
      <c r="F4373">
        <v>534831</v>
      </c>
      <c r="G4373">
        <v>53705380452</v>
      </c>
      <c r="H4373" t="s">
        <v>35</v>
      </c>
      <c r="I4373" s="36">
        <v>5754</v>
      </c>
      <c r="J4373" s="36">
        <v>5754</v>
      </c>
      <c r="K4373" s="85">
        <v>0</v>
      </c>
      <c r="L4373" s="36">
        <v>479.5</v>
      </c>
      <c r="M4373" s="36">
        <v>0</v>
      </c>
      <c r="N4373" s="36">
        <v>71.8</v>
      </c>
      <c r="O4373" s="36">
        <v>407.7</v>
      </c>
      <c r="P4373" t="s">
        <v>165</v>
      </c>
      <c r="Q4373" t="s">
        <v>166</v>
      </c>
      <c r="R4373" t="s">
        <v>166</v>
      </c>
      <c r="S4373" s="112">
        <v>46154</v>
      </c>
      <c r="T4373" s="112">
        <v>46154</v>
      </c>
      <c r="U4373" s="112">
        <v>46154</v>
      </c>
      <c r="V4373" s="112">
        <v>46519</v>
      </c>
      <c r="W4373" t="s">
        <v>38</v>
      </c>
      <c r="X4373">
        <v>12</v>
      </c>
      <c r="Y4373" t="s">
        <v>49</v>
      </c>
      <c r="Z4373" t="s">
        <v>81</v>
      </c>
      <c r="AA4373" t="s">
        <v>122</v>
      </c>
      <c r="AB4373">
        <v>12</v>
      </c>
      <c r="AC4373" t="s">
        <v>166</v>
      </c>
      <c r="AD4373" t="s">
        <v>85</v>
      </c>
      <c r="AE4373" t="s">
        <v>46</v>
      </c>
      <c r="AF4373" t="s">
        <v>44</v>
      </c>
      <c r="AG4373" t="str">
        <f t="shared" si="99"/>
        <v>Recorrente</v>
      </c>
      <c r="AH4373" t="str">
        <f t="shared" si="100"/>
        <v/>
      </c>
    </row>
    <row r="4374" spans="1:34">
      <c r="A4374">
        <v>2026</v>
      </c>
      <c r="B4374">
        <v>5</v>
      </c>
      <c r="C4374" s="83">
        <v>34513878822</v>
      </c>
      <c r="D4374" t="s">
        <v>3755</v>
      </c>
      <c r="E4374">
        <v>60665668501</v>
      </c>
      <c r="F4374">
        <v>629958</v>
      </c>
      <c r="G4374">
        <v>55660905080</v>
      </c>
      <c r="H4374" t="s">
        <v>35</v>
      </c>
      <c r="I4374" s="36">
        <v>5754</v>
      </c>
      <c r="J4374" s="36">
        <v>5754</v>
      </c>
      <c r="K4374" s="85">
        <v>0</v>
      </c>
      <c r="L4374" s="36">
        <v>479.5</v>
      </c>
      <c r="M4374" s="36">
        <v>0</v>
      </c>
      <c r="N4374" s="36">
        <v>91.28</v>
      </c>
      <c r="O4374" s="36">
        <v>388.22</v>
      </c>
      <c r="P4374" t="s">
        <v>162</v>
      </c>
      <c r="Q4374" t="s">
        <v>111</v>
      </c>
      <c r="R4374" t="s">
        <v>111</v>
      </c>
      <c r="S4374" s="112">
        <v>46170</v>
      </c>
      <c r="T4374" s="112">
        <v>46170</v>
      </c>
      <c r="U4374" s="112">
        <v>46172</v>
      </c>
      <c r="V4374" s="112">
        <v>46537</v>
      </c>
      <c r="W4374" t="s">
        <v>38</v>
      </c>
      <c r="X4374">
        <v>12</v>
      </c>
      <c r="Y4374" t="s">
        <v>49</v>
      </c>
      <c r="Z4374" t="s">
        <v>81</v>
      </c>
      <c r="AA4374" t="s">
        <v>92</v>
      </c>
      <c r="AB4374">
        <v>12</v>
      </c>
      <c r="AC4374" t="s">
        <v>113</v>
      </c>
      <c r="AD4374" t="s">
        <v>85</v>
      </c>
      <c r="AE4374" t="s">
        <v>46</v>
      </c>
      <c r="AF4374" t="s">
        <v>44</v>
      </c>
      <c r="AG4374" t="str">
        <f t="shared" si="99"/>
        <v>Recorrente</v>
      </c>
      <c r="AH4374" t="str">
        <f t="shared" si="100"/>
        <v/>
      </c>
    </row>
    <row r="4375" spans="1:34">
      <c r="A4375">
        <v>2026</v>
      </c>
      <c r="B4375">
        <v>5</v>
      </c>
      <c r="C4375" s="83">
        <v>55008971842</v>
      </c>
      <c r="D4375" t="s">
        <v>3756</v>
      </c>
      <c r="E4375">
        <v>60271284581</v>
      </c>
      <c r="F4375">
        <v>637860</v>
      </c>
      <c r="G4375">
        <v>55340550189</v>
      </c>
      <c r="H4375" t="s">
        <v>35</v>
      </c>
      <c r="I4375" s="36">
        <v>5754</v>
      </c>
      <c r="J4375" s="36">
        <v>5754</v>
      </c>
      <c r="K4375" s="85">
        <v>0</v>
      </c>
      <c r="L4375" s="36">
        <v>479.5</v>
      </c>
      <c r="M4375" s="36">
        <v>479.5</v>
      </c>
      <c r="N4375" s="36">
        <v>0</v>
      </c>
      <c r="O4375" s="36">
        <v>0</v>
      </c>
      <c r="P4375" t="s">
        <v>129</v>
      </c>
      <c r="Q4375" t="s">
        <v>91</v>
      </c>
      <c r="R4375" t="s">
        <v>91</v>
      </c>
      <c r="S4375" s="112">
        <v>46161</v>
      </c>
      <c r="T4375" s="112">
        <v>46161</v>
      </c>
      <c r="U4375" s="112"/>
      <c r="V4375" s="112">
        <v>46536</v>
      </c>
      <c r="W4375" t="s">
        <v>38</v>
      </c>
      <c r="X4375">
        <v>12</v>
      </c>
      <c r="Y4375" t="s">
        <v>49</v>
      </c>
      <c r="AA4375" t="s">
        <v>92</v>
      </c>
      <c r="AB4375">
        <v>12</v>
      </c>
      <c r="AC4375" t="s">
        <v>93</v>
      </c>
      <c r="AD4375" t="s">
        <v>85</v>
      </c>
      <c r="AE4375" t="s">
        <v>46</v>
      </c>
      <c r="AF4375" t="s">
        <v>44</v>
      </c>
      <c r="AG4375" t="str">
        <f t="shared" si="99"/>
        <v>Recorrente</v>
      </c>
      <c r="AH4375" t="str">
        <f t="shared" si="100"/>
        <v/>
      </c>
    </row>
    <row r="4376" spans="1:34">
      <c r="A4376">
        <v>2026</v>
      </c>
      <c r="B4376">
        <v>5</v>
      </c>
      <c r="C4376" s="83">
        <v>52808693155</v>
      </c>
      <c r="D4376" t="s">
        <v>3593</v>
      </c>
      <c r="E4376">
        <v>57829461372</v>
      </c>
      <c r="F4376">
        <v>638031</v>
      </c>
      <c r="G4376">
        <v>55648735333</v>
      </c>
      <c r="H4376" t="s">
        <v>35</v>
      </c>
      <c r="I4376" s="36">
        <v>5728.44</v>
      </c>
      <c r="J4376" s="36">
        <v>5728.3919999999998</v>
      </c>
      <c r="K4376" s="85">
        <v>4.8000000000000001E-2</v>
      </c>
      <c r="L4376" s="36">
        <v>477.36599999999999</v>
      </c>
      <c r="M4376" s="36">
        <v>477.36599999999999</v>
      </c>
      <c r="N4376" s="36">
        <v>0</v>
      </c>
      <c r="O4376" s="36">
        <v>0</v>
      </c>
      <c r="P4376" t="s">
        <v>668</v>
      </c>
      <c r="Q4376" t="s">
        <v>91</v>
      </c>
      <c r="R4376" t="s">
        <v>91</v>
      </c>
      <c r="S4376" s="112">
        <v>46169</v>
      </c>
      <c r="T4376" s="112">
        <v>46169</v>
      </c>
      <c r="U4376" s="112"/>
      <c r="V4376" s="112">
        <v>46534</v>
      </c>
      <c r="W4376" t="s">
        <v>38</v>
      </c>
      <c r="X4376">
        <v>12</v>
      </c>
      <c r="Y4376" t="s">
        <v>49</v>
      </c>
      <c r="AA4376" t="s">
        <v>92</v>
      </c>
      <c r="AB4376">
        <v>1</v>
      </c>
      <c r="AC4376" t="s">
        <v>93</v>
      </c>
      <c r="AD4376" t="s">
        <v>85</v>
      </c>
      <c r="AE4376" t="s">
        <v>46</v>
      </c>
      <c r="AF4376" t="s">
        <v>44</v>
      </c>
      <c r="AG4376" t="str">
        <f t="shared" si="99"/>
        <v>Recorrente</v>
      </c>
      <c r="AH4376" t="str">
        <f t="shared" si="100"/>
        <v/>
      </c>
    </row>
    <row r="4377" spans="1:34">
      <c r="A4377">
        <v>2026</v>
      </c>
      <c r="B4377">
        <v>5</v>
      </c>
      <c r="C4377" s="83">
        <v>19435408252</v>
      </c>
      <c r="D4377" t="s">
        <v>3757</v>
      </c>
      <c r="E4377">
        <v>59099350366</v>
      </c>
      <c r="F4377">
        <v>315029</v>
      </c>
      <c r="G4377">
        <v>54214358529</v>
      </c>
      <c r="H4377" t="s">
        <v>35</v>
      </c>
      <c r="I4377" s="36">
        <v>5718.6</v>
      </c>
      <c r="J4377" s="36">
        <v>5718.6</v>
      </c>
      <c r="K4377" s="85">
        <v>0</v>
      </c>
      <c r="L4377" s="36">
        <v>476.55</v>
      </c>
      <c r="M4377" s="36">
        <v>0</v>
      </c>
      <c r="N4377" s="36">
        <v>27.45</v>
      </c>
      <c r="O4377" s="36">
        <v>449.1</v>
      </c>
      <c r="P4377" t="s">
        <v>165</v>
      </c>
      <c r="Q4377" t="s">
        <v>166</v>
      </c>
      <c r="R4377" t="s">
        <v>166</v>
      </c>
      <c r="S4377" s="112">
        <v>46167</v>
      </c>
      <c r="T4377" s="112">
        <v>46167</v>
      </c>
      <c r="U4377" s="112">
        <v>46168</v>
      </c>
      <c r="V4377" s="112">
        <v>46533</v>
      </c>
      <c r="W4377" t="s">
        <v>38</v>
      </c>
      <c r="X4377">
        <v>12</v>
      </c>
      <c r="Y4377" t="s">
        <v>49</v>
      </c>
      <c r="Z4377" t="s">
        <v>81</v>
      </c>
      <c r="AA4377" t="s">
        <v>112</v>
      </c>
      <c r="AB4377">
        <v>12</v>
      </c>
      <c r="AC4377" t="s">
        <v>166</v>
      </c>
      <c r="AD4377" t="s">
        <v>158</v>
      </c>
      <c r="AE4377" t="s">
        <v>43</v>
      </c>
      <c r="AF4377" t="s">
        <v>47</v>
      </c>
      <c r="AG4377" t="str">
        <f t="shared" si="99"/>
        <v>CC 12x</v>
      </c>
      <c r="AH4377" t="str">
        <f t="shared" si="100"/>
        <v/>
      </c>
    </row>
    <row r="4378" spans="1:34">
      <c r="A4378">
        <v>2026</v>
      </c>
      <c r="B4378">
        <v>5</v>
      </c>
      <c r="C4378" s="83">
        <v>19733489225</v>
      </c>
      <c r="D4378" t="s">
        <v>3758</v>
      </c>
      <c r="E4378">
        <v>59233971275</v>
      </c>
      <c r="F4378">
        <v>629736</v>
      </c>
      <c r="G4378">
        <v>54357560588</v>
      </c>
      <c r="H4378" t="s">
        <v>35</v>
      </c>
      <c r="I4378" s="36">
        <v>5718.6</v>
      </c>
      <c r="J4378" s="36">
        <v>5718.6</v>
      </c>
      <c r="K4378" s="85">
        <v>0</v>
      </c>
      <c r="L4378" s="36">
        <v>476.55</v>
      </c>
      <c r="M4378" s="36">
        <v>0</v>
      </c>
      <c r="N4378" s="36">
        <v>2.5</v>
      </c>
      <c r="O4378" s="36">
        <v>474.05</v>
      </c>
      <c r="P4378" t="s">
        <v>165</v>
      </c>
      <c r="Q4378" t="s">
        <v>166</v>
      </c>
      <c r="R4378" t="s">
        <v>166</v>
      </c>
      <c r="S4378" s="112">
        <v>46169</v>
      </c>
      <c r="T4378" s="112">
        <v>46169</v>
      </c>
      <c r="U4378" s="112">
        <v>46173</v>
      </c>
      <c r="V4378" s="112">
        <v>46538</v>
      </c>
      <c r="W4378" t="s">
        <v>38</v>
      </c>
      <c r="X4378">
        <v>12</v>
      </c>
      <c r="Y4378" t="s">
        <v>49</v>
      </c>
      <c r="Z4378" t="s">
        <v>81</v>
      </c>
      <c r="AA4378" t="s">
        <v>122</v>
      </c>
      <c r="AB4378">
        <v>12</v>
      </c>
      <c r="AC4378" t="s">
        <v>166</v>
      </c>
      <c r="AD4378" t="s">
        <v>158</v>
      </c>
      <c r="AE4378" t="s">
        <v>43</v>
      </c>
      <c r="AF4378" t="s">
        <v>47</v>
      </c>
      <c r="AG4378" t="str">
        <f t="shared" si="99"/>
        <v>Recorrente</v>
      </c>
      <c r="AH4378" t="str">
        <f t="shared" si="100"/>
        <v/>
      </c>
    </row>
    <row r="4379" spans="1:34">
      <c r="A4379">
        <v>2026</v>
      </c>
      <c r="B4379">
        <v>5</v>
      </c>
      <c r="C4379" s="83">
        <v>2072066</v>
      </c>
      <c r="D4379" t="s">
        <v>1416</v>
      </c>
      <c r="E4379">
        <v>60050368400</v>
      </c>
      <c r="F4379">
        <v>314229</v>
      </c>
      <c r="G4379">
        <v>55073684252</v>
      </c>
      <c r="H4379" t="s">
        <v>35</v>
      </c>
      <c r="I4379" s="36">
        <v>5718.6</v>
      </c>
      <c r="J4379" s="36">
        <v>5718.6</v>
      </c>
      <c r="K4379" s="85">
        <v>0</v>
      </c>
      <c r="L4379" s="36">
        <v>476.55</v>
      </c>
      <c r="M4379" s="36">
        <v>0</v>
      </c>
      <c r="N4379" s="36">
        <v>27.45</v>
      </c>
      <c r="O4379" s="36">
        <v>449.1</v>
      </c>
      <c r="P4379" t="s">
        <v>137</v>
      </c>
      <c r="Q4379" t="s">
        <v>111</v>
      </c>
      <c r="R4379" t="s">
        <v>111</v>
      </c>
      <c r="S4379" s="112">
        <v>46148</v>
      </c>
      <c r="T4379" s="112">
        <v>46148</v>
      </c>
      <c r="U4379" s="112">
        <v>46147</v>
      </c>
      <c r="V4379" s="112">
        <v>46513</v>
      </c>
      <c r="W4379" t="s">
        <v>38</v>
      </c>
      <c r="X4379">
        <v>12</v>
      </c>
      <c r="Y4379" t="s">
        <v>49</v>
      </c>
      <c r="Z4379" t="s">
        <v>81</v>
      </c>
      <c r="AA4379" t="s">
        <v>122</v>
      </c>
      <c r="AB4379">
        <v>12</v>
      </c>
      <c r="AC4379" t="s">
        <v>113</v>
      </c>
      <c r="AD4379" t="s">
        <v>149</v>
      </c>
      <c r="AE4379" t="s">
        <v>43</v>
      </c>
      <c r="AF4379" t="s">
        <v>96</v>
      </c>
      <c r="AG4379" t="str">
        <f t="shared" si="99"/>
        <v>Recorrente</v>
      </c>
      <c r="AH4379" t="str">
        <f t="shared" si="100"/>
        <v/>
      </c>
    </row>
    <row r="4380" spans="1:34">
      <c r="A4380">
        <v>2026</v>
      </c>
      <c r="B4380">
        <v>5</v>
      </c>
      <c r="C4380" s="83">
        <v>2072066</v>
      </c>
      <c r="D4380" t="s">
        <v>1416</v>
      </c>
      <c r="E4380">
        <v>60050368400</v>
      </c>
      <c r="F4380">
        <v>314229</v>
      </c>
      <c r="G4380">
        <v>55073684253</v>
      </c>
      <c r="H4380" t="s">
        <v>35</v>
      </c>
      <c r="I4380" s="36">
        <v>5718.6</v>
      </c>
      <c r="J4380" s="36">
        <v>5718.6</v>
      </c>
      <c r="K4380" s="85">
        <v>0</v>
      </c>
      <c r="L4380" s="36">
        <v>476.55</v>
      </c>
      <c r="M4380" s="36">
        <v>0</v>
      </c>
      <c r="N4380" s="36">
        <v>27.45</v>
      </c>
      <c r="O4380" s="36">
        <v>449.1</v>
      </c>
      <c r="P4380" t="s">
        <v>137</v>
      </c>
      <c r="Q4380" t="s">
        <v>111</v>
      </c>
      <c r="R4380" t="s">
        <v>111</v>
      </c>
      <c r="S4380" s="112">
        <v>46148</v>
      </c>
      <c r="T4380" s="112">
        <v>46148</v>
      </c>
      <c r="U4380" s="112">
        <v>46147</v>
      </c>
      <c r="V4380" s="112">
        <v>46513</v>
      </c>
      <c r="W4380" t="s">
        <v>38</v>
      </c>
      <c r="X4380">
        <v>12</v>
      </c>
      <c r="Y4380" t="s">
        <v>49</v>
      </c>
      <c r="Z4380" t="s">
        <v>81</v>
      </c>
      <c r="AA4380" t="s">
        <v>122</v>
      </c>
      <c r="AB4380">
        <v>12</v>
      </c>
      <c r="AC4380" t="s">
        <v>113</v>
      </c>
      <c r="AD4380" t="s">
        <v>149</v>
      </c>
      <c r="AE4380" t="s">
        <v>43</v>
      </c>
      <c r="AF4380" t="s">
        <v>96</v>
      </c>
      <c r="AG4380" t="str">
        <f t="shared" si="99"/>
        <v>Recorrente</v>
      </c>
      <c r="AH4380" t="str">
        <f t="shared" si="100"/>
        <v/>
      </c>
    </row>
    <row r="4381" spans="1:34">
      <c r="A4381">
        <v>2026</v>
      </c>
      <c r="B4381">
        <v>5</v>
      </c>
      <c r="C4381" s="83">
        <v>2099204</v>
      </c>
      <c r="D4381" t="s">
        <v>3759</v>
      </c>
      <c r="E4381">
        <v>58273506986</v>
      </c>
      <c r="F4381">
        <v>510536</v>
      </c>
      <c r="G4381">
        <v>53471116306</v>
      </c>
      <c r="H4381" t="s">
        <v>35</v>
      </c>
      <c r="I4381" s="36">
        <v>5718.6</v>
      </c>
      <c r="J4381" s="36">
        <v>5718.6</v>
      </c>
      <c r="K4381" s="85">
        <v>0</v>
      </c>
      <c r="L4381" s="36">
        <v>476.55</v>
      </c>
      <c r="M4381" s="36">
        <v>0</v>
      </c>
      <c r="N4381" s="36">
        <v>102.3</v>
      </c>
      <c r="O4381" s="36">
        <v>374.25</v>
      </c>
      <c r="P4381" t="s">
        <v>165</v>
      </c>
      <c r="Q4381" t="s">
        <v>166</v>
      </c>
      <c r="R4381" t="s">
        <v>166</v>
      </c>
      <c r="S4381" s="112">
        <v>46150</v>
      </c>
      <c r="T4381" s="112">
        <v>46150</v>
      </c>
      <c r="U4381" s="112">
        <v>46150</v>
      </c>
      <c r="V4381" s="112">
        <v>46515</v>
      </c>
      <c r="W4381" t="s">
        <v>38</v>
      </c>
      <c r="X4381">
        <v>12</v>
      </c>
      <c r="Y4381" t="s">
        <v>49</v>
      </c>
      <c r="Z4381" t="s">
        <v>81</v>
      </c>
      <c r="AA4381" t="s">
        <v>112</v>
      </c>
      <c r="AB4381">
        <v>12</v>
      </c>
      <c r="AC4381" t="s">
        <v>166</v>
      </c>
      <c r="AD4381" t="s">
        <v>149</v>
      </c>
      <c r="AE4381" t="s">
        <v>43</v>
      </c>
      <c r="AF4381" t="s">
        <v>96</v>
      </c>
      <c r="AG4381" t="str">
        <f t="shared" si="99"/>
        <v>CC 12x</v>
      </c>
      <c r="AH4381" t="str">
        <f t="shared" si="100"/>
        <v/>
      </c>
    </row>
    <row r="4382" spans="1:34">
      <c r="A4382">
        <v>2026</v>
      </c>
      <c r="B4382">
        <v>5</v>
      </c>
      <c r="C4382" s="83">
        <v>54003328324</v>
      </c>
      <c r="D4382" t="s">
        <v>3760</v>
      </c>
      <c r="E4382">
        <v>59140149584</v>
      </c>
      <c r="F4382">
        <v>314267</v>
      </c>
      <c r="G4382">
        <v>54372617893</v>
      </c>
      <c r="H4382" t="s">
        <v>35</v>
      </c>
      <c r="I4382" s="36">
        <v>5718.6</v>
      </c>
      <c r="J4382" s="36">
        <v>5718.6</v>
      </c>
      <c r="K4382" s="85">
        <v>0</v>
      </c>
      <c r="L4382" s="36">
        <v>476.55</v>
      </c>
      <c r="M4382" s="36">
        <v>0</v>
      </c>
      <c r="N4382" s="36">
        <v>0</v>
      </c>
      <c r="O4382" s="36">
        <v>476.55</v>
      </c>
      <c r="P4382" t="s">
        <v>137</v>
      </c>
      <c r="Q4382" t="s">
        <v>111</v>
      </c>
      <c r="R4382" t="s">
        <v>111</v>
      </c>
      <c r="S4382" s="112">
        <v>46141</v>
      </c>
      <c r="T4382" s="112">
        <v>46143</v>
      </c>
      <c r="U4382" s="112">
        <v>46146</v>
      </c>
      <c r="V4382" s="112">
        <v>46511</v>
      </c>
      <c r="W4382" t="s">
        <v>38</v>
      </c>
      <c r="X4382">
        <v>12</v>
      </c>
      <c r="Y4382" t="s">
        <v>49</v>
      </c>
      <c r="Z4382" t="s">
        <v>81</v>
      </c>
      <c r="AA4382" t="s">
        <v>112</v>
      </c>
      <c r="AB4382">
        <v>12</v>
      </c>
      <c r="AC4382" t="s">
        <v>113</v>
      </c>
      <c r="AD4382" t="s">
        <v>149</v>
      </c>
      <c r="AE4382" t="s">
        <v>43</v>
      </c>
      <c r="AF4382" t="s">
        <v>96</v>
      </c>
      <c r="AG4382" t="str">
        <f t="shared" si="99"/>
        <v>CC 12x</v>
      </c>
      <c r="AH4382" t="str">
        <f t="shared" si="100"/>
        <v/>
      </c>
    </row>
    <row r="4383" spans="1:34">
      <c r="A4383">
        <v>2026</v>
      </c>
      <c r="B4383">
        <v>5</v>
      </c>
      <c r="C4383" s="83">
        <v>54003328324</v>
      </c>
      <c r="D4383" t="s">
        <v>3760</v>
      </c>
      <c r="E4383">
        <v>59140149584</v>
      </c>
      <c r="F4383">
        <v>314267</v>
      </c>
      <c r="G4383">
        <v>54372617894</v>
      </c>
      <c r="H4383" t="s">
        <v>35</v>
      </c>
      <c r="I4383" s="36">
        <v>5718.6</v>
      </c>
      <c r="J4383" s="36">
        <v>5718.6</v>
      </c>
      <c r="K4383" s="85">
        <v>0</v>
      </c>
      <c r="L4383" s="36">
        <v>476.55</v>
      </c>
      <c r="M4383" s="36">
        <v>0</v>
      </c>
      <c r="N4383" s="36">
        <v>0</v>
      </c>
      <c r="O4383" s="36">
        <v>476.55</v>
      </c>
      <c r="P4383" t="s">
        <v>137</v>
      </c>
      <c r="Q4383" t="s">
        <v>111</v>
      </c>
      <c r="R4383" t="s">
        <v>111</v>
      </c>
      <c r="S4383" s="112">
        <v>46141</v>
      </c>
      <c r="T4383" s="112">
        <v>46143</v>
      </c>
      <c r="U4383" s="112">
        <v>46146</v>
      </c>
      <c r="V4383" s="112">
        <v>46511</v>
      </c>
      <c r="W4383" t="s">
        <v>38</v>
      </c>
      <c r="X4383">
        <v>12</v>
      </c>
      <c r="Y4383" t="s">
        <v>49</v>
      </c>
      <c r="Z4383" t="s">
        <v>81</v>
      </c>
      <c r="AA4383" t="s">
        <v>112</v>
      </c>
      <c r="AB4383">
        <v>12</v>
      </c>
      <c r="AC4383" t="s">
        <v>113</v>
      </c>
      <c r="AD4383" t="s">
        <v>149</v>
      </c>
      <c r="AE4383" t="s">
        <v>43</v>
      </c>
      <c r="AF4383" t="s">
        <v>96</v>
      </c>
      <c r="AG4383" t="str">
        <f t="shared" si="99"/>
        <v>CC 12x</v>
      </c>
      <c r="AH4383" t="str">
        <f t="shared" si="100"/>
        <v/>
      </c>
    </row>
    <row r="4384" spans="1:34">
      <c r="A4384">
        <v>2026</v>
      </c>
      <c r="B4384">
        <v>5</v>
      </c>
      <c r="C4384" s="83">
        <v>123038122248</v>
      </c>
      <c r="D4384" t="s">
        <v>1918</v>
      </c>
      <c r="E4384">
        <v>60050614326</v>
      </c>
      <c r="F4384">
        <v>624338</v>
      </c>
      <c r="G4384">
        <v>55611095430</v>
      </c>
      <c r="H4384" t="s">
        <v>35</v>
      </c>
      <c r="I4384" s="36">
        <v>5551.2</v>
      </c>
      <c r="J4384" s="36">
        <v>4115.16</v>
      </c>
      <c r="K4384" s="85">
        <v>1436.04</v>
      </c>
      <c r="L4384" s="36">
        <v>342.93</v>
      </c>
      <c r="M4384" s="36">
        <v>0</v>
      </c>
      <c r="N4384" s="36">
        <v>342.93</v>
      </c>
      <c r="O4384" s="36">
        <v>0</v>
      </c>
      <c r="P4384" t="s">
        <v>367</v>
      </c>
      <c r="Q4384" t="s">
        <v>191</v>
      </c>
      <c r="R4384" t="s">
        <v>191</v>
      </c>
      <c r="S4384" s="112">
        <v>46167</v>
      </c>
      <c r="T4384" s="112">
        <v>46167</v>
      </c>
      <c r="U4384" s="112">
        <v>46720</v>
      </c>
      <c r="V4384" s="112">
        <v>46720</v>
      </c>
      <c r="W4384" t="s">
        <v>102</v>
      </c>
      <c r="X4384">
        <v>18</v>
      </c>
      <c r="Y4384" t="s">
        <v>49</v>
      </c>
      <c r="Z4384" t="s">
        <v>324</v>
      </c>
      <c r="AA4384" t="s">
        <v>122</v>
      </c>
      <c r="AB4384">
        <v>18</v>
      </c>
      <c r="AC4384" t="s">
        <v>192</v>
      </c>
      <c r="AD4384" t="s">
        <v>288</v>
      </c>
      <c r="AE4384" t="s">
        <v>289</v>
      </c>
      <c r="AF4384" t="s">
        <v>59</v>
      </c>
      <c r="AG4384" t="str">
        <f t="shared" si="99"/>
        <v>Recorrente</v>
      </c>
      <c r="AH4384" t="str">
        <f t="shared" si="100"/>
        <v/>
      </c>
    </row>
    <row r="4385" spans="1:34">
      <c r="A4385">
        <v>2026</v>
      </c>
      <c r="B4385">
        <v>5</v>
      </c>
      <c r="C4385" s="83">
        <v>53284613147</v>
      </c>
      <c r="D4385" t="s">
        <v>3587</v>
      </c>
      <c r="E4385">
        <v>60051318895</v>
      </c>
      <c r="F4385">
        <v>637589</v>
      </c>
      <c r="G4385">
        <v>55073673291</v>
      </c>
      <c r="H4385" t="s">
        <v>35</v>
      </c>
      <c r="I4385" s="36">
        <v>5546.88</v>
      </c>
      <c r="J4385" s="36">
        <v>2030.181885</v>
      </c>
      <c r="K4385" s="85">
        <v>3516.6981150000001</v>
      </c>
      <c r="L4385" s="36">
        <v>169.18182379999999</v>
      </c>
      <c r="M4385" s="36">
        <v>0</v>
      </c>
      <c r="N4385" s="36">
        <v>169.18182379999999</v>
      </c>
      <c r="O4385" s="36">
        <v>0</v>
      </c>
      <c r="P4385" t="s">
        <v>367</v>
      </c>
      <c r="Q4385" t="s">
        <v>191</v>
      </c>
      <c r="R4385" t="s">
        <v>191</v>
      </c>
      <c r="S4385" s="112">
        <v>46148</v>
      </c>
      <c r="T4385" s="112">
        <v>46148</v>
      </c>
      <c r="U4385" s="112"/>
      <c r="V4385" s="112">
        <v>46879</v>
      </c>
      <c r="W4385" t="s">
        <v>56</v>
      </c>
      <c r="Y4385" t="s">
        <v>49</v>
      </c>
      <c r="AA4385" t="s">
        <v>122</v>
      </c>
      <c r="AB4385">
        <v>24</v>
      </c>
      <c r="AC4385" t="s">
        <v>192</v>
      </c>
      <c r="AD4385" t="s">
        <v>140</v>
      </c>
      <c r="AE4385" t="s">
        <v>46</v>
      </c>
      <c r="AF4385" t="s">
        <v>119</v>
      </c>
      <c r="AG4385" t="str">
        <f t="shared" si="99"/>
        <v>Recorrente</v>
      </c>
      <c r="AH4385" t="str">
        <f t="shared" si="100"/>
        <v/>
      </c>
    </row>
    <row r="4386" spans="1:34">
      <c r="A4386">
        <v>2026</v>
      </c>
      <c r="B4386">
        <v>5</v>
      </c>
      <c r="C4386" s="83">
        <v>53284613147</v>
      </c>
      <c r="D4386" t="s">
        <v>3587</v>
      </c>
      <c r="E4386">
        <v>60051318895</v>
      </c>
      <c r="F4386">
        <v>637589</v>
      </c>
      <c r="G4386">
        <v>55073673294</v>
      </c>
      <c r="H4386" t="s">
        <v>35</v>
      </c>
      <c r="I4386" s="36">
        <v>5546.88</v>
      </c>
      <c r="J4386" s="36">
        <v>2030.181885</v>
      </c>
      <c r="K4386" s="85">
        <v>3516.6981150000001</v>
      </c>
      <c r="L4386" s="36">
        <v>169.18182379999999</v>
      </c>
      <c r="M4386" s="36">
        <v>0</v>
      </c>
      <c r="N4386" s="36">
        <v>169.18182379999999</v>
      </c>
      <c r="O4386" s="36">
        <v>0</v>
      </c>
      <c r="P4386" t="s">
        <v>367</v>
      </c>
      <c r="Q4386" t="s">
        <v>191</v>
      </c>
      <c r="R4386" t="s">
        <v>191</v>
      </c>
      <c r="S4386" s="112">
        <v>46148</v>
      </c>
      <c r="T4386" s="112">
        <v>46148</v>
      </c>
      <c r="U4386" s="112"/>
      <c r="V4386" s="112">
        <v>46879</v>
      </c>
      <c r="W4386" t="s">
        <v>56</v>
      </c>
      <c r="Y4386" t="s">
        <v>49</v>
      </c>
      <c r="AA4386" t="s">
        <v>122</v>
      </c>
      <c r="AB4386">
        <v>24</v>
      </c>
      <c r="AC4386" t="s">
        <v>192</v>
      </c>
      <c r="AD4386" t="s">
        <v>140</v>
      </c>
      <c r="AE4386" t="s">
        <v>46</v>
      </c>
      <c r="AF4386" t="s">
        <v>119</v>
      </c>
      <c r="AG4386" t="str">
        <f t="shared" si="99"/>
        <v>Recorrente</v>
      </c>
      <c r="AH4386" t="str">
        <f t="shared" si="100"/>
        <v/>
      </c>
    </row>
    <row r="4387" spans="1:34">
      <c r="A4387">
        <v>2026</v>
      </c>
      <c r="B4387">
        <v>5</v>
      </c>
      <c r="C4387" s="83">
        <v>134872123048</v>
      </c>
      <c r="D4387" t="s">
        <v>3761</v>
      </c>
      <c r="E4387">
        <v>60055120657</v>
      </c>
      <c r="F4387">
        <v>637607</v>
      </c>
      <c r="G4387">
        <v>55078055989</v>
      </c>
      <c r="H4387" t="s">
        <v>35</v>
      </c>
      <c r="I4387" s="36">
        <v>5514</v>
      </c>
      <c r="J4387" s="36">
        <v>5514</v>
      </c>
      <c r="K4387" s="85">
        <v>0</v>
      </c>
      <c r="L4387" s="36">
        <v>459.5</v>
      </c>
      <c r="M4387" s="36">
        <v>459.5</v>
      </c>
      <c r="N4387" s="36">
        <v>0</v>
      </c>
      <c r="O4387" s="36">
        <v>0</v>
      </c>
      <c r="P4387" t="s">
        <v>2004</v>
      </c>
      <c r="Q4387" t="s">
        <v>300</v>
      </c>
      <c r="R4387" t="s">
        <v>300</v>
      </c>
      <c r="S4387" s="112">
        <v>46148</v>
      </c>
      <c r="T4387" s="112">
        <v>46148</v>
      </c>
      <c r="U4387" s="112"/>
      <c r="V4387" s="112">
        <v>46513</v>
      </c>
      <c r="W4387" t="s">
        <v>38</v>
      </c>
      <c r="X4387">
        <v>12</v>
      </c>
      <c r="Y4387" t="s">
        <v>49</v>
      </c>
      <c r="AA4387" t="s">
        <v>122</v>
      </c>
      <c r="AB4387">
        <v>12</v>
      </c>
      <c r="AC4387" t="s">
        <v>301</v>
      </c>
      <c r="AD4387" t="s">
        <v>138</v>
      </c>
      <c r="AE4387" t="s">
        <v>135</v>
      </c>
      <c r="AF4387" t="s">
        <v>119</v>
      </c>
      <c r="AG4387" t="str">
        <f t="shared" si="99"/>
        <v>Recorrente</v>
      </c>
      <c r="AH4387" t="str">
        <f t="shared" si="100"/>
        <v/>
      </c>
    </row>
    <row r="4388" spans="1:34">
      <c r="A4388">
        <v>2026</v>
      </c>
      <c r="B4388">
        <v>5</v>
      </c>
      <c r="C4388" s="83">
        <v>151393073461</v>
      </c>
      <c r="D4388" t="s">
        <v>3762</v>
      </c>
      <c r="E4388">
        <v>58512535707</v>
      </c>
      <c r="F4388">
        <v>629521</v>
      </c>
      <c r="G4388">
        <v>53714927944</v>
      </c>
      <c r="H4388" t="s">
        <v>35</v>
      </c>
      <c r="I4388" s="36">
        <v>5514</v>
      </c>
      <c r="J4388" s="36">
        <v>5514</v>
      </c>
      <c r="K4388" s="85">
        <v>0</v>
      </c>
      <c r="L4388" s="36">
        <v>459.5</v>
      </c>
      <c r="M4388" s="36">
        <v>0</v>
      </c>
      <c r="N4388" s="36">
        <v>73.400000000000006</v>
      </c>
      <c r="O4388" s="36">
        <v>386.1</v>
      </c>
      <c r="P4388" t="s">
        <v>165</v>
      </c>
      <c r="Q4388" t="s">
        <v>166</v>
      </c>
      <c r="R4388" t="s">
        <v>166</v>
      </c>
      <c r="S4388" s="112">
        <v>46155</v>
      </c>
      <c r="T4388" s="112">
        <v>46155</v>
      </c>
      <c r="U4388" s="112">
        <v>46155</v>
      </c>
      <c r="V4388" s="112">
        <v>46520</v>
      </c>
      <c r="W4388" t="s">
        <v>38</v>
      </c>
      <c r="X4388">
        <v>12</v>
      </c>
      <c r="Y4388" t="s">
        <v>49</v>
      </c>
      <c r="Z4388" t="s">
        <v>81</v>
      </c>
      <c r="AA4388" t="s">
        <v>112</v>
      </c>
      <c r="AB4388">
        <v>12</v>
      </c>
      <c r="AC4388" t="s">
        <v>166</v>
      </c>
      <c r="AD4388" t="s">
        <v>138</v>
      </c>
      <c r="AE4388" t="s">
        <v>135</v>
      </c>
      <c r="AF4388" t="s">
        <v>119</v>
      </c>
      <c r="AG4388" t="str">
        <f t="shared" si="99"/>
        <v>CC 12x</v>
      </c>
      <c r="AH4388" t="str">
        <f t="shared" si="100"/>
        <v/>
      </c>
    </row>
    <row r="4389" spans="1:34">
      <c r="A4389">
        <v>2026</v>
      </c>
      <c r="B4389">
        <v>5</v>
      </c>
      <c r="C4389" s="83">
        <v>19435529657</v>
      </c>
      <c r="D4389" t="s">
        <v>3763</v>
      </c>
      <c r="E4389">
        <v>60237334565</v>
      </c>
      <c r="F4389">
        <v>637780</v>
      </c>
      <c r="G4389">
        <v>55243815079</v>
      </c>
      <c r="H4389" t="s">
        <v>35</v>
      </c>
      <c r="I4389" s="36">
        <v>5514</v>
      </c>
      <c r="J4389" s="36">
        <v>5514</v>
      </c>
      <c r="K4389" s="85">
        <v>0</v>
      </c>
      <c r="L4389" s="36">
        <v>459.5</v>
      </c>
      <c r="M4389" s="36">
        <v>459.5</v>
      </c>
      <c r="N4389" s="36">
        <v>0</v>
      </c>
      <c r="O4389" s="36">
        <v>0</v>
      </c>
      <c r="P4389" t="s">
        <v>129</v>
      </c>
      <c r="Q4389" t="s">
        <v>91</v>
      </c>
      <c r="R4389" t="s">
        <v>91</v>
      </c>
      <c r="S4389" s="112">
        <v>46155</v>
      </c>
      <c r="T4389" s="112">
        <v>46155</v>
      </c>
      <c r="U4389" s="112"/>
      <c r="V4389" s="112">
        <v>46520</v>
      </c>
      <c r="W4389" t="s">
        <v>38</v>
      </c>
      <c r="X4389">
        <v>12</v>
      </c>
      <c r="Y4389" t="s">
        <v>49</v>
      </c>
      <c r="AA4389" t="s">
        <v>122</v>
      </c>
      <c r="AB4389">
        <v>12</v>
      </c>
      <c r="AC4389" t="s">
        <v>93</v>
      </c>
      <c r="AD4389" t="s">
        <v>138</v>
      </c>
      <c r="AE4389" t="s">
        <v>135</v>
      </c>
      <c r="AF4389" t="s">
        <v>119</v>
      </c>
      <c r="AG4389" t="str">
        <f t="shared" si="99"/>
        <v>Recorrente</v>
      </c>
      <c r="AH4389" t="str">
        <f t="shared" si="100"/>
        <v/>
      </c>
    </row>
    <row r="4390" spans="1:34">
      <c r="A4390">
        <v>2026</v>
      </c>
      <c r="B4390">
        <v>5</v>
      </c>
      <c r="C4390" s="83">
        <v>2080177</v>
      </c>
      <c r="D4390" t="s">
        <v>3764</v>
      </c>
      <c r="E4390">
        <v>59177546275</v>
      </c>
      <c r="F4390">
        <v>535333</v>
      </c>
      <c r="G4390">
        <v>54290883897</v>
      </c>
      <c r="H4390" t="s">
        <v>35</v>
      </c>
      <c r="I4390" s="36">
        <v>5514</v>
      </c>
      <c r="J4390" s="36">
        <v>5514</v>
      </c>
      <c r="K4390" s="85">
        <v>0</v>
      </c>
      <c r="L4390" s="36">
        <v>459.5</v>
      </c>
      <c r="M4390" s="36">
        <v>0</v>
      </c>
      <c r="N4390" s="36">
        <v>73.400000000000006</v>
      </c>
      <c r="O4390" s="36">
        <v>386.1</v>
      </c>
      <c r="P4390" t="s">
        <v>165</v>
      </c>
      <c r="Q4390" t="s">
        <v>166</v>
      </c>
      <c r="R4390" t="s">
        <v>166</v>
      </c>
      <c r="S4390" s="112">
        <v>46169</v>
      </c>
      <c r="T4390" s="112">
        <v>46169</v>
      </c>
      <c r="U4390" s="112">
        <v>46172</v>
      </c>
      <c r="V4390" s="112">
        <v>46537</v>
      </c>
      <c r="W4390" t="s">
        <v>38</v>
      </c>
      <c r="X4390">
        <v>12</v>
      </c>
      <c r="Y4390" t="s">
        <v>49</v>
      </c>
      <c r="Z4390" t="s">
        <v>81</v>
      </c>
      <c r="AA4390" t="s">
        <v>122</v>
      </c>
      <c r="AB4390">
        <v>12</v>
      </c>
      <c r="AC4390" t="s">
        <v>166</v>
      </c>
      <c r="AD4390" t="s">
        <v>138</v>
      </c>
      <c r="AE4390" t="s">
        <v>135</v>
      </c>
      <c r="AF4390" t="s">
        <v>119</v>
      </c>
      <c r="AG4390" t="str">
        <f t="shared" si="99"/>
        <v>Recorrente</v>
      </c>
      <c r="AH4390" t="str">
        <f t="shared" si="100"/>
        <v/>
      </c>
    </row>
    <row r="4391" spans="1:34">
      <c r="A4391">
        <v>2026</v>
      </c>
      <c r="B4391">
        <v>5</v>
      </c>
      <c r="C4391" s="83">
        <v>2089669</v>
      </c>
      <c r="D4391" t="s">
        <v>3765</v>
      </c>
      <c r="E4391">
        <v>60540242712</v>
      </c>
      <c r="F4391">
        <v>637937</v>
      </c>
      <c r="G4391">
        <v>55583801763</v>
      </c>
      <c r="H4391" t="s">
        <v>35</v>
      </c>
      <c r="I4391" s="36">
        <v>5514</v>
      </c>
      <c r="J4391" s="36">
        <v>5514</v>
      </c>
      <c r="K4391" s="85">
        <v>0</v>
      </c>
      <c r="L4391" s="36">
        <v>459.5</v>
      </c>
      <c r="M4391" s="36">
        <v>459.5</v>
      </c>
      <c r="N4391" s="36">
        <v>0</v>
      </c>
      <c r="O4391" s="36">
        <v>0</v>
      </c>
      <c r="P4391" t="s">
        <v>3179</v>
      </c>
      <c r="Q4391" t="s">
        <v>300</v>
      </c>
      <c r="R4391" t="s">
        <v>300</v>
      </c>
      <c r="S4391" s="112">
        <v>46164</v>
      </c>
      <c r="T4391" s="112">
        <v>46164</v>
      </c>
      <c r="U4391" s="112"/>
      <c r="V4391" s="112">
        <v>46529</v>
      </c>
      <c r="W4391" t="s">
        <v>38</v>
      </c>
      <c r="X4391">
        <v>12</v>
      </c>
      <c r="Y4391" t="s">
        <v>49</v>
      </c>
      <c r="AA4391" t="s">
        <v>122</v>
      </c>
      <c r="AB4391">
        <v>12</v>
      </c>
      <c r="AC4391" t="s">
        <v>301</v>
      </c>
      <c r="AD4391" t="s">
        <v>138</v>
      </c>
      <c r="AE4391" t="s">
        <v>135</v>
      </c>
      <c r="AF4391" t="s">
        <v>119</v>
      </c>
      <c r="AG4391" t="str">
        <f t="shared" si="99"/>
        <v>Recorrente</v>
      </c>
      <c r="AH4391" t="str">
        <f t="shared" si="100"/>
        <v/>
      </c>
    </row>
    <row r="4392" spans="1:34">
      <c r="A4392">
        <v>2026</v>
      </c>
      <c r="B4392">
        <v>5</v>
      </c>
      <c r="C4392" s="83">
        <v>2093062</v>
      </c>
      <c r="D4392" t="s">
        <v>3766</v>
      </c>
      <c r="E4392">
        <v>58639457941</v>
      </c>
      <c r="F4392">
        <v>535163</v>
      </c>
      <c r="G4392">
        <v>53823236719</v>
      </c>
      <c r="H4392" t="s">
        <v>35</v>
      </c>
      <c r="I4392" s="36">
        <v>5514</v>
      </c>
      <c r="J4392" s="36">
        <v>5514</v>
      </c>
      <c r="K4392" s="85">
        <v>0</v>
      </c>
      <c r="L4392" s="36">
        <v>459.5</v>
      </c>
      <c r="M4392" s="36">
        <v>0</v>
      </c>
      <c r="N4392" s="36">
        <v>73.400000000000006</v>
      </c>
      <c r="O4392" s="36">
        <v>386.1</v>
      </c>
      <c r="P4392" t="s">
        <v>165</v>
      </c>
      <c r="Q4392" t="s">
        <v>166</v>
      </c>
      <c r="R4392" t="s">
        <v>166</v>
      </c>
      <c r="S4392" s="112">
        <v>46158</v>
      </c>
      <c r="T4392" s="112">
        <v>46158</v>
      </c>
      <c r="U4392" s="112">
        <v>46158</v>
      </c>
      <c r="V4392" s="112">
        <v>46523</v>
      </c>
      <c r="W4392" t="s">
        <v>38</v>
      </c>
      <c r="X4392">
        <v>12</v>
      </c>
      <c r="Y4392" t="s">
        <v>49</v>
      </c>
      <c r="Z4392" t="s">
        <v>81</v>
      </c>
      <c r="AA4392" t="s">
        <v>122</v>
      </c>
      <c r="AB4392">
        <v>12</v>
      </c>
      <c r="AC4392" t="s">
        <v>166</v>
      </c>
      <c r="AD4392" t="s">
        <v>138</v>
      </c>
      <c r="AE4392" t="s">
        <v>135</v>
      </c>
      <c r="AF4392" t="s">
        <v>119</v>
      </c>
      <c r="AG4392" t="str">
        <f t="shared" si="99"/>
        <v>Recorrente</v>
      </c>
      <c r="AH4392" t="str">
        <f t="shared" si="100"/>
        <v/>
      </c>
    </row>
    <row r="4393" spans="1:34">
      <c r="A4393">
        <v>2026</v>
      </c>
      <c r="B4393">
        <v>5</v>
      </c>
      <c r="C4393" s="83">
        <v>2120786</v>
      </c>
      <c r="D4393" t="s">
        <v>3767</v>
      </c>
      <c r="E4393">
        <v>60371432498</v>
      </c>
      <c r="F4393">
        <v>637868</v>
      </c>
      <c r="G4393">
        <v>55376722306</v>
      </c>
      <c r="H4393" t="s">
        <v>35</v>
      </c>
      <c r="I4393" s="36">
        <v>5514</v>
      </c>
      <c r="J4393" s="36">
        <v>5514</v>
      </c>
      <c r="K4393" s="85">
        <v>0</v>
      </c>
      <c r="L4393" s="36">
        <v>459.5</v>
      </c>
      <c r="M4393" s="36">
        <v>459.5</v>
      </c>
      <c r="N4393" s="36">
        <v>0</v>
      </c>
      <c r="O4393" s="36">
        <v>0</v>
      </c>
      <c r="Q4393" t="s">
        <v>498</v>
      </c>
      <c r="R4393" t="s">
        <v>498</v>
      </c>
      <c r="S4393" s="112">
        <v>46162</v>
      </c>
      <c r="T4393" s="112">
        <v>46162</v>
      </c>
      <c r="U4393" s="112"/>
      <c r="V4393" s="112">
        <v>46527</v>
      </c>
      <c r="W4393" t="s">
        <v>38</v>
      </c>
      <c r="X4393">
        <v>12</v>
      </c>
      <c r="Y4393" t="s">
        <v>49</v>
      </c>
      <c r="AA4393" t="s">
        <v>122</v>
      </c>
      <c r="AB4393">
        <v>12</v>
      </c>
      <c r="AC4393" t="s">
        <v>499</v>
      </c>
      <c r="AD4393" t="s">
        <v>138</v>
      </c>
      <c r="AE4393" t="s">
        <v>135</v>
      </c>
      <c r="AF4393" t="s">
        <v>119</v>
      </c>
      <c r="AG4393" t="str">
        <f t="shared" si="99"/>
        <v>Recorrente</v>
      </c>
      <c r="AH4393" t="str">
        <f t="shared" si="100"/>
        <v/>
      </c>
    </row>
    <row r="4394" spans="1:34">
      <c r="A4394">
        <v>2026</v>
      </c>
      <c r="B4394">
        <v>5</v>
      </c>
      <c r="C4394" s="83">
        <v>214718720916</v>
      </c>
      <c r="D4394" t="s">
        <v>3768</v>
      </c>
      <c r="E4394">
        <v>60481804574</v>
      </c>
      <c r="F4394">
        <v>637917</v>
      </c>
      <c r="G4394">
        <v>55478131880</v>
      </c>
      <c r="H4394" t="s">
        <v>35</v>
      </c>
      <c r="I4394" s="36">
        <v>5514</v>
      </c>
      <c r="J4394" s="36">
        <v>5514</v>
      </c>
      <c r="K4394" s="85">
        <v>0</v>
      </c>
      <c r="L4394" s="36">
        <v>459.5</v>
      </c>
      <c r="M4394" s="36">
        <v>459.5</v>
      </c>
      <c r="N4394" s="36">
        <v>0</v>
      </c>
      <c r="O4394" s="36">
        <v>0</v>
      </c>
      <c r="P4394" t="s">
        <v>2004</v>
      </c>
      <c r="Q4394" t="s">
        <v>300</v>
      </c>
      <c r="R4394" t="s">
        <v>300</v>
      </c>
      <c r="S4394" s="112">
        <v>46163</v>
      </c>
      <c r="T4394" s="112">
        <v>46163</v>
      </c>
      <c r="U4394" s="112"/>
      <c r="V4394" s="112">
        <v>46528</v>
      </c>
      <c r="W4394" t="s">
        <v>38</v>
      </c>
      <c r="X4394">
        <v>12</v>
      </c>
      <c r="Y4394" t="s">
        <v>49</v>
      </c>
      <c r="AA4394" t="s">
        <v>122</v>
      </c>
      <c r="AB4394">
        <v>12</v>
      </c>
      <c r="AC4394" t="s">
        <v>301</v>
      </c>
      <c r="AD4394" t="s">
        <v>138</v>
      </c>
      <c r="AE4394" t="s">
        <v>135</v>
      </c>
      <c r="AF4394" t="s">
        <v>119</v>
      </c>
      <c r="AG4394" t="str">
        <f t="shared" si="99"/>
        <v>Recorrente</v>
      </c>
      <c r="AH4394" t="str">
        <f t="shared" si="100"/>
        <v/>
      </c>
    </row>
    <row r="4395" spans="1:34">
      <c r="A4395">
        <v>2026</v>
      </c>
      <c r="B4395">
        <v>5</v>
      </c>
      <c r="C4395" s="83">
        <v>222316367748</v>
      </c>
      <c r="D4395" t="s">
        <v>3769</v>
      </c>
      <c r="E4395">
        <v>60326641475</v>
      </c>
      <c r="F4395">
        <v>637853</v>
      </c>
      <c r="G4395">
        <v>55335112528</v>
      </c>
      <c r="H4395" t="s">
        <v>35</v>
      </c>
      <c r="I4395" s="36">
        <v>5514</v>
      </c>
      <c r="J4395" s="36">
        <v>5514</v>
      </c>
      <c r="K4395" s="85">
        <v>0</v>
      </c>
      <c r="L4395" s="36">
        <v>459.5</v>
      </c>
      <c r="M4395" s="36">
        <v>459.5</v>
      </c>
      <c r="N4395" s="36">
        <v>0</v>
      </c>
      <c r="O4395" s="36">
        <v>0</v>
      </c>
      <c r="P4395" t="s">
        <v>829</v>
      </c>
      <c r="Q4395" t="s">
        <v>300</v>
      </c>
      <c r="R4395" t="s">
        <v>300</v>
      </c>
      <c r="S4395" s="112">
        <v>46161</v>
      </c>
      <c r="T4395" s="112">
        <v>46161</v>
      </c>
      <c r="U4395" s="112"/>
      <c r="V4395" s="112">
        <v>46526</v>
      </c>
      <c r="W4395" t="s">
        <v>38</v>
      </c>
      <c r="X4395">
        <v>12</v>
      </c>
      <c r="Y4395" t="s">
        <v>49</v>
      </c>
      <c r="AA4395" t="s">
        <v>112</v>
      </c>
      <c r="AB4395">
        <v>12</v>
      </c>
      <c r="AC4395" t="s">
        <v>301</v>
      </c>
      <c r="AD4395" t="s">
        <v>138</v>
      </c>
      <c r="AE4395" t="s">
        <v>135</v>
      </c>
      <c r="AF4395" t="s">
        <v>119</v>
      </c>
      <c r="AG4395" t="str">
        <f t="shared" si="99"/>
        <v>CC 12x</v>
      </c>
      <c r="AH4395" t="str">
        <f t="shared" si="100"/>
        <v/>
      </c>
    </row>
    <row r="4396" spans="1:34">
      <c r="A4396">
        <v>2026</v>
      </c>
      <c r="B4396">
        <v>5</v>
      </c>
      <c r="C4396" s="83">
        <v>5163786249</v>
      </c>
      <c r="D4396" t="s">
        <v>3770</v>
      </c>
      <c r="E4396">
        <v>58603052614</v>
      </c>
      <c r="F4396">
        <v>629610</v>
      </c>
      <c r="G4396">
        <v>53793414261</v>
      </c>
      <c r="H4396" t="s">
        <v>35</v>
      </c>
      <c r="I4396" s="36">
        <v>5514</v>
      </c>
      <c r="J4396" s="36">
        <v>5514</v>
      </c>
      <c r="K4396" s="85">
        <v>0</v>
      </c>
      <c r="L4396" s="36">
        <v>459.5</v>
      </c>
      <c r="M4396" s="36">
        <v>0</v>
      </c>
      <c r="N4396" s="36">
        <v>73.400000000000006</v>
      </c>
      <c r="O4396" s="36">
        <v>386.1</v>
      </c>
      <c r="P4396" t="s">
        <v>165</v>
      </c>
      <c r="Q4396" t="s">
        <v>166</v>
      </c>
      <c r="R4396" t="s">
        <v>166</v>
      </c>
      <c r="S4396" s="112">
        <v>46157</v>
      </c>
      <c r="T4396" s="112">
        <v>46157</v>
      </c>
      <c r="U4396" s="112">
        <v>46157</v>
      </c>
      <c r="V4396" s="112">
        <v>46522</v>
      </c>
      <c r="W4396" t="s">
        <v>38</v>
      </c>
      <c r="X4396">
        <v>12</v>
      </c>
      <c r="Y4396" t="s">
        <v>49</v>
      </c>
      <c r="Z4396" t="s">
        <v>81</v>
      </c>
      <c r="AA4396" t="s">
        <v>122</v>
      </c>
      <c r="AB4396">
        <v>12</v>
      </c>
      <c r="AC4396" t="s">
        <v>166</v>
      </c>
      <c r="AD4396" t="s">
        <v>138</v>
      </c>
      <c r="AE4396" t="s">
        <v>135</v>
      </c>
      <c r="AF4396" t="s">
        <v>119</v>
      </c>
      <c r="AG4396" t="str">
        <f t="shared" si="99"/>
        <v>Recorrente</v>
      </c>
      <c r="AH4396" t="str">
        <f t="shared" si="100"/>
        <v/>
      </c>
    </row>
    <row r="4397" spans="1:34">
      <c r="A4397">
        <v>2026</v>
      </c>
      <c r="B4397">
        <v>5</v>
      </c>
      <c r="C4397" s="83">
        <v>54711426169</v>
      </c>
      <c r="D4397" t="s">
        <v>3771</v>
      </c>
      <c r="E4397">
        <v>60237562190</v>
      </c>
      <c r="F4397">
        <v>637783</v>
      </c>
      <c r="G4397">
        <v>55243822438</v>
      </c>
      <c r="H4397" t="s">
        <v>35</v>
      </c>
      <c r="I4397" s="36">
        <v>5514</v>
      </c>
      <c r="J4397" s="36">
        <v>5514</v>
      </c>
      <c r="K4397" s="85">
        <v>0</v>
      </c>
      <c r="L4397" s="36">
        <v>459.5</v>
      </c>
      <c r="M4397" s="36">
        <v>459.5</v>
      </c>
      <c r="N4397" s="36">
        <v>0</v>
      </c>
      <c r="O4397" s="36">
        <v>0</v>
      </c>
      <c r="P4397" t="s">
        <v>129</v>
      </c>
      <c r="Q4397" t="s">
        <v>91</v>
      </c>
      <c r="R4397" t="s">
        <v>91</v>
      </c>
      <c r="S4397" s="112">
        <v>46156</v>
      </c>
      <c r="T4397" s="112">
        <v>46156</v>
      </c>
      <c r="U4397" s="112"/>
      <c r="V4397" s="112">
        <v>46521</v>
      </c>
      <c r="W4397" t="s">
        <v>38</v>
      </c>
      <c r="X4397">
        <v>12</v>
      </c>
      <c r="Y4397" t="s">
        <v>49</v>
      </c>
      <c r="AA4397" t="s">
        <v>92</v>
      </c>
      <c r="AB4397">
        <v>12</v>
      </c>
      <c r="AC4397" t="s">
        <v>93</v>
      </c>
      <c r="AD4397" t="s">
        <v>138</v>
      </c>
      <c r="AE4397" t="s">
        <v>135</v>
      </c>
      <c r="AF4397" t="s">
        <v>119</v>
      </c>
      <c r="AG4397" t="str">
        <f t="shared" si="99"/>
        <v>Recorrente</v>
      </c>
      <c r="AH4397" t="str">
        <f t="shared" si="100"/>
        <v/>
      </c>
    </row>
    <row r="4398" spans="1:34">
      <c r="A4398">
        <v>2026</v>
      </c>
      <c r="B4398">
        <v>5</v>
      </c>
      <c r="C4398" s="83">
        <v>54711443580</v>
      </c>
      <c r="D4398" t="s">
        <v>3772</v>
      </c>
      <c r="E4398">
        <v>60034496023</v>
      </c>
      <c r="F4398">
        <v>637713</v>
      </c>
      <c r="G4398">
        <v>55191171232</v>
      </c>
      <c r="H4398" t="s">
        <v>35</v>
      </c>
      <c r="I4398" s="36">
        <v>5514</v>
      </c>
      <c r="J4398" s="36">
        <v>5514</v>
      </c>
      <c r="K4398" s="85">
        <v>0</v>
      </c>
      <c r="L4398" s="36">
        <v>459.5</v>
      </c>
      <c r="M4398" s="36">
        <v>459.5</v>
      </c>
      <c r="N4398" s="36">
        <v>0</v>
      </c>
      <c r="O4398" s="36">
        <v>0</v>
      </c>
      <c r="P4398" t="s">
        <v>3642</v>
      </c>
      <c r="Q4398" t="s">
        <v>300</v>
      </c>
      <c r="R4398" t="s">
        <v>300</v>
      </c>
      <c r="S4398" s="112">
        <v>46153</v>
      </c>
      <c r="T4398" s="112">
        <v>46153</v>
      </c>
      <c r="U4398" s="112"/>
      <c r="V4398" s="112">
        <v>46518</v>
      </c>
      <c r="W4398" t="s">
        <v>38</v>
      </c>
      <c r="X4398">
        <v>12</v>
      </c>
      <c r="Y4398" t="s">
        <v>49</v>
      </c>
      <c r="AA4398" t="s">
        <v>122</v>
      </c>
      <c r="AB4398">
        <v>12</v>
      </c>
      <c r="AC4398" t="s">
        <v>301</v>
      </c>
      <c r="AD4398" t="s">
        <v>138</v>
      </c>
      <c r="AE4398" t="s">
        <v>135</v>
      </c>
      <c r="AF4398" t="s">
        <v>119</v>
      </c>
      <c r="AG4398" t="str">
        <f t="shared" si="99"/>
        <v>Recorrente</v>
      </c>
      <c r="AH4398" t="str">
        <f t="shared" si="100"/>
        <v/>
      </c>
    </row>
    <row r="4399" spans="1:34">
      <c r="A4399">
        <v>2026</v>
      </c>
      <c r="B4399">
        <v>5</v>
      </c>
      <c r="C4399" s="83">
        <v>54713986928</v>
      </c>
      <c r="D4399" t="s">
        <v>3773</v>
      </c>
      <c r="E4399">
        <v>59967746147</v>
      </c>
      <c r="F4399">
        <v>637541</v>
      </c>
      <c r="G4399">
        <v>54991302019</v>
      </c>
      <c r="H4399" t="s">
        <v>35</v>
      </c>
      <c r="I4399" s="36">
        <v>5514</v>
      </c>
      <c r="J4399" s="36">
        <v>5514</v>
      </c>
      <c r="K4399" s="85">
        <v>0</v>
      </c>
      <c r="L4399" s="36">
        <v>459.5</v>
      </c>
      <c r="M4399" s="36">
        <v>459.5</v>
      </c>
      <c r="N4399" s="36">
        <v>0</v>
      </c>
      <c r="O4399" s="36">
        <v>0</v>
      </c>
      <c r="P4399" t="s">
        <v>497</v>
      </c>
      <c r="Q4399" t="s">
        <v>498</v>
      </c>
      <c r="R4399" t="s">
        <v>498</v>
      </c>
      <c r="S4399" s="112">
        <v>46143</v>
      </c>
      <c r="T4399" s="112">
        <v>46143</v>
      </c>
      <c r="U4399" s="112"/>
      <c r="V4399" s="112">
        <v>46508</v>
      </c>
      <c r="W4399" t="s">
        <v>38</v>
      </c>
      <c r="X4399">
        <v>12</v>
      </c>
      <c r="Y4399" t="s">
        <v>49</v>
      </c>
      <c r="AA4399" t="s">
        <v>112</v>
      </c>
      <c r="AB4399">
        <v>1</v>
      </c>
      <c r="AC4399" t="s">
        <v>499</v>
      </c>
      <c r="AD4399" t="s">
        <v>138</v>
      </c>
      <c r="AE4399" t="s">
        <v>135</v>
      </c>
      <c r="AF4399" t="s">
        <v>119</v>
      </c>
      <c r="AG4399" t="str">
        <f t="shared" si="99"/>
        <v>À Vista</v>
      </c>
      <c r="AH4399" t="str">
        <f t="shared" si="100"/>
        <v/>
      </c>
    </row>
    <row r="4400" spans="1:34">
      <c r="A4400">
        <v>2026</v>
      </c>
      <c r="B4400">
        <v>5</v>
      </c>
      <c r="C4400" s="83">
        <v>55013787912</v>
      </c>
      <c r="D4400" t="s">
        <v>3774</v>
      </c>
      <c r="E4400">
        <v>60627168292</v>
      </c>
      <c r="F4400">
        <v>638059</v>
      </c>
      <c r="G4400">
        <v>55682400812</v>
      </c>
      <c r="H4400" t="s">
        <v>35</v>
      </c>
      <c r="I4400" s="36">
        <v>5514</v>
      </c>
      <c r="J4400" s="36">
        <v>5514</v>
      </c>
      <c r="K4400" s="85">
        <v>0</v>
      </c>
      <c r="L4400" s="36">
        <v>459.5</v>
      </c>
      <c r="M4400" s="36">
        <v>459.5</v>
      </c>
      <c r="N4400" s="36">
        <v>0</v>
      </c>
      <c r="O4400" s="36">
        <v>0</v>
      </c>
      <c r="P4400" t="s">
        <v>129</v>
      </c>
      <c r="Q4400" t="s">
        <v>91</v>
      </c>
      <c r="R4400" t="s">
        <v>91</v>
      </c>
      <c r="S4400" s="112">
        <v>46171</v>
      </c>
      <c r="T4400" s="112">
        <v>46171</v>
      </c>
      <c r="U4400" s="112"/>
      <c r="V4400" s="112">
        <v>46536</v>
      </c>
      <c r="W4400" t="s">
        <v>38</v>
      </c>
      <c r="X4400">
        <v>12</v>
      </c>
      <c r="Y4400" t="s">
        <v>49</v>
      </c>
      <c r="AA4400" t="s">
        <v>122</v>
      </c>
      <c r="AB4400">
        <v>12</v>
      </c>
      <c r="AC4400" t="s">
        <v>93</v>
      </c>
      <c r="AD4400" t="s">
        <v>138</v>
      </c>
      <c r="AE4400" t="s">
        <v>135</v>
      </c>
      <c r="AF4400" t="s">
        <v>119</v>
      </c>
      <c r="AG4400" t="str">
        <f t="shared" si="99"/>
        <v>Recorrente</v>
      </c>
      <c r="AH4400" t="str">
        <f t="shared" si="100"/>
        <v/>
      </c>
    </row>
    <row r="4401" spans="1:34">
      <c r="A4401">
        <v>2026</v>
      </c>
      <c r="B4401">
        <v>5</v>
      </c>
      <c r="C4401" s="83">
        <v>55160356634</v>
      </c>
      <c r="D4401" t="s">
        <v>3775</v>
      </c>
      <c r="E4401">
        <v>60694351180</v>
      </c>
      <c r="F4401">
        <v>638047</v>
      </c>
      <c r="G4401">
        <v>55661512372</v>
      </c>
      <c r="H4401" t="s">
        <v>35</v>
      </c>
      <c r="I4401" s="36">
        <v>5514</v>
      </c>
      <c r="J4401" s="36">
        <v>5514</v>
      </c>
      <c r="K4401" s="85">
        <v>0</v>
      </c>
      <c r="L4401" s="36">
        <v>459.5</v>
      </c>
      <c r="M4401" s="36">
        <v>459.5</v>
      </c>
      <c r="N4401" s="36">
        <v>0</v>
      </c>
      <c r="O4401" s="36">
        <v>0</v>
      </c>
      <c r="P4401" t="s">
        <v>3642</v>
      </c>
      <c r="Q4401" t="s">
        <v>300</v>
      </c>
      <c r="R4401" t="s">
        <v>300</v>
      </c>
      <c r="S4401" s="112">
        <v>46170</v>
      </c>
      <c r="T4401" s="112">
        <v>46170</v>
      </c>
      <c r="U4401" s="112"/>
      <c r="V4401" s="112">
        <v>46535</v>
      </c>
      <c r="W4401" t="s">
        <v>38</v>
      </c>
      <c r="X4401">
        <v>12</v>
      </c>
      <c r="Y4401" t="s">
        <v>49</v>
      </c>
      <c r="AA4401" t="s">
        <v>122</v>
      </c>
      <c r="AB4401">
        <v>12</v>
      </c>
      <c r="AC4401" t="s">
        <v>301</v>
      </c>
      <c r="AD4401" t="s">
        <v>138</v>
      </c>
      <c r="AE4401" t="s">
        <v>135</v>
      </c>
      <c r="AF4401" t="s">
        <v>119</v>
      </c>
      <c r="AG4401" t="str">
        <f t="shared" si="99"/>
        <v>Recorrente</v>
      </c>
      <c r="AH4401" t="str">
        <f t="shared" si="100"/>
        <v/>
      </c>
    </row>
    <row r="4402" spans="1:34">
      <c r="A4402">
        <v>2026</v>
      </c>
      <c r="B4402">
        <v>5</v>
      </c>
      <c r="C4402" s="83">
        <v>55165889611</v>
      </c>
      <c r="D4402" t="s">
        <v>3776</v>
      </c>
      <c r="E4402">
        <v>60447407957</v>
      </c>
      <c r="F4402">
        <v>637934</v>
      </c>
      <c r="G4402">
        <v>55519464599</v>
      </c>
      <c r="H4402" t="s">
        <v>35</v>
      </c>
      <c r="I4402" s="36">
        <v>5514</v>
      </c>
      <c r="J4402" s="36">
        <v>5514</v>
      </c>
      <c r="K4402" s="85">
        <v>0</v>
      </c>
      <c r="L4402" s="36">
        <v>459.5</v>
      </c>
      <c r="M4402" s="36">
        <v>459.5</v>
      </c>
      <c r="N4402" s="36">
        <v>0</v>
      </c>
      <c r="O4402" s="36">
        <v>0</v>
      </c>
      <c r="P4402" t="s">
        <v>506</v>
      </c>
      <c r="Q4402" t="s">
        <v>300</v>
      </c>
      <c r="R4402" t="s">
        <v>300</v>
      </c>
      <c r="S4402" s="112">
        <v>46164</v>
      </c>
      <c r="T4402" s="112">
        <v>46164</v>
      </c>
      <c r="U4402" s="112"/>
      <c r="V4402" s="112">
        <v>46529</v>
      </c>
      <c r="W4402" t="s">
        <v>38</v>
      </c>
      <c r="X4402">
        <v>12</v>
      </c>
      <c r="Y4402" t="s">
        <v>49</v>
      </c>
      <c r="AA4402" t="s">
        <v>122</v>
      </c>
      <c r="AB4402">
        <v>12</v>
      </c>
      <c r="AC4402" t="s">
        <v>301</v>
      </c>
      <c r="AD4402" t="s">
        <v>138</v>
      </c>
      <c r="AE4402" t="s">
        <v>135</v>
      </c>
      <c r="AF4402" t="s">
        <v>119</v>
      </c>
      <c r="AG4402" t="str">
        <f t="shared" si="99"/>
        <v>Recorrente</v>
      </c>
      <c r="AH4402" t="str">
        <f t="shared" si="100"/>
        <v/>
      </c>
    </row>
    <row r="4403" spans="1:34">
      <c r="A4403">
        <v>2026</v>
      </c>
      <c r="B4403">
        <v>5</v>
      </c>
      <c r="C4403" s="83">
        <v>92066376333</v>
      </c>
      <c r="D4403" t="s">
        <v>3777</v>
      </c>
      <c r="E4403">
        <v>59135850040</v>
      </c>
      <c r="F4403">
        <v>629900</v>
      </c>
      <c r="G4403">
        <v>54214550807</v>
      </c>
      <c r="H4403" t="s">
        <v>35</v>
      </c>
      <c r="I4403" s="36">
        <v>5514</v>
      </c>
      <c r="J4403" s="36">
        <v>5514</v>
      </c>
      <c r="K4403" s="85">
        <v>0</v>
      </c>
      <c r="L4403" s="36">
        <v>459.5</v>
      </c>
      <c r="M4403" s="36">
        <v>0</v>
      </c>
      <c r="N4403" s="36">
        <v>73.400000000000006</v>
      </c>
      <c r="O4403" s="36">
        <v>386.1</v>
      </c>
      <c r="P4403" t="s">
        <v>165</v>
      </c>
      <c r="Q4403" t="s">
        <v>166</v>
      </c>
      <c r="R4403" t="s">
        <v>166</v>
      </c>
      <c r="S4403" s="112">
        <v>46168</v>
      </c>
      <c r="T4403" s="112">
        <v>46168</v>
      </c>
      <c r="U4403" s="112">
        <v>46170</v>
      </c>
      <c r="V4403" s="112">
        <v>46535</v>
      </c>
      <c r="W4403" t="s">
        <v>38</v>
      </c>
      <c r="X4403">
        <v>12</v>
      </c>
      <c r="Y4403" t="s">
        <v>49</v>
      </c>
      <c r="Z4403" t="s">
        <v>81</v>
      </c>
      <c r="AA4403" t="s">
        <v>112</v>
      </c>
      <c r="AB4403">
        <v>12</v>
      </c>
      <c r="AC4403" t="s">
        <v>166</v>
      </c>
      <c r="AD4403" t="s">
        <v>138</v>
      </c>
      <c r="AE4403" t="s">
        <v>135</v>
      </c>
      <c r="AF4403" t="s">
        <v>119</v>
      </c>
      <c r="AG4403" t="str">
        <f t="shared" si="99"/>
        <v>CC 12x</v>
      </c>
      <c r="AH4403" t="str">
        <f t="shared" si="100"/>
        <v/>
      </c>
    </row>
    <row r="4404" spans="1:34">
      <c r="A4404">
        <v>2026</v>
      </c>
      <c r="B4404">
        <v>5</v>
      </c>
      <c r="C4404" s="83">
        <v>93226772390</v>
      </c>
      <c r="D4404" t="s">
        <v>3778</v>
      </c>
      <c r="E4404">
        <v>58847182171</v>
      </c>
      <c r="F4404">
        <v>629662</v>
      </c>
      <c r="G4404">
        <v>54002671907</v>
      </c>
      <c r="H4404" t="s">
        <v>35</v>
      </c>
      <c r="I4404" s="36">
        <v>5514</v>
      </c>
      <c r="J4404" s="36">
        <v>5514</v>
      </c>
      <c r="K4404" s="85">
        <v>0</v>
      </c>
      <c r="L4404" s="36">
        <v>459.5</v>
      </c>
      <c r="M4404" s="36">
        <v>0</v>
      </c>
      <c r="N4404" s="36">
        <v>51.95</v>
      </c>
      <c r="O4404" s="36">
        <v>407.55</v>
      </c>
      <c r="P4404" t="s">
        <v>165</v>
      </c>
      <c r="Q4404" t="s">
        <v>166</v>
      </c>
      <c r="R4404" t="s">
        <v>166</v>
      </c>
      <c r="S4404" s="112">
        <v>46162</v>
      </c>
      <c r="T4404" s="112">
        <v>46162</v>
      </c>
      <c r="U4404" s="112">
        <v>46162</v>
      </c>
      <c r="V4404" s="112">
        <v>46527</v>
      </c>
      <c r="W4404" t="s">
        <v>38</v>
      </c>
      <c r="X4404">
        <v>12</v>
      </c>
      <c r="Y4404" t="s">
        <v>49</v>
      </c>
      <c r="Z4404" t="s">
        <v>81</v>
      </c>
      <c r="AA4404" t="s">
        <v>112</v>
      </c>
      <c r="AB4404">
        <v>12</v>
      </c>
      <c r="AC4404" t="s">
        <v>166</v>
      </c>
      <c r="AD4404" t="s">
        <v>138</v>
      </c>
      <c r="AE4404" t="s">
        <v>135</v>
      </c>
      <c r="AF4404" t="s">
        <v>119</v>
      </c>
      <c r="AG4404" t="str">
        <f t="shared" si="99"/>
        <v>CC 12x</v>
      </c>
      <c r="AH4404" t="str">
        <f t="shared" si="100"/>
        <v/>
      </c>
    </row>
    <row r="4405" spans="1:34">
      <c r="A4405">
        <v>2026</v>
      </c>
      <c r="B4405">
        <v>5</v>
      </c>
      <c r="C4405" s="83">
        <v>218763333897</v>
      </c>
      <c r="D4405" t="s">
        <v>3779</v>
      </c>
      <c r="E4405">
        <v>59447788724</v>
      </c>
      <c r="F4405">
        <v>315425</v>
      </c>
      <c r="G4405">
        <v>54881212788</v>
      </c>
      <c r="H4405" t="s">
        <v>35</v>
      </c>
      <c r="I4405" s="36">
        <v>5472</v>
      </c>
      <c r="J4405" s="36">
        <v>5472</v>
      </c>
      <c r="K4405" s="85">
        <v>0</v>
      </c>
      <c r="L4405" s="36">
        <v>456</v>
      </c>
      <c r="M4405" s="36">
        <v>0</v>
      </c>
      <c r="N4405" s="36">
        <v>25.65</v>
      </c>
      <c r="O4405" s="36">
        <v>430.35</v>
      </c>
      <c r="P4405" t="s">
        <v>127</v>
      </c>
      <c r="Q4405" t="s">
        <v>111</v>
      </c>
      <c r="R4405" t="s">
        <v>111</v>
      </c>
      <c r="S4405" s="112">
        <v>46160</v>
      </c>
      <c r="T4405" s="112">
        <v>46160</v>
      </c>
      <c r="U4405" s="112">
        <v>46165</v>
      </c>
      <c r="V4405" s="112">
        <v>46530</v>
      </c>
      <c r="W4405" t="s">
        <v>38</v>
      </c>
      <c r="X4405">
        <v>12</v>
      </c>
      <c r="Y4405" t="s">
        <v>49</v>
      </c>
      <c r="Z4405" t="s">
        <v>81</v>
      </c>
      <c r="AA4405" t="s">
        <v>122</v>
      </c>
      <c r="AB4405">
        <v>12</v>
      </c>
      <c r="AC4405" t="s">
        <v>113</v>
      </c>
      <c r="AD4405" t="s">
        <v>85</v>
      </c>
      <c r="AE4405" t="s">
        <v>46</v>
      </c>
      <c r="AF4405" t="s">
        <v>44</v>
      </c>
      <c r="AG4405" t="str">
        <f t="shared" si="99"/>
        <v>Recorrente</v>
      </c>
      <c r="AH4405" t="str">
        <f t="shared" si="100"/>
        <v/>
      </c>
    </row>
    <row r="4406" spans="1:34">
      <c r="A4406">
        <v>2026</v>
      </c>
      <c r="B4406">
        <v>5</v>
      </c>
      <c r="C4406" s="83">
        <v>10823345047</v>
      </c>
      <c r="D4406" t="s">
        <v>3780</v>
      </c>
      <c r="E4406">
        <v>60233047628</v>
      </c>
      <c r="F4406">
        <v>637758</v>
      </c>
      <c r="G4406">
        <v>55241250453</v>
      </c>
      <c r="H4406" t="s">
        <v>35</v>
      </c>
      <c r="I4406" s="36">
        <v>5466.24</v>
      </c>
      <c r="J4406" s="36">
        <v>5466.3</v>
      </c>
      <c r="K4406" s="85">
        <v>0</v>
      </c>
      <c r="L4406" s="36">
        <v>455.52499999999998</v>
      </c>
      <c r="M4406" s="36">
        <v>455.52499999999998</v>
      </c>
      <c r="N4406" s="36">
        <v>0</v>
      </c>
      <c r="O4406" s="36">
        <v>0</v>
      </c>
      <c r="P4406" t="s">
        <v>506</v>
      </c>
      <c r="Q4406" t="s">
        <v>300</v>
      </c>
      <c r="R4406" t="s">
        <v>300</v>
      </c>
      <c r="S4406" s="112">
        <v>46155</v>
      </c>
      <c r="T4406" s="112">
        <v>46155</v>
      </c>
      <c r="U4406" s="112"/>
      <c r="V4406" s="112">
        <v>46520</v>
      </c>
      <c r="W4406" t="s">
        <v>38</v>
      </c>
      <c r="X4406">
        <v>12</v>
      </c>
      <c r="Y4406" t="s">
        <v>49</v>
      </c>
      <c r="AA4406" t="s">
        <v>122</v>
      </c>
      <c r="AB4406">
        <v>12</v>
      </c>
      <c r="AC4406" t="s">
        <v>301</v>
      </c>
      <c r="AD4406" t="s">
        <v>85</v>
      </c>
      <c r="AE4406" t="s">
        <v>46</v>
      </c>
      <c r="AF4406" t="s">
        <v>44</v>
      </c>
      <c r="AG4406" t="str">
        <f t="shared" ref="AG4406:AG4469" si="101">IF(IFERROR(SEARCH("Recorrente",AA4406),0)&gt;0,"Recorrente",IF(AB4406=1,"À Vista",IF(AB4406&lt;=3,"CC 3x",IF(AB4406&lt;=12,"CC 12x",IF(AB4406&gt;12,"Recorrente","")))))</f>
        <v>Recorrente</v>
      </c>
      <c r="AH4406" t="str">
        <f t="shared" ref="AH4406:AH4469" si="102">IF(AND(SUMIF(E:E,E4406,I:I)&gt;=400000,Q4406="B2G"),"n","")</f>
        <v/>
      </c>
    </row>
    <row r="4407" spans="1:34">
      <c r="A4407">
        <v>2026</v>
      </c>
      <c r="B4407">
        <v>5</v>
      </c>
      <c r="C4407" s="83">
        <v>149135393027</v>
      </c>
      <c r="D4407" t="s">
        <v>3781</v>
      </c>
      <c r="E4407">
        <v>59841766756</v>
      </c>
      <c r="F4407">
        <v>616350</v>
      </c>
      <c r="G4407">
        <v>55647283378</v>
      </c>
      <c r="H4407" t="s">
        <v>35</v>
      </c>
      <c r="I4407" s="36">
        <v>5466.24</v>
      </c>
      <c r="J4407" s="36">
        <v>5466.24</v>
      </c>
      <c r="K4407" s="85">
        <v>0</v>
      </c>
      <c r="L4407" s="36">
        <v>455.52</v>
      </c>
      <c r="M4407" s="36">
        <v>0</v>
      </c>
      <c r="N4407" s="36">
        <v>2.4350000000000001</v>
      </c>
      <c r="O4407" s="36">
        <v>453.09</v>
      </c>
      <c r="P4407" t="s">
        <v>137</v>
      </c>
      <c r="Q4407" t="s">
        <v>111</v>
      </c>
      <c r="R4407" t="s">
        <v>111</v>
      </c>
      <c r="S4407" s="112">
        <v>46170</v>
      </c>
      <c r="T4407" s="112">
        <v>46170</v>
      </c>
      <c r="U4407" s="112">
        <v>46172</v>
      </c>
      <c r="V4407" s="112">
        <v>46537</v>
      </c>
      <c r="W4407" t="s">
        <v>38</v>
      </c>
      <c r="X4407">
        <v>12</v>
      </c>
      <c r="Y4407" t="s">
        <v>49</v>
      </c>
      <c r="Z4407" t="s">
        <v>81</v>
      </c>
      <c r="AA4407" t="s">
        <v>122</v>
      </c>
      <c r="AB4407">
        <v>12</v>
      </c>
      <c r="AC4407" t="s">
        <v>113</v>
      </c>
      <c r="AD4407" t="s">
        <v>85</v>
      </c>
      <c r="AE4407" t="s">
        <v>46</v>
      </c>
      <c r="AF4407" t="s">
        <v>44</v>
      </c>
      <c r="AG4407" t="str">
        <f t="shared" si="101"/>
        <v>Recorrente</v>
      </c>
      <c r="AH4407" t="str">
        <f t="shared" si="102"/>
        <v/>
      </c>
    </row>
    <row r="4408" spans="1:34">
      <c r="A4408">
        <v>2026</v>
      </c>
      <c r="B4408">
        <v>5</v>
      </c>
      <c r="C4408" s="83">
        <v>19485910921</v>
      </c>
      <c r="D4408" t="s">
        <v>3004</v>
      </c>
      <c r="E4408">
        <v>58926641474</v>
      </c>
      <c r="F4408">
        <v>629608</v>
      </c>
      <c r="G4408">
        <v>54703772600</v>
      </c>
      <c r="H4408" t="s">
        <v>35</v>
      </c>
      <c r="I4408" s="36">
        <v>5466.24</v>
      </c>
      <c r="J4408" s="36">
        <v>5466.24</v>
      </c>
      <c r="K4408" s="85">
        <v>0</v>
      </c>
      <c r="L4408" s="36">
        <v>455.52</v>
      </c>
      <c r="M4408" s="36">
        <v>0</v>
      </c>
      <c r="N4408" s="36">
        <v>2.5249999999999999</v>
      </c>
      <c r="O4408" s="36">
        <v>453</v>
      </c>
      <c r="P4408" t="s">
        <v>162</v>
      </c>
      <c r="Q4408" t="s">
        <v>111</v>
      </c>
      <c r="R4408" t="s">
        <v>111</v>
      </c>
      <c r="S4408" s="112">
        <v>46143</v>
      </c>
      <c r="T4408" s="112">
        <v>46143</v>
      </c>
      <c r="U4408" s="112">
        <v>46157</v>
      </c>
      <c r="V4408" s="112">
        <v>46522</v>
      </c>
      <c r="W4408" t="s">
        <v>38</v>
      </c>
      <c r="X4408">
        <v>12</v>
      </c>
      <c r="Y4408" t="s">
        <v>49</v>
      </c>
      <c r="Z4408" t="s">
        <v>81</v>
      </c>
      <c r="AA4408" t="s">
        <v>112</v>
      </c>
      <c r="AB4408">
        <v>12</v>
      </c>
      <c r="AC4408" t="s">
        <v>113</v>
      </c>
      <c r="AD4408" t="s">
        <v>85</v>
      </c>
      <c r="AE4408" t="s">
        <v>46</v>
      </c>
      <c r="AF4408" t="s">
        <v>44</v>
      </c>
      <c r="AG4408" t="str">
        <f t="shared" si="101"/>
        <v>CC 12x</v>
      </c>
      <c r="AH4408" t="str">
        <f t="shared" si="102"/>
        <v/>
      </c>
    </row>
    <row r="4409" spans="1:34">
      <c r="A4409">
        <v>2026</v>
      </c>
      <c r="B4409">
        <v>5</v>
      </c>
      <c r="C4409" s="83">
        <v>219819110769</v>
      </c>
      <c r="D4409" t="s">
        <v>3782</v>
      </c>
      <c r="E4409">
        <v>60193128836</v>
      </c>
      <c r="F4409">
        <v>637750</v>
      </c>
      <c r="G4409">
        <v>55237431159</v>
      </c>
      <c r="H4409" t="s">
        <v>35</v>
      </c>
      <c r="I4409" s="36">
        <v>5466.24</v>
      </c>
      <c r="J4409" s="36">
        <v>5466.3</v>
      </c>
      <c r="K4409" s="85">
        <v>0</v>
      </c>
      <c r="L4409" s="36">
        <v>455.52499999999998</v>
      </c>
      <c r="M4409" s="36">
        <v>455.52499999999998</v>
      </c>
      <c r="N4409" s="36">
        <v>0</v>
      </c>
      <c r="O4409" s="36">
        <v>0</v>
      </c>
      <c r="P4409" t="s">
        <v>3179</v>
      </c>
      <c r="Q4409" t="s">
        <v>300</v>
      </c>
      <c r="R4409" t="s">
        <v>300</v>
      </c>
      <c r="S4409" s="112">
        <v>46154</v>
      </c>
      <c r="T4409" s="112">
        <v>46154</v>
      </c>
      <c r="U4409" s="112"/>
      <c r="V4409" s="112">
        <v>46519</v>
      </c>
      <c r="W4409" t="s">
        <v>38</v>
      </c>
      <c r="X4409">
        <v>12</v>
      </c>
      <c r="Y4409" t="s">
        <v>49</v>
      </c>
      <c r="AA4409" t="s">
        <v>112</v>
      </c>
      <c r="AB4409">
        <v>12</v>
      </c>
      <c r="AC4409" t="s">
        <v>301</v>
      </c>
      <c r="AD4409" t="s">
        <v>85</v>
      </c>
      <c r="AE4409" t="s">
        <v>46</v>
      </c>
      <c r="AF4409" t="s">
        <v>44</v>
      </c>
      <c r="AG4409" t="str">
        <f t="shared" si="101"/>
        <v>CC 12x</v>
      </c>
      <c r="AH4409" t="str">
        <f t="shared" si="102"/>
        <v/>
      </c>
    </row>
    <row r="4410" spans="1:34">
      <c r="A4410">
        <v>2026</v>
      </c>
      <c r="B4410">
        <v>5</v>
      </c>
      <c r="C4410" s="83">
        <v>33774731866</v>
      </c>
      <c r="D4410" t="s">
        <v>3783</v>
      </c>
      <c r="E4410">
        <v>60649806372</v>
      </c>
      <c r="F4410">
        <v>629709</v>
      </c>
      <c r="G4410">
        <v>55623729942</v>
      </c>
      <c r="H4410" t="s">
        <v>35</v>
      </c>
      <c r="I4410" s="36">
        <v>5466.24</v>
      </c>
      <c r="J4410" s="36">
        <v>5466.24</v>
      </c>
      <c r="K4410" s="85">
        <v>0</v>
      </c>
      <c r="L4410" s="36">
        <v>455.52</v>
      </c>
      <c r="M4410" s="36">
        <v>0</v>
      </c>
      <c r="N4410" s="36">
        <v>0</v>
      </c>
      <c r="O4410" s="36">
        <v>455.52499999999998</v>
      </c>
      <c r="P4410" t="s">
        <v>110</v>
      </c>
      <c r="Q4410" t="s">
        <v>111</v>
      </c>
      <c r="R4410" t="s">
        <v>111</v>
      </c>
      <c r="S4410" s="112">
        <v>46168</v>
      </c>
      <c r="T4410" s="112">
        <v>46168</v>
      </c>
      <c r="U4410" s="112">
        <v>46163</v>
      </c>
      <c r="V4410" s="112">
        <v>46533</v>
      </c>
      <c r="W4410" t="s">
        <v>38</v>
      </c>
      <c r="X4410">
        <v>12</v>
      </c>
      <c r="Y4410" t="s">
        <v>49</v>
      </c>
      <c r="Z4410" t="s">
        <v>76</v>
      </c>
      <c r="AA4410" t="s">
        <v>122</v>
      </c>
      <c r="AB4410">
        <v>12</v>
      </c>
      <c r="AC4410" t="s">
        <v>113</v>
      </c>
      <c r="AD4410" t="s">
        <v>85</v>
      </c>
      <c r="AE4410" t="s">
        <v>46</v>
      </c>
      <c r="AF4410" t="s">
        <v>44</v>
      </c>
      <c r="AG4410" t="str">
        <f t="shared" si="101"/>
        <v>Recorrente</v>
      </c>
      <c r="AH4410" t="str">
        <f t="shared" si="102"/>
        <v/>
      </c>
    </row>
    <row r="4411" spans="1:34">
      <c r="A4411">
        <v>2026</v>
      </c>
      <c r="B4411">
        <v>5</v>
      </c>
      <c r="C4411" s="83">
        <v>35996552250</v>
      </c>
      <c r="D4411" t="s">
        <v>3784</v>
      </c>
      <c r="E4411">
        <v>60344581421</v>
      </c>
      <c r="F4411">
        <v>629950</v>
      </c>
      <c r="G4411">
        <v>55335129672</v>
      </c>
      <c r="H4411" t="s">
        <v>35</v>
      </c>
      <c r="I4411" s="36">
        <v>5466.24</v>
      </c>
      <c r="J4411" s="36">
        <v>5466.24</v>
      </c>
      <c r="K4411" s="85">
        <v>0</v>
      </c>
      <c r="L4411" s="36">
        <v>455.52</v>
      </c>
      <c r="M4411" s="36">
        <v>0</v>
      </c>
      <c r="N4411" s="36">
        <v>69.424999999999997</v>
      </c>
      <c r="O4411" s="36">
        <v>386.1</v>
      </c>
      <c r="P4411" t="s">
        <v>323</v>
      </c>
      <c r="Q4411" t="s">
        <v>191</v>
      </c>
      <c r="R4411" t="s">
        <v>191</v>
      </c>
      <c r="S4411" s="112">
        <v>46162</v>
      </c>
      <c r="T4411" s="112">
        <v>46162</v>
      </c>
      <c r="U4411" s="112">
        <v>46172</v>
      </c>
      <c r="V4411" s="112">
        <v>46537</v>
      </c>
      <c r="W4411" t="s">
        <v>38</v>
      </c>
      <c r="X4411">
        <v>12</v>
      </c>
      <c r="Y4411" t="s">
        <v>49</v>
      </c>
      <c r="Z4411" t="s">
        <v>81</v>
      </c>
      <c r="AA4411" t="s">
        <v>122</v>
      </c>
      <c r="AB4411">
        <v>12</v>
      </c>
      <c r="AC4411" t="s">
        <v>192</v>
      </c>
      <c r="AD4411" t="s">
        <v>85</v>
      </c>
      <c r="AE4411" t="s">
        <v>46</v>
      </c>
      <c r="AF4411" t="s">
        <v>44</v>
      </c>
      <c r="AG4411" t="str">
        <f t="shared" si="101"/>
        <v>Recorrente</v>
      </c>
      <c r="AH4411" t="str">
        <f t="shared" si="102"/>
        <v/>
      </c>
    </row>
    <row r="4412" spans="1:34">
      <c r="A4412">
        <v>2026</v>
      </c>
      <c r="B4412">
        <v>5</v>
      </c>
      <c r="C4412" s="83">
        <v>19486037324</v>
      </c>
      <c r="D4412" t="s">
        <v>3785</v>
      </c>
      <c r="E4412">
        <v>60014700969</v>
      </c>
      <c r="F4412">
        <v>271325</v>
      </c>
      <c r="G4412">
        <v>55272297620</v>
      </c>
      <c r="H4412" t="s">
        <v>35</v>
      </c>
      <c r="I4412" s="36">
        <v>5460.48</v>
      </c>
      <c r="J4412" s="36">
        <v>2730.24</v>
      </c>
      <c r="K4412" s="85">
        <v>2730.24</v>
      </c>
      <c r="L4412" s="36">
        <v>227.52</v>
      </c>
      <c r="M4412" s="36">
        <v>0</v>
      </c>
      <c r="N4412" s="36">
        <v>0</v>
      </c>
      <c r="O4412" s="36">
        <v>227.52500000000001</v>
      </c>
      <c r="P4412" t="s">
        <v>116</v>
      </c>
      <c r="Q4412" t="s">
        <v>111</v>
      </c>
      <c r="R4412" t="s">
        <v>111</v>
      </c>
      <c r="S4412" s="112">
        <v>46157</v>
      </c>
      <c r="T4412" s="112">
        <v>46157</v>
      </c>
      <c r="U4412" s="112">
        <v>46161</v>
      </c>
      <c r="V4412" s="112">
        <v>46892</v>
      </c>
      <c r="W4412" t="s">
        <v>56</v>
      </c>
      <c r="X4412">
        <v>24</v>
      </c>
      <c r="Y4412" t="s">
        <v>49</v>
      </c>
      <c r="Z4412" t="s">
        <v>81</v>
      </c>
      <c r="AA4412" t="s">
        <v>122</v>
      </c>
      <c r="AB4412">
        <v>24</v>
      </c>
      <c r="AC4412" t="s">
        <v>113</v>
      </c>
      <c r="AD4412" t="s">
        <v>140</v>
      </c>
      <c r="AE4412" t="s">
        <v>46</v>
      </c>
      <c r="AF4412" t="s">
        <v>119</v>
      </c>
      <c r="AG4412" t="str">
        <f t="shared" si="101"/>
        <v>Recorrente</v>
      </c>
      <c r="AH4412" t="str">
        <f t="shared" si="102"/>
        <v/>
      </c>
    </row>
    <row r="4413" spans="1:34">
      <c r="A4413">
        <v>2026</v>
      </c>
      <c r="B4413">
        <v>5</v>
      </c>
      <c r="C4413" s="83">
        <v>154562921268</v>
      </c>
      <c r="D4413" t="s">
        <v>3786</v>
      </c>
      <c r="E4413">
        <v>59998114927</v>
      </c>
      <c r="F4413">
        <v>629279</v>
      </c>
      <c r="G4413">
        <v>55059820369</v>
      </c>
      <c r="H4413" t="s">
        <v>35</v>
      </c>
      <c r="I4413" s="36">
        <v>5432.64</v>
      </c>
      <c r="J4413" s="36">
        <v>5432.64</v>
      </c>
      <c r="K4413" s="85">
        <v>0</v>
      </c>
      <c r="L4413" s="36">
        <v>452.72</v>
      </c>
      <c r="M4413" s="36">
        <v>0</v>
      </c>
      <c r="N4413" s="36">
        <v>65.722499999999997</v>
      </c>
      <c r="O4413" s="36">
        <v>387</v>
      </c>
      <c r="P4413" t="s">
        <v>110</v>
      </c>
      <c r="Q4413" t="s">
        <v>111</v>
      </c>
      <c r="R4413" t="s">
        <v>111</v>
      </c>
      <c r="S4413" s="112">
        <v>46147</v>
      </c>
      <c r="T4413" s="112">
        <v>46147</v>
      </c>
      <c r="U4413" s="112">
        <v>46147</v>
      </c>
      <c r="V4413" s="112">
        <v>46512</v>
      </c>
      <c r="W4413" t="s">
        <v>38</v>
      </c>
      <c r="X4413">
        <v>12</v>
      </c>
      <c r="Y4413" t="s">
        <v>49</v>
      </c>
      <c r="Z4413" t="s">
        <v>81</v>
      </c>
      <c r="AA4413" t="s">
        <v>112</v>
      </c>
      <c r="AB4413">
        <v>12</v>
      </c>
      <c r="AC4413" t="s">
        <v>113</v>
      </c>
      <c r="AD4413" t="s">
        <v>174</v>
      </c>
      <c r="AE4413" t="s">
        <v>43</v>
      </c>
      <c r="AF4413" t="s">
        <v>47</v>
      </c>
      <c r="AG4413" t="str">
        <f t="shared" si="101"/>
        <v>CC 12x</v>
      </c>
      <c r="AH4413" t="str">
        <f t="shared" si="102"/>
        <v/>
      </c>
    </row>
    <row r="4414" spans="1:34">
      <c r="A4414">
        <v>2026</v>
      </c>
      <c r="B4414">
        <v>5</v>
      </c>
      <c r="C4414" s="83">
        <v>32973953923</v>
      </c>
      <c r="D4414" t="s">
        <v>3787</v>
      </c>
      <c r="E4414">
        <v>58953174796</v>
      </c>
      <c r="F4414">
        <v>629285</v>
      </c>
      <c r="G4414">
        <v>55076407204</v>
      </c>
      <c r="H4414" t="s">
        <v>35</v>
      </c>
      <c r="I4414" s="36">
        <v>5432.64</v>
      </c>
      <c r="J4414" s="36">
        <v>5432.64</v>
      </c>
      <c r="K4414" s="85">
        <v>0</v>
      </c>
      <c r="L4414" s="36">
        <v>452.72</v>
      </c>
      <c r="M4414" s="36">
        <v>0</v>
      </c>
      <c r="N4414" s="36">
        <v>3.6225000000000001</v>
      </c>
      <c r="O4414" s="36">
        <v>449.1</v>
      </c>
      <c r="P4414" t="s">
        <v>110</v>
      </c>
      <c r="Q4414" t="s">
        <v>111</v>
      </c>
      <c r="R4414" t="s">
        <v>111</v>
      </c>
      <c r="S4414" s="112">
        <v>46148</v>
      </c>
      <c r="T4414" s="112">
        <v>46148</v>
      </c>
      <c r="U4414" s="112">
        <v>46147</v>
      </c>
      <c r="V4414" s="112">
        <v>46513</v>
      </c>
      <c r="W4414" t="s">
        <v>38</v>
      </c>
      <c r="X4414">
        <v>12</v>
      </c>
      <c r="Y4414" t="s">
        <v>49</v>
      </c>
      <c r="Z4414" t="s">
        <v>81</v>
      </c>
      <c r="AA4414" t="s">
        <v>112</v>
      </c>
      <c r="AB4414">
        <v>12</v>
      </c>
      <c r="AC4414" t="s">
        <v>113</v>
      </c>
      <c r="AD4414" t="s">
        <v>149</v>
      </c>
      <c r="AE4414" t="s">
        <v>43</v>
      </c>
      <c r="AF4414" t="s">
        <v>96</v>
      </c>
      <c r="AG4414" t="str">
        <f t="shared" si="101"/>
        <v>CC 12x</v>
      </c>
      <c r="AH4414" t="str">
        <f t="shared" si="102"/>
        <v/>
      </c>
    </row>
    <row r="4415" spans="1:34">
      <c r="A4415">
        <v>2026</v>
      </c>
      <c r="B4415">
        <v>5</v>
      </c>
      <c r="C4415" s="83">
        <v>169861022284</v>
      </c>
      <c r="D4415" t="s">
        <v>2038</v>
      </c>
      <c r="E4415">
        <v>59950779490</v>
      </c>
      <c r="F4415">
        <v>314085</v>
      </c>
      <c r="G4415">
        <v>55060539237</v>
      </c>
      <c r="H4415" t="s">
        <v>35</v>
      </c>
      <c r="I4415" s="36">
        <v>5400.84</v>
      </c>
      <c r="J4415" s="36">
        <v>5400.84</v>
      </c>
      <c r="K4415" s="85">
        <v>0</v>
      </c>
      <c r="L4415" s="36">
        <v>450.07</v>
      </c>
      <c r="M4415" s="36">
        <v>0</v>
      </c>
      <c r="N4415" s="36">
        <v>61.575000000000003</v>
      </c>
      <c r="O4415" s="36">
        <v>388.5</v>
      </c>
      <c r="P4415" t="s">
        <v>121</v>
      </c>
      <c r="Q4415" t="s">
        <v>111</v>
      </c>
      <c r="R4415" t="s">
        <v>111</v>
      </c>
      <c r="S4415" s="112">
        <v>46148</v>
      </c>
      <c r="T4415" s="112">
        <v>46148</v>
      </c>
      <c r="U4415" s="112">
        <v>46143</v>
      </c>
      <c r="V4415" s="112">
        <v>46513</v>
      </c>
      <c r="W4415" t="s">
        <v>38</v>
      </c>
      <c r="X4415">
        <v>12</v>
      </c>
      <c r="Y4415" t="s">
        <v>49</v>
      </c>
      <c r="Z4415" t="s">
        <v>81</v>
      </c>
      <c r="AA4415" t="s">
        <v>112</v>
      </c>
      <c r="AB4415">
        <v>12</v>
      </c>
      <c r="AC4415" t="s">
        <v>113</v>
      </c>
      <c r="AD4415" t="s">
        <v>149</v>
      </c>
      <c r="AE4415" t="s">
        <v>43</v>
      </c>
      <c r="AF4415" t="s">
        <v>96</v>
      </c>
      <c r="AG4415" t="str">
        <f t="shared" si="101"/>
        <v>CC 12x</v>
      </c>
      <c r="AH4415" t="str">
        <f t="shared" si="102"/>
        <v/>
      </c>
    </row>
    <row r="4416" spans="1:34">
      <c r="A4416">
        <v>2026</v>
      </c>
      <c r="B4416">
        <v>5</v>
      </c>
      <c r="C4416" s="83">
        <v>21645806137</v>
      </c>
      <c r="D4416" t="s">
        <v>3788</v>
      </c>
      <c r="E4416">
        <v>60036245067</v>
      </c>
      <c r="F4416">
        <v>629483</v>
      </c>
      <c r="G4416">
        <v>55155151453</v>
      </c>
      <c r="H4416" t="s">
        <v>35</v>
      </c>
      <c r="I4416" s="36">
        <v>5400.84</v>
      </c>
      <c r="J4416" s="36">
        <v>5400.84</v>
      </c>
      <c r="K4416" s="85">
        <v>0</v>
      </c>
      <c r="L4416" s="36">
        <v>450.07</v>
      </c>
      <c r="M4416" s="36">
        <v>0</v>
      </c>
      <c r="N4416" s="36">
        <v>0</v>
      </c>
      <c r="O4416" s="36">
        <v>450.07499999999999</v>
      </c>
      <c r="P4416" t="s">
        <v>162</v>
      </c>
      <c r="Q4416" t="s">
        <v>111</v>
      </c>
      <c r="R4416" t="s">
        <v>111</v>
      </c>
      <c r="S4416" s="112">
        <v>46153</v>
      </c>
      <c r="T4416" s="112">
        <v>46153</v>
      </c>
      <c r="U4416" s="112">
        <v>46151</v>
      </c>
      <c r="V4416" s="112">
        <v>46518</v>
      </c>
      <c r="W4416" t="s">
        <v>38</v>
      </c>
      <c r="X4416">
        <v>12</v>
      </c>
      <c r="Y4416" t="s">
        <v>49</v>
      </c>
      <c r="Z4416" t="s">
        <v>81</v>
      </c>
      <c r="AA4416" t="s">
        <v>117</v>
      </c>
      <c r="AB4416">
        <v>1</v>
      </c>
      <c r="AC4416" t="s">
        <v>113</v>
      </c>
      <c r="AD4416" t="s">
        <v>158</v>
      </c>
      <c r="AE4416" t="s">
        <v>43</v>
      </c>
      <c r="AF4416" t="s">
        <v>47</v>
      </c>
      <c r="AG4416" t="str">
        <f t="shared" si="101"/>
        <v>À Vista</v>
      </c>
      <c r="AH4416" t="str">
        <f t="shared" si="102"/>
        <v/>
      </c>
    </row>
    <row r="4417" spans="1:34">
      <c r="A4417">
        <v>2026</v>
      </c>
      <c r="B4417">
        <v>5</v>
      </c>
      <c r="C4417" s="83">
        <v>19485990963</v>
      </c>
      <c r="D4417" t="s">
        <v>3789</v>
      </c>
      <c r="E4417">
        <v>60192063142</v>
      </c>
      <c r="F4417">
        <v>637717</v>
      </c>
      <c r="G4417">
        <v>55191175289</v>
      </c>
      <c r="H4417" t="s">
        <v>35</v>
      </c>
      <c r="I4417" s="36">
        <v>5400.12</v>
      </c>
      <c r="J4417" s="36">
        <v>5400.1289999999999</v>
      </c>
      <c r="K4417" s="85">
        <v>0</v>
      </c>
      <c r="L4417" s="36">
        <v>450.01074999999997</v>
      </c>
      <c r="M4417" s="36">
        <v>450.01074999999997</v>
      </c>
      <c r="N4417" s="36">
        <v>0</v>
      </c>
      <c r="O4417" s="36">
        <v>0</v>
      </c>
      <c r="P4417" t="s">
        <v>3642</v>
      </c>
      <c r="Q4417" t="s">
        <v>300</v>
      </c>
      <c r="R4417" t="s">
        <v>300</v>
      </c>
      <c r="S4417" s="112">
        <v>46153</v>
      </c>
      <c r="T4417" s="112">
        <v>46153</v>
      </c>
      <c r="U4417" s="112"/>
      <c r="V4417" s="112">
        <v>46519</v>
      </c>
      <c r="W4417" t="s">
        <v>38</v>
      </c>
      <c r="X4417">
        <v>12</v>
      </c>
      <c r="Y4417" t="s">
        <v>49</v>
      </c>
      <c r="AA4417" t="s">
        <v>112</v>
      </c>
      <c r="AB4417">
        <v>12</v>
      </c>
      <c r="AC4417" t="s">
        <v>301</v>
      </c>
      <c r="AD4417" t="s">
        <v>85</v>
      </c>
      <c r="AE4417" t="s">
        <v>46</v>
      </c>
      <c r="AF4417" t="s">
        <v>44</v>
      </c>
      <c r="AG4417" t="str">
        <f t="shared" si="101"/>
        <v>CC 12x</v>
      </c>
      <c r="AH4417" t="str">
        <f t="shared" si="102"/>
        <v/>
      </c>
    </row>
    <row r="4418" spans="1:34">
      <c r="A4418">
        <v>2026</v>
      </c>
      <c r="B4418">
        <v>5</v>
      </c>
      <c r="C4418" s="83">
        <v>19435681579</v>
      </c>
      <c r="D4418" t="s">
        <v>3613</v>
      </c>
      <c r="E4418">
        <v>55389535876</v>
      </c>
      <c r="F4418">
        <v>523711</v>
      </c>
      <c r="G4418">
        <v>55647277576</v>
      </c>
      <c r="H4418" t="s">
        <v>35</v>
      </c>
      <c r="I4418" s="36">
        <v>5384.4</v>
      </c>
      <c r="J4418" s="36">
        <v>402.9</v>
      </c>
      <c r="K4418" s="85">
        <v>4981.5</v>
      </c>
      <c r="L4418" s="36">
        <v>33.575000000000003</v>
      </c>
      <c r="M4418" s="36">
        <v>0</v>
      </c>
      <c r="N4418" s="36">
        <v>33.575000000000003</v>
      </c>
      <c r="O4418" s="36">
        <v>0</v>
      </c>
      <c r="P4418" t="s">
        <v>1165</v>
      </c>
      <c r="Q4418" t="s">
        <v>3558</v>
      </c>
      <c r="R4418" t="s">
        <v>79</v>
      </c>
      <c r="S4418" s="112">
        <v>46169</v>
      </c>
      <c r="T4418" s="112">
        <v>46169</v>
      </c>
      <c r="U4418" s="112">
        <v>46170</v>
      </c>
      <c r="V4418" s="112">
        <v>46573</v>
      </c>
      <c r="W4418" t="s">
        <v>38</v>
      </c>
      <c r="X4418">
        <v>14</v>
      </c>
      <c r="Y4418" t="s">
        <v>49</v>
      </c>
      <c r="Z4418" t="s">
        <v>324</v>
      </c>
      <c r="AA4418" t="s">
        <v>82</v>
      </c>
      <c r="AB4418">
        <v>1</v>
      </c>
      <c r="AC4418" t="s">
        <v>83</v>
      </c>
      <c r="AD4418" t="s">
        <v>70</v>
      </c>
      <c r="AE4418" t="s">
        <v>43</v>
      </c>
      <c r="AF4418" t="s">
        <v>47</v>
      </c>
      <c r="AG4418" t="str">
        <f t="shared" si="101"/>
        <v>À Vista</v>
      </c>
      <c r="AH4418" t="str">
        <f t="shared" si="102"/>
        <v/>
      </c>
    </row>
    <row r="4419" spans="1:34">
      <c r="A4419">
        <v>2026</v>
      </c>
      <c r="B4419">
        <v>5</v>
      </c>
      <c r="C4419" s="83">
        <v>19435548449</v>
      </c>
      <c r="D4419" t="s">
        <v>3790</v>
      </c>
      <c r="E4419">
        <v>51891744581</v>
      </c>
      <c r="F4419">
        <v>630250</v>
      </c>
      <c r="G4419">
        <v>55478996400</v>
      </c>
      <c r="H4419" t="s">
        <v>35</v>
      </c>
      <c r="I4419" s="36">
        <v>5352</v>
      </c>
      <c r="J4419" s="36">
        <v>5352</v>
      </c>
      <c r="K4419" s="85">
        <v>0</v>
      </c>
      <c r="L4419" s="36">
        <v>446</v>
      </c>
      <c r="M4419" s="36">
        <v>0</v>
      </c>
      <c r="N4419" s="36">
        <v>26</v>
      </c>
      <c r="O4419" s="36">
        <v>420</v>
      </c>
      <c r="P4419" t="s">
        <v>1243</v>
      </c>
      <c r="Q4419" t="s">
        <v>3558</v>
      </c>
      <c r="R4419" t="s">
        <v>37</v>
      </c>
      <c r="S4419" s="112">
        <v>46163</v>
      </c>
      <c r="T4419" s="112">
        <v>46163</v>
      </c>
      <c r="U4419" s="112">
        <v>46186</v>
      </c>
      <c r="V4419" s="112">
        <v>46551</v>
      </c>
      <c r="W4419" t="s">
        <v>38</v>
      </c>
      <c r="X4419">
        <v>12</v>
      </c>
      <c r="Y4419" t="s">
        <v>49</v>
      </c>
      <c r="Z4419" t="s">
        <v>76</v>
      </c>
      <c r="AA4419" t="s">
        <v>40</v>
      </c>
      <c r="AB4419">
        <v>1</v>
      </c>
      <c r="AC4419" t="s">
        <v>41</v>
      </c>
      <c r="AD4419" t="s">
        <v>53</v>
      </c>
      <c r="AE4419" t="s">
        <v>43</v>
      </c>
      <c r="AF4419" t="s">
        <v>44</v>
      </c>
      <c r="AG4419" t="str">
        <f t="shared" si="101"/>
        <v>À Vista</v>
      </c>
      <c r="AH4419" t="str">
        <f t="shared" si="102"/>
        <v/>
      </c>
    </row>
    <row r="4420" spans="1:34">
      <c r="A4420">
        <v>2026</v>
      </c>
      <c r="B4420">
        <v>5</v>
      </c>
      <c r="C4420" s="83">
        <v>19435548449</v>
      </c>
      <c r="D4420" t="s">
        <v>3790</v>
      </c>
      <c r="E4420">
        <v>51891744581</v>
      </c>
      <c r="F4420">
        <v>630250</v>
      </c>
      <c r="G4420">
        <v>55478996401</v>
      </c>
      <c r="H4420" t="s">
        <v>35</v>
      </c>
      <c r="I4420" s="36">
        <v>5352</v>
      </c>
      <c r="J4420" s="36">
        <v>5352</v>
      </c>
      <c r="K4420" s="85">
        <v>0</v>
      </c>
      <c r="L4420" s="36">
        <v>446</v>
      </c>
      <c r="M4420" s="36">
        <v>0</v>
      </c>
      <c r="N4420" s="36">
        <v>26</v>
      </c>
      <c r="O4420" s="36">
        <v>420</v>
      </c>
      <c r="P4420" t="s">
        <v>1243</v>
      </c>
      <c r="Q4420" t="s">
        <v>3558</v>
      </c>
      <c r="R4420" t="s">
        <v>37</v>
      </c>
      <c r="S4420" s="112">
        <v>46163</v>
      </c>
      <c r="T4420" s="112">
        <v>46163</v>
      </c>
      <c r="U4420" s="112">
        <v>46186</v>
      </c>
      <c r="V4420" s="112">
        <v>46551</v>
      </c>
      <c r="W4420" t="s">
        <v>38</v>
      </c>
      <c r="X4420">
        <v>12</v>
      </c>
      <c r="Y4420" t="s">
        <v>49</v>
      </c>
      <c r="Z4420" t="s">
        <v>76</v>
      </c>
      <c r="AA4420" t="s">
        <v>40</v>
      </c>
      <c r="AB4420">
        <v>1</v>
      </c>
      <c r="AC4420" t="s">
        <v>41</v>
      </c>
      <c r="AD4420" t="s">
        <v>54</v>
      </c>
      <c r="AE4420" t="s">
        <v>46</v>
      </c>
      <c r="AF4420" t="s">
        <v>44</v>
      </c>
      <c r="AG4420" t="str">
        <f t="shared" si="101"/>
        <v>À Vista</v>
      </c>
      <c r="AH4420" t="str">
        <f t="shared" si="102"/>
        <v/>
      </c>
    </row>
    <row r="4421" spans="1:34">
      <c r="A4421">
        <v>2026</v>
      </c>
      <c r="B4421">
        <v>5</v>
      </c>
      <c r="C4421" s="83">
        <v>183807034786</v>
      </c>
      <c r="D4421" t="s">
        <v>3791</v>
      </c>
      <c r="E4421">
        <v>51613313591</v>
      </c>
      <c r="F4421">
        <v>637846</v>
      </c>
      <c r="G4421">
        <v>55333167750</v>
      </c>
      <c r="H4421" t="s">
        <v>35</v>
      </c>
      <c r="I4421" s="36">
        <v>5346</v>
      </c>
      <c r="J4421" s="36">
        <v>5346</v>
      </c>
      <c r="K4421" s="85">
        <v>0</v>
      </c>
      <c r="L4421" s="36">
        <v>445.5</v>
      </c>
      <c r="M4421" s="36">
        <v>445.5</v>
      </c>
      <c r="N4421" s="36">
        <v>0</v>
      </c>
      <c r="O4421" s="36">
        <v>0</v>
      </c>
      <c r="P4421" t="s">
        <v>511</v>
      </c>
      <c r="Q4421" t="s">
        <v>300</v>
      </c>
      <c r="R4421" t="s">
        <v>300</v>
      </c>
      <c r="S4421" s="112">
        <v>46161</v>
      </c>
      <c r="T4421" s="112">
        <v>46161</v>
      </c>
      <c r="U4421" s="112"/>
      <c r="V4421" s="112">
        <v>46526</v>
      </c>
      <c r="W4421" t="s">
        <v>38</v>
      </c>
      <c r="X4421">
        <v>12</v>
      </c>
      <c r="Y4421" t="s">
        <v>49</v>
      </c>
      <c r="AA4421" t="s">
        <v>122</v>
      </c>
      <c r="AB4421">
        <v>12</v>
      </c>
      <c r="AC4421" t="s">
        <v>301</v>
      </c>
      <c r="AD4421" t="s">
        <v>85</v>
      </c>
      <c r="AE4421" t="s">
        <v>46</v>
      </c>
      <c r="AF4421" t="s">
        <v>44</v>
      </c>
      <c r="AG4421" t="str">
        <f t="shared" si="101"/>
        <v>Recorrente</v>
      </c>
      <c r="AH4421" t="str">
        <f t="shared" si="102"/>
        <v/>
      </c>
    </row>
    <row r="4422" spans="1:34">
      <c r="A4422">
        <v>2026</v>
      </c>
      <c r="B4422">
        <v>5</v>
      </c>
      <c r="C4422" s="83">
        <v>54835535969</v>
      </c>
      <c r="D4422" t="s">
        <v>3792</v>
      </c>
      <c r="E4422">
        <v>60077799835</v>
      </c>
      <c r="F4422">
        <v>637652</v>
      </c>
      <c r="G4422">
        <v>55155378265</v>
      </c>
      <c r="H4422" t="s">
        <v>35</v>
      </c>
      <c r="I4422" s="36">
        <v>5293.44</v>
      </c>
      <c r="J4422" s="36">
        <v>5293.44</v>
      </c>
      <c r="K4422" s="85">
        <v>0</v>
      </c>
      <c r="L4422" s="36">
        <v>441.12</v>
      </c>
      <c r="M4422" s="36">
        <v>441.12</v>
      </c>
      <c r="N4422" s="36">
        <v>0</v>
      </c>
      <c r="O4422" s="36">
        <v>0</v>
      </c>
      <c r="P4422" t="s">
        <v>3642</v>
      </c>
      <c r="Q4422" t="s">
        <v>300</v>
      </c>
      <c r="R4422" t="s">
        <v>300</v>
      </c>
      <c r="S4422" s="112">
        <v>46150</v>
      </c>
      <c r="T4422" s="112">
        <v>46150</v>
      </c>
      <c r="V4422" s="112">
        <v>46515</v>
      </c>
      <c r="W4422" t="s">
        <v>38</v>
      </c>
      <c r="X4422">
        <v>12</v>
      </c>
      <c r="Y4422" t="s">
        <v>49</v>
      </c>
      <c r="AA4422" t="s">
        <v>112</v>
      </c>
      <c r="AB4422">
        <v>12</v>
      </c>
      <c r="AC4422" t="s">
        <v>301</v>
      </c>
      <c r="AD4422" t="s">
        <v>138</v>
      </c>
      <c r="AE4422" t="s">
        <v>135</v>
      </c>
      <c r="AF4422" t="s">
        <v>119</v>
      </c>
      <c r="AG4422" t="str">
        <f t="shared" si="101"/>
        <v>CC 12x</v>
      </c>
      <c r="AH4422" t="str">
        <f t="shared" si="102"/>
        <v/>
      </c>
    </row>
    <row r="4423" spans="1:34">
      <c r="A4423">
        <v>2026</v>
      </c>
      <c r="B4423">
        <v>5</v>
      </c>
      <c r="C4423" s="83">
        <v>2106437</v>
      </c>
      <c r="D4423" t="s">
        <v>3793</v>
      </c>
      <c r="E4423">
        <v>60327189105</v>
      </c>
      <c r="F4423">
        <v>271556</v>
      </c>
      <c r="G4423">
        <v>55323176310</v>
      </c>
      <c r="H4423" t="s">
        <v>35</v>
      </c>
      <c r="I4423" s="36">
        <v>5187.12</v>
      </c>
      <c r="J4423" s="36">
        <v>3650.76</v>
      </c>
      <c r="K4423" s="85">
        <v>1536.36</v>
      </c>
      <c r="L4423" s="36">
        <v>304.23</v>
      </c>
      <c r="M4423" s="36">
        <v>0</v>
      </c>
      <c r="N4423" s="36">
        <v>304.23</v>
      </c>
      <c r="O4423" s="36">
        <v>0</v>
      </c>
      <c r="P4423" t="s">
        <v>804</v>
      </c>
      <c r="Q4423" t="s">
        <v>191</v>
      </c>
      <c r="R4423" t="s">
        <v>191</v>
      </c>
      <c r="S4423" s="112">
        <v>46160</v>
      </c>
      <c r="T4423" s="112">
        <v>46160</v>
      </c>
      <c r="U4423" s="112">
        <v>46679</v>
      </c>
      <c r="V4423" s="112">
        <v>46679</v>
      </c>
      <c r="W4423" t="s">
        <v>56</v>
      </c>
      <c r="X4423">
        <v>17</v>
      </c>
      <c r="Y4423" t="s">
        <v>49</v>
      </c>
      <c r="Z4423" t="s">
        <v>324</v>
      </c>
      <c r="AA4423" t="s">
        <v>122</v>
      </c>
      <c r="AB4423">
        <v>17</v>
      </c>
      <c r="AC4423" t="s">
        <v>192</v>
      </c>
      <c r="AD4423" t="s">
        <v>134</v>
      </c>
      <c r="AE4423" t="s">
        <v>135</v>
      </c>
      <c r="AF4423" t="s">
        <v>44</v>
      </c>
      <c r="AG4423" t="str">
        <f t="shared" si="101"/>
        <v>Recorrente</v>
      </c>
      <c r="AH4423" t="str">
        <f t="shared" si="102"/>
        <v/>
      </c>
    </row>
    <row r="4424" spans="1:34">
      <c r="A4424">
        <v>2026</v>
      </c>
      <c r="B4424">
        <v>5</v>
      </c>
      <c r="C4424" s="83">
        <v>19435486057</v>
      </c>
      <c r="D4424" t="s">
        <v>3794</v>
      </c>
      <c r="E4424">
        <v>52945007956</v>
      </c>
      <c r="F4424">
        <v>630599</v>
      </c>
      <c r="G4424">
        <v>55660944802</v>
      </c>
      <c r="H4424" t="s">
        <v>35</v>
      </c>
      <c r="I4424" s="36">
        <v>5186.82</v>
      </c>
      <c r="J4424" s="36">
        <v>5186.82</v>
      </c>
      <c r="K4424" s="85">
        <v>0</v>
      </c>
      <c r="L4424" s="36">
        <v>432.23500000000001</v>
      </c>
      <c r="M4424" s="36">
        <v>0</v>
      </c>
      <c r="N4424" s="36">
        <v>12.234999999999999</v>
      </c>
      <c r="O4424" s="36">
        <v>420</v>
      </c>
      <c r="P4424" t="s">
        <v>75</v>
      </c>
      <c r="Q4424" t="s">
        <v>3558</v>
      </c>
      <c r="R4424" t="s">
        <v>37</v>
      </c>
      <c r="S4424" s="112">
        <v>46170</v>
      </c>
      <c r="T4424" s="112">
        <v>46170</v>
      </c>
      <c r="U4424" s="112">
        <v>46204</v>
      </c>
      <c r="V4424" s="112">
        <v>46569</v>
      </c>
      <c r="W4424" t="s">
        <v>38</v>
      </c>
      <c r="X4424">
        <v>12</v>
      </c>
      <c r="Y4424" t="s">
        <v>49</v>
      </c>
      <c r="Z4424" t="s">
        <v>76</v>
      </c>
      <c r="AA4424" t="s">
        <v>40</v>
      </c>
      <c r="AB4424">
        <v>1</v>
      </c>
      <c r="AC4424" t="s">
        <v>41</v>
      </c>
      <c r="AD4424" t="s">
        <v>54</v>
      </c>
      <c r="AE4424" t="s">
        <v>46</v>
      </c>
      <c r="AF4424" t="s">
        <v>44</v>
      </c>
      <c r="AG4424" t="str">
        <f t="shared" si="101"/>
        <v>À Vista</v>
      </c>
      <c r="AH4424" t="str">
        <f t="shared" si="102"/>
        <v/>
      </c>
    </row>
    <row r="4425" spans="1:34">
      <c r="A4425">
        <v>2026</v>
      </c>
      <c r="B4425">
        <v>5</v>
      </c>
      <c r="C4425" s="83">
        <v>19435486057</v>
      </c>
      <c r="D4425" t="s">
        <v>3794</v>
      </c>
      <c r="E4425">
        <v>52945007956</v>
      </c>
      <c r="F4425">
        <v>630599</v>
      </c>
      <c r="G4425">
        <v>55660944803</v>
      </c>
      <c r="H4425" t="s">
        <v>35</v>
      </c>
      <c r="I4425" s="36">
        <v>5186.82</v>
      </c>
      <c r="J4425" s="36">
        <v>5186.82</v>
      </c>
      <c r="K4425" s="85">
        <v>0</v>
      </c>
      <c r="L4425" s="36">
        <v>432.23500000000001</v>
      </c>
      <c r="M4425" s="36">
        <v>0</v>
      </c>
      <c r="N4425" s="36">
        <v>12.234999999999999</v>
      </c>
      <c r="O4425" s="36">
        <v>420</v>
      </c>
      <c r="P4425" t="s">
        <v>75</v>
      </c>
      <c r="Q4425" t="s">
        <v>3558</v>
      </c>
      <c r="R4425" t="s">
        <v>37</v>
      </c>
      <c r="S4425" s="112">
        <v>46170</v>
      </c>
      <c r="T4425" s="112">
        <v>46170</v>
      </c>
      <c r="U4425" s="112">
        <v>46204</v>
      </c>
      <c r="V4425" s="112">
        <v>46569</v>
      </c>
      <c r="W4425" t="s">
        <v>38</v>
      </c>
      <c r="X4425">
        <v>12</v>
      </c>
      <c r="Y4425" t="s">
        <v>49</v>
      </c>
      <c r="Z4425" t="s">
        <v>76</v>
      </c>
      <c r="AA4425" t="s">
        <v>40</v>
      </c>
      <c r="AB4425">
        <v>1</v>
      </c>
      <c r="AC4425" t="s">
        <v>41</v>
      </c>
      <c r="AD4425" t="s">
        <v>53</v>
      </c>
      <c r="AE4425" t="s">
        <v>43</v>
      </c>
      <c r="AF4425" t="s">
        <v>44</v>
      </c>
      <c r="AG4425" t="str">
        <f t="shared" si="101"/>
        <v>À Vista</v>
      </c>
      <c r="AH4425" t="str">
        <f t="shared" si="102"/>
        <v/>
      </c>
    </row>
    <row r="4426" spans="1:34">
      <c r="A4426">
        <v>2026</v>
      </c>
      <c r="B4426">
        <v>5</v>
      </c>
      <c r="C4426" s="83">
        <v>153129691243</v>
      </c>
      <c r="D4426" t="s">
        <v>3795</v>
      </c>
      <c r="E4426">
        <v>59238061711</v>
      </c>
      <c r="F4426">
        <v>629065</v>
      </c>
      <c r="G4426">
        <v>54881238429</v>
      </c>
      <c r="H4426" t="s">
        <v>35</v>
      </c>
      <c r="I4426" s="36">
        <v>5183.04</v>
      </c>
      <c r="J4426" s="36">
        <v>5183.04</v>
      </c>
      <c r="K4426" s="85">
        <v>0</v>
      </c>
      <c r="L4426" s="36">
        <v>431.92</v>
      </c>
      <c r="M4426" s="36">
        <v>0</v>
      </c>
      <c r="N4426" s="36">
        <v>129.92399499999999</v>
      </c>
      <c r="O4426" s="36">
        <v>302</v>
      </c>
      <c r="P4426" t="s">
        <v>116</v>
      </c>
      <c r="Q4426" t="s">
        <v>111</v>
      </c>
      <c r="R4426" t="s">
        <v>111</v>
      </c>
      <c r="S4426" s="112">
        <v>46143</v>
      </c>
      <c r="T4426" s="112">
        <v>46143</v>
      </c>
      <c r="U4426" s="112">
        <v>46141</v>
      </c>
      <c r="V4426" s="112">
        <v>46508</v>
      </c>
      <c r="W4426" t="s">
        <v>38</v>
      </c>
      <c r="X4426">
        <v>13</v>
      </c>
      <c r="Y4426" t="s">
        <v>49</v>
      </c>
      <c r="Z4426" t="s">
        <v>81</v>
      </c>
      <c r="AA4426" t="s">
        <v>122</v>
      </c>
      <c r="AB4426">
        <v>12</v>
      </c>
      <c r="AC4426" t="s">
        <v>113</v>
      </c>
      <c r="AD4426" t="s">
        <v>125</v>
      </c>
      <c r="AE4426" t="s">
        <v>43</v>
      </c>
      <c r="AF4426" t="s">
        <v>47</v>
      </c>
      <c r="AG4426" t="str">
        <f t="shared" si="101"/>
        <v>Recorrente</v>
      </c>
      <c r="AH4426" t="str">
        <f t="shared" si="102"/>
        <v/>
      </c>
    </row>
    <row r="4427" spans="1:34">
      <c r="A4427">
        <v>2026</v>
      </c>
      <c r="B4427">
        <v>5</v>
      </c>
      <c r="C4427" s="83">
        <v>112426243084</v>
      </c>
      <c r="D4427" t="s">
        <v>3796</v>
      </c>
      <c r="E4427">
        <v>59172950683</v>
      </c>
      <c r="F4427">
        <v>315114</v>
      </c>
      <c r="G4427">
        <v>55340118112</v>
      </c>
      <c r="H4427" t="s">
        <v>35</v>
      </c>
      <c r="I4427" s="36">
        <v>5178.6000000000004</v>
      </c>
      <c r="J4427" s="36">
        <v>5178.6000000000004</v>
      </c>
      <c r="K4427" s="85">
        <v>0</v>
      </c>
      <c r="L4427" s="36">
        <v>431.55</v>
      </c>
      <c r="M4427" s="36">
        <v>0</v>
      </c>
      <c r="N4427" s="36">
        <v>23.85</v>
      </c>
      <c r="O4427" s="36">
        <v>407.7</v>
      </c>
      <c r="P4427" t="s">
        <v>110</v>
      </c>
      <c r="Q4427" t="s">
        <v>111</v>
      </c>
      <c r="R4427" t="s">
        <v>111</v>
      </c>
      <c r="S4427" s="112">
        <v>46161</v>
      </c>
      <c r="T4427" s="112">
        <v>46161</v>
      </c>
      <c r="U4427" s="112">
        <v>46157</v>
      </c>
      <c r="V4427" s="112">
        <v>46526</v>
      </c>
      <c r="W4427" t="s">
        <v>38</v>
      </c>
      <c r="X4427">
        <v>12</v>
      </c>
      <c r="Y4427" t="s">
        <v>49</v>
      </c>
      <c r="Z4427" t="s">
        <v>81</v>
      </c>
      <c r="AA4427" t="s">
        <v>122</v>
      </c>
      <c r="AB4427">
        <v>12</v>
      </c>
      <c r="AC4427" t="s">
        <v>113</v>
      </c>
      <c r="AD4427" t="s">
        <v>85</v>
      </c>
      <c r="AE4427" t="s">
        <v>46</v>
      </c>
      <c r="AF4427" t="s">
        <v>44</v>
      </c>
      <c r="AG4427" t="str">
        <f t="shared" si="101"/>
        <v>Recorrente</v>
      </c>
      <c r="AH4427" t="str">
        <f t="shared" si="102"/>
        <v/>
      </c>
    </row>
    <row r="4428" spans="1:34">
      <c r="A4428">
        <v>2026</v>
      </c>
      <c r="B4428">
        <v>5</v>
      </c>
      <c r="C4428" s="83">
        <v>119697800323</v>
      </c>
      <c r="D4428" t="s">
        <v>3797</v>
      </c>
      <c r="E4428">
        <v>58448099412</v>
      </c>
      <c r="F4428">
        <v>314996</v>
      </c>
      <c r="G4428">
        <v>53641050444</v>
      </c>
      <c r="H4428" t="s">
        <v>35</v>
      </c>
      <c r="I4428" s="36">
        <v>5178.6000000000004</v>
      </c>
      <c r="J4428" s="36">
        <v>5178.6000000000004</v>
      </c>
      <c r="K4428" s="85">
        <v>0</v>
      </c>
      <c r="L4428" s="36">
        <v>431.55</v>
      </c>
      <c r="M4428" s="36">
        <v>0</v>
      </c>
      <c r="N4428" s="36">
        <v>91.8</v>
      </c>
      <c r="O4428" s="36">
        <v>339.75</v>
      </c>
      <c r="P4428" t="s">
        <v>165</v>
      </c>
      <c r="Q4428" t="s">
        <v>166</v>
      </c>
      <c r="R4428" t="s">
        <v>166</v>
      </c>
      <c r="S4428" s="112">
        <v>46153</v>
      </c>
      <c r="T4428" s="112">
        <v>46153</v>
      </c>
      <c r="U4428" s="112">
        <v>46153</v>
      </c>
      <c r="V4428" s="112">
        <v>46518</v>
      </c>
      <c r="W4428" t="s">
        <v>38</v>
      </c>
      <c r="X4428">
        <v>12</v>
      </c>
      <c r="Y4428" t="s">
        <v>49</v>
      </c>
      <c r="Z4428" t="s">
        <v>81</v>
      </c>
      <c r="AA4428" t="s">
        <v>112</v>
      </c>
      <c r="AB4428">
        <v>12</v>
      </c>
      <c r="AC4428" t="s">
        <v>166</v>
      </c>
      <c r="AD4428" t="s">
        <v>85</v>
      </c>
      <c r="AE4428" t="s">
        <v>46</v>
      </c>
      <c r="AF4428" t="s">
        <v>44</v>
      </c>
      <c r="AG4428" t="str">
        <f t="shared" si="101"/>
        <v>CC 12x</v>
      </c>
      <c r="AH4428" t="str">
        <f t="shared" si="102"/>
        <v/>
      </c>
    </row>
    <row r="4429" spans="1:34">
      <c r="A4429">
        <v>2026</v>
      </c>
      <c r="B4429">
        <v>5</v>
      </c>
      <c r="C4429" s="83">
        <v>119856468269</v>
      </c>
      <c r="D4429" t="s">
        <v>3798</v>
      </c>
      <c r="E4429">
        <v>59163879190</v>
      </c>
      <c r="F4429">
        <v>315145</v>
      </c>
      <c r="G4429">
        <v>55252126112</v>
      </c>
      <c r="H4429" t="s">
        <v>35</v>
      </c>
      <c r="I4429" s="36">
        <v>5178.6000000000004</v>
      </c>
      <c r="J4429" s="36">
        <v>5178.6000000000004</v>
      </c>
      <c r="K4429" s="85">
        <v>0</v>
      </c>
      <c r="L4429" s="36">
        <v>431.55</v>
      </c>
      <c r="M4429" s="36">
        <v>0</v>
      </c>
      <c r="N4429" s="36">
        <v>46.5</v>
      </c>
      <c r="O4429" s="36">
        <v>385.05</v>
      </c>
      <c r="P4429" t="s">
        <v>121</v>
      </c>
      <c r="Q4429" t="s">
        <v>111</v>
      </c>
      <c r="R4429" t="s">
        <v>111</v>
      </c>
      <c r="S4429" s="112">
        <v>46156</v>
      </c>
      <c r="T4429" s="112">
        <v>46156</v>
      </c>
      <c r="U4429" s="112">
        <v>46153</v>
      </c>
      <c r="V4429" s="112">
        <v>46521</v>
      </c>
      <c r="W4429" t="s">
        <v>38</v>
      </c>
      <c r="X4429">
        <v>12</v>
      </c>
      <c r="Y4429" t="s">
        <v>49</v>
      </c>
      <c r="Z4429" t="s">
        <v>81</v>
      </c>
      <c r="AA4429" t="s">
        <v>112</v>
      </c>
      <c r="AB4429">
        <v>12</v>
      </c>
      <c r="AC4429" t="s">
        <v>113</v>
      </c>
      <c r="AD4429" t="s">
        <v>85</v>
      </c>
      <c r="AE4429" t="s">
        <v>46</v>
      </c>
      <c r="AF4429" t="s">
        <v>44</v>
      </c>
      <c r="AG4429" t="str">
        <f t="shared" si="101"/>
        <v>CC 12x</v>
      </c>
      <c r="AH4429" t="str">
        <f t="shared" si="102"/>
        <v/>
      </c>
    </row>
    <row r="4430" spans="1:34">
      <c r="A4430">
        <v>2026</v>
      </c>
      <c r="B4430">
        <v>5</v>
      </c>
      <c r="C4430" s="83">
        <v>122263416229</v>
      </c>
      <c r="D4430" t="s">
        <v>2800</v>
      </c>
      <c r="E4430">
        <v>60207743007</v>
      </c>
      <c r="F4430">
        <v>637754</v>
      </c>
      <c r="G4430">
        <v>55237470598</v>
      </c>
      <c r="H4430" t="s">
        <v>35</v>
      </c>
      <c r="I4430" s="36">
        <v>5178.6000000000004</v>
      </c>
      <c r="J4430" s="36">
        <v>2304.6</v>
      </c>
      <c r="K4430" s="85">
        <v>2874</v>
      </c>
      <c r="L4430" s="36">
        <v>192.05</v>
      </c>
      <c r="M4430" s="36">
        <v>0</v>
      </c>
      <c r="N4430" s="36">
        <v>192.05</v>
      </c>
      <c r="O4430" s="36">
        <v>0</v>
      </c>
      <c r="P4430" t="s">
        <v>323</v>
      </c>
      <c r="Q4430" t="s">
        <v>191</v>
      </c>
      <c r="R4430" t="s">
        <v>191</v>
      </c>
      <c r="S4430" s="112">
        <v>46154</v>
      </c>
      <c r="T4430" s="112">
        <v>46154</v>
      </c>
      <c r="U4430" s="112">
        <v>46504</v>
      </c>
      <c r="V4430" s="112">
        <v>46519</v>
      </c>
      <c r="W4430" t="s">
        <v>38</v>
      </c>
      <c r="X4430">
        <v>1</v>
      </c>
      <c r="Y4430" t="s">
        <v>49</v>
      </c>
      <c r="AA4430" t="s">
        <v>122</v>
      </c>
      <c r="AB4430">
        <v>12</v>
      </c>
      <c r="AC4430" t="s">
        <v>192</v>
      </c>
      <c r="AD4430" t="s">
        <v>85</v>
      </c>
      <c r="AE4430" t="s">
        <v>46</v>
      </c>
      <c r="AF4430" t="s">
        <v>44</v>
      </c>
      <c r="AG4430" t="str">
        <f t="shared" si="101"/>
        <v>Recorrente</v>
      </c>
      <c r="AH4430" t="str">
        <f t="shared" si="102"/>
        <v/>
      </c>
    </row>
    <row r="4431" spans="1:34">
      <c r="A4431">
        <v>2026</v>
      </c>
      <c r="B4431">
        <v>5</v>
      </c>
      <c r="C4431" s="83">
        <v>19435543890</v>
      </c>
      <c r="D4431" t="s">
        <v>3799</v>
      </c>
      <c r="E4431">
        <v>58877743987</v>
      </c>
      <c r="F4431">
        <v>629492</v>
      </c>
      <c r="G4431">
        <v>55089656389</v>
      </c>
      <c r="H4431" t="s">
        <v>35</v>
      </c>
      <c r="I4431" s="36">
        <v>5178.6000000000004</v>
      </c>
      <c r="J4431" s="36">
        <v>5178.6000000000004</v>
      </c>
      <c r="K4431" s="85">
        <v>0</v>
      </c>
      <c r="L4431" s="36">
        <v>431.55</v>
      </c>
      <c r="M4431" s="36">
        <v>0</v>
      </c>
      <c r="N4431" s="36">
        <v>85.55</v>
      </c>
      <c r="O4431" s="36">
        <v>346</v>
      </c>
      <c r="P4431" t="s">
        <v>127</v>
      </c>
      <c r="Q4431" t="s">
        <v>111</v>
      </c>
      <c r="R4431" t="s">
        <v>111</v>
      </c>
      <c r="S4431" s="112">
        <v>46149</v>
      </c>
      <c r="T4431" s="112">
        <v>46149</v>
      </c>
      <c r="U4431" s="112">
        <v>46151</v>
      </c>
      <c r="V4431" s="112">
        <v>46516</v>
      </c>
      <c r="W4431" t="s">
        <v>38</v>
      </c>
      <c r="X4431">
        <v>12</v>
      </c>
      <c r="Y4431" t="s">
        <v>49</v>
      </c>
      <c r="Z4431" t="s">
        <v>81</v>
      </c>
      <c r="AA4431" t="s">
        <v>112</v>
      </c>
      <c r="AB4431">
        <v>12</v>
      </c>
      <c r="AC4431" t="s">
        <v>113</v>
      </c>
      <c r="AD4431" t="s">
        <v>85</v>
      </c>
      <c r="AE4431" t="s">
        <v>46</v>
      </c>
      <c r="AF4431" t="s">
        <v>44</v>
      </c>
      <c r="AG4431" t="str">
        <f t="shared" si="101"/>
        <v>CC 12x</v>
      </c>
      <c r="AH4431" t="str">
        <f t="shared" si="102"/>
        <v/>
      </c>
    </row>
    <row r="4432" spans="1:34">
      <c r="A4432">
        <v>2026</v>
      </c>
      <c r="B4432">
        <v>5</v>
      </c>
      <c r="C4432" s="83">
        <v>20484064307</v>
      </c>
      <c r="D4432" t="s">
        <v>2224</v>
      </c>
      <c r="E4432">
        <v>59221571355</v>
      </c>
      <c r="F4432">
        <v>321492</v>
      </c>
      <c r="G4432">
        <v>54349810860</v>
      </c>
      <c r="H4432" t="s">
        <v>35</v>
      </c>
      <c r="I4432" s="36">
        <v>5178.6000000000004</v>
      </c>
      <c r="J4432" s="36">
        <v>5178.6000000000004</v>
      </c>
      <c r="K4432" s="85">
        <v>0</v>
      </c>
      <c r="L4432" s="36">
        <v>431.55</v>
      </c>
      <c r="M4432" s="36">
        <v>0</v>
      </c>
      <c r="N4432" s="36">
        <v>91.8</v>
      </c>
      <c r="O4432" s="36">
        <v>339.75</v>
      </c>
      <c r="P4432" t="s">
        <v>165</v>
      </c>
      <c r="Q4432" t="s">
        <v>166</v>
      </c>
      <c r="R4432" t="s">
        <v>166</v>
      </c>
      <c r="S4432" s="112">
        <v>46169</v>
      </c>
      <c r="T4432" s="112">
        <v>46169</v>
      </c>
      <c r="U4432" s="112">
        <v>46173</v>
      </c>
      <c r="V4432" s="112">
        <v>46538</v>
      </c>
      <c r="W4432" t="s">
        <v>38</v>
      </c>
      <c r="X4432">
        <v>12</v>
      </c>
      <c r="Y4432" t="s">
        <v>49</v>
      </c>
      <c r="Z4432" t="s">
        <v>81</v>
      </c>
      <c r="AA4432" t="s">
        <v>112</v>
      </c>
      <c r="AB4432">
        <v>12</v>
      </c>
      <c r="AC4432" t="s">
        <v>166</v>
      </c>
      <c r="AD4432" t="s">
        <v>85</v>
      </c>
      <c r="AE4432" t="s">
        <v>46</v>
      </c>
      <c r="AF4432" t="s">
        <v>44</v>
      </c>
      <c r="AG4432" t="str">
        <f t="shared" si="101"/>
        <v>CC 12x</v>
      </c>
      <c r="AH4432" t="str">
        <f t="shared" si="102"/>
        <v/>
      </c>
    </row>
    <row r="4433" spans="1:34">
      <c r="A4433">
        <v>2026</v>
      </c>
      <c r="B4433">
        <v>5</v>
      </c>
      <c r="C4433" s="83">
        <v>2085635</v>
      </c>
      <c r="D4433" t="s">
        <v>3800</v>
      </c>
      <c r="E4433">
        <v>58887722392</v>
      </c>
      <c r="F4433">
        <v>310979</v>
      </c>
      <c r="G4433">
        <v>54013445758</v>
      </c>
      <c r="H4433" t="s">
        <v>35</v>
      </c>
      <c r="I4433" s="36">
        <v>5178.6000000000004</v>
      </c>
      <c r="J4433" s="36">
        <v>5178.6000000000004</v>
      </c>
      <c r="K4433" s="85">
        <v>0</v>
      </c>
      <c r="L4433" s="36">
        <v>431.55</v>
      </c>
      <c r="M4433" s="36">
        <v>0</v>
      </c>
      <c r="N4433" s="36">
        <v>108.79</v>
      </c>
      <c r="O4433" s="36">
        <v>322.76</v>
      </c>
      <c r="P4433" t="s">
        <v>165</v>
      </c>
      <c r="Q4433" t="s">
        <v>166</v>
      </c>
      <c r="R4433" t="s">
        <v>166</v>
      </c>
      <c r="S4433" s="112">
        <v>46164</v>
      </c>
      <c r="T4433" s="112">
        <v>46164</v>
      </c>
      <c r="U4433" s="112">
        <v>46164</v>
      </c>
      <c r="V4433" s="112">
        <v>46529</v>
      </c>
      <c r="W4433" t="s">
        <v>38</v>
      </c>
      <c r="X4433">
        <v>12</v>
      </c>
      <c r="Y4433" t="s">
        <v>49</v>
      </c>
      <c r="Z4433" t="s">
        <v>81</v>
      </c>
      <c r="AA4433" t="s">
        <v>122</v>
      </c>
      <c r="AB4433">
        <v>12</v>
      </c>
      <c r="AC4433" t="s">
        <v>166</v>
      </c>
      <c r="AD4433" t="s">
        <v>85</v>
      </c>
      <c r="AE4433" t="s">
        <v>46</v>
      </c>
      <c r="AF4433" t="s">
        <v>44</v>
      </c>
      <c r="AG4433" t="str">
        <f t="shared" si="101"/>
        <v>Recorrente</v>
      </c>
      <c r="AH4433" t="str">
        <f t="shared" si="102"/>
        <v/>
      </c>
    </row>
    <row r="4434" spans="1:34">
      <c r="A4434">
        <v>2026</v>
      </c>
      <c r="B4434">
        <v>5</v>
      </c>
      <c r="C4434" s="83">
        <v>2093185</v>
      </c>
      <c r="D4434" t="s">
        <v>3801</v>
      </c>
      <c r="E4434">
        <v>60255658082</v>
      </c>
      <c r="F4434">
        <v>637815</v>
      </c>
      <c r="G4434">
        <v>55258370925</v>
      </c>
      <c r="H4434" t="s">
        <v>35</v>
      </c>
      <c r="I4434" s="36">
        <v>5178.6000000000004</v>
      </c>
      <c r="J4434" s="36">
        <v>5178.6000000000004</v>
      </c>
      <c r="K4434" s="85">
        <v>0</v>
      </c>
      <c r="L4434" s="36">
        <v>431.55</v>
      </c>
      <c r="M4434" s="36">
        <v>431.55</v>
      </c>
      <c r="N4434" s="36">
        <v>0</v>
      </c>
      <c r="O4434" s="36">
        <v>0</v>
      </c>
      <c r="P4434" t="s">
        <v>511</v>
      </c>
      <c r="Q4434" t="s">
        <v>300</v>
      </c>
      <c r="R4434" t="s">
        <v>300</v>
      </c>
      <c r="S4434" s="112">
        <v>46157</v>
      </c>
      <c r="T4434" s="112">
        <v>46157</v>
      </c>
      <c r="U4434" s="112"/>
      <c r="V4434" s="112">
        <v>46522</v>
      </c>
      <c r="W4434" t="s">
        <v>38</v>
      </c>
      <c r="X4434">
        <v>12</v>
      </c>
      <c r="Y4434" t="s">
        <v>49</v>
      </c>
      <c r="AA4434" t="s">
        <v>122</v>
      </c>
      <c r="AB4434">
        <v>12</v>
      </c>
      <c r="AC4434" t="s">
        <v>301</v>
      </c>
      <c r="AD4434" t="s">
        <v>85</v>
      </c>
      <c r="AE4434" t="s">
        <v>46</v>
      </c>
      <c r="AF4434" t="s">
        <v>44</v>
      </c>
      <c r="AG4434" t="str">
        <f t="shared" si="101"/>
        <v>Recorrente</v>
      </c>
      <c r="AH4434" t="str">
        <f t="shared" si="102"/>
        <v/>
      </c>
    </row>
    <row r="4435" spans="1:34">
      <c r="A4435">
        <v>2026</v>
      </c>
      <c r="B4435">
        <v>5</v>
      </c>
      <c r="C4435" s="83">
        <v>2104656</v>
      </c>
      <c r="D4435" t="s">
        <v>3802</v>
      </c>
      <c r="E4435">
        <v>58612960163</v>
      </c>
      <c r="F4435">
        <v>315089</v>
      </c>
      <c r="G4435">
        <v>53777567075</v>
      </c>
      <c r="H4435" t="s">
        <v>35</v>
      </c>
      <c r="I4435" s="36">
        <v>5178.6000000000004</v>
      </c>
      <c r="J4435" s="36">
        <v>5178.6000000000004</v>
      </c>
      <c r="K4435" s="85">
        <v>0</v>
      </c>
      <c r="L4435" s="36">
        <v>431.55</v>
      </c>
      <c r="M4435" s="36">
        <v>0</v>
      </c>
      <c r="N4435" s="36">
        <v>114.45</v>
      </c>
      <c r="O4435" s="36">
        <v>317.10000000000002</v>
      </c>
      <c r="P4435" t="s">
        <v>165</v>
      </c>
      <c r="Q4435" t="s">
        <v>166</v>
      </c>
      <c r="R4435" t="s">
        <v>166</v>
      </c>
      <c r="S4435" s="112">
        <v>46157</v>
      </c>
      <c r="T4435" s="112">
        <v>46157</v>
      </c>
      <c r="U4435" s="112">
        <v>46157</v>
      </c>
      <c r="V4435" s="112">
        <v>46522</v>
      </c>
      <c r="W4435" t="s">
        <v>38</v>
      </c>
      <c r="X4435">
        <v>12</v>
      </c>
      <c r="Y4435" t="s">
        <v>49</v>
      </c>
      <c r="Z4435" t="s">
        <v>81</v>
      </c>
      <c r="AA4435" t="s">
        <v>122</v>
      </c>
      <c r="AB4435">
        <v>12</v>
      </c>
      <c r="AC4435" t="s">
        <v>166</v>
      </c>
      <c r="AD4435" t="s">
        <v>85</v>
      </c>
      <c r="AE4435" t="s">
        <v>46</v>
      </c>
      <c r="AF4435" t="s">
        <v>44</v>
      </c>
      <c r="AG4435" t="str">
        <f t="shared" si="101"/>
        <v>Recorrente</v>
      </c>
      <c r="AH4435" t="str">
        <f t="shared" si="102"/>
        <v/>
      </c>
    </row>
    <row r="4436" spans="1:34">
      <c r="A4436">
        <v>2026</v>
      </c>
      <c r="B4436">
        <v>5</v>
      </c>
      <c r="C4436" s="83">
        <v>2111967</v>
      </c>
      <c r="D4436" t="s">
        <v>3803</v>
      </c>
      <c r="E4436">
        <v>58226958159</v>
      </c>
      <c r="F4436">
        <v>513300</v>
      </c>
      <c r="G4436">
        <v>53422962052</v>
      </c>
      <c r="H4436" t="s">
        <v>35</v>
      </c>
      <c r="I4436" s="36">
        <v>5178.6000000000004</v>
      </c>
      <c r="J4436" s="36">
        <v>5178.6000000000004</v>
      </c>
      <c r="K4436" s="85">
        <v>0</v>
      </c>
      <c r="L4436" s="36">
        <v>431.55</v>
      </c>
      <c r="M4436" s="36">
        <v>0</v>
      </c>
      <c r="N4436" s="36">
        <v>85.01</v>
      </c>
      <c r="O4436" s="36">
        <v>346.54</v>
      </c>
      <c r="P4436" t="s">
        <v>165</v>
      </c>
      <c r="Q4436" t="s">
        <v>166</v>
      </c>
      <c r="R4436" t="s">
        <v>166</v>
      </c>
      <c r="S4436" s="112">
        <v>46147</v>
      </c>
      <c r="T4436" s="112">
        <v>46147</v>
      </c>
      <c r="U4436" s="112">
        <v>46147</v>
      </c>
      <c r="V4436" s="112">
        <v>46512</v>
      </c>
      <c r="W4436" t="s">
        <v>38</v>
      </c>
      <c r="X4436">
        <v>12</v>
      </c>
      <c r="Y4436" t="s">
        <v>49</v>
      </c>
      <c r="Z4436" t="s">
        <v>81</v>
      </c>
      <c r="AA4436" t="s">
        <v>122</v>
      </c>
      <c r="AB4436">
        <v>12</v>
      </c>
      <c r="AC4436" t="s">
        <v>166</v>
      </c>
      <c r="AD4436" t="s">
        <v>85</v>
      </c>
      <c r="AE4436" t="s">
        <v>46</v>
      </c>
      <c r="AF4436" t="s">
        <v>44</v>
      </c>
      <c r="AG4436" t="str">
        <f t="shared" si="101"/>
        <v>Recorrente</v>
      </c>
      <c r="AH4436" t="str">
        <f t="shared" si="102"/>
        <v/>
      </c>
    </row>
    <row r="4437" spans="1:34">
      <c r="A4437">
        <v>2026</v>
      </c>
      <c r="B4437">
        <v>5</v>
      </c>
      <c r="C4437" s="83">
        <v>219601094540</v>
      </c>
      <c r="D4437" t="s">
        <v>3804</v>
      </c>
      <c r="E4437">
        <v>58103576925</v>
      </c>
      <c r="F4437">
        <v>314181</v>
      </c>
      <c r="G4437">
        <v>53319147651</v>
      </c>
      <c r="H4437" t="s">
        <v>35</v>
      </c>
      <c r="I4437" s="36">
        <v>5178.6000000000004</v>
      </c>
      <c r="J4437" s="36">
        <v>5178.6000000000004</v>
      </c>
      <c r="K4437" s="85">
        <v>0</v>
      </c>
      <c r="L4437" s="36">
        <v>431.55</v>
      </c>
      <c r="M4437" s="36">
        <v>0</v>
      </c>
      <c r="N4437" s="36">
        <v>96.33</v>
      </c>
      <c r="O4437" s="36">
        <v>335.22</v>
      </c>
      <c r="P4437" t="s">
        <v>165</v>
      </c>
      <c r="Q4437" t="s">
        <v>166</v>
      </c>
      <c r="R4437" t="s">
        <v>166</v>
      </c>
      <c r="S4437" s="112">
        <v>46144</v>
      </c>
      <c r="T4437" s="112">
        <v>46144</v>
      </c>
      <c r="U4437" s="112">
        <v>46144</v>
      </c>
      <c r="V4437" s="112">
        <v>46509</v>
      </c>
      <c r="W4437" t="s">
        <v>38</v>
      </c>
      <c r="X4437">
        <v>12</v>
      </c>
      <c r="Y4437" t="s">
        <v>49</v>
      </c>
      <c r="Z4437" t="s">
        <v>81</v>
      </c>
      <c r="AA4437" t="s">
        <v>112</v>
      </c>
      <c r="AB4437">
        <v>12</v>
      </c>
      <c r="AC4437" t="s">
        <v>166</v>
      </c>
      <c r="AD4437" t="s">
        <v>85</v>
      </c>
      <c r="AE4437" t="s">
        <v>46</v>
      </c>
      <c r="AF4437" t="s">
        <v>44</v>
      </c>
      <c r="AG4437" t="str">
        <f t="shared" si="101"/>
        <v>CC 12x</v>
      </c>
      <c r="AH4437" t="str">
        <f t="shared" si="102"/>
        <v/>
      </c>
    </row>
    <row r="4438" spans="1:34">
      <c r="A4438">
        <v>2026</v>
      </c>
      <c r="B4438">
        <v>5</v>
      </c>
      <c r="C4438" s="83">
        <v>221352354977</v>
      </c>
      <c r="D4438" t="s">
        <v>3805</v>
      </c>
      <c r="E4438">
        <v>58516309248</v>
      </c>
      <c r="F4438">
        <v>271319</v>
      </c>
      <c r="G4438">
        <v>53707698756</v>
      </c>
      <c r="H4438" t="s">
        <v>35</v>
      </c>
      <c r="I4438" s="36">
        <v>5178.6000000000004</v>
      </c>
      <c r="J4438" s="36">
        <v>5178.6000000000004</v>
      </c>
      <c r="K4438" s="85">
        <v>0</v>
      </c>
      <c r="L4438" s="36">
        <v>431.55</v>
      </c>
      <c r="M4438" s="36">
        <v>0</v>
      </c>
      <c r="N4438" s="36">
        <v>91.78</v>
      </c>
      <c r="O4438" s="36">
        <v>339.77</v>
      </c>
      <c r="P4438" t="s">
        <v>165</v>
      </c>
      <c r="Q4438" t="s">
        <v>166</v>
      </c>
      <c r="R4438" t="s">
        <v>166</v>
      </c>
      <c r="S4438" s="112">
        <v>46154</v>
      </c>
      <c r="T4438" s="112">
        <v>46154</v>
      </c>
      <c r="U4438" s="112">
        <v>46154</v>
      </c>
      <c r="V4438" s="112">
        <v>46520</v>
      </c>
      <c r="W4438" t="s">
        <v>38</v>
      </c>
      <c r="X4438">
        <v>12</v>
      </c>
      <c r="Y4438" t="s">
        <v>49</v>
      </c>
      <c r="Z4438" t="s">
        <v>81</v>
      </c>
      <c r="AA4438" t="s">
        <v>112</v>
      </c>
      <c r="AB4438">
        <v>12</v>
      </c>
      <c r="AC4438" t="s">
        <v>166</v>
      </c>
      <c r="AD4438" t="s">
        <v>85</v>
      </c>
      <c r="AE4438" t="s">
        <v>46</v>
      </c>
      <c r="AF4438" t="s">
        <v>44</v>
      </c>
      <c r="AG4438" t="str">
        <f t="shared" si="101"/>
        <v>CC 12x</v>
      </c>
      <c r="AH4438" t="str">
        <f t="shared" si="102"/>
        <v/>
      </c>
    </row>
    <row r="4439" spans="1:34">
      <c r="A4439">
        <v>2026</v>
      </c>
      <c r="B4439">
        <v>5</v>
      </c>
      <c r="C4439" s="83">
        <v>224543253315</v>
      </c>
      <c r="D4439" t="s">
        <v>3806</v>
      </c>
      <c r="E4439">
        <v>60689816681</v>
      </c>
      <c r="F4439">
        <v>638054</v>
      </c>
      <c r="G4439">
        <v>55660948307</v>
      </c>
      <c r="H4439" t="s">
        <v>35</v>
      </c>
      <c r="I4439" s="36">
        <v>5178.6000000000004</v>
      </c>
      <c r="J4439" s="36">
        <v>5178.6000000000004</v>
      </c>
      <c r="K4439" s="85">
        <v>0</v>
      </c>
      <c r="L4439" s="36">
        <v>431.55</v>
      </c>
      <c r="M4439" s="36">
        <v>431.55</v>
      </c>
      <c r="N4439" s="36">
        <v>0</v>
      </c>
      <c r="O4439" s="36">
        <v>0</v>
      </c>
      <c r="P4439" t="s">
        <v>829</v>
      </c>
      <c r="Q4439" t="s">
        <v>300</v>
      </c>
      <c r="R4439" t="s">
        <v>300</v>
      </c>
      <c r="S4439" s="112">
        <v>46170</v>
      </c>
      <c r="T4439" s="112">
        <v>46170</v>
      </c>
      <c r="U4439" s="112"/>
      <c r="V4439" s="112">
        <v>46535</v>
      </c>
      <c r="W4439" t="s">
        <v>38</v>
      </c>
      <c r="X4439">
        <v>12</v>
      </c>
      <c r="Y4439" t="s">
        <v>49</v>
      </c>
      <c r="AA4439" t="s">
        <v>112</v>
      </c>
      <c r="AB4439">
        <v>12</v>
      </c>
      <c r="AC4439" t="s">
        <v>301</v>
      </c>
      <c r="AD4439" t="s">
        <v>85</v>
      </c>
      <c r="AE4439" t="s">
        <v>46</v>
      </c>
      <c r="AF4439" t="s">
        <v>44</v>
      </c>
      <c r="AG4439" t="str">
        <f t="shared" si="101"/>
        <v>CC 12x</v>
      </c>
      <c r="AH4439" t="str">
        <f t="shared" si="102"/>
        <v/>
      </c>
    </row>
    <row r="4440" spans="1:34">
      <c r="A4440">
        <v>2026</v>
      </c>
      <c r="B4440">
        <v>5</v>
      </c>
      <c r="C4440" s="83">
        <v>93405026328</v>
      </c>
      <c r="D4440" t="s">
        <v>3807</v>
      </c>
      <c r="E4440">
        <v>58166813817</v>
      </c>
      <c r="F4440">
        <v>314718</v>
      </c>
      <c r="G4440">
        <v>53387815711</v>
      </c>
      <c r="H4440" t="s">
        <v>35</v>
      </c>
      <c r="I4440" s="36">
        <v>5178.6000000000004</v>
      </c>
      <c r="J4440" s="36">
        <v>5178.6000000000004</v>
      </c>
      <c r="K4440" s="85">
        <v>0</v>
      </c>
      <c r="L4440" s="36">
        <v>431.55</v>
      </c>
      <c r="M4440" s="36">
        <v>0</v>
      </c>
      <c r="N4440" s="36">
        <v>85.01</v>
      </c>
      <c r="O4440" s="36">
        <v>346.54</v>
      </c>
      <c r="P4440" t="s">
        <v>165</v>
      </c>
      <c r="Q4440" t="s">
        <v>166</v>
      </c>
      <c r="R4440" t="s">
        <v>166</v>
      </c>
      <c r="S4440" s="112">
        <v>46145</v>
      </c>
      <c r="T4440" s="112">
        <v>46145</v>
      </c>
      <c r="U4440" s="112">
        <v>46145</v>
      </c>
      <c r="V4440" s="112">
        <v>46510</v>
      </c>
      <c r="W4440" t="s">
        <v>38</v>
      </c>
      <c r="X4440">
        <v>12</v>
      </c>
      <c r="Y4440" t="s">
        <v>49</v>
      </c>
      <c r="Z4440" t="s">
        <v>81</v>
      </c>
      <c r="AA4440" t="s">
        <v>122</v>
      </c>
      <c r="AB4440">
        <v>12</v>
      </c>
      <c r="AC4440" t="s">
        <v>166</v>
      </c>
      <c r="AD4440" t="s">
        <v>85</v>
      </c>
      <c r="AE4440" t="s">
        <v>46</v>
      </c>
      <c r="AF4440" t="s">
        <v>44</v>
      </c>
      <c r="AG4440" t="str">
        <f t="shared" si="101"/>
        <v>Recorrente</v>
      </c>
      <c r="AH4440" t="str">
        <f t="shared" si="102"/>
        <v/>
      </c>
    </row>
    <row r="4441" spans="1:34">
      <c r="A4441">
        <v>2026</v>
      </c>
      <c r="B4441">
        <v>5</v>
      </c>
      <c r="C4441" s="83">
        <v>140223336741</v>
      </c>
      <c r="D4441" t="s">
        <v>3808</v>
      </c>
      <c r="E4441">
        <v>58926698763</v>
      </c>
      <c r="F4441">
        <v>535312</v>
      </c>
      <c r="G4441">
        <v>54080988180</v>
      </c>
      <c r="H4441" t="s">
        <v>35</v>
      </c>
      <c r="I4441" s="36">
        <v>5173.2</v>
      </c>
      <c r="J4441" s="36">
        <v>2586.6</v>
      </c>
      <c r="K4441" s="85">
        <v>2586.6</v>
      </c>
      <c r="L4441" s="36">
        <v>215.55</v>
      </c>
      <c r="M4441" s="36">
        <v>0</v>
      </c>
      <c r="N4441" s="36">
        <v>49.749583299999998</v>
      </c>
      <c r="O4441" s="36">
        <v>165.8004167</v>
      </c>
      <c r="P4441" t="s">
        <v>165</v>
      </c>
      <c r="Q4441" t="s">
        <v>166</v>
      </c>
      <c r="R4441" t="s">
        <v>166</v>
      </c>
      <c r="S4441" s="112">
        <v>46165</v>
      </c>
      <c r="T4441" s="112">
        <v>46165</v>
      </c>
      <c r="U4441" s="112">
        <v>46165</v>
      </c>
      <c r="V4441" s="112">
        <v>46896</v>
      </c>
      <c r="W4441" t="s">
        <v>56</v>
      </c>
      <c r="X4441">
        <v>24</v>
      </c>
      <c r="Y4441" t="s">
        <v>49</v>
      </c>
      <c r="Z4441" t="s">
        <v>81</v>
      </c>
      <c r="AA4441" t="s">
        <v>122</v>
      </c>
      <c r="AB4441">
        <v>24</v>
      </c>
      <c r="AC4441" t="s">
        <v>166</v>
      </c>
      <c r="AD4441" t="s">
        <v>118</v>
      </c>
      <c r="AE4441" t="s">
        <v>43</v>
      </c>
      <c r="AF4441" t="s">
        <v>119</v>
      </c>
      <c r="AG4441" t="str">
        <f t="shared" si="101"/>
        <v>Recorrente</v>
      </c>
      <c r="AH4441" t="str">
        <f t="shared" si="102"/>
        <v/>
      </c>
    </row>
    <row r="4442" spans="1:34">
      <c r="A4442">
        <v>2026</v>
      </c>
      <c r="B4442">
        <v>5</v>
      </c>
      <c r="C4442" s="83">
        <v>19485920676</v>
      </c>
      <c r="D4442" t="s">
        <v>3809</v>
      </c>
      <c r="E4442">
        <v>59222890584</v>
      </c>
      <c r="F4442">
        <v>638060</v>
      </c>
      <c r="G4442">
        <v>55682407840</v>
      </c>
      <c r="H4442" t="s">
        <v>35</v>
      </c>
      <c r="I4442" s="36">
        <v>5154</v>
      </c>
      <c r="J4442" s="36">
        <v>5154</v>
      </c>
      <c r="K4442" s="85">
        <v>0</v>
      </c>
      <c r="L4442" s="36">
        <v>429.5</v>
      </c>
      <c r="M4442" s="36">
        <v>429.5</v>
      </c>
      <c r="N4442" s="36">
        <v>0</v>
      </c>
      <c r="O4442" s="36">
        <v>0</v>
      </c>
      <c r="P4442" t="s">
        <v>129</v>
      </c>
      <c r="Q4442" t="s">
        <v>91</v>
      </c>
      <c r="R4442" t="s">
        <v>91</v>
      </c>
      <c r="S4442" s="112">
        <v>46171</v>
      </c>
      <c r="T4442" s="112">
        <v>46171</v>
      </c>
      <c r="U4442" s="112"/>
      <c r="V4442" s="112">
        <v>46557</v>
      </c>
      <c r="W4442" t="s">
        <v>38</v>
      </c>
      <c r="X4442">
        <v>13</v>
      </c>
      <c r="Y4442" t="s">
        <v>49</v>
      </c>
      <c r="AA4442" t="s">
        <v>92</v>
      </c>
      <c r="AB4442">
        <v>12</v>
      </c>
      <c r="AC4442" t="s">
        <v>93</v>
      </c>
      <c r="AD4442" t="s">
        <v>163</v>
      </c>
      <c r="AE4442" t="s">
        <v>43</v>
      </c>
      <c r="AF4442" t="s">
        <v>96</v>
      </c>
      <c r="AG4442" t="str">
        <f t="shared" si="101"/>
        <v>Recorrente</v>
      </c>
      <c r="AH4442" t="str">
        <f t="shared" si="102"/>
        <v/>
      </c>
    </row>
    <row r="4443" spans="1:34">
      <c r="A4443">
        <v>2026</v>
      </c>
      <c r="B4443">
        <v>5</v>
      </c>
      <c r="C4443" s="83">
        <v>160939773213</v>
      </c>
      <c r="D4443" t="s">
        <v>3810</v>
      </c>
      <c r="E4443">
        <v>59778748176</v>
      </c>
      <c r="F4443">
        <v>629914</v>
      </c>
      <c r="G4443">
        <v>55686047550</v>
      </c>
      <c r="H4443" t="s">
        <v>35</v>
      </c>
      <c r="I4443" s="36">
        <v>5148</v>
      </c>
      <c r="J4443" s="36">
        <v>5148</v>
      </c>
      <c r="K4443" s="85">
        <v>0</v>
      </c>
      <c r="L4443" s="36">
        <v>429</v>
      </c>
      <c r="M4443" s="36">
        <v>0</v>
      </c>
      <c r="N4443" s="36">
        <v>0</v>
      </c>
      <c r="O4443" s="36">
        <v>429</v>
      </c>
      <c r="P4443" t="s">
        <v>121</v>
      </c>
      <c r="Q4443" t="s">
        <v>111</v>
      </c>
      <c r="R4443" t="s">
        <v>111</v>
      </c>
      <c r="S4443" s="112">
        <v>46171</v>
      </c>
      <c r="T4443" s="112">
        <v>46171</v>
      </c>
      <c r="U4443" s="112">
        <v>46171</v>
      </c>
      <c r="V4443" s="112">
        <v>46536</v>
      </c>
      <c r="W4443" t="s">
        <v>38</v>
      </c>
      <c r="X4443">
        <v>12</v>
      </c>
      <c r="Y4443" t="s">
        <v>49</v>
      </c>
      <c r="Z4443" t="s">
        <v>81</v>
      </c>
      <c r="AA4443" t="s">
        <v>122</v>
      </c>
      <c r="AB4443">
        <v>12</v>
      </c>
      <c r="AC4443" t="s">
        <v>113</v>
      </c>
      <c r="AD4443" t="s">
        <v>138</v>
      </c>
      <c r="AE4443" t="s">
        <v>135</v>
      </c>
      <c r="AF4443" t="s">
        <v>119</v>
      </c>
      <c r="AG4443" t="str">
        <f t="shared" si="101"/>
        <v>Recorrente</v>
      </c>
      <c r="AH4443" t="str">
        <f t="shared" si="102"/>
        <v/>
      </c>
    </row>
    <row r="4444" spans="1:34">
      <c r="A4444">
        <v>2026</v>
      </c>
      <c r="B4444">
        <v>5</v>
      </c>
      <c r="C4444" s="83">
        <v>34380801347</v>
      </c>
      <c r="D4444" t="s">
        <v>896</v>
      </c>
      <c r="E4444">
        <v>59123073463</v>
      </c>
      <c r="F4444">
        <v>629503</v>
      </c>
      <c r="G4444">
        <v>55241249187</v>
      </c>
      <c r="H4444" t="s">
        <v>35</v>
      </c>
      <c r="I4444" s="36">
        <v>5146.68</v>
      </c>
      <c r="J4444" s="36">
        <v>5146.68</v>
      </c>
      <c r="K4444" s="85">
        <v>0</v>
      </c>
      <c r="L4444" s="36">
        <v>428.89</v>
      </c>
      <c r="M4444" s="36">
        <v>0</v>
      </c>
      <c r="N4444" s="36">
        <v>2.2549999999999999</v>
      </c>
      <c r="O4444" s="36">
        <v>426.64</v>
      </c>
      <c r="P4444" t="s">
        <v>110</v>
      </c>
      <c r="Q4444" t="s">
        <v>111</v>
      </c>
      <c r="R4444" t="s">
        <v>111</v>
      </c>
      <c r="S4444" s="112">
        <v>46155</v>
      </c>
      <c r="T4444" s="112">
        <v>46155</v>
      </c>
      <c r="U4444" s="112">
        <v>46154</v>
      </c>
      <c r="V4444" s="112">
        <v>46520</v>
      </c>
      <c r="W4444" t="s">
        <v>38</v>
      </c>
      <c r="X4444">
        <v>12</v>
      </c>
      <c r="Y4444" t="s">
        <v>49</v>
      </c>
      <c r="Z4444" t="s">
        <v>81</v>
      </c>
      <c r="AA4444" t="s">
        <v>122</v>
      </c>
      <c r="AB4444">
        <v>12</v>
      </c>
      <c r="AC4444" t="s">
        <v>113</v>
      </c>
      <c r="AD4444" t="s">
        <v>149</v>
      </c>
      <c r="AE4444" t="s">
        <v>43</v>
      </c>
      <c r="AF4444" t="s">
        <v>96</v>
      </c>
      <c r="AG4444" t="str">
        <f t="shared" si="101"/>
        <v>Recorrente</v>
      </c>
      <c r="AH4444" t="str">
        <f t="shared" si="102"/>
        <v/>
      </c>
    </row>
    <row r="4445" spans="1:34">
      <c r="A4445">
        <v>2026</v>
      </c>
      <c r="B4445">
        <v>5</v>
      </c>
      <c r="C4445" s="83">
        <v>19435672504</v>
      </c>
      <c r="D4445" t="s">
        <v>3811</v>
      </c>
      <c r="E4445">
        <v>60013141089</v>
      </c>
      <c r="F4445">
        <v>629931</v>
      </c>
      <c r="G4445">
        <v>55609921616</v>
      </c>
      <c r="H4445" t="s">
        <v>35</v>
      </c>
      <c r="I4445" s="36">
        <v>5134.08</v>
      </c>
      <c r="J4445" s="36">
        <v>5134.08</v>
      </c>
      <c r="K4445" s="85">
        <v>0</v>
      </c>
      <c r="L4445" s="36">
        <v>427.84</v>
      </c>
      <c r="M4445" s="36">
        <v>0</v>
      </c>
      <c r="N4445" s="36">
        <v>7.8360000000000003</v>
      </c>
      <c r="O4445" s="36">
        <v>420</v>
      </c>
      <c r="P4445" t="s">
        <v>133</v>
      </c>
      <c r="Q4445" t="s">
        <v>111</v>
      </c>
      <c r="R4445" t="s">
        <v>111</v>
      </c>
      <c r="S4445" s="112">
        <v>46167</v>
      </c>
      <c r="T4445" s="112">
        <v>46167</v>
      </c>
      <c r="U4445" s="112">
        <v>46171</v>
      </c>
      <c r="V4445" s="112">
        <v>46536</v>
      </c>
      <c r="W4445" t="s">
        <v>38</v>
      </c>
      <c r="X4445">
        <v>12</v>
      </c>
      <c r="Y4445" t="s">
        <v>49</v>
      </c>
      <c r="Z4445" t="s">
        <v>81</v>
      </c>
      <c r="AA4445" t="s">
        <v>92</v>
      </c>
      <c r="AB4445">
        <v>12</v>
      </c>
      <c r="AC4445" t="s">
        <v>113</v>
      </c>
      <c r="AD4445" t="s">
        <v>174</v>
      </c>
      <c r="AE4445" t="s">
        <v>43</v>
      </c>
      <c r="AF4445" t="s">
        <v>47</v>
      </c>
      <c r="AG4445" t="str">
        <f t="shared" si="101"/>
        <v>Recorrente</v>
      </c>
      <c r="AH4445" t="str">
        <f t="shared" si="102"/>
        <v/>
      </c>
    </row>
    <row r="4446" spans="1:34">
      <c r="A4446">
        <v>2026</v>
      </c>
      <c r="B4446">
        <v>5</v>
      </c>
      <c r="C4446" s="83">
        <v>216256884132</v>
      </c>
      <c r="D4446" t="s">
        <v>3812</v>
      </c>
      <c r="E4446">
        <v>60247516204</v>
      </c>
      <c r="F4446">
        <v>510770</v>
      </c>
      <c r="G4446">
        <v>55252385318</v>
      </c>
      <c r="H4446" t="s">
        <v>35</v>
      </c>
      <c r="I4446" s="36">
        <v>5083.2</v>
      </c>
      <c r="J4446" s="36">
        <v>5083.2</v>
      </c>
      <c r="K4446" s="85">
        <v>0</v>
      </c>
      <c r="L4446" s="36">
        <v>423.6</v>
      </c>
      <c r="M4446" s="36">
        <v>0</v>
      </c>
      <c r="N4446" s="36">
        <v>0</v>
      </c>
      <c r="O4446" s="36">
        <v>423.6</v>
      </c>
      <c r="P4446" t="s">
        <v>162</v>
      </c>
      <c r="Q4446" t="s">
        <v>111</v>
      </c>
      <c r="R4446" t="s">
        <v>111</v>
      </c>
      <c r="S4446" s="112">
        <v>46156</v>
      </c>
      <c r="T4446" s="112">
        <v>46156</v>
      </c>
      <c r="U4446" s="112">
        <v>46157</v>
      </c>
      <c r="V4446" s="112">
        <v>46522</v>
      </c>
      <c r="W4446" t="s">
        <v>38</v>
      </c>
      <c r="X4446">
        <v>12</v>
      </c>
      <c r="Y4446" t="s">
        <v>49</v>
      </c>
      <c r="Z4446" t="s">
        <v>81</v>
      </c>
      <c r="AA4446" t="s">
        <v>122</v>
      </c>
      <c r="AB4446">
        <v>12</v>
      </c>
      <c r="AC4446" t="s">
        <v>113</v>
      </c>
      <c r="AD4446" t="s">
        <v>149</v>
      </c>
      <c r="AE4446" t="s">
        <v>43</v>
      </c>
      <c r="AF4446" t="s">
        <v>96</v>
      </c>
      <c r="AG4446" t="str">
        <f t="shared" si="101"/>
        <v>Recorrente</v>
      </c>
      <c r="AH4446" t="str">
        <f t="shared" si="102"/>
        <v/>
      </c>
    </row>
    <row r="4447" spans="1:34">
      <c r="A4447">
        <v>2026</v>
      </c>
      <c r="B4447">
        <v>5</v>
      </c>
      <c r="C4447" s="83">
        <v>25689911824</v>
      </c>
      <c r="D4447" t="s">
        <v>3813</v>
      </c>
      <c r="E4447">
        <v>50570044520</v>
      </c>
      <c r="F4447">
        <v>629863</v>
      </c>
      <c r="G4447">
        <v>55855398242</v>
      </c>
      <c r="H4447" t="s">
        <v>35</v>
      </c>
      <c r="I4447" s="36">
        <v>5040</v>
      </c>
      <c r="J4447" s="36">
        <v>5040</v>
      </c>
      <c r="K4447" s="85">
        <v>0</v>
      </c>
      <c r="L4447" s="36">
        <v>420</v>
      </c>
      <c r="M4447" s="36">
        <v>0</v>
      </c>
      <c r="N4447" s="36">
        <v>0</v>
      </c>
      <c r="O4447" s="36">
        <v>420</v>
      </c>
      <c r="P4447" t="s">
        <v>75</v>
      </c>
      <c r="Q4447" t="s">
        <v>3558</v>
      </c>
      <c r="R4447" t="s">
        <v>37</v>
      </c>
      <c r="S4447" s="112">
        <v>46170</v>
      </c>
      <c r="T4447" s="112">
        <v>46170</v>
      </c>
      <c r="U4447" s="112">
        <v>46169</v>
      </c>
      <c r="V4447" s="112">
        <v>46535</v>
      </c>
      <c r="W4447" t="s">
        <v>38</v>
      </c>
      <c r="X4447">
        <v>12</v>
      </c>
      <c r="Y4447" t="s">
        <v>49</v>
      </c>
      <c r="Z4447" t="s">
        <v>81</v>
      </c>
      <c r="AA4447" t="s">
        <v>40</v>
      </c>
      <c r="AB4447">
        <v>1</v>
      </c>
      <c r="AC4447" t="s">
        <v>41</v>
      </c>
      <c r="AD4447" t="s">
        <v>54</v>
      </c>
      <c r="AE4447" t="s">
        <v>46</v>
      </c>
      <c r="AF4447" t="s">
        <v>44</v>
      </c>
      <c r="AG4447" t="str">
        <f t="shared" si="101"/>
        <v>À Vista</v>
      </c>
      <c r="AH4447" t="str">
        <f t="shared" si="102"/>
        <v/>
      </c>
    </row>
    <row r="4448" spans="1:34">
      <c r="A4448">
        <v>2026</v>
      </c>
      <c r="B4448">
        <v>5</v>
      </c>
      <c r="C4448" s="83">
        <v>25689911824</v>
      </c>
      <c r="D4448" t="s">
        <v>3813</v>
      </c>
      <c r="E4448">
        <v>50570044520</v>
      </c>
      <c r="F4448">
        <v>629863</v>
      </c>
      <c r="G4448">
        <v>55855398243</v>
      </c>
      <c r="H4448" t="s">
        <v>35</v>
      </c>
      <c r="I4448" s="36">
        <v>5040</v>
      </c>
      <c r="J4448" s="36">
        <v>5040</v>
      </c>
      <c r="K4448" s="85">
        <v>0</v>
      </c>
      <c r="L4448" s="36">
        <v>420</v>
      </c>
      <c r="M4448" s="36">
        <v>0</v>
      </c>
      <c r="N4448" s="36">
        <v>0</v>
      </c>
      <c r="O4448" s="36">
        <v>420</v>
      </c>
      <c r="P4448" t="s">
        <v>75</v>
      </c>
      <c r="Q4448" t="s">
        <v>3558</v>
      </c>
      <c r="R4448" t="s">
        <v>37</v>
      </c>
      <c r="S4448" s="112">
        <v>46170</v>
      </c>
      <c r="T4448" s="112">
        <v>46170</v>
      </c>
      <c r="U4448" s="112">
        <v>46169</v>
      </c>
      <c r="V4448" s="112">
        <v>46535</v>
      </c>
      <c r="W4448" t="s">
        <v>38</v>
      </c>
      <c r="X4448">
        <v>12</v>
      </c>
      <c r="Y4448" t="s">
        <v>49</v>
      </c>
      <c r="Z4448" t="s">
        <v>81</v>
      </c>
      <c r="AA4448" t="s">
        <v>40</v>
      </c>
      <c r="AB4448">
        <v>1</v>
      </c>
      <c r="AC4448" t="s">
        <v>41</v>
      </c>
      <c r="AD4448" t="s">
        <v>53</v>
      </c>
      <c r="AE4448" t="s">
        <v>43</v>
      </c>
      <c r="AF4448" t="s">
        <v>44</v>
      </c>
      <c r="AG4448" t="str">
        <f t="shared" si="101"/>
        <v>À Vista</v>
      </c>
      <c r="AH4448" t="str">
        <f t="shared" si="102"/>
        <v/>
      </c>
    </row>
    <row r="4449" spans="1:34">
      <c r="A4449">
        <v>2026</v>
      </c>
      <c r="B4449">
        <v>5</v>
      </c>
      <c r="C4449" s="83">
        <v>208033701016</v>
      </c>
      <c r="D4449" t="s">
        <v>3627</v>
      </c>
      <c r="E4449">
        <v>59644344740</v>
      </c>
      <c r="F4449">
        <v>637614</v>
      </c>
      <c r="G4449">
        <v>55072705347</v>
      </c>
      <c r="H4449" t="s">
        <v>35</v>
      </c>
      <c r="I4449" s="36">
        <v>5036.3999999999996</v>
      </c>
      <c r="J4449" s="36">
        <v>5036.3999999999996</v>
      </c>
      <c r="K4449" s="85">
        <v>0</v>
      </c>
      <c r="L4449" s="36">
        <v>419.7</v>
      </c>
      <c r="M4449" s="36">
        <v>0</v>
      </c>
      <c r="N4449" s="36">
        <v>132.5041382</v>
      </c>
      <c r="O4449" s="36">
        <v>287.19586179999999</v>
      </c>
      <c r="P4449" t="s">
        <v>162</v>
      </c>
      <c r="Q4449" t="s">
        <v>111</v>
      </c>
      <c r="R4449" t="s">
        <v>111</v>
      </c>
      <c r="S4449" s="112">
        <v>46149</v>
      </c>
      <c r="T4449" s="112">
        <v>46149</v>
      </c>
      <c r="U4449" s="112"/>
      <c r="V4449" s="112">
        <v>46514</v>
      </c>
      <c r="W4449" t="s">
        <v>38</v>
      </c>
      <c r="Y4449" t="s">
        <v>49</v>
      </c>
      <c r="AA4449" t="s">
        <v>112</v>
      </c>
      <c r="AB4449">
        <v>12</v>
      </c>
      <c r="AC4449" t="s">
        <v>113</v>
      </c>
      <c r="AD4449" t="s">
        <v>94</v>
      </c>
      <c r="AE4449" t="s">
        <v>95</v>
      </c>
      <c r="AF4449" t="s">
        <v>96</v>
      </c>
      <c r="AG4449" t="str">
        <f t="shared" si="101"/>
        <v>CC 12x</v>
      </c>
      <c r="AH4449" t="str">
        <f t="shared" si="102"/>
        <v/>
      </c>
    </row>
    <row r="4450" spans="1:34">
      <c r="A4450">
        <v>2026</v>
      </c>
      <c r="B4450">
        <v>5</v>
      </c>
      <c r="C4450" s="83">
        <v>107626716323</v>
      </c>
      <c r="D4450" t="s">
        <v>3814</v>
      </c>
      <c r="E4450">
        <v>60238331268</v>
      </c>
      <c r="F4450">
        <v>637775</v>
      </c>
      <c r="G4450">
        <v>55243792306</v>
      </c>
      <c r="H4450" t="s">
        <v>35</v>
      </c>
      <c r="I4450" s="36">
        <v>5034</v>
      </c>
      <c r="J4450" s="36">
        <v>5034</v>
      </c>
      <c r="K4450" s="85">
        <v>0</v>
      </c>
      <c r="L4450" s="36">
        <v>419.5</v>
      </c>
      <c r="M4450" s="36">
        <v>419.5</v>
      </c>
      <c r="N4450" s="36">
        <v>0</v>
      </c>
      <c r="O4450" s="36">
        <v>0</v>
      </c>
      <c r="P4450" t="s">
        <v>2004</v>
      </c>
      <c r="Q4450" t="s">
        <v>300</v>
      </c>
      <c r="R4450" t="s">
        <v>300</v>
      </c>
      <c r="S4450" s="112">
        <v>46155</v>
      </c>
      <c r="T4450" s="112">
        <v>46155</v>
      </c>
      <c r="U4450" s="112"/>
      <c r="V4450" s="112">
        <v>46520</v>
      </c>
      <c r="W4450" t="s">
        <v>38</v>
      </c>
      <c r="X4450">
        <v>12</v>
      </c>
      <c r="Y4450" t="s">
        <v>49</v>
      </c>
      <c r="AA4450" t="s">
        <v>122</v>
      </c>
      <c r="AB4450">
        <v>12</v>
      </c>
      <c r="AC4450" t="s">
        <v>301</v>
      </c>
      <c r="AD4450" t="s">
        <v>84</v>
      </c>
      <c r="AE4450" t="s">
        <v>43</v>
      </c>
      <c r="AF4450" t="s">
        <v>44</v>
      </c>
      <c r="AG4450" t="str">
        <f t="shared" si="101"/>
        <v>Recorrente</v>
      </c>
      <c r="AH4450" t="str">
        <f t="shared" si="102"/>
        <v/>
      </c>
    </row>
    <row r="4451" spans="1:34">
      <c r="A4451">
        <v>2026</v>
      </c>
      <c r="B4451">
        <v>5</v>
      </c>
      <c r="C4451" s="83">
        <v>124323824198</v>
      </c>
      <c r="D4451" t="s">
        <v>3815</v>
      </c>
      <c r="E4451">
        <v>59082373785</v>
      </c>
      <c r="F4451">
        <v>629834</v>
      </c>
      <c r="G4451">
        <v>54215877533</v>
      </c>
      <c r="H4451" t="s">
        <v>35</v>
      </c>
      <c r="I4451" s="36">
        <v>5034</v>
      </c>
      <c r="J4451" s="36">
        <v>5034</v>
      </c>
      <c r="K4451" s="85">
        <v>0</v>
      </c>
      <c r="L4451" s="36">
        <v>419.5</v>
      </c>
      <c r="M4451" s="36">
        <v>0</v>
      </c>
      <c r="N4451" s="36">
        <v>56.31</v>
      </c>
      <c r="O4451" s="36">
        <v>363.19</v>
      </c>
      <c r="P4451" t="s">
        <v>165</v>
      </c>
      <c r="Q4451" t="s">
        <v>166</v>
      </c>
      <c r="R4451" t="s">
        <v>166</v>
      </c>
      <c r="S4451" s="112">
        <v>46167</v>
      </c>
      <c r="T4451" s="112">
        <v>46167</v>
      </c>
      <c r="U4451" s="112">
        <v>46168</v>
      </c>
      <c r="V4451" s="112">
        <v>46533</v>
      </c>
      <c r="W4451" t="s">
        <v>38</v>
      </c>
      <c r="X4451">
        <v>12</v>
      </c>
      <c r="Y4451" t="s">
        <v>49</v>
      </c>
      <c r="Z4451" t="s">
        <v>81</v>
      </c>
      <c r="AA4451" t="s">
        <v>112</v>
      </c>
      <c r="AB4451">
        <v>8</v>
      </c>
      <c r="AC4451" t="s">
        <v>166</v>
      </c>
      <c r="AD4451" t="s">
        <v>84</v>
      </c>
      <c r="AE4451" t="s">
        <v>43</v>
      </c>
      <c r="AF4451" t="s">
        <v>44</v>
      </c>
      <c r="AG4451" t="str">
        <f t="shared" si="101"/>
        <v>CC 12x</v>
      </c>
      <c r="AH4451" t="str">
        <f t="shared" si="102"/>
        <v/>
      </c>
    </row>
    <row r="4452" spans="1:34">
      <c r="A4452">
        <v>2026</v>
      </c>
      <c r="B4452">
        <v>5</v>
      </c>
      <c r="C4452" s="83">
        <v>194275528034</v>
      </c>
      <c r="D4452" t="s">
        <v>3816</v>
      </c>
      <c r="E4452">
        <v>60270908189</v>
      </c>
      <c r="F4452">
        <v>637804</v>
      </c>
      <c r="G4452">
        <v>55270604687</v>
      </c>
      <c r="H4452" t="s">
        <v>35</v>
      </c>
      <c r="I4452" s="36">
        <v>5034</v>
      </c>
      <c r="J4452" s="36">
        <v>5034</v>
      </c>
      <c r="K4452" s="85">
        <v>0</v>
      </c>
      <c r="L4452" s="36">
        <v>419.5</v>
      </c>
      <c r="M4452" s="36">
        <v>419.5</v>
      </c>
      <c r="N4452" s="36">
        <v>0</v>
      </c>
      <c r="O4452" s="36">
        <v>0</v>
      </c>
      <c r="P4452" t="s">
        <v>829</v>
      </c>
      <c r="Q4452" t="s">
        <v>300</v>
      </c>
      <c r="R4452" t="s">
        <v>300</v>
      </c>
      <c r="S4452" s="112">
        <v>46157</v>
      </c>
      <c r="T4452" s="112">
        <v>46157</v>
      </c>
      <c r="U4452" s="112"/>
      <c r="V4452" s="112">
        <v>46522</v>
      </c>
      <c r="W4452" t="s">
        <v>38</v>
      </c>
      <c r="X4452">
        <v>12</v>
      </c>
      <c r="Y4452" t="s">
        <v>49</v>
      </c>
      <c r="AA4452" t="s">
        <v>112</v>
      </c>
      <c r="AB4452">
        <v>12</v>
      </c>
      <c r="AC4452" t="s">
        <v>301</v>
      </c>
      <c r="AD4452" t="s">
        <v>84</v>
      </c>
      <c r="AE4452" t="s">
        <v>43</v>
      </c>
      <c r="AF4452" t="s">
        <v>44</v>
      </c>
      <c r="AG4452" t="str">
        <f t="shared" si="101"/>
        <v>CC 12x</v>
      </c>
      <c r="AH4452" t="str">
        <f t="shared" si="102"/>
        <v/>
      </c>
    </row>
    <row r="4453" spans="1:34">
      <c r="A4453">
        <v>2026</v>
      </c>
      <c r="B4453">
        <v>5</v>
      </c>
      <c r="C4453" s="83">
        <v>194949527675</v>
      </c>
      <c r="D4453" t="s">
        <v>3817</v>
      </c>
      <c r="E4453">
        <v>60602217514</v>
      </c>
      <c r="F4453">
        <v>637945</v>
      </c>
      <c r="G4453">
        <v>55607227684</v>
      </c>
      <c r="H4453" t="s">
        <v>35</v>
      </c>
      <c r="I4453" s="36">
        <v>5034</v>
      </c>
      <c r="J4453" s="36">
        <v>5034</v>
      </c>
      <c r="K4453" s="85">
        <v>0</v>
      </c>
      <c r="L4453" s="36">
        <v>419.5</v>
      </c>
      <c r="M4453" s="36">
        <v>419.5</v>
      </c>
      <c r="N4453" s="36">
        <v>0</v>
      </c>
      <c r="O4453" s="36">
        <v>0</v>
      </c>
      <c r="P4453" t="s">
        <v>506</v>
      </c>
      <c r="Q4453" t="s">
        <v>300</v>
      </c>
      <c r="R4453" t="s">
        <v>300</v>
      </c>
      <c r="S4453" s="112">
        <v>46167</v>
      </c>
      <c r="T4453" s="112">
        <v>46167</v>
      </c>
      <c r="U4453" s="112"/>
      <c r="V4453" s="112">
        <v>46532</v>
      </c>
      <c r="W4453" t="s">
        <v>38</v>
      </c>
      <c r="X4453">
        <v>12</v>
      </c>
      <c r="Y4453" t="s">
        <v>49</v>
      </c>
      <c r="AA4453" t="s">
        <v>122</v>
      </c>
      <c r="AB4453">
        <v>12</v>
      </c>
      <c r="AC4453" t="s">
        <v>301</v>
      </c>
      <c r="AD4453" t="s">
        <v>84</v>
      </c>
      <c r="AE4453" t="s">
        <v>43</v>
      </c>
      <c r="AF4453" t="s">
        <v>44</v>
      </c>
      <c r="AG4453" t="str">
        <f t="shared" si="101"/>
        <v>Recorrente</v>
      </c>
      <c r="AH4453" t="str">
        <f t="shared" si="102"/>
        <v/>
      </c>
    </row>
    <row r="4454" spans="1:34">
      <c r="A4454">
        <v>2026</v>
      </c>
      <c r="B4454">
        <v>5</v>
      </c>
      <c r="C4454" s="83">
        <v>2084693</v>
      </c>
      <c r="D4454" t="s">
        <v>3818</v>
      </c>
      <c r="E4454">
        <v>58327877139</v>
      </c>
      <c r="F4454">
        <v>534334</v>
      </c>
      <c r="G4454">
        <v>53522403998</v>
      </c>
      <c r="H4454" t="s">
        <v>35</v>
      </c>
      <c r="I4454" s="36">
        <v>5034</v>
      </c>
      <c r="J4454" s="36">
        <v>5034</v>
      </c>
      <c r="K4454" s="85">
        <v>0</v>
      </c>
      <c r="L4454" s="36">
        <v>419.5</v>
      </c>
      <c r="M4454" s="36">
        <v>0</v>
      </c>
      <c r="N4454" s="36">
        <v>51.85</v>
      </c>
      <c r="O4454" s="36">
        <v>367.65</v>
      </c>
      <c r="P4454" t="s">
        <v>165</v>
      </c>
      <c r="Q4454" t="s">
        <v>166</v>
      </c>
      <c r="R4454" t="s">
        <v>166</v>
      </c>
      <c r="S4454" s="112">
        <v>46151</v>
      </c>
      <c r="T4454" s="112">
        <v>46151</v>
      </c>
      <c r="U4454" s="112">
        <v>46151</v>
      </c>
      <c r="V4454" s="112">
        <v>46516</v>
      </c>
      <c r="W4454" t="s">
        <v>38</v>
      </c>
      <c r="X4454">
        <v>12</v>
      </c>
      <c r="Y4454" t="s">
        <v>49</v>
      </c>
      <c r="Z4454" t="s">
        <v>81</v>
      </c>
      <c r="AA4454" t="s">
        <v>122</v>
      </c>
      <c r="AB4454">
        <v>12</v>
      </c>
      <c r="AC4454" t="s">
        <v>166</v>
      </c>
      <c r="AD4454" t="s">
        <v>84</v>
      </c>
      <c r="AE4454" t="s">
        <v>43</v>
      </c>
      <c r="AF4454" t="s">
        <v>44</v>
      </c>
      <c r="AG4454" t="str">
        <f t="shared" si="101"/>
        <v>Recorrente</v>
      </c>
      <c r="AH4454" t="str">
        <f t="shared" si="102"/>
        <v/>
      </c>
    </row>
    <row r="4455" spans="1:34">
      <c r="A4455">
        <v>2026</v>
      </c>
      <c r="B4455">
        <v>5</v>
      </c>
      <c r="C4455" s="83">
        <v>220042266396</v>
      </c>
      <c r="D4455" t="s">
        <v>3819</v>
      </c>
      <c r="E4455">
        <v>60071387057</v>
      </c>
      <c r="F4455">
        <v>637642</v>
      </c>
      <c r="G4455">
        <v>55095938821</v>
      </c>
      <c r="H4455" t="s">
        <v>35</v>
      </c>
      <c r="I4455" s="36">
        <v>5034</v>
      </c>
      <c r="J4455" s="36">
        <v>5034</v>
      </c>
      <c r="K4455" s="85">
        <v>0</v>
      </c>
      <c r="L4455" s="36">
        <v>419.5</v>
      </c>
      <c r="M4455" s="36">
        <v>419.5</v>
      </c>
      <c r="N4455" s="36">
        <v>0</v>
      </c>
      <c r="O4455" s="36">
        <v>0</v>
      </c>
      <c r="P4455" t="s">
        <v>829</v>
      </c>
      <c r="Q4455" t="s">
        <v>300</v>
      </c>
      <c r="R4455" t="s">
        <v>300</v>
      </c>
      <c r="S4455" s="112">
        <v>46149</v>
      </c>
      <c r="T4455" s="112">
        <v>46149</v>
      </c>
      <c r="U4455" s="112"/>
      <c r="V4455" s="112">
        <v>46514</v>
      </c>
      <c r="W4455" t="s">
        <v>38</v>
      </c>
      <c r="X4455">
        <v>12</v>
      </c>
      <c r="Y4455" t="s">
        <v>49</v>
      </c>
      <c r="AA4455" t="s">
        <v>122</v>
      </c>
      <c r="AB4455">
        <v>12</v>
      </c>
      <c r="AC4455" t="s">
        <v>301</v>
      </c>
      <c r="AD4455" t="s">
        <v>84</v>
      </c>
      <c r="AE4455" t="s">
        <v>43</v>
      </c>
      <c r="AF4455" t="s">
        <v>44</v>
      </c>
      <c r="AG4455" t="str">
        <f t="shared" si="101"/>
        <v>Recorrente</v>
      </c>
      <c r="AH4455" t="str">
        <f t="shared" si="102"/>
        <v/>
      </c>
    </row>
    <row r="4456" spans="1:34">
      <c r="A4456">
        <v>2026</v>
      </c>
      <c r="B4456">
        <v>5</v>
      </c>
      <c r="C4456" s="83">
        <v>222125586810</v>
      </c>
      <c r="D4456" t="s">
        <v>3820</v>
      </c>
      <c r="E4456">
        <v>60313290081</v>
      </c>
      <c r="F4456">
        <v>637822</v>
      </c>
      <c r="G4456">
        <v>55307921199</v>
      </c>
      <c r="H4456" t="s">
        <v>35</v>
      </c>
      <c r="I4456" s="36">
        <v>5034</v>
      </c>
      <c r="J4456" s="36">
        <v>5034</v>
      </c>
      <c r="K4456" s="85">
        <v>0</v>
      </c>
      <c r="L4456" s="36">
        <v>419.5</v>
      </c>
      <c r="M4456" s="36">
        <v>419.5</v>
      </c>
      <c r="N4456" s="36">
        <v>0</v>
      </c>
      <c r="O4456" s="36">
        <v>0</v>
      </c>
      <c r="Q4456" t="s">
        <v>498</v>
      </c>
      <c r="R4456" t="s">
        <v>498</v>
      </c>
      <c r="S4456" s="112">
        <v>46159</v>
      </c>
      <c r="T4456" s="112">
        <v>46159</v>
      </c>
      <c r="U4456" s="112"/>
      <c r="V4456" s="112">
        <v>46524</v>
      </c>
      <c r="W4456" t="s">
        <v>38</v>
      </c>
      <c r="X4456">
        <v>12</v>
      </c>
      <c r="Y4456" t="s">
        <v>49</v>
      </c>
      <c r="AA4456" t="s">
        <v>122</v>
      </c>
      <c r="AB4456">
        <v>12</v>
      </c>
      <c r="AC4456" t="s">
        <v>499</v>
      </c>
      <c r="AD4456" t="s">
        <v>84</v>
      </c>
      <c r="AE4456" t="s">
        <v>43</v>
      </c>
      <c r="AF4456" t="s">
        <v>44</v>
      </c>
      <c r="AG4456" t="str">
        <f t="shared" si="101"/>
        <v>Recorrente</v>
      </c>
      <c r="AH4456" t="str">
        <f t="shared" si="102"/>
        <v/>
      </c>
    </row>
    <row r="4457" spans="1:34">
      <c r="A4457">
        <v>2026</v>
      </c>
      <c r="B4457">
        <v>5</v>
      </c>
      <c r="C4457" s="83">
        <v>222291974290</v>
      </c>
      <c r="D4457" t="s">
        <v>3821</v>
      </c>
      <c r="E4457">
        <v>60326501303</v>
      </c>
      <c r="F4457">
        <v>637826</v>
      </c>
      <c r="G4457">
        <v>55319708435</v>
      </c>
      <c r="H4457" t="s">
        <v>35</v>
      </c>
      <c r="I4457" s="36">
        <v>5034</v>
      </c>
      <c r="J4457" s="36">
        <v>5034</v>
      </c>
      <c r="K4457" s="85">
        <v>0</v>
      </c>
      <c r="L4457" s="36">
        <v>419.5</v>
      </c>
      <c r="M4457" s="36">
        <v>419.5</v>
      </c>
      <c r="N4457" s="36">
        <v>0</v>
      </c>
      <c r="O4457" s="36">
        <v>0</v>
      </c>
      <c r="Q4457" t="s">
        <v>498</v>
      </c>
      <c r="R4457" t="s">
        <v>498</v>
      </c>
      <c r="S4457" s="112">
        <v>46160</v>
      </c>
      <c r="T4457" s="112">
        <v>46160</v>
      </c>
      <c r="U4457" s="112"/>
      <c r="V4457" s="112">
        <v>46525</v>
      </c>
      <c r="W4457" t="s">
        <v>38</v>
      </c>
      <c r="X4457">
        <v>12</v>
      </c>
      <c r="Y4457" t="s">
        <v>49</v>
      </c>
      <c r="AA4457" t="s">
        <v>122</v>
      </c>
      <c r="AB4457">
        <v>12</v>
      </c>
      <c r="AC4457" t="s">
        <v>499</v>
      </c>
      <c r="AD4457" t="s">
        <v>84</v>
      </c>
      <c r="AE4457" t="s">
        <v>43</v>
      </c>
      <c r="AF4457" t="s">
        <v>44</v>
      </c>
      <c r="AG4457" t="str">
        <f t="shared" si="101"/>
        <v>Recorrente</v>
      </c>
      <c r="AH4457" t="str">
        <f t="shared" si="102"/>
        <v/>
      </c>
    </row>
    <row r="4458" spans="1:34">
      <c r="A4458">
        <v>2026</v>
      </c>
      <c r="B4458">
        <v>5</v>
      </c>
      <c r="C4458" s="83">
        <v>33000482884</v>
      </c>
      <c r="D4458" t="s">
        <v>3822</v>
      </c>
      <c r="E4458">
        <v>58214050942</v>
      </c>
      <c r="F4458">
        <v>629298</v>
      </c>
      <c r="G4458">
        <v>53414569005</v>
      </c>
      <c r="H4458" t="s">
        <v>35</v>
      </c>
      <c r="I4458" s="36">
        <v>5034</v>
      </c>
      <c r="J4458" s="36">
        <v>5034</v>
      </c>
      <c r="K4458" s="85">
        <v>0</v>
      </c>
      <c r="L4458" s="36">
        <v>419.5</v>
      </c>
      <c r="M4458" s="36">
        <v>0</v>
      </c>
      <c r="N4458" s="36">
        <v>69.650000000000006</v>
      </c>
      <c r="O4458" s="36">
        <v>349.85</v>
      </c>
      <c r="P4458" t="s">
        <v>165</v>
      </c>
      <c r="Q4458" t="s">
        <v>166</v>
      </c>
      <c r="R4458" t="s">
        <v>166</v>
      </c>
      <c r="S4458" s="112">
        <v>46147</v>
      </c>
      <c r="T4458" s="112">
        <v>46147</v>
      </c>
      <c r="U4458" s="112">
        <v>46147</v>
      </c>
      <c r="V4458" s="112">
        <v>46512</v>
      </c>
      <c r="W4458" t="s">
        <v>38</v>
      </c>
      <c r="X4458">
        <v>12</v>
      </c>
      <c r="Y4458" t="s">
        <v>49</v>
      </c>
      <c r="Z4458" t="s">
        <v>81</v>
      </c>
      <c r="AA4458" t="s">
        <v>112</v>
      </c>
      <c r="AB4458">
        <v>12</v>
      </c>
      <c r="AC4458" t="s">
        <v>166</v>
      </c>
      <c r="AD4458" t="s">
        <v>84</v>
      </c>
      <c r="AE4458" t="s">
        <v>43</v>
      </c>
      <c r="AF4458" t="s">
        <v>44</v>
      </c>
      <c r="AG4458" t="str">
        <f t="shared" si="101"/>
        <v>CC 12x</v>
      </c>
      <c r="AH4458" t="str">
        <f t="shared" si="102"/>
        <v/>
      </c>
    </row>
    <row r="4459" spans="1:34">
      <c r="A4459">
        <v>2026</v>
      </c>
      <c r="B4459">
        <v>5</v>
      </c>
      <c r="C4459" s="83">
        <v>38487370890</v>
      </c>
      <c r="D4459" t="s">
        <v>3823</v>
      </c>
      <c r="E4459">
        <v>60331302769</v>
      </c>
      <c r="F4459">
        <v>637835</v>
      </c>
      <c r="G4459">
        <v>55324153759</v>
      </c>
      <c r="H4459" t="s">
        <v>35</v>
      </c>
      <c r="I4459" s="36">
        <v>5034</v>
      </c>
      <c r="J4459" s="36">
        <v>5034</v>
      </c>
      <c r="K4459" s="85">
        <v>0</v>
      </c>
      <c r="L4459" s="36">
        <v>419.5</v>
      </c>
      <c r="M4459" s="36">
        <v>419.5</v>
      </c>
      <c r="N4459" s="36">
        <v>0</v>
      </c>
      <c r="O4459" s="36">
        <v>0</v>
      </c>
      <c r="Q4459" t="s">
        <v>498</v>
      </c>
      <c r="R4459" t="s">
        <v>498</v>
      </c>
      <c r="S4459" s="112">
        <v>46160</v>
      </c>
      <c r="T4459" s="112">
        <v>46160</v>
      </c>
      <c r="U4459" s="112"/>
      <c r="V4459" s="112">
        <v>46525</v>
      </c>
      <c r="W4459" t="s">
        <v>38</v>
      </c>
      <c r="X4459">
        <v>12</v>
      </c>
      <c r="Y4459" t="s">
        <v>49</v>
      </c>
      <c r="AA4459" t="s">
        <v>122</v>
      </c>
      <c r="AB4459">
        <v>12</v>
      </c>
      <c r="AC4459" t="s">
        <v>499</v>
      </c>
      <c r="AD4459" t="s">
        <v>84</v>
      </c>
      <c r="AE4459" t="s">
        <v>43</v>
      </c>
      <c r="AF4459" t="s">
        <v>44</v>
      </c>
      <c r="AG4459" t="str">
        <f t="shared" si="101"/>
        <v>Recorrente</v>
      </c>
      <c r="AH4459" t="str">
        <f t="shared" si="102"/>
        <v/>
      </c>
    </row>
    <row r="4460" spans="1:34">
      <c r="A4460">
        <v>2026</v>
      </c>
      <c r="B4460">
        <v>5</v>
      </c>
      <c r="C4460" s="83">
        <v>42179266981</v>
      </c>
      <c r="D4460" t="s">
        <v>3824</v>
      </c>
      <c r="E4460">
        <v>60233027451</v>
      </c>
      <c r="F4460">
        <v>637883</v>
      </c>
      <c r="G4460">
        <v>55408311710</v>
      </c>
      <c r="H4460" t="s">
        <v>35</v>
      </c>
      <c r="I4460" s="36">
        <v>5034</v>
      </c>
      <c r="J4460" s="36">
        <v>5034</v>
      </c>
      <c r="K4460" s="85">
        <v>0</v>
      </c>
      <c r="L4460" s="36">
        <v>419.5</v>
      </c>
      <c r="M4460" s="36">
        <v>419.5</v>
      </c>
      <c r="N4460" s="36">
        <v>0</v>
      </c>
      <c r="O4460" s="36">
        <v>0</v>
      </c>
      <c r="P4460" t="s">
        <v>313</v>
      </c>
      <c r="Q4460" t="s">
        <v>191</v>
      </c>
      <c r="R4460" t="s">
        <v>349</v>
      </c>
      <c r="S4460" s="112">
        <v>46162</v>
      </c>
      <c r="T4460" s="112">
        <v>46162</v>
      </c>
      <c r="U4460" s="112"/>
      <c r="V4460" s="112">
        <v>46528</v>
      </c>
      <c r="W4460" t="s">
        <v>38</v>
      </c>
      <c r="X4460">
        <v>12</v>
      </c>
      <c r="Y4460" t="s">
        <v>49</v>
      </c>
      <c r="AA4460" t="s">
        <v>92</v>
      </c>
      <c r="AB4460">
        <v>12</v>
      </c>
      <c r="AC4460" t="s">
        <v>350</v>
      </c>
      <c r="AD4460" t="s">
        <v>84</v>
      </c>
      <c r="AE4460" t="s">
        <v>43</v>
      </c>
      <c r="AF4460" t="s">
        <v>44</v>
      </c>
      <c r="AG4460" t="str">
        <f t="shared" si="101"/>
        <v>Recorrente</v>
      </c>
      <c r="AH4460" t="str">
        <f t="shared" si="102"/>
        <v/>
      </c>
    </row>
    <row r="4461" spans="1:34">
      <c r="A4461">
        <v>2026</v>
      </c>
      <c r="B4461">
        <v>5</v>
      </c>
      <c r="C4461" s="83">
        <v>55212016694</v>
      </c>
      <c r="D4461" t="s">
        <v>3825</v>
      </c>
      <c r="E4461">
        <v>60536278306</v>
      </c>
      <c r="F4461">
        <v>637913</v>
      </c>
      <c r="G4461">
        <v>55479002959</v>
      </c>
      <c r="H4461" t="s">
        <v>35</v>
      </c>
      <c r="I4461" s="36">
        <v>5034</v>
      </c>
      <c r="J4461" s="36">
        <v>5034</v>
      </c>
      <c r="K4461" s="85">
        <v>0</v>
      </c>
      <c r="L4461" s="36">
        <v>419.5</v>
      </c>
      <c r="M4461" s="36">
        <v>419.5</v>
      </c>
      <c r="N4461" s="36">
        <v>0</v>
      </c>
      <c r="O4461" s="36">
        <v>0</v>
      </c>
      <c r="P4461" t="s">
        <v>348</v>
      </c>
      <c r="Q4461" t="s">
        <v>349</v>
      </c>
      <c r="R4461" t="s">
        <v>349</v>
      </c>
      <c r="S4461" s="112">
        <v>46163</v>
      </c>
      <c r="T4461" s="112">
        <v>46163</v>
      </c>
      <c r="V4461" s="112">
        <v>46528</v>
      </c>
      <c r="W4461" t="s">
        <v>38</v>
      </c>
      <c r="X4461">
        <v>12</v>
      </c>
      <c r="Y4461" t="s">
        <v>49</v>
      </c>
      <c r="AA4461" t="s">
        <v>112</v>
      </c>
      <c r="AB4461">
        <v>12</v>
      </c>
      <c r="AC4461" t="s">
        <v>350</v>
      </c>
      <c r="AD4461" t="s">
        <v>84</v>
      </c>
      <c r="AE4461" t="s">
        <v>43</v>
      </c>
      <c r="AF4461" t="s">
        <v>44</v>
      </c>
      <c r="AG4461" t="str">
        <f t="shared" si="101"/>
        <v>CC 12x</v>
      </c>
      <c r="AH4461" t="str">
        <f t="shared" si="102"/>
        <v/>
      </c>
    </row>
    <row r="4462" spans="1:34">
      <c r="A4462">
        <v>2026</v>
      </c>
      <c r="B4462">
        <v>5</v>
      </c>
      <c r="C4462" s="83">
        <v>56585899855</v>
      </c>
      <c r="D4462" t="s">
        <v>3826</v>
      </c>
      <c r="E4462">
        <v>60236122520</v>
      </c>
      <c r="F4462">
        <v>637863</v>
      </c>
      <c r="G4462">
        <v>55339829770</v>
      </c>
      <c r="H4462" t="s">
        <v>35</v>
      </c>
      <c r="I4462" s="36">
        <v>5034</v>
      </c>
      <c r="J4462" s="36">
        <v>5034</v>
      </c>
      <c r="K4462" s="85">
        <v>0</v>
      </c>
      <c r="L4462" s="36">
        <v>419.5</v>
      </c>
      <c r="M4462" s="36">
        <v>419.5</v>
      </c>
      <c r="N4462" s="36">
        <v>0</v>
      </c>
      <c r="O4462" s="36">
        <v>0</v>
      </c>
      <c r="P4462" t="s">
        <v>2004</v>
      </c>
      <c r="Q4462" t="s">
        <v>300</v>
      </c>
      <c r="R4462" t="s">
        <v>300</v>
      </c>
      <c r="S4462" s="112">
        <v>46161</v>
      </c>
      <c r="T4462" s="112">
        <v>46161</v>
      </c>
      <c r="U4462" s="112"/>
      <c r="V4462" s="112">
        <v>46526</v>
      </c>
      <c r="W4462" t="s">
        <v>38</v>
      </c>
      <c r="X4462">
        <v>12</v>
      </c>
      <c r="Y4462" t="s">
        <v>49</v>
      </c>
      <c r="AA4462" t="s">
        <v>122</v>
      </c>
      <c r="AB4462">
        <v>12</v>
      </c>
      <c r="AC4462" t="s">
        <v>301</v>
      </c>
      <c r="AD4462" t="s">
        <v>84</v>
      </c>
      <c r="AE4462" t="s">
        <v>43</v>
      </c>
      <c r="AF4462" t="s">
        <v>44</v>
      </c>
      <c r="AG4462" t="str">
        <f t="shared" si="101"/>
        <v>Recorrente</v>
      </c>
      <c r="AH4462" t="str">
        <f t="shared" si="102"/>
        <v/>
      </c>
    </row>
    <row r="4463" spans="1:34">
      <c r="A4463">
        <v>2026</v>
      </c>
      <c r="B4463">
        <v>5</v>
      </c>
      <c r="C4463" s="83">
        <v>19435616870</v>
      </c>
      <c r="D4463" t="s">
        <v>3685</v>
      </c>
      <c r="E4463">
        <v>60670800199</v>
      </c>
      <c r="F4463">
        <v>638046</v>
      </c>
      <c r="G4463">
        <v>55660899717</v>
      </c>
      <c r="H4463" t="s">
        <v>35</v>
      </c>
      <c r="I4463" s="36">
        <v>4971.3599999999997</v>
      </c>
      <c r="J4463" s="36">
        <v>4971.3409199999996</v>
      </c>
      <c r="K4463" s="85">
        <v>1.908E-2</v>
      </c>
      <c r="L4463" s="36">
        <v>414.27841000000001</v>
      </c>
      <c r="M4463" s="36">
        <v>0</v>
      </c>
      <c r="N4463" s="36">
        <v>414.27841000000001</v>
      </c>
      <c r="O4463" s="36">
        <v>0</v>
      </c>
      <c r="P4463" t="s">
        <v>367</v>
      </c>
      <c r="Q4463" t="s">
        <v>191</v>
      </c>
      <c r="R4463" t="s">
        <v>191</v>
      </c>
      <c r="S4463" s="112">
        <v>46170</v>
      </c>
      <c r="T4463" s="112">
        <v>46170</v>
      </c>
      <c r="U4463" s="112">
        <v>46897</v>
      </c>
      <c r="V4463" s="112">
        <v>46535</v>
      </c>
      <c r="W4463" t="s">
        <v>38</v>
      </c>
      <c r="X4463">
        <v>12</v>
      </c>
      <c r="Y4463" t="s">
        <v>49</v>
      </c>
      <c r="AA4463" t="s">
        <v>112</v>
      </c>
      <c r="AB4463">
        <v>12</v>
      </c>
      <c r="AC4463" t="s">
        <v>192</v>
      </c>
      <c r="AD4463" t="s">
        <v>85</v>
      </c>
      <c r="AE4463" t="s">
        <v>46</v>
      </c>
      <c r="AF4463" t="s">
        <v>44</v>
      </c>
      <c r="AG4463" t="str">
        <f t="shared" si="101"/>
        <v>CC 12x</v>
      </c>
      <c r="AH4463" t="str">
        <f t="shared" si="102"/>
        <v/>
      </c>
    </row>
    <row r="4464" spans="1:34">
      <c r="A4464">
        <v>2026</v>
      </c>
      <c r="B4464">
        <v>5</v>
      </c>
      <c r="C4464" s="83">
        <v>52808693155</v>
      </c>
      <c r="D4464" t="s">
        <v>3593</v>
      </c>
      <c r="E4464">
        <v>57829461372</v>
      </c>
      <c r="F4464">
        <v>638031</v>
      </c>
      <c r="G4464">
        <v>55648735335</v>
      </c>
      <c r="H4464" t="s">
        <v>35</v>
      </c>
      <c r="I4464" s="36">
        <v>4968</v>
      </c>
      <c r="J4464" s="36">
        <v>4968</v>
      </c>
      <c r="K4464" s="85">
        <v>0</v>
      </c>
      <c r="L4464" s="36">
        <v>414</v>
      </c>
      <c r="M4464" s="36">
        <v>414</v>
      </c>
      <c r="N4464" s="36">
        <v>0</v>
      </c>
      <c r="O4464" s="36">
        <v>0</v>
      </c>
      <c r="P4464" t="s">
        <v>668</v>
      </c>
      <c r="Q4464" t="s">
        <v>91</v>
      </c>
      <c r="R4464" t="s">
        <v>91</v>
      </c>
      <c r="S4464" s="112">
        <v>46169</v>
      </c>
      <c r="T4464" s="112">
        <v>46169</v>
      </c>
      <c r="U4464" s="112"/>
      <c r="V4464" s="112">
        <v>46534</v>
      </c>
      <c r="W4464" t="s">
        <v>38</v>
      </c>
      <c r="X4464">
        <v>12</v>
      </c>
      <c r="Y4464" t="s">
        <v>49</v>
      </c>
      <c r="AA4464" t="s">
        <v>92</v>
      </c>
      <c r="AB4464">
        <v>1</v>
      </c>
      <c r="AC4464" t="s">
        <v>93</v>
      </c>
      <c r="AD4464" t="s">
        <v>1695</v>
      </c>
      <c r="AE4464" t="s">
        <v>1696</v>
      </c>
      <c r="AF4464" t="s">
        <v>59</v>
      </c>
      <c r="AG4464" t="str">
        <f t="shared" si="101"/>
        <v>Recorrente</v>
      </c>
      <c r="AH4464" t="str">
        <f t="shared" si="102"/>
        <v/>
      </c>
    </row>
    <row r="4465" spans="1:34">
      <c r="A4465">
        <v>2026</v>
      </c>
      <c r="B4465">
        <v>5</v>
      </c>
      <c r="C4465" s="83">
        <v>117585386071</v>
      </c>
      <c r="D4465" t="s">
        <v>3827</v>
      </c>
      <c r="E4465">
        <v>58168049734</v>
      </c>
      <c r="F4465">
        <v>534201</v>
      </c>
      <c r="G4465">
        <v>53363581501</v>
      </c>
      <c r="H4465" t="s">
        <v>35</v>
      </c>
      <c r="I4465" s="36">
        <v>4962.6000000000004</v>
      </c>
      <c r="J4465" s="36">
        <v>4962.6000000000004</v>
      </c>
      <c r="K4465" s="85">
        <v>0</v>
      </c>
      <c r="L4465" s="36">
        <v>413.55</v>
      </c>
      <c r="M4465" s="36">
        <v>0</v>
      </c>
      <c r="N4465" s="36">
        <v>84.45</v>
      </c>
      <c r="O4465" s="36">
        <v>329.1</v>
      </c>
      <c r="P4465" t="s">
        <v>165</v>
      </c>
      <c r="Q4465" t="s">
        <v>166</v>
      </c>
      <c r="R4465" t="s">
        <v>166</v>
      </c>
      <c r="S4465" s="112">
        <v>46145</v>
      </c>
      <c r="T4465" s="112">
        <v>46145</v>
      </c>
      <c r="U4465" s="112">
        <v>46145</v>
      </c>
      <c r="V4465" s="112">
        <v>46510</v>
      </c>
      <c r="W4465" t="s">
        <v>38</v>
      </c>
      <c r="X4465">
        <v>12</v>
      </c>
      <c r="Y4465" t="s">
        <v>49</v>
      </c>
      <c r="Z4465" t="s">
        <v>81</v>
      </c>
      <c r="AA4465" t="s">
        <v>112</v>
      </c>
      <c r="AB4465">
        <v>12</v>
      </c>
      <c r="AC4465" t="s">
        <v>166</v>
      </c>
      <c r="AD4465" t="s">
        <v>138</v>
      </c>
      <c r="AE4465" t="s">
        <v>135</v>
      </c>
      <c r="AF4465" t="s">
        <v>119</v>
      </c>
      <c r="AG4465" t="str">
        <f t="shared" si="101"/>
        <v>CC 12x</v>
      </c>
      <c r="AH4465" t="str">
        <f t="shared" si="102"/>
        <v/>
      </c>
    </row>
    <row r="4466" spans="1:34">
      <c r="A4466">
        <v>2026</v>
      </c>
      <c r="B4466">
        <v>5</v>
      </c>
      <c r="C4466" s="83">
        <v>121046117989</v>
      </c>
      <c r="D4466" t="s">
        <v>3828</v>
      </c>
      <c r="E4466">
        <v>59003326080</v>
      </c>
      <c r="F4466">
        <v>315417</v>
      </c>
      <c r="G4466">
        <v>54135013029</v>
      </c>
      <c r="H4466" t="s">
        <v>35</v>
      </c>
      <c r="I4466" s="36">
        <v>4962.6000000000004</v>
      </c>
      <c r="J4466" s="36">
        <v>4962.6000000000004</v>
      </c>
      <c r="K4466" s="85">
        <v>0</v>
      </c>
      <c r="L4466" s="36">
        <v>413.55</v>
      </c>
      <c r="M4466" s="36">
        <v>0</v>
      </c>
      <c r="N4466" s="36">
        <v>48.9</v>
      </c>
      <c r="O4466" s="36">
        <v>364.65</v>
      </c>
      <c r="P4466" t="s">
        <v>165</v>
      </c>
      <c r="Q4466" t="s">
        <v>166</v>
      </c>
      <c r="R4466" t="s">
        <v>166</v>
      </c>
      <c r="S4466" s="112">
        <v>46166</v>
      </c>
      <c r="T4466" s="112">
        <v>46166</v>
      </c>
      <c r="U4466" s="112">
        <v>46166</v>
      </c>
      <c r="V4466" s="112">
        <v>46531</v>
      </c>
      <c r="W4466" t="s">
        <v>38</v>
      </c>
      <c r="X4466">
        <v>12</v>
      </c>
      <c r="Y4466" t="s">
        <v>49</v>
      </c>
      <c r="Z4466" t="s">
        <v>81</v>
      </c>
      <c r="AA4466" t="s">
        <v>112</v>
      </c>
      <c r="AB4466">
        <v>12</v>
      </c>
      <c r="AC4466" t="s">
        <v>166</v>
      </c>
      <c r="AD4466" t="s">
        <v>138</v>
      </c>
      <c r="AE4466" t="s">
        <v>135</v>
      </c>
      <c r="AF4466" t="s">
        <v>119</v>
      </c>
      <c r="AG4466" t="str">
        <f t="shared" si="101"/>
        <v>CC 12x</v>
      </c>
      <c r="AH4466" t="str">
        <f t="shared" si="102"/>
        <v/>
      </c>
    </row>
    <row r="4467" spans="1:34">
      <c r="A4467">
        <v>2026</v>
      </c>
      <c r="B4467">
        <v>5</v>
      </c>
      <c r="C4467" s="83">
        <v>121121534543</v>
      </c>
      <c r="D4467" t="s">
        <v>3829</v>
      </c>
      <c r="E4467">
        <v>60023863669</v>
      </c>
      <c r="F4467">
        <v>637612</v>
      </c>
      <c r="G4467">
        <v>55078066824</v>
      </c>
      <c r="H4467" t="s">
        <v>35</v>
      </c>
      <c r="I4467" s="36">
        <v>4962.6000000000004</v>
      </c>
      <c r="J4467" s="36">
        <v>4962.6000000000004</v>
      </c>
      <c r="K4467" s="85">
        <v>0</v>
      </c>
      <c r="L4467" s="36">
        <v>413.55</v>
      </c>
      <c r="M4467" s="36">
        <v>413.55</v>
      </c>
      <c r="N4467" s="36">
        <v>0</v>
      </c>
      <c r="O4467" s="36">
        <v>0</v>
      </c>
      <c r="P4467" t="s">
        <v>511</v>
      </c>
      <c r="Q4467" t="s">
        <v>300</v>
      </c>
      <c r="R4467" t="s">
        <v>300</v>
      </c>
      <c r="S4467" s="112">
        <v>46148</v>
      </c>
      <c r="T4467" s="112">
        <v>46148</v>
      </c>
      <c r="U4467" s="112"/>
      <c r="V4467" s="112">
        <v>46513</v>
      </c>
      <c r="W4467" t="s">
        <v>38</v>
      </c>
      <c r="X4467">
        <v>12</v>
      </c>
      <c r="Y4467" t="s">
        <v>49</v>
      </c>
      <c r="AA4467" t="s">
        <v>112</v>
      </c>
      <c r="AB4467">
        <v>12</v>
      </c>
      <c r="AC4467" t="s">
        <v>301</v>
      </c>
      <c r="AD4467" t="s">
        <v>138</v>
      </c>
      <c r="AE4467" t="s">
        <v>135</v>
      </c>
      <c r="AF4467" t="s">
        <v>119</v>
      </c>
      <c r="AG4467" t="str">
        <f t="shared" si="101"/>
        <v>CC 12x</v>
      </c>
      <c r="AH4467" t="str">
        <f t="shared" si="102"/>
        <v/>
      </c>
    </row>
    <row r="4468" spans="1:34">
      <c r="A4468">
        <v>2026</v>
      </c>
      <c r="B4468">
        <v>5</v>
      </c>
      <c r="C4468" s="83">
        <v>130027776675</v>
      </c>
      <c r="D4468" t="s">
        <v>3830</v>
      </c>
      <c r="E4468">
        <v>60175568694</v>
      </c>
      <c r="F4468">
        <v>637834</v>
      </c>
      <c r="G4468">
        <v>55323947656</v>
      </c>
      <c r="H4468" t="s">
        <v>35</v>
      </c>
      <c r="I4468" s="36">
        <v>4962.6000000000004</v>
      </c>
      <c r="J4468" s="36">
        <v>4962.6000000000004</v>
      </c>
      <c r="K4468" s="85">
        <v>0</v>
      </c>
      <c r="L4468" s="36">
        <v>413.55</v>
      </c>
      <c r="M4468" s="36">
        <v>413.55</v>
      </c>
      <c r="N4468" s="36">
        <v>0</v>
      </c>
      <c r="O4468" s="36">
        <v>0</v>
      </c>
      <c r="P4468" t="s">
        <v>829</v>
      </c>
      <c r="Q4468" t="s">
        <v>300</v>
      </c>
      <c r="R4468" t="s">
        <v>300</v>
      </c>
      <c r="S4468" s="112">
        <v>46160</v>
      </c>
      <c r="T4468" s="112">
        <v>46160</v>
      </c>
      <c r="U4468" s="112"/>
      <c r="V4468" s="112">
        <v>46525</v>
      </c>
      <c r="W4468" t="s">
        <v>38</v>
      </c>
      <c r="X4468">
        <v>12</v>
      </c>
      <c r="Y4468" t="s">
        <v>49</v>
      </c>
      <c r="AA4468" t="s">
        <v>112</v>
      </c>
      <c r="AB4468">
        <v>12</v>
      </c>
      <c r="AC4468" t="s">
        <v>301</v>
      </c>
      <c r="AD4468" t="s">
        <v>138</v>
      </c>
      <c r="AE4468" t="s">
        <v>135</v>
      </c>
      <c r="AF4468" t="s">
        <v>119</v>
      </c>
      <c r="AG4468" t="str">
        <f t="shared" si="101"/>
        <v>CC 12x</v>
      </c>
      <c r="AH4468" t="str">
        <f t="shared" si="102"/>
        <v/>
      </c>
    </row>
    <row r="4469" spans="1:34">
      <c r="A4469">
        <v>2026</v>
      </c>
      <c r="B4469">
        <v>5</v>
      </c>
      <c r="C4469" s="83">
        <v>146590955090</v>
      </c>
      <c r="D4469" t="s">
        <v>3831</v>
      </c>
      <c r="E4469">
        <v>58608609611</v>
      </c>
      <c r="F4469">
        <v>315048</v>
      </c>
      <c r="G4469">
        <v>53782034021</v>
      </c>
      <c r="H4469" t="s">
        <v>35</v>
      </c>
      <c r="I4469" s="36">
        <v>4962.6000000000004</v>
      </c>
      <c r="J4469" s="36">
        <v>4962.6000000000004</v>
      </c>
      <c r="K4469" s="85">
        <v>0</v>
      </c>
      <c r="L4469" s="36">
        <v>413.55</v>
      </c>
      <c r="M4469" s="36">
        <v>0</v>
      </c>
      <c r="N4469" s="36">
        <v>48.9</v>
      </c>
      <c r="O4469" s="36">
        <v>364.65</v>
      </c>
      <c r="P4469" t="s">
        <v>165</v>
      </c>
      <c r="Q4469" t="s">
        <v>166</v>
      </c>
      <c r="R4469" t="s">
        <v>166</v>
      </c>
      <c r="S4469" s="112">
        <v>46157</v>
      </c>
      <c r="T4469" s="112">
        <v>46157</v>
      </c>
      <c r="U4469" s="112">
        <v>46157</v>
      </c>
      <c r="V4469" s="112">
        <v>46522</v>
      </c>
      <c r="W4469" t="s">
        <v>38</v>
      </c>
      <c r="X4469">
        <v>12</v>
      </c>
      <c r="Y4469" t="s">
        <v>49</v>
      </c>
      <c r="Z4469" t="s">
        <v>81</v>
      </c>
      <c r="AA4469" t="s">
        <v>122</v>
      </c>
      <c r="AB4469">
        <v>12</v>
      </c>
      <c r="AC4469" t="s">
        <v>166</v>
      </c>
      <c r="AD4469" t="s">
        <v>138</v>
      </c>
      <c r="AE4469" t="s">
        <v>135</v>
      </c>
      <c r="AF4469" t="s">
        <v>119</v>
      </c>
      <c r="AG4469" t="str">
        <f t="shared" si="101"/>
        <v>Recorrente</v>
      </c>
      <c r="AH4469" t="str">
        <f t="shared" si="102"/>
        <v/>
      </c>
    </row>
    <row r="4470" spans="1:34">
      <c r="A4470">
        <v>2026</v>
      </c>
      <c r="B4470">
        <v>5</v>
      </c>
      <c r="C4470" s="83">
        <v>2096332</v>
      </c>
      <c r="D4470" t="s">
        <v>3832</v>
      </c>
      <c r="E4470">
        <v>58888471560</v>
      </c>
      <c r="F4470">
        <v>535660</v>
      </c>
      <c r="G4470">
        <v>54033307723</v>
      </c>
      <c r="H4470" t="s">
        <v>35</v>
      </c>
      <c r="I4470" s="36">
        <v>4962.6000000000004</v>
      </c>
      <c r="J4470" s="36">
        <v>4962.6000000000004</v>
      </c>
      <c r="K4470" s="85">
        <v>0</v>
      </c>
      <c r="L4470" s="36">
        <v>413.55</v>
      </c>
      <c r="M4470" s="36">
        <v>0</v>
      </c>
      <c r="N4470" s="36">
        <v>48.9</v>
      </c>
      <c r="O4470" s="36">
        <v>364.65</v>
      </c>
      <c r="P4470" t="s">
        <v>165</v>
      </c>
      <c r="Q4470" t="s">
        <v>166</v>
      </c>
      <c r="R4470" t="s">
        <v>166</v>
      </c>
      <c r="S4470" s="112">
        <v>46164</v>
      </c>
      <c r="T4470" s="112">
        <v>46164</v>
      </c>
      <c r="U4470" s="112">
        <v>46164</v>
      </c>
      <c r="V4470" s="112">
        <v>46529</v>
      </c>
      <c r="W4470" t="s">
        <v>38</v>
      </c>
      <c r="X4470">
        <v>12</v>
      </c>
      <c r="Y4470" t="s">
        <v>49</v>
      </c>
      <c r="Z4470" t="s">
        <v>81</v>
      </c>
      <c r="AA4470" t="s">
        <v>122</v>
      </c>
      <c r="AB4470">
        <v>12</v>
      </c>
      <c r="AC4470" t="s">
        <v>166</v>
      </c>
      <c r="AD4470" t="s">
        <v>138</v>
      </c>
      <c r="AE4470" t="s">
        <v>135</v>
      </c>
      <c r="AF4470" t="s">
        <v>119</v>
      </c>
      <c r="AG4470" t="str">
        <f t="shared" ref="AG4470:AG4533" si="103">IF(IFERROR(SEARCH("Recorrente",AA4470),0)&gt;0,"Recorrente",IF(AB4470=1,"À Vista",IF(AB4470&lt;=3,"CC 3x",IF(AB4470&lt;=12,"CC 12x",IF(AB4470&gt;12,"Recorrente","")))))</f>
        <v>Recorrente</v>
      </c>
      <c r="AH4470" t="str">
        <f t="shared" ref="AH4470:AH4533" si="104">IF(AND(SUMIF(E:E,E4470,I:I)&gt;=400000,Q4470="B2G"),"n","")</f>
        <v/>
      </c>
    </row>
    <row r="4471" spans="1:34">
      <c r="A4471">
        <v>2026</v>
      </c>
      <c r="B4471">
        <v>5</v>
      </c>
      <c r="C4471" s="83">
        <v>2108677</v>
      </c>
      <c r="D4471" t="s">
        <v>3833</v>
      </c>
      <c r="E4471">
        <v>60671602316</v>
      </c>
      <c r="F4471">
        <v>638103</v>
      </c>
      <c r="G4471">
        <v>55661539078</v>
      </c>
      <c r="H4471" t="s">
        <v>35</v>
      </c>
      <c r="I4471" s="36">
        <v>4962.6000000000004</v>
      </c>
      <c r="J4471" s="36">
        <v>4962.6000000000004</v>
      </c>
      <c r="K4471" s="85">
        <v>0</v>
      </c>
      <c r="L4471" s="36">
        <v>413.55</v>
      </c>
      <c r="M4471" s="36">
        <v>413.55</v>
      </c>
      <c r="N4471" s="36">
        <v>0</v>
      </c>
      <c r="O4471" s="36">
        <v>0</v>
      </c>
      <c r="P4471" t="s">
        <v>313</v>
      </c>
      <c r="Q4471" t="s">
        <v>191</v>
      </c>
      <c r="R4471" t="s">
        <v>349</v>
      </c>
      <c r="S4471" s="112">
        <v>46172</v>
      </c>
      <c r="T4471" s="112">
        <v>46172</v>
      </c>
      <c r="U4471" s="112"/>
      <c r="V4471" s="112">
        <v>46542</v>
      </c>
      <c r="W4471" t="s">
        <v>38</v>
      </c>
      <c r="X4471">
        <v>13</v>
      </c>
      <c r="Y4471" t="s">
        <v>49</v>
      </c>
      <c r="AA4471" t="s">
        <v>122</v>
      </c>
      <c r="AB4471">
        <v>12</v>
      </c>
      <c r="AC4471" t="s">
        <v>350</v>
      </c>
      <c r="AD4471" t="s">
        <v>138</v>
      </c>
      <c r="AE4471" t="s">
        <v>135</v>
      </c>
      <c r="AF4471" t="s">
        <v>119</v>
      </c>
      <c r="AG4471" t="str">
        <f t="shared" si="103"/>
        <v>Recorrente</v>
      </c>
      <c r="AH4471" t="str">
        <f t="shared" si="104"/>
        <v/>
      </c>
    </row>
    <row r="4472" spans="1:34">
      <c r="A4472">
        <v>2026</v>
      </c>
      <c r="B4472">
        <v>5</v>
      </c>
      <c r="C4472" s="83">
        <v>2136720</v>
      </c>
      <c r="D4472" t="s">
        <v>3834</v>
      </c>
      <c r="E4472">
        <v>59178414860</v>
      </c>
      <c r="F4472">
        <v>316760</v>
      </c>
      <c r="G4472">
        <v>54290099771</v>
      </c>
      <c r="H4472" t="s">
        <v>35</v>
      </c>
      <c r="I4472" s="36">
        <v>4962.6000000000004</v>
      </c>
      <c r="J4472" s="36">
        <v>4962.6000000000004</v>
      </c>
      <c r="K4472" s="85">
        <v>0</v>
      </c>
      <c r="L4472" s="36">
        <v>413.55</v>
      </c>
      <c r="M4472" s="36">
        <v>0</v>
      </c>
      <c r="N4472" s="36">
        <v>104.67</v>
      </c>
      <c r="O4472" s="36">
        <v>308.88</v>
      </c>
      <c r="P4472" t="s">
        <v>165</v>
      </c>
      <c r="Q4472" t="s">
        <v>166</v>
      </c>
      <c r="R4472" t="s">
        <v>166</v>
      </c>
      <c r="S4472" s="112">
        <v>46169</v>
      </c>
      <c r="T4472" s="112">
        <v>46169</v>
      </c>
      <c r="U4472" s="112">
        <v>46172</v>
      </c>
      <c r="V4472" s="112">
        <v>46537</v>
      </c>
      <c r="W4472" t="s">
        <v>38</v>
      </c>
      <c r="X4472">
        <v>12</v>
      </c>
      <c r="Y4472" t="s">
        <v>49</v>
      </c>
      <c r="Z4472" t="s">
        <v>81</v>
      </c>
      <c r="AA4472" t="s">
        <v>112</v>
      </c>
      <c r="AB4472">
        <v>12</v>
      </c>
      <c r="AC4472" t="s">
        <v>166</v>
      </c>
      <c r="AD4472" t="s">
        <v>138</v>
      </c>
      <c r="AE4472" t="s">
        <v>135</v>
      </c>
      <c r="AF4472" t="s">
        <v>119</v>
      </c>
      <c r="AG4472" t="str">
        <f t="shared" si="103"/>
        <v>CC 12x</v>
      </c>
      <c r="AH4472" t="str">
        <f t="shared" si="104"/>
        <v/>
      </c>
    </row>
    <row r="4473" spans="1:34">
      <c r="A4473">
        <v>2026</v>
      </c>
      <c r="B4473">
        <v>5</v>
      </c>
      <c r="C4473" s="83">
        <v>2138752</v>
      </c>
      <c r="D4473" t="s">
        <v>3835</v>
      </c>
      <c r="E4473">
        <v>58639458349</v>
      </c>
      <c r="F4473">
        <v>510904</v>
      </c>
      <c r="G4473">
        <v>53835810737</v>
      </c>
      <c r="H4473" t="s">
        <v>35</v>
      </c>
      <c r="I4473" s="36">
        <v>4962.6000000000004</v>
      </c>
      <c r="J4473" s="36">
        <v>4962.6000000000004</v>
      </c>
      <c r="K4473" s="85">
        <v>0</v>
      </c>
      <c r="L4473" s="36">
        <v>413.55</v>
      </c>
      <c r="M4473" s="36">
        <v>0</v>
      </c>
      <c r="N4473" s="36">
        <v>48.9</v>
      </c>
      <c r="O4473" s="36">
        <v>364.65</v>
      </c>
      <c r="P4473" t="s">
        <v>165</v>
      </c>
      <c r="Q4473" t="s">
        <v>166</v>
      </c>
      <c r="R4473" t="s">
        <v>166</v>
      </c>
      <c r="S4473" s="112">
        <v>46158</v>
      </c>
      <c r="T4473" s="112">
        <v>46158</v>
      </c>
      <c r="U4473" s="112">
        <v>46158</v>
      </c>
      <c r="V4473" s="112">
        <v>46523</v>
      </c>
      <c r="W4473" t="s">
        <v>38</v>
      </c>
      <c r="X4473">
        <v>12</v>
      </c>
      <c r="Y4473" t="s">
        <v>49</v>
      </c>
      <c r="Z4473" t="s">
        <v>81</v>
      </c>
      <c r="AA4473" t="s">
        <v>112</v>
      </c>
      <c r="AB4473">
        <v>12</v>
      </c>
      <c r="AC4473" t="s">
        <v>166</v>
      </c>
      <c r="AD4473" t="s">
        <v>138</v>
      </c>
      <c r="AE4473" t="s">
        <v>135</v>
      </c>
      <c r="AF4473" t="s">
        <v>119</v>
      </c>
      <c r="AG4473" t="str">
        <f t="shared" si="103"/>
        <v>CC 12x</v>
      </c>
      <c r="AH4473" t="str">
        <f t="shared" si="104"/>
        <v/>
      </c>
    </row>
    <row r="4474" spans="1:34">
      <c r="A4474">
        <v>2026</v>
      </c>
      <c r="B4474">
        <v>5</v>
      </c>
      <c r="C4474" s="83">
        <v>221133507248</v>
      </c>
      <c r="D4474" t="s">
        <v>3836</v>
      </c>
      <c r="E4474">
        <v>60229600425</v>
      </c>
      <c r="F4474">
        <v>637756</v>
      </c>
      <c r="G4474">
        <v>55241258393</v>
      </c>
      <c r="H4474" t="s">
        <v>35</v>
      </c>
      <c r="I4474" s="36">
        <v>4962.6000000000004</v>
      </c>
      <c r="J4474" s="36">
        <v>4962.6000000000004</v>
      </c>
      <c r="K4474" s="85">
        <v>0</v>
      </c>
      <c r="L4474" s="36">
        <v>413.55</v>
      </c>
      <c r="M4474" s="36">
        <v>413.55</v>
      </c>
      <c r="N4474" s="36">
        <v>0</v>
      </c>
      <c r="O4474" s="36">
        <v>0</v>
      </c>
      <c r="P4474" t="s">
        <v>829</v>
      </c>
      <c r="Q4474" t="s">
        <v>300</v>
      </c>
      <c r="R4474" t="s">
        <v>300</v>
      </c>
      <c r="S4474" s="112">
        <v>46155</v>
      </c>
      <c r="T4474" s="112">
        <v>46155</v>
      </c>
      <c r="U4474" s="112"/>
      <c r="V4474" s="112">
        <v>46520</v>
      </c>
      <c r="W4474" t="s">
        <v>38</v>
      </c>
      <c r="X4474">
        <v>12</v>
      </c>
      <c r="Y4474" t="s">
        <v>49</v>
      </c>
      <c r="AA4474" t="s">
        <v>122</v>
      </c>
      <c r="AB4474">
        <v>12</v>
      </c>
      <c r="AC4474" t="s">
        <v>301</v>
      </c>
      <c r="AD4474" t="s">
        <v>138</v>
      </c>
      <c r="AE4474" t="s">
        <v>135</v>
      </c>
      <c r="AF4474" t="s">
        <v>119</v>
      </c>
      <c r="AG4474" t="str">
        <f t="shared" si="103"/>
        <v>Recorrente</v>
      </c>
      <c r="AH4474" t="str">
        <f t="shared" si="104"/>
        <v/>
      </c>
    </row>
    <row r="4475" spans="1:34">
      <c r="A4475">
        <v>2026</v>
      </c>
      <c r="B4475">
        <v>5</v>
      </c>
      <c r="C4475" s="83">
        <v>2211366</v>
      </c>
      <c r="D4475" t="s">
        <v>3837</v>
      </c>
      <c r="E4475">
        <v>59137772473</v>
      </c>
      <c r="F4475">
        <v>616300</v>
      </c>
      <c r="G4475">
        <v>54265126264</v>
      </c>
      <c r="H4475" t="s">
        <v>35</v>
      </c>
      <c r="I4475" s="36">
        <v>4962.6000000000004</v>
      </c>
      <c r="J4475" s="36">
        <v>4962.6000000000004</v>
      </c>
      <c r="K4475" s="85">
        <v>0</v>
      </c>
      <c r="L4475" s="36">
        <v>413.55</v>
      </c>
      <c r="M4475" s="36">
        <v>0</v>
      </c>
      <c r="N4475" s="36">
        <v>46.75</v>
      </c>
      <c r="O4475" s="36">
        <v>366.8</v>
      </c>
      <c r="P4475" t="s">
        <v>165</v>
      </c>
      <c r="Q4475" t="s">
        <v>166</v>
      </c>
      <c r="R4475" t="s">
        <v>166</v>
      </c>
      <c r="S4475" s="112">
        <v>46168</v>
      </c>
      <c r="T4475" s="112">
        <v>46168</v>
      </c>
      <c r="U4475" s="112">
        <v>46171</v>
      </c>
      <c r="V4475" s="112">
        <v>46536</v>
      </c>
      <c r="W4475" t="s">
        <v>38</v>
      </c>
      <c r="X4475">
        <v>12</v>
      </c>
      <c r="Y4475" t="s">
        <v>49</v>
      </c>
      <c r="Z4475" t="s">
        <v>81</v>
      </c>
      <c r="AA4475" t="s">
        <v>122</v>
      </c>
      <c r="AB4475">
        <v>12</v>
      </c>
      <c r="AC4475" t="s">
        <v>166</v>
      </c>
      <c r="AD4475" t="s">
        <v>138</v>
      </c>
      <c r="AE4475" t="s">
        <v>135</v>
      </c>
      <c r="AF4475" t="s">
        <v>119</v>
      </c>
      <c r="AG4475" t="str">
        <f t="shared" si="103"/>
        <v>Recorrente</v>
      </c>
      <c r="AH4475" t="str">
        <f t="shared" si="104"/>
        <v/>
      </c>
    </row>
    <row r="4476" spans="1:34">
      <c r="A4476">
        <v>2026</v>
      </c>
      <c r="B4476">
        <v>5</v>
      </c>
      <c r="C4476" s="83">
        <v>223860138897</v>
      </c>
      <c r="D4476" t="s">
        <v>3838</v>
      </c>
      <c r="E4476">
        <v>60458530573</v>
      </c>
      <c r="F4476">
        <v>637962</v>
      </c>
      <c r="G4476">
        <v>55611073613</v>
      </c>
      <c r="H4476" t="s">
        <v>35</v>
      </c>
      <c r="I4476" s="36">
        <v>4962.6000000000004</v>
      </c>
      <c r="J4476" s="36">
        <v>4962.6000000000004</v>
      </c>
      <c r="K4476" s="85">
        <v>0</v>
      </c>
      <c r="L4476" s="36">
        <v>413.55</v>
      </c>
      <c r="M4476" s="36">
        <v>413.55</v>
      </c>
      <c r="N4476" s="36">
        <v>0</v>
      </c>
      <c r="O4476" s="36">
        <v>0</v>
      </c>
      <c r="P4476" t="s">
        <v>511</v>
      </c>
      <c r="Q4476" t="s">
        <v>300</v>
      </c>
      <c r="R4476" t="s">
        <v>300</v>
      </c>
      <c r="S4476" s="112">
        <v>46167</v>
      </c>
      <c r="T4476" s="112">
        <v>46167</v>
      </c>
      <c r="U4476" s="112"/>
      <c r="V4476" s="112">
        <v>46532</v>
      </c>
      <c r="W4476" t="s">
        <v>38</v>
      </c>
      <c r="X4476">
        <v>12</v>
      </c>
      <c r="Y4476" t="s">
        <v>49</v>
      </c>
      <c r="AA4476" t="s">
        <v>112</v>
      </c>
      <c r="AB4476">
        <v>12</v>
      </c>
      <c r="AC4476" t="s">
        <v>301</v>
      </c>
      <c r="AD4476" t="s">
        <v>138</v>
      </c>
      <c r="AE4476" t="s">
        <v>135</v>
      </c>
      <c r="AF4476" t="s">
        <v>119</v>
      </c>
      <c r="AG4476" t="str">
        <f t="shared" si="103"/>
        <v>CC 12x</v>
      </c>
      <c r="AH4476" t="str">
        <f t="shared" si="104"/>
        <v/>
      </c>
    </row>
    <row r="4477" spans="1:34">
      <c r="A4477">
        <v>2026</v>
      </c>
      <c r="B4477">
        <v>5</v>
      </c>
      <c r="C4477" s="83">
        <v>2254638</v>
      </c>
      <c r="D4477" t="s">
        <v>3839</v>
      </c>
      <c r="E4477">
        <v>59284704902</v>
      </c>
      <c r="F4477">
        <v>637578</v>
      </c>
      <c r="G4477">
        <v>55039074370</v>
      </c>
      <c r="H4477" t="s">
        <v>35</v>
      </c>
      <c r="I4477" s="36">
        <v>4962.6000000000004</v>
      </c>
      <c r="J4477" s="36">
        <v>4962.6000000000004</v>
      </c>
      <c r="K4477" s="85">
        <v>0</v>
      </c>
      <c r="L4477" s="36">
        <v>413.55</v>
      </c>
      <c r="M4477" s="36">
        <v>413.55</v>
      </c>
      <c r="N4477" s="36">
        <v>0</v>
      </c>
      <c r="O4477" s="36">
        <v>0</v>
      </c>
      <c r="P4477" t="s">
        <v>2004</v>
      </c>
      <c r="Q4477" t="s">
        <v>300</v>
      </c>
      <c r="R4477" t="s">
        <v>300</v>
      </c>
      <c r="S4477" s="112">
        <v>46147</v>
      </c>
      <c r="T4477" s="112">
        <v>46147</v>
      </c>
      <c r="U4477" s="112"/>
      <c r="V4477" s="112">
        <v>46512</v>
      </c>
      <c r="W4477" t="s">
        <v>38</v>
      </c>
      <c r="X4477">
        <v>12</v>
      </c>
      <c r="Y4477" t="s">
        <v>49</v>
      </c>
      <c r="AA4477" t="s">
        <v>122</v>
      </c>
      <c r="AB4477">
        <v>12</v>
      </c>
      <c r="AC4477" t="s">
        <v>301</v>
      </c>
      <c r="AD4477" t="s">
        <v>138</v>
      </c>
      <c r="AE4477" t="s">
        <v>135</v>
      </c>
      <c r="AF4477" t="s">
        <v>119</v>
      </c>
      <c r="AG4477" t="str">
        <f t="shared" si="103"/>
        <v>Recorrente</v>
      </c>
      <c r="AH4477" t="str">
        <f t="shared" si="104"/>
        <v/>
      </c>
    </row>
    <row r="4478" spans="1:34">
      <c r="A4478">
        <v>2026</v>
      </c>
      <c r="B4478">
        <v>5</v>
      </c>
      <c r="C4478" s="83">
        <v>2264763</v>
      </c>
      <c r="D4478" t="s">
        <v>3840</v>
      </c>
      <c r="E4478">
        <v>60008410911</v>
      </c>
      <c r="F4478">
        <v>637547</v>
      </c>
      <c r="G4478">
        <v>55001806850</v>
      </c>
      <c r="H4478" t="s">
        <v>35</v>
      </c>
      <c r="I4478" s="36">
        <v>4962.6000000000004</v>
      </c>
      <c r="J4478" s="36">
        <v>4962.6000000000004</v>
      </c>
      <c r="K4478" s="85">
        <v>0</v>
      </c>
      <c r="L4478" s="36">
        <v>413.55</v>
      </c>
      <c r="M4478" s="36">
        <v>413.55</v>
      </c>
      <c r="N4478" s="36">
        <v>0</v>
      </c>
      <c r="O4478" s="36">
        <v>0</v>
      </c>
      <c r="P4478" t="s">
        <v>506</v>
      </c>
      <c r="Q4478" t="s">
        <v>300</v>
      </c>
      <c r="R4478" t="s">
        <v>300</v>
      </c>
      <c r="S4478" s="112">
        <v>46146</v>
      </c>
      <c r="T4478" s="112">
        <v>46146</v>
      </c>
      <c r="U4478" s="112"/>
      <c r="V4478" s="112">
        <v>46511</v>
      </c>
      <c r="W4478" t="s">
        <v>38</v>
      </c>
      <c r="X4478">
        <v>12</v>
      </c>
      <c r="Y4478" t="s">
        <v>49</v>
      </c>
      <c r="AA4478" t="s">
        <v>112</v>
      </c>
      <c r="AB4478">
        <v>12</v>
      </c>
      <c r="AC4478" t="s">
        <v>301</v>
      </c>
      <c r="AD4478" t="s">
        <v>138</v>
      </c>
      <c r="AE4478" t="s">
        <v>135</v>
      </c>
      <c r="AF4478" t="s">
        <v>119</v>
      </c>
      <c r="AG4478" t="str">
        <f t="shared" si="103"/>
        <v>CC 12x</v>
      </c>
      <c r="AH4478" t="str">
        <f t="shared" si="104"/>
        <v/>
      </c>
    </row>
    <row r="4479" spans="1:34">
      <c r="A4479">
        <v>2026</v>
      </c>
      <c r="B4479">
        <v>5</v>
      </c>
      <c r="C4479" s="83">
        <v>2276929</v>
      </c>
      <c r="D4479" t="s">
        <v>3841</v>
      </c>
      <c r="E4479">
        <v>58669747561</v>
      </c>
      <c r="F4479">
        <v>615734</v>
      </c>
      <c r="G4479">
        <v>53818535976</v>
      </c>
      <c r="H4479" t="s">
        <v>35</v>
      </c>
      <c r="I4479" s="36">
        <v>4962.6000000000004</v>
      </c>
      <c r="J4479" s="36">
        <v>4962.6000000000004</v>
      </c>
      <c r="K4479" s="85">
        <v>0</v>
      </c>
      <c r="L4479" s="36">
        <v>413.55</v>
      </c>
      <c r="M4479" s="36">
        <v>0</v>
      </c>
      <c r="N4479" s="36">
        <v>66.06</v>
      </c>
      <c r="O4479" s="36">
        <v>347.49</v>
      </c>
      <c r="P4479" t="s">
        <v>165</v>
      </c>
      <c r="Q4479" t="s">
        <v>166</v>
      </c>
      <c r="R4479" t="s">
        <v>166</v>
      </c>
      <c r="S4479" s="112">
        <v>46159</v>
      </c>
      <c r="T4479" s="112">
        <v>46159</v>
      </c>
      <c r="U4479" s="112">
        <v>46159</v>
      </c>
      <c r="V4479" s="112">
        <v>46524</v>
      </c>
      <c r="W4479" t="s">
        <v>38</v>
      </c>
      <c r="X4479">
        <v>12</v>
      </c>
      <c r="Y4479" t="s">
        <v>49</v>
      </c>
      <c r="Z4479" t="s">
        <v>81</v>
      </c>
      <c r="AA4479" t="s">
        <v>112</v>
      </c>
      <c r="AB4479">
        <v>12</v>
      </c>
      <c r="AC4479" t="s">
        <v>166</v>
      </c>
      <c r="AD4479" t="s">
        <v>138</v>
      </c>
      <c r="AE4479" t="s">
        <v>135</v>
      </c>
      <c r="AF4479" t="s">
        <v>119</v>
      </c>
      <c r="AG4479" t="str">
        <f t="shared" si="103"/>
        <v>CC 12x</v>
      </c>
      <c r="AH4479" t="str">
        <f t="shared" si="104"/>
        <v/>
      </c>
    </row>
    <row r="4480" spans="1:34">
      <c r="A4480">
        <v>2026</v>
      </c>
      <c r="B4480">
        <v>5</v>
      </c>
      <c r="C4480" s="83">
        <v>34467357480</v>
      </c>
      <c r="D4480" t="s">
        <v>3842</v>
      </c>
      <c r="E4480">
        <v>59179482959</v>
      </c>
      <c r="F4480">
        <v>629963</v>
      </c>
      <c r="G4480">
        <v>54290890249</v>
      </c>
      <c r="H4480" t="s">
        <v>35</v>
      </c>
      <c r="I4480" s="36">
        <v>4962.6000000000004</v>
      </c>
      <c r="J4480" s="36">
        <v>4962.6000000000004</v>
      </c>
      <c r="K4480" s="85">
        <v>0</v>
      </c>
      <c r="L4480" s="36">
        <v>413.55</v>
      </c>
      <c r="M4480" s="36">
        <v>0</v>
      </c>
      <c r="N4480" s="36">
        <v>63.92</v>
      </c>
      <c r="O4480" s="36">
        <v>349.63</v>
      </c>
      <c r="P4480" t="s">
        <v>165</v>
      </c>
      <c r="Q4480" t="s">
        <v>166</v>
      </c>
      <c r="R4480" t="s">
        <v>166</v>
      </c>
      <c r="S4480" s="112">
        <v>46169</v>
      </c>
      <c r="T4480" s="112">
        <v>46169</v>
      </c>
      <c r="U4480" s="112">
        <v>46172</v>
      </c>
      <c r="V4480" s="112">
        <v>46537</v>
      </c>
      <c r="W4480" t="s">
        <v>38</v>
      </c>
      <c r="X4480">
        <v>12</v>
      </c>
      <c r="Y4480" t="s">
        <v>49</v>
      </c>
      <c r="Z4480" t="s">
        <v>81</v>
      </c>
      <c r="AA4480" t="s">
        <v>112</v>
      </c>
      <c r="AB4480">
        <v>12</v>
      </c>
      <c r="AC4480" t="s">
        <v>166</v>
      </c>
      <c r="AD4480" t="s">
        <v>138</v>
      </c>
      <c r="AE4480" t="s">
        <v>135</v>
      </c>
      <c r="AF4480" t="s">
        <v>119</v>
      </c>
      <c r="AG4480" t="str">
        <f t="shared" si="103"/>
        <v>CC 12x</v>
      </c>
      <c r="AH4480" t="str">
        <f t="shared" si="104"/>
        <v/>
      </c>
    </row>
    <row r="4481" spans="1:34">
      <c r="A4481">
        <v>2026</v>
      </c>
      <c r="B4481">
        <v>5</v>
      </c>
      <c r="C4481" s="83">
        <v>7152414237</v>
      </c>
      <c r="D4481" t="s">
        <v>3843</v>
      </c>
      <c r="E4481">
        <v>60450648945</v>
      </c>
      <c r="F4481">
        <v>637887</v>
      </c>
      <c r="G4481">
        <v>55412599350</v>
      </c>
      <c r="H4481" t="s">
        <v>35</v>
      </c>
      <c r="I4481" s="36">
        <v>4962.6000000000004</v>
      </c>
      <c r="J4481" s="36">
        <v>4962.6000000000004</v>
      </c>
      <c r="K4481" s="85">
        <v>0</v>
      </c>
      <c r="L4481" s="36">
        <v>413.55</v>
      </c>
      <c r="M4481" s="36">
        <v>413.55</v>
      </c>
      <c r="N4481" s="36">
        <v>0</v>
      </c>
      <c r="O4481" s="36">
        <v>0</v>
      </c>
      <c r="P4481" t="s">
        <v>506</v>
      </c>
      <c r="Q4481" t="s">
        <v>300</v>
      </c>
      <c r="R4481" t="s">
        <v>300</v>
      </c>
      <c r="S4481" s="112">
        <v>46162</v>
      </c>
      <c r="T4481" s="112">
        <v>46162</v>
      </c>
      <c r="U4481" s="112"/>
      <c r="V4481" s="112">
        <v>46527</v>
      </c>
      <c r="W4481" t="s">
        <v>38</v>
      </c>
      <c r="X4481">
        <v>12</v>
      </c>
      <c r="Y4481" t="s">
        <v>49</v>
      </c>
      <c r="AA4481" t="s">
        <v>122</v>
      </c>
      <c r="AB4481">
        <v>12</v>
      </c>
      <c r="AC4481" t="s">
        <v>301</v>
      </c>
      <c r="AD4481" t="s">
        <v>138</v>
      </c>
      <c r="AE4481" t="s">
        <v>135</v>
      </c>
      <c r="AF4481" t="s">
        <v>119</v>
      </c>
      <c r="AG4481" t="str">
        <f t="shared" si="103"/>
        <v>Recorrente</v>
      </c>
      <c r="AH4481" t="str">
        <f t="shared" si="104"/>
        <v/>
      </c>
    </row>
    <row r="4482" spans="1:34">
      <c r="A4482">
        <v>2026</v>
      </c>
      <c r="B4482">
        <v>5</v>
      </c>
      <c r="C4482" s="83">
        <v>2116854</v>
      </c>
      <c r="D4482" t="s">
        <v>3844</v>
      </c>
      <c r="E4482">
        <v>59860786051</v>
      </c>
      <c r="F4482">
        <v>315775</v>
      </c>
      <c r="G4482">
        <v>55583837061</v>
      </c>
      <c r="H4482" t="s">
        <v>35</v>
      </c>
      <c r="I4482" s="36">
        <v>4948.4399999999996</v>
      </c>
      <c r="J4482" s="36">
        <v>4948.4399999999996</v>
      </c>
      <c r="K4482" s="85">
        <v>0</v>
      </c>
      <c r="L4482" s="36">
        <v>412.37</v>
      </c>
      <c r="M4482" s="36">
        <v>0</v>
      </c>
      <c r="N4482" s="36">
        <v>4.67</v>
      </c>
      <c r="O4482" s="36">
        <v>407.7</v>
      </c>
      <c r="P4482" t="s">
        <v>133</v>
      </c>
      <c r="Q4482" t="s">
        <v>111</v>
      </c>
      <c r="R4482" t="s">
        <v>111</v>
      </c>
      <c r="S4482" s="112">
        <v>46171</v>
      </c>
      <c r="T4482" s="112">
        <v>46171</v>
      </c>
      <c r="U4482" s="112">
        <v>46172</v>
      </c>
      <c r="V4482" s="112">
        <v>46537</v>
      </c>
      <c r="W4482" t="s">
        <v>38</v>
      </c>
      <c r="X4482">
        <v>12</v>
      </c>
      <c r="Y4482" t="s">
        <v>49</v>
      </c>
      <c r="Z4482" t="s">
        <v>81</v>
      </c>
      <c r="AA4482" t="s">
        <v>122</v>
      </c>
      <c r="AB4482">
        <v>12</v>
      </c>
      <c r="AC4482" t="s">
        <v>113</v>
      </c>
      <c r="AD4482" t="s">
        <v>85</v>
      </c>
      <c r="AE4482" t="s">
        <v>46</v>
      </c>
      <c r="AF4482" t="s">
        <v>44</v>
      </c>
      <c r="AG4482" t="str">
        <f t="shared" si="103"/>
        <v>Recorrente</v>
      </c>
      <c r="AH4482" t="str">
        <f t="shared" si="104"/>
        <v/>
      </c>
    </row>
    <row r="4483" spans="1:34">
      <c r="A4483">
        <v>2026</v>
      </c>
      <c r="B4483">
        <v>5</v>
      </c>
      <c r="C4483" s="83">
        <v>19435433906</v>
      </c>
      <c r="D4483" t="s">
        <v>3729</v>
      </c>
      <c r="E4483">
        <v>59644557400</v>
      </c>
      <c r="F4483">
        <v>637793</v>
      </c>
      <c r="G4483">
        <v>55255019093</v>
      </c>
      <c r="H4483" t="s">
        <v>35</v>
      </c>
      <c r="I4483" s="36">
        <v>4932</v>
      </c>
      <c r="J4483" s="36">
        <v>4932</v>
      </c>
      <c r="K4483" s="85">
        <v>0</v>
      </c>
      <c r="L4483" s="36">
        <v>411</v>
      </c>
      <c r="M4483" s="36">
        <v>411</v>
      </c>
      <c r="N4483" s="36">
        <v>0</v>
      </c>
      <c r="O4483" s="36">
        <v>0</v>
      </c>
      <c r="P4483" t="s">
        <v>98</v>
      </c>
      <c r="Q4483" t="s">
        <v>3558</v>
      </c>
      <c r="R4483" t="s">
        <v>37</v>
      </c>
      <c r="S4483" s="112">
        <v>46156</v>
      </c>
      <c r="T4483" s="112">
        <v>46156</v>
      </c>
      <c r="U4483" s="112"/>
      <c r="V4483" s="112">
        <v>46540</v>
      </c>
      <c r="W4483" t="s">
        <v>38</v>
      </c>
      <c r="X4483">
        <v>13</v>
      </c>
      <c r="Y4483" t="s">
        <v>49</v>
      </c>
      <c r="AA4483" t="s">
        <v>40</v>
      </c>
      <c r="AB4483">
        <v>1</v>
      </c>
      <c r="AC4483" t="s">
        <v>41</v>
      </c>
      <c r="AD4483" t="s">
        <v>53</v>
      </c>
      <c r="AE4483" t="s">
        <v>43</v>
      </c>
      <c r="AF4483" t="s">
        <v>44</v>
      </c>
      <c r="AG4483" t="str">
        <f t="shared" si="103"/>
        <v>À Vista</v>
      </c>
      <c r="AH4483" t="str">
        <f t="shared" si="104"/>
        <v/>
      </c>
    </row>
    <row r="4484" spans="1:34">
      <c r="A4484">
        <v>2026</v>
      </c>
      <c r="B4484">
        <v>5</v>
      </c>
      <c r="C4484" s="83">
        <v>134588674363</v>
      </c>
      <c r="D4484" t="s">
        <v>3845</v>
      </c>
      <c r="E4484">
        <v>60638668345</v>
      </c>
      <c r="F4484">
        <v>629894</v>
      </c>
      <c r="G4484">
        <v>55623690881</v>
      </c>
      <c r="H4484" t="s">
        <v>35</v>
      </c>
      <c r="I4484" s="36">
        <v>4919.6400000000003</v>
      </c>
      <c r="J4484" s="36">
        <v>4919.6400000000003</v>
      </c>
      <c r="K4484" s="85">
        <v>0</v>
      </c>
      <c r="L4484" s="36">
        <v>409.97</v>
      </c>
      <c r="M4484" s="36">
        <v>0</v>
      </c>
      <c r="N4484" s="36">
        <v>9.9725000000000001</v>
      </c>
      <c r="O4484" s="36">
        <v>400</v>
      </c>
      <c r="P4484" t="s">
        <v>110</v>
      </c>
      <c r="Q4484" t="s">
        <v>111</v>
      </c>
      <c r="R4484" t="s">
        <v>111</v>
      </c>
      <c r="S4484" s="112">
        <v>46169</v>
      </c>
      <c r="T4484" s="112">
        <v>46169</v>
      </c>
      <c r="U4484" s="112">
        <v>46170</v>
      </c>
      <c r="V4484" s="112">
        <v>46535</v>
      </c>
      <c r="W4484" t="s">
        <v>38</v>
      </c>
      <c r="X4484">
        <v>12</v>
      </c>
      <c r="Y4484" t="s">
        <v>49</v>
      </c>
      <c r="Z4484" t="s">
        <v>81</v>
      </c>
      <c r="AA4484" t="s">
        <v>122</v>
      </c>
      <c r="AB4484">
        <v>12</v>
      </c>
      <c r="AC4484" t="s">
        <v>113</v>
      </c>
      <c r="AD4484" t="s">
        <v>85</v>
      </c>
      <c r="AE4484" t="s">
        <v>46</v>
      </c>
      <c r="AF4484" t="s">
        <v>44</v>
      </c>
      <c r="AG4484" t="str">
        <f t="shared" si="103"/>
        <v>Recorrente</v>
      </c>
      <c r="AH4484" t="str">
        <f t="shared" si="104"/>
        <v/>
      </c>
    </row>
    <row r="4485" spans="1:34">
      <c r="A4485">
        <v>2026</v>
      </c>
      <c r="B4485">
        <v>5</v>
      </c>
      <c r="C4485" s="83">
        <v>54596674957</v>
      </c>
      <c r="D4485" t="s">
        <v>3846</v>
      </c>
      <c r="E4485">
        <v>59793472513</v>
      </c>
      <c r="F4485">
        <v>637634</v>
      </c>
      <c r="G4485">
        <v>55093993225</v>
      </c>
      <c r="H4485" t="s">
        <v>35</v>
      </c>
      <c r="I4485" s="36">
        <v>4892.04</v>
      </c>
      <c r="J4485" s="36">
        <v>4892.04</v>
      </c>
      <c r="K4485" s="85">
        <v>0</v>
      </c>
      <c r="L4485" s="36">
        <v>407.67</v>
      </c>
      <c r="M4485" s="36">
        <v>407.67</v>
      </c>
      <c r="N4485" s="36">
        <v>0</v>
      </c>
      <c r="O4485" s="36">
        <v>0</v>
      </c>
      <c r="P4485" t="s">
        <v>3446</v>
      </c>
      <c r="Q4485" t="s">
        <v>37</v>
      </c>
      <c r="R4485" t="s">
        <v>79</v>
      </c>
      <c r="S4485" s="112">
        <v>46154</v>
      </c>
      <c r="T4485" s="112">
        <v>46154</v>
      </c>
      <c r="U4485" s="112"/>
      <c r="V4485" s="112">
        <v>46526</v>
      </c>
      <c r="W4485" t="s">
        <v>38</v>
      </c>
      <c r="X4485">
        <v>12</v>
      </c>
      <c r="Y4485" t="s">
        <v>49</v>
      </c>
      <c r="AA4485" t="s">
        <v>117</v>
      </c>
      <c r="AB4485">
        <v>1</v>
      </c>
      <c r="AC4485" t="s">
        <v>83</v>
      </c>
      <c r="AD4485" t="s">
        <v>53</v>
      </c>
      <c r="AE4485" t="s">
        <v>43</v>
      </c>
      <c r="AF4485" t="s">
        <v>44</v>
      </c>
      <c r="AG4485" t="str">
        <f t="shared" si="103"/>
        <v>À Vista</v>
      </c>
      <c r="AH4485" t="str">
        <f t="shared" si="104"/>
        <v/>
      </c>
    </row>
    <row r="4486" spans="1:34">
      <c r="A4486">
        <v>2026</v>
      </c>
      <c r="B4486">
        <v>5</v>
      </c>
      <c r="C4486" s="83">
        <v>119917873258</v>
      </c>
      <c r="D4486" t="s">
        <v>3847</v>
      </c>
      <c r="E4486">
        <v>60034734969</v>
      </c>
      <c r="F4486">
        <v>614812</v>
      </c>
      <c r="G4486">
        <v>55242988173</v>
      </c>
      <c r="H4486" t="s">
        <v>35</v>
      </c>
      <c r="I4486" s="36">
        <v>4890.84</v>
      </c>
      <c r="J4486" s="36">
        <v>4890.84</v>
      </c>
      <c r="K4486" s="85">
        <v>0</v>
      </c>
      <c r="L4486" s="36">
        <v>407.57</v>
      </c>
      <c r="M4486" s="36">
        <v>0</v>
      </c>
      <c r="N4486" s="36">
        <v>22.524999999999999</v>
      </c>
      <c r="O4486" s="36">
        <v>385.05</v>
      </c>
      <c r="P4486" t="s">
        <v>121</v>
      </c>
      <c r="Q4486" t="s">
        <v>111</v>
      </c>
      <c r="R4486" t="s">
        <v>111</v>
      </c>
      <c r="S4486" s="112">
        <v>46156</v>
      </c>
      <c r="T4486" s="112">
        <v>46156</v>
      </c>
      <c r="U4486" s="112">
        <v>46148</v>
      </c>
      <c r="V4486" s="112">
        <v>46521</v>
      </c>
      <c r="W4486" t="s">
        <v>38</v>
      </c>
      <c r="X4486">
        <v>12</v>
      </c>
      <c r="Y4486" t="s">
        <v>49</v>
      </c>
      <c r="Z4486" t="s">
        <v>81</v>
      </c>
      <c r="AA4486" t="s">
        <v>112</v>
      </c>
      <c r="AB4486">
        <v>12</v>
      </c>
      <c r="AC4486" t="s">
        <v>113</v>
      </c>
      <c r="AD4486" t="s">
        <v>85</v>
      </c>
      <c r="AE4486" t="s">
        <v>46</v>
      </c>
      <c r="AF4486" t="s">
        <v>44</v>
      </c>
      <c r="AG4486" t="str">
        <f t="shared" si="103"/>
        <v>CC 12x</v>
      </c>
      <c r="AH4486" t="str">
        <f t="shared" si="104"/>
        <v/>
      </c>
    </row>
    <row r="4487" spans="1:34">
      <c r="A4487">
        <v>2026</v>
      </c>
      <c r="B4487">
        <v>5</v>
      </c>
      <c r="C4487" s="83">
        <v>19433951914</v>
      </c>
      <c r="D4487" t="s">
        <v>3848</v>
      </c>
      <c r="E4487">
        <v>59170297468</v>
      </c>
      <c r="F4487">
        <v>616220</v>
      </c>
      <c r="G4487">
        <v>55611064196</v>
      </c>
      <c r="H4487" t="s">
        <v>35</v>
      </c>
      <c r="I4487" s="36">
        <v>4890.84</v>
      </c>
      <c r="J4487" s="36">
        <v>4890.84</v>
      </c>
      <c r="K4487" s="85">
        <v>0</v>
      </c>
      <c r="L4487" s="36">
        <v>407.57</v>
      </c>
      <c r="M4487" s="36">
        <v>0</v>
      </c>
      <c r="N4487" s="36">
        <v>0</v>
      </c>
      <c r="O4487" s="36">
        <v>407.57499999999999</v>
      </c>
      <c r="P4487" t="s">
        <v>162</v>
      </c>
      <c r="Q4487" t="s">
        <v>111</v>
      </c>
      <c r="R4487" t="s">
        <v>111</v>
      </c>
      <c r="S4487" s="112">
        <v>46167</v>
      </c>
      <c r="T4487" s="112">
        <v>46167</v>
      </c>
      <c r="U4487" s="112">
        <v>46170</v>
      </c>
      <c r="V4487" s="112">
        <v>46535</v>
      </c>
      <c r="W4487" t="s">
        <v>38</v>
      </c>
      <c r="X4487">
        <v>12</v>
      </c>
      <c r="Y4487" t="s">
        <v>49</v>
      </c>
      <c r="Z4487" t="s">
        <v>76</v>
      </c>
      <c r="AA4487" t="s">
        <v>117</v>
      </c>
      <c r="AB4487">
        <v>1</v>
      </c>
      <c r="AC4487" t="s">
        <v>113</v>
      </c>
      <c r="AD4487" t="s">
        <v>85</v>
      </c>
      <c r="AE4487" t="s">
        <v>46</v>
      </c>
      <c r="AF4487" t="s">
        <v>44</v>
      </c>
      <c r="AG4487" t="str">
        <f t="shared" si="103"/>
        <v>À Vista</v>
      </c>
      <c r="AH4487" t="str">
        <f t="shared" si="104"/>
        <v/>
      </c>
    </row>
    <row r="4488" spans="1:34">
      <c r="A4488">
        <v>2026</v>
      </c>
      <c r="B4488">
        <v>5</v>
      </c>
      <c r="C4488" s="83">
        <v>19485949071</v>
      </c>
      <c r="D4488" t="s">
        <v>3007</v>
      </c>
      <c r="E4488">
        <v>60009760881</v>
      </c>
      <c r="F4488">
        <v>637577</v>
      </c>
      <c r="G4488">
        <v>55039010381</v>
      </c>
      <c r="H4488" t="s">
        <v>35</v>
      </c>
      <c r="I4488" s="36">
        <v>4890.84</v>
      </c>
      <c r="J4488" s="36">
        <v>4890.8999999999996</v>
      </c>
      <c r="K4488" s="85">
        <v>0</v>
      </c>
      <c r="L4488" s="36">
        <v>407.57499999999999</v>
      </c>
      <c r="M4488" s="36">
        <v>407.57499999999999</v>
      </c>
      <c r="N4488" s="36">
        <v>0</v>
      </c>
      <c r="O4488" s="36">
        <v>0</v>
      </c>
      <c r="P4488" t="s">
        <v>348</v>
      </c>
      <c r="Q4488" t="s">
        <v>349</v>
      </c>
      <c r="R4488" t="s">
        <v>349</v>
      </c>
      <c r="S4488" s="112">
        <v>46147</v>
      </c>
      <c r="T4488" s="112">
        <v>46147</v>
      </c>
      <c r="U4488" s="112"/>
      <c r="V4488" s="112">
        <v>46535</v>
      </c>
      <c r="W4488" t="s">
        <v>38</v>
      </c>
      <c r="X4488">
        <v>12</v>
      </c>
      <c r="Y4488" t="s">
        <v>49</v>
      </c>
      <c r="AA4488" t="s">
        <v>117</v>
      </c>
      <c r="AB4488">
        <v>1</v>
      </c>
      <c r="AC4488" t="s">
        <v>350</v>
      </c>
      <c r="AD4488" t="s">
        <v>85</v>
      </c>
      <c r="AE4488" t="s">
        <v>46</v>
      </c>
      <c r="AF4488" t="s">
        <v>44</v>
      </c>
      <c r="AG4488" t="str">
        <f t="shared" si="103"/>
        <v>À Vista</v>
      </c>
      <c r="AH4488" t="str">
        <f t="shared" si="104"/>
        <v/>
      </c>
    </row>
    <row r="4489" spans="1:34">
      <c r="A4489">
        <v>2026</v>
      </c>
      <c r="B4489">
        <v>5</v>
      </c>
      <c r="C4489" s="83">
        <v>2087804</v>
      </c>
      <c r="D4489" t="s">
        <v>3849</v>
      </c>
      <c r="E4489">
        <v>58942388497</v>
      </c>
      <c r="F4489">
        <v>535751</v>
      </c>
      <c r="G4489">
        <v>55555694463</v>
      </c>
      <c r="H4489" t="s">
        <v>35</v>
      </c>
      <c r="I4489" s="36">
        <v>4890.84</v>
      </c>
      <c r="J4489" s="36">
        <v>4890.84</v>
      </c>
      <c r="K4489" s="85">
        <v>0</v>
      </c>
      <c r="L4489" s="36">
        <v>407.57</v>
      </c>
      <c r="M4489" s="36">
        <v>0</v>
      </c>
      <c r="N4489" s="36">
        <v>0</v>
      </c>
      <c r="O4489" s="36">
        <v>407.57499999999999</v>
      </c>
      <c r="P4489" t="s">
        <v>162</v>
      </c>
      <c r="Q4489" t="s">
        <v>111</v>
      </c>
      <c r="R4489" t="s">
        <v>111</v>
      </c>
      <c r="S4489" s="112">
        <v>46164</v>
      </c>
      <c r="T4489" s="112">
        <v>46164</v>
      </c>
      <c r="U4489" s="112">
        <v>46165</v>
      </c>
      <c r="V4489" s="112">
        <v>46530</v>
      </c>
      <c r="W4489" t="s">
        <v>38</v>
      </c>
      <c r="X4489">
        <v>12</v>
      </c>
      <c r="Y4489" t="s">
        <v>49</v>
      </c>
      <c r="Z4489" t="s">
        <v>81</v>
      </c>
      <c r="AA4489" t="s">
        <v>117</v>
      </c>
      <c r="AB4489">
        <v>1</v>
      </c>
      <c r="AC4489" t="s">
        <v>113</v>
      </c>
      <c r="AD4489" t="s">
        <v>85</v>
      </c>
      <c r="AE4489" t="s">
        <v>46</v>
      </c>
      <c r="AF4489" t="s">
        <v>44</v>
      </c>
      <c r="AG4489" t="str">
        <f t="shared" si="103"/>
        <v>À Vista</v>
      </c>
      <c r="AH4489" t="str">
        <f t="shared" si="104"/>
        <v/>
      </c>
    </row>
    <row r="4490" spans="1:34">
      <c r="A4490">
        <v>2026</v>
      </c>
      <c r="B4490">
        <v>5</v>
      </c>
      <c r="C4490" s="83">
        <v>22024580910</v>
      </c>
      <c r="D4490" t="s">
        <v>3850</v>
      </c>
      <c r="E4490">
        <v>59166492757</v>
      </c>
      <c r="F4490">
        <v>629516</v>
      </c>
      <c r="G4490">
        <v>55237422485</v>
      </c>
      <c r="H4490" t="s">
        <v>35</v>
      </c>
      <c r="I4490" s="36">
        <v>4890.84</v>
      </c>
      <c r="J4490" s="36">
        <v>4890.84</v>
      </c>
      <c r="K4490" s="85">
        <v>0</v>
      </c>
      <c r="L4490" s="36">
        <v>407.57</v>
      </c>
      <c r="M4490" s="36">
        <v>0</v>
      </c>
      <c r="N4490" s="36">
        <v>0</v>
      </c>
      <c r="O4490" s="36">
        <v>407.57499999999999</v>
      </c>
      <c r="P4490" t="s">
        <v>116</v>
      </c>
      <c r="Q4490" t="s">
        <v>111</v>
      </c>
      <c r="R4490" t="s">
        <v>111</v>
      </c>
      <c r="S4490" s="112">
        <v>46154</v>
      </c>
      <c r="T4490" s="112">
        <v>46154</v>
      </c>
      <c r="U4490" s="112">
        <v>46154</v>
      </c>
      <c r="V4490" s="112">
        <v>46519</v>
      </c>
      <c r="W4490" t="s">
        <v>38</v>
      </c>
      <c r="X4490">
        <v>12</v>
      </c>
      <c r="Y4490" t="s">
        <v>49</v>
      </c>
      <c r="Z4490" t="s">
        <v>76</v>
      </c>
      <c r="AA4490" t="s">
        <v>112</v>
      </c>
      <c r="AB4490">
        <v>12</v>
      </c>
      <c r="AC4490" t="s">
        <v>113</v>
      </c>
      <c r="AD4490" t="s">
        <v>85</v>
      </c>
      <c r="AE4490" t="s">
        <v>46</v>
      </c>
      <c r="AF4490" t="s">
        <v>44</v>
      </c>
      <c r="AG4490" t="str">
        <f t="shared" si="103"/>
        <v>CC 12x</v>
      </c>
      <c r="AH4490" t="str">
        <f t="shared" si="104"/>
        <v/>
      </c>
    </row>
    <row r="4491" spans="1:34">
      <c r="A4491">
        <v>2026</v>
      </c>
      <c r="B4491">
        <v>5</v>
      </c>
      <c r="C4491" s="83">
        <v>221411360385</v>
      </c>
      <c r="D4491" t="s">
        <v>3851</v>
      </c>
      <c r="E4491">
        <v>59995944377</v>
      </c>
      <c r="F4491">
        <v>532690</v>
      </c>
      <c r="G4491">
        <v>55251344529</v>
      </c>
      <c r="H4491" t="s">
        <v>35</v>
      </c>
      <c r="I4491" s="36">
        <v>4890.84</v>
      </c>
      <c r="J4491" s="36">
        <v>4890.84</v>
      </c>
      <c r="K4491" s="85">
        <v>0</v>
      </c>
      <c r="L4491" s="36">
        <v>407.57</v>
      </c>
      <c r="M4491" s="36">
        <v>0</v>
      </c>
      <c r="N4491" s="36">
        <v>41.774999999999999</v>
      </c>
      <c r="O4491" s="36">
        <v>365.8</v>
      </c>
      <c r="P4491" t="s">
        <v>121</v>
      </c>
      <c r="Q4491" t="s">
        <v>111</v>
      </c>
      <c r="R4491" t="s">
        <v>111</v>
      </c>
      <c r="S4491" s="112">
        <v>46156</v>
      </c>
      <c r="T4491" s="112">
        <v>46156</v>
      </c>
      <c r="U4491" s="112">
        <v>46145</v>
      </c>
      <c r="V4491" s="112">
        <v>46521</v>
      </c>
      <c r="W4491" t="s">
        <v>38</v>
      </c>
      <c r="X4491">
        <v>12</v>
      </c>
      <c r="Y4491" t="s">
        <v>49</v>
      </c>
      <c r="Z4491" t="s">
        <v>81</v>
      </c>
      <c r="AA4491" t="s">
        <v>122</v>
      </c>
      <c r="AB4491">
        <v>12</v>
      </c>
      <c r="AC4491" t="s">
        <v>113</v>
      </c>
      <c r="AD4491" t="s">
        <v>85</v>
      </c>
      <c r="AE4491" t="s">
        <v>46</v>
      </c>
      <c r="AF4491" t="s">
        <v>44</v>
      </c>
      <c r="AG4491" t="str">
        <f t="shared" si="103"/>
        <v>Recorrente</v>
      </c>
      <c r="AH4491" t="str">
        <f t="shared" si="104"/>
        <v/>
      </c>
    </row>
    <row r="4492" spans="1:34">
      <c r="A4492">
        <v>2026</v>
      </c>
      <c r="B4492">
        <v>5</v>
      </c>
      <c r="C4492" s="83">
        <v>2073002</v>
      </c>
      <c r="D4492" t="s">
        <v>3852</v>
      </c>
      <c r="E4492">
        <v>59808562773</v>
      </c>
      <c r="F4492">
        <v>637874</v>
      </c>
      <c r="G4492">
        <v>55340652852</v>
      </c>
      <c r="H4492" t="s">
        <v>35</v>
      </c>
      <c r="I4492" s="36">
        <v>4885.68</v>
      </c>
      <c r="J4492" s="36">
        <v>2442.9</v>
      </c>
      <c r="K4492" s="85">
        <v>2442.7800000000002</v>
      </c>
      <c r="L4492" s="36">
        <v>203.57499999999999</v>
      </c>
      <c r="M4492" s="36">
        <v>203.57499999999999</v>
      </c>
      <c r="N4492" s="36">
        <v>0</v>
      </c>
      <c r="O4492" s="36">
        <v>0</v>
      </c>
      <c r="P4492" t="s">
        <v>2004</v>
      </c>
      <c r="Q4492" t="s">
        <v>300</v>
      </c>
      <c r="R4492" t="s">
        <v>300</v>
      </c>
      <c r="S4492" s="112">
        <v>46162</v>
      </c>
      <c r="T4492" s="112">
        <v>46162</v>
      </c>
      <c r="U4492" s="112"/>
      <c r="V4492" s="112">
        <v>46893</v>
      </c>
      <c r="W4492" t="s">
        <v>56</v>
      </c>
      <c r="X4492">
        <v>24</v>
      </c>
      <c r="Y4492" t="s">
        <v>49</v>
      </c>
      <c r="AA4492" t="s">
        <v>122</v>
      </c>
      <c r="AB4492">
        <v>24</v>
      </c>
      <c r="AC4492" t="s">
        <v>301</v>
      </c>
      <c r="AD4492" t="s">
        <v>140</v>
      </c>
      <c r="AE4492" t="s">
        <v>46</v>
      </c>
      <c r="AF4492" t="s">
        <v>119</v>
      </c>
      <c r="AG4492" t="str">
        <f t="shared" si="103"/>
        <v>Recorrente</v>
      </c>
      <c r="AH4492" t="str">
        <f t="shared" si="104"/>
        <v/>
      </c>
    </row>
    <row r="4493" spans="1:34">
      <c r="A4493">
        <v>2026</v>
      </c>
      <c r="B4493">
        <v>5</v>
      </c>
      <c r="C4493" s="83">
        <v>223025287170</v>
      </c>
      <c r="D4493" t="s">
        <v>3853</v>
      </c>
      <c r="E4493">
        <v>60382212692</v>
      </c>
      <c r="F4493">
        <v>637915</v>
      </c>
      <c r="G4493">
        <v>55519660664</v>
      </c>
      <c r="H4493" t="s">
        <v>35</v>
      </c>
      <c r="I4493" s="36">
        <v>4885.68</v>
      </c>
      <c r="J4493" s="36">
        <v>2442.9</v>
      </c>
      <c r="K4493" s="85">
        <v>2442.7800000000002</v>
      </c>
      <c r="L4493" s="36">
        <v>203.57499999999999</v>
      </c>
      <c r="M4493" s="36">
        <v>203.57499999999999</v>
      </c>
      <c r="N4493" s="36">
        <v>0</v>
      </c>
      <c r="O4493" s="36">
        <v>0</v>
      </c>
      <c r="P4493" t="s">
        <v>2004</v>
      </c>
      <c r="Q4493" t="s">
        <v>300</v>
      </c>
      <c r="R4493" t="s">
        <v>300</v>
      </c>
      <c r="S4493" s="112">
        <v>46163</v>
      </c>
      <c r="T4493" s="112">
        <v>46163</v>
      </c>
      <c r="U4493" s="112"/>
      <c r="V4493" s="112">
        <v>46894</v>
      </c>
      <c r="W4493" t="s">
        <v>56</v>
      </c>
      <c r="X4493">
        <v>24</v>
      </c>
      <c r="Y4493" t="s">
        <v>49</v>
      </c>
      <c r="AA4493" t="s">
        <v>122</v>
      </c>
      <c r="AB4493">
        <v>24</v>
      </c>
      <c r="AC4493" t="s">
        <v>301</v>
      </c>
      <c r="AD4493" t="s">
        <v>118</v>
      </c>
      <c r="AE4493" t="s">
        <v>43</v>
      </c>
      <c r="AF4493" t="s">
        <v>119</v>
      </c>
      <c r="AG4493" t="str">
        <f t="shared" si="103"/>
        <v>Recorrente</v>
      </c>
      <c r="AH4493" t="str">
        <f t="shared" si="104"/>
        <v/>
      </c>
    </row>
    <row r="4494" spans="1:34">
      <c r="A4494">
        <v>2026</v>
      </c>
      <c r="B4494">
        <v>5</v>
      </c>
      <c r="C4494" s="83">
        <v>92948475789</v>
      </c>
      <c r="D4494" t="s">
        <v>3854</v>
      </c>
      <c r="E4494">
        <v>60192776816</v>
      </c>
      <c r="F4494">
        <v>637755</v>
      </c>
      <c r="G4494">
        <v>55237279823</v>
      </c>
      <c r="H4494" t="s">
        <v>35</v>
      </c>
      <c r="I4494" s="36">
        <v>4885.68</v>
      </c>
      <c r="J4494" s="36">
        <v>2442.9</v>
      </c>
      <c r="K4494" s="85">
        <v>2442.7800000000002</v>
      </c>
      <c r="L4494" s="36">
        <v>203.57499999999999</v>
      </c>
      <c r="M4494" s="36">
        <v>203.57499999999999</v>
      </c>
      <c r="N4494" s="36">
        <v>0</v>
      </c>
      <c r="O4494" s="36">
        <v>0</v>
      </c>
      <c r="P4494" t="s">
        <v>2004</v>
      </c>
      <c r="Q4494" t="s">
        <v>300</v>
      </c>
      <c r="R4494" t="s">
        <v>300</v>
      </c>
      <c r="S4494" s="112">
        <v>46154</v>
      </c>
      <c r="T4494" s="112">
        <v>46154</v>
      </c>
      <c r="U4494" s="112"/>
      <c r="V4494" s="112">
        <v>46885</v>
      </c>
      <c r="W4494" t="s">
        <v>56</v>
      </c>
      <c r="X4494">
        <v>24</v>
      </c>
      <c r="Y4494" t="s">
        <v>49</v>
      </c>
      <c r="AA4494" t="s">
        <v>122</v>
      </c>
      <c r="AB4494">
        <v>24</v>
      </c>
      <c r="AC4494" t="s">
        <v>301</v>
      </c>
      <c r="AD4494" t="s">
        <v>118</v>
      </c>
      <c r="AE4494" t="s">
        <v>43</v>
      </c>
      <c r="AF4494" t="s">
        <v>119</v>
      </c>
      <c r="AG4494" t="str">
        <f t="shared" si="103"/>
        <v>Recorrente</v>
      </c>
      <c r="AH4494" t="str">
        <f t="shared" si="104"/>
        <v/>
      </c>
    </row>
    <row r="4495" spans="1:34">
      <c r="A4495">
        <v>2026</v>
      </c>
      <c r="B4495">
        <v>5</v>
      </c>
      <c r="C4495" s="83">
        <v>54803284550</v>
      </c>
      <c r="D4495" t="s">
        <v>3855</v>
      </c>
      <c r="E4495">
        <v>60154692426</v>
      </c>
      <c r="F4495">
        <v>637691</v>
      </c>
      <c r="G4495">
        <v>55129217057</v>
      </c>
      <c r="H4495" t="s">
        <v>35</v>
      </c>
      <c r="I4495" s="36">
        <v>4867.92</v>
      </c>
      <c r="J4495" s="36">
        <v>4867.884</v>
      </c>
      <c r="K4495" s="85">
        <v>3.5999999999999997E-2</v>
      </c>
      <c r="L4495" s="36">
        <v>405.65699999999998</v>
      </c>
      <c r="M4495" s="36">
        <v>405.65699999999998</v>
      </c>
      <c r="N4495" s="36">
        <v>0</v>
      </c>
      <c r="O4495" s="36">
        <v>0</v>
      </c>
      <c r="P4495" t="s">
        <v>3642</v>
      </c>
      <c r="Q4495" t="s">
        <v>300</v>
      </c>
      <c r="R4495" t="s">
        <v>300</v>
      </c>
      <c r="S4495" s="112">
        <v>46150</v>
      </c>
      <c r="T4495" s="112">
        <v>46150</v>
      </c>
      <c r="U4495" s="112"/>
      <c r="V4495" s="112">
        <v>46515</v>
      </c>
      <c r="W4495" t="s">
        <v>38</v>
      </c>
      <c r="X4495">
        <v>12</v>
      </c>
      <c r="Y4495" t="s">
        <v>49</v>
      </c>
      <c r="AA4495" t="s">
        <v>112</v>
      </c>
      <c r="AB4495">
        <v>12</v>
      </c>
      <c r="AC4495" t="s">
        <v>301</v>
      </c>
      <c r="AD4495" t="s">
        <v>85</v>
      </c>
      <c r="AE4495" t="s">
        <v>46</v>
      </c>
      <c r="AF4495" t="s">
        <v>44</v>
      </c>
      <c r="AG4495" t="str">
        <f t="shared" si="103"/>
        <v>CC 12x</v>
      </c>
      <c r="AH4495" t="str">
        <f t="shared" si="104"/>
        <v/>
      </c>
    </row>
    <row r="4496" spans="1:34">
      <c r="A4496">
        <v>2026</v>
      </c>
      <c r="B4496">
        <v>5</v>
      </c>
      <c r="C4496" s="83">
        <v>129005008134</v>
      </c>
      <c r="D4496" t="s">
        <v>145</v>
      </c>
      <c r="E4496">
        <v>60035698247</v>
      </c>
      <c r="F4496">
        <v>534775</v>
      </c>
      <c r="G4496">
        <v>55129212269</v>
      </c>
      <c r="H4496" t="s">
        <v>35</v>
      </c>
      <c r="I4496" s="36">
        <v>4860.84</v>
      </c>
      <c r="J4496" s="36">
        <v>4860.84</v>
      </c>
      <c r="K4496" s="85">
        <v>0</v>
      </c>
      <c r="L4496" s="36">
        <v>405.07</v>
      </c>
      <c r="M4496" s="36">
        <v>0</v>
      </c>
      <c r="N4496" s="36">
        <v>0</v>
      </c>
      <c r="O4496" s="36">
        <v>405.0675</v>
      </c>
      <c r="P4496" t="s">
        <v>116</v>
      </c>
      <c r="Q4496" t="s">
        <v>111</v>
      </c>
      <c r="R4496" t="s">
        <v>111</v>
      </c>
      <c r="S4496" s="112">
        <v>46153</v>
      </c>
      <c r="T4496" s="112">
        <v>46153</v>
      </c>
      <c r="U4496" s="112">
        <v>46154</v>
      </c>
      <c r="V4496" s="112">
        <v>46519</v>
      </c>
      <c r="W4496" t="s">
        <v>38</v>
      </c>
      <c r="X4496">
        <v>12</v>
      </c>
      <c r="Y4496" t="s">
        <v>49</v>
      </c>
      <c r="Z4496" t="s">
        <v>81</v>
      </c>
      <c r="AA4496" t="s">
        <v>117</v>
      </c>
      <c r="AB4496">
        <v>1</v>
      </c>
      <c r="AC4496" t="s">
        <v>113</v>
      </c>
      <c r="AD4496" t="s">
        <v>149</v>
      </c>
      <c r="AE4496" t="s">
        <v>43</v>
      </c>
      <c r="AF4496" t="s">
        <v>96</v>
      </c>
      <c r="AG4496" t="str">
        <f t="shared" si="103"/>
        <v>À Vista</v>
      </c>
      <c r="AH4496" t="str">
        <f t="shared" si="104"/>
        <v/>
      </c>
    </row>
    <row r="4497" spans="1:34">
      <c r="A4497">
        <v>2026</v>
      </c>
      <c r="B4497">
        <v>5</v>
      </c>
      <c r="C4497" s="83">
        <v>19435447478</v>
      </c>
      <c r="D4497" t="s">
        <v>2091</v>
      </c>
      <c r="E4497">
        <v>59245573816</v>
      </c>
      <c r="F4497">
        <v>315471</v>
      </c>
      <c r="G4497">
        <v>55555638697</v>
      </c>
      <c r="H4497" t="s">
        <v>35</v>
      </c>
      <c r="I4497" s="36">
        <v>4860.84</v>
      </c>
      <c r="J4497" s="36">
        <v>4860.84</v>
      </c>
      <c r="K4497" s="85">
        <v>0</v>
      </c>
      <c r="L4497" s="36">
        <v>405.07</v>
      </c>
      <c r="M4497" s="36">
        <v>0</v>
      </c>
      <c r="N4497" s="36">
        <v>30.822794999999999</v>
      </c>
      <c r="O4497" s="36">
        <v>374.25</v>
      </c>
      <c r="P4497" t="s">
        <v>116</v>
      </c>
      <c r="Q4497" t="s">
        <v>111</v>
      </c>
      <c r="R4497" t="s">
        <v>111</v>
      </c>
      <c r="S4497" s="112">
        <v>46164</v>
      </c>
      <c r="T4497" s="112">
        <v>46164</v>
      </c>
      <c r="U4497" s="112">
        <v>46172</v>
      </c>
      <c r="V4497" s="112">
        <v>46537</v>
      </c>
      <c r="W4497" t="s">
        <v>38</v>
      </c>
      <c r="X4497">
        <v>12</v>
      </c>
      <c r="Y4497" t="s">
        <v>49</v>
      </c>
      <c r="Z4497" t="s">
        <v>81</v>
      </c>
      <c r="AA4497" t="s">
        <v>112</v>
      </c>
      <c r="AB4497">
        <v>12</v>
      </c>
      <c r="AC4497" t="s">
        <v>113</v>
      </c>
      <c r="AD4497" t="s">
        <v>174</v>
      </c>
      <c r="AE4497" t="s">
        <v>43</v>
      </c>
      <c r="AF4497" t="s">
        <v>47</v>
      </c>
      <c r="AG4497" t="str">
        <f t="shared" si="103"/>
        <v>CC 12x</v>
      </c>
      <c r="AH4497" t="str">
        <f t="shared" si="104"/>
        <v/>
      </c>
    </row>
    <row r="4498" spans="1:34">
      <c r="A4498">
        <v>2026</v>
      </c>
      <c r="B4498">
        <v>5</v>
      </c>
      <c r="C4498" s="83">
        <v>52808693155</v>
      </c>
      <c r="D4498" t="s">
        <v>3593</v>
      </c>
      <c r="E4498">
        <v>57829461372</v>
      </c>
      <c r="F4498">
        <v>638031</v>
      </c>
      <c r="G4498">
        <v>55648735334</v>
      </c>
      <c r="H4498" t="s">
        <v>35</v>
      </c>
      <c r="I4498" s="36">
        <v>4860</v>
      </c>
      <c r="J4498" s="36">
        <v>4860</v>
      </c>
      <c r="K4498" s="85">
        <v>0</v>
      </c>
      <c r="L4498" s="36">
        <v>405</v>
      </c>
      <c r="M4498" s="36">
        <v>405</v>
      </c>
      <c r="N4498" s="36">
        <v>0</v>
      </c>
      <c r="O4498" s="36">
        <v>0</v>
      </c>
      <c r="P4498" t="s">
        <v>668</v>
      </c>
      <c r="Q4498" t="s">
        <v>91</v>
      </c>
      <c r="R4498" t="s">
        <v>91</v>
      </c>
      <c r="S4498" s="112">
        <v>46169</v>
      </c>
      <c r="T4498" s="112">
        <v>46169</v>
      </c>
      <c r="U4498" s="112"/>
      <c r="V4498" s="112">
        <v>46534</v>
      </c>
      <c r="W4498" t="s">
        <v>38</v>
      </c>
      <c r="X4498">
        <v>12</v>
      </c>
      <c r="Y4498" t="s">
        <v>49</v>
      </c>
      <c r="AA4498" t="s">
        <v>92</v>
      </c>
      <c r="AB4498">
        <v>1</v>
      </c>
      <c r="AC4498" t="s">
        <v>93</v>
      </c>
      <c r="AD4498" t="s">
        <v>3856</v>
      </c>
      <c r="AE4498" t="s">
        <v>3857</v>
      </c>
      <c r="AF4498" t="s">
        <v>59</v>
      </c>
      <c r="AG4498" t="str">
        <f t="shared" si="103"/>
        <v>Recorrente</v>
      </c>
      <c r="AH4498" t="str">
        <f t="shared" si="104"/>
        <v/>
      </c>
    </row>
    <row r="4499" spans="1:34">
      <c r="A4499">
        <v>2026</v>
      </c>
      <c r="B4499">
        <v>5</v>
      </c>
      <c r="C4499" s="83">
        <v>112458772799</v>
      </c>
      <c r="D4499" t="s">
        <v>3858</v>
      </c>
      <c r="E4499">
        <v>58652788343</v>
      </c>
      <c r="F4499">
        <v>315270</v>
      </c>
      <c r="G4499">
        <v>53816104588</v>
      </c>
      <c r="H4499" t="s">
        <v>35</v>
      </c>
      <c r="I4499" s="36">
        <v>4854.6000000000004</v>
      </c>
      <c r="J4499" s="36">
        <v>4854.6000000000004</v>
      </c>
      <c r="K4499" s="85">
        <v>0</v>
      </c>
      <c r="L4499" s="36">
        <v>404.55</v>
      </c>
      <c r="M4499" s="36">
        <v>0</v>
      </c>
      <c r="N4499" s="36">
        <v>47.55</v>
      </c>
      <c r="O4499" s="36">
        <v>357</v>
      </c>
      <c r="P4499" t="s">
        <v>165</v>
      </c>
      <c r="Q4499" t="s">
        <v>166</v>
      </c>
      <c r="R4499" t="s">
        <v>166</v>
      </c>
      <c r="S4499" s="112">
        <v>46158</v>
      </c>
      <c r="T4499" s="112">
        <v>46158</v>
      </c>
      <c r="U4499" s="112">
        <v>46158</v>
      </c>
      <c r="V4499" s="112">
        <v>46523</v>
      </c>
      <c r="W4499" t="s">
        <v>38</v>
      </c>
      <c r="X4499">
        <v>12</v>
      </c>
      <c r="Y4499" t="s">
        <v>49</v>
      </c>
      <c r="Z4499" t="s">
        <v>81</v>
      </c>
      <c r="AA4499" t="s">
        <v>122</v>
      </c>
      <c r="AB4499">
        <v>12</v>
      </c>
      <c r="AC4499" t="s">
        <v>166</v>
      </c>
      <c r="AD4499" t="s">
        <v>84</v>
      </c>
      <c r="AE4499" t="s">
        <v>43</v>
      </c>
      <c r="AF4499" t="s">
        <v>44</v>
      </c>
      <c r="AG4499" t="str">
        <f t="shared" si="103"/>
        <v>Recorrente</v>
      </c>
      <c r="AH4499" t="str">
        <f t="shared" si="104"/>
        <v/>
      </c>
    </row>
    <row r="4500" spans="1:34">
      <c r="A4500">
        <v>2026</v>
      </c>
      <c r="B4500">
        <v>5</v>
      </c>
      <c r="C4500" s="83">
        <v>112458772799</v>
      </c>
      <c r="D4500" t="s">
        <v>3858</v>
      </c>
      <c r="E4500">
        <v>58652788343</v>
      </c>
      <c r="F4500">
        <v>315270</v>
      </c>
      <c r="G4500">
        <v>53835811186</v>
      </c>
      <c r="H4500" t="s">
        <v>35</v>
      </c>
      <c r="I4500" s="36">
        <v>4854.6000000000004</v>
      </c>
      <c r="J4500" s="36">
        <v>4854.6000000000004</v>
      </c>
      <c r="K4500" s="85">
        <v>0</v>
      </c>
      <c r="L4500" s="36">
        <v>404.55</v>
      </c>
      <c r="M4500" s="36">
        <v>0</v>
      </c>
      <c r="N4500" s="36">
        <v>47.55</v>
      </c>
      <c r="O4500" s="36">
        <v>357</v>
      </c>
      <c r="P4500" t="s">
        <v>165</v>
      </c>
      <c r="Q4500" t="s">
        <v>166</v>
      </c>
      <c r="R4500" t="s">
        <v>166</v>
      </c>
      <c r="S4500" s="112">
        <v>46158</v>
      </c>
      <c r="T4500" s="112">
        <v>46158</v>
      </c>
      <c r="U4500" s="112">
        <v>46158</v>
      </c>
      <c r="V4500" s="112">
        <v>46523</v>
      </c>
      <c r="W4500" t="s">
        <v>38</v>
      </c>
      <c r="X4500">
        <v>12</v>
      </c>
      <c r="Y4500" t="s">
        <v>49</v>
      </c>
      <c r="Z4500" t="s">
        <v>81</v>
      </c>
      <c r="AA4500" t="s">
        <v>122</v>
      </c>
      <c r="AB4500">
        <v>12</v>
      </c>
      <c r="AC4500" t="s">
        <v>166</v>
      </c>
      <c r="AD4500" t="s">
        <v>85</v>
      </c>
      <c r="AE4500" t="s">
        <v>46</v>
      </c>
      <c r="AF4500" t="s">
        <v>44</v>
      </c>
      <c r="AG4500" t="str">
        <f t="shared" si="103"/>
        <v>Recorrente</v>
      </c>
      <c r="AH4500" t="str">
        <f t="shared" si="104"/>
        <v/>
      </c>
    </row>
    <row r="4501" spans="1:34">
      <c r="A4501">
        <v>2026</v>
      </c>
      <c r="B4501">
        <v>5</v>
      </c>
      <c r="C4501" s="83">
        <v>19699734555</v>
      </c>
      <c r="D4501" t="s">
        <v>3859</v>
      </c>
      <c r="E4501">
        <v>58542345862</v>
      </c>
      <c r="F4501">
        <v>510182</v>
      </c>
      <c r="G4501">
        <v>53708094622</v>
      </c>
      <c r="H4501" t="s">
        <v>35</v>
      </c>
      <c r="I4501" s="36">
        <v>4854.6000000000004</v>
      </c>
      <c r="J4501" s="36">
        <v>4854.6000000000004</v>
      </c>
      <c r="K4501" s="85">
        <v>0</v>
      </c>
      <c r="L4501" s="36">
        <v>404.55</v>
      </c>
      <c r="M4501" s="36">
        <v>0</v>
      </c>
      <c r="N4501" s="36">
        <v>74.515000000000001</v>
      </c>
      <c r="O4501" s="36">
        <v>330.03500000000003</v>
      </c>
      <c r="P4501" t="s">
        <v>165</v>
      </c>
      <c r="Q4501" t="s">
        <v>166</v>
      </c>
      <c r="R4501" t="s">
        <v>166</v>
      </c>
      <c r="S4501" s="112">
        <v>46156</v>
      </c>
      <c r="T4501" s="112">
        <v>46156</v>
      </c>
      <c r="U4501" s="112">
        <v>46156</v>
      </c>
      <c r="V4501" s="112">
        <v>46521</v>
      </c>
      <c r="W4501" t="s">
        <v>38</v>
      </c>
      <c r="X4501">
        <v>12</v>
      </c>
      <c r="Y4501" t="s">
        <v>49</v>
      </c>
      <c r="Z4501" t="s">
        <v>81</v>
      </c>
      <c r="AA4501" t="s">
        <v>112</v>
      </c>
      <c r="AB4501">
        <v>12</v>
      </c>
      <c r="AC4501" t="s">
        <v>166</v>
      </c>
      <c r="AD4501" t="s">
        <v>85</v>
      </c>
      <c r="AE4501" t="s">
        <v>46</v>
      </c>
      <c r="AF4501" t="s">
        <v>44</v>
      </c>
      <c r="AG4501" t="str">
        <f t="shared" si="103"/>
        <v>CC 12x</v>
      </c>
      <c r="AH4501" t="str">
        <f t="shared" si="104"/>
        <v/>
      </c>
    </row>
    <row r="4502" spans="1:34">
      <c r="A4502">
        <v>2026</v>
      </c>
      <c r="B4502">
        <v>5</v>
      </c>
      <c r="C4502" s="83">
        <v>19699734555</v>
      </c>
      <c r="D4502" t="s">
        <v>3859</v>
      </c>
      <c r="E4502">
        <v>58542345862</v>
      </c>
      <c r="F4502">
        <v>510182</v>
      </c>
      <c r="G4502">
        <v>53708257339</v>
      </c>
      <c r="H4502" t="s">
        <v>35</v>
      </c>
      <c r="I4502" s="36">
        <v>4854.6000000000004</v>
      </c>
      <c r="J4502" s="36">
        <v>4854.6000000000004</v>
      </c>
      <c r="K4502" s="85">
        <v>0</v>
      </c>
      <c r="L4502" s="36">
        <v>404.55</v>
      </c>
      <c r="M4502" s="36">
        <v>0</v>
      </c>
      <c r="N4502" s="36">
        <v>74.515000000000001</v>
      </c>
      <c r="O4502" s="36">
        <v>330.03500000000003</v>
      </c>
      <c r="P4502" t="s">
        <v>165</v>
      </c>
      <c r="Q4502" t="s">
        <v>166</v>
      </c>
      <c r="R4502" t="s">
        <v>166</v>
      </c>
      <c r="S4502" s="112">
        <v>46156</v>
      </c>
      <c r="T4502" s="112">
        <v>46156</v>
      </c>
      <c r="U4502" s="112">
        <v>46156</v>
      </c>
      <c r="V4502" s="112">
        <v>46521</v>
      </c>
      <c r="W4502" t="s">
        <v>38</v>
      </c>
      <c r="X4502">
        <v>12</v>
      </c>
      <c r="Y4502" t="s">
        <v>49</v>
      </c>
      <c r="Z4502" t="s">
        <v>81</v>
      </c>
      <c r="AA4502" t="s">
        <v>112</v>
      </c>
      <c r="AB4502">
        <v>12</v>
      </c>
      <c r="AC4502" t="s">
        <v>166</v>
      </c>
      <c r="AD4502" t="s">
        <v>84</v>
      </c>
      <c r="AE4502" t="s">
        <v>43</v>
      </c>
      <c r="AF4502" t="s">
        <v>44</v>
      </c>
      <c r="AG4502" t="str">
        <f t="shared" si="103"/>
        <v>CC 12x</v>
      </c>
      <c r="AH4502" t="str">
        <f t="shared" si="104"/>
        <v/>
      </c>
    </row>
    <row r="4503" spans="1:34">
      <c r="A4503">
        <v>2026</v>
      </c>
      <c r="B4503">
        <v>5</v>
      </c>
      <c r="C4503" s="83">
        <v>52808693155</v>
      </c>
      <c r="D4503" t="s">
        <v>3593</v>
      </c>
      <c r="E4503">
        <v>57829461372</v>
      </c>
      <c r="F4503">
        <v>638031</v>
      </c>
      <c r="G4503">
        <v>55648735337</v>
      </c>
      <c r="H4503" t="s">
        <v>35</v>
      </c>
      <c r="I4503" s="36">
        <v>4833</v>
      </c>
      <c r="J4503" s="36">
        <v>4833</v>
      </c>
      <c r="K4503" s="85">
        <v>0</v>
      </c>
      <c r="L4503" s="36">
        <v>402.75</v>
      </c>
      <c r="M4503" s="36">
        <v>402.75</v>
      </c>
      <c r="N4503" s="36">
        <v>0</v>
      </c>
      <c r="O4503" s="36">
        <v>0</v>
      </c>
      <c r="P4503" t="s">
        <v>668</v>
      </c>
      <c r="Q4503" t="s">
        <v>91</v>
      </c>
      <c r="R4503" t="s">
        <v>91</v>
      </c>
      <c r="S4503" s="112">
        <v>46169</v>
      </c>
      <c r="T4503" s="112">
        <v>46169</v>
      </c>
      <c r="U4503" s="112"/>
      <c r="V4503" s="112">
        <v>46534</v>
      </c>
      <c r="W4503" t="s">
        <v>38</v>
      </c>
      <c r="X4503">
        <v>12</v>
      </c>
      <c r="Y4503" t="s">
        <v>49</v>
      </c>
      <c r="AA4503" t="s">
        <v>92</v>
      </c>
      <c r="AB4503">
        <v>1</v>
      </c>
      <c r="AC4503" t="s">
        <v>93</v>
      </c>
      <c r="AD4503" t="s">
        <v>256</v>
      </c>
      <c r="AE4503" t="s">
        <v>257</v>
      </c>
      <c r="AF4503" t="s">
        <v>59</v>
      </c>
      <c r="AG4503" t="str">
        <f t="shared" si="103"/>
        <v>Recorrente</v>
      </c>
      <c r="AH4503" t="str">
        <f t="shared" si="104"/>
        <v/>
      </c>
    </row>
    <row r="4504" spans="1:34">
      <c r="A4504">
        <v>2026</v>
      </c>
      <c r="B4504">
        <v>5</v>
      </c>
      <c r="C4504" s="83">
        <v>52808693155</v>
      </c>
      <c r="D4504" t="s">
        <v>3593</v>
      </c>
      <c r="E4504">
        <v>57829461372</v>
      </c>
      <c r="F4504">
        <v>638031</v>
      </c>
      <c r="G4504">
        <v>55648735338</v>
      </c>
      <c r="H4504" t="s">
        <v>35</v>
      </c>
      <c r="I4504" s="36">
        <v>4833</v>
      </c>
      <c r="J4504" s="36">
        <v>4833</v>
      </c>
      <c r="K4504" s="85">
        <v>0</v>
      </c>
      <c r="L4504" s="36">
        <v>402.75</v>
      </c>
      <c r="M4504" s="36">
        <v>402.75</v>
      </c>
      <c r="N4504" s="36">
        <v>0</v>
      </c>
      <c r="O4504" s="36">
        <v>0</v>
      </c>
      <c r="P4504" t="s">
        <v>668</v>
      </c>
      <c r="Q4504" t="s">
        <v>91</v>
      </c>
      <c r="R4504" t="s">
        <v>91</v>
      </c>
      <c r="S4504" s="112">
        <v>46169</v>
      </c>
      <c r="T4504" s="112">
        <v>46169</v>
      </c>
      <c r="U4504" s="112"/>
      <c r="V4504" s="112">
        <v>46534</v>
      </c>
      <c r="W4504" t="s">
        <v>38</v>
      </c>
      <c r="X4504">
        <v>12</v>
      </c>
      <c r="Y4504" t="s">
        <v>49</v>
      </c>
      <c r="AA4504" t="s">
        <v>92</v>
      </c>
      <c r="AB4504">
        <v>1</v>
      </c>
      <c r="AC4504" t="s">
        <v>93</v>
      </c>
      <c r="AD4504" t="s">
        <v>362</v>
      </c>
      <c r="AE4504" t="s">
        <v>363</v>
      </c>
      <c r="AF4504" t="s">
        <v>59</v>
      </c>
      <c r="AG4504" t="str">
        <f t="shared" si="103"/>
        <v>Recorrente</v>
      </c>
      <c r="AH4504" t="str">
        <f t="shared" si="104"/>
        <v/>
      </c>
    </row>
    <row r="4505" spans="1:34">
      <c r="A4505">
        <v>2026</v>
      </c>
      <c r="B4505">
        <v>5</v>
      </c>
      <c r="C4505" s="83">
        <v>19435513492</v>
      </c>
      <c r="D4505" t="s">
        <v>3860</v>
      </c>
      <c r="E4505">
        <v>49714746234</v>
      </c>
      <c r="F4505">
        <v>629663</v>
      </c>
      <c r="G4505">
        <v>55623476151</v>
      </c>
      <c r="H4505" t="s">
        <v>35</v>
      </c>
      <c r="I4505" s="36">
        <v>4819.08</v>
      </c>
      <c r="J4505" s="36">
        <v>4819.08</v>
      </c>
      <c r="K4505" s="85">
        <v>0</v>
      </c>
      <c r="L4505" s="36">
        <v>401.59</v>
      </c>
      <c r="M4505" s="36">
        <v>0</v>
      </c>
      <c r="N4505" s="36">
        <v>14.59</v>
      </c>
      <c r="O4505" s="36">
        <v>387</v>
      </c>
      <c r="P4505" t="s">
        <v>98</v>
      </c>
      <c r="Q4505" t="s">
        <v>3558</v>
      </c>
      <c r="R4505" t="s">
        <v>37</v>
      </c>
      <c r="S4505" s="112">
        <v>46168</v>
      </c>
      <c r="T4505" s="112">
        <v>46168</v>
      </c>
      <c r="U4505" s="112">
        <v>46162</v>
      </c>
      <c r="V4505" s="112">
        <v>46533</v>
      </c>
      <c r="W4505" t="s">
        <v>38</v>
      </c>
      <c r="X4505">
        <v>12</v>
      </c>
      <c r="Y4505" t="s">
        <v>49</v>
      </c>
      <c r="Z4505" t="s">
        <v>81</v>
      </c>
      <c r="AA4505" t="s">
        <v>40</v>
      </c>
      <c r="AB4505">
        <v>1</v>
      </c>
      <c r="AC4505" t="s">
        <v>41</v>
      </c>
      <c r="AD4505" t="s">
        <v>53</v>
      </c>
      <c r="AE4505" t="s">
        <v>43</v>
      </c>
      <c r="AF4505" t="s">
        <v>44</v>
      </c>
      <c r="AG4505" t="str">
        <f t="shared" si="103"/>
        <v>À Vista</v>
      </c>
      <c r="AH4505" t="str">
        <f t="shared" si="104"/>
        <v/>
      </c>
    </row>
    <row r="4506" spans="1:34">
      <c r="A4506">
        <v>2026</v>
      </c>
      <c r="B4506">
        <v>5</v>
      </c>
      <c r="C4506" s="83">
        <v>120479464967</v>
      </c>
      <c r="D4506" t="s">
        <v>3861</v>
      </c>
      <c r="E4506">
        <v>60136299107</v>
      </c>
      <c r="F4506">
        <v>629485</v>
      </c>
      <c r="G4506">
        <v>55641967920</v>
      </c>
      <c r="H4506" t="s">
        <v>35</v>
      </c>
      <c r="I4506" s="36">
        <v>4800</v>
      </c>
      <c r="J4506" s="36">
        <v>4800</v>
      </c>
      <c r="K4506" s="85">
        <v>0</v>
      </c>
      <c r="L4506" s="36">
        <v>400</v>
      </c>
      <c r="M4506" s="36">
        <v>0</v>
      </c>
      <c r="N4506" s="36">
        <v>12.69</v>
      </c>
      <c r="O4506" s="36">
        <v>387.31</v>
      </c>
      <c r="P4506" t="s">
        <v>127</v>
      </c>
      <c r="Q4506" t="s">
        <v>111</v>
      </c>
      <c r="R4506" t="s">
        <v>111</v>
      </c>
      <c r="S4506" s="112">
        <v>46169</v>
      </c>
      <c r="T4506" s="112">
        <v>46169</v>
      </c>
      <c r="U4506" s="112">
        <v>46151</v>
      </c>
      <c r="V4506" s="112">
        <v>46534</v>
      </c>
      <c r="W4506" t="s">
        <v>38</v>
      </c>
      <c r="X4506">
        <v>12</v>
      </c>
      <c r="Y4506" t="s">
        <v>49</v>
      </c>
      <c r="Z4506" t="s">
        <v>81</v>
      </c>
      <c r="AA4506" t="s">
        <v>112</v>
      </c>
      <c r="AB4506">
        <v>12</v>
      </c>
      <c r="AC4506" t="s">
        <v>113</v>
      </c>
      <c r="AD4506" t="s">
        <v>85</v>
      </c>
      <c r="AE4506" t="s">
        <v>46</v>
      </c>
      <c r="AF4506" t="s">
        <v>44</v>
      </c>
      <c r="AG4506" t="str">
        <f t="shared" si="103"/>
        <v>CC 12x</v>
      </c>
      <c r="AH4506" t="str">
        <f t="shared" si="104"/>
        <v/>
      </c>
    </row>
    <row r="4507" spans="1:34">
      <c r="A4507">
        <v>2026</v>
      </c>
      <c r="B4507">
        <v>5</v>
      </c>
      <c r="C4507" s="83">
        <v>125128186742</v>
      </c>
      <c r="D4507" t="s">
        <v>3862</v>
      </c>
      <c r="E4507">
        <v>59864648015</v>
      </c>
      <c r="F4507">
        <v>629971</v>
      </c>
      <c r="G4507">
        <v>55478199898</v>
      </c>
      <c r="H4507" t="s">
        <v>35</v>
      </c>
      <c r="I4507" s="36">
        <v>4788</v>
      </c>
      <c r="J4507" s="36">
        <v>4788</v>
      </c>
      <c r="K4507" s="85">
        <v>0</v>
      </c>
      <c r="L4507" s="36">
        <v>399</v>
      </c>
      <c r="M4507" s="36">
        <v>0</v>
      </c>
      <c r="N4507" s="36">
        <v>12.9</v>
      </c>
      <c r="O4507" s="36">
        <v>386.1</v>
      </c>
      <c r="P4507" t="s">
        <v>127</v>
      </c>
      <c r="Q4507" t="s">
        <v>111</v>
      </c>
      <c r="R4507" t="s">
        <v>111</v>
      </c>
      <c r="S4507" s="112">
        <v>46167</v>
      </c>
      <c r="T4507" s="112">
        <v>46167</v>
      </c>
      <c r="U4507" s="112">
        <v>46172</v>
      </c>
      <c r="V4507" s="112">
        <v>46537</v>
      </c>
      <c r="W4507" t="s">
        <v>38</v>
      </c>
      <c r="X4507">
        <v>12</v>
      </c>
      <c r="Y4507" t="s">
        <v>49</v>
      </c>
      <c r="Z4507" t="s">
        <v>76</v>
      </c>
      <c r="AA4507" t="s">
        <v>112</v>
      </c>
      <c r="AB4507">
        <v>12</v>
      </c>
      <c r="AC4507" t="s">
        <v>113</v>
      </c>
      <c r="AD4507" t="s">
        <v>138</v>
      </c>
      <c r="AE4507" t="s">
        <v>135</v>
      </c>
      <c r="AF4507" t="s">
        <v>119</v>
      </c>
      <c r="AG4507" t="str">
        <f t="shared" si="103"/>
        <v>CC 12x</v>
      </c>
      <c r="AH4507" t="str">
        <f t="shared" si="104"/>
        <v/>
      </c>
    </row>
    <row r="4508" spans="1:34">
      <c r="A4508">
        <v>2026</v>
      </c>
      <c r="B4508">
        <v>5</v>
      </c>
      <c r="C4508" s="83">
        <v>222305641395</v>
      </c>
      <c r="D4508" t="s">
        <v>3863</v>
      </c>
      <c r="E4508">
        <v>60326617661</v>
      </c>
      <c r="F4508">
        <v>638025</v>
      </c>
      <c r="G4508">
        <v>55340444683</v>
      </c>
      <c r="H4508" t="s">
        <v>35</v>
      </c>
      <c r="I4508" s="36">
        <v>4769.6400000000003</v>
      </c>
      <c r="J4508" s="36">
        <v>4769.6099999999997</v>
      </c>
      <c r="K4508" s="85">
        <v>0.03</v>
      </c>
      <c r="L4508" s="36">
        <v>397.46749999999997</v>
      </c>
      <c r="M4508" s="36">
        <v>397.46749999999997</v>
      </c>
      <c r="N4508" s="36">
        <v>0</v>
      </c>
      <c r="O4508" s="36">
        <v>0</v>
      </c>
      <c r="P4508" t="s">
        <v>3642</v>
      </c>
      <c r="Q4508" t="s">
        <v>300</v>
      </c>
      <c r="R4508" t="s">
        <v>300</v>
      </c>
      <c r="S4508" s="112">
        <v>46169</v>
      </c>
      <c r="T4508" s="112">
        <v>46169</v>
      </c>
      <c r="U4508" s="112"/>
      <c r="V4508" s="112">
        <v>46534</v>
      </c>
      <c r="W4508" t="s">
        <v>38</v>
      </c>
      <c r="X4508">
        <v>12</v>
      </c>
      <c r="Y4508" t="s">
        <v>49</v>
      </c>
      <c r="AA4508" t="s">
        <v>112</v>
      </c>
      <c r="AB4508">
        <v>12</v>
      </c>
      <c r="AC4508" t="s">
        <v>301</v>
      </c>
      <c r="AD4508" t="s">
        <v>138</v>
      </c>
      <c r="AE4508" t="s">
        <v>135</v>
      </c>
      <c r="AF4508" t="s">
        <v>119</v>
      </c>
      <c r="AG4508" t="str">
        <f t="shared" si="103"/>
        <v>CC 12x</v>
      </c>
      <c r="AH4508" t="str">
        <f t="shared" si="104"/>
        <v/>
      </c>
    </row>
    <row r="4509" spans="1:34">
      <c r="A4509">
        <v>2026</v>
      </c>
      <c r="B4509">
        <v>5</v>
      </c>
      <c r="C4509" s="83">
        <v>197278160749</v>
      </c>
      <c r="D4509" t="s">
        <v>890</v>
      </c>
      <c r="E4509">
        <v>60058879309</v>
      </c>
      <c r="F4509">
        <v>637625</v>
      </c>
      <c r="G4509">
        <v>55092237347</v>
      </c>
      <c r="H4509" t="s">
        <v>35</v>
      </c>
      <c r="I4509" s="36">
        <v>4746.4799999999996</v>
      </c>
      <c r="J4509" s="36">
        <v>2217.3546000000001</v>
      </c>
      <c r="K4509" s="85">
        <v>2529.1253999999999</v>
      </c>
      <c r="L4509" s="36">
        <v>184.77955</v>
      </c>
      <c r="M4509" s="36">
        <v>0</v>
      </c>
      <c r="N4509" s="36">
        <v>184.77955</v>
      </c>
      <c r="O4509" s="36">
        <v>0</v>
      </c>
      <c r="P4509" t="s">
        <v>323</v>
      </c>
      <c r="Q4509" t="s">
        <v>191</v>
      </c>
      <c r="R4509" t="s">
        <v>191</v>
      </c>
      <c r="S4509" s="112">
        <v>46149</v>
      </c>
      <c r="T4509" s="112">
        <v>46149</v>
      </c>
      <c r="U4509" s="112">
        <v>46417</v>
      </c>
      <c r="V4509" s="112">
        <v>46514</v>
      </c>
      <c r="W4509" t="s">
        <v>38</v>
      </c>
      <c r="X4509">
        <v>4</v>
      </c>
      <c r="Y4509" t="s">
        <v>49</v>
      </c>
      <c r="AA4509" t="s">
        <v>112</v>
      </c>
      <c r="AB4509">
        <v>12</v>
      </c>
      <c r="AC4509" t="s">
        <v>192</v>
      </c>
      <c r="AD4509" t="s">
        <v>85</v>
      </c>
      <c r="AE4509" t="s">
        <v>46</v>
      </c>
      <c r="AF4509" t="s">
        <v>44</v>
      </c>
      <c r="AG4509" t="str">
        <f t="shared" si="103"/>
        <v>CC 12x</v>
      </c>
      <c r="AH4509" t="str">
        <f t="shared" si="104"/>
        <v/>
      </c>
    </row>
    <row r="4510" spans="1:34">
      <c r="A4510">
        <v>2026</v>
      </c>
      <c r="B4510">
        <v>5</v>
      </c>
      <c r="C4510" s="83">
        <v>174437807794</v>
      </c>
      <c r="D4510" t="s">
        <v>357</v>
      </c>
      <c r="E4510">
        <v>60179365705</v>
      </c>
      <c r="F4510">
        <v>637746</v>
      </c>
      <c r="G4510">
        <v>55237415954</v>
      </c>
      <c r="H4510" t="s">
        <v>35</v>
      </c>
      <c r="I4510" s="36">
        <v>4742.04</v>
      </c>
      <c r="J4510" s="36">
        <v>2270.4</v>
      </c>
      <c r="K4510" s="85">
        <v>2471.64</v>
      </c>
      <c r="L4510" s="36">
        <v>189.2</v>
      </c>
      <c r="M4510" s="36">
        <v>0</v>
      </c>
      <c r="N4510" s="36">
        <v>189.2</v>
      </c>
      <c r="O4510" s="36">
        <v>0</v>
      </c>
      <c r="P4510" t="s">
        <v>323</v>
      </c>
      <c r="Q4510" t="s">
        <v>191</v>
      </c>
      <c r="R4510" t="s">
        <v>191</v>
      </c>
      <c r="S4510" s="112">
        <v>46154</v>
      </c>
      <c r="T4510" s="112">
        <v>46154</v>
      </c>
      <c r="U4510" s="112">
        <v>46507</v>
      </c>
      <c r="V4510" s="112">
        <v>46519</v>
      </c>
      <c r="W4510" t="s">
        <v>38</v>
      </c>
      <c r="X4510">
        <v>1</v>
      </c>
      <c r="Y4510" t="s">
        <v>49</v>
      </c>
      <c r="AA4510" t="s">
        <v>112</v>
      </c>
      <c r="AB4510">
        <v>12</v>
      </c>
      <c r="AC4510" t="s">
        <v>192</v>
      </c>
      <c r="AD4510" t="s">
        <v>138</v>
      </c>
      <c r="AE4510" t="s">
        <v>135</v>
      </c>
      <c r="AF4510" t="s">
        <v>119</v>
      </c>
      <c r="AG4510" t="str">
        <f t="shared" si="103"/>
        <v>CC 12x</v>
      </c>
      <c r="AH4510" t="str">
        <f t="shared" si="104"/>
        <v/>
      </c>
    </row>
    <row r="4511" spans="1:34">
      <c r="A4511">
        <v>2026</v>
      </c>
      <c r="B4511">
        <v>5</v>
      </c>
      <c r="C4511" s="83">
        <v>218442443695</v>
      </c>
      <c r="D4511" t="s">
        <v>3336</v>
      </c>
      <c r="E4511">
        <v>60667300718</v>
      </c>
      <c r="F4511">
        <v>638026</v>
      </c>
      <c r="G4511">
        <v>55645949270</v>
      </c>
      <c r="H4511" t="s">
        <v>35</v>
      </c>
      <c r="I4511" s="36">
        <v>4742.04</v>
      </c>
      <c r="J4511" s="36">
        <v>4742.04</v>
      </c>
      <c r="K4511" s="85">
        <v>0</v>
      </c>
      <c r="L4511" s="36">
        <v>395.17</v>
      </c>
      <c r="M4511" s="36">
        <v>395.17</v>
      </c>
      <c r="N4511" s="36">
        <v>0</v>
      </c>
      <c r="O4511" s="36">
        <v>0</v>
      </c>
      <c r="P4511" t="s">
        <v>3179</v>
      </c>
      <c r="Q4511" t="s">
        <v>300</v>
      </c>
      <c r="R4511" t="s">
        <v>300</v>
      </c>
      <c r="S4511" s="112">
        <v>46169</v>
      </c>
      <c r="T4511" s="112">
        <v>46169</v>
      </c>
      <c r="U4511" s="112"/>
      <c r="V4511" s="112">
        <v>46534</v>
      </c>
      <c r="W4511" t="s">
        <v>38</v>
      </c>
      <c r="X4511">
        <v>12</v>
      </c>
      <c r="Y4511" t="s">
        <v>49</v>
      </c>
      <c r="AA4511" t="s">
        <v>112</v>
      </c>
      <c r="AB4511">
        <v>12</v>
      </c>
      <c r="AC4511" t="s">
        <v>301</v>
      </c>
      <c r="AD4511" t="s">
        <v>138</v>
      </c>
      <c r="AE4511" t="s">
        <v>135</v>
      </c>
      <c r="AF4511" t="s">
        <v>119</v>
      </c>
      <c r="AG4511" t="str">
        <f t="shared" si="103"/>
        <v>CC 12x</v>
      </c>
      <c r="AH4511" t="str">
        <f t="shared" si="104"/>
        <v/>
      </c>
    </row>
    <row r="4512" spans="1:34">
      <c r="A4512">
        <v>2026</v>
      </c>
      <c r="B4512">
        <v>5</v>
      </c>
      <c r="C4512" s="83">
        <v>24873634617</v>
      </c>
      <c r="D4512" t="s">
        <v>3864</v>
      </c>
      <c r="E4512">
        <v>59945403567</v>
      </c>
      <c r="F4512">
        <v>616356</v>
      </c>
      <c r="G4512">
        <v>55412712830</v>
      </c>
      <c r="H4512" t="s">
        <v>35</v>
      </c>
      <c r="I4512" s="36">
        <v>4716</v>
      </c>
      <c r="J4512" s="36">
        <v>4716</v>
      </c>
      <c r="K4512" s="85">
        <v>0</v>
      </c>
      <c r="L4512" s="36">
        <v>393</v>
      </c>
      <c r="M4512" s="36">
        <v>0</v>
      </c>
      <c r="N4512" s="36">
        <v>6.9</v>
      </c>
      <c r="O4512" s="36">
        <v>386.1</v>
      </c>
      <c r="P4512" t="s">
        <v>127</v>
      </c>
      <c r="Q4512" t="s">
        <v>111</v>
      </c>
      <c r="R4512" t="s">
        <v>111</v>
      </c>
      <c r="S4512" s="112">
        <v>46162</v>
      </c>
      <c r="T4512" s="112">
        <v>46162</v>
      </c>
      <c r="U4512" s="112">
        <v>46173</v>
      </c>
      <c r="V4512" s="112">
        <v>46538</v>
      </c>
      <c r="W4512" t="s">
        <v>38</v>
      </c>
      <c r="X4512">
        <v>12</v>
      </c>
      <c r="Y4512" t="s">
        <v>49</v>
      </c>
      <c r="Z4512" t="s">
        <v>81</v>
      </c>
      <c r="AA4512" t="s">
        <v>112</v>
      </c>
      <c r="AB4512">
        <v>12</v>
      </c>
      <c r="AC4512" t="s">
        <v>113</v>
      </c>
      <c r="AD4512" t="s">
        <v>138</v>
      </c>
      <c r="AE4512" t="s">
        <v>135</v>
      </c>
      <c r="AF4512" t="s">
        <v>119</v>
      </c>
      <c r="AG4512" t="str">
        <f t="shared" si="103"/>
        <v>CC 12x</v>
      </c>
      <c r="AH4512" t="str">
        <f t="shared" si="104"/>
        <v/>
      </c>
    </row>
    <row r="4513" spans="1:34">
      <c r="A4513">
        <v>2026</v>
      </c>
      <c r="B4513">
        <v>5</v>
      </c>
      <c r="C4513" s="83">
        <v>94557311899</v>
      </c>
      <c r="D4513" t="s">
        <v>3865</v>
      </c>
      <c r="E4513">
        <v>60665556500</v>
      </c>
      <c r="F4513">
        <v>629984</v>
      </c>
      <c r="G4513">
        <v>55661498399</v>
      </c>
      <c r="H4513" t="s">
        <v>35</v>
      </c>
      <c r="I4513" s="36">
        <v>4716</v>
      </c>
      <c r="J4513" s="36">
        <v>4716</v>
      </c>
      <c r="K4513" s="85">
        <v>0</v>
      </c>
      <c r="L4513" s="36">
        <v>393</v>
      </c>
      <c r="M4513" s="36">
        <v>0</v>
      </c>
      <c r="N4513" s="36">
        <v>177.9</v>
      </c>
      <c r="O4513" s="36">
        <v>215.1</v>
      </c>
      <c r="P4513" t="s">
        <v>127</v>
      </c>
      <c r="Q4513" t="s">
        <v>111</v>
      </c>
      <c r="R4513" t="s">
        <v>111</v>
      </c>
      <c r="S4513" s="112">
        <v>46170</v>
      </c>
      <c r="T4513" s="112">
        <v>46170</v>
      </c>
      <c r="U4513" s="112">
        <v>46173</v>
      </c>
      <c r="V4513" s="112">
        <v>46538</v>
      </c>
      <c r="W4513" t="s">
        <v>38</v>
      </c>
      <c r="X4513">
        <v>12</v>
      </c>
      <c r="Y4513" t="s">
        <v>49</v>
      </c>
      <c r="Z4513" t="s">
        <v>76</v>
      </c>
      <c r="AA4513" t="s">
        <v>122</v>
      </c>
      <c r="AB4513">
        <v>12</v>
      </c>
      <c r="AC4513" t="s">
        <v>113</v>
      </c>
      <c r="AD4513" t="s">
        <v>138</v>
      </c>
      <c r="AE4513" t="s">
        <v>135</v>
      </c>
      <c r="AF4513" t="s">
        <v>119</v>
      </c>
      <c r="AG4513" t="str">
        <f t="shared" si="103"/>
        <v>Recorrente</v>
      </c>
      <c r="AH4513" t="str">
        <f t="shared" si="104"/>
        <v/>
      </c>
    </row>
    <row r="4514" spans="1:34">
      <c r="A4514">
        <v>2026</v>
      </c>
      <c r="B4514">
        <v>5</v>
      </c>
      <c r="C4514" s="83">
        <v>117687758124</v>
      </c>
      <c r="D4514" t="s">
        <v>705</v>
      </c>
      <c r="E4514">
        <v>60021771135</v>
      </c>
      <c r="F4514">
        <v>314276</v>
      </c>
      <c r="G4514">
        <v>55129087232</v>
      </c>
      <c r="H4514" t="s">
        <v>35</v>
      </c>
      <c r="I4514" s="36">
        <v>4714.4399999999996</v>
      </c>
      <c r="J4514" s="36">
        <v>4714.4399999999996</v>
      </c>
      <c r="K4514" s="85">
        <v>0</v>
      </c>
      <c r="L4514" s="36">
        <v>392.87</v>
      </c>
      <c r="M4514" s="36">
        <v>0</v>
      </c>
      <c r="N4514" s="36">
        <v>0</v>
      </c>
      <c r="O4514" s="36">
        <v>392.8725</v>
      </c>
      <c r="P4514" t="s">
        <v>116</v>
      </c>
      <c r="Q4514" t="s">
        <v>111</v>
      </c>
      <c r="R4514" t="s">
        <v>111</v>
      </c>
      <c r="S4514" s="112">
        <v>46153</v>
      </c>
      <c r="T4514" s="112">
        <v>46153</v>
      </c>
      <c r="U4514" s="112">
        <v>46146</v>
      </c>
      <c r="V4514" s="112">
        <v>46518</v>
      </c>
      <c r="W4514" t="s">
        <v>38</v>
      </c>
      <c r="X4514">
        <v>12</v>
      </c>
      <c r="Y4514" t="s">
        <v>49</v>
      </c>
      <c r="Z4514" t="s">
        <v>76</v>
      </c>
      <c r="AA4514" t="s">
        <v>112</v>
      </c>
      <c r="AB4514">
        <v>12</v>
      </c>
      <c r="AC4514" t="s">
        <v>113</v>
      </c>
      <c r="AD4514" t="s">
        <v>138</v>
      </c>
      <c r="AE4514" t="s">
        <v>135</v>
      </c>
      <c r="AF4514" t="s">
        <v>119</v>
      </c>
      <c r="AG4514" t="str">
        <f t="shared" si="103"/>
        <v>CC 12x</v>
      </c>
      <c r="AH4514" t="str">
        <f t="shared" si="104"/>
        <v/>
      </c>
    </row>
    <row r="4515" spans="1:34">
      <c r="A4515">
        <v>2026</v>
      </c>
      <c r="B4515">
        <v>5</v>
      </c>
      <c r="C4515" s="83">
        <v>2097988</v>
      </c>
      <c r="D4515" t="s">
        <v>3866</v>
      </c>
      <c r="E4515">
        <v>59122855452</v>
      </c>
      <c r="F4515">
        <v>629502</v>
      </c>
      <c r="G4515">
        <v>55060550212</v>
      </c>
      <c r="H4515" t="s">
        <v>35</v>
      </c>
      <c r="I4515" s="36">
        <v>4710.84</v>
      </c>
      <c r="J4515" s="36">
        <v>4710.84</v>
      </c>
      <c r="K4515" s="85">
        <v>0</v>
      </c>
      <c r="L4515" s="36">
        <v>392.57</v>
      </c>
      <c r="M4515" s="36">
        <v>0</v>
      </c>
      <c r="N4515" s="36">
        <v>27.923825000000001</v>
      </c>
      <c r="O4515" s="36">
        <v>364.65</v>
      </c>
      <c r="P4515" t="s">
        <v>116</v>
      </c>
      <c r="Q4515" t="s">
        <v>111</v>
      </c>
      <c r="R4515" t="s">
        <v>111</v>
      </c>
      <c r="S4515" s="112">
        <v>46147</v>
      </c>
      <c r="T4515" s="112">
        <v>46147</v>
      </c>
      <c r="U4515" s="112">
        <v>46154</v>
      </c>
      <c r="V4515" s="112">
        <v>46519</v>
      </c>
      <c r="W4515" t="s">
        <v>38</v>
      </c>
      <c r="X4515">
        <v>12</v>
      </c>
      <c r="Y4515" t="s">
        <v>49</v>
      </c>
      <c r="Z4515" t="s">
        <v>81</v>
      </c>
      <c r="AA4515" t="s">
        <v>122</v>
      </c>
      <c r="AB4515">
        <v>12</v>
      </c>
      <c r="AC4515" t="s">
        <v>113</v>
      </c>
      <c r="AD4515" t="s">
        <v>138</v>
      </c>
      <c r="AE4515" t="s">
        <v>135</v>
      </c>
      <c r="AF4515" t="s">
        <v>119</v>
      </c>
      <c r="AG4515" t="str">
        <f t="shared" si="103"/>
        <v>Recorrente</v>
      </c>
      <c r="AH4515" t="str">
        <f t="shared" si="104"/>
        <v/>
      </c>
    </row>
    <row r="4516" spans="1:34">
      <c r="A4516">
        <v>2026</v>
      </c>
      <c r="B4516">
        <v>5</v>
      </c>
      <c r="C4516" s="83">
        <v>19435662118</v>
      </c>
      <c r="D4516" t="s">
        <v>2128</v>
      </c>
      <c r="E4516">
        <v>60121226260</v>
      </c>
      <c r="F4516">
        <v>629741</v>
      </c>
      <c r="G4516">
        <v>55269564011</v>
      </c>
      <c r="H4516" t="s">
        <v>35</v>
      </c>
      <c r="I4516" s="36">
        <v>4700.04</v>
      </c>
      <c r="J4516" s="36">
        <v>4700.04</v>
      </c>
      <c r="K4516" s="85">
        <v>0</v>
      </c>
      <c r="L4516" s="36">
        <v>391.67</v>
      </c>
      <c r="M4516" s="36">
        <v>0</v>
      </c>
      <c r="N4516" s="36">
        <v>17.416667</v>
      </c>
      <c r="O4516" s="36">
        <v>374.25</v>
      </c>
      <c r="P4516" t="s">
        <v>121</v>
      </c>
      <c r="Q4516" t="s">
        <v>111</v>
      </c>
      <c r="R4516" t="s">
        <v>111</v>
      </c>
      <c r="S4516" s="112">
        <v>46157</v>
      </c>
      <c r="T4516" s="112">
        <v>46157</v>
      </c>
      <c r="U4516" s="112">
        <v>46165</v>
      </c>
      <c r="V4516" s="112">
        <v>46530</v>
      </c>
      <c r="W4516" t="s">
        <v>38</v>
      </c>
      <c r="X4516">
        <v>12</v>
      </c>
      <c r="Y4516" t="s">
        <v>49</v>
      </c>
      <c r="Z4516" t="s">
        <v>81</v>
      </c>
      <c r="AA4516" t="s">
        <v>117</v>
      </c>
      <c r="AB4516">
        <v>1</v>
      </c>
      <c r="AC4516" t="s">
        <v>113</v>
      </c>
      <c r="AD4516" t="s">
        <v>149</v>
      </c>
      <c r="AE4516" t="s">
        <v>43</v>
      </c>
      <c r="AF4516" t="s">
        <v>96</v>
      </c>
      <c r="AG4516" t="str">
        <f t="shared" si="103"/>
        <v>À Vista</v>
      </c>
      <c r="AH4516" t="str">
        <f t="shared" si="104"/>
        <v/>
      </c>
    </row>
    <row r="4517" spans="1:34">
      <c r="A4517">
        <v>2026</v>
      </c>
      <c r="B4517">
        <v>5</v>
      </c>
      <c r="C4517" s="83">
        <v>2106769</v>
      </c>
      <c r="D4517" t="s">
        <v>3867</v>
      </c>
      <c r="E4517">
        <v>59145182022</v>
      </c>
      <c r="F4517">
        <v>616260</v>
      </c>
      <c r="G4517">
        <v>54283318032</v>
      </c>
      <c r="H4517" t="s">
        <v>35</v>
      </c>
      <c r="I4517" s="36">
        <v>4686.96</v>
      </c>
      <c r="J4517" s="36">
        <v>4686.96</v>
      </c>
      <c r="K4517" s="85">
        <v>0</v>
      </c>
      <c r="L4517" s="36">
        <v>390.58</v>
      </c>
      <c r="M4517" s="36">
        <v>0</v>
      </c>
      <c r="N4517" s="36">
        <v>25.93</v>
      </c>
      <c r="O4517" s="36">
        <v>364.65</v>
      </c>
      <c r="P4517" t="s">
        <v>162</v>
      </c>
      <c r="Q4517" t="s">
        <v>111</v>
      </c>
      <c r="R4517" t="s">
        <v>111</v>
      </c>
      <c r="S4517" s="112">
        <v>46170</v>
      </c>
      <c r="T4517" s="112">
        <v>46170</v>
      </c>
      <c r="U4517" s="112">
        <v>46170</v>
      </c>
      <c r="V4517" s="112">
        <v>46535</v>
      </c>
      <c r="W4517" t="s">
        <v>38</v>
      </c>
      <c r="X4517">
        <v>12</v>
      </c>
      <c r="Y4517" t="s">
        <v>49</v>
      </c>
      <c r="Z4517" t="s">
        <v>81</v>
      </c>
      <c r="AA4517" t="s">
        <v>122</v>
      </c>
      <c r="AB4517">
        <v>12</v>
      </c>
      <c r="AC4517" t="s">
        <v>113</v>
      </c>
      <c r="AD4517" t="s">
        <v>138</v>
      </c>
      <c r="AE4517" t="s">
        <v>135</v>
      </c>
      <c r="AF4517" t="s">
        <v>119</v>
      </c>
      <c r="AG4517" t="str">
        <f t="shared" si="103"/>
        <v>Recorrente</v>
      </c>
      <c r="AH4517" t="str">
        <f t="shared" si="104"/>
        <v/>
      </c>
    </row>
    <row r="4518" spans="1:34">
      <c r="A4518">
        <v>2026</v>
      </c>
      <c r="B4518">
        <v>5</v>
      </c>
      <c r="C4518" s="83">
        <v>33351188370</v>
      </c>
      <c r="D4518" t="s">
        <v>3868</v>
      </c>
      <c r="E4518">
        <v>60016324367</v>
      </c>
      <c r="F4518">
        <v>629519</v>
      </c>
      <c r="G4518">
        <v>55196511801</v>
      </c>
      <c r="H4518" t="s">
        <v>35</v>
      </c>
      <c r="I4518" s="36">
        <v>4686.84</v>
      </c>
      <c r="J4518" s="36">
        <v>4686.84</v>
      </c>
      <c r="K4518" s="85">
        <v>0</v>
      </c>
      <c r="L4518" s="36">
        <v>390.57</v>
      </c>
      <c r="M4518" s="36">
        <v>0</v>
      </c>
      <c r="N4518" s="36">
        <v>175.47499999999999</v>
      </c>
      <c r="O4518" s="36">
        <v>215.1</v>
      </c>
      <c r="P4518" t="s">
        <v>121</v>
      </c>
      <c r="Q4518" t="s">
        <v>111</v>
      </c>
      <c r="R4518" t="s">
        <v>111</v>
      </c>
      <c r="S4518" s="112">
        <v>46153</v>
      </c>
      <c r="T4518" s="112">
        <v>46153</v>
      </c>
      <c r="U4518" s="112">
        <v>46154</v>
      </c>
      <c r="V4518" s="112">
        <v>46519</v>
      </c>
      <c r="W4518" t="s">
        <v>38</v>
      </c>
      <c r="X4518">
        <v>12</v>
      </c>
      <c r="Y4518" t="s">
        <v>49</v>
      </c>
      <c r="Z4518" t="s">
        <v>76</v>
      </c>
      <c r="AA4518" t="s">
        <v>117</v>
      </c>
      <c r="AB4518">
        <v>1</v>
      </c>
      <c r="AC4518" t="s">
        <v>113</v>
      </c>
      <c r="AD4518" t="s">
        <v>138</v>
      </c>
      <c r="AE4518" t="s">
        <v>135</v>
      </c>
      <c r="AF4518" t="s">
        <v>119</v>
      </c>
      <c r="AG4518" t="str">
        <f t="shared" si="103"/>
        <v>À Vista</v>
      </c>
      <c r="AH4518" t="str">
        <f t="shared" si="104"/>
        <v/>
      </c>
    </row>
    <row r="4519" spans="1:34">
      <c r="A4519">
        <v>2026</v>
      </c>
      <c r="B4519">
        <v>5</v>
      </c>
      <c r="C4519" s="83">
        <v>142125420638</v>
      </c>
      <c r="D4519" t="s">
        <v>3869</v>
      </c>
      <c r="E4519">
        <v>60645619013</v>
      </c>
      <c r="F4519">
        <v>638016</v>
      </c>
      <c r="G4519">
        <v>55643000191</v>
      </c>
      <c r="H4519" t="s">
        <v>35</v>
      </c>
      <c r="I4519" s="36">
        <v>4676.3999999999996</v>
      </c>
      <c r="J4519" s="36">
        <v>4676.3999999999996</v>
      </c>
      <c r="K4519" s="85">
        <v>0</v>
      </c>
      <c r="L4519" s="36">
        <v>389.7</v>
      </c>
      <c r="M4519" s="36">
        <v>389.7</v>
      </c>
      <c r="N4519" s="36">
        <v>0</v>
      </c>
      <c r="O4519" s="36">
        <v>0</v>
      </c>
      <c r="P4519" t="s">
        <v>2004</v>
      </c>
      <c r="Q4519" t="s">
        <v>300</v>
      </c>
      <c r="R4519" t="s">
        <v>300</v>
      </c>
      <c r="S4519" s="112">
        <v>46169</v>
      </c>
      <c r="T4519" s="112">
        <v>46169</v>
      </c>
      <c r="U4519" s="112"/>
      <c r="V4519" s="112">
        <v>46534</v>
      </c>
      <c r="W4519" t="s">
        <v>38</v>
      </c>
      <c r="X4519">
        <v>12</v>
      </c>
      <c r="Y4519" t="s">
        <v>49</v>
      </c>
      <c r="AA4519" t="s">
        <v>112</v>
      </c>
      <c r="AB4519">
        <v>12</v>
      </c>
      <c r="AC4519" t="s">
        <v>301</v>
      </c>
      <c r="AD4519" t="s">
        <v>125</v>
      </c>
      <c r="AE4519" t="s">
        <v>43</v>
      </c>
      <c r="AF4519" t="s">
        <v>47</v>
      </c>
      <c r="AG4519" t="str">
        <f t="shared" si="103"/>
        <v>CC 12x</v>
      </c>
      <c r="AH4519" t="str">
        <f t="shared" si="104"/>
        <v/>
      </c>
    </row>
    <row r="4520" spans="1:34">
      <c r="A4520">
        <v>2026</v>
      </c>
      <c r="B4520">
        <v>5</v>
      </c>
      <c r="C4520" s="83">
        <v>220953922921</v>
      </c>
      <c r="D4520" t="s">
        <v>3870</v>
      </c>
      <c r="E4520">
        <v>58941278312</v>
      </c>
      <c r="F4520">
        <v>615026</v>
      </c>
      <c r="G4520">
        <v>55155228005</v>
      </c>
      <c r="H4520" t="s">
        <v>35</v>
      </c>
      <c r="I4520" s="36">
        <v>4656</v>
      </c>
      <c r="J4520" s="36">
        <v>4656</v>
      </c>
      <c r="K4520" s="85">
        <v>0</v>
      </c>
      <c r="L4520" s="36">
        <v>388</v>
      </c>
      <c r="M4520" s="36">
        <v>0</v>
      </c>
      <c r="N4520" s="36">
        <v>0.99974499999999999</v>
      </c>
      <c r="O4520" s="36">
        <v>387</v>
      </c>
      <c r="P4520" t="s">
        <v>110</v>
      </c>
      <c r="Q4520" t="s">
        <v>111</v>
      </c>
      <c r="R4520" t="s">
        <v>111</v>
      </c>
      <c r="S4520" s="112">
        <v>46153</v>
      </c>
      <c r="T4520" s="112">
        <v>46153</v>
      </c>
      <c r="U4520" s="112">
        <v>46150</v>
      </c>
      <c r="V4520" s="112">
        <v>46516</v>
      </c>
      <c r="W4520" t="s">
        <v>38</v>
      </c>
      <c r="X4520">
        <v>12</v>
      </c>
      <c r="Y4520" t="s">
        <v>49</v>
      </c>
      <c r="Z4520" t="s">
        <v>81</v>
      </c>
      <c r="AA4520" t="s">
        <v>122</v>
      </c>
      <c r="AB4520">
        <v>12</v>
      </c>
      <c r="AC4520" t="s">
        <v>113</v>
      </c>
      <c r="AD4520" t="s">
        <v>84</v>
      </c>
      <c r="AE4520" t="s">
        <v>43</v>
      </c>
      <c r="AF4520" t="s">
        <v>44</v>
      </c>
      <c r="AG4520" t="str">
        <f t="shared" si="103"/>
        <v>Recorrente</v>
      </c>
      <c r="AH4520" t="str">
        <f t="shared" si="104"/>
        <v/>
      </c>
    </row>
    <row r="4521" spans="1:34">
      <c r="A4521">
        <v>2026</v>
      </c>
      <c r="B4521">
        <v>5</v>
      </c>
      <c r="C4521" s="83">
        <v>121087840952</v>
      </c>
      <c r="D4521" t="s">
        <v>3871</v>
      </c>
      <c r="E4521">
        <v>59093784335</v>
      </c>
      <c r="F4521">
        <v>510697</v>
      </c>
      <c r="G4521">
        <v>55272272462</v>
      </c>
      <c r="H4521" t="s">
        <v>35</v>
      </c>
      <c r="I4521" s="36">
        <v>4646.3999999999996</v>
      </c>
      <c r="J4521" s="36">
        <v>4646.3999999999996</v>
      </c>
      <c r="K4521" s="85">
        <v>0</v>
      </c>
      <c r="L4521" s="36">
        <v>387.2</v>
      </c>
      <c r="M4521" s="36">
        <v>0</v>
      </c>
      <c r="N4521" s="36">
        <v>70.096249999999998</v>
      </c>
      <c r="O4521" s="36">
        <v>317.10000000000002</v>
      </c>
      <c r="P4521" t="s">
        <v>110</v>
      </c>
      <c r="Q4521" t="s">
        <v>111</v>
      </c>
      <c r="R4521" t="s">
        <v>111</v>
      </c>
      <c r="S4521" s="112">
        <v>46157</v>
      </c>
      <c r="T4521" s="112">
        <v>46157</v>
      </c>
      <c r="U4521" s="112">
        <v>46153</v>
      </c>
      <c r="V4521" s="112">
        <v>46522</v>
      </c>
      <c r="W4521" t="s">
        <v>38</v>
      </c>
      <c r="X4521">
        <v>12</v>
      </c>
      <c r="Y4521" t="s">
        <v>49</v>
      </c>
      <c r="Z4521" t="s">
        <v>81</v>
      </c>
      <c r="AA4521" t="s">
        <v>122</v>
      </c>
      <c r="AB4521">
        <v>12</v>
      </c>
      <c r="AC4521" t="s">
        <v>113</v>
      </c>
      <c r="AD4521" t="s">
        <v>85</v>
      </c>
      <c r="AE4521" t="s">
        <v>46</v>
      </c>
      <c r="AF4521" t="s">
        <v>44</v>
      </c>
      <c r="AG4521" t="str">
        <f t="shared" si="103"/>
        <v>Recorrente</v>
      </c>
      <c r="AH4521" t="str">
        <f t="shared" si="104"/>
        <v/>
      </c>
    </row>
    <row r="4522" spans="1:34">
      <c r="A4522">
        <v>2026</v>
      </c>
      <c r="B4522">
        <v>5</v>
      </c>
      <c r="C4522" s="83">
        <v>148431372429</v>
      </c>
      <c r="D4522" t="s">
        <v>3872</v>
      </c>
      <c r="E4522">
        <v>59330561140</v>
      </c>
      <c r="F4522">
        <v>510990</v>
      </c>
      <c r="G4522">
        <v>55053862754</v>
      </c>
      <c r="H4522" t="s">
        <v>35</v>
      </c>
      <c r="I4522" s="36">
        <v>4646.3999999999996</v>
      </c>
      <c r="J4522" s="36">
        <v>4646.3999999999996</v>
      </c>
      <c r="K4522" s="85">
        <v>0</v>
      </c>
      <c r="L4522" s="36">
        <v>387.2</v>
      </c>
      <c r="M4522" s="36">
        <v>0</v>
      </c>
      <c r="N4522" s="36">
        <v>2.1510449999999999</v>
      </c>
      <c r="O4522" s="36">
        <v>385.05</v>
      </c>
      <c r="P4522" t="s">
        <v>116</v>
      </c>
      <c r="Q4522" t="s">
        <v>111</v>
      </c>
      <c r="R4522" t="s">
        <v>111</v>
      </c>
      <c r="S4522" s="112">
        <v>46157</v>
      </c>
      <c r="T4522" s="112">
        <v>46157</v>
      </c>
      <c r="U4522" s="112">
        <v>46159</v>
      </c>
      <c r="V4522" s="112">
        <v>46524</v>
      </c>
      <c r="W4522" t="s">
        <v>38</v>
      </c>
      <c r="X4522">
        <v>12</v>
      </c>
      <c r="Y4522" t="s">
        <v>49</v>
      </c>
      <c r="Z4522" t="s">
        <v>81</v>
      </c>
      <c r="AA4522" t="s">
        <v>122</v>
      </c>
      <c r="AB4522">
        <v>12</v>
      </c>
      <c r="AC4522" t="s">
        <v>113</v>
      </c>
      <c r="AD4522" t="s">
        <v>85</v>
      </c>
      <c r="AE4522" t="s">
        <v>46</v>
      </c>
      <c r="AF4522" t="s">
        <v>44</v>
      </c>
      <c r="AG4522" t="str">
        <f t="shared" si="103"/>
        <v>Recorrente</v>
      </c>
      <c r="AH4522" t="str">
        <f t="shared" si="104"/>
        <v/>
      </c>
    </row>
    <row r="4523" spans="1:34">
      <c r="A4523">
        <v>2026</v>
      </c>
      <c r="B4523">
        <v>5</v>
      </c>
      <c r="C4523" s="83">
        <v>167591850388</v>
      </c>
      <c r="D4523" t="s">
        <v>3873</v>
      </c>
      <c r="E4523">
        <v>59183621399</v>
      </c>
      <c r="F4523">
        <v>629952</v>
      </c>
      <c r="G4523">
        <v>55412721076</v>
      </c>
      <c r="H4523" t="s">
        <v>35</v>
      </c>
      <c r="I4523" s="36">
        <v>4646.3999999999996</v>
      </c>
      <c r="J4523" s="36">
        <v>4646.3999999999996</v>
      </c>
      <c r="K4523" s="85">
        <v>0</v>
      </c>
      <c r="L4523" s="36">
        <v>387.2</v>
      </c>
      <c r="M4523" s="36">
        <v>0</v>
      </c>
      <c r="N4523" s="36">
        <v>21.396249999999998</v>
      </c>
      <c r="O4523" s="36">
        <v>365.8</v>
      </c>
      <c r="P4523" t="s">
        <v>110</v>
      </c>
      <c r="Q4523" t="s">
        <v>111</v>
      </c>
      <c r="R4523" t="s">
        <v>111</v>
      </c>
      <c r="S4523" s="112">
        <v>46162</v>
      </c>
      <c r="T4523" s="112">
        <v>46162</v>
      </c>
      <c r="U4523" s="112">
        <v>46172</v>
      </c>
      <c r="V4523" s="112">
        <v>46537</v>
      </c>
      <c r="W4523" t="s">
        <v>38</v>
      </c>
      <c r="X4523">
        <v>12</v>
      </c>
      <c r="Y4523" t="s">
        <v>49</v>
      </c>
      <c r="Z4523" t="s">
        <v>81</v>
      </c>
      <c r="AA4523" t="s">
        <v>122</v>
      </c>
      <c r="AB4523">
        <v>12</v>
      </c>
      <c r="AC4523" t="s">
        <v>113</v>
      </c>
      <c r="AD4523" t="s">
        <v>85</v>
      </c>
      <c r="AE4523" t="s">
        <v>46</v>
      </c>
      <c r="AF4523" t="s">
        <v>44</v>
      </c>
      <c r="AG4523" t="str">
        <f t="shared" si="103"/>
        <v>Recorrente</v>
      </c>
      <c r="AH4523" t="str">
        <f t="shared" si="104"/>
        <v/>
      </c>
    </row>
    <row r="4524" spans="1:34">
      <c r="A4524">
        <v>2026</v>
      </c>
      <c r="B4524">
        <v>5</v>
      </c>
      <c r="C4524" s="83">
        <v>2085350</v>
      </c>
      <c r="D4524" t="s">
        <v>3874</v>
      </c>
      <c r="E4524">
        <v>60192531222</v>
      </c>
      <c r="F4524">
        <v>315118</v>
      </c>
      <c r="G4524">
        <v>55237425746</v>
      </c>
      <c r="H4524" t="s">
        <v>35</v>
      </c>
      <c r="I4524" s="36">
        <v>4646.3999999999996</v>
      </c>
      <c r="J4524" s="36">
        <v>4646.3999999999996</v>
      </c>
      <c r="K4524" s="85">
        <v>0</v>
      </c>
      <c r="L4524" s="36">
        <v>387.2</v>
      </c>
      <c r="M4524" s="36">
        <v>0</v>
      </c>
      <c r="N4524" s="36">
        <v>70.096249999999998</v>
      </c>
      <c r="O4524" s="36">
        <v>317.10000000000002</v>
      </c>
      <c r="P4524" t="s">
        <v>137</v>
      </c>
      <c r="Q4524" t="s">
        <v>111</v>
      </c>
      <c r="R4524" t="s">
        <v>111</v>
      </c>
      <c r="S4524" s="112">
        <v>46154</v>
      </c>
      <c r="T4524" s="112">
        <v>46154</v>
      </c>
      <c r="U4524" s="112">
        <v>46154</v>
      </c>
      <c r="V4524" s="112">
        <v>46519</v>
      </c>
      <c r="W4524" t="s">
        <v>38</v>
      </c>
      <c r="X4524">
        <v>12</v>
      </c>
      <c r="Y4524" t="s">
        <v>49</v>
      </c>
      <c r="Z4524" t="s">
        <v>81</v>
      </c>
      <c r="AA4524" t="s">
        <v>112</v>
      </c>
      <c r="AB4524">
        <v>12</v>
      </c>
      <c r="AC4524" t="s">
        <v>113</v>
      </c>
      <c r="AD4524" t="s">
        <v>85</v>
      </c>
      <c r="AE4524" t="s">
        <v>46</v>
      </c>
      <c r="AF4524" t="s">
        <v>44</v>
      </c>
      <c r="AG4524" t="str">
        <f t="shared" si="103"/>
        <v>CC 12x</v>
      </c>
      <c r="AH4524" t="str">
        <f t="shared" si="104"/>
        <v/>
      </c>
    </row>
    <row r="4525" spans="1:34">
      <c r="A4525">
        <v>2026</v>
      </c>
      <c r="B4525">
        <v>5</v>
      </c>
      <c r="C4525" s="83">
        <v>2137324</v>
      </c>
      <c r="D4525" t="s">
        <v>3875</v>
      </c>
      <c r="E4525">
        <v>59807189162</v>
      </c>
      <c r="F4525">
        <v>534475</v>
      </c>
      <c r="G4525">
        <v>55038994210</v>
      </c>
      <c r="H4525" t="s">
        <v>35</v>
      </c>
      <c r="I4525" s="36">
        <v>4646.3999999999996</v>
      </c>
      <c r="J4525" s="36">
        <v>4646.3999999999996</v>
      </c>
      <c r="K4525" s="85">
        <v>0</v>
      </c>
      <c r="L4525" s="36">
        <v>387.2</v>
      </c>
      <c r="M4525" s="36">
        <v>0</v>
      </c>
      <c r="N4525" s="36">
        <v>70.101044999999999</v>
      </c>
      <c r="O4525" s="36">
        <v>317.10000000000002</v>
      </c>
      <c r="P4525" t="s">
        <v>116</v>
      </c>
      <c r="Q4525" t="s">
        <v>111</v>
      </c>
      <c r="R4525" t="s">
        <v>111</v>
      </c>
      <c r="S4525" s="112">
        <v>46147</v>
      </c>
      <c r="T4525" s="112">
        <v>46147</v>
      </c>
      <c r="U4525" s="112">
        <v>46150</v>
      </c>
      <c r="V4525" s="112">
        <v>46515</v>
      </c>
      <c r="W4525" t="s">
        <v>38</v>
      </c>
      <c r="X4525">
        <v>12</v>
      </c>
      <c r="Y4525" t="s">
        <v>49</v>
      </c>
      <c r="Z4525" t="s">
        <v>81</v>
      </c>
      <c r="AA4525" t="s">
        <v>122</v>
      </c>
      <c r="AB4525">
        <v>12</v>
      </c>
      <c r="AC4525" t="s">
        <v>113</v>
      </c>
      <c r="AD4525" t="s">
        <v>85</v>
      </c>
      <c r="AE4525" t="s">
        <v>46</v>
      </c>
      <c r="AF4525" t="s">
        <v>44</v>
      </c>
      <c r="AG4525" t="str">
        <f t="shared" si="103"/>
        <v>Recorrente</v>
      </c>
      <c r="AH4525" t="str">
        <f t="shared" si="104"/>
        <v/>
      </c>
    </row>
    <row r="4526" spans="1:34">
      <c r="A4526">
        <v>2026</v>
      </c>
      <c r="B4526">
        <v>5</v>
      </c>
      <c r="C4526" s="83">
        <v>224831388497</v>
      </c>
      <c r="D4526" t="s">
        <v>3876</v>
      </c>
      <c r="E4526">
        <v>60268175184</v>
      </c>
      <c r="F4526">
        <v>629970</v>
      </c>
      <c r="G4526">
        <v>55583802386</v>
      </c>
      <c r="H4526" t="s">
        <v>35</v>
      </c>
      <c r="I4526" s="36">
        <v>4646.3999999999996</v>
      </c>
      <c r="J4526" s="36">
        <v>4646.3999999999996</v>
      </c>
      <c r="K4526" s="85">
        <v>0</v>
      </c>
      <c r="L4526" s="36">
        <v>387.2</v>
      </c>
      <c r="M4526" s="36">
        <v>0</v>
      </c>
      <c r="N4526" s="36">
        <v>40.661045000000001</v>
      </c>
      <c r="O4526" s="36">
        <v>346.54</v>
      </c>
      <c r="P4526" t="s">
        <v>116</v>
      </c>
      <c r="Q4526" t="s">
        <v>111</v>
      </c>
      <c r="R4526" t="s">
        <v>111</v>
      </c>
      <c r="S4526" s="112">
        <v>46164</v>
      </c>
      <c r="T4526" s="112">
        <v>46164</v>
      </c>
      <c r="U4526" s="112">
        <v>46172</v>
      </c>
      <c r="V4526" s="112">
        <v>46537</v>
      </c>
      <c r="W4526" t="s">
        <v>38</v>
      </c>
      <c r="X4526">
        <v>12</v>
      </c>
      <c r="Y4526" t="s">
        <v>49</v>
      </c>
      <c r="Z4526" t="s">
        <v>81</v>
      </c>
      <c r="AA4526" t="s">
        <v>122</v>
      </c>
      <c r="AB4526">
        <v>12</v>
      </c>
      <c r="AC4526" t="s">
        <v>113</v>
      </c>
      <c r="AD4526" t="s">
        <v>85</v>
      </c>
      <c r="AE4526" t="s">
        <v>46</v>
      </c>
      <c r="AF4526" t="s">
        <v>44</v>
      </c>
      <c r="AG4526" t="str">
        <f t="shared" si="103"/>
        <v>Recorrente</v>
      </c>
      <c r="AH4526" t="str">
        <f t="shared" si="104"/>
        <v/>
      </c>
    </row>
    <row r="4527" spans="1:34">
      <c r="A4527">
        <v>2026</v>
      </c>
      <c r="B4527">
        <v>5</v>
      </c>
      <c r="C4527" s="83">
        <v>55165857035</v>
      </c>
      <c r="D4527" t="s">
        <v>3877</v>
      </c>
      <c r="E4527">
        <v>60612452192</v>
      </c>
      <c r="F4527">
        <v>637958</v>
      </c>
      <c r="G4527">
        <v>55611065359</v>
      </c>
      <c r="H4527" t="s">
        <v>35</v>
      </c>
      <c r="I4527" s="36">
        <v>4644</v>
      </c>
      <c r="J4527" s="36">
        <v>4644</v>
      </c>
      <c r="K4527" s="85">
        <v>0</v>
      </c>
      <c r="L4527" s="36">
        <v>387</v>
      </c>
      <c r="M4527" s="36">
        <v>387</v>
      </c>
      <c r="N4527" s="36">
        <v>0</v>
      </c>
      <c r="O4527" s="36">
        <v>0</v>
      </c>
      <c r="P4527" t="s">
        <v>511</v>
      </c>
      <c r="Q4527" t="s">
        <v>300</v>
      </c>
      <c r="R4527" t="s">
        <v>300</v>
      </c>
      <c r="S4527" s="112">
        <v>46167</v>
      </c>
      <c r="T4527" s="112">
        <v>46167</v>
      </c>
      <c r="U4527" s="112"/>
      <c r="V4527" s="112">
        <v>46532</v>
      </c>
      <c r="W4527" t="s">
        <v>38</v>
      </c>
      <c r="X4527">
        <v>12</v>
      </c>
      <c r="Y4527" t="s">
        <v>49</v>
      </c>
      <c r="AA4527" t="s">
        <v>112</v>
      </c>
      <c r="AB4527">
        <v>12</v>
      </c>
      <c r="AC4527" t="s">
        <v>301</v>
      </c>
      <c r="AD4527" t="s">
        <v>229</v>
      </c>
      <c r="AE4527" t="s">
        <v>43</v>
      </c>
      <c r="AF4527" t="s">
        <v>96</v>
      </c>
      <c r="AG4527" t="str">
        <f t="shared" si="103"/>
        <v>CC 12x</v>
      </c>
      <c r="AH4527" t="str">
        <f t="shared" si="104"/>
        <v/>
      </c>
    </row>
    <row r="4528" spans="1:34">
      <c r="A4528">
        <v>2026</v>
      </c>
      <c r="B4528">
        <v>5</v>
      </c>
      <c r="C4528" s="83">
        <v>19435670940</v>
      </c>
      <c r="D4528" t="s">
        <v>3878</v>
      </c>
      <c r="E4528">
        <v>60316024429</v>
      </c>
      <c r="F4528">
        <v>535329</v>
      </c>
      <c r="G4528">
        <v>55320776776</v>
      </c>
      <c r="H4528" t="s">
        <v>35</v>
      </c>
      <c r="I4528" s="36">
        <v>4641.6000000000004</v>
      </c>
      <c r="J4528" s="36">
        <v>2320.8000000000002</v>
      </c>
      <c r="K4528" s="85">
        <v>2320.8000000000002</v>
      </c>
      <c r="L4528" s="36">
        <v>193.4</v>
      </c>
      <c r="M4528" s="36">
        <v>0</v>
      </c>
      <c r="N4528" s="36">
        <v>27.901039999999998</v>
      </c>
      <c r="O4528" s="36">
        <v>165.5</v>
      </c>
      <c r="P4528" t="s">
        <v>116</v>
      </c>
      <c r="Q4528" t="s">
        <v>111</v>
      </c>
      <c r="R4528" t="s">
        <v>111</v>
      </c>
      <c r="S4528" s="112">
        <v>46160</v>
      </c>
      <c r="T4528" s="112">
        <v>46160</v>
      </c>
      <c r="U4528" s="112">
        <v>46160</v>
      </c>
      <c r="V4528" s="112">
        <v>46891</v>
      </c>
      <c r="W4528" t="s">
        <v>56</v>
      </c>
      <c r="X4528">
        <v>24</v>
      </c>
      <c r="Y4528" t="s">
        <v>49</v>
      </c>
      <c r="Z4528" t="s">
        <v>81</v>
      </c>
      <c r="AA4528" t="s">
        <v>122</v>
      </c>
      <c r="AB4528">
        <v>24</v>
      </c>
      <c r="AC4528" t="s">
        <v>113</v>
      </c>
      <c r="AD4528" t="s">
        <v>118</v>
      </c>
      <c r="AE4528" t="s">
        <v>43</v>
      </c>
      <c r="AF4528" t="s">
        <v>119</v>
      </c>
      <c r="AG4528" t="str">
        <f t="shared" si="103"/>
        <v>Recorrente</v>
      </c>
      <c r="AH4528" t="str">
        <f t="shared" si="104"/>
        <v/>
      </c>
    </row>
    <row r="4529" spans="1:34">
      <c r="A4529">
        <v>2026</v>
      </c>
      <c r="B4529">
        <v>5</v>
      </c>
      <c r="C4529" s="83">
        <v>19435567127</v>
      </c>
      <c r="D4529" t="s">
        <v>3879</v>
      </c>
      <c r="E4529">
        <v>58374266435</v>
      </c>
      <c r="F4529">
        <v>613314</v>
      </c>
      <c r="G4529">
        <v>53567140531</v>
      </c>
      <c r="H4529" t="s">
        <v>35</v>
      </c>
      <c r="I4529" s="36">
        <v>4638.6000000000004</v>
      </c>
      <c r="J4529" s="36">
        <v>4638.6000000000004</v>
      </c>
      <c r="K4529" s="85">
        <v>0</v>
      </c>
      <c r="L4529" s="36">
        <v>386.55</v>
      </c>
      <c r="M4529" s="36">
        <v>0</v>
      </c>
      <c r="N4529" s="36">
        <v>100.25</v>
      </c>
      <c r="O4529" s="36">
        <v>286.3</v>
      </c>
      <c r="P4529" t="s">
        <v>165</v>
      </c>
      <c r="Q4529" t="s">
        <v>166</v>
      </c>
      <c r="R4529" t="s">
        <v>166</v>
      </c>
      <c r="S4529" s="112">
        <v>46152</v>
      </c>
      <c r="T4529" s="112">
        <v>46152</v>
      </c>
      <c r="U4529" s="112">
        <v>46152</v>
      </c>
      <c r="V4529" s="112">
        <v>46517</v>
      </c>
      <c r="W4529" t="s">
        <v>38</v>
      </c>
      <c r="X4529">
        <v>12</v>
      </c>
      <c r="Y4529" t="s">
        <v>49</v>
      </c>
      <c r="Z4529" t="s">
        <v>81</v>
      </c>
      <c r="AA4529" t="s">
        <v>112</v>
      </c>
      <c r="AB4529">
        <v>12</v>
      </c>
      <c r="AC4529" t="s">
        <v>166</v>
      </c>
      <c r="AD4529" t="s">
        <v>163</v>
      </c>
      <c r="AE4529" t="s">
        <v>43</v>
      </c>
      <c r="AF4529" t="s">
        <v>96</v>
      </c>
      <c r="AG4529" t="str">
        <f t="shared" si="103"/>
        <v>CC 12x</v>
      </c>
      <c r="AH4529" t="str">
        <f t="shared" si="104"/>
        <v/>
      </c>
    </row>
    <row r="4530" spans="1:34">
      <c r="A4530">
        <v>2026</v>
      </c>
      <c r="B4530">
        <v>5</v>
      </c>
      <c r="C4530" s="83">
        <v>2070232</v>
      </c>
      <c r="D4530" t="s">
        <v>3880</v>
      </c>
      <c r="E4530">
        <v>60423943085</v>
      </c>
      <c r="F4530">
        <v>509609</v>
      </c>
      <c r="G4530">
        <v>55684414898</v>
      </c>
      <c r="H4530" t="s">
        <v>35</v>
      </c>
      <c r="I4530" s="36">
        <v>4632</v>
      </c>
      <c r="J4530" s="36">
        <v>4632</v>
      </c>
      <c r="K4530" s="85">
        <v>0</v>
      </c>
      <c r="L4530" s="36">
        <v>386</v>
      </c>
      <c r="M4530" s="36">
        <v>0</v>
      </c>
      <c r="N4530" s="36">
        <v>0</v>
      </c>
      <c r="O4530" s="36">
        <v>385.9975</v>
      </c>
      <c r="P4530" t="s">
        <v>116</v>
      </c>
      <c r="Q4530" t="s">
        <v>111</v>
      </c>
      <c r="R4530" t="s">
        <v>111</v>
      </c>
      <c r="S4530" s="112">
        <v>46171</v>
      </c>
      <c r="T4530" s="112">
        <v>46171</v>
      </c>
      <c r="U4530" s="112">
        <v>46155</v>
      </c>
      <c r="V4530" s="112">
        <v>46536</v>
      </c>
      <c r="W4530" t="s">
        <v>38</v>
      </c>
      <c r="X4530">
        <v>12</v>
      </c>
      <c r="Y4530" t="s">
        <v>49</v>
      </c>
      <c r="Z4530" t="s">
        <v>81</v>
      </c>
      <c r="AA4530" t="s">
        <v>117</v>
      </c>
      <c r="AB4530">
        <v>1</v>
      </c>
      <c r="AC4530" t="s">
        <v>113</v>
      </c>
      <c r="AD4530" t="s">
        <v>85</v>
      </c>
      <c r="AE4530" t="s">
        <v>46</v>
      </c>
      <c r="AF4530" t="s">
        <v>44</v>
      </c>
      <c r="AG4530" t="str">
        <f t="shared" si="103"/>
        <v>À Vista</v>
      </c>
      <c r="AH4530" t="str">
        <f t="shared" si="104"/>
        <v/>
      </c>
    </row>
    <row r="4531" spans="1:34">
      <c r="A4531">
        <v>2026</v>
      </c>
      <c r="B4531">
        <v>5</v>
      </c>
      <c r="C4531" s="83">
        <v>216702187364</v>
      </c>
      <c r="D4531" t="s">
        <v>3881</v>
      </c>
      <c r="E4531">
        <v>59095876391</v>
      </c>
      <c r="F4531">
        <v>614739</v>
      </c>
      <c r="G4531">
        <v>55039016856</v>
      </c>
      <c r="H4531" t="s">
        <v>35</v>
      </c>
      <c r="I4531" s="36">
        <v>4626.3599999999997</v>
      </c>
      <c r="J4531" s="36">
        <v>4626.3599999999997</v>
      </c>
      <c r="K4531" s="85">
        <v>0</v>
      </c>
      <c r="L4531" s="36">
        <v>385.53</v>
      </c>
      <c r="M4531" s="36">
        <v>0</v>
      </c>
      <c r="N4531" s="36">
        <v>0</v>
      </c>
      <c r="O4531" s="36">
        <v>385.53308500000003</v>
      </c>
      <c r="P4531" t="s">
        <v>116</v>
      </c>
      <c r="Q4531" t="s">
        <v>111</v>
      </c>
      <c r="R4531" t="s">
        <v>111</v>
      </c>
      <c r="S4531" s="112">
        <v>46147</v>
      </c>
      <c r="T4531" s="112">
        <v>46147</v>
      </c>
      <c r="U4531" s="112">
        <v>46152</v>
      </c>
      <c r="V4531" s="112">
        <v>46517</v>
      </c>
      <c r="W4531" t="s">
        <v>38</v>
      </c>
      <c r="X4531">
        <v>12</v>
      </c>
      <c r="Y4531" t="s">
        <v>49</v>
      </c>
      <c r="Z4531" t="s">
        <v>81</v>
      </c>
      <c r="AA4531" t="s">
        <v>122</v>
      </c>
      <c r="AB4531">
        <v>12</v>
      </c>
      <c r="AC4531" t="s">
        <v>113</v>
      </c>
      <c r="AD4531" t="s">
        <v>84</v>
      </c>
      <c r="AE4531" t="s">
        <v>43</v>
      </c>
      <c r="AF4531" t="s">
        <v>44</v>
      </c>
      <c r="AG4531" t="str">
        <f t="shared" si="103"/>
        <v>Recorrente</v>
      </c>
      <c r="AH4531" t="str">
        <f t="shared" si="104"/>
        <v/>
      </c>
    </row>
    <row r="4532" spans="1:34">
      <c r="A4532">
        <v>2026</v>
      </c>
      <c r="B4532">
        <v>5</v>
      </c>
      <c r="C4532" s="83">
        <v>118290832547</v>
      </c>
      <c r="D4532" t="s">
        <v>3882</v>
      </c>
      <c r="E4532">
        <v>59457781688</v>
      </c>
      <c r="F4532">
        <v>328374</v>
      </c>
      <c r="G4532">
        <v>55059793692</v>
      </c>
      <c r="H4532" t="s">
        <v>35</v>
      </c>
      <c r="I4532" s="36">
        <v>4603.2</v>
      </c>
      <c r="J4532" s="36">
        <v>4603.2</v>
      </c>
      <c r="K4532" s="85">
        <v>0</v>
      </c>
      <c r="L4532" s="36">
        <v>383.6</v>
      </c>
      <c r="M4532" s="36">
        <v>0</v>
      </c>
      <c r="N4532" s="36">
        <v>43.85</v>
      </c>
      <c r="O4532" s="36">
        <v>339.75</v>
      </c>
      <c r="P4532" t="s">
        <v>162</v>
      </c>
      <c r="Q4532" t="s">
        <v>111</v>
      </c>
      <c r="R4532" t="s">
        <v>111</v>
      </c>
      <c r="S4532" s="112">
        <v>46150</v>
      </c>
      <c r="T4532" s="112">
        <v>46150</v>
      </c>
      <c r="U4532" s="112">
        <v>46150</v>
      </c>
      <c r="V4532" s="112">
        <v>46515</v>
      </c>
      <c r="W4532" t="s">
        <v>38</v>
      </c>
      <c r="X4532">
        <v>12</v>
      </c>
      <c r="Y4532" t="s">
        <v>49</v>
      </c>
      <c r="Z4532" t="s">
        <v>81</v>
      </c>
      <c r="AA4532" t="s">
        <v>112</v>
      </c>
      <c r="AB4532">
        <v>12</v>
      </c>
      <c r="AC4532" t="s">
        <v>113</v>
      </c>
      <c r="AD4532" t="s">
        <v>85</v>
      </c>
      <c r="AE4532" t="s">
        <v>46</v>
      </c>
      <c r="AF4532" t="s">
        <v>44</v>
      </c>
      <c r="AG4532" t="str">
        <f t="shared" si="103"/>
        <v>CC 12x</v>
      </c>
      <c r="AH4532" t="str">
        <f t="shared" si="104"/>
        <v/>
      </c>
    </row>
    <row r="4533" spans="1:34">
      <c r="A4533">
        <v>2026</v>
      </c>
      <c r="B4533">
        <v>5</v>
      </c>
      <c r="C4533" s="83">
        <v>33236628767</v>
      </c>
      <c r="D4533" t="s">
        <v>3883</v>
      </c>
      <c r="E4533">
        <v>60120877348</v>
      </c>
      <c r="F4533">
        <v>629480</v>
      </c>
      <c r="G4533">
        <v>55196567888</v>
      </c>
      <c r="H4533" t="s">
        <v>35</v>
      </c>
      <c r="I4533" s="36">
        <v>4603.2</v>
      </c>
      <c r="J4533" s="36">
        <v>4603.2</v>
      </c>
      <c r="K4533" s="85">
        <v>0</v>
      </c>
      <c r="L4533" s="36">
        <v>383.6</v>
      </c>
      <c r="M4533" s="36">
        <v>0</v>
      </c>
      <c r="N4533" s="36">
        <v>0</v>
      </c>
      <c r="O4533" s="36">
        <v>383.6</v>
      </c>
      <c r="P4533" t="s">
        <v>121</v>
      </c>
      <c r="Q4533" t="s">
        <v>111</v>
      </c>
      <c r="R4533" t="s">
        <v>111</v>
      </c>
      <c r="S4533" s="112">
        <v>46153</v>
      </c>
      <c r="T4533" s="112">
        <v>46153</v>
      </c>
      <c r="U4533" s="112">
        <v>46151</v>
      </c>
      <c r="V4533" s="112">
        <v>46518</v>
      </c>
      <c r="W4533" t="s">
        <v>38</v>
      </c>
      <c r="X4533">
        <v>12</v>
      </c>
      <c r="Y4533" t="s">
        <v>49</v>
      </c>
      <c r="Z4533" t="s">
        <v>76</v>
      </c>
      <c r="AA4533" t="s">
        <v>112</v>
      </c>
      <c r="AB4533">
        <v>12</v>
      </c>
      <c r="AC4533" t="s">
        <v>113</v>
      </c>
      <c r="AD4533" t="s">
        <v>85</v>
      </c>
      <c r="AE4533" t="s">
        <v>46</v>
      </c>
      <c r="AF4533" t="s">
        <v>44</v>
      </c>
      <c r="AG4533" t="str">
        <f t="shared" si="103"/>
        <v>CC 12x</v>
      </c>
      <c r="AH4533" t="str">
        <f t="shared" si="104"/>
        <v/>
      </c>
    </row>
    <row r="4534" spans="1:34">
      <c r="A4534">
        <v>2026</v>
      </c>
      <c r="B4534">
        <v>5</v>
      </c>
      <c r="C4534" s="83">
        <v>19485910621</v>
      </c>
      <c r="D4534" t="s">
        <v>2158</v>
      </c>
      <c r="E4534">
        <v>60627922059</v>
      </c>
      <c r="F4534">
        <v>315415</v>
      </c>
      <c r="G4534">
        <v>55611060047</v>
      </c>
      <c r="H4534" t="s">
        <v>35</v>
      </c>
      <c r="I4534" s="36">
        <v>4584.84</v>
      </c>
      <c r="J4534" s="36">
        <v>4584.84</v>
      </c>
      <c r="K4534" s="85">
        <v>0</v>
      </c>
      <c r="L4534" s="36">
        <v>382.07</v>
      </c>
      <c r="M4534" s="36">
        <v>0</v>
      </c>
      <c r="N4534" s="36">
        <v>25.074999999999999</v>
      </c>
      <c r="O4534" s="36">
        <v>357</v>
      </c>
      <c r="P4534" t="s">
        <v>121</v>
      </c>
      <c r="Q4534" t="s">
        <v>111</v>
      </c>
      <c r="R4534" t="s">
        <v>111</v>
      </c>
      <c r="S4534" s="112">
        <v>46167</v>
      </c>
      <c r="T4534" s="112">
        <v>46167</v>
      </c>
      <c r="U4534" s="112">
        <v>46161</v>
      </c>
      <c r="V4534" s="112">
        <v>46532</v>
      </c>
      <c r="W4534" t="s">
        <v>38</v>
      </c>
      <c r="X4534">
        <v>12</v>
      </c>
      <c r="Y4534" t="s">
        <v>49</v>
      </c>
      <c r="Z4534" t="s">
        <v>81</v>
      </c>
      <c r="AA4534" t="s">
        <v>122</v>
      </c>
      <c r="AB4534">
        <v>12</v>
      </c>
      <c r="AC4534" t="s">
        <v>113</v>
      </c>
      <c r="AD4534" t="s">
        <v>85</v>
      </c>
      <c r="AE4534" t="s">
        <v>46</v>
      </c>
      <c r="AF4534" t="s">
        <v>44</v>
      </c>
      <c r="AG4534" t="str">
        <f t="shared" ref="AG4534:AG4597" si="105">IF(IFERROR(SEARCH("Recorrente",AA4534),0)&gt;0,"Recorrente",IF(AB4534=1,"À Vista",IF(AB4534&lt;=3,"CC 3x",IF(AB4534&lt;=12,"CC 12x",IF(AB4534&gt;12,"Recorrente","")))))</f>
        <v>Recorrente</v>
      </c>
      <c r="AH4534" t="str">
        <f t="shared" ref="AH4534:AH4597" si="106">IF(AND(SUMIF(E:E,E4534,I:I)&gt;=400000,Q4534="B2G"),"n","")</f>
        <v/>
      </c>
    </row>
    <row r="4535" spans="1:34">
      <c r="A4535">
        <v>2026</v>
      </c>
      <c r="B4535">
        <v>5</v>
      </c>
      <c r="C4535" s="83">
        <v>19485910621</v>
      </c>
      <c r="D4535" t="s">
        <v>2158</v>
      </c>
      <c r="E4535">
        <v>60627922059</v>
      </c>
      <c r="F4535">
        <v>315415</v>
      </c>
      <c r="G4535">
        <v>55611060048</v>
      </c>
      <c r="H4535" t="s">
        <v>35</v>
      </c>
      <c r="I4535" s="36">
        <v>4584.84</v>
      </c>
      <c r="J4535" s="36">
        <v>4584.84</v>
      </c>
      <c r="K4535" s="85">
        <v>0</v>
      </c>
      <c r="L4535" s="36">
        <v>382.07</v>
      </c>
      <c r="M4535" s="36">
        <v>0</v>
      </c>
      <c r="N4535" s="36">
        <v>25.074999999999999</v>
      </c>
      <c r="O4535" s="36">
        <v>357</v>
      </c>
      <c r="P4535" t="s">
        <v>121</v>
      </c>
      <c r="Q4535" t="s">
        <v>111</v>
      </c>
      <c r="R4535" t="s">
        <v>111</v>
      </c>
      <c r="S4535" s="112">
        <v>46167</v>
      </c>
      <c r="T4535" s="112">
        <v>46167</v>
      </c>
      <c r="U4535" s="112">
        <v>46161</v>
      </c>
      <c r="V4535" s="112">
        <v>46532</v>
      </c>
      <c r="W4535" t="s">
        <v>38</v>
      </c>
      <c r="X4535">
        <v>12</v>
      </c>
      <c r="Y4535" t="s">
        <v>49</v>
      </c>
      <c r="Z4535" t="s">
        <v>81</v>
      </c>
      <c r="AA4535" t="s">
        <v>122</v>
      </c>
      <c r="AB4535">
        <v>12</v>
      </c>
      <c r="AC4535" t="s">
        <v>113</v>
      </c>
      <c r="AD4535" t="s">
        <v>84</v>
      </c>
      <c r="AE4535" t="s">
        <v>43</v>
      </c>
      <c r="AF4535" t="s">
        <v>44</v>
      </c>
      <c r="AG4535" t="str">
        <f t="shared" si="105"/>
        <v>Recorrente</v>
      </c>
      <c r="AH4535" t="str">
        <f t="shared" si="106"/>
        <v/>
      </c>
    </row>
    <row r="4536" spans="1:34">
      <c r="A4536">
        <v>2026</v>
      </c>
      <c r="B4536">
        <v>5</v>
      </c>
      <c r="C4536" s="83">
        <v>219624880549</v>
      </c>
      <c r="D4536" t="s">
        <v>3884</v>
      </c>
      <c r="E4536">
        <v>60011879856</v>
      </c>
      <c r="F4536">
        <v>637551</v>
      </c>
      <c r="G4536">
        <v>55041693601</v>
      </c>
      <c r="H4536" t="s">
        <v>35</v>
      </c>
      <c r="I4536" s="36">
        <v>4580.88</v>
      </c>
      <c r="J4536" s="36">
        <v>4580.9399999999996</v>
      </c>
      <c r="K4536" s="85">
        <v>0</v>
      </c>
      <c r="L4536" s="36">
        <v>381.745</v>
      </c>
      <c r="M4536" s="36">
        <v>381.745</v>
      </c>
      <c r="N4536" s="36">
        <v>0</v>
      </c>
      <c r="O4536" s="36">
        <v>0</v>
      </c>
      <c r="P4536" t="s">
        <v>829</v>
      </c>
      <c r="Q4536" t="s">
        <v>300</v>
      </c>
      <c r="R4536" t="s">
        <v>300</v>
      </c>
      <c r="S4536" s="112">
        <v>46146</v>
      </c>
      <c r="T4536" s="112">
        <v>46146</v>
      </c>
      <c r="U4536" s="112"/>
      <c r="V4536" s="112">
        <v>46511</v>
      </c>
      <c r="W4536" t="s">
        <v>38</v>
      </c>
      <c r="X4536">
        <v>12</v>
      </c>
      <c r="Y4536" t="s">
        <v>49</v>
      </c>
      <c r="AA4536" t="s">
        <v>112</v>
      </c>
      <c r="AB4536">
        <v>3</v>
      </c>
      <c r="AC4536" t="s">
        <v>301</v>
      </c>
      <c r="AD4536" t="s">
        <v>84</v>
      </c>
      <c r="AE4536" t="s">
        <v>43</v>
      </c>
      <c r="AF4536" t="s">
        <v>44</v>
      </c>
      <c r="AG4536" t="str">
        <f t="shared" si="105"/>
        <v>CC 3x</v>
      </c>
      <c r="AH4536" t="str">
        <f t="shared" si="106"/>
        <v/>
      </c>
    </row>
    <row r="4537" spans="1:34">
      <c r="A4537">
        <v>2026</v>
      </c>
      <c r="B4537">
        <v>5</v>
      </c>
      <c r="C4537" s="83">
        <v>19485949071</v>
      </c>
      <c r="D4537" t="s">
        <v>3007</v>
      </c>
      <c r="E4537">
        <v>60009760881</v>
      </c>
      <c r="F4537">
        <v>637577</v>
      </c>
      <c r="G4537">
        <v>55039010382</v>
      </c>
      <c r="H4537" t="s">
        <v>35</v>
      </c>
      <c r="I4537" s="36">
        <v>4564.4399999999996</v>
      </c>
      <c r="J4537" s="36">
        <v>4564.5</v>
      </c>
      <c r="K4537" s="85">
        <v>0</v>
      </c>
      <c r="L4537" s="36">
        <v>380.375</v>
      </c>
      <c r="M4537" s="36">
        <v>380.375</v>
      </c>
      <c r="N4537" s="36">
        <v>0</v>
      </c>
      <c r="O4537" s="36">
        <v>0</v>
      </c>
      <c r="P4537" t="s">
        <v>348</v>
      </c>
      <c r="Q4537" t="s">
        <v>349</v>
      </c>
      <c r="R4537" t="s">
        <v>349</v>
      </c>
      <c r="S4537" s="112">
        <v>46147</v>
      </c>
      <c r="T4537" s="112">
        <v>46147</v>
      </c>
      <c r="U4537" s="112"/>
      <c r="V4537" s="112">
        <v>46535</v>
      </c>
      <c r="W4537" t="s">
        <v>38</v>
      </c>
      <c r="X4537">
        <v>12</v>
      </c>
      <c r="Y4537" t="s">
        <v>49</v>
      </c>
      <c r="AA4537" t="s">
        <v>117</v>
      </c>
      <c r="AB4537">
        <v>1</v>
      </c>
      <c r="AC4537" t="s">
        <v>350</v>
      </c>
      <c r="AD4537" t="s">
        <v>362</v>
      </c>
      <c r="AE4537" t="s">
        <v>363</v>
      </c>
      <c r="AF4537" t="s">
        <v>59</v>
      </c>
      <c r="AG4537" t="str">
        <f t="shared" si="105"/>
        <v>À Vista</v>
      </c>
      <c r="AH4537" t="str">
        <f t="shared" si="106"/>
        <v/>
      </c>
    </row>
    <row r="4538" spans="1:34">
      <c r="A4538">
        <v>2026</v>
      </c>
      <c r="B4538">
        <v>5</v>
      </c>
      <c r="C4538" s="83">
        <v>19485949071</v>
      </c>
      <c r="D4538" t="s">
        <v>3007</v>
      </c>
      <c r="E4538">
        <v>60009760881</v>
      </c>
      <c r="F4538">
        <v>637577</v>
      </c>
      <c r="G4538">
        <v>55039010383</v>
      </c>
      <c r="H4538" t="s">
        <v>35</v>
      </c>
      <c r="I4538" s="36">
        <v>4564.4399999999996</v>
      </c>
      <c r="J4538" s="36">
        <v>4564.5</v>
      </c>
      <c r="K4538" s="85">
        <v>0</v>
      </c>
      <c r="L4538" s="36">
        <v>380.375</v>
      </c>
      <c r="M4538" s="36">
        <v>380.375</v>
      </c>
      <c r="N4538" s="36">
        <v>0</v>
      </c>
      <c r="O4538" s="36">
        <v>0</v>
      </c>
      <c r="P4538" t="s">
        <v>348</v>
      </c>
      <c r="Q4538" t="s">
        <v>349</v>
      </c>
      <c r="R4538" t="s">
        <v>349</v>
      </c>
      <c r="S4538" s="112">
        <v>46147</v>
      </c>
      <c r="T4538" s="112">
        <v>46147</v>
      </c>
      <c r="U4538" s="112"/>
      <c r="V4538" s="112">
        <v>46535</v>
      </c>
      <c r="W4538" t="s">
        <v>38</v>
      </c>
      <c r="X4538">
        <v>12</v>
      </c>
      <c r="Y4538" t="s">
        <v>49</v>
      </c>
      <c r="AA4538" t="s">
        <v>117</v>
      </c>
      <c r="AB4538">
        <v>1</v>
      </c>
      <c r="AC4538" t="s">
        <v>350</v>
      </c>
      <c r="AD4538" t="s">
        <v>256</v>
      </c>
      <c r="AE4538" t="s">
        <v>257</v>
      </c>
      <c r="AF4538" t="s">
        <v>59</v>
      </c>
      <c r="AG4538" t="str">
        <f t="shared" si="105"/>
        <v>À Vista</v>
      </c>
      <c r="AH4538" t="str">
        <f t="shared" si="106"/>
        <v/>
      </c>
    </row>
    <row r="4539" spans="1:34">
      <c r="A4539">
        <v>2026</v>
      </c>
      <c r="B4539">
        <v>5</v>
      </c>
      <c r="C4539" s="83">
        <v>229921587640</v>
      </c>
      <c r="D4539" t="s">
        <v>3885</v>
      </c>
      <c r="E4539">
        <v>60188370063</v>
      </c>
      <c r="F4539">
        <v>637704</v>
      </c>
      <c r="G4539">
        <v>55191289726</v>
      </c>
      <c r="H4539" t="s">
        <v>35</v>
      </c>
      <c r="I4539" s="36">
        <v>4552.92</v>
      </c>
      <c r="J4539" s="36">
        <v>4552.9098000000004</v>
      </c>
      <c r="K4539" s="85">
        <v>1.0200000000000001E-2</v>
      </c>
      <c r="L4539" s="36">
        <v>379.40915000000001</v>
      </c>
      <c r="M4539" s="36">
        <v>379.40915000000001</v>
      </c>
      <c r="N4539" s="36">
        <v>0</v>
      </c>
      <c r="O4539" s="36">
        <v>0</v>
      </c>
      <c r="P4539" t="s">
        <v>506</v>
      </c>
      <c r="Q4539" t="s">
        <v>300</v>
      </c>
      <c r="R4539" t="s">
        <v>300</v>
      </c>
      <c r="S4539" s="112">
        <v>46153</v>
      </c>
      <c r="T4539" s="112">
        <v>46153</v>
      </c>
      <c r="U4539" s="112"/>
      <c r="V4539" s="112">
        <v>46518</v>
      </c>
      <c r="W4539" t="s">
        <v>38</v>
      </c>
      <c r="X4539">
        <v>12</v>
      </c>
      <c r="Y4539" t="s">
        <v>49</v>
      </c>
      <c r="AA4539" t="s">
        <v>117</v>
      </c>
      <c r="AB4539">
        <v>1</v>
      </c>
      <c r="AC4539" t="s">
        <v>301</v>
      </c>
      <c r="AD4539" t="s">
        <v>138</v>
      </c>
      <c r="AE4539" t="s">
        <v>135</v>
      </c>
      <c r="AF4539" t="s">
        <v>119</v>
      </c>
      <c r="AG4539" t="str">
        <f t="shared" si="105"/>
        <v>À Vista</v>
      </c>
      <c r="AH4539" t="str">
        <f t="shared" si="106"/>
        <v/>
      </c>
    </row>
    <row r="4540" spans="1:34">
      <c r="A4540">
        <v>2026</v>
      </c>
      <c r="B4540">
        <v>5</v>
      </c>
      <c r="C4540" s="83">
        <v>19435493437</v>
      </c>
      <c r="D4540" t="s">
        <v>3886</v>
      </c>
      <c r="E4540">
        <v>60167570251</v>
      </c>
      <c r="F4540">
        <v>534721</v>
      </c>
      <c r="G4540">
        <v>55251346742</v>
      </c>
      <c r="H4540" t="s">
        <v>35</v>
      </c>
      <c r="I4540" s="36">
        <v>4548</v>
      </c>
      <c r="J4540" s="36">
        <v>4548</v>
      </c>
      <c r="K4540" s="85">
        <v>0</v>
      </c>
      <c r="L4540" s="36">
        <v>379</v>
      </c>
      <c r="M4540" s="36">
        <v>0</v>
      </c>
      <c r="N4540" s="36">
        <v>14.35</v>
      </c>
      <c r="O4540" s="36">
        <v>364.65</v>
      </c>
      <c r="P4540" t="s">
        <v>127</v>
      </c>
      <c r="Q4540" t="s">
        <v>111</v>
      </c>
      <c r="R4540" t="s">
        <v>111</v>
      </c>
      <c r="S4540" s="112">
        <v>46156</v>
      </c>
      <c r="T4540" s="112">
        <v>46156</v>
      </c>
      <c r="U4540" s="112">
        <v>46154</v>
      </c>
      <c r="V4540" s="112">
        <v>46521</v>
      </c>
      <c r="W4540" t="s">
        <v>38</v>
      </c>
      <c r="X4540">
        <v>12</v>
      </c>
      <c r="Y4540" t="s">
        <v>49</v>
      </c>
      <c r="Z4540" t="s">
        <v>81</v>
      </c>
      <c r="AA4540" t="s">
        <v>122</v>
      </c>
      <c r="AB4540">
        <v>12</v>
      </c>
      <c r="AC4540" t="s">
        <v>113</v>
      </c>
      <c r="AD4540" t="s">
        <v>138</v>
      </c>
      <c r="AE4540" t="s">
        <v>135</v>
      </c>
      <c r="AF4540" t="s">
        <v>119</v>
      </c>
      <c r="AG4540" t="str">
        <f t="shared" si="105"/>
        <v>Recorrente</v>
      </c>
      <c r="AH4540" t="str">
        <f t="shared" si="106"/>
        <v/>
      </c>
    </row>
    <row r="4541" spans="1:34">
      <c r="A4541">
        <v>2026</v>
      </c>
      <c r="B4541">
        <v>5</v>
      </c>
      <c r="C4541" s="83">
        <v>120495578921</v>
      </c>
      <c r="D4541" t="s">
        <v>3887</v>
      </c>
      <c r="E4541">
        <v>59880295939</v>
      </c>
      <c r="F4541">
        <v>316759</v>
      </c>
      <c r="G4541">
        <v>55686025875</v>
      </c>
      <c r="H4541" t="s">
        <v>35</v>
      </c>
      <c r="I4541" s="36">
        <v>4530.6000000000004</v>
      </c>
      <c r="J4541" s="36">
        <v>4530.6000000000004</v>
      </c>
      <c r="K4541" s="85">
        <v>0</v>
      </c>
      <c r="L4541" s="36">
        <v>377.55</v>
      </c>
      <c r="M4541" s="36">
        <v>0</v>
      </c>
      <c r="N4541" s="36">
        <v>9.9</v>
      </c>
      <c r="O4541" s="36">
        <v>367.65</v>
      </c>
      <c r="P4541" t="s">
        <v>121</v>
      </c>
      <c r="Q4541" t="s">
        <v>111</v>
      </c>
      <c r="R4541" t="s">
        <v>111</v>
      </c>
      <c r="S4541" s="112">
        <v>46171</v>
      </c>
      <c r="T4541" s="112">
        <v>46171</v>
      </c>
      <c r="U4541" s="112">
        <v>46173</v>
      </c>
      <c r="V4541" s="112">
        <v>46538</v>
      </c>
      <c r="W4541" t="s">
        <v>38</v>
      </c>
      <c r="X4541">
        <v>12</v>
      </c>
      <c r="Y4541" t="s">
        <v>49</v>
      </c>
      <c r="Z4541" t="s">
        <v>81</v>
      </c>
      <c r="AA4541" t="s">
        <v>122</v>
      </c>
      <c r="AB4541">
        <v>12</v>
      </c>
      <c r="AC4541" t="s">
        <v>113</v>
      </c>
      <c r="AD4541" t="s">
        <v>84</v>
      </c>
      <c r="AE4541" t="s">
        <v>43</v>
      </c>
      <c r="AF4541" t="s">
        <v>44</v>
      </c>
      <c r="AG4541" t="str">
        <f t="shared" si="105"/>
        <v>Recorrente</v>
      </c>
      <c r="AH4541" t="str">
        <f t="shared" si="106"/>
        <v/>
      </c>
    </row>
    <row r="4542" spans="1:34">
      <c r="A4542">
        <v>2026</v>
      </c>
      <c r="B4542">
        <v>5</v>
      </c>
      <c r="C4542" s="83">
        <v>124266125411</v>
      </c>
      <c r="D4542" t="s">
        <v>3888</v>
      </c>
      <c r="E4542">
        <v>58937074548</v>
      </c>
      <c r="F4542">
        <v>629777</v>
      </c>
      <c r="G4542">
        <v>54097703522</v>
      </c>
      <c r="H4542" t="s">
        <v>35</v>
      </c>
      <c r="I4542" s="36">
        <v>4530.6000000000004</v>
      </c>
      <c r="J4542" s="36">
        <v>4530.6000000000004</v>
      </c>
      <c r="K4542" s="85">
        <v>0</v>
      </c>
      <c r="L4542" s="36">
        <v>377.55</v>
      </c>
      <c r="M4542" s="36">
        <v>0</v>
      </c>
      <c r="N4542" s="36">
        <v>42.45</v>
      </c>
      <c r="O4542" s="36">
        <v>335.1</v>
      </c>
      <c r="P4542" t="s">
        <v>165</v>
      </c>
      <c r="Q4542" t="s">
        <v>166</v>
      </c>
      <c r="R4542" t="s">
        <v>166</v>
      </c>
      <c r="S4542" s="112">
        <v>46165</v>
      </c>
      <c r="T4542" s="112">
        <v>46165</v>
      </c>
      <c r="U4542" s="112">
        <v>46165</v>
      </c>
      <c r="V4542" s="112">
        <v>46530</v>
      </c>
      <c r="W4542" t="s">
        <v>38</v>
      </c>
      <c r="X4542">
        <v>12</v>
      </c>
      <c r="Y4542" t="s">
        <v>49</v>
      </c>
      <c r="Z4542" t="s">
        <v>81</v>
      </c>
      <c r="AA4542" t="s">
        <v>122</v>
      </c>
      <c r="AB4542">
        <v>6</v>
      </c>
      <c r="AC4542" t="s">
        <v>166</v>
      </c>
      <c r="AD4542" t="s">
        <v>84</v>
      </c>
      <c r="AE4542" t="s">
        <v>43</v>
      </c>
      <c r="AF4542" t="s">
        <v>44</v>
      </c>
      <c r="AG4542" t="str">
        <f t="shared" si="105"/>
        <v>Recorrente</v>
      </c>
      <c r="AH4542" t="str">
        <f t="shared" si="106"/>
        <v/>
      </c>
    </row>
    <row r="4543" spans="1:34">
      <c r="A4543">
        <v>2026</v>
      </c>
      <c r="B4543">
        <v>5</v>
      </c>
      <c r="C4543" s="83">
        <v>1626288</v>
      </c>
      <c r="D4543" t="s">
        <v>3889</v>
      </c>
      <c r="E4543">
        <v>58374726778</v>
      </c>
      <c r="F4543">
        <v>534585</v>
      </c>
      <c r="G4543">
        <v>53577785009</v>
      </c>
      <c r="H4543" t="s">
        <v>35</v>
      </c>
      <c r="I4543" s="36">
        <v>4530.6000000000004</v>
      </c>
      <c r="J4543" s="36">
        <v>4530.6000000000004</v>
      </c>
      <c r="K4543" s="85">
        <v>0</v>
      </c>
      <c r="L4543" s="36">
        <v>377.55</v>
      </c>
      <c r="M4543" s="36">
        <v>0</v>
      </c>
      <c r="N4543" s="36">
        <v>87.3</v>
      </c>
      <c r="O4543" s="36">
        <v>290.25</v>
      </c>
      <c r="P4543" t="s">
        <v>165</v>
      </c>
      <c r="Q4543" t="s">
        <v>166</v>
      </c>
      <c r="R4543" t="s">
        <v>166</v>
      </c>
      <c r="S4543" s="112">
        <v>46152</v>
      </c>
      <c r="T4543" s="112">
        <v>46152</v>
      </c>
      <c r="U4543" s="112">
        <v>46152</v>
      </c>
      <c r="V4543" s="112">
        <v>46517</v>
      </c>
      <c r="W4543" t="s">
        <v>38</v>
      </c>
      <c r="X4543">
        <v>12</v>
      </c>
      <c r="Y4543" t="s">
        <v>49</v>
      </c>
      <c r="Z4543" t="s">
        <v>81</v>
      </c>
      <c r="AA4543" t="s">
        <v>112</v>
      </c>
      <c r="AB4543">
        <v>12</v>
      </c>
      <c r="AC4543" t="s">
        <v>166</v>
      </c>
      <c r="AD4543" t="s">
        <v>84</v>
      </c>
      <c r="AE4543" t="s">
        <v>43</v>
      </c>
      <c r="AF4543" t="s">
        <v>44</v>
      </c>
      <c r="AG4543" t="str">
        <f t="shared" si="105"/>
        <v>CC 12x</v>
      </c>
      <c r="AH4543" t="str">
        <f t="shared" si="106"/>
        <v/>
      </c>
    </row>
    <row r="4544" spans="1:34">
      <c r="A4544">
        <v>2026</v>
      </c>
      <c r="B4544">
        <v>5</v>
      </c>
      <c r="C4544" s="83">
        <v>175605488569</v>
      </c>
      <c r="D4544" t="s">
        <v>3890</v>
      </c>
      <c r="E4544">
        <v>60219361536</v>
      </c>
      <c r="F4544">
        <v>510488</v>
      </c>
      <c r="G4544">
        <v>55242965266</v>
      </c>
      <c r="H4544" t="s">
        <v>35</v>
      </c>
      <c r="I4544" s="36">
        <v>4530.6000000000004</v>
      </c>
      <c r="J4544" s="36">
        <v>4530.6000000000004</v>
      </c>
      <c r="K4544" s="85">
        <v>0</v>
      </c>
      <c r="L4544" s="36">
        <v>377.55</v>
      </c>
      <c r="M4544" s="36">
        <v>0</v>
      </c>
      <c r="N4544" s="36">
        <v>81.489999999999995</v>
      </c>
      <c r="O4544" s="36">
        <v>296.06</v>
      </c>
      <c r="P4544" t="s">
        <v>127</v>
      </c>
      <c r="Q4544" t="s">
        <v>111</v>
      </c>
      <c r="R4544" t="s">
        <v>111</v>
      </c>
      <c r="S4544" s="112">
        <v>46155</v>
      </c>
      <c r="T4544" s="112">
        <v>46155</v>
      </c>
      <c r="U4544" s="112">
        <v>46154</v>
      </c>
      <c r="V4544" s="112">
        <v>46520</v>
      </c>
      <c r="W4544" t="s">
        <v>38</v>
      </c>
      <c r="X4544">
        <v>12</v>
      </c>
      <c r="Y4544" t="s">
        <v>49</v>
      </c>
      <c r="Z4544" t="s">
        <v>81</v>
      </c>
      <c r="AA4544" t="s">
        <v>112</v>
      </c>
      <c r="AB4544">
        <v>12</v>
      </c>
      <c r="AC4544" t="s">
        <v>113</v>
      </c>
      <c r="AD4544" t="s">
        <v>84</v>
      </c>
      <c r="AE4544" t="s">
        <v>43</v>
      </c>
      <c r="AF4544" t="s">
        <v>44</v>
      </c>
      <c r="AG4544" t="str">
        <f t="shared" si="105"/>
        <v>CC 12x</v>
      </c>
      <c r="AH4544" t="str">
        <f t="shared" si="106"/>
        <v/>
      </c>
    </row>
    <row r="4545" spans="1:34">
      <c r="A4545">
        <v>2026</v>
      </c>
      <c r="B4545">
        <v>5</v>
      </c>
      <c r="C4545" s="83">
        <v>19435460999</v>
      </c>
      <c r="D4545" t="s">
        <v>3891</v>
      </c>
      <c r="E4545">
        <v>59957647881</v>
      </c>
      <c r="F4545">
        <v>313827</v>
      </c>
      <c r="G4545">
        <v>55061307186</v>
      </c>
      <c r="H4545" t="s">
        <v>35</v>
      </c>
      <c r="I4545" s="36">
        <v>4530.6000000000004</v>
      </c>
      <c r="J4545" s="36">
        <v>4530.6000000000004</v>
      </c>
      <c r="K4545" s="85">
        <v>0</v>
      </c>
      <c r="L4545" s="36">
        <v>377.55</v>
      </c>
      <c r="M4545" s="36">
        <v>0</v>
      </c>
      <c r="N4545" s="36">
        <v>98.91</v>
      </c>
      <c r="O4545" s="36">
        <v>278.64</v>
      </c>
      <c r="P4545" t="s">
        <v>127</v>
      </c>
      <c r="Q4545" t="s">
        <v>111</v>
      </c>
      <c r="R4545" t="s">
        <v>111</v>
      </c>
      <c r="S4545" s="112">
        <v>46148</v>
      </c>
      <c r="T4545" s="112">
        <v>46148</v>
      </c>
      <c r="U4545" s="112">
        <v>46143</v>
      </c>
      <c r="V4545" s="112">
        <v>46513</v>
      </c>
      <c r="W4545" t="s">
        <v>38</v>
      </c>
      <c r="X4545">
        <v>12</v>
      </c>
      <c r="Y4545" t="s">
        <v>49</v>
      </c>
      <c r="Z4545" t="s">
        <v>81</v>
      </c>
      <c r="AA4545" t="s">
        <v>112</v>
      </c>
      <c r="AB4545">
        <v>12</v>
      </c>
      <c r="AC4545" t="s">
        <v>113</v>
      </c>
      <c r="AD4545" t="s">
        <v>84</v>
      </c>
      <c r="AE4545" t="s">
        <v>43</v>
      </c>
      <c r="AF4545" t="s">
        <v>44</v>
      </c>
      <c r="AG4545" t="str">
        <f t="shared" si="105"/>
        <v>CC 12x</v>
      </c>
      <c r="AH4545" t="str">
        <f t="shared" si="106"/>
        <v/>
      </c>
    </row>
    <row r="4546" spans="1:34">
      <c r="A4546">
        <v>2026</v>
      </c>
      <c r="B4546">
        <v>5</v>
      </c>
      <c r="C4546" s="83">
        <v>19435468649</v>
      </c>
      <c r="D4546" t="s">
        <v>3892</v>
      </c>
      <c r="E4546">
        <v>58927311435</v>
      </c>
      <c r="F4546">
        <v>629728</v>
      </c>
      <c r="G4546">
        <v>54087900962</v>
      </c>
      <c r="H4546" t="s">
        <v>35</v>
      </c>
      <c r="I4546" s="36">
        <v>4530.6000000000004</v>
      </c>
      <c r="J4546" s="36">
        <v>4530.6000000000004</v>
      </c>
      <c r="K4546" s="85">
        <v>0</v>
      </c>
      <c r="L4546" s="36">
        <v>377.55</v>
      </c>
      <c r="M4546" s="36">
        <v>0</v>
      </c>
      <c r="N4546" s="36">
        <v>67.959999999999994</v>
      </c>
      <c r="O4546" s="36">
        <v>309.58999999999997</v>
      </c>
      <c r="P4546" t="s">
        <v>165</v>
      </c>
      <c r="Q4546" t="s">
        <v>166</v>
      </c>
      <c r="R4546" t="s">
        <v>166</v>
      </c>
      <c r="S4546" s="112">
        <v>46165</v>
      </c>
      <c r="T4546" s="112">
        <v>46165</v>
      </c>
      <c r="U4546" s="112">
        <v>46165</v>
      </c>
      <c r="V4546" s="112">
        <v>46530</v>
      </c>
      <c r="W4546" t="s">
        <v>38</v>
      </c>
      <c r="X4546">
        <v>12</v>
      </c>
      <c r="Y4546" t="s">
        <v>49</v>
      </c>
      <c r="Z4546" t="s">
        <v>81</v>
      </c>
      <c r="AA4546" t="s">
        <v>112</v>
      </c>
      <c r="AB4546">
        <v>12</v>
      </c>
      <c r="AC4546" t="s">
        <v>166</v>
      </c>
      <c r="AD4546" t="s">
        <v>84</v>
      </c>
      <c r="AE4546" t="s">
        <v>43</v>
      </c>
      <c r="AF4546" t="s">
        <v>44</v>
      </c>
      <c r="AG4546" t="str">
        <f t="shared" si="105"/>
        <v>CC 12x</v>
      </c>
      <c r="AH4546" t="str">
        <f t="shared" si="106"/>
        <v/>
      </c>
    </row>
    <row r="4547" spans="1:34">
      <c r="A4547">
        <v>2026</v>
      </c>
      <c r="B4547">
        <v>5</v>
      </c>
      <c r="C4547" s="83">
        <v>19435625896</v>
      </c>
      <c r="D4547" t="s">
        <v>3893</v>
      </c>
      <c r="E4547">
        <v>58158053747</v>
      </c>
      <c r="F4547">
        <v>534217</v>
      </c>
      <c r="G4547">
        <v>53378084672</v>
      </c>
      <c r="H4547" t="s">
        <v>35</v>
      </c>
      <c r="I4547" s="36">
        <v>4530.6000000000004</v>
      </c>
      <c r="J4547" s="36">
        <v>4530.6000000000004</v>
      </c>
      <c r="K4547" s="85">
        <v>0</v>
      </c>
      <c r="L4547" s="36">
        <v>377.55</v>
      </c>
      <c r="M4547" s="36">
        <v>0</v>
      </c>
      <c r="N4547" s="36">
        <v>48.6</v>
      </c>
      <c r="O4547" s="36">
        <v>328.95</v>
      </c>
      <c r="P4547" t="s">
        <v>165</v>
      </c>
      <c r="Q4547" t="s">
        <v>166</v>
      </c>
      <c r="R4547" t="s">
        <v>166</v>
      </c>
      <c r="S4547" s="112">
        <v>46146</v>
      </c>
      <c r="T4547" s="112">
        <v>46146</v>
      </c>
      <c r="U4547" s="112">
        <v>46146</v>
      </c>
      <c r="V4547" s="112">
        <v>46511</v>
      </c>
      <c r="W4547" t="s">
        <v>38</v>
      </c>
      <c r="X4547">
        <v>12</v>
      </c>
      <c r="Y4547" t="s">
        <v>49</v>
      </c>
      <c r="Z4547" t="s">
        <v>81</v>
      </c>
      <c r="AA4547" t="s">
        <v>112</v>
      </c>
      <c r="AB4547">
        <v>12</v>
      </c>
      <c r="AC4547" t="s">
        <v>166</v>
      </c>
      <c r="AD4547" t="s">
        <v>84</v>
      </c>
      <c r="AE4547" t="s">
        <v>43</v>
      </c>
      <c r="AF4547" t="s">
        <v>44</v>
      </c>
      <c r="AG4547" t="str">
        <f t="shared" si="105"/>
        <v>CC 12x</v>
      </c>
      <c r="AH4547" t="str">
        <f t="shared" si="106"/>
        <v/>
      </c>
    </row>
    <row r="4548" spans="1:34">
      <c r="A4548">
        <v>2026</v>
      </c>
      <c r="B4548">
        <v>5</v>
      </c>
      <c r="C4548" s="83">
        <v>19485501554</v>
      </c>
      <c r="D4548" t="s">
        <v>258</v>
      </c>
      <c r="E4548">
        <v>58210194790</v>
      </c>
      <c r="F4548">
        <v>534319</v>
      </c>
      <c r="G4548">
        <v>53411800422</v>
      </c>
      <c r="H4548" t="s">
        <v>35</v>
      </c>
      <c r="I4548" s="36">
        <v>4530.6000000000004</v>
      </c>
      <c r="J4548" s="36">
        <v>4530.6000000000004</v>
      </c>
      <c r="K4548" s="85">
        <v>0</v>
      </c>
      <c r="L4548" s="36">
        <v>377.55</v>
      </c>
      <c r="M4548" s="36">
        <v>0</v>
      </c>
      <c r="N4548" s="36">
        <v>48.6</v>
      </c>
      <c r="O4548" s="36">
        <v>328.95</v>
      </c>
      <c r="P4548" t="s">
        <v>165</v>
      </c>
      <c r="Q4548" t="s">
        <v>166</v>
      </c>
      <c r="R4548" t="s">
        <v>166</v>
      </c>
      <c r="S4548" s="112">
        <v>46147</v>
      </c>
      <c r="T4548" s="112">
        <v>46147</v>
      </c>
      <c r="U4548" s="112">
        <v>46147</v>
      </c>
      <c r="V4548" s="112">
        <v>46512</v>
      </c>
      <c r="W4548" t="s">
        <v>38</v>
      </c>
      <c r="X4548">
        <v>12</v>
      </c>
      <c r="Y4548" t="s">
        <v>49</v>
      </c>
      <c r="Z4548" t="s">
        <v>81</v>
      </c>
      <c r="AA4548" t="s">
        <v>112</v>
      </c>
      <c r="AB4548">
        <v>12</v>
      </c>
      <c r="AC4548" t="s">
        <v>166</v>
      </c>
      <c r="AD4548" t="s">
        <v>84</v>
      </c>
      <c r="AE4548" t="s">
        <v>43</v>
      </c>
      <c r="AF4548" t="s">
        <v>44</v>
      </c>
      <c r="AG4548" t="str">
        <f t="shared" si="105"/>
        <v>CC 12x</v>
      </c>
      <c r="AH4548" t="str">
        <f t="shared" si="106"/>
        <v/>
      </c>
    </row>
    <row r="4549" spans="1:34">
      <c r="A4549">
        <v>2026</v>
      </c>
      <c r="B4549">
        <v>5</v>
      </c>
      <c r="C4549" s="83">
        <v>19485949071</v>
      </c>
      <c r="D4549" t="s">
        <v>3007</v>
      </c>
      <c r="E4549">
        <v>60185079335</v>
      </c>
      <c r="F4549">
        <v>637761</v>
      </c>
      <c r="G4549">
        <v>55241248590</v>
      </c>
      <c r="H4549" t="s">
        <v>35</v>
      </c>
      <c r="I4549" s="36">
        <v>4530.6000000000004</v>
      </c>
      <c r="J4549" s="36">
        <v>4530.6000000000004</v>
      </c>
      <c r="K4549" s="85">
        <v>0</v>
      </c>
      <c r="L4549" s="36">
        <v>377.55</v>
      </c>
      <c r="M4549" s="36">
        <v>377.55</v>
      </c>
      <c r="N4549" s="36">
        <v>0</v>
      </c>
      <c r="O4549" s="36">
        <v>0</v>
      </c>
      <c r="P4549" t="s">
        <v>348</v>
      </c>
      <c r="Q4549" t="s">
        <v>349</v>
      </c>
      <c r="R4549" t="s">
        <v>349</v>
      </c>
      <c r="S4549" s="112">
        <v>46155</v>
      </c>
      <c r="T4549" s="112">
        <v>46155</v>
      </c>
      <c r="U4549" s="112"/>
      <c r="V4549" s="112">
        <v>46520</v>
      </c>
      <c r="W4549" t="s">
        <v>38</v>
      </c>
      <c r="X4549">
        <v>12</v>
      </c>
      <c r="Y4549" t="s">
        <v>49</v>
      </c>
      <c r="AA4549" t="s">
        <v>117</v>
      </c>
      <c r="AB4549">
        <v>1</v>
      </c>
      <c r="AC4549" t="s">
        <v>350</v>
      </c>
      <c r="AD4549" t="s">
        <v>84</v>
      </c>
      <c r="AE4549" t="s">
        <v>43</v>
      </c>
      <c r="AF4549" t="s">
        <v>44</v>
      </c>
      <c r="AG4549" t="str">
        <f t="shared" si="105"/>
        <v>À Vista</v>
      </c>
      <c r="AH4549" t="str">
        <f t="shared" si="106"/>
        <v/>
      </c>
    </row>
    <row r="4550" spans="1:34">
      <c r="A4550">
        <v>2026</v>
      </c>
      <c r="B4550">
        <v>5</v>
      </c>
      <c r="C4550" s="83">
        <v>2059922</v>
      </c>
      <c r="D4550" t="s">
        <v>3894</v>
      </c>
      <c r="E4550">
        <v>58184349330</v>
      </c>
      <c r="F4550">
        <v>314284</v>
      </c>
      <c r="G4550">
        <v>53377470827</v>
      </c>
      <c r="H4550" t="s">
        <v>35</v>
      </c>
      <c r="I4550" s="36">
        <v>4530.6000000000004</v>
      </c>
      <c r="J4550" s="36">
        <v>4530.6000000000004</v>
      </c>
      <c r="K4550" s="85">
        <v>0</v>
      </c>
      <c r="L4550" s="36">
        <v>377.55</v>
      </c>
      <c r="M4550" s="36">
        <v>0</v>
      </c>
      <c r="N4550" s="36">
        <v>67.95</v>
      </c>
      <c r="O4550" s="36">
        <v>309.60000000000002</v>
      </c>
      <c r="P4550" t="s">
        <v>165</v>
      </c>
      <c r="Q4550" t="s">
        <v>166</v>
      </c>
      <c r="R4550" t="s">
        <v>166</v>
      </c>
      <c r="S4550" s="112">
        <v>46146</v>
      </c>
      <c r="T4550" s="112">
        <v>46146</v>
      </c>
      <c r="U4550" s="112">
        <v>46146</v>
      </c>
      <c r="V4550" s="112">
        <v>46511</v>
      </c>
      <c r="W4550" t="s">
        <v>38</v>
      </c>
      <c r="X4550">
        <v>12</v>
      </c>
      <c r="Y4550" t="s">
        <v>49</v>
      </c>
      <c r="Z4550" t="s">
        <v>81</v>
      </c>
      <c r="AA4550" t="s">
        <v>112</v>
      </c>
      <c r="AB4550">
        <v>12</v>
      </c>
      <c r="AC4550" t="s">
        <v>166</v>
      </c>
      <c r="AD4550" t="s">
        <v>84</v>
      </c>
      <c r="AE4550" t="s">
        <v>43</v>
      </c>
      <c r="AF4550" t="s">
        <v>44</v>
      </c>
      <c r="AG4550" t="str">
        <f t="shared" si="105"/>
        <v>CC 12x</v>
      </c>
      <c r="AH4550" t="str">
        <f t="shared" si="106"/>
        <v/>
      </c>
    </row>
    <row r="4551" spans="1:34">
      <c r="A4551">
        <v>2026</v>
      </c>
      <c r="B4551">
        <v>5</v>
      </c>
      <c r="C4551" s="83">
        <v>2074359</v>
      </c>
      <c r="D4551" t="s">
        <v>3895</v>
      </c>
      <c r="E4551">
        <v>60516201233</v>
      </c>
      <c r="F4551">
        <v>615772</v>
      </c>
      <c r="G4551">
        <v>55519463275</v>
      </c>
      <c r="H4551" t="s">
        <v>35</v>
      </c>
      <c r="I4551" s="36">
        <v>4530.6000000000004</v>
      </c>
      <c r="J4551" s="36">
        <v>4530.6000000000004</v>
      </c>
      <c r="K4551" s="85">
        <v>0</v>
      </c>
      <c r="L4551" s="36">
        <v>377.55</v>
      </c>
      <c r="M4551" s="36">
        <v>0</v>
      </c>
      <c r="N4551" s="36">
        <v>29.25</v>
      </c>
      <c r="O4551" s="36">
        <v>348.3</v>
      </c>
      <c r="P4551" t="s">
        <v>137</v>
      </c>
      <c r="Q4551" t="s">
        <v>111</v>
      </c>
      <c r="R4551" t="s">
        <v>111</v>
      </c>
      <c r="S4551" s="112">
        <v>46164</v>
      </c>
      <c r="T4551" s="112">
        <v>46164</v>
      </c>
      <c r="U4551" s="112">
        <v>46163</v>
      </c>
      <c r="V4551" s="112">
        <v>46529</v>
      </c>
      <c r="W4551" t="s">
        <v>38</v>
      </c>
      <c r="X4551">
        <v>12</v>
      </c>
      <c r="Y4551" t="s">
        <v>49</v>
      </c>
      <c r="Z4551" t="s">
        <v>81</v>
      </c>
      <c r="AA4551" t="s">
        <v>122</v>
      </c>
      <c r="AB4551">
        <v>12</v>
      </c>
      <c r="AC4551" t="s">
        <v>113</v>
      </c>
      <c r="AD4551" t="s">
        <v>84</v>
      </c>
      <c r="AE4551" t="s">
        <v>43</v>
      </c>
      <c r="AF4551" t="s">
        <v>44</v>
      </c>
      <c r="AG4551" t="str">
        <f t="shared" si="105"/>
        <v>Recorrente</v>
      </c>
      <c r="AH4551" t="str">
        <f t="shared" si="106"/>
        <v/>
      </c>
    </row>
    <row r="4552" spans="1:34">
      <c r="A4552">
        <v>2026</v>
      </c>
      <c r="B4552">
        <v>5</v>
      </c>
      <c r="C4552" s="83">
        <v>2089570</v>
      </c>
      <c r="D4552" t="s">
        <v>3896</v>
      </c>
      <c r="E4552">
        <v>59852277403</v>
      </c>
      <c r="F4552">
        <v>314684</v>
      </c>
      <c r="G4552">
        <v>54917805411</v>
      </c>
      <c r="H4552" t="s">
        <v>35</v>
      </c>
      <c r="I4552" s="36">
        <v>4530.6000000000004</v>
      </c>
      <c r="J4552" s="36">
        <v>4530.6000000000004</v>
      </c>
      <c r="K4552" s="85">
        <v>0</v>
      </c>
      <c r="L4552" s="36">
        <v>377.55</v>
      </c>
      <c r="M4552" s="36">
        <v>0</v>
      </c>
      <c r="N4552" s="36">
        <v>96.3</v>
      </c>
      <c r="O4552" s="36">
        <v>281.25</v>
      </c>
      <c r="P4552" t="s">
        <v>110</v>
      </c>
      <c r="Q4552" t="s">
        <v>111</v>
      </c>
      <c r="R4552" t="s">
        <v>111</v>
      </c>
      <c r="S4552" s="112">
        <v>46142</v>
      </c>
      <c r="T4552" s="112">
        <v>46143</v>
      </c>
      <c r="U4552" s="112">
        <v>46143</v>
      </c>
      <c r="V4552" s="112">
        <v>46508</v>
      </c>
      <c r="W4552" t="s">
        <v>38</v>
      </c>
      <c r="X4552">
        <v>12</v>
      </c>
      <c r="Y4552" t="s">
        <v>49</v>
      </c>
      <c r="Z4552" t="s">
        <v>81</v>
      </c>
      <c r="AA4552" t="s">
        <v>112</v>
      </c>
      <c r="AB4552">
        <v>12</v>
      </c>
      <c r="AC4552" t="s">
        <v>113</v>
      </c>
      <c r="AD4552" t="s">
        <v>84</v>
      </c>
      <c r="AE4552" t="s">
        <v>43</v>
      </c>
      <c r="AF4552" t="s">
        <v>44</v>
      </c>
      <c r="AG4552" t="str">
        <f t="shared" si="105"/>
        <v>CC 12x</v>
      </c>
      <c r="AH4552" t="str">
        <f t="shared" si="106"/>
        <v/>
      </c>
    </row>
    <row r="4553" spans="1:34">
      <c r="A4553">
        <v>2026</v>
      </c>
      <c r="B4553">
        <v>5</v>
      </c>
      <c r="C4553" s="83">
        <v>2117984</v>
      </c>
      <c r="D4553" t="s">
        <v>3897</v>
      </c>
      <c r="E4553">
        <v>60034947421</v>
      </c>
      <c r="F4553">
        <v>534903</v>
      </c>
      <c r="G4553">
        <v>55189469801</v>
      </c>
      <c r="H4553" t="s">
        <v>35</v>
      </c>
      <c r="I4553" s="36">
        <v>4530.6000000000004</v>
      </c>
      <c r="J4553" s="36">
        <v>4530.6000000000004</v>
      </c>
      <c r="K4553" s="85">
        <v>0</v>
      </c>
      <c r="L4553" s="36">
        <v>377.55</v>
      </c>
      <c r="M4553" s="36">
        <v>0</v>
      </c>
      <c r="N4553" s="36">
        <v>29.25</v>
      </c>
      <c r="O4553" s="36">
        <v>348.3</v>
      </c>
      <c r="P4553" t="s">
        <v>127</v>
      </c>
      <c r="Q4553" t="s">
        <v>111</v>
      </c>
      <c r="R4553" t="s">
        <v>111</v>
      </c>
      <c r="S4553" s="112">
        <v>46153</v>
      </c>
      <c r="T4553" s="112">
        <v>46153</v>
      </c>
      <c r="U4553" s="112">
        <v>46154</v>
      </c>
      <c r="V4553" s="112">
        <v>46519</v>
      </c>
      <c r="W4553" t="s">
        <v>38</v>
      </c>
      <c r="X4553">
        <v>12</v>
      </c>
      <c r="Y4553" t="s">
        <v>49</v>
      </c>
      <c r="Z4553" t="s">
        <v>81</v>
      </c>
      <c r="AA4553" t="s">
        <v>117</v>
      </c>
      <c r="AB4553">
        <v>1</v>
      </c>
      <c r="AC4553" t="s">
        <v>113</v>
      </c>
      <c r="AD4553" t="s">
        <v>84</v>
      </c>
      <c r="AE4553" t="s">
        <v>43</v>
      </c>
      <c r="AF4553" t="s">
        <v>44</v>
      </c>
      <c r="AG4553" t="str">
        <f t="shared" si="105"/>
        <v>À Vista</v>
      </c>
      <c r="AH4553" t="str">
        <f t="shared" si="106"/>
        <v/>
      </c>
    </row>
    <row r="4554" spans="1:34">
      <c r="A4554">
        <v>2026</v>
      </c>
      <c r="B4554">
        <v>5</v>
      </c>
      <c r="C4554" s="83">
        <v>2126081</v>
      </c>
      <c r="D4554" t="s">
        <v>3898</v>
      </c>
      <c r="E4554">
        <v>60524986438</v>
      </c>
      <c r="F4554">
        <v>535528</v>
      </c>
      <c r="G4554">
        <v>55519462794</v>
      </c>
      <c r="H4554" t="s">
        <v>35</v>
      </c>
      <c r="I4554" s="36">
        <v>4530.6000000000004</v>
      </c>
      <c r="J4554" s="36">
        <v>4530.6000000000004</v>
      </c>
      <c r="K4554" s="85">
        <v>0</v>
      </c>
      <c r="L4554" s="36">
        <v>377.55</v>
      </c>
      <c r="M4554" s="36">
        <v>0</v>
      </c>
      <c r="N4554" s="36">
        <v>29.25</v>
      </c>
      <c r="O4554" s="36">
        <v>348.3</v>
      </c>
      <c r="P4554" t="s">
        <v>127</v>
      </c>
      <c r="Q4554" t="s">
        <v>111</v>
      </c>
      <c r="R4554" t="s">
        <v>111</v>
      </c>
      <c r="S4554" s="112">
        <v>46163</v>
      </c>
      <c r="T4554" s="112">
        <v>46163</v>
      </c>
      <c r="U4554" s="112">
        <v>46161</v>
      </c>
      <c r="V4554" s="112">
        <v>46528</v>
      </c>
      <c r="W4554" t="s">
        <v>38</v>
      </c>
      <c r="X4554">
        <v>12</v>
      </c>
      <c r="Y4554" t="s">
        <v>49</v>
      </c>
      <c r="Z4554" t="s">
        <v>81</v>
      </c>
      <c r="AA4554" t="s">
        <v>122</v>
      </c>
      <c r="AB4554">
        <v>12</v>
      </c>
      <c r="AC4554" t="s">
        <v>113</v>
      </c>
      <c r="AD4554" t="s">
        <v>84</v>
      </c>
      <c r="AE4554" t="s">
        <v>43</v>
      </c>
      <c r="AF4554" t="s">
        <v>44</v>
      </c>
      <c r="AG4554" t="str">
        <f t="shared" si="105"/>
        <v>Recorrente</v>
      </c>
      <c r="AH4554" t="str">
        <f t="shared" si="106"/>
        <v/>
      </c>
    </row>
    <row r="4555" spans="1:34">
      <c r="A4555">
        <v>2026</v>
      </c>
      <c r="B4555">
        <v>5</v>
      </c>
      <c r="C4555" s="83">
        <v>27987366658</v>
      </c>
      <c r="D4555" t="s">
        <v>3899</v>
      </c>
      <c r="E4555">
        <v>59227423099</v>
      </c>
      <c r="F4555">
        <v>629457</v>
      </c>
      <c r="G4555">
        <v>55645981269</v>
      </c>
      <c r="H4555" t="s">
        <v>35</v>
      </c>
      <c r="I4555" s="36">
        <v>4530.6000000000004</v>
      </c>
      <c r="J4555" s="36">
        <v>4530.6000000000004</v>
      </c>
      <c r="K4555" s="85">
        <v>0</v>
      </c>
      <c r="L4555" s="36">
        <v>377.55</v>
      </c>
      <c r="M4555" s="36">
        <v>0</v>
      </c>
      <c r="N4555" s="36">
        <v>29.25</v>
      </c>
      <c r="O4555" s="36">
        <v>348.3</v>
      </c>
      <c r="P4555" t="s">
        <v>127</v>
      </c>
      <c r="Q4555" t="s">
        <v>111</v>
      </c>
      <c r="R4555" t="s">
        <v>111</v>
      </c>
      <c r="S4555" s="112">
        <v>46169</v>
      </c>
      <c r="T4555" s="112">
        <v>46169</v>
      </c>
      <c r="U4555" s="112">
        <v>46150</v>
      </c>
      <c r="V4555" s="112">
        <v>46534</v>
      </c>
      <c r="W4555" t="s">
        <v>38</v>
      </c>
      <c r="X4555">
        <v>12</v>
      </c>
      <c r="Y4555" t="s">
        <v>49</v>
      </c>
      <c r="Z4555" t="s">
        <v>81</v>
      </c>
      <c r="AA4555" t="s">
        <v>122</v>
      </c>
      <c r="AB4555">
        <v>12</v>
      </c>
      <c r="AC4555" t="s">
        <v>113</v>
      </c>
      <c r="AD4555" t="s">
        <v>84</v>
      </c>
      <c r="AE4555" t="s">
        <v>43</v>
      </c>
      <c r="AF4555" t="s">
        <v>44</v>
      </c>
      <c r="AG4555" t="str">
        <f t="shared" si="105"/>
        <v>Recorrente</v>
      </c>
      <c r="AH4555" t="str">
        <f t="shared" si="106"/>
        <v/>
      </c>
    </row>
    <row r="4556" spans="1:34">
      <c r="A4556">
        <v>2026</v>
      </c>
      <c r="B4556">
        <v>5</v>
      </c>
      <c r="C4556" s="83">
        <v>31691287324</v>
      </c>
      <c r="D4556" t="s">
        <v>3900</v>
      </c>
      <c r="E4556">
        <v>60039890983</v>
      </c>
      <c r="F4556">
        <v>629284</v>
      </c>
      <c r="G4556">
        <v>55253089352</v>
      </c>
      <c r="H4556" t="s">
        <v>35</v>
      </c>
      <c r="I4556" s="36">
        <v>4530.6000000000004</v>
      </c>
      <c r="J4556" s="36">
        <v>4530.6000000000004</v>
      </c>
      <c r="K4556" s="85">
        <v>0</v>
      </c>
      <c r="L4556" s="36">
        <v>377.55</v>
      </c>
      <c r="M4556" s="36">
        <v>0</v>
      </c>
      <c r="N4556" s="36">
        <v>138.55000000000001</v>
      </c>
      <c r="O4556" s="36">
        <v>239</v>
      </c>
      <c r="P4556" t="s">
        <v>121</v>
      </c>
      <c r="Q4556" t="s">
        <v>111</v>
      </c>
      <c r="R4556" t="s">
        <v>111</v>
      </c>
      <c r="S4556" s="112">
        <v>46156</v>
      </c>
      <c r="T4556" s="112">
        <v>46156</v>
      </c>
      <c r="U4556" s="112">
        <v>46147</v>
      </c>
      <c r="V4556" s="112">
        <v>46521</v>
      </c>
      <c r="W4556" t="s">
        <v>38</v>
      </c>
      <c r="X4556">
        <v>12</v>
      </c>
      <c r="Y4556" t="s">
        <v>49</v>
      </c>
      <c r="Z4556" t="s">
        <v>76</v>
      </c>
      <c r="AA4556" t="s">
        <v>117</v>
      </c>
      <c r="AB4556">
        <v>1</v>
      </c>
      <c r="AC4556" t="s">
        <v>113</v>
      </c>
      <c r="AD4556" t="s">
        <v>84</v>
      </c>
      <c r="AE4556" t="s">
        <v>43</v>
      </c>
      <c r="AF4556" t="s">
        <v>44</v>
      </c>
      <c r="AG4556" t="str">
        <f t="shared" si="105"/>
        <v>À Vista</v>
      </c>
      <c r="AH4556" t="str">
        <f t="shared" si="106"/>
        <v/>
      </c>
    </row>
    <row r="4557" spans="1:34">
      <c r="A4557">
        <v>2026</v>
      </c>
      <c r="B4557">
        <v>5</v>
      </c>
      <c r="C4557" s="83">
        <v>54899805861</v>
      </c>
      <c r="D4557" t="s">
        <v>3901</v>
      </c>
      <c r="E4557">
        <v>60049799308</v>
      </c>
      <c r="F4557">
        <v>637715</v>
      </c>
      <c r="G4557">
        <v>55196502692</v>
      </c>
      <c r="H4557" t="s">
        <v>35</v>
      </c>
      <c r="I4557" s="36">
        <v>4530.6000000000004</v>
      </c>
      <c r="J4557" s="36">
        <v>4530.6000000000004</v>
      </c>
      <c r="K4557" s="85">
        <v>0</v>
      </c>
      <c r="L4557" s="36">
        <v>377.55</v>
      </c>
      <c r="M4557" s="36">
        <v>377.55</v>
      </c>
      <c r="N4557" s="36">
        <v>0</v>
      </c>
      <c r="O4557" s="36">
        <v>0</v>
      </c>
      <c r="P4557" t="s">
        <v>3179</v>
      </c>
      <c r="Q4557" t="s">
        <v>300</v>
      </c>
      <c r="R4557" t="s">
        <v>300</v>
      </c>
      <c r="S4557" s="112">
        <v>46153</v>
      </c>
      <c r="T4557" s="112">
        <v>46153</v>
      </c>
      <c r="U4557" s="112"/>
      <c r="V4557" s="112">
        <v>46518</v>
      </c>
      <c r="W4557" t="s">
        <v>38</v>
      </c>
      <c r="X4557">
        <v>12</v>
      </c>
      <c r="Y4557" t="s">
        <v>49</v>
      </c>
      <c r="AA4557" t="s">
        <v>112</v>
      </c>
      <c r="AB4557">
        <v>12</v>
      </c>
      <c r="AC4557" t="s">
        <v>301</v>
      </c>
      <c r="AD4557" t="s">
        <v>84</v>
      </c>
      <c r="AE4557" t="s">
        <v>43</v>
      </c>
      <c r="AF4557" t="s">
        <v>44</v>
      </c>
      <c r="AG4557" t="str">
        <f t="shared" si="105"/>
        <v>CC 12x</v>
      </c>
      <c r="AH4557" t="str">
        <f t="shared" si="106"/>
        <v/>
      </c>
    </row>
    <row r="4558" spans="1:34">
      <c r="A4558">
        <v>2026</v>
      </c>
      <c r="B4558">
        <v>5</v>
      </c>
      <c r="C4558" s="83">
        <v>55165718646</v>
      </c>
      <c r="D4558" t="s">
        <v>3902</v>
      </c>
      <c r="E4558">
        <v>60546111320</v>
      </c>
      <c r="F4558">
        <v>637948</v>
      </c>
      <c r="G4558">
        <v>55608032315</v>
      </c>
      <c r="H4558" t="s">
        <v>35</v>
      </c>
      <c r="I4558" s="36">
        <v>4530.6000000000004</v>
      </c>
      <c r="J4558" s="36">
        <v>4530.6000000000004</v>
      </c>
      <c r="K4558" s="85">
        <v>0</v>
      </c>
      <c r="L4558" s="36">
        <v>377.55</v>
      </c>
      <c r="M4558" s="36">
        <v>377.55</v>
      </c>
      <c r="N4558" s="36">
        <v>0</v>
      </c>
      <c r="O4558" s="36">
        <v>0</v>
      </c>
      <c r="P4558" t="s">
        <v>3179</v>
      </c>
      <c r="Q4558" t="s">
        <v>300</v>
      </c>
      <c r="R4558" t="s">
        <v>300</v>
      </c>
      <c r="S4558" s="112">
        <v>46167</v>
      </c>
      <c r="T4558" s="112">
        <v>46167</v>
      </c>
      <c r="U4558" s="112"/>
      <c r="V4558" s="112">
        <v>46532</v>
      </c>
      <c r="W4558" t="s">
        <v>38</v>
      </c>
      <c r="X4558">
        <v>12</v>
      </c>
      <c r="Y4558" t="s">
        <v>49</v>
      </c>
      <c r="AA4558" t="s">
        <v>122</v>
      </c>
      <c r="AB4558">
        <v>12</v>
      </c>
      <c r="AC4558" t="s">
        <v>301</v>
      </c>
      <c r="AD4558" t="s">
        <v>84</v>
      </c>
      <c r="AE4558" t="s">
        <v>43</v>
      </c>
      <c r="AF4558" t="s">
        <v>44</v>
      </c>
      <c r="AG4558" t="str">
        <f t="shared" si="105"/>
        <v>Recorrente</v>
      </c>
      <c r="AH4558" t="str">
        <f t="shared" si="106"/>
        <v/>
      </c>
    </row>
    <row r="4559" spans="1:34">
      <c r="A4559">
        <v>2026</v>
      </c>
      <c r="B4559">
        <v>5</v>
      </c>
      <c r="C4559" s="83">
        <v>2130558</v>
      </c>
      <c r="D4559" t="s">
        <v>3903</v>
      </c>
      <c r="E4559">
        <v>60715303220</v>
      </c>
      <c r="F4559">
        <v>512666</v>
      </c>
      <c r="G4559">
        <v>55686075464</v>
      </c>
      <c r="H4559" t="s">
        <v>35</v>
      </c>
      <c r="I4559" s="36">
        <v>4524.3</v>
      </c>
      <c r="J4559" s="36">
        <v>4524.3</v>
      </c>
      <c r="K4559" s="85">
        <v>0</v>
      </c>
      <c r="L4559" s="36">
        <v>377.02499999999998</v>
      </c>
      <c r="M4559" s="36">
        <v>0</v>
      </c>
      <c r="N4559" s="36">
        <v>44.475000000000001</v>
      </c>
      <c r="O4559" s="36">
        <v>332.55</v>
      </c>
      <c r="P4559" t="s">
        <v>323</v>
      </c>
      <c r="Q4559" t="s">
        <v>191</v>
      </c>
      <c r="R4559" t="s">
        <v>191</v>
      </c>
      <c r="S4559" s="112">
        <v>46171</v>
      </c>
      <c r="T4559" s="112">
        <v>46171</v>
      </c>
      <c r="U4559" s="112">
        <v>46188</v>
      </c>
      <c r="V4559" s="112">
        <v>46553</v>
      </c>
      <c r="W4559" t="s">
        <v>38</v>
      </c>
      <c r="X4559">
        <v>12</v>
      </c>
      <c r="Y4559" t="s">
        <v>49</v>
      </c>
      <c r="Z4559" t="s">
        <v>76</v>
      </c>
      <c r="AA4559" t="s">
        <v>122</v>
      </c>
      <c r="AB4559">
        <v>12</v>
      </c>
      <c r="AC4559" t="s">
        <v>192</v>
      </c>
      <c r="AD4559" t="s">
        <v>243</v>
      </c>
      <c r="AE4559" t="s">
        <v>95</v>
      </c>
      <c r="AF4559" t="s">
        <v>244</v>
      </c>
      <c r="AG4559" t="str">
        <f t="shared" si="105"/>
        <v>Recorrente</v>
      </c>
      <c r="AH4559" t="str">
        <f t="shared" si="106"/>
        <v/>
      </c>
    </row>
    <row r="4560" spans="1:34">
      <c r="A4560">
        <v>2026</v>
      </c>
      <c r="B4560">
        <v>5</v>
      </c>
      <c r="C4560" s="83">
        <v>2130558</v>
      </c>
      <c r="D4560" t="s">
        <v>3903</v>
      </c>
      <c r="E4560">
        <v>60715303220</v>
      </c>
      <c r="F4560">
        <v>512666</v>
      </c>
      <c r="G4560">
        <v>55686075465</v>
      </c>
      <c r="H4560" t="s">
        <v>35</v>
      </c>
      <c r="I4560" s="36">
        <v>4524.3</v>
      </c>
      <c r="J4560" s="36">
        <v>4524.3</v>
      </c>
      <c r="K4560" s="85">
        <v>0</v>
      </c>
      <c r="L4560" s="36">
        <v>377.02499999999998</v>
      </c>
      <c r="M4560" s="36">
        <v>0</v>
      </c>
      <c r="N4560" s="36">
        <v>44.475000000000001</v>
      </c>
      <c r="O4560" s="36">
        <v>332.55</v>
      </c>
      <c r="P4560" t="s">
        <v>323</v>
      </c>
      <c r="Q4560" t="s">
        <v>191</v>
      </c>
      <c r="R4560" t="s">
        <v>191</v>
      </c>
      <c r="S4560" s="112">
        <v>46171</v>
      </c>
      <c r="T4560" s="112">
        <v>46171</v>
      </c>
      <c r="U4560" s="112">
        <v>46188</v>
      </c>
      <c r="V4560" s="112">
        <v>46553</v>
      </c>
      <c r="W4560" t="s">
        <v>38</v>
      </c>
      <c r="X4560">
        <v>12</v>
      </c>
      <c r="Y4560" t="s">
        <v>49</v>
      </c>
      <c r="Z4560" t="s">
        <v>76</v>
      </c>
      <c r="AA4560" t="s">
        <v>122</v>
      </c>
      <c r="AB4560">
        <v>12</v>
      </c>
      <c r="AC4560" t="s">
        <v>192</v>
      </c>
      <c r="AD4560" t="s">
        <v>134</v>
      </c>
      <c r="AE4560" t="s">
        <v>135</v>
      </c>
      <c r="AF4560" t="s">
        <v>44</v>
      </c>
      <c r="AG4560" t="str">
        <f t="shared" si="105"/>
        <v>Recorrente</v>
      </c>
      <c r="AH4560" t="str">
        <f t="shared" si="106"/>
        <v/>
      </c>
    </row>
    <row r="4561" spans="1:34">
      <c r="A4561">
        <v>2026</v>
      </c>
      <c r="B4561">
        <v>5</v>
      </c>
      <c r="C4561" s="83">
        <v>142073320115</v>
      </c>
      <c r="D4561" t="s">
        <v>3904</v>
      </c>
      <c r="E4561">
        <v>60181505666</v>
      </c>
      <c r="F4561">
        <v>615972</v>
      </c>
      <c r="G4561">
        <v>55333607441</v>
      </c>
      <c r="H4561" t="s">
        <v>35</v>
      </c>
      <c r="I4561" s="36">
        <v>4464</v>
      </c>
      <c r="J4561" s="36">
        <v>4464</v>
      </c>
      <c r="K4561" s="85">
        <v>0</v>
      </c>
      <c r="L4561" s="36">
        <v>372</v>
      </c>
      <c r="M4561" s="36">
        <v>0</v>
      </c>
      <c r="N4561" s="36">
        <v>7.35</v>
      </c>
      <c r="O4561" s="36">
        <v>364.65</v>
      </c>
      <c r="P4561" t="s">
        <v>127</v>
      </c>
      <c r="Q4561" t="s">
        <v>111</v>
      </c>
      <c r="R4561" t="s">
        <v>111</v>
      </c>
      <c r="S4561" s="112">
        <v>46161</v>
      </c>
      <c r="T4561" s="112">
        <v>46161</v>
      </c>
      <c r="U4561" s="112">
        <v>46165</v>
      </c>
      <c r="V4561" s="112">
        <v>46530</v>
      </c>
      <c r="W4561" t="s">
        <v>38</v>
      </c>
      <c r="X4561">
        <v>12</v>
      </c>
      <c r="Y4561" t="s">
        <v>49</v>
      </c>
      <c r="Z4561" t="s">
        <v>81</v>
      </c>
      <c r="AA4561" t="s">
        <v>112</v>
      </c>
      <c r="AB4561">
        <v>12</v>
      </c>
      <c r="AC4561" t="s">
        <v>113</v>
      </c>
      <c r="AD4561" t="s">
        <v>138</v>
      </c>
      <c r="AE4561" t="s">
        <v>135</v>
      </c>
      <c r="AF4561" t="s">
        <v>119</v>
      </c>
      <c r="AG4561" t="str">
        <f t="shared" si="105"/>
        <v>CC 12x</v>
      </c>
      <c r="AH4561" t="str">
        <f t="shared" si="106"/>
        <v/>
      </c>
    </row>
    <row r="4562" spans="1:34">
      <c r="A4562">
        <v>2026</v>
      </c>
      <c r="B4562">
        <v>5</v>
      </c>
      <c r="C4562" s="83">
        <v>144525556866</v>
      </c>
      <c r="D4562" t="s">
        <v>1028</v>
      </c>
      <c r="E4562">
        <v>60688903447</v>
      </c>
      <c r="F4562">
        <v>638040</v>
      </c>
      <c r="G4562">
        <v>55660085385</v>
      </c>
      <c r="H4562" t="s">
        <v>35</v>
      </c>
      <c r="I4562" s="36">
        <v>4453.08</v>
      </c>
      <c r="J4562" s="36">
        <v>4453.0559999999996</v>
      </c>
      <c r="K4562" s="85">
        <v>2.4E-2</v>
      </c>
      <c r="L4562" s="36">
        <v>371.08800000000002</v>
      </c>
      <c r="M4562" s="36">
        <v>0</v>
      </c>
      <c r="N4562" s="36">
        <v>371.08800000000002</v>
      </c>
      <c r="O4562" s="36">
        <v>0</v>
      </c>
      <c r="P4562" t="s">
        <v>367</v>
      </c>
      <c r="Q4562" t="s">
        <v>191</v>
      </c>
      <c r="R4562" t="s">
        <v>191</v>
      </c>
      <c r="S4562" s="112">
        <v>46170</v>
      </c>
      <c r="T4562" s="112">
        <v>46170</v>
      </c>
      <c r="U4562" s="112"/>
      <c r="V4562" s="112">
        <v>46535</v>
      </c>
      <c r="W4562" t="s">
        <v>38</v>
      </c>
      <c r="X4562">
        <v>12</v>
      </c>
      <c r="Y4562" t="s">
        <v>49</v>
      </c>
      <c r="AA4562" t="s">
        <v>112</v>
      </c>
      <c r="AB4562">
        <v>12</v>
      </c>
      <c r="AC4562" t="s">
        <v>192</v>
      </c>
      <c r="AD4562" t="s">
        <v>163</v>
      </c>
      <c r="AE4562" t="s">
        <v>43</v>
      </c>
      <c r="AF4562" t="s">
        <v>96</v>
      </c>
      <c r="AG4562" t="str">
        <f t="shared" si="105"/>
        <v>CC 12x</v>
      </c>
      <c r="AH4562" t="str">
        <f t="shared" si="106"/>
        <v/>
      </c>
    </row>
    <row r="4563" spans="1:34">
      <c r="A4563">
        <v>2026</v>
      </c>
      <c r="B4563">
        <v>5</v>
      </c>
      <c r="C4563" s="83">
        <v>54711417624</v>
      </c>
      <c r="D4563" t="s">
        <v>3623</v>
      </c>
      <c r="E4563">
        <v>60010919995</v>
      </c>
      <c r="F4563">
        <v>638106</v>
      </c>
      <c r="G4563">
        <v>55687739679</v>
      </c>
      <c r="H4563" t="s">
        <v>35</v>
      </c>
      <c r="I4563" s="36">
        <v>4447.4399999999996</v>
      </c>
      <c r="J4563" s="36">
        <v>4447.4340000000002</v>
      </c>
      <c r="K4563" s="85">
        <v>6.0000000000000001E-3</v>
      </c>
      <c r="L4563" s="36">
        <v>370.61950000000002</v>
      </c>
      <c r="M4563" s="36">
        <v>370.61950000000002</v>
      </c>
      <c r="N4563" s="36">
        <v>0</v>
      </c>
      <c r="O4563" s="36">
        <v>0</v>
      </c>
      <c r="P4563" t="s">
        <v>90</v>
      </c>
      <c r="Q4563" t="s">
        <v>91</v>
      </c>
      <c r="R4563" t="s">
        <v>91</v>
      </c>
      <c r="S4563" s="112">
        <v>46172</v>
      </c>
      <c r="T4563" s="112">
        <v>46172</v>
      </c>
      <c r="U4563" s="112"/>
      <c r="V4563" s="112">
        <v>46554</v>
      </c>
      <c r="W4563" t="s">
        <v>38</v>
      </c>
      <c r="X4563">
        <v>13</v>
      </c>
      <c r="Y4563" t="s">
        <v>49</v>
      </c>
      <c r="AA4563" t="s">
        <v>92</v>
      </c>
      <c r="AB4563">
        <v>12</v>
      </c>
      <c r="AC4563" t="s">
        <v>93</v>
      </c>
      <c r="AD4563" t="s">
        <v>256</v>
      </c>
      <c r="AE4563" t="s">
        <v>257</v>
      </c>
      <c r="AF4563" t="s">
        <v>59</v>
      </c>
      <c r="AG4563" t="str">
        <f t="shared" si="105"/>
        <v>Recorrente</v>
      </c>
      <c r="AH4563" t="str">
        <f t="shared" si="106"/>
        <v/>
      </c>
    </row>
    <row r="4564" spans="1:34">
      <c r="A4564">
        <v>2026</v>
      </c>
      <c r="B4564">
        <v>5</v>
      </c>
      <c r="C4564" s="83">
        <v>131754945824</v>
      </c>
      <c r="D4564" t="s">
        <v>3905</v>
      </c>
      <c r="E4564">
        <v>60375808678</v>
      </c>
      <c r="F4564">
        <v>638032</v>
      </c>
      <c r="G4564">
        <v>55645999538</v>
      </c>
      <c r="H4564" t="s">
        <v>35</v>
      </c>
      <c r="I4564" s="36">
        <v>4411.2</v>
      </c>
      <c r="J4564" s="36">
        <v>4411.2</v>
      </c>
      <c r="K4564" s="85">
        <v>0</v>
      </c>
      <c r="L4564" s="36">
        <v>367.6</v>
      </c>
      <c r="M4564" s="36">
        <v>0</v>
      </c>
      <c r="N4564" s="36">
        <v>152.5</v>
      </c>
      <c r="O4564" s="36">
        <v>215.1</v>
      </c>
      <c r="P4564" t="s">
        <v>804</v>
      </c>
      <c r="Q4564" t="s">
        <v>191</v>
      </c>
      <c r="R4564" t="s">
        <v>191</v>
      </c>
      <c r="S4564" s="112">
        <v>46169</v>
      </c>
      <c r="T4564" s="112">
        <v>46170</v>
      </c>
      <c r="U4564" s="112"/>
      <c r="V4564" s="112">
        <v>46534</v>
      </c>
      <c r="W4564" t="s">
        <v>38</v>
      </c>
      <c r="Y4564" t="s">
        <v>49</v>
      </c>
      <c r="AA4564" t="s">
        <v>112</v>
      </c>
      <c r="AB4564">
        <v>12</v>
      </c>
      <c r="AC4564" t="s">
        <v>192</v>
      </c>
      <c r="AD4564" t="s">
        <v>138</v>
      </c>
      <c r="AE4564" t="s">
        <v>135</v>
      </c>
      <c r="AF4564" t="s">
        <v>119</v>
      </c>
      <c r="AG4564" t="str">
        <f t="shared" si="105"/>
        <v>CC 12x</v>
      </c>
      <c r="AH4564" t="str">
        <f t="shared" si="106"/>
        <v/>
      </c>
    </row>
    <row r="4565" spans="1:34">
      <c r="A4565">
        <v>2026</v>
      </c>
      <c r="B4565">
        <v>5</v>
      </c>
      <c r="C4565" s="83">
        <v>158416045752</v>
      </c>
      <c r="D4565" t="s">
        <v>3906</v>
      </c>
      <c r="E4565">
        <v>60327634614</v>
      </c>
      <c r="F4565">
        <v>637889</v>
      </c>
      <c r="G4565">
        <v>55412715319</v>
      </c>
      <c r="H4565" t="s">
        <v>35</v>
      </c>
      <c r="I4565" s="36">
        <v>4411.2</v>
      </c>
      <c r="J4565" s="36">
        <v>4411.2</v>
      </c>
      <c r="K4565" s="85">
        <v>0</v>
      </c>
      <c r="L4565" s="36">
        <v>367.6</v>
      </c>
      <c r="M4565" s="36">
        <v>367.6</v>
      </c>
      <c r="N4565" s="36">
        <v>0</v>
      </c>
      <c r="O4565" s="36">
        <v>0</v>
      </c>
      <c r="P4565" t="s">
        <v>2004</v>
      </c>
      <c r="Q4565" t="s">
        <v>300</v>
      </c>
      <c r="R4565" t="s">
        <v>300</v>
      </c>
      <c r="S4565" s="112">
        <v>46162</v>
      </c>
      <c r="T4565" s="112">
        <v>46162</v>
      </c>
      <c r="U4565" s="112"/>
      <c r="V4565" s="112">
        <v>46527</v>
      </c>
      <c r="W4565" t="s">
        <v>38</v>
      </c>
      <c r="X4565">
        <v>12</v>
      </c>
      <c r="Y4565" t="s">
        <v>49</v>
      </c>
      <c r="AA4565" t="s">
        <v>117</v>
      </c>
      <c r="AB4565">
        <v>1</v>
      </c>
      <c r="AC4565" t="s">
        <v>301</v>
      </c>
      <c r="AD4565" t="s">
        <v>138</v>
      </c>
      <c r="AE4565" t="s">
        <v>135</v>
      </c>
      <c r="AF4565" t="s">
        <v>119</v>
      </c>
      <c r="AG4565" t="str">
        <f t="shared" si="105"/>
        <v>À Vista</v>
      </c>
      <c r="AH4565" t="str">
        <f t="shared" si="106"/>
        <v/>
      </c>
    </row>
    <row r="4566" spans="1:34">
      <c r="A4566">
        <v>2026</v>
      </c>
      <c r="B4566">
        <v>5</v>
      </c>
      <c r="C4566" s="83">
        <v>222728754068</v>
      </c>
      <c r="D4566" t="s">
        <v>3907</v>
      </c>
      <c r="E4566">
        <v>60237617282</v>
      </c>
      <c r="F4566">
        <v>637777</v>
      </c>
      <c r="G4566">
        <v>55244706745</v>
      </c>
      <c r="H4566" t="s">
        <v>35</v>
      </c>
      <c r="I4566" s="36">
        <v>4411.2</v>
      </c>
      <c r="J4566" s="36">
        <v>4411.2</v>
      </c>
      <c r="K4566" s="85">
        <v>0</v>
      </c>
      <c r="L4566" s="36">
        <v>367.6</v>
      </c>
      <c r="M4566" s="36">
        <v>367.6</v>
      </c>
      <c r="N4566" s="36">
        <v>0</v>
      </c>
      <c r="O4566" s="36">
        <v>0</v>
      </c>
      <c r="P4566" t="s">
        <v>2004</v>
      </c>
      <c r="Q4566" t="s">
        <v>300</v>
      </c>
      <c r="R4566" t="s">
        <v>300</v>
      </c>
      <c r="S4566" s="112">
        <v>46155</v>
      </c>
      <c r="T4566" s="112">
        <v>46155</v>
      </c>
      <c r="U4566" s="112"/>
      <c r="V4566" s="112">
        <v>46886</v>
      </c>
      <c r="W4566" t="s">
        <v>56</v>
      </c>
      <c r="X4566">
        <v>24</v>
      </c>
      <c r="Y4566" t="s">
        <v>49</v>
      </c>
      <c r="AA4566" t="s">
        <v>122</v>
      </c>
      <c r="AB4566">
        <v>24</v>
      </c>
      <c r="AC4566" t="s">
        <v>301</v>
      </c>
      <c r="AD4566" t="s">
        <v>138</v>
      </c>
      <c r="AE4566" t="s">
        <v>135</v>
      </c>
      <c r="AF4566" t="s">
        <v>119</v>
      </c>
      <c r="AG4566" t="str">
        <f t="shared" si="105"/>
        <v>Recorrente</v>
      </c>
      <c r="AH4566" t="str">
        <f t="shared" si="106"/>
        <v/>
      </c>
    </row>
    <row r="4567" spans="1:34">
      <c r="A4567">
        <v>2026</v>
      </c>
      <c r="B4567">
        <v>5</v>
      </c>
      <c r="C4567" s="83">
        <v>54968052761</v>
      </c>
      <c r="D4567" t="s">
        <v>3908</v>
      </c>
      <c r="E4567">
        <v>60275538568</v>
      </c>
      <c r="F4567">
        <v>533771</v>
      </c>
      <c r="G4567">
        <v>55274339202</v>
      </c>
      <c r="H4567" t="s">
        <v>35</v>
      </c>
      <c r="I4567" s="36">
        <v>4411.2</v>
      </c>
      <c r="J4567" s="36">
        <v>4411.2</v>
      </c>
      <c r="K4567" s="85">
        <v>0</v>
      </c>
      <c r="L4567" s="36">
        <v>367.6</v>
      </c>
      <c r="M4567" s="36">
        <v>0</v>
      </c>
      <c r="N4567" s="36">
        <v>2.6</v>
      </c>
      <c r="O4567" s="36">
        <v>365</v>
      </c>
      <c r="P4567" t="s">
        <v>133</v>
      </c>
      <c r="Q4567" t="s">
        <v>111</v>
      </c>
      <c r="R4567" t="s">
        <v>111</v>
      </c>
      <c r="S4567" s="112">
        <v>46162</v>
      </c>
      <c r="T4567" s="112">
        <v>46162</v>
      </c>
      <c r="U4567" s="112">
        <v>46158</v>
      </c>
      <c r="V4567" s="112">
        <v>46527</v>
      </c>
      <c r="W4567" t="s">
        <v>38</v>
      </c>
      <c r="X4567">
        <v>12</v>
      </c>
      <c r="Y4567" t="s">
        <v>49</v>
      </c>
      <c r="Z4567" t="s">
        <v>81</v>
      </c>
      <c r="AA4567" t="s">
        <v>122</v>
      </c>
      <c r="AB4567">
        <v>12</v>
      </c>
      <c r="AC4567" t="s">
        <v>113</v>
      </c>
      <c r="AD4567" t="s">
        <v>138</v>
      </c>
      <c r="AE4567" t="s">
        <v>135</v>
      </c>
      <c r="AF4567" t="s">
        <v>119</v>
      </c>
      <c r="AG4567" t="str">
        <f t="shared" si="105"/>
        <v>Recorrente</v>
      </c>
      <c r="AH4567" t="str">
        <f t="shared" si="106"/>
        <v/>
      </c>
    </row>
    <row r="4568" spans="1:34">
      <c r="A4568">
        <v>2026</v>
      </c>
      <c r="B4568">
        <v>5</v>
      </c>
      <c r="C4568" s="83">
        <v>110338006410</v>
      </c>
      <c r="D4568" t="s">
        <v>3909</v>
      </c>
      <c r="E4568">
        <v>59955819424</v>
      </c>
      <c r="F4568">
        <v>508780</v>
      </c>
      <c r="G4568">
        <v>55196498615</v>
      </c>
      <c r="H4568" t="s">
        <v>35</v>
      </c>
      <c r="I4568" s="36">
        <v>4401.84</v>
      </c>
      <c r="J4568" s="36">
        <v>4401.84</v>
      </c>
      <c r="K4568" s="85">
        <v>0</v>
      </c>
      <c r="L4568" s="36">
        <v>366.82</v>
      </c>
      <c r="M4568" s="36">
        <v>0</v>
      </c>
      <c r="N4568" s="36">
        <v>58.78</v>
      </c>
      <c r="O4568" s="36">
        <v>308.04000000000002</v>
      </c>
      <c r="P4568" t="s">
        <v>162</v>
      </c>
      <c r="Q4568" t="s">
        <v>111</v>
      </c>
      <c r="R4568" t="s">
        <v>111</v>
      </c>
      <c r="S4568" s="112">
        <v>46154</v>
      </c>
      <c r="T4568" s="112">
        <v>46154</v>
      </c>
      <c r="U4568" s="112">
        <v>46143</v>
      </c>
      <c r="V4568" s="112">
        <v>46519</v>
      </c>
      <c r="W4568" t="s">
        <v>38</v>
      </c>
      <c r="X4568">
        <v>12</v>
      </c>
      <c r="Y4568" t="s">
        <v>49</v>
      </c>
      <c r="Z4568" t="s">
        <v>81</v>
      </c>
      <c r="AA4568" t="s">
        <v>112</v>
      </c>
      <c r="AB4568">
        <v>12</v>
      </c>
      <c r="AC4568" t="s">
        <v>113</v>
      </c>
      <c r="AD4568" t="s">
        <v>85</v>
      </c>
      <c r="AE4568" t="s">
        <v>46</v>
      </c>
      <c r="AF4568" t="s">
        <v>44</v>
      </c>
      <c r="AG4568" t="str">
        <f t="shared" si="105"/>
        <v>CC 12x</v>
      </c>
      <c r="AH4568" t="str">
        <f t="shared" si="106"/>
        <v/>
      </c>
    </row>
    <row r="4569" spans="1:34">
      <c r="A4569">
        <v>2026</v>
      </c>
      <c r="B4569">
        <v>5</v>
      </c>
      <c r="C4569" s="83">
        <v>154534264188</v>
      </c>
      <c r="D4569" t="s">
        <v>3910</v>
      </c>
      <c r="E4569">
        <v>59447315297</v>
      </c>
      <c r="F4569">
        <v>613923</v>
      </c>
      <c r="G4569">
        <v>55479008120</v>
      </c>
      <c r="H4569" t="s">
        <v>35</v>
      </c>
      <c r="I4569" s="36">
        <v>4401.84</v>
      </c>
      <c r="J4569" s="36">
        <v>4401.84</v>
      </c>
      <c r="K4569" s="85">
        <v>0</v>
      </c>
      <c r="L4569" s="36">
        <v>366.82</v>
      </c>
      <c r="M4569" s="36">
        <v>0</v>
      </c>
      <c r="N4569" s="36">
        <v>61.037500000000001</v>
      </c>
      <c r="O4569" s="36">
        <v>305.77999999999997</v>
      </c>
      <c r="P4569" t="s">
        <v>110</v>
      </c>
      <c r="Q4569" t="s">
        <v>111</v>
      </c>
      <c r="R4569" t="s">
        <v>111</v>
      </c>
      <c r="S4569" s="112">
        <v>46163</v>
      </c>
      <c r="T4569" s="112">
        <v>46163</v>
      </c>
      <c r="U4569" s="112">
        <v>46164</v>
      </c>
      <c r="V4569" s="112">
        <v>46529</v>
      </c>
      <c r="W4569" t="s">
        <v>38</v>
      </c>
      <c r="X4569">
        <v>12</v>
      </c>
      <c r="Y4569" t="s">
        <v>49</v>
      </c>
      <c r="Z4569" t="s">
        <v>81</v>
      </c>
      <c r="AA4569" t="s">
        <v>112</v>
      </c>
      <c r="AB4569">
        <v>12</v>
      </c>
      <c r="AC4569" t="s">
        <v>113</v>
      </c>
      <c r="AD4569" t="s">
        <v>85</v>
      </c>
      <c r="AE4569" t="s">
        <v>46</v>
      </c>
      <c r="AF4569" t="s">
        <v>44</v>
      </c>
      <c r="AG4569" t="str">
        <f t="shared" si="105"/>
        <v>CC 12x</v>
      </c>
      <c r="AH4569" t="str">
        <f t="shared" si="106"/>
        <v/>
      </c>
    </row>
    <row r="4570" spans="1:34">
      <c r="A4570">
        <v>2026</v>
      </c>
      <c r="B4570">
        <v>5</v>
      </c>
      <c r="C4570" s="83">
        <v>19435599778</v>
      </c>
      <c r="D4570" t="s">
        <v>3911</v>
      </c>
      <c r="E4570">
        <v>59386428022</v>
      </c>
      <c r="F4570">
        <v>314217</v>
      </c>
      <c r="G4570">
        <v>55059824962</v>
      </c>
      <c r="H4570" t="s">
        <v>35</v>
      </c>
      <c r="I4570" s="36">
        <v>4401.84</v>
      </c>
      <c r="J4570" s="36">
        <v>4401.84</v>
      </c>
      <c r="K4570" s="85">
        <v>0</v>
      </c>
      <c r="L4570" s="36">
        <v>366.82</v>
      </c>
      <c r="M4570" s="36">
        <v>0</v>
      </c>
      <c r="N4570" s="36">
        <v>40.152295000000002</v>
      </c>
      <c r="O4570" s="36">
        <v>326.67</v>
      </c>
      <c r="P4570" t="s">
        <v>116</v>
      </c>
      <c r="Q4570" t="s">
        <v>111</v>
      </c>
      <c r="R4570" t="s">
        <v>111</v>
      </c>
      <c r="S4570" s="112">
        <v>46147</v>
      </c>
      <c r="T4570" s="112">
        <v>46147</v>
      </c>
      <c r="U4570" s="112">
        <v>46146</v>
      </c>
      <c r="V4570" s="112">
        <v>46512</v>
      </c>
      <c r="W4570" t="s">
        <v>38</v>
      </c>
      <c r="X4570">
        <v>12</v>
      </c>
      <c r="Y4570" t="s">
        <v>49</v>
      </c>
      <c r="Z4570" t="s">
        <v>81</v>
      </c>
      <c r="AA4570" t="s">
        <v>112</v>
      </c>
      <c r="AB4570">
        <v>12</v>
      </c>
      <c r="AC4570" t="s">
        <v>113</v>
      </c>
      <c r="AD4570" t="s">
        <v>85</v>
      </c>
      <c r="AE4570" t="s">
        <v>46</v>
      </c>
      <c r="AF4570" t="s">
        <v>44</v>
      </c>
      <c r="AG4570" t="str">
        <f t="shared" si="105"/>
        <v>CC 12x</v>
      </c>
      <c r="AH4570" t="str">
        <f t="shared" si="106"/>
        <v/>
      </c>
    </row>
    <row r="4571" spans="1:34">
      <c r="A4571">
        <v>2026</v>
      </c>
      <c r="B4571">
        <v>5</v>
      </c>
      <c r="C4571" s="83">
        <v>19435617070</v>
      </c>
      <c r="D4571" t="s">
        <v>3912</v>
      </c>
      <c r="E4571">
        <v>60034833525</v>
      </c>
      <c r="F4571">
        <v>315335</v>
      </c>
      <c r="G4571">
        <v>55519565598</v>
      </c>
      <c r="H4571" t="s">
        <v>35</v>
      </c>
      <c r="I4571" s="36">
        <v>4401.84</v>
      </c>
      <c r="J4571" s="36">
        <v>4401.84</v>
      </c>
      <c r="K4571" s="85">
        <v>0</v>
      </c>
      <c r="L4571" s="36">
        <v>366.82</v>
      </c>
      <c r="M4571" s="36">
        <v>0</v>
      </c>
      <c r="N4571" s="36">
        <v>4.4175000000000004</v>
      </c>
      <c r="O4571" s="36">
        <v>362.4</v>
      </c>
      <c r="P4571" t="s">
        <v>162</v>
      </c>
      <c r="Q4571" t="s">
        <v>111</v>
      </c>
      <c r="R4571" t="s">
        <v>111</v>
      </c>
      <c r="S4571" s="112">
        <v>46164</v>
      </c>
      <c r="T4571" s="112">
        <v>46164</v>
      </c>
      <c r="U4571" s="112">
        <v>46164</v>
      </c>
      <c r="V4571" s="112">
        <v>46529</v>
      </c>
      <c r="W4571" t="s">
        <v>38</v>
      </c>
      <c r="X4571">
        <v>12</v>
      </c>
      <c r="Y4571" t="s">
        <v>49</v>
      </c>
      <c r="Z4571" t="s">
        <v>81</v>
      </c>
      <c r="AA4571" t="s">
        <v>117</v>
      </c>
      <c r="AB4571">
        <v>1</v>
      </c>
      <c r="AC4571" t="s">
        <v>113</v>
      </c>
      <c r="AD4571" t="s">
        <v>85</v>
      </c>
      <c r="AE4571" t="s">
        <v>46</v>
      </c>
      <c r="AF4571" t="s">
        <v>44</v>
      </c>
      <c r="AG4571" t="str">
        <f t="shared" si="105"/>
        <v>À Vista</v>
      </c>
      <c r="AH4571" t="str">
        <f t="shared" si="106"/>
        <v/>
      </c>
    </row>
    <row r="4572" spans="1:34">
      <c r="A4572">
        <v>2026</v>
      </c>
      <c r="B4572">
        <v>5</v>
      </c>
      <c r="C4572" s="83">
        <v>119682553515</v>
      </c>
      <c r="D4572" t="s">
        <v>3913</v>
      </c>
      <c r="E4572">
        <v>60353340739</v>
      </c>
      <c r="F4572">
        <v>534689</v>
      </c>
      <c r="G4572">
        <v>55340525934</v>
      </c>
      <c r="H4572" t="s">
        <v>35</v>
      </c>
      <c r="I4572" s="36">
        <v>4380.84</v>
      </c>
      <c r="J4572" s="36">
        <v>4380.84</v>
      </c>
      <c r="K4572" s="85">
        <v>0</v>
      </c>
      <c r="L4572" s="36">
        <v>365.07</v>
      </c>
      <c r="M4572" s="36">
        <v>0</v>
      </c>
      <c r="N4572" s="36">
        <v>17.425000000000001</v>
      </c>
      <c r="O4572" s="36">
        <v>347.65</v>
      </c>
      <c r="P4572" t="s">
        <v>133</v>
      </c>
      <c r="Q4572" t="s">
        <v>111</v>
      </c>
      <c r="R4572" t="s">
        <v>111</v>
      </c>
      <c r="S4572" s="112">
        <v>46162</v>
      </c>
      <c r="T4572" s="112">
        <v>46162</v>
      </c>
      <c r="U4572" s="112">
        <v>46153</v>
      </c>
      <c r="V4572" s="112">
        <v>46527</v>
      </c>
      <c r="W4572" t="s">
        <v>38</v>
      </c>
      <c r="X4572">
        <v>12</v>
      </c>
      <c r="Y4572" t="s">
        <v>49</v>
      </c>
      <c r="Z4572" t="s">
        <v>81</v>
      </c>
      <c r="AA4572" t="s">
        <v>122</v>
      </c>
      <c r="AB4572">
        <v>12</v>
      </c>
      <c r="AC4572" t="s">
        <v>113</v>
      </c>
      <c r="AD4572" t="s">
        <v>163</v>
      </c>
      <c r="AE4572" t="s">
        <v>43</v>
      </c>
      <c r="AF4572" t="s">
        <v>96</v>
      </c>
      <c r="AG4572" t="str">
        <f t="shared" si="105"/>
        <v>Recorrente</v>
      </c>
      <c r="AH4572" t="str">
        <f t="shared" si="106"/>
        <v/>
      </c>
    </row>
    <row r="4573" spans="1:34">
      <c r="A4573">
        <v>2026</v>
      </c>
      <c r="B4573">
        <v>5</v>
      </c>
      <c r="C4573" s="83">
        <v>104250565303</v>
      </c>
      <c r="D4573" t="s">
        <v>3914</v>
      </c>
      <c r="E4573">
        <v>60622391193</v>
      </c>
      <c r="F4573">
        <v>506248</v>
      </c>
      <c r="G4573">
        <v>55607228815</v>
      </c>
      <c r="H4573" t="s">
        <v>35</v>
      </c>
      <c r="I4573" s="36">
        <v>4373.04</v>
      </c>
      <c r="J4573" s="36">
        <v>4373.04</v>
      </c>
      <c r="K4573" s="85">
        <v>0</v>
      </c>
      <c r="L4573" s="36">
        <v>364.42</v>
      </c>
      <c r="M4573" s="36">
        <v>0</v>
      </c>
      <c r="N4573" s="36">
        <v>41.66</v>
      </c>
      <c r="O4573" s="36">
        <v>322.76</v>
      </c>
      <c r="P4573" t="s">
        <v>116</v>
      </c>
      <c r="Q4573" t="s">
        <v>111</v>
      </c>
      <c r="R4573" t="s">
        <v>111</v>
      </c>
      <c r="S4573" s="112">
        <v>46167</v>
      </c>
      <c r="T4573" s="112">
        <v>46167</v>
      </c>
      <c r="U4573" s="112">
        <v>46080</v>
      </c>
      <c r="V4573" s="112">
        <v>46532</v>
      </c>
      <c r="W4573" t="s">
        <v>38</v>
      </c>
      <c r="X4573">
        <v>15</v>
      </c>
      <c r="Y4573" t="s">
        <v>49</v>
      </c>
      <c r="Z4573" t="s">
        <v>81</v>
      </c>
      <c r="AA4573" t="s">
        <v>122</v>
      </c>
      <c r="AB4573">
        <v>12</v>
      </c>
      <c r="AC4573" t="s">
        <v>113</v>
      </c>
      <c r="AD4573" t="s">
        <v>85</v>
      </c>
      <c r="AE4573" t="s">
        <v>46</v>
      </c>
      <c r="AF4573" t="s">
        <v>44</v>
      </c>
      <c r="AG4573" t="str">
        <f t="shared" si="105"/>
        <v>Recorrente</v>
      </c>
      <c r="AH4573" t="str">
        <f t="shared" si="106"/>
        <v/>
      </c>
    </row>
    <row r="4574" spans="1:34">
      <c r="A4574">
        <v>2026</v>
      </c>
      <c r="B4574">
        <v>5</v>
      </c>
      <c r="C4574" s="83">
        <v>19435726676</v>
      </c>
      <c r="D4574" t="s">
        <v>3915</v>
      </c>
      <c r="E4574">
        <v>58654552444</v>
      </c>
      <c r="F4574">
        <v>533689</v>
      </c>
      <c r="G4574">
        <v>55191219306</v>
      </c>
      <c r="H4574" t="s">
        <v>35</v>
      </c>
      <c r="I4574" s="36">
        <v>4355.04</v>
      </c>
      <c r="J4574" s="36">
        <v>4355.04</v>
      </c>
      <c r="K4574" s="85">
        <v>0</v>
      </c>
      <c r="L4574" s="36">
        <v>362.92</v>
      </c>
      <c r="M4574" s="36">
        <v>0</v>
      </c>
      <c r="N4574" s="36">
        <v>0</v>
      </c>
      <c r="O4574" s="36">
        <v>362.92250000000001</v>
      </c>
      <c r="P4574" t="s">
        <v>137</v>
      </c>
      <c r="Q4574" t="s">
        <v>111</v>
      </c>
      <c r="R4574" t="s">
        <v>111</v>
      </c>
      <c r="S4574" s="112">
        <v>46154</v>
      </c>
      <c r="T4574" s="112">
        <v>46154</v>
      </c>
      <c r="U4574" s="112">
        <v>46158</v>
      </c>
      <c r="V4574" s="112">
        <v>46523</v>
      </c>
      <c r="W4574" t="s">
        <v>38</v>
      </c>
      <c r="X4574">
        <v>12</v>
      </c>
      <c r="Y4574" t="s">
        <v>49</v>
      </c>
      <c r="Z4574" t="s">
        <v>81</v>
      </c>
      <c r="AA4574" t="s">
        <v>117</v>
      </c>
      <c r="AB4574">
        <v>1</v>
      </c>
      <c r="AC4574" t="s">
        <v>113</v>
      </c>
      <c r="AD4574" t="s">
        <v>362</v>
      </c>
      <c r="AE4574" t="s">
        <v>363</v>
      </c>
      <c r="AF4574" t="s">
        <v>59</v>
      </c>
      <c r="AG4574" t="str">
        <f t="shared" si="105"/>
        <v>À Vista</v>
      </c>
      <c r="AH4574" t="str">
        <f t="shared" si="106"/>
        <v/>
      </c>
    </row>
    <row r="4575" spans="1:34">
      <c r="A4575">
        <v>2026</v>
      </c>
      <c r="B4575">
        <v>5</v>
      </c>
      <c r="C4575" s="83">
        <v>216669752143</v>
      </c>
      <c r="D4575" t="s">
        <v>3916</v>
      </c>
      <c r="E4575">
        <v>60623333427</v>
      </c>
      <c r="F4575">
        <v>628740</v>
      </c>
      <c r="G4575">
        <v>55609887417</v>
      </c>
      <c r="H4575" t="s">
        <v>35</v>
      </c>
      <c r="I4575" s="36">
        <v>4329.3599999999997</v>
      </c>
      <c r="J4575" s="36">
        <v>4329.3599999999997</v>
      </c>
      <c r="K4575" s="85">
        <v>0</v>
      </c>
      <c r="L4575" s="36">
        <v>360.78</v>
      </c>
      <c r="M4575" s="36">
        <v>0</v>
      </c>
      <c r="N4575" s="36">
        <v>0</v>
      </c>
      <c r="O4575" s="36">
        <v>360.78</v>
      </c>
      <c r="P4575" t="s">
        <v>121</v>
      </c>
      <c r="Q4575" t="s">
        <v>111</v>
      </c>
      <c r="R4575" t="s">
        <v>111</v>
      </c>
      <c r="S4575" s="112">
        <v>46167</v>
      </c>
      <c r="T4575" s="112">
        <v>46167</v>
      </c>
      <c r="U4575" s="112">
        <v>46127</v>
      </c>
      <c r="V4575" s="112">
        <v>46532</v>
      </c>
      <c r="W4575" t="s">
        <v>38</v>
      </c>
      <c r="X4575">
        <v>13</v>
      </c>
      <c r="Y4575" t="s">
        <v>49</v>
      </c>
      <c r="Z4575" t="s">
        <v>81</v>
      </c>
      <c r="AA4575" t="s">
        <v>122</v>
      </c>
      <c r="AB4575">
        <v>12</v>
      </c>
      <c r="AC4575" t="s">
        <v>113</v>
      </c>
      <c r="AD4575" t="s">
        <v>163</v>
      </c>
      <c r="AE4575" t="s">
        <v>43</v>
      </c>
      <c r="AF4575" t="s">
        <v>96</v>
      </c>
      <c r="AG4575" t="str">
        <f t="shared" si="105"/>
        <v>Recorrente</v>
      </c>
      <c r="AH4575" t="str">
        <f t="shared" si="106"/>
        <v/>
      </c>
    </row>
    <row r="4576" spans="1:34">
      <c r="A4576">
        <v>2026</v>
      </c>
      <c r="B4576">
        <v>5</v>
      </c>
      <c r="C4576" s="83">
        <v>142161160555</v>
      </c>
      <c r="D4576" t="s">
        <v>3917</v>
      </c>
      <c r="E4576">
        <v>58172694877</v>
      </c>
      <c r="F4576">
        <v>314109</v>
      </c>
      <c r="G4576">
        <v>53371191481</v>
      </c>
      <c r="H4576" t="s">
        <v>35</v>
      </c>
      <c r="I4576" s="36">
        <v>4315.4399999999996</v>
      </c>
      <c r="J4576" s="36">
        <v>4315.4399999999996</v>
      </c>
      <c r="K4576" s="85">
        <v>0</v>
      </c>
      <c r="L4576" s="36">
        <v>359.62</v>
      </c>
      <c r="M4576" s="36">
        <v>0</v>
      </c>
      <c r="N4576" s="36">
        <v>0</v>
      </c>
      <c r="O4576" s="36">
        <v>359.625</v>
      </c>
      <c r="P4576" t="s">
        <v>165</v>
      </c>
      <c r="Q4576" t="s">
        <v>166</v>
      </c>
      <c r="R4576" t="s">
        <v>166</v>
      </c>
      <c r="S4576" s="112">
        <v>46145</v>
      </c>
      <c r="T4576" s="112">
        <v>46145</v>
      </c>
      <c r="U4576" s="112">
        <v>46145</v>
      </c>
      <c r="V4576" s="112">
        <v>46510</v>
      </c>
      <c r="W4576" t="s">
        <v>38</v>
      </c>
      <c r="X4576">
        <v>12</v>
      </c>
      <c r="Y4576" t="s">
        <v>49</v>
      </c>
      <c r="Z4576" t="s">
        <v>81</v>
      </c>
      <c r="AA4576" t="s">
        <v>112</v>
      </c>
      <c r="AB4576">
        <v>12</v>
      </c>
      <c r="AC4576" t="s">
        <v>166</v>
      </c>
      <c r="AD4576" t="s">
        <v>85</v>
      </c>
      <c r="AE4576" t="s">
        <v>46</v>
      </c>
      <c r="AF4576" t="s">
        <v>44</v>
      </c>
      <c r="AG4576" t="str">
        <f t="shared" si="105"/>
        <v>CC 12x</v>
      </c>
      <c r="AH4576" t="str">
        <f t="shared" si="106"/>
        <v/>
      </c>
    </row>
    <row r="4577" spans="1:34">
      <c r="A4577">
        <v>2026</v>
      </c>
      <c r="B4577">
        <v>5</v>
      </c>
      <c r="C4577" s="83">
        <v>190945686791</v>
      </c>
      <c r="D4577" t="s">
        <v>3918</v>
      </c>
      <c r="E4577">
        <v>59238848947</v>
      </c>
      <c r="F4577">
        <v>313758</v>
      </c>
      <c r="G4577">
        <v>55324637526</v>
      </c>
      <c r="H4577" t="s">
        <v>35</v>
      </c>
      <c r="I4577" s="36">
        <v>4315.4399999999996</v>
      </c>
      <c r="J4577" s="36">
        <v>4315.4399999999996</v>
      </c>
      <c r="K4577" s="85">
        <v>0</v>
      </c>
      <c r="L4577" s="36">
        <v>359.62</v>
      </c>
      <c r="M4577" s="36">
        <v>0</v>
      </c>
      <c r="N4577" s="36">
        <v>42.524999999999999</v>
      </c>
      <c r="O4577" s="36">
        <v>317.10000000000002</v>
      </c>
      <c r="P4577" t="s">
        <v>133</v>
      </c>
      <c r="Q4577" t="s">
        <v>111</v>
      </c>
      <c r="R4577" t="s">
        <v>111</v>
      </c>
      <c r="S4577" s="112">
        <v>46160</v>
      </c>
      <c r="T4577" s="112">
        <v>46160</v>
      </c>
      <c r="U4577" s="112">
        <v>46159</v>
      </c>
      <c r="V4577" s="112">
        <v>46525</v>
      </c>
      <c r="W4577" t="s">
        <v>38</v>
      </c>
      <c r="X4577">
        <v>12</v>
      </c>
      <c r="Y4577" t="s">
        <v>49</v>
      </c>
      <c r="Z4577" t="s">
        <v>81</v>
      </c>
      <c r="AA4577" t="s">
        <v>112</v>
      </c>
      <c r="AB4577">
        <v>12</v>
      </c>
      <c r="AC4577" t="s">
        <v>113</v>
      </c>
      <c r="AD4577" t="s">
        <v>85</v>
      </c>
      <c r="AE4577" t="s">
        <v>46</v>
      </c>
      <c r="AF4577" t="s">
        <v>44</v>
      </c>
      <c r="AG4577" t="str">
        <f t="shared" si="105"/>
        <v>CC 12x</v>
      </c>
      <c r="AH4577" t="str">
        <f t="shared" si="106"/>
        <v/>
      </c>
    </row>
    <row r="4578" spans="1:34">
      <c r="A4578">
        <v>2026</v>
      </c>
      <c r="B4578">
        <v>5</v>
      </c>
      <c r="C4578" s="83">
        <v>2072385</v>
      </c>
      <c r="D4578" t="s">
        <v>3919</v>
      </c>
      <c r="E4578">
        <v>59165978165</v>
      </c>
      <c r="F4578">
        <v>316734</v>
      </c>
      <c r="G4578">
        <v>54290827942</v>
      </c>
      <c r="H4578" t="s">
        <v>35</v>
      </c>
      <c r="I4578" s="36">
        <v>4315.4399999999996</v>
      </c>
      <c r="J4578" s="36">
        <v>4315.4399999999996</v>
      </c>
      <c r="K4578" s="85">
        <v>0</v>
      </c>
      <c r="L4578" s="36">
        <v>359.62</v>
      </c>
      <c r="M4578" s="36">
        <v>0</v>
      </c>
      <c r="N4578" s="36">
        <v>65.098912999999996</v>
      </c>
      <c r="O4578" s="36">
        <v>294.52608700000002</v>
      </c>
      <c r="P4578" t="s">
        <v>165</v>
      </c>
      <c r="Q4578" t="s">
        <v>166</v>
      </c>
      <c r="R4578" t="s">
        <v>166</v>
      </c>
      <c r="S4578" s="112">
        <v>46169</v>
      </c>
      <c r="T4578" s="112">
        <v>46169</v>
      </c>
      <c r="U4578" s="112">
        <v>46172</v>
      </c>
      <c r="V4578" s="112">
        <v>46537</v>
      </c>
      <c r="W4578" t="s">
        <v>38</v>
      </c>
      <c r="X4578">
        <v>12</v>
      </c>
      <c r="Y4578" t="s">
        <v>49</v>
      </c>
      <c r="Z4578" t="s">
        <v>81</v>
      </c>
      <c r="AA4578" t="s">
        <v>122</v>
      </c>
      <c r="AB4578">
        <v>24</v>
      </c>
      <c r="AC4578" t="s">
        <v>166</v>
      </c>
      <c r="AD4578" t="s">
        <v>85</v>
      </c>
      <c r="AE4578" t="s">
        <v>46</v>
      </c>
      <c r="AF4578" t="s">
        <v>44</v>
      </c>
      <c r="AG4578" t="str">
        <f t="shared" si="105"/>
        <v>Recorrente</v>
      </c>
      <c r="AH4578" t="str">
        <f t="shared" si="106"/>
        <v/>
      </c>
    </row>
    <row r="4579" spans="1:34">
      <c r="A4579">
        <v>2026</v>
      </c>
      <c r="B4579">
        <v>5</v>
      </c>
      <c r="C4579" s="83">
        <v>216257852446</v>
      </c>
      <c r="D4579" t="s">
        <v>3920</v>
      </c>
      <c r="E4579">
        <v>58828502530</v>
      </c>
      <c r="F4579">
        <v>328195</v>
      </c>
      <c r="G4579">
        <v>54379633471</v>
      </c>
      <c r="H4579" t="s">
        <v>35</v>
      </c>
      <c r="I4579" s="36">
        <v>4315.4399999999996</v>
      </c>
      <c r="J4579" s="36">
        <v>4315.4399999999996</v>
      </c>
      <c r="K4579" s="85">
        <v>0</v>
      </c>
      <c r="L4579" s="36">
        <v>359.62</v>
      </c>
      <c r="M4579" s="36">
        <v>0</v>
      </c>
      <c r="N4579" s="36">
        <v>13.074999999999999</v>
      </c>
      <c r="O4579" s="36">
        <v>346.55</v>
      </c>
      <c r="P4579" t="s">
        <v>133</v>
      </c>
      <c r="Q4579" t="s">
        <v>111</v>
      </c>
      <c r="R4579" t="s">
        <v>111</v>
      </c>
      <c r="S4579" s="112">
        <v>46136</v>
      </c>
      <c r="T4579" s="112">
        <v>46143</v>
      </c>
      <c r="U4579" s="112">
        <v>46146</v>
      </c>
      <c r="V4579" s="112">
        <v>46511</v>
      </c>
      <c r="W4579" t="s">
        <v>38</v>
      </c>
      <c r="X4579">
        <v>12</v>
      </c>
      <c r="Y4579" t="s">
        <v>49</v>
      </c>
      <c r="Z4579" t="s">
        <v>81</v>
      </c>
      <c r="AA4579" t="s">
        <v>112</v>
      </c>
      <c r="AB4579">
        <v>12</v>
      </c>
      <c r="AC4579" t="s">
        <v>113</v>
      </c>
      <c r="AD4579" t="s">
        <v>85</v>
      </c>
      <c r="AE4579" t="s">
        <v>46</v>
      </c>
      <c r="AF4579" t="s">
        <v>44</v>
      </c>
      <c r="AG4579" t="str">
        <f t="shared" si="105"/>
        <v>CC 12x</v>
      </c>
      <c r="AH4579" t="str">
        <f t="shared" si="106"/>
        <v/>
      </c>
    </row>
    <row r="4580" spans="1:34">
      <c r="A4580">
        <v>2026</v>
      </c>
      <c r="B4580">
        <v>5</v>
      </c>
      <c r="C4580" s="83">
        <v>34779903605</v>
      </c>
      <c r="D4580" t="s">
        <v>3921</v>
      </c>
      <c r="E4580">
        <v>60053710929</v>
      </c>
      <c r="F4580">
        <v>616747</v>
      </c>
      <c r="G4580">
        <v>55078089069</v>
      </c>
      <c r="H4580" t="s">
        <v>35</v>
      </c>
      <c r="I4580" s="36">
        <v>4314</v>
      </c>
      <c r="J4580" s="36">
        <v>4314</v>
      </c>
      <c r="K4580" s="85">
        <v>0</v>
      </c>
      <c r="L4580" s="36">
        <v>359.5</v>
      </c>
      <c r="M4580" s="36">
        <v>0</v>
      </c>
      <c r="N4580" s="36">
        <v>140.41999999999999</v>
      </c>
      <c r="O4580" s="36">
        <v>219.08</v>
      </c>
      <c r="P4580" t="s">
        <v>804</v>
      </c>
      <c r="Q4580" t="s">
        <v>191</v>
      </c>
      <c r="R4580" t="s">
        <v>191</v>
      </c>
      <c r="S4580" s="112">
        <v>46149</v>
      </c>
      <c r="T4580" s="112">
        <v>46149</v>
      </c>
      <c r="U4580" s="112">
        <v>46180</v>
      </c>
      <c r="V4580" s="112">
        <v>46545</v>
      </c>
      <c r="W4580" t="s">
        <v>38</v>
      </c>
      <c r="X4580">
        <v>12</v>
      </c>
      <c r="Y4580" t="s">
        <v>49</v>
      </c>
      <c r="Z4580" t="s">
        <v>76</v>
      </c>
      <c r="AA4580" t="s">
        <v>122</v>
      </c>
      <c r="AB4580">
        <v>12</v>
      </c>
      <c r="AC4580" t="s">
        <v>192</v>
      </c>
      <c r="AD4580" t="s">
        <v>85</v>
      </c>
      <c r="AE4580" t="s">
        <v>46</v>
      </c>
      <c r="AF4580" t="s">
        <v>44</v>
      </c>
      <c r="AG4580" t="str">
        <f t="shared" si="105"/>
        <v>Recorrente</v>
      </c>
      <c r="AH4580" t="str">
        <f t="shared" si="106"/>
        <v/>
      </c>
    </row>
    <row r="4581" spans="1:34">
      <c r="A4581">
        <v>2026</v>
      </c>
      <c r="B4581">
        <v>5</v>
      </c>
      <c r="C4581" s="83">
        <v>34779903605</v>
      </c>
      <c r="D4581" t="s">
        <v>3921</v>
      </c>
      <c r="E4581">
        <v>60053710929</v>
      </c>
      <c r="F4581">
        <v>616747</v>
      </c>
      <c r="G4581">
        <v>55078089070</v>
      </c>
      <c r="H4581" t="s">
        <v>35</v>
      </c>
      <c r="I4581" s="36">
        <v>4314</v>
      </c>
      <c r="J4581" s="36">
        <v>4314</v>
      </c>
      <c r="K4581" s="85">
        <v>0</v>
      </c>
      <c r="L4581" s="36">
        <v>359.5</v>
      </c>
      <c r="M4581" s="36">
        <v>0</v>
      </c>
      <c r="N4581" s="36">
        <v>140.41999999999999</v>
      </c>
      <c r="O4581" s="36">
        <v>219.08</v>
      </c>
      <c r="P4581" t="s">
        <v>804</v>
      </c>
      <c r="Q4581" t="s">
        <v>191</v>
      </c>
      <c r="R4581" t="s">
        <v>191</v>
      </c>
      <c r="S4581" s="112">
        <v>46149</v>
      </c>
      <c r="T4581" s="112">
        <v>46149</v>
      </c>
      <c r="U4581" s="112">
        <v>46180</v>
      </c>
      <c r="V4581" s="112">
        <v>46545</v>
      </c>
      <c r="W4581" t="s">
        <v>38</v>
      </c>
      <c r="X4581">
        <v>12</v>
      </c>
      <c r="Y4581" t="s">
        <v>49</v>
      </c>
      <c r="Z4581" t="s">
        <v>76</v>
      </c>
      <c r="AA4581" t="s">
        <v>122</v>
      </c>
      <c r="AB4581">
        <v>12</v>
      </c>
      <c r="AC4581" t="s">
        <v>192</v>
      </c>
      <c r="AD4581" t="s">
        <v>118</v>
      </c>
      <c r="AE4581" t="s">
        <v>43</v>
      </c>
      <c r="AF4581" t="s">
        <v>119</v>
      </c>
      <c r="AG4581" t="str">
        <f t="shared" si="105"/>
        <v>Recorrente</v>
      </c>
      <c r="AH4581" t="str">
        <f t="shared" si="106"/>
        <v/>
      </c>
    </row>
    <row r="4582" spans="1:34">
      <c r="A4582">
        <v>2026</v>
      </c>
      <c r="B4582">
        <v>5</v>
      </c>
      <c r="C4582" s="83">
        <v>119385353572</v>
      </c>
      <c r="D4582" t="s">
        <v>3922</v>
      </c>
      <c r="E4582">
        <v>59837589863</v>
      </c>
      <c r="F4582">
        <v>310766</v>
      </c>
      <c r="G4582">
        <v>55323172768</v>
      </c>
      <c r="H4582" t="s">
        <v>35</v>
      </c>
      <c r="I4582" s="36">
        <v>4304.04</v>
      </c>
      <c r="J4582" s="36">
        <v>4304.04</v>
      </c>
      <c r="K4582" s="85">
        <v>0</v>
      </c>
      <c r="L4582" s="36">
        <v>358.67</v>
      </c>
      <c r="M4582" s="36">
        <v>0</v>
      </c>
      <c r="N4582" s="36">
        <v>10.3725</v>
      </c>
      <c r="O4582" s="36">
        <v>348.3</v>
      </c>
      <c r="P4582" t="s">
        <v>162</v>
      </c>
      <c r="Q4582" t="s">
        <v>111</v>
      </c>
      <c r="R4582" t="s">
        <v>111</v>
      </c>
      <c r="S4582" s="112">
        <v>46160</v>
      </c>
      <c r="T4582" s="112">
        <v>46160</v>
      </c>
      <c r="U4582" s="112">
        <v>46172</v>
      </c>
      <c r="V4582" s="112">
        <v>46537</v>
      </c>
      <c r="W4582" t="s">
        <v>38</v>
      </c>
      <c r="X4582">
        <v>12</v>
      </c>
      <c r="Y4582" t="s">
        <v>49</v>
      </c>
      <c r="Z4582" t="s">
        <v>81</v>
      </c>
      <c r="AA4582" t="s">
        <v>112</v>
      </c>
      <c r="AB4582">
        <v>12</v>
      </c>
      <c r="AC4582" t="s">
        <v>113</v>
      </c>
      <c r="AD4582" t="s">
        <v>84</v>
      </c>
      <c r="AE4582" t="s">
        <v>43</v>
      </c>
      <c r="AF4582" t="s">
        <v>44</v>
      </c>
      <c r="AG4582" t="str">
        <f t="shared" si="105"/>
        <v>CC 12x</v>
      </c>
      <c r="AH4582" t="str">
        <f t="shared" si="106"/>
        <v/>
      </c>
    </row>
    <row r="4583" spans="1:34">
      <c r="A4583">
        <v>2026</v>
      </c>
      <c r="B4583">
        <v>5</v>
      </c>
      <c r="C4583" s="83">
        <v>94893423156</v>
      </c>
      <c r="D4583" t="s">
        <v>3923</v>
      </c>
      <c r="E4583">
        <v>59227175171</v>
      </c>
      <c r="F4583">
        <v>629179</v>
      </c>
      <c r="G4583">
        <v>55196544005</v>
      </c>
      <c r="H4583" t="s">
        <v>35</v>
      </c>
      <c r="I4583" s="36">
        <v>4278.96</v>
      </c>
      <c r="J4583" s="36">
        <v>4278.96</v>
      </c>
      <c r="K4583" s="85">
        <v>0</v>
      </c>
      <c r="L4583" s="36">
        <v>356.58</v>
      </c>
      <c r="M4583" s="36">
        <v>0</v>
      </c>
      <c r="N4583" s="36">
        <v>43.11</v>
      </c>
      <c r="O4583" s="36">
        <v>313.47000000000003</v>
      </c>
      <c r="P4583" t="s">
        <v>162</v>
      </c>
      <c r="Q4583" t="s">
        <v>111</v>
      </c>
      <c r="R4583" t="s">
        <v>111</v>
      </c>
      <c r="S4583" s="112">
        <v>46154</v>
      </c>
      <c r="T4583" s="112">
        <v>46154</v>
      </c>
      <c r="U4583" s="112">
        <v>46142</v>
      </c>
      <c r="V4583" s="112">
        <v>46519</v>
      </c>
      <c r="W4583" t="s">
        <v>38</v>
      </c>
      <c r="X4583">
        <v>13</v>
      </c>
      <c r="Y4583" t="s">
        <v>49</v>
      </c>
      <c r="Z4583" t="s">
        <v>81</v>
      </c>
      <c r="AA4583" t="s">
        <v>122</v>
      </c>
      <c r="AB4583">
        <v>12</v>
      </c>
      <c r="AC4583" t="s">
        <v>113</v>
      </c>
      <c r="AD4583" t="s">
        <v>84</v>
      </c>
      <c r="AE4583" t="s">
        <v>43</v>
      </c>
      <c r="AF4583" t="s">
        <v>44</v>
      </c>
      <c r="AG4583" t="str">
        <f t="shared" si="105"/>
        <v>Recorrente</v>
      </c>
      <c r="AH4583" t="str">
        <f t="shared" si="106"/>
        <v/>
      </c>
    </row>
    <row r="4584" spans="1:34">
      <c r="A4584">
        <v>2026</v>
      </c>
      <c r="B4584">
        <v>5</v>
      </c>
      <c r="C4584" s="83">
        <v>19435564689</v>
      </c>
      <c r="D4584" t="s">
        <v>3924</v>
      </c>
      <c r="E4584">
        <v>60639160682</v>
      </c>
      <c r="F4584">
        <v>510564</v>
      </c>
      <c r="G4584">
        <v>55621011209</v>
      </c>
      <c r="H4584" t="s">
        <v>35</v>
      </c>
      <c r="I4584" s="36">
        <v>4278.84</v>
      </c>
      <c r="J4584" s="36">
        <v>4278.84</v>
      </c>
      <c r="K4584" s="85">
        <v>0</v>
      </c>
      <c r="L4584" s="36">
        <v>356.57</v>
      </c>
      <c r="M4584" s="36">
        <v>0</v>
      </c>
      <c r="N4584" s="36">
        <v>47.575000000000003</v>
      </c>
      <c r="O4584" s="36">
        <v>309</v>
      </c>
      <c r="P4584" t="s">
        <v>162</v>
      </c>
      <c r="Q4584" t="s">
        <v>111</v>
      </c>
      <c r="R4584" t="s">
        <v>111</v>
      </c>
      <c r="S4584" s="112">
        <v>46168</v>
      </c>
      <c r="T4584" s="112">
        <v>46168</v>
      </c>
      <c r="U4584" s="112">
        <v>46170</v>
      </c>
      <c r="V4584" s="112">
        <v>46535</v>
      </c>
      <c r="W4584" t="s">
        <v>38</v>
      </c>
      <c r="X4584">
        <v>12</v>
      </c>
      <c r="Y4584" t="s">
        <v>49</v>
      </c>
      <c r="Z4584" t="s">
        <v>81</v>
      </c>
      <c r="AA4584" t="s">
        <v>112</v>
      </c>
      <c r="AB4584">
        <v>12</v>
      </c>
      <c r="AC4584" t="s">
        <v>113</v>
      </c>
      <c r="AD4584" t="s">
        <v>84</v>
      </c>
      <c r="AE4584" t="s">
        <v>43</v>
      </c>
      <c r="AF4584" t="s">
        <v>44</v>
      </c>
      <c r="AG4584" t="str">
        <f t="shared" si="105"/>
        <v>CC 12x</v>
      </c>
      <c r="AH4584" t="str">
        <f t="shared" si="106"/>
        <v/>
      </c>
    </row>
    <row r="4585" spans="1:34">
      <c r="A4585">
        <v>2026</v>
      </c>
      <c r="B4585">
        <v>5</v>
      </c>
      <c r="C4585" s="83">
        <v>20844067331</v>
      </c>
      <c r="D4585" t="s">
        <v>3925</v>
      </c>
      <c r="E4585">
        <v>60331554077</v>
      </c>
      <c r="F4585">
        <v>615694</v>
      </c>
      <c r="G4585">
        <v>55321945097</v>
      </c>
      <c r="H4585" t="s">
        <v>35</v>
      </c>
      <c r="I4585" s="36">
        <v>4278.84</v>
      </c>
      <c r="J4585" s="36">
        <v>4278.84</v>
      </c>
      <c r="K4585" s="85">
        <v>0</v>
      </c>
      <c r="L4585" s="36">
        <v>356.57</v>
      </c>
      <c r="M4585" s="36">
        <v>0</v>
      </c>
      <c r="N4585" s="36">
        <v>27.625</v>
      </c>
      <c r="O4585" s="36">
        <v>328.95</v>
      </c>
      <c r="P4585" t="s">
        <v>121</v>
      </c>
      <c r="Q4585" t="s">
        <v>111</v>
      </c>
      <c r="R4585" t="s">
        <v>111</v>
      </c>
      <c r="S4585" s="112">
        <v>46160</v>
      </c>
      <c r="T4585" s="112">
        <v>46160</v>
      </c>
      <c r="U4585" s="112">
        <v>46159</v>
      </c>
      <c r="V4585" s="112">
        <v>46525</v>
      </c>
      <c r="W4585" t="s">
        <v>38</v>
      </c>
      <c r="X4585">
        <v>12</v>
      </c>
      <c r="Y4585" t="s">
        <v>49</v>
      </c>
      <c r="Z4585" t="s">
        <v>81</v>
      </c>
      <c r="AA4585" t="s">
        <v>122</v>
      </c>
      <c r="AB4585">
        <v>12</v>
      </c>
      <c r="AC4585" t="s">
        <v>113</v>
      </c>
      <c r="AD4585" t="s">
        <v>84</v>
      </c>
      <c r="AE4585" t="s">
        <v>43</v>
      </c>
      <c r="AF4585" t="s">
        <v>44</v>
      </c>
      <c r="AG4585" t="str">
        <f t="shared" si="105"/>
        <v>Recorrente</v>
      </c>
      <c r="AH4585" t="str">
        <f t="shared" si="106"/>
        <v/>
      </c>
    </row>
    <row r="4586" spans="1:34">
      <c r="A4586">
        <v>2026</v>
      </c>
      <c r="B4586">
        <v>5</v>
      </c>
      <c r="C4586" s="83">
        <v>111287892282</v>
      </c>
      <c r="D4586" t="s">
        <v>3926</v>
      </c>
      <c r="E4586">
        <v>58847265700</v>
      </c>
      <c r="F4586">
        <v>270387</v>
      </c>
      <c r="G4586">
        <v>55090758148</v>
      </c>
      <c r="H4586" t="s">
        <v>35</v>
      </c>
      <c r="I4586" s="36">
        <v>4218.24</v>
      </c>
      <c r="J4586" s="36">
        <v>4218.24</v>
      </c>
      <c r="K4586" s="85">
        <v>0</v>
      </c>
      <c r="L4586" s="36">
        <v>351.52</v>
      </c>
      <c r="M4586" s="36">
        <v>0</v>
      </c>
      <c r="N4586" s="36">
        <v>16.522095</v>
      </c>
      <c r="O4586" s="36">
        <v>335</v>
      </c>
      <c r="P4586" t="s">
        <v>116</v>
      </c>
      <c r="Q4586" t="s">
        <v>111</v>
      </c>
      <c r="R4586" t="s">
        <v>111</v>
      </c>
      <c r="S4586" s="112">
        <v>46154</v>
      </c>
      <c r="T4586" s="112">
        <v>46154</v>
      </c>
      <c r="U4586" s="112">
        <v>46147</v>
      </c>
      <c r="V4586" s="112">
        <v>46519</v>
      </c>
      <c r="W4586" t="s">
        <v>38</v>
      </c>
      <c r="X4586">
        <v>12</v>
      </c>
      <c r="Y4586" t="s">
        <v>49</v>
      </c>
      <c r="Z4586" t="s">
        <v>81</v>
      </c>
      <c r="AA4586" t="s">
        <v>112</v>
      </c>
      <c r="AB4586">
        <v>12</v>
      </c>
      <c r="AC4586" t="s">
        <v>113</v>
      </c>
      <c r="AD4586" t="s">
        <v>138</v>
      </c>
      <c r="AE4586" t="s">
        <v>135</v>
      </c>
      <c r="AF4586" t="s">
        <v>119</v>
      </c>
      <c r="AG4586" t="str">
        <f t="shared" si="105"/>
        <v>CC 12x</v>
      </c>
      <c r="AH4586" t="str">
        <f t="shared" si="106"/>
        <v/>
      </c>
    </row>
    <row r="4587" spans="1:34">
      <c r="A4587">
        <v>2026</v>
      </c>
      <c r="B4587">
        <v>5</v>
      </c>
      <c r="C4587" s="83">
        <v>113176977730</v>
      </c>
      <c r="D4587" t="s">
        <v>3927</v>
      </c>
      <c r="E4587">
        <v>59815119759</v>
      </c>
      <c r="F4587">
        <v>614396</v>
      </c>
      <c r="G4587">
        <v>55002348312</v>
      </c>
      <c r="H4587" t="s">
        <v>35</v>
      </c>
      <c r="I4587" s="36">
        <v>4212.6000000000004</v>
      </c>
      <c r="J4587" s="36">
        <v>4212.6000000000004</v>
      </c>
      <c r="K4587" s="85">
        <v>0</v>
      </c>
      <c r="L4587" s="36">
        <v>351.05</v>
      </c>
      <c r="M4587" s="36">
        <v>0</v>
      </c>
      <c r="N4587" s="36">
        <v>45.39</v>
      </c>
      <c r="O4587" s="36">
        <v>305.66000000000003</v>
      </c>
      <c r="P4587" t="s">
        <v>127</v>
      </c>
      <c r="Q4587" t="s">
        <v>111</v>
      </c>
      <c r="R4587" t="s">
        <v>111</v>
      </c>
      <c r="S4587" s="112">
        <v>46147</v>
      </c>
      <c r="T4587" s="112">
        <v>46147</v>
      </c>
      <c r="U4587" s="112">
        <v>46138</v>
      </c>
      <c r="V4587" s="112">
        <v>46512</v>
      </c>
      <c r="W4587" t="s">
        <v>38</v>
      </c>
      <c r="X4587">
        <v>13</v>
      </c>
      <c r="Y4587" t="s">
        <v>49</v>
      </c>
      <c r="Z4587" t="s">
        <v>81</v>
      </c>
      <c r="AA4587" t="s">
        <v>122</v>
      </c>
      <c r="AB4587">
        <v>12</v>
      </c>
      <c r="AC4587" t="s">
        <v>113</v>
      </c>
      <c r="AD4587" t="s">
        <v>138</v>
      </c>
      <c r="AE4587" t="s">
        <v>135</v>
      </c>
      <c r="AF4587" t="s">
        <v>119</v>
      </c>
      <c r="AG4587" t="str">
        <f t="shared" si="105"/>
        <v>Recorrente</v>
      </c>
      <c r="AH4587" t="str">
        <f t="shared" si="106"/>
        <v/>
      </c>
    </row>
    <row r="4588" spans="1:34">
      <c r="A4588">
        <v>2026</v>
      </c>
      <c r="B4588">
        <v>5</v>
      </c>
      <c r="C4588" s="83">
        <v>223080092583</v>
      </c>
      <c r="D4588" t="s">
        <v>3928</v>
      </c>
      <c r="E4588">
        <v>60269618342</v>
      </c>
      <c r="F4588">
        <v>637910</v>
      </c>
      <c r="G4588">
        <v>55340434806</v>
      </c>
      <c r="H4588" t="s">
        <v>35</v>
      </c>
      <c r="I4588" s="36">
        <v>4200</v>
      </c>
      <c r="J4588" s="36">
        <v>4200.0137999999997</v>
      </c>
      <c r="K4588" s="85">
        <v>0</v>
      </c>
      <c r="L4588" s="36">
        <v>350.00115</v>
      </c>
      <c r="M4588" s="36">
        <v>0</v>
      </c>
      <c r="N4588" s="36">
        <v>237.8169833</v>
      </c>
      <c r="O4588" s="36">
        <v>112.18416670000001</v>
      </c>
      <c r="P4588" t="s">
        <v>804</v>
      </c>
      <c r="Q4588" t="s">
        <v>191</v>
      </c>
      <c r="R4588" t="s">
        <v>191</v>
      </c>
      <c r="S4588" s="112">
        <v>46163</v>
      </c>
      <c r="T4588" s="112">
        <v>46163</v>
      </c>
      <c r="U4588" s="112"/>
      <c r="V4588" s="112">
        <v>46528</v>
      </c>
      <c r="W4588" t="s">
        <v>38</v>
      </c>
      <c r="Y4588" t="s">
        <v>49</v>
      </c>
      <c r="AA4588" t="s">
        <v>122</v>
      </c>
      <c r="AB4588">
        <v>12</v>
      </c>
      <c r="AC4588" t="s">
        <v>192</v>
      </c>
      <c r="AD4588" t="s">
        <v>138</v>
      </c>
      <c r="AE4588" t="s">
        <v>135</v>
      </c>
      <c r="AF4588" t="s">
        <v>119</v>
      </c>
      <c r="AG4588" t="str">
        <f t="shared" si="105"/>
        <v>Recorrente</v>
      </c>
      <c r="AH4588" t="str">
        <f t="shared" si="106"/>
        <v/>
      </c>
    </row>
    <row r="4589" spans="1:34">
      <c r="A4589">
        <v>2026</v>
      </c>
      <c r="B4589">
        <v>5</v>
      </c>
      <c r="C4589" s="83">
        <v>223390588027</v>
      </c>
      <c r="D4589" t="s">
        <v>3929</v>
      </c>
      <c r="E4589">
        <v>60646826241</v>
      </c>
      <c r="F4589">
        <v>638080</v>
      </c>
      <c r="G4589">
        <v>55685278734</v>
      </c>
      <c r="H4589" t="s">
        <v>35</v>
      </c>
      <c r="I4589" s="36">
        <v>4200</v>
      </c>
      <c r="J4589" s="36">
        <v>4199.9946</v>
      </c>
      <c r="K4589" s="85">
        <v>5.4000000000000003E-3</v>
      </c>
      <c r="L4589" s="36">
        <v>349.99955</v>
      </c>
      <c r="M4589" s="36">
        <v>349.99955</v>
      </c>
      <c r="N4589" s="36">
        <v>0</v>
      </c>
      <c r="O4589" s="36">
        <v>0</v>
      </c>
      <c r="P4589" t="s">
        <v>3642</v>
      </c>
      <c r="Q4589" t="s">
        <v>300</v>
      </c>
      <c r="R4589" t="s">
        <v>300</v>
      </c>
      <c r="S4589" s="112">
        <v>46171</v>
      </c>
      <c r="T4589" s="112">
        <v>46171</v>
      </c>
      <c r="U4589" s="112"/>
      <c r="V4589" s="112">
        <v>46536</v>
      </c>
      <c r="W4589" t="s">
        <v>38</v>
      </c>
      <c r="X4589">
        <v>12</v>
      </c>
      <c r="Y4589" t="s">
        <v>49</v>
      </c>
      <c r="AA4589" t="s">
        <v>112</v>
      </c>
      <c r="AB4589">
        <v>12</v>
      </c>
      <c r="AC4589" t="s">
        <v>301</v>
      </c>
      <c r="AD4589" t="s">
        <v>163</v>
      </c>
      <c r="AE4589" t="s">
        <v>43</v>
      </c>
      <c r="AF4589" t="s">
        <v>96</v>
      </c>
      <c r="AG4589" t="str">
        <f t="shared" si="105"/>
        <v>CC 12x</v>
      </c>
      <c r="AH4589" t="str">
        <f t="shared" si="106"/>
        <v/>
      </c>
    </row>
    <row r="4590" spans="1:34">
      <c r="A4590">
        <v>2026</v>
      </c>
      <c r="B4590">
        <v>5</v>
      </c>
      <c r="C4590" s="83">
        <v>22981191743</v>
      </c>
      <c r="D4590" t="s">
        <v>3930</v>
      </c>
      <c r="E4590">
        <v>60010030743</v>
      </c>
      <c r="F4590">
        <v>615050</v>
      </c>
      <c r="G4590">
        <v>55242973348</v>
      </c>
      <c r="H4590" t="s">
        <v>35</v>
      </c>
      <c r="I4590" s="36">
        <v>4157.28</v>
      </c>
      <c r="J4590" s="36">
        <v>4157.28</v>
      </c>
      <c r="K4590" s="85">
        <v>0</v>
      </c>
      <c r="L4590" s="36">
        <v>346.44</v>
      </c>
      <c r="M4590" s="36">
        <v>0</v>
      </c>
      <c r="N4590" s="36">
        <v>29.343544999999999</v>
      </c>
      <c r="O4590" s="36">
        <v>317.10000000000002</v>
      </c>
      <c r="P4590" t="s">
        <v>116</v>
      </c>
      <c r="Q4590" t="s">
        <v>111</v>
      </c>
      <c r="R4590" t="s">
        <v>111</v>
      </c>
      <c r="S4590" s="112">
        <v>46160</v>
      </c>
      <c r="T4590" s="112">
        <v>46160</v>
      </c>
      <c r="U4590" s="112">
        <v>46151</v>
      </c>
      <c r="V4590" s="112">
        <v>46525</v>
      </c>
      <c r="W4590" t="s">
        <v>38</v>
      </c>
      <c r="X4590">
        <v>12</v>
      </c>
      <c r="Y4590" t="s">
        <v>49</v>
      </c>
      <c r="Z4590" t="s">
        <v>81</v>
      </c>
      <c r="AA4590" t="s">
        <v>117</v>
      </c>
      <c r="AB4590">
        <v>1</v>
      </c>
      <c r="AC4590" t="s">
        <v>113</v>
      </c>
      <c r="AD4590" t="s">
        <v>85</v>
      </c>
      <c r="AE4590" t="s">
        <v>46</v>
      </c>
      <c r="AF4590" t="s">
        <v>44</v>
      </c>
      <c r="AG4590" t="str">
        <f t="shared" si="105"/>
        <v>À Vista</v>
      </c>
      <c r="AH4590" t="str">
        <f t="shared" si="106"/>
        <v/>
      </c>
    </row>
    <row r="4591" spans="1:34">
      <c r="A4591">
        <v>2026</v>
      </c>
      <c r="B4591">
        <v>5</v>
      </c>
      <c r="C4591" s="83">
        <v>2071100</v>
      </c>
      <c r="D4591" t="s">
        <v>3931</v>
      </c>
      <c r="E4591">
        <v>58589787692</v>
      </c>
      <c r="F4591">
        <v>270476</v>
      </c>
      <c r="G4591">
        <v>53793413450</v>
      </c>
      <c r="H4591" t="s">
        <v>35</v>
      </c>
      <c r="I4591" s="36">
        <v>4135.4399999999996</v>
      </c>
      <c r="J4591" s="36">
        <v>4135.4399999999996</v>
      </c>
      <c r="K4591" s="85">
        <v>0</v>
      </c>
      <c r="L4591" s="36">
        <v>344.62</v>
      </c>
      <c r="M4591" s="36">
        <v>0</v>
      </c>
      <c r="N4591" s="36">
        <v>98.165000000000006</v>
      </c>
      <c r="O4591" s="36">
        <v>246.46</v>
      </c>
      <c r="P4591" t="s">
        <v>165</v>
      </c>
      <c r="Q4591" t="s">
        <v>166</v>
      </c>
      <c r="R4591" t="s">
        <v>166</v>
      </c>
      <c r="S4591" s="112">
        <v>46157</v>
      </c>
      <c r="T4591" s="112">
        <v>46157</v>
      </c>
      <c r="U4591" s="112">
        <v>46157</v>
      </c>
      <c r="V4591" s="112">
        <v>46522</v>
      </c>
      <c r="W4591" t="s">
        <v>38</v>
      </c>
      <c r="X4591">
        <v>12</v>
      </c>
      <c r="Y4591" t="s">
        <v>49</v>
      </c>
      <c r="Z4591" t="s">
        <v>81</v>
      </c>
      <c r="AA4591" t="s">
        <v>112</v>
      </c>
      <c r="AB4591">
        <v>12</v>
      </c>
      <c r="AC4591" t="s">
        <v>166</v>
      </c>
      <c r="AD4591" t="s">
        <v>138</v>
      </c>
      <c r="AE4591" t="s">
        <v>135</v>
      </c>
      <c r="AF4591" t="s">
        <v>119</v>
      </c>
      <c r="AG4591" t="str">
        <f t="shared" si="105"/>
        <v>CC 12x</v>
      </c>
      <c r="AH4591" t="str">
        <f t="shared" si="106"/>
        <v/>
      </c>
    </row>
    <row r="4592" spans="1:34">
      <c r="A4592">
        <v>2026</v>
      </c>
      <c r="B4592">
        <v>5</v>
      </c>
      <c r="C4592" s="83">
        <v>32424386420</v>
      </c>
      <c r="D4592" t="s">
        <v>3932</v>
      </c>
      <c r="E4592">
        <v>60036241251</v>
      </c>
      <c r="F4592">
        <v>534659</v>
      </c>
      <c r="G4592">
        <v>55623481862</v>
      </c>
      <c r="H4592" t="s">
        <v>35</v>
      </c>
      <c r="I4592" s="36">
        <v>4135.4399999999996</v>
      </c>
      <c r="J4592" s="36">
        <v>4135.4399999999996</v>
      </c>
      <c r="K4592" s="85">
        <v>0</v>
      </c>
      <c r="L4592" s="36">
        <v>344.62</v>
      </c>
      <c r="M4592" s="36">
        <v>0</v>
      </c>
      <c r="N4592" s="36">
        <v>0</v>
      </c>
      <c r="O4592" s="36">
        <v>344.625</v>
      </c>
      <c r="P4592" t="s">
        <v>133</v>
      </c>
      <c r="Q4592" t="s">
        <v>111</v>
      </c>
      <c r="R4592" t="s">
        <v>111</v>
      </c>
      <c r="S4592" s="112">
        <v>46169</v>
      </c>
      <c r="T4592" s="112">
        <v>46169</v>
      </c>
      <c r="U4592" s="112">
        <v>46167</v>
      </c>
      <c r="V4592" s="112">
        <v>46534</v>
      </c>
      <c r="W4592" t="s">
        <v>38</v>
      </c>
      <c r="X4592">
        <v>12</v>
      </c>
      <c r="Y4592" t="s">
        <v>49</v>
      </c>
      <c r="Z4592" t="s">
        <v>76</v>
      </c>
      <c r="AA4592" t="s">
        <v>117</v>
      </c>
      <c r="AB4592">
        <v>1</v>
      </c>
      <c r="AC4592" t="s">
        <v>113</v>
      </c>
      <c r="AD4592" t="s">
        <v>138</v>
      </c>
      <c r="AE4592" t="s">
        <v>135</v>
      </c>
      <c r="AF4592" t="s">
        <v>119</v>
      </c>
      <c r="AG4592" t="str">
        <f t="shared" si="105"/>
        <v>À Vista</v>
      </c>
      <c r="AH4592" t="str">
        <f t="shared" si="106"/>
        <v/>
      </c>
    </row>
    <row r="4593" spans="1:34">
      <c r="A4593">
        <v>2026</v>
      </c>
      <c r="B4593">
        <v>5</v>
      </c>
      <c r="C4593" s="83">
        <v>2074998</v>
      </c>
      <c r="D4593" t="s">
        <v>3933</v>
      </c>
      <c r="E4593">
        <v>59915276318</v>
      </c>
      <c r="F4593">
        <v>528508</v>
      </c>
      <c r="G4593">
        <v>55001729136</v>
      </c>
      <c r="H4593" t="s">
        <v>35</v>
      </c>
      <c r="I4593" s="36">
        <v>4104</v>
      </c>
      <c r="J4593" s="36">
        <v>4104</v>
      </c>
      <c r="K4593" s="85">
        <v>0</v>
      </c>
      <c r="L4593" s="36">
        <v>342</v>
      </c>
      <c r="M4593" s="36">
        <v>0</v>
      </c>
      <c r="N4593" s="36">
        <v>115.5</v>
      </c>
      <c r="O4593" s="36">
        <v>226.5</v>
      </c>
      <c r="P4593" t="s">
        <v>127</v>
      </c>
      <c r="Q4593" t="s">
        <v>111</v>
      </c>
      <c r="R4593" t="s">
        <v>111</v>
      </c>
      <c r="S4593" s="112">
        <v>46146</v>
      </c>
      <c r="T4593" s="112">
        <v>46146</v>
      </c>
      <c r="U4593" s="112">
        <v>46102</v>
      </c>
      <c r="V4593" s="112">
        <v>46511</v>
      </c>
      <c r="W4593" t="s">
        <v>38</v>
      </c>
      <c r="X4593">
        <v>14</v>
      </c>
      <c r="Y4593" t="s">
        <v>49</v>
      </c>
      <c r="Z4593" t="s">
        <v>81</v>
      </c>
      <c r="AA4593" t="s">
        <v>122</v>
      </c>
      <c r="AB4593">
        <v>12</v>
      </c>
      <c r="AC4593" t="s">
        <v>113</v>
      </c>
      <c r="AD4593" t="s">
        <v>85</v>
      </c>
      <c r="AE4593" t="s">
        <v>46</v>
      </c>
      <c r="AF4593" t="s">
        <v>44</v>
      </c>
      <c r="AG4593" t="str">
        <f t="shared" si="105"/>
        <v>Recorrente</v>
      </c>
      <c r="AH4593" t="str">
        <f t="shared" si="106"/>
        <v/>
      </c>
    </row>
    <row r="4594" spans="1:34">
      <c r="A4594">
        <v>2026</v>
      </c>
      <c r="B4594">
        <v>5</v>
      </c>
      <c r="C4594" s="83">
        <v>113571383055</v>
      </c>
      <c r="D4594" t="s">
        <v>3934</v>
      </c>
      <c r="E4594">
        <v>59088176501</v>
      </c>
      <c r="F4594">
        <v>315016</v>
      </c>
      <c r="G4594">
        <v>55089649752</v>
      </c>
      <c r="H4594" t="s">
        <v>35</v>
      </c>
      <c r="I4594" s="36">
        <v>4099.68</v>
      </c>
      <c r="J4594" s="36">
        <v>4099.68</v>
      </c>
      <c r="K4594" s="85">
        <v>0</v>
      </c>
      <c r="L4594" s="36">
        <v>341.64</v>
      </c>
      <c r="M4594" s="36">
        <v>0</v>
      </c>
      <c r="N4594" s="36">
        <v>58.727083299999997</v>
      </c>
      <c r="O4594" s="36">
        <v>282.91666670000001</v>
      </c>
      <c r="P4594" t="s">
        <v>137</v>
      </c>
      <c r="Q4594" t="s">
        <v>111</v>
      </c>
      <c r="R4594" t="s">
        <v>111</v>
      </c>
      <c r="S4594" s="112">
        <v>46150</v>
      </c>
      <c r="T4594" s="112">
        <v>46150</v>
      </c>
      <c r="U4594" s="112">
        <v>46153</v>
      </c>
      <c r="V4594" s="112">
        <v>46515</v>
      </c>
      <c r="W4594" t="s">
        <v>38</v>
      </c>
      <c r="X4594">
        <v>12</v>
      </c>
      <c r="Y4594" t="s">
        <v>49</v>
      </c>
      <c r="Z4594" t="s">
        <v>81</v>
      </c>
      <c r="AA4594" t="s">
        <v>122</v>
      </c>
      <c r="AB4594">
        <v>12</v>
      </c>
      <c r="AC4594" t="s">
        <v>113</v>
      </c>
      <c r="AD4594" t="s">
        <v>85</v>
      </c>
      <c r="AE4594" t="s">
        <v>46</v>
      </c>
      <c r="AF4594" t="s">
        <v>44</v>
      </c>
      <c r="AG4594" t="str">
        <f t="shared" si="105"/>
        <v>Recorrente</v>
      </c>
      <c r="AH4594" t="str">
        <f t="shared" si="106"/>
        <v/>
      </c>
    </row>
    <row r="4595" spans="1:34">
      <c r="A4595">
        <v>2026</v>
      </c>
      <c r="B4595">
        <v>5</v>
      </c>
      <c r="C4595" s="83">
        <v>21383239972</v>
      </c>
      <c r="D4595" t="s">
        <v>3935</v>
      </c>
      <c r="E4595">
        <v>59716773483</v>
      </c>
      <c r="F4595">
        <v>534192</v>
      </c>
      <c r="G4595">
        <v>55074304335</v>
      </c>
      <c r="H4595" t="s">
        <v>35</v>
      </c>
      <c r="I4595" s="36">
        <v>4077.6</v>
      </c>
      <c r="J4595" s="36">
        <v>4077.6</v>
      </c>
      <c r="K4595" s="85">
        <v>0</v>
      </c>
      <c r="L4595" s="36">
        <v>339.8</v>
      </c>
      <c r="M4595" s="36">
        <v>0</v>
      </c>
      <c r="N4595" s="36">
        <v>10.853389999999999</v>
      </c>
      <c r="O4595" s="36">
        <v>328.95</v>
      </c>
      <c r="P4595" t="s">
        <v>116</v>
      </c>
      <c r="Q4595" t="s">
        <v>111</v>
      </c>
      <c r="R4595" t="s">
        <v>111</v>
      </c>
      <c r="S4595" s="112">
        <v>46148</v>
      </c>
      <c r="T4595" s="112">
        <v>46148</v>
      </c>
      <c r="U4595" s="112">
        <v>46154</v>
      </c>
      <c r="V4595" s="112">
        <v>46519</v>
      </c>
      <c r="W4595" t="s">
        <v>38</v>
      </c>
      <c r="X4595">
        <v>12</v>
      </c>
      <c r="Y4595" t="s">
        <v>49</v>
      </c>
      <c r="Z4595" t="s">
        <v>81</v>
      </c>
      <c r="AA4595" t="s">
        <v>112</v>
      </c>
      <c r="AB4595">
        <v>12</v>
      </c>
      <c r="AC4595" t="s">
        <v>113</v>
      </c>
      <c r="AD4595" t="s">
        <v>84</v>
      </c>
      <c r="AE4595" t="s">
        <v>43</v>
      </c>
      <c r="AF4595" t="s">
        <v>44</v>
      </c>
      <c r="AG4595" t="str">
        <f t="shared" si="105"/>
        <v>CC 12x</v>
      </c>
      <c r="AH4595" t="str">
        <f t="shared" si="106"/>
        <v/>
      </c>
    </row>
    <row r="4596" spans="1:34">
      <c r="A4596">
        <v>2026</v>
      </c>
      <c r="B4596">
        <v>5</v>
      </c>
      <c r="C4596" s="83">
        <v>132146238075</v>
      </c>
      <c r="D4596" t="s">
        <v>3936</v>
      </c>
      <c r="E4596">
        <v>58955223604</v>
      </c>
      <c r="F4596">
        <v>629792</v>
      </c>
      <c r="G4596">
        <v>54095133356</v>
      </c>
      <c r="H4596" t="s">
        <v>35</v>
      </c>
      <c r="I4596" s="36">
        <v>4074</v>
      </c>
      <c r="J4596" s="36">
        <v>4074</v>
      </c>
      <c r="K4596" s="85">
        <v>0</v>
      </c>
      <c r="L4596" s="36">
        <v>339.5</v>
      </c>
      <c r="M4596" s="36">
        <v>0</v>
      </c>
      <c r="N4596" s="36">
        <v>61.4</v>
      </c>
      <c r="O4596" s="36">
        <v>278.10000000000002</v>
      </c>
      <c r="P4596" t="s">
        <v>165</v>
      </c>
      <c r="Q4596" t="s">
        <v>166</v>
      </c>
      <c r="R4596" t="s">
        <v>166</v>
      </c>
      <c r="S4596" s="112">
        <v>46166</v>
      </c>
      <c r="T4596" s="112">
        <v>46166</v>
      </c>
      <c r="U4596" s="112">
        <v>46166</v>
      </c>
      <c r="V4596" s="112">
        <v>46531</v>
      </c>
      <c r="W4596" t="s">
        <v>38</v>
      </c>
      <c r="X4596">
        <v>12</v>
      </c>
      <c r="Y4596" t="s">
        <v>49</v>
      </c>
      <c r="Z4596" t="s">
        <v>81</v>
      </c>
      <c r="AA4596" t="s">
        <v>122</v>
      </c>
      <c r="AB4596">
        <v>12</v>
      </c>
      <c r="AC4596" t="s">
        <v>166</v>
      </c>
      <c r="AD4596" t="s">
        <v>114</v>
      </c>
      <c r="AE4596" t="s">
        <v>43</v>
      </c>
      <c r="AF4596" t="s">
        <v>44</v>
      </c>
      <c r="AG4596" t="str">
        <f t="shared" si="105"/>
        <v>Recorrente</v>
      </c>
      <c r="AH4596" t="str">
        <f t="shared" si="106"/>
        <v/>
      </c>
    </row>
    <row r="4597" spans="1:34">
      <c r="A4597">
        <v>2026</v>
      </c>
      <c r="B4597">
        <v>5</v>
      </c>
      <c r="C4597" s="83">
        <v>184140439643</v>
      </c>
      <c r="D4597" t="s">
        <v>3937</v>
      </c>
      <c r="E4597">
        <v>60242128284</v>
      </c>
      <c r="F4597">
        <v>615284</v>
      </c>
      <c r="G4597">
        <v>55339864925</v>
      </c>
      <c r="H4597" t="s">
        <v>35</v>
      </c>
      <c r="I4597" s="36">
        <v>4074</v>
      </c>
      <c r="J4597" s="36">
        <v>4074</v>
      </c>
      <c r="K4597" s="85">
        <v>0</v>
      </c>
      <c r="L4597" s="36">
        <v>339.5</v>
      </c>
      <c r="M4597" s="36">
        <v>0</v>
      </c>
      <c r="N4597" s="36">
        <v>30.5</v>
      </c>
      <c r="O4597" s="36">
        <v>309</v>
      </c>
      <c r="P4597" t="s">
        <v>116</v>
      </c>
      <c r="Q4597" t="s">
        <v>111</v>
      </c>
      <c r="R4597" t="s">
        <v>111</v>
      </c>
      <c r="S4597" s="112">
        <v>46162</v>
      </c>
      <c r="T4597" s="112">
        <v>46162</v>
      </c>
      <c r="U4597" s="112">
        <v>46155</v>
      </c>
      <c r="V4597" s="112">
        <v>46527</v>
      </c>
      <c r="W4597" t="s">
        <v>38</v>
      </c>
      <c r="X4597">
        <v>12</v>
      </c>
      <c r="Y4597" t="s">
        <v>49</v>
      </c>
      <c r="Z4597" t="s">
        <v>81</v>
      </c>
      <c r="AA4597" t="s">
        <v>112</v>
      </c>
      <c r="AB4597">
        <v>12</v>
      </c>
      <c r="AC4597" t="s">
        <v>113</v>
      </c>
      <c r="AD4597" t="s">
        <v>160</v>
      </c>
      <c r="AE4597" t="s">
        <v>43</v>
      </c>
      <c r="AF4597" t="s">
        <v>44</v>
      </c>
      <c r="AG4597" t="str">
        <f t="shared" si="105"/>
        <v>CC 12x</v>
      </c>
      <c r="AH4597" t="str">
        <f t="shared" si="106"/>
        <v/>
      </c>
    </row>
    <row r="4598" spans="1:34">
      <c r="A4598">
        <v>2026</v>
      </c>
      <c r="B4598">
        <v>5</v>
      </c>
      <c r="C4598" s="83">
        <v>19485920638</v>
      </c>
      <c r="D4598" t="s">
        <v>3938</v>
      </c>
      <c r="E4598">
        <v>60252212907</v>
      </c>
      <c r="F4598">
        <v>637799</v>
      </c>
      <c r="G4598">
        <v>55255038481</v>
      </c>
      <c r="H4598" t="s">
        <v>35</v>
      </c>
      <c r="I4598" s="36">
        <v>4074</v>
      </c>
      <c r="J4598" s="36">
        <v>4074</v>
      </c>
      <c r="K4598" s="85">
        <v>0</v>
      </c>
      <c r="L4598" s="36">
        <v>339.5</v>
      </c>
      <c r="M4598" s="36">
        <v>339.5</v>
      </c>
      <c r="N4598" s="36">
        <v>0</v>
      </c>
      <c r="O4598" s="36">
        <v>0</v>
      </c>
      <c r="P4598" t="s">
        <v>348</v>
      </c>
      <c r="Q4598" t="s">
        <v>349</v>
      </c>
      <c r="R4598" t="s">
        <v>349</v>
      </c>
      <c r="S4598" s="112">
        <v>46156</v>
      </c>
      <c r="T4598" s="112">
        <v>46156</v>
      </c>
      <c r="U4598" s="112"/>
      <c r="V4598" s="112">
        <v>46521</v>
      </c>
      <c r="W4598" t="s">
        <v>38</v>
      </c>
      <c r="X4598">
        <v>12</v>
      </c>
      <c r="Y4598" t="s">
        <v>49</v>
      </c>
      <c r="AA4598" t="s">
        <v>112</v>
      </c>
      <c r="AB4598">
        <v>12</v>
      </c>
      <c r="AC4598" t="s">
        <v>350</v>
      </c>
      <c r="AD4598" t="s">
        <v>160</v>
      </c>
      <c r="AE4598" t="s">
        <v>43</v>
      </c>
      <c r="AF4598" t="s">
        <v>44</v>
      </c>
      <c r="AG4598" t="str">
        <f t="shared" ref="AG4598:AG4661" si="107">IF(IFERROR(SEARCH("Recorrente",AA4598),0)&gt;0,"Recorrente",IF(AB4598=1,"À Vista",IF(AB4598&lt;=3,"CC 3x",IF(AB4598&lt;=12,"CC 12x",IF(AB4598&gt;12,"Recorrente","")))))</f>
        <v>CC 12x</v>
      </c>
      <c r="AH4598" t="str">
        <f t="shared" ref="AH4598:AH4661" si="108">IF(AND(SUMIF(E:E,E4598,I:I)&gt;=400000,Q4598="B2G"),"n","")</f>
        <v/>
      </c>
    </row>
    <row r="4599" spans="1:34">
      <c r="A4599">
        <v>2026</v>
      </c>
      <c r="B4599">
        <v>5</v>
      </c>
      <c r="C4599" s="83">
        <v>203720893623</v>
      </c>
      <c r="D4599" t="s">
        <v>3939</v>
      </c>
      <c r="E4599">
        <v>60132030752</v>
      </c>
      <c r="F4599">
        <v>637690</v>
      </c>
      <c r="G4599">
        <v>55129211707</v>
      </c>
      <c r="H4599" t="s">
        <v>35</v>
      </c>
      <c r="I4599" s="36">
        <v>4074</v>
      </c>
      <c r="J4599" s="36">
        <v>4074</v>
      </c>
      <c r="K4599" s="85">
        <v>0</v>
      </c>
      <c r="L4599" s="36">
        <v>339.5</v>
      </c>
      <c r="M4599" s="36">
        <v>339.5</v>
      </c>
      <c r="N4599" s="36">
        <v>0</v>
      </c>
      <c r="O4599" s="36">
        <v>0</v>
      </c>
      <c r="P4599" t="s">
        <v>829</v>
      </c>
      <c r="Q4599" t="s">
        <v>300</v>
      </c>
      <c r="R4599" t="s">
        <v>300</v>
      </c>
      <c r="S4599" s="112">
        <v>46150</v>
      </c>
      <c r="T4599" s="112">
        <v>46150</v>
      </c>
      <c r="U4599" s="112"/>
      <c r="V4599" s="112">
        <v>46515</v>
      </c>
      <c r="W4599" t="s">
        <v>38</v>
      </c>
      <c r="X4599">
        <v>12</v>
      </c>
      <c r="Y4599" t="s">
        <v>49</v>
      </c>
      <c r="AA4599" t="s">
        <v>122</v>
      </c>
      <c r="AB4599">
        <v>12</v>
      </c>
      <c r="AC4599" t="s">
        <v>301</v>
      </c>
      <c r="AD4599" t="s">
        <v>160</v>
      </c>
      <c r="AE4599" t="s">
        <v>43</v>
      </c>
      <c r="AF4599" t="s">
        <v>44</v>
      </c>
      <c r="AG4599" t="str">
        <f t="shared" si="107"/>
        <v>Recorrente</v>
      </c>
      <c r="AH4599" t="str">
        <f t="shared" si="108"/>
        <v/>
      </c>
    </row>
    <row r="4600" spans="1:34">
      <c r="A4600">
        <v>2026</v>
      </c>
      <c r="B4600">
        <v>5</v>
      </c>
      <c r="C4600" s="83">
        <v>2087087</v>
      </c>
      <c r="D4600" t="s">
        <v>3940</v>
      </c>
      <c r="E4600">
        <v>60640952722</v>
      </c>
      <c r="F4600">
        <v>638005</v>
      </c>
      <c r="G4600">
        <v>55642974007</v>
      </c>
      <c r="H4600" t="s">
        <v>35</v>
      </c>
      <c r="I4600" s="36">
        <v>4074</v>
      </c>
      <c r="J4600" s="36">
        <v>4074</v>
      </c>
      <c r="K4600" s="85">
        <v>0</v>
      </c>
      <c r="L4600" s="36">
        <v>339.5</v>
      </c>
      <c r="M4600" s="36">
        <v>339.5</v>
      </c>
      <c r="N4600" s="36">
        <v>0</v>
      </c>
      <c r="O4600" s="36">
        <v>0</v>
      </c>
      <c r="P4600" t="s">
        <v>829</v>
      </c>
      <c r="Q4600" t="s">
        <v>300</v>
      </c>
      <c r="R4600" t="s">
        <v>300</v>
      </c>
      <c r="S4600" s="112">
        <v>46169</v>
      </c>
      <c r="T4600" s="112">
        <v>46169</v>
      </c>
      <c r="V4600" s="112">
        <v>46534</v>
      </c>
      <c r="W4600" t="s">
        <v>38</v>
      </c>
      <c r="X4600">
        <v>12</v>
      </c>
      <c r="Y4600" t="s">
        <v>49</v>
      </c>
      <c r="AA4600" t="s">
        <v>112</v>
      </c>
      <c r="AB4600">
        <v>12</v>
      </c>
      <c r="AC4600" t="s">
        <v>301</v>
      </c>
      <c r="AD4600" t="s">
        <v>160</v>
      </c>
      <c r="AE4600" t="s">
        <v>43</v>
      </c>
      <c r="AF4600" t="s">
        <v>44</v>
      </c>
      <c r="AG4600" t="str">
        <f t="shared" si="107"/>
        <v>CC 12x</v>
      </c>
      <c r="AH4600" t="str">
        <f t="shared" si="108"/>
        <v/>
      </c>
    </row>
    <row r="4601" spans="1:34">
      <c r="A4601">
        <v>2026</v>
      </c>
      <c r="B4601">
        <v>5</v>
      </c>
      <c r="C4601" s="83">
        <v>222354150214</v>
      </c>
      <c r="D4601" t="s">
        <v>3941</v>
      </c>
      <c r="E4601">
        <v>58373489044</v>
      </c>
      <c r="F4601">
        <v>628989</v>
      </c>
      <c r="G4601">
        <v>55323946680</v>
      </c>
      <c r="H4601" t="s">
        <v>35</v>
      </c>
      <c r="I4601" s="36">
        <v>4074</v>
      </c>
      <c r="J4601" s="36">
        <v>4074</v>
      </c>
      <c r="K4601" s="85">
        <v>0</v>
      </c>
      <c r="L4601" s="36">
        <v>339.5</v>
      </c>
      <c r="M4601" s="36">
        <v>0</v>
      </c>
      <c r="N4601" s="36">
        <v>30.5</v>
      </c>
      <c r="O4601" s="36">
        <v>309</v>
      </c>
      <c r="P4601" t="s">
        <v>127</v>
      </c>
      <c r="Q4601" t="s">
        <v>111</v>
      </c>
      <c r="R4601" t="s">
        <v>111</v>
      </c>
      <c r="S4601" s="112">
        <v>46160</v>
      </c>
      <c r="T4601" s="112">
        <v>46160</v>
      </c>
      <c r="U4601" s="112">
        <v>46137</v>
      </c>
      <c r="V4601" s="112">
        <v>46525</v>
      </c>
      <c r="W4601" t="s">
        <v>38</v>
      </c>
      <c r="X4601">
        <v>13</v>
      </c>
      <c r="Y4601" t="s">
        <v>49</v>
      </c>
      <c r="Z4601" t="s">
        <v>81</v>
      </c>
      <c r="AA4601" t="s">
        <v>122</v>
      </c>
      <c r="AB4601">
        <v>12</v>
      </c>
      <c r="AC4601" t="s">
        <v>113</v>
      </c>
      <c r="AD4601" t="s">
        <v>160</v>
      </c>
      <c r="AE4601" t="s">
        <v>43</v>
      </c>
      <c r="AF4601" t="s">
        <v>44</v>
      </c>
      <c r="AG4601" t="str">
        <f t="shared" si="107"/>
        <v>Recorrente</v>
      </c>
      <c r="AH4601" t="str">
        <f t="shared" si="108"/>
        <v/>
      </c>
    </row>
    <row r="4602" spans="1:34">
      <c r="A4602">
        <v>2026</v>
      </c>
      <c r="B4602">
        <v>5</v>
      </c>
      <c r="C4602" s="83">
        <v>34908571295</v>
      </c>
      <c r="D4602" t="s">
        <v>3942</v>
      </c>
      <c r="E4602">
        <v>60667008828</v>
      </c>
      <c r="F4602">
        <v>638028</v>
      </c>
      <c r="G4602">
        <v>55647322244</v>
      </c>
      <c r="H4602" t="s">
        <v>35</v>
      </c>
      <c r="I4602" s="36">
        <v>4074</v>
      </c>
      <c r="J4602" s="36">
        <v>4074</v>
      </c>
      <c r="K4602" s="85">
        <v>0</v>
      </c>
      <c r="L4602" s="36">
        <v>339.5</v>
      </c>
      <c r="M4602" s="36">
        <v>0</v>
      </c>
      <c r="N4602" s="36">
        <v>339.5</v>
      </c>
      <c r="O4602" s="36">
        <v>0</v>
      </c>
      <c r="P4602" t="s">
        <v>367</v>
      </c>
      <c r="Q4602" t="s">
        <v>191</v>
      </c>
      <c r="R4602" t="s">
        <v>191</v>
      </c>
      <c r="S4602" s="112">
        <v>46169</v>
      </c>
      <c r="T4602" s="112">
        <v>46169</v>
      </c>
      <c r="U4602" s="112"/>
      <c r="V4602" s="112">
        <v>46535</v>
      </c>
      <c r="W4602" t="s">
        <v>38</v>
      </c>
      <c r="X4602">
        <v>12</v>
      </c>
      <c r="Y4602" t="s">
        <v>49</v>
      </c>
      <c r="AA4602" t="s">
        <v>122</v>
      </c>
      <c r="AB4602">
        <v>12</v>
      </c>
      <c r="AC4602" t="s">
        <v>192</v>
      </c>
      <c r="AD4602" t="s">
        <v>114</v>
      </c>
      <c r="AE4602" t="s">
        <v>43</v>
      </c>
      <c r="AF4602" t="s">
        <v>44</v>
      </c>
      <c r="AG4602" t="str">
        <f t="shared" si="107"/>
        <v>Recorrente</v>
      </c>
      <c r="AH4602" t="str">
        <f t="shared" si="108"/>
        <v/>
      </c>
    </row>
    <row r="4603" spans="1:34">
      <c r="A4603">
        <v>2026</v>
      </c>
      <c r="B4603">
        <v>5</v>
      </c>
      <c r="C4603" s="83">
        <v>53689475991</v>
      </c>
      <c r="D4603" t="s">
        <v>3943</v>
      </c>
      <c r="E4603">
        <v>60201592238</v>
      </c>
      <c r="F4603">
        <v>638041</v>
      </c>
      <c r="G4603">
        <v>55658881588</v>
      </c>
      <c r="H4603" t="s">
        <v>35</v>
      </c>
      <c r="I4603" s="36">
        <v>4074</v>
      </c>
      <c r="J4603" s="36">
        <v>4074</v>
      </c>
      <c r="K4603" s="85">
        <v>0</v>
      </c>
      <c r="L4603" s="36">
        <v>339.5</v>
      </c>
      <c r="M4603" s="36">
        <v>339.5</v>
      </c>
      <c r="N4603" s="36">
        <v>0</v>
      </c>
      <c r="O4603" s="36">
        <v>0</v>
      </c>
      <c r="P4603" t="s">
        <v>511</v>
      </c>
      <c r="Q4603" t="s">
        <v>300</v>
      </c>
      <c r="R4603" t="s">
        <v>300</v>
      </c>
      <c r="S4603" s="112">
        <v>46170</v>
      </c>
      <c r="T4603" s="112">
        <v>46170</v>
      </c>
      <c r="U4603" s="112"/>
      <c r="V4603" s="112">
        <v>46535</v>
      </c>
      <c r="W4603" t="s">
        <v>38</v>
      </c>
      <c r="X4603">
        <v>12</v>
      </c>
      <c r="Y4603" t="s">
        <v>49</v>
      </c>
      <c r="AA4603" t="s">
        <v>112</v>
      </c>
      <c r="AB4603">
        <v>12</v>
      </c>
      <c r="AC4603" t="s">
        <v>301</v>
      </c>
      <c r="AD4603" t="s">
        <v>160</v>
      </c>
      <c r="AE4603" t="s">
        <v>43</v>
      </c>
      <c r="AF4603" t="s">
        <v>44</v>
      </c>
      <c r="AG4603" t="str">
        <f t="shared" si="107"/>
        <v>CC 12x</v>
      </c>
      <c r="AH4603" t="str">
        <f t="shared" si="108"/>
        <v/>
      </c>
    </row>
    <row r="4604" spans="1:34">
      <c r="A4604">
        <v>2026</v>
      </c>
      <c r="B4604">
        <v>5</v>
      </c>
      <c r="C4604" s="83">
        <v>54759704736</v>
      </c>
      <c r="D4604" t="s">
        <v>3944</v>
      </c>
      <c r="E4604">
        <v>60058236165</v>
      </c>
      <c r="F4604">
        <v>637645</v>
      </c>
      <c r="G4604">
        <v>55078085390</v>
      </c>
      <c r="H4604" t="s">
        <v>35</v>
      </c>
      <c r="I4604" s="36">
        <v>4074</v>
      </c>
      <c r="J4604" s="36">
        <v>4074</v>
      </c>
      <c r="K4604" s="85">
        <v>0</v>
      </c>
      <c r="L4604" s="36">
        <v>339.5</v>
      </c>
      <c r="M4604" s="36">
        <v>339.5</v>
      </c>
      <c r="N4604" s="36">
        <v>0</v>
      </c>
      <c r="O4604" s="36">
        <v>0</v>
      </c>
      <c r="P4604" t="s">
        <v>829</v>
      </c>
      <c r="Q4604" t="s">
        <v>300</v>
      </c>
      <c r="R4604" t="s">
        <v>300</v>
      </c>
      <c r="S4604" s="112">
        <v>46149</v>
      </c>
      <c r="T4604" s="112">
        <v>46149</v>
      </c>
      <c r="V4604" s="112">
        <v>46514</v>
      </c>
      <c r="W4604" t="s">
        <v>38</v>
      </c>
      <c r="X4604">
        <v>12</v>
      </c>
      <c r="Y4604" t="s">
        <v>49</v>
      </c>
      <c r="AA4604" t="s">
        <v>122</v>
      </c>
      <c r="AB4604">
        <v>12</v>
      </c>
      <c r="AC4604" t="s">
        <v>301</v>
      </c>
      <c r="AD4604" t="s">
        <v>160</v>
      </c>
      <c r="AE4604" t="s">
        <v>43</v>
      </c>
      <c r="AF4604" t="s">
        <v>44</v>
      </c>
      <c r="AG4604" t="str">
        <f t="shared" si="107"/>
        <v>Recorrente</v>
      </c>
      <c r="AH4604" t="str">
        <f t="shared" si="108"/>
        <v/>
      </c>
    </row>
    <row r="4605" spans="1:34">
      <c r="A4605">
        <v>2026</v>
      </c>
      <c r="B4605">
        <v>5</v>
      </c>
      <c r="C4605" s="83">
        <v>54995362621</v>
      </c>
      <c r="D4605" t="s">
        <v>3945</v>
      </c>
      <c r="E4605">
        <v>60326278781</v>
      </c>
      <c r="F4605">
        <v>637876</v>
      </c>
      <c r="G4605">
        <v>55339860742</v>
      </c>
      <c r="H4605" t="s">
        <v>35</v>
      </c>
      <c r="I4605" s="36">
        <v>4074</v>
      </c>
      <c r="J4605" s="36">
        <v>4074</v>
      </c>
      <c r="K4605" s="85">
        <v>0</v>
      </c>
      <c r="L4605" s="36">
        <v>339.5</v>
      </c>
      <c r="M4605" s="36">
        <v>339.5</v>
      </c>
      <c r="N4605" s="36">
        <v>0</v>
      </c>
      <c r="O4605" s="36">
        <v>0</v>
      </c>
      <c r="P4605" t="s">
        <v>348</v>
      </c>
      <c r="Q4605" t="s">
        <v>349</v>
      </c>
      <c r="R4605" t="s">
        <v>349</v>
      </c>
      <c r="S4605" s="112">
        <v>46162</v>
      </c>
      <c r="T4605" s="112">
        <v>46162</v>
      </c>
      <c r="U4605" s="112"/>
      <c r="V4605" s="112">
        <v>46527</v>
      </c>
      <c r="W4605" t="s">
        <v>38</v>
      </c>
      <c r="X4605">
        <v>12</v>
      </c>
      <c r="Y4605" t="s">
        <v>49</v>
      </c>
      <c r="AA4605" t="s">
        <v>122</v>
      </c>
      <c r="AB4605">
        <v>12</v>
      </c>
      <c r="AC4605" t="s">
        <v>350</v>
      </c>
      <c r="AD4605" t="s">
        <v>160</v>
      </c>
      <c r="AE4605" t="s">
        <v>43</v>
      </c>
      <c r="AF4605" t="s">
        <v>44</v>
      </c>
      <c r="AG4605" t="str">
        <f t="shared" si="107"/>
        <v>Recorrente</v>
      </c>
      <c r="AH4605" t="str">
        <f t="shared" si="108"/>
        <v/>
      </c>
    </row>
    <row r="4606" spans="1:34">
      <c r="A4606">
        <v>2026</v>
      </c>
      <c r="B4606">
        <v>5</v>
      </c>
      <c r="C4606" s="83">
        <v>222280646281</v>
      </c>
      <c r="D4606" t="s">
        <v>3946</v>
      </c>
      <c r="E4606">
        <v>60236023678</v>
      </c>
      <c r="F4606">
        <v>612410</v>
      </c>
      <c r="G4606">
        <v>55244691496</v>
      </c>
      <c r="H4606" t="s">
        <v>35</v>
      </c>
      <c r="I4606" s="36">
        <v>4065</v>
      </c>
      <c r="J4606" s="36">
        <v>4065</v>
      </c>
      <c r="K4606" s="85">
        <v>0</v>
      </c>
      <c r="L4606" s="36">
        <v>338.75</v>
      </c>
      <c r="M4606" s="36">
        <v>0</v>
      </c>
      <c r="N4606" s="36">
        <v>0</v>
      </c>
      <c r="O4606" s="36">
        <v>338.74624999999997</v>
      </c>
      <c r="P4606" t="s">
        <v>137</v>
      </c>
      <c r="Q4606" t="s">
        <v>111</v>
      </c>
      <c r="R4606" t="s">
        <v>111</v>
      </c>
      <c r="S4606" s="112">
        <v>46156</v>
      </c>
      <c r="T4606" s="112">
        <v>46156</v>
      </c>
      <c r="U4606" s="112">
        <v>46117</v>
      </c>
      <c r="V4606" s="112">
        <v>46521</v>
      </c>
      <c r="W4606" t="s">
        <v>38</v>
      </c>
      <c r="X4606">
        <v>13</v>
      </c>
      <c r="Y4606" t="s">
        <v>49</v>
      </c>
      <c r="Z4606" t="s">
        <v>81</v>
      </c>
      <c r="AA4606" t="s">
        <v>122</v>
      </c>
      <c r="AB4606">
        <v>12</v>
      </c>
      <c r="AC4606" t="s">
        <v>113</v>
      </c>
      <c r="AD4606" t="s">
        <v>84</v>
      </c>
      <c r="AE4606" t="s">
        <v>43</v>
      </c>
      <c r="AF4606" t="s">
        <v>44</v>
      </c>
      <c r="AG4606" t="str">
        <f t="shared" si="107"/>
        <v>Recorrente</v>
      </c>
      <c r="AH4606" t="str">
        <f t="shared" si="108"/>
        <v/>
      </c>
    </row>
    <row r="4607" spans="1:34">
      <c r="A4607">
        <v>2026</v>
      </c>
      <c r="B4607">
        <v>5</v>
      </c>
      <c r="C4607" s="83">
        <v>33033904509</v>
      </c>
      <c r="D4607" t="s">
        <v>3947</v>
      </c>
      <c r="E4607">
        <v>59792466462</v>
      </c>
      <c r="F4607">
        <v>534245</v>
      </c>
      <c r="G4607">
        <v>54801550406</v>
      </c>
      <c r="H4607" t="s">
        <v>35</v>
      </c>
      <c r="I4607" s="36">
        <v>4065</v>
      </c>
      <c r="J4607" s="36">
        <v>4065</v>
      </c>
      <c r="K4607" s="85">
        <v>0</v>
      </c>
      <c r="L4607" s="36">
        <v>338.75</v>
      </c>
      <c r="M4607" s="36">
        <v>0</v>
      </c>
      <c r="N4607" s="36">
        <v>193.62125</v>
      </c>
      <c r="O4607" s="36">
        <v>145.125</v>
      </c>
      <c r="P4607" t="s">
        <v>137</v>
      </c>
      <c r="Q4607" t="s">
        <v>111</v>
      </c>
      <c r="R4607" t="s">
        <v>111</v>
      </c>
      <c r="S4607" s="112">
        <v>46140</v>
      </c>
      <c r="T4607" s="112">
        <v>46143</v>
      </c>
      <c r="U4607" s="112">
        <v>46146</v>
      </c>
      <c r="V4607" s="112">
        <v>46511</v>
      </c>
      <c r="W4607" t="s">
        <v>38</v>
      </c>
      <c r="X4607">
        <v>12</v>
      </c>
      <c r="Y4607" t="s">
        <v>49</v>
      </c>
      <c r="Z4607" t="s">
        <v>76</v>
      </c>
      <c r="AA4607" t="s">
        <v>122</v>
      </c>
      <c r="AB4607">
        <v>12</v>
      </c>
      <c r="AC4607" t="s">
        <v>113</v>
      </c>
      <c r="AD4607" t="s">
        <v>84</v>
      </c>
      <c r="AE4607" t="s">
        <v>43</v>
      </c>
      <c r="AF4607" t="s">
        <v>44</v>
      </c>
      <c r="AG4607" t="str">
        <f t="shared" si="107"/>
        <v>Recorrente</v>
      </c>
      <c r="AH4607" t="str">
        <f t="shared" si="108"/>
        <v/>
      </c>
    </row>
    <row r="4608" spans="1:34">
      <c r="A4608">
        <v>2026</v>
      </c>
      <c r="B4608">
        <v>5</v>
      </c>
      <c r="C4608" s="83">
        <v>33033904509</v>
      </c>
      <c r="D4608" t="s">
        <v>3947</v>
      </c>
      <c r="E4608">
        <v>59792466462</v>
      </c>
      <c r="F4608">
        <v>534245</v>
      </c>
      <c r="G4608">
        <v>54801550407</v>
      </c>
      <c r="H4608" t="s">
        <v>35</v>
      </c>
      <c r="I4608" s="36">
        <v>4065</v>
      </c>
      <c r="J4608" s="36">
        <v>4065</v>
      </c>
      <c r="K4608" s="85">
        <v>0</v>
      </c>
      <c r="L4608" s="36">
        <v>338.75</v>
      </c>
      <c r="M4608" s="36">
        <v>0</v>
      </c>
      <c r="N4608" s="36">
        <v>193.62125</v>
      </c>
      <c r="O4608" s="36">
        <v>145.125</v>
      </c>
      <c r="P4608" t="s">
        <v>137</v>
      </c>
      <c r="Q4608" t="s">
        <v>111</v>
      </c>
      <c r="R4608" t="s">
        <v>111</v>
      </c>
      <c r="S4608" s="112">
        <v>46140</v>
      </c>
      <c r="T4608" s="112">
        <v>46143</v>
      </c>
      <c r="U4608" s="112">
        <v>46146</v>
      </c>
      <c r="V4608" s="112">
        <v>46511</v>
      </c>
      <c r="W4608" t="s">
        <v>38</v>
      </c>
      <c r="X4608">
        <v>12</v>
      </c>
      <c r="Y4608" t="s">
        <v>49</v>
      </c>
      <c r="Z4608" t="s">
        <v>76</v>
      </c>
      <c r="AA4608" t="s">
        <v>122</v>
      </c>
      <c r="AB4608">
        <v>12</v>
      </c>
      <c r="AC4608" t="s">
        <v>113</v>
      </c>
      <c r="AD4608" t="s">
        <v>84</v>
      </c>
      <c r="AE4608" t="s">
        <v>43</v>
      </c>
      <c r="AF4608" t="s">
        <v>44</v>
      </c>
      <c r="AG4608" t="str">
        <f t="shared" si="107"/>
        <v>Recorrente</v>
      </c>
      <c r="AH4608" t="str">
        <f t="shared" si="108"/>
        <v/>
      </c>
    </row>
    <row r="4609" spans="1:34">
      <c r="A4609">
        <v>2026</v>
      </c>
      <c r="B4609">
        <v>5</v>
      </c>
      <c r="C4609" s="83">
        <v>34346357659</v>
      </c>
      <c r="D4609" t="s">
        <v>3948</v>
      </c>
      <c r="E4609">
        <v>60639171423</v>
      </c>
      <c r="F4609">
        <v>629919</v>
      </c>
      <c r="G4609">
        <v>55660927042</v>
      </c>
      <c r="H4609" t="s">
        <v>35</v>
      </c>
      <c r="I4609" s="36">
        <v>4065</v>
      </c>
      <c r="J4609" s="36">
        <v>4065</v>
      </c>
      <c r="K4609" s="85">
        <v>0</v>
      </c>
      <c r="L4609" s="36">
        <v>338.75</v>
      </c>
      <c r="M4609" s="36">
        <v>0</v>
      </c>
      <c r="N4609" s="36">
        <v>9.7962500000000006</v>
      </c>
      <c r="O4609" s="36">
        <v>328.95</v>
      </c>
      <c r="P4609" t="s">
        <v>162</v>
      </c>
      <c r="Q4609" t="s">
        <v>111</v>
      </c>
      <c r="R4609" t="s">
        <v>111</v>
      </c>
      <c r="S4609" s="112">
        <v>46170</v>
      </c>
      <c r="T4609" s="112">
        <v>46170</v>
      </c>
      <c r="U4609" s="112">
        <v>46171</v>
      </c>
      <c r="V4609" s="112">
        <v>46536</v>
      </c>
      <c r="W4609" t="s">
        <v>38</v>
      </c>
      <c r="X4609">
        <v>12</v>
      </c>
      <c r="Y4609" t="s">
        <v>49</v>
      </c>
      <c r="Z4609" t="s">
        <v>81</v>
      </c>
      <c r="AA4609" t="s">
        <v>112</v>
      </c>
      <c r="AB4609">
        <v>12</v>
      </c>
      <c r="AC4609" t="s">
        <v>113</v>
      </c>
      <c r="AD4609" t="s">
        <v>84</v>
      </c>
      <c r="AE4609" t="s">
        <v>43</v>
      </c>
      <c r="AF4609" t="s">
        <v>44</v>
      </c>
      <c r="AG4609" t="str">
        <f t="shared" si="107"/>
        <v>CC 12x</v>
      </c>
      <c r="AH4609" t="str">
        <f t="shared" si="108"/>
        <v/>
      </c>
    </row>
    <row r="4610" spans="1:34">
      <c r="A4610">
        <v>2026</v>
      </c>
      <c r="B4610">
        <v>5</v>
      </c>
      <c r="C4610" s="83">
        <v>2112272</v>
      </c>
      <c r="D4610" t="s">
        <v>3949</v>
      </c>
      <c r="E4610">
        <v>60445639174</v>
      </c>
      <c r="F4610">
        <v>637912</v>
      </c>
      <c r="G4610">
        <v>55519586961</v>
      </c>
      <c r="H4610" t="s">
        <v>35</v>
      </c>
      <c r="I4610" s="36">
        <v>4030.68</v>
      </c>
      <c r="J4610" s="36">
        <v>4030.7339999999999</v>
      </c>
      <c r="K4610" s="85">
        <v>0</v>
      </c>
      <c r="L4610" s="36">
        <v>335.89449999999999</v>
      </c>
      <c r="M4610" s="36">
        <v>335.89449999999999</v>
      </c>
      <c r="N4610" s="36">
        <v>0</v>
      </c>
      <c r="O4610" s="36">
        <v>0</v>
      </c>
      <c r="P4610" t="s">
        <v>829</v>
      </c>
      <c r="Q4610" t="s">
        <v>300</v>
      </c>
      <c r="R4610" t="s">
        <v>300</v>
      </c>
      <c r="S4610" s="112">
        <v>46163</v>
      </c>
      <c r="T4610" s="112">
        <v>46163</v>
      </c>
      <c r="U4610" s="112"/>
      <c r="V4610" s="112">
        <v>46528</v>
      </c>
      <c r="W4610" t="s">
        <v>38</v>
      </c>
      <c r="X4610">
        <v>12</v>
      </c>
      <c r="Y4610" t="s">
        <v>49</v>
      </c>
      <c r="AA4610" t="s">
        <v>112</v>
      </c>
      <c r="AB4610">
        <v>1</v>
      </c>
      <c r="AC4610" t="s">
        <v>301</v>
      </c>
      <c r="AD4610" t="s">
        <v>138</v>
      </c>
      <c r="AE4610" t="s">
        <v>135</v>
      </c>
      <c r="AF4610" t="s">
        <v>119</v>
      </c>
      <c r="AG4610" t="str">
        <f t="shared" si="107"/>
        <v>À Vista</v>
      </c>
      <c r="AH4610" t="str">
        <f t="shared" si="108"/>
        <v/>
      </c>
    </row>
    <row r="4611" spans="1:34">
      <c r="A4611">
        <v>2026</v>
      </c>
      <c r="B4611">
        <v>5</v>
      </c>
      <c r="C4611" s="83">
        <v>135618458489</v>
      </c>
      <c r="D4611" t="s">
        <v>3950</v>
      </c>
      <c r="E4611">
        <v>60629390928</v>
      </c>
      <c r="F4611">
        <v>637964</v>
      </c>
      <c r="G4611">
        <v>55612279481</v>
      </c>
      <c r="H4611" t="s">
        <v>35</v>
      </c>
      <c r="I4611" s="36">
        <v>4027.2</v>
      </c>
      <c r="J4611" s="36">
        <v>4027.2</v>
      </c>
      <c r="K4611" s="85">
        <v>0</v>
      </c>
      <c r="L4611" s="36">
        <v>335.6</v>
      </c>
      <c r="M4611" s="36">
        <v>335.6</v>
      </c>
      <c r="N4611" s="36">
        <v>0</v>
      </c>
      <c r="O4611" s="36">
        <v>0</v>
      </c>
      <c r="P4611" t="s">
        <v>3179</v>
      </c>
      <c r="Q4611" t="s">
        <v>300</v>
      </c>
      <c r="R4611" t="s">
        <v>300</v>
      </c>
      <c r="S4611" s="112">
        <v>46167</v>
      </c>
      <c r="T4611" s="112">
        <v>46167</v>
      </c>
      <c r="U4611" s="112"/>
      <c r="V4611" s="112">
        <v>46532</v>
      </c>
      <c r="W4611" t="s">
        <v>38</v>
      </c>
      <c r="X4611">
        <v>12</v>
      </c>
      <c r="Y4611" t="s">
        <v>49</v>
      </c>
      <c r="AA4611" t="s">
        <v>112</v>
      </c>
      <c r="AB4611">
        <v>12</v>
      </c>
      <c r="AC4611" t="s">
        <v>301</v>
      </c>
      <c r="AD4611" t="s">
        <v>84</v>
      </c>
      <c r="AE4611" t="s">
        <v>43</v>
      </c>
      <c r="AF4611" t="s">
        <v>44</v>
      </c>
      <c r="AG4611" t="str">
        <f t="shared" si="107"/>
        <v>CC 12x</v>
      </c>
      <c r="AH4611" t="str">
        <f t="shared" si="108"/>
        <v/>
      </c>
    </row>
    <row r="4612" spans="1:34">
      <c r="A4612">
        <v>2026</v>
      </c>
      <c r="B4612">
        <v>5</v>
      </c>
      <c r="C4612" s="83">
        <v>55160381766</v>
      </c>
      <c r="D4612" t="s">
        <v>3951</v>
      </c>
      <c r="E4612">
        <v>60524951172</v>
      </c>
      <c r="F4612">
        <v>637950</v>
      </c>
      <c r="G4612">
        <v>55609892224</v>
      </c>
      <c r="H4612" t="s">
        <v>35</v>
      </c>
      <c r="I4612" s="36">
        <v>4027.2</v>
      </c>
      <c r="J4612" s="36">
        <v>4027.2</v>
      </c>
      <c r="K4612" s="85">
        <v>0</v>
      </c>
      <c r="L4612" s="36">
        <v>335.6</v>
      </c>
      <c r="M4612" s="36">
        <v>335.6</v>
      </c>
      <c r="N4612" s="36">
        <v>0</v>
      </c>
      <c r="O4612" s="36">
        <v>0</v>
      </c>
      <c r="P4612" t="s">
        <v>3179</v>
      </c>
      <c r="Q4612" t="s">
        <v>300</v>
      </c>
      <c r="R4612" t="s">
        <v>300</v>
      </c>
      <c r="S4612" s="112">
        <v>46167</v>
      </c>
      <c r="T4612" s="112">
        <v>46167</v>
      </c>
      <c r="U4612" s="112"/>
      <c r="V4612" s="112">
        <v>46532</v>
      </c>
      <c r="W4612" t="s">
        <v>38</v>
      </c>
      <c r="X4612">
        <v>12</v>
      </c>
      <c r="Y4612" t="s">
        <v>49</v>
      </c>
      <c r="AA4612" t="s">
        <v>117</v>
      </c>
      <c r="AB4612">
        <v>1</v>
      </c>
      <c r="AC4612" t="s">
        <v>301</v>
      </c>
      <c r="AD4612" t="s">
        <v>84</v>
      </c>
      <c r="AE4612" t="s">
        <v>43</v>
      </c>
      <c r="AF4612" t="s">
        <v>44</v>
      </c>
      <c r="AG4612" t="str">
        <f t="shared" si="107"/>
        <v>À Vista</v>
      </c>
      <c r="AH4612" t="str">
        <f t="shared" si="108"/>
        <v/>
      </c>
    </row>
    <row r="4613" spans="1:34">
      <c r="A4613">
        <v>2026</v>
      </c>
      <c r="B4613">
        <v>5</v>
      </c>
      <c r="C4613" s="83">
        <v>19525470615</v>
      </c>
      <c r="D4613" t="s">
        <v>3952</v>
      </c>
      <c r="E4613">
        <v>59452938935</v>
      </c>
      <c r="F4613">
        <v>612956</v>
      </c>
      <c r="G4613">
        <v>55319031113</v>
      </c>
      <c r="H4613" t="s">
        <v>35</v>
      </c>
      <c r="I4613" s="36">
        <v>3983.88</v>
      </c>
      <c r="J4613" s="36">
        <v>3983.88</v>
      </c>
      <c r="K4613" s="85">
        <v>0</v>
      </c>
      <c r="L4613" s="36">
        <v>331.99</v>
      </c>
      <c r="M4613" s="36">
        <v>0</v>
      </c>
      <c r="N4613" s="36">
        <v>140.79334499999999</v>
      </c>
      <c r="O4613" s="36">
        <v>191.2</v>
      </c>
      <c r="P4613" t="s">
        <v>116</v>
      </c>
      <c r="Q4613" t="s">
        <v>111</v>
      </c>
      <c r="R4613" t="s">
        <v>111</v>
      </c>
      <c r="S4613" s="112">
        <v>46160</v>
      </c>
      <c r="T4613" s="112">
        <v>46160</v>
      </c>
      <c r="U4613" s="112">
        <v>46150</v>
      </c>
      <c r="V4613" s="112">
        <v>46522</v>
      </c>
      <c r="W4613" t="s">
        <v>38</v>
      </c>
      <c r="X4613">
        <v>12</v>
      </c>
      <c r="Y4613" t="s">
        <v>49</v>
      </c>
      <c r="Z4613" t="s">
        <v>76</v>
      </c>
      <c r="AA4613" t="s">
        <v>82</v>
      </c>
      <c r="AB4613">
        <v>1</v>
      </c>
      <c r="AC4613" t="s">
        <v>113</v>
      </c>
      <c r="AD4613" t="s">
        <v>138</v>
      </c>
      <c r="AE4613" t="s">
        <v>135</v>
      </c>
      <c r="AF4613" t="s">
        <v>119</v>
      </c>
      <c r="AG4613" t="str">
        <f t="shared" si="107"/>
        <v>À Vista</v>
      </c>
      <c r="AH4613" t="str">
        <f t="shared" si="108"/>
        <v/>
      </c>
    </row>
    <row r="4614" spans="1:34">
      <c r="A4614">
        <v>2026</v>
      </c>
      <c r="B4614">
        <v>5</v>
      </c>
      <c r="C4614" s="83">
        <v>53077352027</v>
      </c>
      <c r="D4614" t="s">
        <v>3594</v>
      </c>
      <c r="E4614">
        <v>56699659649</v>
      </c>
      <c r="F4614">
        <v>637872</v>
      </c>
      <c r="G4614">
        <v>55339865245</v>
      </c>
      <c r="H4614" t="s">
        <v>35</v>
      </c>
      <c r="I4614" s="36">
        <v>3946</v>
      </c>
      <c r="J4614" s="36">
        <v>3946</v>
      </c>
      <c r="K4614" s="85">
        <v>0</v>
      </c>
      <c r="L4614" s="36">
        <v>328.83333333333331</v>
      </c>
      <c r="M4614" s="36">
        <v>328.83333333333331</v>
      </c>
      <c r="N4614" s="36">
        <v>0</v>
      </c>
      <c r="O4614" s="36">
        <v>0</v>
      </c>
      <c r="P4614" t="s">
        <v>36</v>
      </c>
      <c r="Q4614" t="s">
        <v>3558</v>
      </c>
      <c r="R4614" t="s">
        <v>37</v>
      </c>
      <c r="S4614" s="112">
        <v>46162</v>
      </c>
      <c r="T4614" s="112">
        <v>46162</v>
      </c>
      <c r="U4614" s="112"/>
      <c r="V4614" s="112"/>
      <c r="W4614" t="s">
        <v>38</v>
      </c>
      <c r="X4614">
        <v>12</v>
      </c>
      <c r="Y4614" t="s">
        <v>49</v>
      </c>
      <c r="AA4614" t="s">
        <v>40</v>
      </c>
      <c r="AB4614">
        <v>1</v>
      </c>
      <c r="AC4614" t="s">
        <v>41</v>
      </c>
      <c r="AD4614" t="s">
        <v>42</v>
      </c>
      <c r="AE4614" t="s">
        <v>43</v>
      </c>
      <c r="AF4614" t="s">
        <v>44</v>
      </c>
      <c r="AG4614" t="str">
        <f t="shared" si="107"/>
        <v>À Vista</v>
      </c>
      <c r="AH4614" t="str">
        <f t="shared" si="108"/>
        <v/>
      </c>
    </row>
    <row r="4615" spans="1:34">
      <c r="A4615">
        <v>2026</v>
      </c>
      <c r="B4615">
        <v>5</v>
      </c>
      <c r="C4615" s="83">
        <v>19435665223</v>
      </c>
      <c r="D4615" t="s">
        <v>3953</v>
      </c>
      <c r="E4615">
        <v>58847311731</v>
      </c>
      <c r="F4615">
        <v>282004</v>
      </c>
      <c r="G4615">
        <v>55129089611</v>
      </c>
      <c r="H4615" t="s">
        <v>35</v>
      </c>
      <c r="I4615" s="36">
        <v>3928.68</v>
      </c>
      <c r="J4615" s="36">
        <v>3928.68</v>
      </c>
      <c r="K4615" s="85">
        <v>0</v>
      </c>
      <c r="L4615" s="36">
        <v>327.39</v>
      </c>
      <c r="M4615" s="36">
        <v>0</v>
      </c>
      <c r="N4615" s="36">
        <v>165.5558217</v>
      </c>
      <c r="O4615" s="36">
        <v>161.83333329999999</v>
      </c>
      <c r="P4615" t="s">
        <v>110</v>
      </c>
      <c r="Q4615" t="s">
        <v>111</v>
      </c>
      <c r="R4615" t="s">
        <v>111</v>
      </c>
      <c r="S4615" s="112">
        <v>46150</v>
      </c>
      <c r="T4615" s="112">
        <v>46150</v>
      </c>
      <c r="U4615" s="112">
        <v>46147</v>
      </c>
      <c r="V4615" s="112">
        <v>46515</v>
      </c>
      <c r="W4615" t="s">
        <v>38</v>
      </c>
      <c r="X4615">
        <v>12</v>
      </c>
      <c r="Y4615" t="s">
        <v>49</v>
      </c>
      <c r="Z4615" t="s">
        <v>81</v>
      </c>
      <c r="AA4615" t="s">
        <v>112</v>
      </c>
      <c r="AB4615">
        <v>12</v>
      </c>
      <c r="AC4615" t="s">
        <v>113</v>
      </c>
      <c r="AD4615" t="s">
        <v>138</v>
      </c>
      <c r="AE4615" t="s">
        <v>135</v>
      </c>
      <c r="AF4615" t="s">
        <v>119</v>
      </c>
      <c r="AG4615" t="str">
        <f t="shared" si="107"/>
        <v>CC 12x</v>
      </c>
      <c r="AH4615" t="str">
        <f t="shared" si="108"/>
        <v/>
      </c>
    </row>
    <row r="4616" spans="1:34">
      <c r="A4616">
        <v>2026</v>
      </c>
      <c r="B4616">
        <v>5</v>
      </c>
      <c r="C4616" s="83">
        <v>2075807</v>
      </c>
      <c r="D4616" t="s">
        <v>3954</v>
      </c>
      <c r="E4616">
        <v>60035015485</v>
      </c>
      <c r="F4616">
        <v>270558</v>
      </c>
      <c r="G4616">
        <v>55319793539</v>
      </c>
      <c r="H4616" t="s">
        <v>35</v>
      </c>
      <c r="I4616" s="36">
        <v>3928.68</v>
      </c>
      <c r="J4616" s="36">
        <v>3928.68</v>
      </c>
      <c r="K4616" s="85">
        <v>0</v>
      </c>
      <c r="L4616" s="36">
        <v>327.39</v>
      </c>
      <c r="M4616" s="36">
        <v>0</v>
      </c>
      <c r="N4616" s="36">
        <v>127.39375</v>
      </c>
      <c r="O4616" s="36">
        <v>200</v>
      </c>
      <c r="P4616" t="s">
        <v>137</v>
      </c>
      <c r="Q4616" t="s">
        <v>111</v>
      </c>
      <c r="R4616" t="s">
        <v>111</v>
      </c>
      <c r="S4616" s="112">
        <v>46160</v>
      </c>
      <c r="T4616" s="112">
        <v>46160</v>
      </c>
      <c r="U4616" s="112">
        <v>46173</v>
      </c>
      <c r="V4616" s="112">
        <v>46538</v>
      </c>
      <c r="W4616" t="s">
        <v>38</v>
      </c>
      <c r="X4616">
        <v>12</v>
      </c>
      <c r="Y4616" t="s">
        <v>49</v>
      </c>
      <c r="Z4616" t="s">
        <v>81</v>
      </c>
      <c r="AA4616" t="s">
        <v>112</v>
      </c>
      <c r="AB4616">
        <v>12</v>
      </c>
      <c r="AC4616" t="s">
        <v>113</v>
      </c>
      <c r="AD4616" t="s">
        <v>138</v>
      </c>
      <c r="AE4616" t="s">
        <v>135</v>
      </c>
      <c r="AF4616" t="s">
        <v>119</v>
      </c>
      <c r="AG4616" t="str">
        <f t="shared" si="107"/>
        <v>CC 12x</v>
      </c>
      <c r="AH4616" t="str">
        <f t="shared" si="108"/>
        <v/>
      </c>
    </row>
    <row r="4617" spans="1:34">
      <c r="A4617">
        <v>2026</v>
      </c>
      <c r="B4617">
        <v>5</v>
      </c>
      <c r="C4617" s="83">
        <v>19653653252</v>
      </c>
      <c r="D4617" t="s">
        <v>1250</v>
      </c>
      <c r="E4617">
        <v>58353634565</v>
      </c>
      <c r="F4617">
        <v>636017</v>
      </c>
      <c r="G4617">
        <v>55196504321</v>
      </c>
      <c r="H4617" t="s">
        <v>35</v>
      </c>
      <c r="I4617" s="36">
        <v>3900.6</v>
      </c>
      <c r="J4617" s="36">
        <v>5181.12</v>
      </c>
      <c r="K4617" s="85">
        <v>0</v>
      </c>
      <c r="L4617" s="36">
        <v>431.76</v>
      </c>
      <c r="M4617" s="36">
        <v>0</v>
      </c>
      <c r="N4617" s="36">
        <v>431.76</v>
      </c>
      <c r="O4617" s="36">
        <v>0</v>
      </c>
      <c r="P4617" t="s">
        <v>520</v>
      </c>
      <c r="Q4617" t="s">
        <v>191</v>
      </c>
      <c r="R4617" t="s">
        <v>191</v>
      </c>
      <c r="S4617" s="112">
        <v>46154</v>
      </c>
      <c r="T4617" s="112">
        <v>46154</v>
      </c>
      <c r="U4617" s="112">
        <v>46428</v>
      </c>
      <c r="V4617" s="112">
        <v>46428</v>
      </c>
      <c r="W4617" t="s">
        <v>38</v>
      </c>
      <c r="X4617">
        <v>9</v>
      </c>
      <c r="Y4617" t="s">
        <v>49</v>
      </c>
      <c r="Z4617" t="s">
        <v>324</v>
      </c>
      <c r="AA4617" t="s">
        <v>92</v>
      </c>
      <c r="AB4617">
        <v>8</v>
      </c>
      <c r="AC4617" t="s">
        <v>192</v>
      </c>
      <c r="AD4617" t="s">
        <v>85</v>
      </c>
      <c r="AE4617" t="s">
        <v>46</v>
      </c>
      <c r="AF4617" t="s">
        <v>44</v>
      </c>
      <c r="AG4617" t="str">
        <f t="shared" si="107"/>
        <v>Recorrente</v>
      </c>
      <c r="AH4617" t="str">
        <f t="shared" si="108"/>
        <v/>
      </c>
    </row>
    <row r="4618" spans="1:34">
      <c r="A4618">
        <v>2026</v>
      </c>
      <c r="B4618">
        <v>5</v>
      </c>
      <c r="C4618" s="83">
        <v>19435650309</v>
      </c>
      <c r="D4618" t="s">
        <v>459</v>
      </c>
      <c r="E4618">
        <v>54223788871</v>
      </c>
      <c r="F4618">
        <v>619963</v>
      </c>
      <c r="G4618">
        <v>55242231700</v>
      </c>
      <c r="H4618" t="s">
        <v>35</v>
      </c>
      <c r="I4618" s="36">
        <v>3882.9</v>
      </c>
      <c r="J4618" s="36">
        <v>3882.8999999999996</v>
      </c>
      <c r="K4618" s="85">
        <v>0</v>
      </c>
      <c r="L4618" s="36">
        <v>323.57499999999999</v>
      </c>
      <c r="M4618" s="36">
        <v>0</v>
      </c>
      <c r="N4618" s="36">
        <v>323.57499999999999</v>
      </c>
      <c r="O4618" s="36">
        <v>0</v>
      </c>
      <c r="P4618" t="s">
        <v>72</v>
      </c>
      <c r="Q4618" t="s">
        <v>3558</v>
      </c>
      <c r="R4618" t="s">
        <v>37</v>
      </c>
      <c r="S4618" s="112">
        <v>46155</v>
      </c>
      <c r="T4618" s="112">
        <v>46155</v>
      </c>
      <c r="U4618" s="112"/>
      <c r="V4618" s="112"/>
      <c r="W4618" t="s">
        <v>38</v>
      </c>
      <c r="X4618">
        <v>12</v>
      </c>
      <c r="Y4618" t="s">
        <v>49</v>
      </c>
      <c r="Z4618" t="s">
        <v>324</v>
      </c>
      <c r="AA4618" t="s">
        <v>112</v>
      </c>
      <c r="AB4618">
        <v>1</v>
      </c>
      <c r="AC4618" t="s">
        <v>41</v>
      </c>
      <c r="AD4618" t="s">
        <v>45</v>
      </c>
      <c r="AE4618" t="s">
        <v>46</v>
      </c>
      <c r="AF4618" t="s">
        <v>47</v>
      </c>
      <c r="AG4618" t="str">
        <f t="shared" si="107"/>
        <v>À Vista</v>
      </c>
      <c r="AH4618" t="str">
        <f t="shared" si="108"/>
        <v/>
      </c>
    </row>
    <row r="4619" spans="1:34">
      <c r="A4619">
        <v>2026</v>
      </c>
      <c r="B4619">
        <v>5</v>
      </c>
      <c r="C4619" s="83">
        <v>33708913160</v>
      </c>
      <c r="D4619" t="s">
        <v>3955</v>
      </c>
      <c r="E4619">
        <v>60022643545</v>
      </c>
      <c r="F4619">
        <v>629939</v>
      </c>
      <c r="G4619">
        <v>55339798350</v>
      </c>
      <c r="H4619" t="s">
        <v>35</v>
      </c>
      <c r="I4619" s="36">
        <v>3882.6</v>
      </c>
      <c r="J4619" s="36">
        <v>3882.6</v>
      </c>
      <c r="K4619" s="85">
        <v>0</v>
      </c>
      <c r="L4619" s="36">
        <v>323.55</v>
      </c>
      <c r="M4619" s="36">
        <v>0</v>
      </c>
      <c r="N4619" s="36">
        <v>0</v>
      </c>
      <c r="O4619" s="36">
        <v>323.55</v>
      </c>
      <c r="P4619" t="s">
        <v>127</v>
      </c>
      <c r="Q4619" t="s">
        <v>111</v>
      </c>
      <c r="R4619" t="s">
        <v>111</v>
      </c>
      <c r="S4619" s="112">
        <v>46162</v>
      </c>
      <c r="T4619" s="112">
        <v>46162</v>
      </c>
      <c r="U4619" s="112">
        <v>46172</v>
      </c>
      <c r="V4619" s="112">
        <v>46537</v>
      </c>
      <c r="W4619" t="s">
        <v>38</v>
      </c>
      <c r="X4619">
        <v>12</v>
      </c>
      <c r="Y4619" t="s">
        <v>49</v>
      </c>
      <c r="Z4619" t="s">
        <v>81</v>
      </c>
      <c r="AA4619" t="s">
        <v>92</v>
      </c>
      <c r="AB4619">
        <v>12</v>
      </c>
      <c r="AC4619" t="s">
        <v>113</v>
      </c>
      <c r="AD4619" t="s">
        <v>118</v>
      </c>
      <c r="AE4619" t="s">
        <v>43</v>
      </c>
      <c r="AF4619" t="s">
        <v>119</v>
      </c>
      <c r="AG4619" t="str">
        <f t="shared" si="107"/>
        <v>Recorrente</v>
      </c>
      <c r="AH4619" t="str">
        <f t="shared" si="108"/>
        <v/>
      </c>
    </row>
    <row r="4620" spans="1:34">
      <c r="A4620">
        <v>2026</v>
      </c>
      <c r="B4620">
        <v>5</v>
      </c>
      <c r="C4620" s="83">
        <v>33708913160</v>
      </c>
      <c r="D4620" t="s">
        <v>3955</v>
      </c>
      <c r="E4620">
        <v>60022643545</v>
      </c>
      <c r="F4620">
        <v>629939</v>
      </c>
      <c r="G4620">
        <v>55339798351</v>
      </c>
      <c r="H4620" t="s">
        <v>35</v>
      </c>
      <c r="I4620" s="36">
        <v>3882.6</v>
      </c>
      <c r="J4620" s="36">
        <v>3882.6</v>
      </c>
      <c r="K4620" s="85">
        <v>0</v>
      </c>
      <c r="L4620" s="36">
        <v>323.55</v>
      </c>
      <c r="M4620" s="36">
        <v>0</v>
      </c>
      <c r="N4620" s="36">
        <v>0</v>
      </c>
      <c r="O4620" s="36">
        <v>323.55</v>
      </c>
      <c r="P4620" t="s">
        <v>127</v>
      </c>
      <c r="Q4620" t="s">
        <v>111</v>
      </c>
      <c r="R4620" t="s">
        <v>111</v>
      </c>
      <c r="S4620" s="112">
        <v>46162</v>
      </c>
      <c r="T4620" s="112">
        <v>46162</v>
      </c>
      <c r="U4620" s="112">
        <v>46172</v>
      </c>
      <c r="V4620" s="112">
        <v>46537</v>
      </c>
      <c r="W4620" t="s">
        <v>38</v>
      </c>
      <c r="X4620">
        <v>12</v>
      </c>
      <c r="Y4620" t="s">
        <v>49</v>
      </c>
      <c r="Z4620" t="s">
        <v>81</v>
      </c>
      <c r="AA4620" t="s">
        <v>92</v>
      </c>
      <c r="AB4620">
        <v>12</v>
      </c>
      <c r="AC4620" t="s">
        <v>113</v>
      </c>
      <c r="AD4620" t="s">
        <v>85</v>
      </c>
      <c r="AE4620" t="s">
        <v>46</v>
      </c>
      <c r="AF4620" t="s">
        <v>44</v>
      </c>
      <c r="AG4620" t="str">
        <f t="shared" si="107"/>
        <v>Recorrente</v>
      </c>
      <c r="AH4620" t="str">
        <f t="shared" si="108"/>
        <v/>
      </c>
    </row>
    <row r="4621" spans="1:34">
      <c r="A4621">
        <v>2026</v>
      </c>
      <c r="B4621">
        <v>5</v>
      </c>
      <c r="C4621" s="83">
        <v>2065608</v>
      </c>
      <c r="D4621" t="s">
        <v>3956</v>
      </c>
      <c r="E4621">
        <v>58868402594</v>
      </c>
      <c r="F4621">
        <v>314281</v>
      </c>
      <c r="G4621">
        <v>55257589889</v>
      </c>
      <c r="H4621" t="s">
        <v>35</v>
      </c>
      <c r="I4621" s="36">
        <v>3876.12</v>
      </c>
      <c r="J4621" s="36">
        <v>3876.12</v>
      </c>
      <c r="K4621" s="85">
        <v>0</v>
      </c>
      <c r="L4621" s="36">
        <v>323.01</v>
      </c>
      <c r="M4621" s="36">
        <v>0</v>
      </c>
      <c r="N4621" s="36">
        <v>28.895</v>
      </c>
      <c r="O4621" s="36">
        <v>294.12</v>
      </c>
      <c r="P4621" t="s">
        <v>133</v>
      </c>
      <c r="Q4621" t="s">
        <v>111</v>
      </c>
      <c r="R4621" t="s">
        <v>111</v>
      </c>
      <c r="S4621" s="112">
        <v>46169</v>
      </c>
      <c r="T4621" s="112">
        <v>46169</v>
      </c>
      <c r="U4621" s="112">
        <v>46146</v>
      </c>
      <c r="V4621" s="112">
        <v>46534</v>
      </c>
      <c r="W4621" t="s">
        <v>38</v>
      </c>
      <c r="X4621">
        <v>12</v>
      </c>
      <c r="Y4621" t="s">
        <v>49</v>
      </c>
      <c r="Z4621" t="s">
        <v>81</v>
      </c>
      <c r="AA4621" t="s">
        <v>112</v>
      </c>
      <c r="AB4621">
        <v>12</v>
      </c>
      <c r="AC4621" t="s">
        <v>113</v>
      </c>
      <c r="AD4621" t="s">
        <v>84</v>
      </c>
      <c r="AE4621" t="s">
        <v>43</v>
      </c>
      <c r="AF4621" t="s">
        <v>44</v>
      </c>
      <c r="AG4621" t="str">
        <f t="shared" si="107"/>
        <v>CC 12x</v>
      </c>
      <c r="AH4621" t="str">
        <f t="shared" si="108"/>
        <v/>
      </c>
    </row>
    <row r="4622" spans="1:34">
      <c r="A4622">
        <v>2026</v>
      </c>
      <c r="B4622">
        <v>5</v>
      </c>
      <c r="C4622" s="83">
        <v>19485949071</v>
      </c>
      <c r="D4622" t="s">
        <v>3007</v>
      </c>
      <c r="E4622">
        <v>60185079335</v>
      </c>
      <c r="F4622">
        <v>637761</v>
      </c>
      <c r="G4622">
        <v>55241248591</v>
      </c>
      <c r="H4622" t="s">
        <v>35</v>
      </c>
      <c r="I4622" s="36">
        <v>3866.4</v>
      </c>
      <c r="J4622" s="36">
        <v>3866.4</v>
      </c>
      <c r="K4622" s="85">
        <v>4.5499999999999998E-13</v>
      </c>
      <c r="L4622" s="36">
        <v>322.2</v>
      </c>
      <c r="M4622" s="36">
        <v>322.2</v>
      </c>
      <c r="N4622" s="36">
        <v>0</v>
      </c>
      <c r="O4622" s="36">
        <v>0</v>
      </c>
      <c r="P4622" t="s">
        <v>348</v>
      </c>
      <c r="Q4622" t="s">
        <v>349</v>
      </c>
      <c r="R4622" t="s">
        <v>349</v>
      </c>
      <c r="S4622" s="112">
        <v>46155</v>
      </c>
      <c r="T4622" s="112">
        <v>46155</v>
      </c>
      <c r="U4622" s="112"/>
      <c r="V4622" s="112">
        <v>46520</v>
      </c>
      <c r="W4622" t="s">
        <v>38</v>
      </c>
      <c r="X4622">
        <v>12</v>
      </c>
      <c r="Y4622" t="s">
        <v>49</v>
      </c>
      <c r="AA4622" t="s">
        <v>117</v>
      </c>
      <c r="AB4622">
        <v>1</v>
      </c>
      <c r="AC4622" t="s">
        <v>350</v>
      </c>
      <c r="AD4622" t="s">
        <v>362</v>
      </c>
      <c r="AE4622" t="s">
        <v>363</v>
      </c>
      <c r="AF4622" t="s">
        <v>59</v>
      </c>
      <c r="AG4622" t="str">
        <f t="shared" si="107"/>
        <v>À Vista</v>
      </c>
      <c r="AH4622" t="str">
        <f t="shared" si="108"/>
        <v/>
      </c>
    </row>
    <row r="4623" spans="1:34">
      <c r="A4623">
        <v>2026</v>
      </c>
      <c r="B4623">
        <v>5</v>
      </c>
      <c r="C4623" s="83">
        <v>19485949071</v>
      </c>
      <c r="D4623" t="s">
        <v>3007</v>
      </c>
      <c r="E4623">
        <v>60185079335</v>
      </c>
      <c r="F4623">
        <v>637761</v>
      </c>
      <c r="G4623">
        <v>55241248592</v>
      </c>
      <c r="H4623" t="s">
        <v>35</v>
      </c>
      <c r="I4623" s="36">
        <v>3866.4</v>
      </c>
      <c r="J4623" s="36">
        <v>3866.4</v>
      </c>
      <c r="K4623" s="85">
        <v>4.5499999999999998E-13</v>
      </c>
      <c r="L4623" s="36">
        <v>322.2</v>
      </c>
      <c r="M4623" s="36">
        <v>322.2</v>
      </c>
      <c r="N4623" s="36">
        <v>0</v>
      </c>
      <c r="O4623" s="36">
        <v>0</v>
      </c>
      <c r="P4623" t="s">
        <v>348</v>
      </c>
      <c r="Q4623" t="s">
        <v>349</v>
      </c>
      <c r="R4623" t="s">
        <v>349</v>
      </c>
      <c r="S4623" s="112">
        <v>46155</v>
      </c>
      <c r="T4623" s="112">
        <v>46155</v>
      </c>
      <c r="U4623" s="112"/>
      <c r="V4623" s="112">
        <v>46520</v>
      </c>
      <c r="W4623" t="s">
        <v>38</v>
      </c>
      <c r="X4623">
        <v>12</v>
      </c>
      <c r="Y4623" t="s">
        <v>49</v>
      </c>
      <c r="AA4623" t="s">
        <v>117</v>
      </c>
      <c r="AB4623">
        <v>1</v>
      </c>
      <c r="AC4623" t="s">
        <v>350</v>
      </c>
      <c r="AD4623" t="s">
        <v>256</v>
      </c>
      <c r="AE4623" t="s">
        <v>257</v>
      </c>
      <c r="AF4623" t="s">
        <v>59</v>
      </c>
      <c r="AG4623" t="str">
        <f t="shared" si="107"/>
        <v>À Vista</v>
      </c>
      <c r="AH4623" t="str">
        <f t="shared" si="108"/>
        <v/>
      </c>
    </row>
    <row r="4624" spans="1:34">
      <c r="A4624">
        <v>2026</v>
      </c>
      <c r="B4624">
        <v>5</v>
      </c>
      <c r="C4624" s="83">
        <v>54003218747</v>
      </c>
      <c r="D4624" t="s">
        <v>3957</v>
      </c>
      <c r="E4624">
        <v>59034809416</v>
      </c>
      <c r="F4624">
        <v>637604</v>
      </c>
      <c r="G4624">
        <v>55076464643</v>
      </c>
      <c r="H4624" t="s">
        <v>35</v>
      </c>
      <c r="I4624" s="36">
        <v>3866.4</v>
      </c>
      <c r="J4624" s="36">
        <v>3866.4</v>
      </c>
      <c r="K4624" s="85">
        <v>4.5499999999999998E-13</v>
      </c>
      <c r="L4624" s="36">
        <v>322.2</v>
      </c>
      <c r="M4624" s="36">
        <v>322.2</v>
      </c>
      <c r="N4624" s="36">
        <v>0</v>
      </c>
      <c r="O4624" s="36">
        <v>0</v>
      </c>
      <c r="P4624" t="s">
        <v>469</v>
      </c>
      <c r="Q4624" t="s">
        <v>191</v>
      </c>
      <c r="R4624" t="s">
        <v>91</v>
      </c>
      <c r="S4624" s="112">
        <v>46148</v>
      </c>
      <c r="T4624" s="112">
        <v>46148</v>
      </c>
      <c r="U4624" s="112"/>
      <c r="V4624" s="112">
        <v>46513</v>
      </c>
      <c r="W4624" t="s">
        <v>38</v>
      </c>
      <c r="X4624">
        <v>12</v>
      </c>
      <c r="Y4624" t="s">
        <v>49</v>
      </c>
      <c r="AA4624" t="s">
        <v>112</v>
      </c>
      <c r="AB4624">
        <v>12</v>
      </c>
      <c r="AC4624" t="s">
        <v>93</v>
      </c>
      <c r="AD4624" t="s">
        <v>256</v>
      </c>
      <c r="AE4624" t="s">
        <v>257</v>
      </c>
      <c r="AF4624" t="s">
        <v>59</v>
      </c>
      <c r="AG4624" t="str">
        <f t="shared" si="107"/>
        <v>CC 12x</v>
      </c>
      <c r="AH4624" t="str">
        <f t="shared" si="108"/>
        <v/>
      </c>
    </row>
    <row r="4625" spans="1:34">
      <c r="A4625">
        <v>2026</v>
      </c>
      <c r="B4625">
        <v>5</v>
      </c>
      <c r="C4625" s="83">
        <v>214634192708</v>
      </c>
      <c r="D4625" t="s">
        <v>3238</v>
      </c>
      <c r="E4625">
        <v>60645279610</v>
      </c>
      <c r="F4625">
        <v>628344</v>
      </c>
      <c r="G4625">
        <v>55623692925</v>
      </c>
      <c r="H4625" t="s">
        <v>35</v>
      </c>
      <c r="I4625" s="36">
        <v>3864.72</v>
      </c>
      <c r="J4625" s="36">
        <v>4017.42</v>
      </c>
      <c r="K4625" s="85">
        <v>0</v>
      </c>
      <c r="L4625" s="36">
        <v>334.78500000000003</v>
      </c>
      <c r="M4625" s="36">
        <v>0</v>
      </c>
      <c r="N4625" s="36">
        <v>334.78500000000003</v>
      </c>
      <c r="O4625" s="36">
        <v>0</v>
      </c>
      <c r="P4625" t="s">
        <v>323</v>
      </c>
      <c r="Q4625" t="s">
        <v>191</v>
      </c>
      <c r="R4625" t="s">
        <v>191</v>
      </c>
      <c r="S4625" s="112">
        <v>46168</v>
      </c>
      <c r="T4625" s="112">
        <v>46168</v>
      </c>
      <c r="U4625" s="112">
        <v>46490</v>
      </c>
      <c r="V4625" s="112">
        <v>46490</v>
      </c>
      <c r="W4625" t="s">
        <v>38</v>
      </c>
      <c r="X4625">
        <v>11</v>
      </c>
      <c r="Y4625" t="s">
        <v>49</v>
      </c>
      <c r="Z4625" t="s">
        <v>324</v>
      </c>
      <c r="AA4625" t="s">
        <v>122</v>
      </c>
      <c r="AB4625">
        <v>10</v>
      </c>
      <c r="AC4625" t="s">
        <v>192</v>
      </c>
      <c r="AD4625" t="s">
        <v>229</v>
      </c>
      <c r="AE4625" t="s">
        <v>43</v>
      </c>
      <c r="AF4625" t="s">
        <v>96</v>
      </c>
      <c r="AG4625" t="str">
        <f t="shared" si="107"/>
        <v>Recorrente</v>
      </c>
      <c r="AH4625" t="str">
        <f t="shared" si="108"/>
        <v/>
      </c>
    </row>
    <row r="4626" spans="1:34">
      <c r="A4626">
        <v>2026</v>
      </c>
      <c r="B4626">
        <v>5</v>
      </c>
      <c r="C4626" s="83">
        <v>118262341651</v>
      </c>
      <c r="D4626" t="s">
        <v>3958</v>
      </c>
      <c r="E4626">
        <v>60153190743</v>
      </c>
      <c r="F4626">
        <v>314792</v>
      </c>
      <c r="G4626">
        <v>55241688684</v>
      </c>
      <c r="H4626" t="s">
        <v>35</v>
      </c>
      <c r="I4626" s="36">
        <v>3851.04</v>
      </c>
      <c r="J4626" s="36">
        <v>3851.04</v>
      </c>
      <c r="K4626" s="85">
        <v>0</v>
      </c>
      <c r="L4626" s="36">
        <v>320.92</v>
      </c>
      <c r="M4626" s="36">
        <v>0</v>
      </c>
      <c r="N4626" s="36">
        <v>34.541694999999997</v>
      </c>
      <c r="O4626" s="36">
        <v>286.38</v>
      </c>
      <c r="P4626" t="s">
        <v>116</v>
      </c>
      <c r="Q4626" t="s">
        <v>111</v>
      </c>
      <c r="R4626" t="s">
        <v>111</v>
      </c>
      <c r="S4626" s="112">
        <v>46155</v>
      </c>
      <c r="T4626" s="112">
        <v>46155</v>
      </c>
      <c r="U4626" s="112">
        <v>46150</v>
      </c>
      <c r="V4626" s="112">
        <v>46520</v>
      </c>
      <c r="W4626" t="s">
        <v>38</v>
      </c>
      <c r="X4626">
        <v>12</v>
      </c>
      <c r="Y4626" t="s">
        <v>49</v>
      </c>
      <c r="Z4626" t="s">
        <v>81</v>
      </c>
      <c r="AA4626" t="s">
        <v>112</v>
      </c>
      <c r="AB4626">
        <v>12</v>
      </c>
      <c r="AC4626" t="s">
        <v>113</v>
      </c>
      <c r="AD4626" t="s">
        <v>84</v>
      </c>
      <c r="AE4626" t="s">
        <v>43</v>
      </c>
      <c r="AF4626" t="s">
        <v>44</v>
      </c>
      <c r="AG4626" t="str">
        <f t="shared" si="107"/>
        <v>CC 12x</v>
      </c>
      <c r="AH4626" t="str">
        <f t="shared" si="108"/>
        <v/>
      </c>
    </row>
    <row r="4627" spans="1:34">
      <c r="A4627">
        <v>2026</v>
      </c>
      <c r="B4627">
        <v>5</v>
      </c>
      <c r="C4627" s="83">
        <v>19435677866</v>
      </c>
      <c r="D4627" t="s">
        <v>3959</v>
      </c>
      <c r="E4627">
        <v>60666752526</v>
      </c>
      <c r="F4627">
        <v>536650</v>
      </c>
      <c r="G4627">
        <v>55686072119</v>
      </c>
      <c r="H4627" t="s">
        <v>35</v>
      </c>
      <c r="I4627" s="36">
        <v>3851.04</v>
      </c>
      <c r="J4627" s="36">
        <v>3851.04</v>
      </c>
      <c r="K4627" s="85">
        <v>0</v>
      </c>
      <c r="L4627" s="36">
        <v>320.92</v>
      </c>
      <c r="M4627" s="36">
        <v>0</v>
      </c>
      <c r="N4627" s="36">
        <v>11.321695</v>
      </c>
      <c r="O4627" s="36">
        <v>309.60000000000002</v>
      </c>
      <c r="P4627" t="s">
        <v>116</v>
      </c>
      <c r="Q4627" t="s">
        <v>111</v>
      </c>
      <c r="R4627" t="s">
        <v>111</v>
      </c>
      <c r="S4627" s="112">
        <v>46171</v>
      </c>
      <c r="T4627" s="112">
        <v>46171</v>
      </c>
      <c r="U4627" s="112">
        <v>46172</v>
      </c>
      <c r="V4627" s="112">
        <v>46537</v>
      </c>
      <c r="W4627" t="s">
        <v>38</v>
      </c>
      <c r="X4627">
        <v>12</v>
      </c>
      <c r="Y4627" t="s">
        <v>49</v>
      </c>
      <c r="Z4627" t="s">
        <v>81</v>
      </c>
      <c r="AA4627" t="s">
        <v>112</v>
      </c>
      <c r="AB4627">
        <v>12</v>
      </c>
      <c r="AC4627" t="s">
        <v>113</v>
      </c>
      <c r="AD4627" t="s">
        <v>84</v>
      </c>
      <c r="AE4627" t="s">
        <v>43</v>
      </c>
      <c r="AF4627" t="s">
        <v>44</v>
      </c>
      <c r="AG4627" t="str">
        <f t="shared" si="107"/>
        <v>CC 12x</v>
      </c>
      <c r="AH4627" t="str">
        <f t="shared" si="108"/>
        <v/>
      </c>
    </row>
    <row r="4628" spans="1:34">
      <c r="A4628">
        <v>2026</v>
      </c>
      <c r="B4628">
        <v>5</v>
      </c>
      <c r="C4628" s="83">
        <v>220357068196</v>
      </c>
      <c r="D4628" t="s">
        <v>3960</v>
      </c>
      <c r="E4628">
        <v>59212436573</v>
      </c>
      <c r="F4628">
        <v>328413</v>
      </c>
      <c r="G4628">
        <v>55093978943</v>
      </c>
      <c r="H4628" t="s">
        <v>35</v>
      </c>
      <c r="I4628" s="36">
        <v>3851.04</v>
      </c>
      <c r="J4628" s="36">
        <v>3851.04</v>
      </c>
      <c r="K4628" s="85">
        <v>0</v>
      </c>
      <c r="L4628" s="36">
        <v>320.92</v>
      </c>
      <c r="M4628" s="36">
        <v>0</v>
      </c>
      <c r="N4628" s="36">
        <v>26.920525000000001</v>
      </c>
      <c r="O4628" s="36">
        <v>294</v>
      </c>
      <c r="P4628" t="s">
        <v>116</v>
      </c>
      <c r="Q4628" t="s">
        <v>111</v>
      </c>
      <c r="R4628" t="s">
        <v>111</v>
      </c>
      <c r="S4628" s="112">
        <v>46153</v>
      </c>
      <c r="T4628" s="112">
        <v>46153</v>
      </c>
      <c r="U4628" s="112">
        <v>46171</v>
      </c>
      <c r="V4628" s="112">
        <v>46536</v>
      </c>
      <c r="W4628" t="s">
        <v>38</v>
      </c>
      <c r="X4628">
        <v>12</v>
      </c>
      <c r="Y4628" t="s">
        <v>49</v>
      </c>
      <c r="Z4628" t="s">
        <v>81</v>
      </c>
      <c r="AA4628" t="s">
        <v>112</v>
      </c>
      <c r="AB4628">
        <v>12</v>
      </c>
      <c r="AC4628" t="s">
        <v>113</v>
      </c>
      <c r="AD4628" t="s">
        <v>85</v>
      </c>
      <c r="AE4628" t="s">
        <v>46</v>
      </c>
      <c r="AF4628" t="s">
        <v>44</v>
      </c>
      <c r="AG4628" t="str">
        <f t="shared" si="107"/>
        <v>CC 12x</v>
      </c>
      <c r="AH4628" t="str">
        <f t="shared" si="108"/>
        <v/>
      </c>
    </row>
    <row r="4629" spans="1:34">
      <c r="A4629">
        <v>2026</v>
      </c>
      <c r="B4629">
        <v>5</v>
      </c>
      <c r="C4629" s="83">
        <v>220357068196</v>
      </c>
      <c r="D4629" t="s">
        <v>3960</v>
      </c>
      <c r="E4629">
        <v>59212436573</v>
      </c>
      <c r="F4629">
        <v>328413</v>
      </c>
      <c r="G4629">
        <v>55093978944</v>
      </c>
      <c r="H4629" t="s">
        <v>35</v>
      </c>
      <c r="I4629" s="36">
        <v>3851.04</v>
      </c>
      <c r="J4629" s="36">
        <v>3851.04</v>
      </c>
      <c r="K4629" s="85">
        <v>0</v>
      </c>
      <c r="L4629" s="36">
        <v>320.92</v>
      </c>
      <c r="M4629" s="36">
        <v>0</v>
      </c>
      <c r="N4629" s="36">
        <v>26.920525000000001</v>
      </c>
      <c r="O4629" s="36">
        <v>294</v>
      </c>
      <c r="P4629" t="s">
        <v>116</v>
      </c>
      <c r="Q4629" t="s">
        <v>111</v>
      </c>
      <c r="R4629" t="s">
        <v>111</v>
      </c>
      <c r="S4629" s="112">
        <v>46153</v>
      </c>
      <c r="T4629" s="112">
        <v>46153</v>
      </c>
      <c r="U4629" s="112">
        <v>46171</v>
      </c>
      <c r="V4629" s="112">
        <v>46536</v>
      </c>
      <c r="W4629" t="s">
        <v>38</v>
      </c>
      <c r="X4629">
        <v>12</v>
      </c>
      <c r="Y4629" t="s">
        <v>49</v>
      </c>
      <c r="Z4629" t="s">
        <v>81</v>
      </c>
      <c r="AA4629" t="s">
        <v>112</v>
      </c>
      <c r="AB4629">
        <v>12</v>
      </c>
      <c r="AC4629" t="s">
        <v>113</v>
      </c>
      <c r="AD4629" t="s">
        <v>84</v>
      </c>
      <c r="AE4629" t="s">
        <v>43</v>
      </c>
      <c r="AF4629" t="s">
        <v>44</v>
      </c>
      <c r="AG4629" t="str">
        <f t="shared" si="107"/>
        <v>CC 12x</v>
      </c>
      <c r="AH4629" t="str">
        <f t="shared" si="108"/>
        <v/>
      </c>
    </row>
    <row r="4630" spans="1:34">
      <c r="A4630">
        <v>2026</v>
      </c>
      <c r="B4630">
        <v>5</v>
      </c>
      <c r="C4630" s="83">
        <v>2244041</v>
      </c>
      <c r="D4630" t="s">
        <v>3961</v>
      </c>
      <c r="E4630">
        <v>60015572994</v>
      </c>
      <c r="F4630">
        <v>629975</v>
      </c>
      <c r="G4630">
        <v>55339774558</v>
      </c>
      <c r="H4630" t="s">
        <v>35</v>
      </c>
      <c r="I4630" s="36">
        <v>3851.04</v>
      </c>
      <c r="J4630" s="36">
        <v>3851.04</v>
      </c>
      <c r="K4630" s="85">
        <v>0</v>
      </c>
      <c r="L4630" s="36">
        <v>320.92</v>
      </c>
      <c r="M4630" s="36">
        <v>0</v>
      </c>
      <c r="N4630" s="36">
        <v>7.4474999999999998</v>
      </c>
      <c r="O4630" s="36">
        <v>313.47000000000003</v>
      </c>
      <c r="P4630" t="s">
        <v>110</v>
      </c>
      <c r="Q4630" t="s">
        <v>111</v>
      </c>
      <c r="R4630" t="s">
        <v>111</v>
      </c>
      <c r="S4630" s="112">
        <v>46161</v>
      </c>
      <c r="T4630" s="112">
        <v>46161</v>
      </c>
      <c r="U4630" s="112">
        <v>46172</v>
      </c>
      <c r="V4630" s="112">
        <v>46537</v>
      </c>
      <c r="W4630" t="s">
        <v>38</v>
      </c>
      <c r="X4630">
        <v>12</v>
      </c>
      <c r="Y4630" t="s">
        <v>49</v>
      </c>
      <c r="Z4630" t="s">
        <v>81</v>
      </c>
      <c r="AA4630" t="s">
        <v>112</v>
      </c>
      <c r="AB4630">
        <v>12</v>
      </c>
      <c r="AC4630" t="s">
        <v>113</v>
      </c>
      <c r="AD4630" t="s">
        <v>84</v>
      </c>
      <c r="AE4630" t="s">
        <v>43</v>
      </c>
      <c r="AF4630" t="s">
        <v>44</v>
      </c>
      <c r="AG4630" t="str">
        <f t="shared" si="107"/>
        <v>CC 12x</v>
      </c>
      <c r="AH4630" t="str">
        <f t="shared" si="108"/>
        <v/>
      </c>
    </row>
    <row r="4631" spans="1:34">
      <c r="A4631">
        <v>2026</v>
      </c>
      <c r="B4631">
        <v>5</v>
      </c>
      <c r="C4631" s="83">
        <v>149210201141</v>
      </c>
      <c r="D4631" t="s">
        <v>3962</v>
      </c>
      <c r="E4631">
        <v>58157940606</v>
      </c>
      <c r="F4631">
        <v>614786</v>
      </c>
      <c r="G4631">
        <v>53384872512</v>
      </c>
      <c r="H4631" t="s">
        <v>35</v>
      </c>
      <c r="I4631" s="36">
        <v>3834</v>
      </c>
      <c r="J4631" s="36">
        <v>3834</v>
      </c>
      <c r="K4631" s="85">
        <v>0</v>
      </c>
      <c r="L4631" s="36">
        <v>319.5</v>
      </c>
      <c r="M4631" s="36">
        <v>0</v>
      </c>
      <c r="N4631" s="36">
        <v>21.5</v>
      </c>
      <c r="O4631" s="36">
        <v>298</v>
      </c>
      <c r="P4631" t="s">
        <v>165</v>
      </c>
      <c r="Q4631" t="s">
        <v>166</v>
      </c>
      <c r="R4631" t="s">
        <v>166</v>
      </c>
      <c r="S4631" s="112">
        <v>46145</v>
      </c>
      <c r="T4631" s="112">
        <v>46145</v>
      </c>
      <c r="U4631" s="112">
        <v>46145</v>
      </c>
      <c r="V4631" s="112">
        <v>46510</v>
      </c>
      <c r="W4631" t="s">
        <v>38</v>
      </c>
      <c r="X4631">
        <v>12</v>
      </c>
      <c r="Y4631" t="s">
        <v>49</v>
      </c>
      <c r="Z4631" t="s">
        <v>81</v>
      </c>
      <c r="AA4631" t="s">
        <v>122</v>
      </c>
      <c r="AB4631">
        <v>12</v>
      </c>
      <c r="AC4631" t="s">
        <v>166</v>
      </c>
      <c r="AD4631" t="s">
        <v>142</v>
      </c>
      <c r="AE4631" t="s">
        <v>95</v>
      </c>
      <c r="AF4631" t="s">
        <v>44</v>
      </c>
      <c r="AG4631" t="str">
        <f t="shared" si="107"/>
        <v>Recorrente</v>
      </c>
      <c r="AH4631" t="str">
        <f t="shared" si="108"/>
        <v/>
      </c>
    </row>
    <row r="4632" spans="1:34">
      <c r="A4632">
        <v>2026</v>
      </c>
      <c r="B4632">
        <v>5</v>
      </c>
      <c r="C4632" s="83">
        <v>54896192015</v>
      </c>
      <c r="D4632" t="s">
        <v>3963</v>
      </c>
      <c r="E4632">
        <v>60272595240</v>
      </c>
      <c r="F4632">
        <v>637963</v>
      </c>
      <c r="G4632">
        <v>55612272992</v>
      </c>
      <c r="H4632" t="s">
        <v>35</v>
      </c>
      <c r="I4632" s="36">
        <v>3834</v>
      </c>
      <c r="J4632" s="36">
        <v>3834</v>
      </c>
      <c r="K4632" s="85">
        <v>0</v>
      </c>
      <c r="L4632" s="36">
        <v>319.5</v>
      </c>
      <c r="M4632" s="36">
        <v>319.5</v>
      </c>
      <c r="N4632" s="36">
        <v>0</v>
      </c>
      <c r="O4632" s="36">
        <v>0</v>
      </c>
      <c r="P4632" t="s">
        <v>129</v>
      </c>
      <c r="Q4632" t="s">
        <v>91</v>
      </c>
      <c r="R4632" t="s">
        <v>91</v>
      </c>
      <c r="S4632" s="112">
        <v>46167</v>
      </c>
      <c r="T4632" s="112">
        <v>46167</v>
      </c>
      <c r="U4632" s="112"/>
      <c r="V4632" s="112">
        <v>46532</v>
      </c>
      <c r="W4632" t="s">
        <v>38</v>
      </c>
      <c r="X4632">
        <v>12</v>
      </c>
      <c r="Y4632" t="s">
        <v>49</v>
      </c>
      <c r="AA4632" t="s">
        <v>122</v>
      </c>
      <c r="AB4632">
        <v>12</v>
      </c>
      <c r="AC4632" t="s">
        <v>93</v>
      </c>
      <c r="AD4632" t="s">
        <v>142</v>
      </c>
      <c r="AE4632" t="s">
        <v>95</v>
      </c>
      <c r="AF4632" t="s">
        <v>44</v>
      </c>
      <c r="AG4632" t="str">
        <f t="shared" si="107"/>
        <v>Recorrente</v>
      </c>
      <c r="AH4632" t="str">
        <f t="shared" si="108"/>
        <v/>
      </c>
    </row>
    <row r="4633" spans="1:34">
      <c r="A4633">
        <v>2026</v>
      </c>
      <c r="B4633">
        <v>5</v>
      </c>
      <c r="C4633" s="83">
        <v>55160387159</v>
      </c>
      <c r="D4633" t="s">
        <v>3691</v>
      </c>
      <c r="E4633">
        <v>60536347474</v>
      </c>
      <c r="F4633">
        <v>637932</v>
      </c>
      <c r="G4633">
        <v>55583770793</v>
      </c>
      <c r="H4633" t="s">
        <v>35</v>
      </c>
      <c r="I4633" s="36">
        <v>3834</v>
      </c>
      <c r="J4633" s="36">
        <v>2631.7275949999998</v>
      </c>
      <c r="K4633" s="85">
        <v>1202.2724049999999</v>
      </c>
      <c r="L4633" s="36">
        <v>219.3106329</v>
      </c>
      <c r="M4633" s="36">
        <v>0</v>
      </c>
      <c r="N4633" s="36">
        <v>219.3106329</v>
      </c>
      <c r="O4633" s="36">
        <v>0</v>
      </c>
      <c r="P4633" t="s">
        <v>190</v>
      </c>
      <c r="Q4633" t="s">
        <v>191</v>
      </c>
      <c r="R4633" t="s">
        <v>191</v>
      </c>
      <c r="S4633" s="112">
        <v>46164</v>
      </c>
      <c r="T4633" s="112">
        <v>46164</v>
      </c>
      <c r="V4633" s="112">
        <v>46548</v>
      </c>
      <c r="W4633" t="s">
        <v>38</v>
      </c>
      <c r="Y4633" t="s">
        <v>49</v>
      </c>
      <c r="AA4633" t="s">
        <v>92</v>
      </c>
      <c r="AB4633">
        <v>12</v>
      </c>
      <c r="AC4633" t="s">
        <v>192</v>
      </c>
      <c r="AD4633" t="s">
        <v>142</v>
      </c>
      <c r="AE4633" t="s">
        <v>95</v>
      </c>
      <c r="AF4633" t="s">
        <v>44</v>
      </c>
      <c r="AG4633" t="str">
        <f t="shared" si="107"/>
        <v>Recorrente</v>
      </c>
      <c r="AH4633" t="str">
        <f t="shared" si="108"/>
        <v/>
      </c>
    </row>
    <row r="4634" spans="1:34">
      <c r="A4634">
        <v>2026</v>
      </c>
      <c r="B4634">
        <v>5</v>
      </c>
      <c r="C4634" s="83">
        <v>9707374708</v>
      </c>
      <c r="D4634" t="s">
        <v>3964</v>
      </c>
      <c r="E4634">
        <v>59815644784</v>
      </c>
      <c r="F4634">
        <v>637561</v>
      </c>
      <c r="G4634">
        <v>54880890181</v>
      </c>
      <c r="H4634" t="s">
        <v>35</v>
      </c>
      <c r="I4634" s="36">
        <v>3834</v>
      </c>
      <c r="J4634" s="36">
        <v>3834</v>
      </c>
      <c r="K4634" s="85">
        <v>0</v>
      </c>
      <c r="L4634" s="36">
        <v>319.5</v>
      </c>
      <c r="M4634" s="36">
        <v>319.5</v>
      </c>
      <c r="N4634" s="36">
        <v>0</v>
      </c>
      <c r="O4634" s="36">
        <v>0</v>
      </c>
      <c r="P4634" t="s">
        <v>511</v>
      </c>
      <c r="Q4634" t="s">
        <v>300</v>
      </c>
      <c r="R4634" t="s">
        <v>300</v>
      </c>
      <c r="S4634" s="112">
        <v>46147</v>
      </c>
      <c r="T4634" s="112">
        <v>46147</v>
      </c>
      <c r="U4634" s="112"/>
      <c r="V4634" s="112">
        <v>46512</v>
      </c>
      <c r="W4634" t="s">
        <v>38</v>
      </c>
      <c r="X4634">
        <v>12</v>
      </c>
      <c r="Y4634" t="s">
        <v>49</v>
      </c>
      <c r="AA4634" t="s">
        <v>122</v>
      </c>
      <c r="AB4634">
        <v>12</v>
      </c>
      <c r="AC4634" t="s">
        <v>301</v>
      </c>
      <c r="AD4634" t="s">
        <v>142</v>
      </c>
      <c r="AE4634" t="s">
        <v>95</v>
      </c>
      <c r="AF4634" t="s">
        <v>44</v>
      </c>
      <c r="AG4634" t="str">
        <f t="shared" si="107"/>
        <v>Recorrente</v>
      </c>
      <c r="AH4634" t="str">
        <f t="shared" si="108"/>
        <v/>
      </c>
    </row>
    <row r="4635" spans="1:34">
      <c r="A4635">
        <v>2026</v>
      </c>
      <c r="B4635">
        <v>5</v>
      </c>
      <c r="C4635" s="83">
        <v>44952558221</v>
      </c>
      <c r="D4635" t="s">
        <v>3965</v>
      </c>
      <c r="E4635">
        <v>59641135233</v>
      </c>
      <c r="F4635">
        <v>637584</v>
      </c>
      <c r="G4635">
        <v>55039014037</v>
      </c>
      <c r="H4635" t="s">
        <v>35</v>
      </c>
      <c r="I4635" s="36">
        <v>3829.56</v>
      </c>
      <c r="J4635" s="36">
        <v>3829.56</v>
      </c>
      <c r="K4635" s="85">
        <v>0</v>
      </c>
      <c r="L4635" s="36">
        <v>319.13</v>
      </c>
      <c r="M4635" s="36">
        <v>0</v>
      </c>
      <c r="N4635" s="36">
        <v>319.13</v>
      </c>
      <c r="O4635" s="36">
        <v>0</v>
      </c>
      <c r="P4635" t="s">
        <v>190</v>
      </c>
      <c r="Q4635" t="s">
        <v>191</v>
      </c>
      <c r="R4635" t="s">
        <v>191</v>
      </c>
      <c r="S4635" s="112">
        <v>46147</v>
      </c>
      <c r="T4635" s="112">
        <v>46147</v>
      </c>
      <c r="V4635" s="112">
        <v>46513</v>
      </c>
      <c r="W4635" t="s">
        <v>38</v>
      </c>
      <c r="X4635">
        <v>12</v>
      </c>
      <c r="Y4635" t="s">
        <v>49</v>
      </c>
      <c r="AA4635" t="s">
        <v>122</v>
      </c>
      <c r="AB4635">
        <v>12</v>
      </c>
      <c r="AC4635" t="s">
        <v>192</v>
      </c>
      <c r="AD4635" t="s">
        <v>114</v>
      </c>
      <c r="AE4635" t="s">
        <v>43</v>
      </c>
      <c r="AF4635" t="s">
        <v>44</v>
      </c>
      <c r="AG4635" t="str">
        <f t="shared" si="107"/>
        <v>Recorrente</v>
      </c>
      <c r="AH4635" t="str">
        <f t="shared" si="108"/>
        <v/>
      </c>
    </row>
    <row r="4636" spans="1:34">
      <c r="A4636">
        <v>2026</v>
      </c>
      <c r="B4636">
        <v>5</v>
      </c>
      <c r="C4636" s="83">
        <v>172509659748</v>
      </c>
      <c r="D4636" t="s">
        <v>3966</v>
      </c>
      <c r="E4636">
        <v>58267502405</v>
      </c>
      <c r="F4636">
        <v>629464</v>
      </c>
      <c r="G4636">
        <v>53478752574</v>
      </c>
      <c r="H4636" t="s">
        <v>35</v>
      </c>
      <c r="I4636" s="36">
        <v>3775.44</v>
      </c>
      <c r="J4636" s="36">
        <v>3775.44</v>
      </c>
      <c r="K4636" s="85">
        <v>0</v>
      </c>
      <c r="L4636" s="36">
        <v>314.62</v>
      </c>
      <c r="M4636" s="36">
        <v>0</v>
      </c>
      <c r="N4636" s="36">
        <v>43.725000000000001</v>
      </c>
      <c r="O4636" s="36">
        <v>270.89999999999998</v>
      </c>
      <c r="P4636" t="s">
        <v>165</v>
      </c>
      <c r="Q4636" t="s">
        <v>166</v>
      </c>
      <c r="R4636" t="s">
        <v>166</v>
      </c>
      <c r="S4636" s="112">
        <v>46150</v>
      </c>
      <c r="T4636" s="112">
        <v>46150</v>
      </c>
      <c r="U4636" s="112">
        <v>46150</v>
      </c>
      <c r="V4636" s="112">
        <v>46515</v>
      </c>
      <c r="W4636" t="s">
        <v>38</v>
      </c>
      <c r="X4636">
        <v>12</v>
      </c>
      <c r="Y4636" t="s">
        <v>49</v>
      </c>
      <c r="Z4636" t="s">
        <v>81</v>
      </c>
      <c r="AA4636" t="s">
        <v>122</v>
      </c>
      <c r="AB4636">
        <v>12</v>
      </c>
      <c r="AC4636" t="s">
        <v>166</v>
      </c>
      <c r="AD4636" t="s">
        <v>84</v>
      </c>
      <c r="AE4636" t="s">
        <v>43</v>
      </c>
      <c r="AF4636" t="s">
        <v>44</v>
      </c>
      <c r="AG4636" t="str">
        <f t="shared" si="107"/>
        <v>Recorrente</v>
      </c>
      <c r="AH4636" t="str">
        <f t="shared" si="108"/>
        <v/>
      </c>
    </row>
    <row r="4637" spans="1:34">
      <c r="A4637">
        <v>2026</v>
      </c>
      <c r="B4637">
        <v>5</v>
      </c>
      <c r="C4637" s="83">
        <v>2127062</v>
      </c>
      <c r="D4637" t="s">
        <v>3967</v>
      </c>
      <c r="E4637">
        <v>60109095347</v>
      </c>
      <c r="F4637">
        <v>637700</v>
      </c>
      <c r="G4637">
        <v>55188187790</v>
      </c>
      <c r="H4637" t="s">
        <v>35</v>
      </c>
      <c r="I4637" s="36">
        <v>3775.44</v>
      </c>
      <c r="J4637" s="36">
        <v>3775.5</v>
      </c>
      <c r="K4637" s="85">
        <v>0</v>
      </c>
      <c r="L4637" s="36">
        <v>314.625</v>
      </c>
      <c r="M4637" s="36">
        <v>314.625</v>
      </c>
      <c r="N4637" s="36">
        <v>0</v>
      </c>
      <c r="O4637" s="36">
        <v>0</v>
      </c>
      <c r="P4637" t="s">
        <v>829</v>
      </c>
      <c r="Q4637" t="s">
        <v>300</v>
      </c>
      <c r="R4637" t="s">
        <v>300</v>
      </c>
      <c r="S4637" s="112">
        <v>46153</v>
      </c>
      <c r="T4637" s="112">
        <v>46153</v>
      </c>
      <c r="U4637" s="112"/>
      <c r="V4637" s="112">
        <v>46518</v>
      </c>
      <c r="W4637" t="s">
        <v>38</v>
      </c>
      <c r="X4637">
        <v>12</v>
      </c>
      <c r="Y4637" t="s">
        <v>49</v>
      </c>
      <c r="AA4637" t="s">
        <v>112</v>
      </c>
      <c r="AB4637">
        <v>1</v>
      </c>
      <c r="AC4637" t="s">
        <v>301</v>
      </c>
      <c r="AD4637" t="s">
        <v>84</v>
      </c>
      <c r="AE4637" t="s">
        <v>43</v>
      </c>
      <c r="AF4637" t="s">
        <v>44</v>
      </c>
      <c r="AG4637" t="str">
        <f t="shared" si="107"/>
        <v>À Vista</v>
      </c>
      <c r="AH4637" t="str">
        <f t="shared" si="108"/>
        <v/>
      </c>
    </row>
    <row r="4638" spans="1:34">
      <c r="A4638">
        <v>2026</v>
      </c>
      <c r="B4638">
        <v>5</v>
      </c>
      <c r="C4638" s="83">
        <v>215959183459</v>
      </c>
      <c r="D4638" t="s">
        <v>3968</v>
      </c>
      <c r="E4638">
        <v>59172829830</v>
      </c>
      <c r="F4638">
        <v>314909</v>
      </c>
      <c r="G4638">
        <v>55253965930</v>
      </c>
      <c r="H4638" t="s">
        <v>35</v>
      </c>
      <c r="I4638" s="36">
        <v>3767.04</v>
      </c>
      <c r="J4638" s="36">
        <v>3767.04</v>
      </c>
      <c r="K4638" s="85">
        <v>0</v>
      </c>
      <c r="L4638" s="36">
        <v>313.92</v>
      </c>
      <c r="M4638" s="36">
        <v>0</v>
      </c>
      <c r="N4638" s="36">
        <v>15.717314999999999</v>
      </c>
      <c r="O4638" s="36">
        <v>298.2</v>
      </c>
      <c r="P4638" t="s">
        <v>116</v>
      </c>
      <c r="Q4638" t="s">
        <v>111</v>
      </c>
      <c r="R4638" t="s">
        <v>111</v>
      </c>
      <c r="S4638" s="112">
        <v>46157</v>
      </c>
      <c r="T4638" s="112">
        <v>46157</v>
      </c>
      <c r="U4638" s="112">
        <v>46160</v>
      </c>
      <c r="V4638" s="112">
        <v>46525</v>
      </c>
      <c r="W4638" t="s">
        <v>38</v>
      </c>
      <c r="X4638">
        <v>12</v>
      </c>
      <c r="Y4638" t="s">
        <v>49</v>
      </c>
      <c r="Z4638" t="s">
        <v>81</v>
      </c>
      <c r="AA4638" t="s">
        <v>112</v>
      </c>
      <c r="AB4638">
        <v>12</v>
      </c>
      <c r="AC4638" t="s">
        <v>113</v>
      </c>
      <c r="AD4638" t="s">
        <v>85</v>
      </c>
      <c r="AE4638" t="s">
        <v>46</v>
      </c>
      <c r="AF4638" t="s">
        <v>44</v>
      </c>
      <c r="AG4638" t="str">
        <f t="shared" si="107"/>
        <v>CC 12x</v>
      </c>
      <c r="AH4638" t="str">
        <f t="shared" si="108"/>
        <v/>
      </c>
    </row>
    <row r="4639" spans="1:34">
      <c r="A4639">
        <v>2026</v>
      </c>
      <c r="B4639">
        <v>5</v>
      </c>
      <c r="C4639" s="83">
        <v>215959183459</v>
      </c>
      <c r="D4639" t="s">
        <v>3968</v>
      </c>
      <c r="E4639">
        <v>59172829830</v>
      </c>
      <c r="F4639">
        <v>314909</v>
      </c>
      <c r="G4639">
        <v>55253965931</v>
      </c>
      <c r="H4639" t="s">
        <v>35</v>
      </c>
      <c r="I4639" s="36">
        <v>3767.04</v>
      </c>
      <c r="J4639" s="36">
        <v>3767.04</v>
      </c>
      <c r="K4639" s="85">
        <v>0</v>
      </c>
      <c r="L4639" s="36">
        <v>313.92</v>
      </c>
      <c r="M4639" s="36">
        <v>0</v>
      </c>
      <c r="N4639" s="36">
        <v>15.717314999999999</v>
      </c>
      <c r="O4639" s="36">
        <v>298.2</v>
      </c>
      <c r="P4639" t="s">
        <v>116</v>
      </c>
      <c r="Q4639" t="s">
        <v>111</v>
      </c>
      <c r="R4639" t="s">
        <v>111</v>
      </c>
      <c r="S4639" s="112">
        <v>46157</v>
      </c>
      <c r="T4639" s="112">
        <v>46157</v>
      </c>
      <c r="U4639" s="112">
        <v>46160</v>
      </c>
      <c r="V4639" s="112">
        <v>46525</v>
      </c>
      <c r="W4639" t="s">
        <v>38</v>
      </c>
      <c r="X4639">
        <v>12</v>
      </c>
      <c r="Y4639" t="s">
        <v>49</v>
      </c>
      <c r="Z4639" t="s">
        <v>81</v>
      </c>
      <c r="AA4639" t="s">
        <v>112</v>
      </c>
      <c r="AB4639">
        <v>12</v>
      </c>
      <c r="AC4639" t="s">
        <v>113</v>
      </c>
      <c r="AD4639" t="s">
        <v>84</v>
      </c>
      <c r="AE4639" t="s">
        <v>43</v>
      </c>
      <c r="AF4639" t="s">
        <v>44</v>
      </c>
      <c r="AG4639" t="str">
        <f t="shared" si="107"/>
        <v>CC 12x</v>
      </c>
      <c r="AH4639" t="str">
        <f t="shared" si="108"/>
        <v/>
      </c>
    </row>
    <row r="4640" spans="1:34">
      <c r="A4640">
        <v>2026</v>
      </c>
      <c r="B4640">
        <v>5</v>
      </c>
      <c r="C4640" s="83">
        <v>220357068196</v>
      </c>
      <c r="D4640" t="s">
        <v>3960</v>
      </c>
      <c r="E4640">
        <v>60006094090</v>
      </c>
      <c r="F4640">
        <v>629407</v>
      </c>
      <c r="G4640">
        <v>55093142885</v>
      </c>
      <c r="H4640" t="s">
        <v>35</v>
      </c>
      <c r="I4640" s="36">
        <v>3750</v>
      </c>
      <c r="J4640" s="36">
        <v>3750</v>
      </c>
      <c r="K4640" s="85">
        <v>0</v>
      </c>
      <c r="L4640" s="36">
        <v>312.5</v>
      </c>
      <c r="M4640" s="36">
        <v>0</v>
      </c>
      <c r="N4640" s="36">
        <v>2.9023300000000001</v>
      </c>
      <c r="O4640" s="36">
        <v>309.60000000000002</v>
      </c>
      <c r="P4640" t="s">
        <v>116</v>
      </c>
      <c r="Q4640" t="s">
        <v>111</v>
      </c>
      <c r="R4640" t="s">
        <v>111</v>
      </c>
      <c r="S4640" s="112">
        <v>46150</v>
      </c>
      <c r="T4640" s="112">
        <v>46150</v>
      </c>
      <c r="U4640" s="112">
        <v>46149</v>
      </c>
      <c r="V4640" s="112">
        <v>46515</v>
      </c>
      <c r="W4640" t="s">
        <v>38</v>
      </c>
      <c r="X4640">
        <v>12</v>
      </c>
      <c r="Y4640" t="s">
        <v>49</v>
      </c>
      <c r="Z4640" t="s">
        <v>81</v>
      </c>
      <c r="AA4640" t="s">
        <v>117</v>
      </c>
      <c r="AB4640">
        <v>1</v>
      </c>
      <c r="AC4640" t="s">
        <v>113</v>
      </c>
      <c r="AD4640" t="s">
        <v>84</v>
      </c>
      <c r="AE4640" t="s">
        <v>43</v>
      </c>
      <c r="AF4640" t="s">
        <v>44</v>
      </c>
      <c r="AG4640" t="str">
        <f t="shared" si="107"/>
        <v>À Vista</v>
      </c>
      <c r="AH4640" t="str">
        <f t="shared" si="108"/>
        <v/>
      </c>
    </row>
    <row r="4641" spans="1:34">
      <c r="A4641">
        <v>2026</v>
      </c>
      <c r="B4641">
        <v>5</v>
      </c>
      <c r="C4641" s="83">
        <v>2196251</v>
      </c>
      <c r="D4641" t="s">
        <v>3969</v>
      </c>
      <c r="E4641">
        <v>60694188333</v>
      </c>
      <c r="F4641">
        <v>638077</v>
      </c>
      <c r="G4641">
        <v>55686066974</v>
      </c>
      <c r="H4641" t="s">
        <v>35</v>
      </c>
      <c r="I4641" s="36">
        <v>3680.64</v>
      </c>
      <c r="J4641" s="36">
        <v>3680.64</v>
      </c>
      <c r="K4641" s="85">
        <v>4.5499999999999998E-13</v>
      </c>
      <c r="L4641" s="36">
        <v>306.72000000000003</v>
      </c>
      <c r="M4641" s="36">
        <v>306.72000000000003</v>
      </c>
      <c r="N4641" s="36">
        <v>0</v>
      </c>
      <c r="O4641" s="36">
        <v>0</v>
      </c>
      <c r="P4641" t="s">
        <v>829</v>
      </c>
      <c r="Q4641" t="s">
        <v>300</v>
      </c>
      <c r="R4641" t="s">
        <v>300</v>
      </c>
      <c r="S4641" s="112">
        <v>46171</v>
      </c>
      <c r="T4641" s="112">
        <v>46171</v>
      </c>
      <c r="U4641" s="112"/>
      <c r="V4641" s="112">
        <v>46536</v>
      </c>
      <c r="W4641" t="s">
        <v>38</v>
      </c>
      <c r="X4641">
        <v>12</v>
      </c>
      <c r="Y4641" t="s">
        <v>49</v>
      </c>
      <c r="AA4641" t="s">
        <v>112</v>
      </c>
      <c r="AB4641">
        <v>12</v>
      </c>
      <c r="AC4641" t="s">
        <v>301</v>
      </c>
      <c r="AD4641" t="s">
        <v>142</v>
      </c>
      <c r="AE4641" t="s">
        <v>95</v>
      </c>
      <c r="AF4641" t="s">
        <v>44</v>
      </c>
      <c r="AG4641" t="str">
        <f t="shared" si="107"/>
        <v>CC 12x</v>
      </c>
      <c r="AH4641" t="str">
        <f t="shared" si="108"/>
        <v/>
      </c>
    </row>
    <row r="4642" spans="1:34">
      <c r="A4642">
        <v>2026</v>
      </c>
      <c r="B4642">
        <v>5</v>
      </c>
      <c r="C4642" s="83">
        <v>227375108182</v>
      </c>
      <c r="D4642" t="s">
        <v>3970</v>
      </c>
      <c r="E4642">
        <v>60146676790</v>
      </c>
      <c r="F4642">
        <v>637763</v>
      </c>
      <c r="G4642">
        <v>55242230687</v>
      </c>
      <c r="H4642" t="s">
        <v>35</v>
      </c>
      <c r="I4642" s="36">
        <v>3672</v>
      </c>
      <c r="J4642" s="36">
        <v>3672</v>
      </c>
      <c r="K4642" s="85">
        <v>0</v>
      </c>
      <c r="L4642" s="36">
        <v>306</v>
      </c>
      <c r="M4642" s="36">
        <v>306</v>
      </c>
      <c r="N4642" s="36">
        <v>0</v>
      </c>
      <c r="O4642" s="36">
        <v>0</v>
      </c>
      <c r="P4642" t="s">
        <v>511</v>
      </c>
      <c r="Q4642" t="s">
        <v>300</v>
      </c>
      <c r="R4642" t="s">
        <v>300</v>
      </c>
      <c r="S4642" s="112">
        <v>46155</v>
      </c>
      <c r="T4642" s="112">
        <v>46155</v>
      </c>
      <c r="U4642" s="112"/>
      <c r="V4642" s="112">
        <v>46520</v>
      </c>
      <c r="W4642" t="s">
        <v>38</v>
      </c>
      <c r="X4642">
        <v>12</v>
      </c>
      <c r="Y4642" t="s">
        <v>49</v>
      </c>
      <c r="AA4642" t="s">
        <v>112</v>
      </c>
      <c r="AB4642">
        <v>12</v>
      </c>
      <c r="AC4642" t="s">
        <v>301</v>
      </c>
      <c r="AD4642" t="s">
        <v>160</v>
      </c>
      <c r="AE4642" t="s">
        <v>43</v>
      </c>
      <c r="AF4642" t="s">
        <v>44</v>
      </c>
      <c r="AG4642" t="str">
        <f t="shared" si="107"/>
        <v>CC 12x</v>
      </c>
      <c r="AH4642" t="str">
        <f t="shared" si="108"/>
        <v/>
      </c>
    </row>
    <row r="4643" spans="1:34">
      <c r="A4643">
        <v>2026</v>
      </c>
      <c r="B4643">
        <v>5</v>
      </c>
      <c r="C4643" s="83">
        <v>19435481173</v>
      </c>
      <c r="D4643" t="s">
        <v>3971</v>
      </c>
      <c r="E4643">
        <v>59218917390</v>
      </c>
      <c r="F4643">
        <v>629934</v>
      </c>
      <c r="G4643">
        <v>55242907987</v>
      </c>
      <c r="H4643" t="s">
        <v>35</v>
      </c>
      <c r="I4643" s="36">
        <v>3666.6</v>
      </c>
      <c r="J4643" s="36">
        <v>3666.6</v>
      </c>
      <c r="K4643" s="85">
        <v>0</v>
      </c>
      <c r="L4643" s="36">
        <v>305.55</v>
      </c>
      <c r="M4643" s="36">
        <v>0</v>
      </c>
      <c r="N4643" s="36">
        <v>42.9</v>
      </c>
      <c r="O4643" s="36">
        <v>262.64999999999998</v>
      </c>
      <c r="P4643" t="s">
        <v>121</v>
      </c>
      <c r="Q4643" t="s">
        <v>111</v>
      </c>
      <c r="R4643" t="s">
        <v>111</v>
      </c>
      <c r="S4643" s="112">
        <v>46155</v>
      </c>
      <c r="T4643" s="112">
        <v>46155</v>
      </c>
      <c r="U4643" s="112">
        <v>46172</v>
      </c>
      <c r="V4643" s="112">
        <v>46537</v>
      </c>
      <c r="W4643" t="s">
        <v>38</v>
      </c>
      <c r="X4643">
        <v>12</v>
      </c>
      <c r="Y4643" t="s">
        <v>49</v>
      </c>
      <c r="Z4643" t="s">
        <v>81</v>
      </c>
      <c r="AA4643" t="s">
        <v>112</v>
      </c>
      <c r="AB4643">
        <v>12</v>
      </c>
      <c r="AC4643" t="s">
        <v>113</v>
      </c>
      <c r="AD4643" t="s">
        <v>114</v>
      </c>
      <c r="AE4643" t="s">
        <v>43</v>
      </c>
      <c r="AF4643" t="s">
        <v>44</v>
      </c>
      <c r="AG4643" t="str">
        <f t="shared" si="107"/>
        <v>CC 12x</v>
      </c>
      <c r="AH4643" t="str">
        <f t="shared" si="108"/>
        <v/>
      </c>
    </row>
    <row r="4644" spans="1:34">
      <c r="A4644">
        <v>2026</v>
      </c>
      <c r="B4644">
        <v>5</v>
      </c>
      <c r="C4644" s="83">
        <v>19699720612</v>
      </c>
      <c r="D4644" t="s">
        <v>3972</v>
      </c>
      <c r="E4644">
        <v>60510903466</v>
      </c>
      <c r="F4644">
        <v>637916</v>
      </c>
      <c r="G4644">
        <v>55555715595</v>
      </c>
      <c r="H4644" t="s">
        <v>35</v>
      </c>
      <c r="I4644" s="36">
        <v>3666.6</v>
      </c>
      <c r="J4644" s="36">
        <v>3666.6</v>
      </c>
      <c r="K4644" s="85">
        <v>0</v>
      </c>
      <c r="L4644" s="36">
        <v>305.55</v>
      </c>
      <c r="M4644" s="36">
        <v>305.55</v>
      </c>
      <c r="N4644" s="36">
        <v>0</v>
      </c>
      <c r="O4644" s="36">
        <v>0</v>
      </c>
      <c r="P4644" t="s">
        <v>511</v>
      </c>
      <c r="Q4644" t="s">
        <v>300</v>
      </c>
      <c r="R4644" t="s">
        <v>300</v>
      </c>
      <c r="S4644" s="112">
        <v>46163</v>
      </c>
      <c r="T4644" s="112">
        <v>46163</v>
      </c>
      <c r="U4644" s="112"/>
      <c r="V4644" s="112">
        <v>46528</v>
      </c>
      <c r="W4644" t="s">
        <v>38</v>
      </c>
      <c r="X4644">
        <v>12</v>
      </c>
      <c r="Y4644" t="s">
        <v>49</v>
      </c>
      <c r="AA4644" t="s">
        <v>122</v>
      </c>
      <c r="AB4644">
        <v>12</v>
      </c>
      <c r="AC4644" t="s">
        <v>301</v>
      </c>
      <c r="AD4644" t="s">
        <v>160</v>
      </c>
      <c r="AE4644" t="s">
        <v>43</v>
      </c>
      <c r="AF4644" t="s">
        <v>44</v>
      </c>
      <c r="AG4644" t="str">
        <f t="shared" si="107"/>
        <v>Recorrente</v>
      </c>
      <c r="AH4644" t="str">
        <f t="shared" si="108"/>
        <v/>
      </c>
    </row>
    <row r="4645" spans="1:34">
      <c r="A4645">
        <v>2026</v>
      </c>
      <c r="B4645">
        <v>5</v>
      </c>
      <c r="C4645" s="83">
        <v>2117821</v>
      </c>
      <c r="D4645" t="s">
        <v>3973</v>
      </c>
      <c r="E4645">
        <v>60076447797</v>
      </c>
      <c r="F4645">
        <v>637712</v>
      </c>
      <c r="G4645">
        <v>55191230080</v>
      </c>
      <c r="H4645" t="s">
        <v>35</v>
      </c>
      <c r="I4645" s="36">
        <v>3666.6</v>
      </c>
      <c r="J4645" s="36">
        <v>3666.6</v>
      </c>
      <c r="K4645" s="85">
        <v>0</v>
      </c>
      <c r="L4645" s="36">
        <v>305.55</v>
      </c>
      <c r="M4645" s="36">
        <v>305.55</v>
      </c>
      <c r="N4645" s="36">
        <v>0</v>
      </c>
      <c r="O4645" s="36">
        <v>0</v>
      </c>
      <c r="P4645" t="s">
        <v>506</v>
      </c>
      <c r="Q4645" t="s">
        <v>300</v>
      </c>
      <c r="R4645" t="s">
        <v>300</v>
      </c>
      <c r="S4645" s="112">
        <v>46153</v>
      </c>
      <c r="T4645" s="112">
        <v>46153</v>
      </c>
      <c r="U4645" s="112"/>
      <c r="V4645" s="112">
        <v>46518</v>
      </c>
      <c r="W4645" t="s">
        <v>38</v>
      </c>
      <c r="X4645">
        <v>12</v>
      </c>
      <c r="Y4645" t="s">
        <v>49</v>
      </c>
      <c r="AA4645" t="s">
        <v>112</v>
      </c>
      <c r="AB4645">
        <v>12</v>
      </c>
      <c r="AC4645" t="s">
        <v>301</v>
      </c>
      <c r="AD4645" t="s">
        <v>114</v>
      </c>
      <c r="AE4645" t="s">
        <v>43</v>
      </c>
      <c r="AF4645" t="s">
        <v>44</v>
      </c>
      <c r="AG4645" t="str">
        <f t="shared" si="107"/>
        <v>CC 12x</v>
      </c>
      <c r="AH4645" t="str">
        <f t="shared" si="108"/>
        <v/>
      </c>
    </row>
    <row r="4646" spans="1:34">
      <c r="A4646">
        <v>2026</v>
      </c>
      <c r="B4646">
        <v>5</v>
      </c>
      <c r="C4646" s="83">
        <v>2126329</v>
      </c>
      <c r="D4646" t="s">
        <v>3974</v>
      </c>
      <c r="E4646">
        <v>60463581711</v>
      </c>
      <c r="F4646">
        <v>637901</v>
      </c>
      <c r="G4646">
        <v>55408279357</v>
      </c>
      <c r="H4646" t="s">
        <v>35</v>
      </c>
      <c r="I4646" s="36">
        <v>3666.6</v>
      </c>
      <c r="J4646" s="36">
        <v>3666.6</v>
      </c>
      <c r="K4646" s="85">
        <v>0</v>
      </c>
      <c r="L4646" s="36">
        <v>305.55</v>
      </c>
      <c r="M4646" s="36">
        <v>305.55</v>
      </c>
      <c r="N4646" s="36">
        <v>0</v>
      </c>
      <c r="O4646" s="36">
        <v>0</v>
      </c>
      <c r="P4646" t="s">
        <v>3642</v>
      </c>
      <c r="Q4646" t="s">
        <v>300</v>
      </c>
      <c r="R4646" t="s">
        <v>300</v>
      </c>
      <c r="S4646" s="112">
        <v>46163</v>
      </c>
      <c r="T4646" s="112">
        <v>46163</v>
      </c>
      <c r="U4646" s="112"/>
      <c r="V4646" s="112">
        <v>46528</v>
      </c>
      <c r="W4646" t="s">
        <v>38</v>
      </c>
      <c r="X4646">
        <v>12</v>
      </c>
      <c r="Y4646" t="s">
        <v>49</v>
      </c>
      <c r="AA4646" t="s">
        <v>122</v>
      </c>
      <c r="AB4646">
        <v>12</v>
      </c>
      <c r="AC4646" t="s">
        <v>301</v>
      </c>
      <c r="AD4646" t="s">
        <v>160</v>
      </c>
      <c r="AE4646" t="s">
        <v>43</v>
      </c>
      <c r="AF4646" t="s">
        <v>44</v>
      </c>
      <c r="AG4646" t="str">
        <f t="shared" si="107"/>
        <v>Recorrente</v>
      </c>
      <c r="AH4646" t="str">
        <f t="shared" si="108"/>
        <v/>
      </c>
    </row>
    <row r="4647" spans="1:34">
      <c r="A4647">
        <v>2026</v>
      </c>
      <c r="B4647">
        <v>5</v>
      </c>
      <c r="C4647" s="83">
        <v>2283098</v>
      </c>
      <c r="D4647" t="s">
        <v>3975</v>
      </c>
      <c r="E4647">
        <v>59667313560</v>
      </c>
      <c r="F4647">
        <v>629840</v>
      </c>
      <c r="G4647">
        <v>55647273080</v>
      </c>
      <c r="H4647" t="s">
        <v>35</v>
      </c>
      <c r="I4647" s="36">
        <v>3666.6</v>
      </c>
      <c r="J4647" s="36">
        <v>3666.6</v>
      </c>
      <c r="K4647" s="85">
        <v>0</v>
      </c>
      <c r="L4647" s="36">
        <v>305.55</v>
      </c>
      <c r="M4647" s="36">
        <v>0</v>
      </c>
      <c r="N4647" s="36">
        <v>12</v>
      </c>
      <c r="O4647" s="36">
        <v>293.55</v>
      </c>
      <c r="P4647" t="s">
        <v>162</v>
      </c>
      <c r="Q4647" t="s">
        <v>111</v>
      </c>
      <c r="R4647" t="s">
        <v>111</v>
      </c>
      <c r="S4647" s="112">
        <v>46169</v>
      </c>
      <c r="T4647" s="112">
        <v>46169</v>
      </c>
      <c r="U4647" s="112">
        <v>46168</v>
      </c>
      <c r="V4647" s="112">
        <v>46534</v>
      </c>
      <c r="W4647" t="s">
        <v>38</v>
      </c>
      <c r="X4647">
        <v>12</v>
      </c>
      <c r="Y4647" t="s">
        <v>49</v>
      </c>
      <c r="Z4647" t="s">
        <v>81</v>
      </c>
      <c r="AA4647" t="s">
        <v>112</v>
      </c>
      <c r="AB4647">
        <v>12</v>
      </c>
      <c r="AC4647" t="s">
        <v>113</v>
      </c>
      <c r="AD4647" t="s">
        <v>160</v>
      </c>
      <c r="AE4647" t="s">
        <v>43</v>
      </c>
      <c r="AF4647" t="s">
        <v>44</v>
      </c>
      <c r="AG4647" t="str">
        <f t="shared" si="107"/>
        <v>CC 12x</v>
      </c>
      <c r="AH4647" t="str">
        <f t="shared" si="108"/>
        <v/>
      </c>
    </row>
    <row r="4648" spans="1:34">
      <c r="A4648">
        <v>2026</v>
      </c>
      <c r="B4648">
        <v>5</v>
      </c>
      <c r="C4648" s="83">
        <v>33193239388</v>
      </c>
      <c r="D4648" t="s">
        <v>3976</v>
      </c>
      <c r="E4648">
        <v>58268831059</v>
      </c>
      <c r="F4648">
        <v>629459</v>
      </c>
      <c r="G4648">
        <v>53463288448</v>
      </c>
      <c r="H4648" t="s">
        <v>35</v>
      </c>
      <c r="I4648" s="36">
        <v>3666.6</v>
      </c>
      <c r="J4648" s="36">
        <v>3666.6</v>
      </c>
      <c r="K4648" s="85">
        <v>0</v>
      </c>
      <c r="L4648" s="36">
        <v>305.55</v>
      </c>
      <c r="M4648" s="36">
        <v>0</v>
      </c>
      <c r="N4648" s="36">
        <v>41.36</v>
      </c>
      <c r="O4648" s="36">
        <v>264.19</v>
      </c>
      <c r="P4648" t="s">
        <v>165</v>
      </c>
      <c r="Q4648" t="s">
        <v>166</v>
      </c>
      <c r="R4648" t="s">
        <v>166</v>
      </c>
      <c r="S4648" s="112">
        <v>46150</v>
      </c>
      <c r="T4648" s="112">
        <v>46150</v>
      </c>
      <c r="U4648" s="112">
        <v>46150</v>
      </c>
      <c r="V4648" s="112">
        <v>46515</v>
      </c>
      <c r="W4648" t="s">
        <v>38</v>
      </c>
      <c r="X4648">
        <v>12</v>
      </c>
      <c r="Y4648" t="s">
        <v>49</v>
      </c>
      <c r="Z4648" t="s">
        <v>81</v>
      </c>
      <c r="AA4648" t="s">
        <v>112</v>
      </c>
      <c r="AB4648">
        <v>12</v>
      </c>
      <c r="AC4648" t="s">
        <v>166</v>
      </c>
      <c r="AD4648" t="s">
        <v>160</v>
      </c>
      <c r="AE4648" t="s">
        <v>43</v>
      </c>
      <c r="AF4648" t="s">
        <v>44</v>
      </c>
      <c r="AG4648" t="str">
        <f t="shared" si="107"/>
        <v>CC 12x</v>
      </c>
      <c r="AH4648" t="str">
        <f t="shared" si="108"/>
        <v/>
      </c>
    </row>
    <row r="4649" spans="1:34">
      <c r="A4649">
        <v>2026</v>
      </c>
      <c r="B4649">
        <v>5</v>
      </c>
      <c r="C4649" s="83">
        <v>54896460690</v>
      </c>
      <c r="D4649" t="s">
        <v>3977</v>
      </c>
      <c r="E4649">
        <v>60202599444</v>
      </c>
      <c r="F4649">
        <v>637739</v>
      </c>
      <c r="G4649">
        <v>55237310897</v>
      </c>
      <c r="H4649" t="s">
        <v>35</v>
      </c>
      <c r="I4649" s="36">
        <v>3666.6</v>
      </c>
      <c r="J4649" s="36">
        <v>3666.6</v>
      </c>
      <c r="K4649" s="85">
        <v>0</v>
      </c>
      <c r="L4649" s="36">
        <v>305.55</v>
      </c>
      <c r="M4649" s="36">
        <v>305.55</v>
      </c>
      <c r="N4649" s="36">
        <v>0</v>
      </c>
      <c r="O4649" s="36">
        <v>0</v>
      </c>
      <c r="P4649" t="s">
        <v>506</v>
      </c>
      <c r="Q4649" t="s">
        <v>300</v>
      </c>
      <c r="R4649" t="s">
        <v>300</v>
      </c>
      <c r="S4649" s="112">
        <v>46154</v>
      </c>
      <c r="T4649" s="112">
        <v>46154</v>
      </c>
      <c r="U4649" s="112"/>
      <c r="V4649" s="112">
        <v>46519</v>
      </c>
      <c r="W4649" t="s">
        <v>38</v>
      </c>
      <c r="X4649">
        <v>12</v>
      </c>
      <c r="Y4649" t="s">
        <v>49</v>
      </c>
      <c r="AA4649" t="s">
        <v>112</v>
      </c>
      <c r="AB4649">
        <v>12</v>
      </c>
      <c r="AC4649" t="s">
        <v>301</v>
      </c>
      <c r="AD4649" t="s">
        <v>160</v>
      </c>
      <c r="AE4649" t="s">
        <v>43</v>
      </c>
      <c r="AF4649" t="s">
        <v>44</v>
      </c>
      <c r="AG4649" t="str">
        <f t="shared" si="107"/>
        <v>CC 12x</v>
      </c>
      <c r="AH4649" t="str">
        <f t="shared" si="108"/>
        <v/>
      </c>
    </row>
    <row r="4650" spans="1:34">
      <c r="A4650">
        <v>2026</v>
      </c>
      <c r="B4650">
        <v>5</v>
      </c>
      <c r="C4650" s="83">
        <v>218157892237</v>
      </c>
      <c r="D4650" t="s">
        <v>3978</v>
      </c>
      <c r="E4650">
        <v>60691194174</v>
      </c>
      <c r="F4650">
        <v>629980</v>
      </c>
      <c r="G4650">
        <v>55644812824</v>
      </c>
      <c r="H4650" t="s">
        <v>35</v>
      </c>
      <c r="I4650" s="36">
        <v>3642.24</v>
      </c>
      <c r="J4650" s="36">
        <v>3642.24</v>
      </c>
      <c r="K4650" s="85">
        <v>0</v>
      </c>
      <c r="L4650" s="36">
        <v>303.52</v>
      </c>
      <c r="M4650" s="36">
        <v>0</v>
      </c>
      <c r="N4650" s="36">
        <v>5.5250000000000004</v>
      </c>
      <c r="O4650" s="36">
        <v>298</v>
      </c>
      <c r="P4650" t="s">
        <v>162</v>
      </c>
      <c r="Q4650" t="s">
        <v>111</v>
      </c>
      <c r="R4650" t="s">
        <v>111</v>
      </c>
      <c r="S4650" s="112">
        <v>46170</v>
      </c>
      <c r="T4650" s="112">
        <v>46170</v>
      </c>
      <c r="U4650" s="112">
        <v>46173</v>
      </c>
      <c r="V4650" s="112">
        <v>46538</v>
      </c>
      <c r="W4650" t="s">
        <v>38</v>
      </c>
      <c r="X4650">
        <v>12</v>
      </c>
      <c r="Y4650" t="s">
        <v>49</v>
      </c>
      <c r="Z4650" t="s">
        <v>81</v>
      </c>
      <c r="AA4650" t="s">
        <v>112</v>
      </c>
      <c r="AB4650">
        <v>12</v>
      </c>
      <c r="AC4650" t="s">
        <v>113</v>
      </c>
      <c r="AD4650" t="s">
        <v>142</v>
      </c>
      <c r="AE4650" t="s">
        <v>95</v>
      </c>
      <c r="AF4650" t="s">
        <v>44</v>
      </c>
      <c r="AG4650" t="str">
        <f t="shared" si="107"/>
        <v>CC 12x</v>
      </c>
      <c r="AH4650" t="str">
        <f t="shared" si="108"/>
        <v/>
      </c>
    </row>
    <row r="4651" spans="1:34">
      <c r="A4651">
        <v>2026</v>
      </c>
      <c r="B4651">
        <v>5</v>
      </c>
      <c r="C4651" s="83">
        <v>140786907933</v>
      </c>
      <c r="D4651" t="s">
        <v>3979</v>
      </c>
      <c r="E4651">
        <v>60032578486</v>
      </c>
      <c r="F4651">
        <v>637805</v>
      </c>
      <c r="G4651">
        <v>55257605537</v>
      </c>
      <c r="H4651" t="s">
        <v>35</v>
      </c>
      <c r="I4651" s="36">
        <v>3625.08</v>
      </c>
      <c r="J4651" s="36">
        <v>2191.0337399999999</v>
      </c>
      <c r="K4651" s="85">
        <v>1434.0462600000001</v>
      </c>
      <c r="L4651" s="36">
        <v>182.58614499999999</v>
      </c>
      <c r="M4651" s="36">
        <v>0</v>
      </c>
      <c r="N4651" s="36">
        <v>182.58614499999999</v>
      </c>
      <c r="O4651" s="36">
        <v>0</v>
      </c>
      <c r="P4651" t="s">
        <v>323</v>
      </c>
      <c r="Q4651" t="s">
        <v>191</v>
      </c>
      <c r="R4651" t="s">
        <v>191</v>
      </c>
      <c r="S4651" s="112">
        <v>46157</v>
      </c>
      <c r="T4651" s="112">
        <v>46157</v>
      </c>
      <c r="U4651" s="112">
        <v>46263</v>
      </c>
      <c r="V4651" s="112">
        <v>46522</v>
      </c>
      <c r="W4651" t="s">
        <v>38</v>
      </c>
      <c r="X4651">
        <v>9</v>
      </c>
      <c r="Y4651" t="s">
        <v>49</v>
      </c>
      <c r="AA4651" t="s">
        <v>117</v>
      </c>
      <c r="AB4651">
        <v>1</v>
      </c>
      <c r="AC4651" t="s">
        <v>192</v>
      </c>
      <c r="AD4651" t="s">
        <v>84</v>
      </c>
      <c r="AE4651" t="s">
        <v>43</v>
      </c>
      <c r="AF4651" t="s">
        <v>44</v>
      </c>
      <c r="AG4651" t="str">
        <f t="shared" si="107"/>
        <v>À Vista</v>
      </c>
      <c r="AH4651" t="str">
        <f t="shared" si="108"/>
        <v/>
      </c>
    </row>
    <row r="4652" spans="1:34">
      <c r="A4652">
        <v>2026</v>
      </c>
      <c r="B4652">
        <v>5</v>
      </c>
      <c r="C4652" s="83">
        <v>39338177665</v>
      </c>
      <c r="D4652" t="s">
        <v>3980</v>
      </c>
      <c r="E4652">
        <v>60104978491</v>
      </c>
      <c r="F4652">
        <v>637737</v>
      </c>
      <c r="G4652">
        <v>55186635841</v>
      </c>
      <c r="H4652" t="s">
        <v>35</v>
      </c>
      <c r="I4652" s="36">
        <v>3600</v>
      </c>
      <c r="J4652" s="36">
        <v>3600</v>
      </c>
      <c r="K4652" s="85">
        <v>0</v>
      </c>
      <c r="L4652" s="36">
        <v>300</v>
      </c>
      <c r="M4652" s="36">
        <v>300</v>
      </c>
      <c r="N4652" s="36">
        <v>0</v>
      </c>
      <c r="O4652" s="36">
        <v>0</v>
      </c>
      <c r="P4652" t="s">
        <v>313</v>
      </c>
      <c r="Q4652" t="s">
        <v>191</v>
      </c>
      <c r="R4652" t="s">
        <v>349</v>
      </c>
      <c r="S4652" s="112">
        <v>46154</v>
      </c>
      <c r="T4652" s="112">
        <v>46154</v>
      </c>
      <c r="U4652" s="112"/>
      <c r="V4652" s="112">
        <v>46519</v>
      </c>
      <c r="W4652" t="s">
        <v>38</v>
      </c>
      <c r="X4652">
        <v>12</v>
      </c>
      <c r="Y4652" t="s">
        <v>49</v>
      </c>
      <c r="AA4652" t="s">
        <v>117</v>
      </c>
      <c r="AB4652">
        <v>1</v>
      </c>
      <c r="AC4652" t="s">
        <v>350</v>
      </c>
      <c r="AD4652" t="s">
        <v>160</v>
      </c>
      <c r="AE4652" t="s">
        <v>43</v>
      </c>
      <c r="AF4652" t="s">
        <v>44</v>
      </c>
      <c r="AG4652" t="str">
        <f t="shared" si="107"/>
        <v>À Vista</v>
      </c>
      <c r="AH4652" t="str">
        <f t="shared" si="108"/>
        <v/>
      </c>
    </row>
    <row r="4653" spans="1:34">
      <c r="A4653">
        <v>2026</v>
      </c>
      <c r="B4653">
        <v>5</v>
      </c>
      <c r="C4653" s="83">
        <v>218709466693</v>
      </c>
      <c r="D4653" t="s">
        <v>3747</v>
      </c>
      <c r="E4653">
        <v>60710005058</v>
      </c>
      <c r="F4653">
        <v>637595</v>
      </c>
      <c r="G4653">
        <v>55682391700</v>
      </c>
      <c r="H4653" t="s">
        <v>35</v>
      </c>
      <c r="I4653" s="36">
        <v>3598.08</v>
      </c>
      <c r="J4653" s="36">
        <v>3843</v>
      </c>
      <c r="K4653" s="85">
        <v>0</v>
      </c>
      <c r="L4653" s="36">
        <v>320.25</v>
      </c>
      <c r="M4653" s="36">
        <v>0</v>
      </c>
      <c r="N4653" s="36">
        <v>320.25</v>
      </c>
      <c r="O4653" s="36">
        <v>0</v>
      </c>
      <c r="P4653" t="s">
        <v>511</v>
      </c>
      <c r="Q4653" t="s">
        <v>300</v>
      </c>
      <c r="R4653" t="s">
        <v>300</v>
      </c>
      <c r="S4653" s="112">
        <v>46171</v>
      </c>
      <c r="T4653" s="112">
        <v>46171</v>
      </c>
      <c r="U4653" s="112">
        <v>46513</v>
      </c>
      <c r="V4653" s="112">
        <v>46513</v>
      </c>
      <c r="W4653" t="s">
        <v>38</v>
      </c>
      <c r="X4653">
        <v>12</v>
      </c>
      <c r="Y4653" t="s">
        <v>49</v>
      </c>
      <c r="Z4653" t="s">
        <v>324</v>
      </c>
      <c r="AA4653" t="s">
        <v>122</v>
      </c>
      <c r="AB4653">
        <v>11</v>
      </c>
      <c r="AC4653" t="s">
        <v>301</v>
      </c>
      <c r="AD4653" t="s">
        <v>131</v>
      </c>
      <c r="AE4653" t="s">
        <v>46</v>
      </c>
      <c r="AF4653" t="s">
        <v>96</v>
      </c>
      <c r="AG4653" t="str">
        <f t="shared" si="107"/>
        <v>Recorrente</v>
      </c>
      <c r="AH4653" t="str">
        <f t="shared" si="108"/>
        <v/>
      </c>
    </row>
    <row r="4654" spans="1:34">
      <c r="A4654">
        <v>2026</v>
      </c>
      <c r="B4654">
        <v>5</v>
      </c>
      <c r="C4654" s="83">
        <v>152697171994</v>
      </c>
      <c r="D4654" t="s">
        <v>3981</v>
      </c>
      <c r="E4654">
        <v>60629203363</v>
      </c>
      <c r="F4654">
        <v>612250</v>
      </c>
      <c r="G4654">
        <v>55621006468</v>
      </c>
      <c r="H4654" t="s">
        <v>35</v>
      </c>
      <c r="I4654" s="36">
        <v>3586.68</v>
      </c>
      <c r="J4654" s="36">
        <v>3586.68</v>
      </c>
      <c r="K4654" s="85">
        <v>0</v>
      </c>
      <c r="L4654" s="36">
        <v>298.89</v>
      </c>
      <c r="M4654" s="36">
        <v>0</v>
      </c>
      <c r="N4654" s="36">
        <v>66.693749999999994</v>
      </c>
      <c r="O4654" s="36">
        <v>232.2</v>
      </c>
      <c r="P4654" t="s">
        <v>116</v>
      </c>
      <c r="Q4654" t="s">
        <v>111</v>
      </c>
      <c r="R4654" t="s">
        <v>111</v>
      </c>
      <c r="S4654" s="112">
        <v>46168</v>
      </c>
      <c r="T4654" s="112">
        <v>46168</v>
      </c>
      <c r="U4654" s="112">
        <v>46108</v>
      </c>
      <c r="V4654" s="112">
        <v>46533</v>
      </c>
      <c r="W4654" t="s">
        <v>38</v>
      </c>
      <c r="X4654">
        <v>14</v>
      </c>
      <c r="Y4654" t="s">
        <v>49</v>
      </c>
      <c r="Z4654" t="s">
        <v>81</v>
      </c>
      <c r="AA4654" t="s">
        <v>122</v>
      </c>
      <c r="AB4654">
        <v>12</v>
      </c>
      <c r="AC4654" t="s">
        <v>113</v>
      </c>
      <c r="AD4654" t="s">
        <v>84</v>
      </c>
      <c r="AE4654" t="s">
        <v>43</v>
      </c>
      <c r="AF4654" t="s">
        <v>44</v>
      </c>
      <c r="AG4654" t="str">
        <f t="shared" si="107"/>
        <v>Recorrente</v>
      </c>
      <c r="AH4654" t="str">
        <f t="shared" si="108"/>
        <v/>
      </c>
    </row>
    <row r="4655" spans="1:34">
      <c r="A4655">
        <v>2026</v>
      </c>
      <c r="B4655">
        <v>5</v>
      </c>
      <c r="C4655" s="83">
        <v>71679008810</v>
      </c>
      <c r="D4655" t="s">
        <v>3982</v>
      </c>
      <c r="E4655">
        <v>59136022602</v>
      </c>
      <c r="F4655">
        <v>629551</v>
      </c>
      <c r="G4655">
        <v>55155228241</v>
      </c>
      <c r="H4655" t="s">
        <v>35</v>
      </c>
      <c r="I4655" s="36">
        <v>3586.68</v>
      </c>
      <c r="J4655" s="36">
        <v>3586.68</v>
      </c>
      <c r="K4655" s="85">
        <v>0</v>
      </c>
      <c r="L4655" s="36">
        <v>298.89</v>
      </c>
      <c r="M4655" s="36">
        <v>0</v>
      </c>
      <c r="N4655" s="36">
        <v>66.689554999999999</v>
      </c>
      <c r="O4655" s="36">
        <v>232.2</v>
      </c>
      <c r="P4655" t="s">
        <v>110</v>
      </c>
      <c r="Q4655" t="s">
        <v>111</v>
      </c>
      <c r="R4655" t="s">
        <v>111</v>
      </c>
      <c r="S4655" s="112">
        <v>46151</v>
      </c>
      <c r="T4655" s="112">
        <v>46151</v>
      </c>
      <c r="U4655" s="112">
        <v>46155</v>
      </c>
      <c r="V4655" s="112">
        <v>46520</v>
      </c>
      <c r="W4655" t="s">
        <v>38</v>
      </c>
      <c r="X4655">
        <v>12</v>
      </c>
      <c r="Y4655" t="s">
        <v>49</v>
      </c>
      <c r="Z4655" t="s">
        <v>81</v>
      </c>
      <c r="AA4655" t="s">
        <v>112</v>
      </c>
      <c r="AB4655">
        <v>12</v>
      </c>
      <c r="AC4655" t="s">
        <v>113</v>
      </c>
      <c r="AD4655" t="s">
        <v>84</v>
      </c>
      <c r="AE4655" t="s">
        <v>43</v>
      </c>
      <c r="AF4655" t="s">
        <v>44</v>
      </c>
      <c r="AG4655" t="str">
        <f t="shared" si="107"/>
        <v>CC 12x</v>
      </c>
      <c r="AH4655" t="str">
        <f t="shared" si="108"/>
        <v/>
      </c>
    </row>
    <row r="4656" spans="1:34">
      <c r="A4656">
        <v>2026</v>
      </c>
      <c r="B4656">
        <v>5</v>
      </c>
      <c r="C4656" s="83">
        <v>119403213646</v>
      </c>
      <c r="D4656" t="s">
        <v>587</v>
      </c>
      <c r="E4656">
        <v>56698730781</v>
      </c>
      <c r="F4656">
        <v>635073</v>
      </c>
      <c r="G4656">
        <v>55323192955</v>
      </c>
      <c r="H4656" t="s">
        <v>35</v>
      </c>
      <c r="I4656" s="36">
        <v>3571.56</v>
      </c>
      <c r="J4656" s="36">
        <v>6724.8</v>
      </c>
      <c r="K4656" s="85">
        <v>0</v>
      </c>
      <c r="L4656" s="36">
        <v>560.4</v>
      </c>
      <c r="M4656" s="36">
        <v>0</v>
      </c>
      <c r="N4656" s="36">
        <v>560.4</v>
      </c>
      <c r="O4656" s="36">
        <v>0</v>
      </c>
      <c r="P4656" t="s">
        <v>323</v>
      </c>
      <c r="Q4656" t="s">
        <v>191</v>
      </c>
      <c r="R4656" t="s">
        <v>191</v>
      </c>
      <c r="S4656" s="112">
        <v>46161</v>
      </c>
      <c r="T4656" s="112">
        <v>46161</v>
      </c>
      <c r="U4656" s="112">
        <v>46354</v>
      </c>
      <c r="V4656" s="112">
        <v>46354</v>
      </c>
      <c r="W4656" t="s">
        <v>38</v>
      </c>
      <c r="X4656">
        <v>6</v>
      </c>
      <c r="Y4656" t="s">
        <v>49</v>
      </c>
      <c r="Z4656" t="s">
        <v>324</v>
      </c>
      <c r="AA4656" t="s">
        <v>112</v>
      </c>
      <c r="AB4656">
        <v>9</v>
      </c>
      <c r="AC4656" t="s">
        <v>192</v>
      </c>
      <c r="AD4656" t="s">
        <v>131</v>
      </c>
      <c r="AE4656" t="s">
        <v>46</v>
      </c>
      <c r="AF4656" t="s">
        <v>96</v>
      </c>
      <c r="AG4656" t="str">
        <f t="shared" si="107"/>
        <v>CC 12x</v>
      </c>
      <c r="AH4656" t="str">
        <f t="shared" si="108"/>
        <v/>
      </c>
    </row>
    <row r="4657" spans="1:34">
      <c r="A4657">
        <v>2026</v>
      </c>
      <c r="B4657">
        <v>5</v>
      </c>
      <c r="C4657" s="83">
        <v>125102197594</v>
      </c>
      <c r="D4657" t="s">
        <v>3983</v>
      </c>
      <c r="E4657">
        <v>60551440167</v>
      </c>
      <c r="F4657">
        <v>629715</v>
      </c>
      <c r="G4657">
        <v>55519517100</v>
      </c>
      <c r="H4657" t="s">
        <v>35</v>
      </c>
      <c r="I4657" s="36">
        <v>3557.4</v>
      </c>
      <c r="J4657" s="36">
        <v>3557.4</v>
      </c>
      <c r="K4657" s="85">
        <v>4.5499999999999998E-13</v>
      </c>
      <c r="L4657" s="36">
        <v>296.45</v>
      </c>
      <c r="M4657" s="36">
        <v>0</v>
      </c>
      <c r="N4657" s="36">
        <v>45.870584999999998</v>
      </c>
      <c r="O4657" s="36">
        <v>250.57499999999999</v>
      </c>
      <c r="P4657" t="s">
        <v>116</v>
      </c>
      <c r="Q4657" t="s">
        <v>111</v>
      </c>
      <c r="R4657" t="s">
        <v>111</v>
      </c>
      <c r="S4657" s="112">
        <v>46164</v>
      </c>
      <c r="T4657" s="112">
        <v>46164</v>
      </c>
      <c r="U4657" s="112">
        <v>46163</v>
      </c>
      <c r="V4657" s="112">
        <v>46529</v>
      </c>
      <c r="W4657" t="s">
        <v>38</v>
      </c>
      <c r="X4657">
        <v>12</v>
      </c>
      <c r="Y4657" t="s">
        <v>49</v>
      </c>
      <c r="Z4657" t="s">
        <v>81</v>
      </c>
      <c r="AA4657" t="s">
        <v>112</v>
      </c>
      <c r="AB4657">
        <v>12</v>
      </c>
      <c r="AC4657" t="s">
        <v>113</v>
      </c>
      <c r="AD4657" t="s">
        <v>256</v>
      </c>
      <c r="AE4657" t="s">
        <v>257</v>
      </c>
      <c r="AF4657" t="s">
        <v>59</v>
      </c>
      <c r="AG4657" t="str">
        <f t="shared" si="107"/>
        <v>CC 12x</v>
      </c>
      <c r="AH4657" t="str">
        <f t="shared" si="108"/>
        <v/>
      </c>
    </row>
    <row r="4658" spans="1:34">
      <c r="A4658">
        <v>2026</v>
      </c>
      <c r="B4658">
        <v>5</v>
      </c>
      <c r="C4658" s="83">
        <v>125102197594</v>
      </c>
      <c r="D4658" t="s">
        <v>3983</v>
      </c>
      <c r="E4658">
        <v>60551440167</v>
      </c>
      <c r="F4658">
        <v>629715</v>
      </c>
      <c r="G4658">
        <v>55519517101</v>
      </c>
      <c r="H4658" t="s">
        <v>35</v>
      </c>
      <c r="I4658" s="36">
        <v>3557.4</v>
      </c>
      <c r="J4658" s="36">
        <v>3557.4</v>
      </c>
      <c r="K4658" s="85">
        <v>4.5499999999999998E-13</v>
      </c>
      <c r="L4658" s="36">
        <v>296.45</v>
      </c>
      <c r="M4658" s="36">
        <v>0</v>
      </c>
      <c r="N4658" s="36">
        <v>45.870584999999998</v>
      </c>
      <c r="O4658" s="36">
        <v>250.57499999999999</v>
      </c>
      <c r="P4658" t="s">
        <v>116</v>
      </c>
      <c r="Q4658" t="s">
        <v>111</v>
      </c>
      <c r="R4658" t="s">
        <v>111</v>
      </c>
      <c r="S4658" s="112">
        <v>46164</v>
      </c>
      <c r="T4658" s="112">
        <v>46164</v>
      </c>
      <c r="U4658" s="112">
        <v>46163</v>
      </c>
      <c r="V4658" s="112">
        <v>46529</v>
      </c>
      <c r="W4658" t="s">
        <v>38</v>
      </c>
      <c r="X4658">
        <v>12</v>
      </c>
      <c r="Y4658" t="s">
        <v>49</v>
      </c>
      <c r="Z4658" t="s">
        <v>81</v>
      </c>
      <c r="AA4658" t="s">
        <v>112</v>
      </c>
      <c r="AB4658">
        <v>12</v>
      </c>
      <c r="AC4658" t="s">
        <v>113</v>
      </c>
      <c r="AD4658" t="s">
        <v>125</v>
      </c>
      <c r="AE4658" t="s">
        <v>43</v>
      </c>
      <c r="AF4658" t="s">
        <v>47</v>
      </c>
      <c r="AG4658" t="str">
        <f t="shared" si="107"/>
        <v>CC 12x</v>
      </c>
      <c r="AH4658" t="str">
        <f t="shared" si="108"/>
        <v/>
      </c>
    </row>
    <row r="4659" spans="1:34">
      <c r="A4659">
        <v>2026</v>
      </c>
      <c r="B4659">
        <v>5</v>
      </c>
      <c r="C4659" s="83">
        <v>19435548749</v>
      </c>
      <c r="D4659" t="s">
        <v>3984</v>
      </c>
      <c r="E4659">
        <v>58011708455</v>
      </c>
      <c r="F4659">
        <v>613367</v>
      </c>
      <c r="G4659">
        <v>55074949392</v>
      </c>
      <c r="H4659" t="s">
        <v>35</v>
      </c>
      <c r="I4659" s="36">
        <v>3523.8</v>
      </c>
      <c r="J4659" s="36">
        <v>3523.8</v>
      </c>
      <c r="K4659" s="85">
        <v>0</v>
      </c>
      <c r="L4659" s="36">
        <v>293.64999999999998</v>
      </c>
      <c r="M4659" s="36">
        <v>0</v>
      </c>
      <c r="N4659" s="36">
        <v>3.4</v>
      </c>
      <c r="O4659" s="36">
        <v>290.25</v>
      </c>
      <c r="P4659" t="s">
        <v>133</v>
      </c>
      <c r="Q4659" t="s">
        <v>111</v>
      </c>
      <c r="R4659" t="s">
        <v>111</v>
      </c>
      <c r="S4659" s="112">
        <v>46168</v>
      </c>
      <c r="T4659" s="112">
        <v>46168</v>
      </c>
      <c r="U4659" s="112">
        <v>46127</v>
      </c>
      <c r="V4659" s="112">
        <v>46533</v>
      </c>
      <c r="W4659" t="s">
        <v>38</v>
      </c>
      <c r="X4659">
        <v>13</v>
      </c>
      <c r="Y4659" t="s">
        <v>49</v>
      </c>
      <c r="Z4659" t="s">
        <v>81</v>
      </c>
      <c r="AA4659" t="s">
        <v>82</v>
      </c>
      <c r="AB4659">
        <v>1</v>
      </c>
      <c r="AC4659" t="s">
        <v>113</v>
      </c>
      <c r="AD4659" t="s">
        <v>84</v>
      </c>
      <c r="AE4659" t="s">
        <v>43</v>
      </c>
      <c r="AF4659" t="s">
        <v>44</v>
      </c>
      <c r="AG4659" t="str">
        <f t="shared" si="107"/>
        <v>À Vista</v>
      </c>
      <c r="AH4659" t="str">
        <f t="shared" si="108"/>
        <v/>
      </c>
    </row>
    <row r="4660" spans="1:34">
      <c r="A4660">
        <v>2026</v>
      </c>
      <c r="B4660">
        <v>5</v>
      </c>
      <c r="C4660" s="83">
        <v>2106882</v>
      </c>
      <c r="D4660" t="s">
        <v>3985</v>
      </c>
      <c r="E4660">
        <v>60150391618</v>
      </c>
      <c r="F4660">
        <v>637760</v>
      </c>
      <c r="G4660">
        <v>55191277911</v>
      </c>
      <c r="H4660" t="s">
        <v>35</v>
      </c>
      <c r="I4660" s="36">
        <v>3490.44</v>
      </c>
      <c r="J4660" s="36">
        <v>3490.5</v>
      </c>
      <c r="K4660" s="85">
        <v>0</v>
      </c>
      <c r="L4660" s="36">
        <v>290.875</v>
      </c>
      <c r="M4660" s="36">
        <v>0</v>
      </c>
      <c r="N4660" s="36">
        <v>290.875</v>
      </c>
      <c r="O4660" s="36">
        <v>0</v>
      </c>
      <c r="P4660" t="s">
        <v>520</v>
      </c>
      <c r="Q4660" t="s">
        <v>191</v>
      </c>
      <c r="R4660" t="s">
        <v>191</v>
      </c>
      <c r="S4660" s="112">
        <v>46155</v>
      </c>
      <c r="T4660" s="112">
        <v>46155</v>
      </c>
      <c r="U4660" s="112"/>
      <c r="V4660" s="112">
        <v>46520</v>
      </c>
      <c r="W4660" t="s">
        <v>38</v>
      </c>
      <c r="X4660">
        <v>12</v>
      </c>
      <c r="Y4660" t="s">
        <v>49</v>
      </c>
      <c r="AA4660" t="s">
        <v>122</v>
      </c>
      <c r="AB4660">
        <v>12</v>
      </c>
      <c r="AC4660" t="s">
        <v>192</v>
      </c>
      <c r="AD4660" t="s">
        <v>362</v>
      </c>
      <c r="AE4660" t="s">
        <v>363</v>
      </c>
      <c r="AF4660" t="s">
        <v>59</v>
      </c>
      <c r="AG4660" t="str">
        <f t="shared" si="107"/>
        <v>Recorrente</v>
      </c>
      <c r="AH4660" t="str">
        <f t="shared" si="108"/>
        <v/>
      </c>
    </row>
    <row r="4661" spans="1:34">
      <c r="A4661">
        <v>2026</v>
      </c>
      <c r="B4661">
        <v>5</v>
      </c>
      <c r="C4661" s="83">
        <v>2106882</v>
      </c>
      <c r="D4661" t="s">
        <v>3985</v>
      </c>
      <c r="E4661">
        <v>60150391618</v>
      </c>
      <c r="F4661">
        <v>637760</v>
      </c>
      <c r="G4661">
        <v>55191277912</v>
      </c>
      <c r="H4661" t="s">
        <v>35</v>
      </c>
      <c r="I4661" s="36">
        <v>3490.44</v>
      </c>
      <c r="J4661" s="36">
        <v>3490.5</v>
      </c>
      <c r="K4661" s="85">
        <v>0</v>
      </c>
      <c r="L4661" s="36">
        <v>290.875</v>
      </c>
      <c r="M4661" s="36">
        <v>0</v>
      </c>
      <c r="N4661" s="36">
        <v>290.875</v>
      </c>
      <c r="O4661" s="36">
        <v>0</v>
      </c>
      <c r="P4661" t="s">
        <v>520</v>
      </c>
      <c r="Q4661" t="s">
        <v>191</v>
      </c>
      <c r="R4661" t="s">
        <v>191</v>
      </c>
      <c r="S4661" s="112">
        <v>46155</v>
      </c>
      <c r="T4661" s="112">
        <v>46155</v>
      </c>
      <c r="U4661" s="112"/>
      <c r="V4661" s="112">
        <v>46520</v>
      </c>
      <c r="W4661" t="s">
        <v>38</v>
      </c>
      <c r="X4661">
        <v>12</v>
      </c>
      <c r="Y4661" t="s">
        <v>49</v>
      </c>
      <c r="AA4661" t="s">
        <v>122</v>
      </c>
      <c r="AB4661">
        <v>12</v>
      </c>
      <c r="AC4661" t="s">
        <v>192</v>
      </c>
      <c r="AD4661" t="s">
        <v>256</v>
      </c>
      <c r="AE4661" t="s">
        <v>257</v>
      </c>
      <c r="AF4661" t="s">
        <v>59</v>
      </c>
      <c r="AG4661" t="str">
        <f t="shared" si="107"/>
        <v>Recorrente</v>
      </c>
      <c r="AH4661" t="str">
        <f t="shared" si="108"/>
        <v/>
      </c>
    </row>
    <row r="4662" spans="1:34">
      <c r="A4662">
        <v>2026</v>
      </c>
      <c r="B4662">
        <v>5</v>
      </c>
      <c r="C4662" s="83">
        <v>122192027276</v>
      </c>
      <c r="D4662" t="s">
        <v>3986</v>
      </c>
      <c r="E4662">
        <v>59244588917</v>
      </c>
      <c r="F4662">
        <v>629626</v>
      </c>
      <c r="G4662">
        <v>55623717781</v>
      </c>
      <c r="H4662" t="s">
        <v>35</v>
      </c>
      <c r="I4662" s="36">
        <v>3483.24</v>
      </c>
      <c r="J4662" s="36">
        <v>3483.24</v>
      </c>
      <c r="K4662" s="85">
        <v>0</v>
      </c>
      <c r="L4662" s="36">
        <v>290.27</v>
      </c>
      <c r="M4662" s="36">
        <v>0</v>
      </c>
      <c r="N4662" s="36">
        <v>12.172499999999999</v>
      </c>
      <c r="O4662" s="36">
        <v>278.10000000000002</v>
      </c>
      <c r="P4662" t="s">
        <v>162</v>
      </c>
      <c r="Q4662" t="s">
        <v>111</v>
      </c>
      <c r="R4662" t="s">
        <v>111</v>
      </c>
      <c r="S4662" s="112">
        <v>46169</v>
      </c>
      <c r="T4662" s="112">
        <v>46169</v>
      </c>
      <c r="U4662" s="112">
        <v>46158</v>
      </c>
      <c r="V4662" s="112">
        <v>46534</v>
      </c>
      <c r="W4662" t="s">
        <v>38</v>
      </c>
      <c r="X4662">
        <v>12</v>
      </c>
      <c r="Y4662" t="s">
        <v>49</v>
      </c>
      <c r="Z4662" t="s">
        <v>81</v>
      </c>
      <c r="AA4662" t="s">
        <v>112</v>
      </c>
      <c r="AB4662">
        <v>12</v>
      </c>
      <c r="AC4662" t="s">
        <v>113</v>
      </c>
      <c r="AD4662" t="s">
        <v>160</v>
      </c>
      <c r="AE4662" t="s">
        <v>43</v>
      </c>
      <c r="AF4662" t="s">
        <v>44</v>
      </c>
      <c r="AG4662" t="str">
        <f t="shared" ref="AG4662:AG4725" si="109">IF(IFERROR(SEARCH("Recorrente",AA4662),0)&gt;0,"Recorrente",IF(AB4662=1,"À Vista",IF(AB4662&lt;=3,"CC 3x",IF(AB4662&lt;=12,"CC 12x",IF(AB4662&gt;12,"Recorrente","")))))</f>
        <v>CC 12x</v>
      </c>
      <c r="AH4662" t="str">
        <f t="shared" ref="AH4662:AH4725" si="110">IF(AND(SUMIF(E:E,E4662,I:I)&gt;=400000,Q4662="B2G"),"n","")</f>
        <v/>
      </c>
    </row>
    <row r="4663" spans="1:34">
      <c r="A4663">
        <v>2026</v>
      </c>
      <c r="B4663">
        <v>5</v>
      </c>
      <c r="C4663" s="83">
        <v>2066951</v>
      </c>
      <c r="D4663" t="s">
        <v>3987</v>
      </c>
      <c r="E4663">
        <v>60005099400</v>
      </c>
      <c r="F4663">
        <v>314236</v>
      </c>
      <c r="G4663">
        <v>54956852843</v>
      </c>
      <c r="H4663" t="s">
        <v>35</v>
      </c>
      <c r="I4663" s="36">
        <v>3483.24</v>
      </c>
      <c r="J4663" s="36">
        <v>3483.24</v>
      </c>
      <c r="K4663" s="85">
        <v>0</v>
      </c>
      <c r="L4663" s="36">
        <v>290.27</v>
      </c>
      <c r="M4663" s="36">
        <v>0</v>
      </c>
      <c r="N4663" s="36">
        <v>12.172499999999999</v>
      </c>
      <c r="O4663" s="36">
        <v>278.10000000000002</v>
      </c>
      <c r="P4663" t="s">
        <v>116</v>
      </c>
      <c r="Q4663" t="s">
        <v>111</v>
      </c>
      <c r="R4663" t="s">
        <v>111</v>
      </c>
      <c r="S4663" s="112">
        <v>46146</v>
      </c>
      <c r="T4663" s="112">
        <v>46146</v>
      </c>
      <c r="U4663" s="112">
        <v>46147</v>
      </c>
      <c r="V4663" s="112">
        <v>46512</v>
      </c>
      <c r="W4663" t="s">
        <v>38</v>
      </c>
      <c r="X4663">
        <v>12</v>
      </c>
      <c r="Y4663" t="s">
        <v>49</v>
      </c>
      <c r="Z4663" t="s">
        <v>81</v>
      </c>
      <c r="AA4663" t="s">
        <v>122</v>
      </c>
      <c r="AB4663">
        <v>12</v>
      </c>
      <c r="AC4663" t="s">
        <v>113</v>
      </c>
      <c r="AD4663" t="s">
        <v>160</v>
      </c>
      <c r="AE4663" t="s">
        <v>43</v>
      </c>
      <c r="AF4663" t="s">
        <v>44</v>
      </c>
      <c r="AG4663" t="str">
        <f t="shared" si="109"/>
        <v>Recorrente</v>
      </c>
      <c r="AH4663" t="str">
        <f t="shared" si="110"/>
        <v/>
      </c>
    </row>
    <row r="4664" spans="1:34">
      <c r="A4664">
        <v>2026</v>
      </c>
      <c r="B4664">
        <v>5</v>
      </c>
      <c r="C4664" s="83">
        <v>33429217334</v>
      </c>
      <c r="D4664" t="s">
        <v>3988</v>
      </c>
      <c r="E4664">
        <v>60260017683</v>
      </c>
      <c r="F4664">
        <v>629580</v>
      </c>
      <c r="G4664">
        <v>55687713550</v>
      </c>
      <c r="H4664" t="s">
        <v>35</v>
      </c>
      <c r="I4664" s="36">
        <v>3483.24</v>
      </c>
      <c r="J4664" s="36">
        <v>3483.24</v>
      </c>
      <c r="K4664" s="85">
        <v>0</v>
      </c>
      <c r="L4664" s="36">
        <v>290.27</v>
      </c>
      <c r="M4664" s="36">
        <v>0</v>
      </c>
      <c r="N4664" s="36">
        <v>12.172499999999999</v>
      </c>
      <c r="O4664" s="36">
        <v>278.10000000000002</v>
      </c>
      <c r="P4664" t="s">
        <v>110</v>
      </c>
      <c r="Q4664" t="s">
        <v>111</v>
      </c>
      <c r="R4664" t="s">
        <v>111</v>
      </c>
      <c r="S4664" s="112">
        <v>46171</v>
      </c>
      <c r="T4664" s="112">
        <v>46171</v>
      </c>
      <c r="U4664" s="112">
        <v>46156</v>
      </c>
      <c r="V4664" s="112">
        <v>46536</v>
      </c>
      <c r="W4664" t="s">
        <v>38</v>
      </c>
      <c r="X4664">
        <v>12</v>
      </c>
      <c r="Y4664" t="s">
        <v>49</v>
      </c>
      <c r="Z4664" t="s">
        <v>81</v>
      </c>
      <c r="AA4664" t="s">
        <v>112</v>
      </c>
      <c r="AB4664">
        <v>12</v>
      </c>
      <c r="AC4664" t="s">
        <v>113</v>
      </c>
      <c r="AD4664" t="s">
        <v>160</v>
      </c>
      <c r="AE4664" t="s">
        <v>43</v>
      </c>
      <c r="AF4664" t="s">
        <v>44</v>
      </c>
      <c r="AG4664" t="str">
        <f t="shared" si="109"/>
        <v>CC 12x</v>
      </c>
      <c r="AH4664" t="str">
        <f t="shared" si="110"/>
        <v/>
      </c>
    </row>
    <row r="4665" spans="1:34">
      <c r="A4665">
        <v>2026</v>
      </c>
      <c r="B4665">
        <v>5</v>
      </c>
      <c r="C4665" s="83">
        <v>11200905829</v>
      </c>
      <c r="D4665" t="s">
        <v>2737</v>
      </c>
      <c r="E4665">
        <v>60626112416</v>
      </c>
      <c r="F4665">
        <v>613926</v>
      </c>
      <c r="G4665">
        <v>55609925405</v>
      </c>
      <c r="H4665" t="s">
        <v>35</v>
      </c>
      <c r="I4665" s="36">
        <v>3461.28</v>
      </c>
      <c r="J4665" s="36">
        <v>3842.88</v>
      </c>
      <c r="K4665" s="85">
        <v>0</v>
      </c>
      <c r="L4665" s="36">
        <v>320.24</v>
      </c>
      <c r="M4665" s="36">
        <v>0</v>
      </c>
      <c r="N4665" s="36">
        <v>320.24</v>
      </c>
      <c r="O4665" s="36">
        <v>0</v>
      </c>
      <c r="P4665" t="s">
        <v>804</v>
      </c>
      <c r="Q4665" t="s">
        <v>191</v>
      </c>
      <c r="R4665" t="s">
        <v>191</v>
      </c>
      <c r="S4665" s="112">
        <v>46167</v>
      </c>
      <c r="T4665" s="112">
        <v>46167</v>
      </c>
      <c r="U4665" s="112">
        <v>46496</v>
      </c>
      <c r="V4665" s="112">
        <v>46496</v>
      </c>
      <c r="W4665" t="s">
        <v>38</v>
      </c>
      <c r="X4665">
        <v>11</v>
      </c>
      <c r="Y4665" t="s">
        <v>49</v>
      </c>
      <c r="Z4665" t="s">
        <v>324</v>
      </c>
      <c r="AA4665" t="s">
        <v>122</v>
      </c>
      <c r="AB4665">
        <v>10</v>
      </c>
      <c r="AC4665" t="s">
        <v>192</v>
      </c>
      <c r="AD4665" t="s">
        <v>131</v>
      </c>
      <c r="AE4665" t="s">
        <v>46</v>
      </c>
      <c r="AF4665" t="s">
        <v>96</v>
      </c>
      <c r="AG4665" t="str">
        <f t="shared" si="109"/>
        <v>Recorrente</v>
      </c>
      <c r="AH4665" t="str">
        <f t="shared" si="110"/>
        <v/>
      </c>
    </row>
    <row r="4666" spans="1:34">
      <c r="A4666">
        <v>2026</v>
      </c>
      <c r="B4666">
        <v>5</v>
      </c>
      <c r="C4666" s="83">
        <v>2216078</v>
      </c>
      <c r="D4666" t="s">
        <v>3989</v>
      </c>
      <c r="E4666">
        <v>60691991325</v>
      </c>
      <c r="F4666">
        <v>638044</v>
      </c>
      <c r="G4666">
        <v>55660888669</v>
      </c>
      <c r="H4666" t="s">
        <v>35</v>
      </c>
      <c r="I4666" s="36">
        <v>3452.4</v>
      </c>
      <c r="J4666" s="36">
        <v>3452.4</v>
      </c>
      <c r="K4666" s="85">
        <v>4.5499999999999998E-13</v>
      </c>
      <c r="L4666" s="36">
        <v>287.7</v>
      </c>
      <c r="M4666" s="36">
        <v>287.7</v>
      </c>
      <c r="N4666" s="36">
        <v>0</v>
      </c>
      <c r="O4666" s="36">
        <v>0</v>
      </c>
      <c r="P4666" t="s">
        <v>511</v>
      </c>
      <c r="Q4666" t="s">
        <v>300</v>
      </c>
      <c r="R4666" t="s">
        <v>300</v>
      </c>
      <c r="S4666" s="112">
        <v>46170</v>
      </c>
      <c r="T4666" s="112">
        <v>46170</v>
      </c>
      <c r="U4666" s="112"/>
      <c r="V4666" s="112">
        <v>46535</v>
      </c>
      <c r="W4666" t="s">
        <v>38</v>
      </c>
      <c r="X4666">
        <v>12</v>
      </c>
      <c r="Y4666" t="s">
        <v>49</v>
      </c>
      <c r="AA4666" t="s">
        <v>112</v>
      </c>
      <c r="AB4666">
        <v>12</v>
      </c>
      <c r="AC4666" t="s">
        <v>301</v>
      </c>
      <c r="AD4666" t="s">
        <v>85</v>
      </c>
      <c r="AE4666" t="s">
        <v>46</v>
      </c>
      <c r="AF4666" t="s">
        <v>44</v>
      </c>
      <c r="AG4666" t="str">
        <f t="shared" si="109"/>
        <v>CC 12x</v>
      </c>
      <c r="AH4666" t="str">
        <f t="shared" si="110"/>
        <v/>
      </c>
    </row>
    <row r="4667" spans="1:34">
      <c r="A4667">
        <v>2026</v>
      </c>
      <c r="B4667">
        <v>5</v>
      </c>
      <c r="C4667" s="83">
        <v>2227651</v>
      </c>
      <c r="D4667" t="s">
        <v>3990</v>
      </c>
      <c r="E4667">
        <v>60713722033</v>
      </c>
      <c r="F4667">
        <v>638071</v>
      </c>
      <c r="G4667">
        <v>55686052881</v>
      </c>
      <c r="H4667" t="s">
        <v>35</v>
      </c>
      <c r="I4667" s="36">
        <v>3452.4</v>
      </c>
      <c r="J4667" s="36">
        <v>3452.4</v>
      </c>
      <c r="K4667" s="85">
        <v>4.5499999999999998E-13</v>
      </c>
      <c r="L4667" s="36">
        <v>287.7</v>
      </c>
      <c r="M4667" s="36">
        <v>287.7</v>
      </c>
      <c r="N4667" s="36">
        <v>0</v>
      </c>
      <c r="O4667" s="36">
        <v>0</v>
      </c>
      <c r="P4667" t="s">
        <v>829</v>
      </c>
      <c r="Q4667" t="s">
        <v>300</v>
      </c>
      <c r="R4667" t="s">
        <v>300</v>
      </c>
      <c r="S4667" s="112">
        <v>46171</v>
      </c>
      <c r="T4667" s="112">
        <v>46171</v>
      </c>
      <c r="U4667" s="112"/>
      <c r="V4667" s="112">
        <v>46536</v>
      </c>
      <c r="W4667" t="s">
        <v>38</v>
      </c>
      <c r="X4667">
        <v>12</v>
      </c>
      <c r="Y4667" t="s">
        <v>49</v>
      </c>
      <c r="AA4667" t="s">
        <v>112</v>
      </c>
      <c r="AB4667">
        <v>12</v>
      </c>
      <c r="AC4667" t="s">
        <v>301</v>
      </c>
      <c r="AD4667" t="s">
        <v>85</v>
      </c>
      <c r="AE4667" t="s">
        <v>46</v>
      </c>
      <c r="AF4667" t="s">
        <v>44</v>
      </c>
      <c r="AG4667" t="str">
        <f t="shared" si="109"/>
        <v>CC 12x</v>
      </c>
      <c r="AH4667" t="str">
        <f t="shared" si="110"/>
        <v/>
      </c>
    </row>
    <row r="4668" spans="1:34">
      <c r="A4668">
        <v>2026</v>
      </c>
      <c r="B4668">
        <v>5</v>
      </c>
      <c r="C4668" s="83">
        <v>222973565045</v>
      </c>
      <c r="D4668" t="s">
        <v>3991</v>
      </c>
      <c r="E4668">
        <v>60554279045</v>
      </c>
      <c r="F4668">
        <v>638052</v>
      </c>
      <c r="G4668">
        <v>55660888202</v>
      </c>
      <c r="H4668" t="s">
        <v>35</v>
      </c>
      <c r="I4668" s="36">
        <v>3452.4</v>
      </c>
      <c r="J4668" s="36">
        <v>3452.4</v>
      </c>
      <c r="K4668" s="85">
        <v>4.5499999999999998E-13</v>
      </c>
      <c r="L4668" s="36">
        <v>287.7</v>
      </c>
      <c r="M4668" s="36">
        <v>287.7</v>
      </c>
      <c r="N4668" s="36">
        <v>0</v>
      </c>
      <c r="O4668" s="36">
        <v>0</v>
      </c>
      <c r="P4668" t="s">
        <v>506</v>
      </c>
      <c r="Q4668" t="s">
        <v>300</v>
      </c>
      <c r="R4668" t="s">
        <v>300</v>
      </c>
      <c r="S4668" s="112">
        <v>46170</v>
      </c>
      <c r="T4668" s="112">
        <v>46170</v>
      </c>
      <c r="U4668" s="112"/>
      <c r="V4668" s="112">
        <v>46535</v>
      </c>
      <c r="W4668" t="s">
        <v>38</v>
      </c>
      <c r="X4668">
        <v>12</v>
      </c>
      <c r="Y4668" t="s">
        <v>49</v>
      </c>
      <c r="AA4668" t="s">
        <v>122</v>
      </c>
      <c r="AB4668">
        <v>12</v>
      </c>
      <c r="AC4668" t="s">
        <v>301</v>
      </c>
      <c r="AD4668" t="s">
        <v>85</v>
      </c>
      <c r="AE4668" t="s">
        <v>46</v>
      </c>
      <c r="AF4668" t="s">
        <v>44</v>
      </c>
      <c r="AG4668" t="str">
        <f t="shared" si="109"/>
        <v>Recorrente</v>
      </c>
      <c r="AH4668" t="str">
        <f t="shared" si="110"/>
        <v/>
      </c>
    </row>
    <row r="4669" spans="1:34">
      <c r="A4669">
        <v>2026</v>
      </c>
      <c r="B4669">
        <v>5</v>
      </c>
      <c r="C4669" s="83">
        <v>126797807465</v>
      </c>
      <c r="D4669" t="s">
        <v>3992</v>
      </c>
      <c r="E4669">
        <v>59239546225</v>
      </c>
      <c r="F4669">
        <v>525172</v>
      </c>
      <c r="G4669">
        <v>54341078406</v>
      </c>
      <c r="H4669" t="s">
        <v>35</v>
      </c>
      <c r="I4669" s="36">
        <v>3450.6</v>
      </c>
      <c r="J4669" s="36">
        <v>3450.6</v>
      </c>
      <c r="K4669" s="85">
        <v>0</v>
      </c>
      <c r="L4669" s="36">
        <v>287.55</v>
      </c>
      <c r="M4669" s="36">
        <v>0</v>
      </c>
      <c r="N4669" s="36">
        <v>46.17</v>
      </c>
      <c r="O4669" s="36">
        <v>241.38</v>
      </c>
      <c r="P4669" t="s">
        <v>165</v>
      </c>
      <c r="Q4669" t="s">
        <v>166</v>
      </c>
      <c r="R4669" t="s">
        <v>166</v>
      </c>
      <c r="S4669" s="112">
        <v>46169</v>
      </c>
      <c r="T4669" s="112">
        <v>46169</v>
      </c>
      <c r="U4669" s="112">
        <v>46173</v>
      </c>
      <c r="V4669" s="112">
        <v>46538</v>
      </c>
      <c r="W4669" t="s">
        <v>38</v>
      </c>
      <c r="X4669">
        <v>12</v>
      </c>
      <c r="Y4669" t="s">
        <v>49</v>
      </c>
      <c r="Z4669" t="s">
        <v>81</v>
      </c>
      <c r="AA4669" t="s">
        <v>112</v>
      </c>
      <c r="AB4669">
        <v>12</v>
      </c>
      <c r="AC4669" t="s">
        <v>166</v>
      </c>
      <c r="AD4669" t="s">
        <v>142</v>
      </c>
      <c r="AE4669" t="s">
        <v>95</v>
      </c>
      <c r="AF4669" t="s">
        <v>44</v>
      </c>
      <c r="AG4669" t="str">
        <f t="shared" si="109"/>
        <v>CC 12x</v>
      </c>
      <c r="AH4669" t="str">
        <f t="shared" si="110"/>
        <v/>
      </c>
    </row>
    <row r="4670" spans="1:34">
      <c r="A4670">
        <v>2026</v>
      </c>
      <c r="B4670">
        <v>5</v>
      </c>
      <c r="C4670" s="83">
        <v>20194130807</v>
      </c>
      <c r="D4670" t="s">
        <v>3993</v>
      </c>
      <c r="E4670">
        <v>60551258990</v>
      </c>
      <c r="F4670">
        <v>638053</v>
      </c>
      <c r="G4670">
        <v>55660970916</v>
      </c>
      <c r="H4670" t="s">
        <v>35</v>
      </c>
      <c r="I4670" s="36">
        <v>3450.6</v>
      </c>
      <c r="J4670" s="36">
        <v>3450.6</v>
      </c>
      <c r="K4670" s="85">
        <v>0</v>
      </c>
      <c r="L4670" s="36">
        <v>287.55</v>
      </c>
      <c r="M4670" s="36">
        <v>287.55</v>
      </c>
      <c r="N4670" s="36">
        <v>0</v>
      </c>
      <c r="O4670" s="36">
        <v>0</v>
      </c>
      <c r="P4670" t="s">
        <v>129</v>
      </c>
      <c r="Q4670" t="s">
        <v>91</v>
      </c>
      <c r="R4670" t="s">
        <v>91</v>
      </c>
      <c r="S4670" s="112">
        <v>46170</v>
      </c>
      <c r="T4670" s="112">
        <v>46170</v>
      </c>
      <c r="U4670" s="112"/>
      <c r="V4670" s="112">
        <v>46546</v>
      </c>
      <c r="W4670" t="s">
        <v>38</v>
      </c>
      <c r="X4670">
        <v>13</v>
      </c>
      <c r="Y4670" t="s">
        <v>49</v>
      </c>
      <c r="AA4670" t="s">
        <v>92</v>
      </c>
      <c r="AB4670">
        <v>12</v>
      </c>
      <c r="AC4670" t="s">
        <v>93</v>
      </c>
      <c r="AD4670" t="s">
        <v>142</v>
      </c>
      <c r="AE4670" t="s">
        <v>95</v>
      </c>
      <c r="AF4670" t="s">
        <v>44</v>
      </c>
      <c r="AG4670" t="str">
        <f t="shared" si="109"/>
        <v>Recorrente</v>
      </c>
      <c r="AH4670" t="str">
        <f t="shared" si="110"/>
        <v/>
      </c>
    </row>
    <row r="4671" spans="1:34">
      <c r="A4671">
        <v>2026</v>
      </c>
      <c r="B4671">
        <v>5</v>
      </c>
      <c r="C4671" s="83">
        <v>2068266</v>
      </c>
      <c r="D4671" t="s">
        <v>3994</v>
      </c>
      <c r="E4671">
        <v>60238655871</v>
      </c>
      <c r="F4671">
        <v>637774</v>
      </c>
      <c r="G4671">
        <v>55243807242</v>
      </c>
      <c r="H4671" t="s">
        <v>35</v>
      </c>
      <c r="I4671" s="36">
        <v>3450.6</v>
      </c>
      <c r="J4671" s="36">
        <v>3450.6</v>
      </c>
      <c r="K4671" s="85">
        <v>0</v>
      </c>
      <c r="L4671" s="36">
        <v>287.55</v>
      </c>
      <c r="M4671" s="36">
        <v>287.55</v>
      </c>
      <c r="N4671" s="36">
        <v>0</v>
      </c>
      <c r="O4671" s="36">
        <v>0</v>
      </c>
      <c r="P4671" t="s">
        <v>3179</v>
      </c>
      <c r="Q4671" t="s">
        <v>300</v>
      </c>
      <c r="R4671" t="s">
        <v>300</v>
      </c>
      <c r="S4671" s="112">
        <v>46155</v>
      </c>
      <c r="T4671" s="112">
        <v>46155</v>
      </c>
      <c r="U4671" s="112"/>
      <c r="V4671" s="112">
        <v>46520</v>
      </c>
      <c r="W4671" t="s">
        <v>38</v>
      </c>
      <c r="X4671">
        <v>12</v>
      </c>
      <c r="Y4671" t="s">
        <v>49</v>
      </c>
      <c r="AA4671" t="s">
        <v>112</v>
      </c>
      <c r="AB4671">
        <v>12</v>
      </c>
      <c r="AC4671" t="s">
        <v>301</v>
      </c>
      <c r="AD4671" t="s">
        <v>142</v>
      </c>
      <c r="AE4671" t="s">
        <v>95</v>
      </c>
      <c r="AF4671" t="s">
        <v>44</v>
      </c>
      <c r="AG4671" t="str">
        <f t="shared" si="109"/>
        <v>CC 12x</v>
      </c>
      <c r="AH4671" t="str">
        <f t="shared" si="110"/>
        <v/>
      </c>
    </row>
    <row r="4672" spans="1:34">
      <c r="A4672">
        <v>2026</v>
      </c>
      <c r="B4672">
        <v>5</v>
      </c>
      <c r="C4672" s="83">
        <v>2128747</v>
      </c>
      <c r="D4672" t="s">
        <v>1529</v>
      </c>
      <c r="E4672">
        <v>59082603568</v>
      </c>
      <c r="F4672">
        <v>629845</v>
      </c>
      <c r="G4672">
        <v>54214524540</v>
      </c>
      <c r="H4672" t="s">
        <v>35</v>
      </c>
      <c r="I4672" s="36">
        <v>3450.6</v>
      </c>
      <c r="J4672" s="36">
        <v>3450.6</v>
      </c>
      <c r="K4672" s="85">
        <v>0</v>
      </c>
      <c r="L4672" s="36">
        <v>287.55</v>
      </c>
      <c r="M4672" s="36">
        <v>0</v>
      </c>
      <c r="N4672" s="36">
        <v>78.95</v>
      </c>
      <c r="O4672" s="36">
        <v>208.6</v>
      </c>
      <c r="P4672" t="s">
        <v>165</v>
      </c>
      <c r="Q4672" t="s">
        <v>166</v>
      </c>
      <c r="R4672" t="s">
        <v>166</v>
      </c>
      <c r="S4672" s="112">
        <v>46167</v>
      </c>
      <c r="T4672" s="112">
        <v>46167</v>
      </c>
      <c r="U4672" s="112">
        <v>46169</v>
      </c>
      <c r="V4672" s="112">
        <v>46534</v>
      </c>
      <c r="W4672" t="s">
        <v>38</v>
      </c>
      <c r="X4672">
        <v>12</v>
      </c>
      <c r="Y4672" t="s">
        <v>49</v>
      </c>
      <c r="Z4672" t="s">
        <v>81</v>
      </c>
      <c r="AA4672" t="s">
        <v>122</v>
      </c>
      <c r="AB4672">
        <v>12</v>
      </c>
      <c r="AC4672" t="s">
        <v>166</v>
      </c>
      <c r="AD4672" t="s">
        <v>142</v>
      </c>
      <c r="AE4672" t="s">
        <v>95</v>
      </c>
      <c r="AF4672" t="s">
        <v>44</v>
      </c>
      <c r="AG4672" t="str">
        <f t="shared" si="109"/>
        <v>Recorrente</v>
      </c>
      <c r="AH4672" t="str">
        <f t="shared" si="110"/>
        <v/>
      </c>
    </row>
    <row r="4673" spans="1:34">
      <c r="A4673">
        <v>2026</v>
      </c>
      <c r="B4673">
        <v>5</v>
      </c>
      <c r="C4673" s="83">
        <v>119633038245</v>
      </c>
      <c r="D4673" t="s">
        <v>3995</v>
      </c>
      <c r="E4673">
        <v>58894902838</v>
      </c>
      <c r="F4673">
        <v>629446</v>
      </c>
      <c r="G4673">
        <v>55242251605</v>
      </c>
      <c r="H4673" t="s">
        <v>35</v>
      </c>
      <c r="I4673" s="36">
        <v>3409.92</v>
      </c>
      <c r="J4673" s="36">
        <v>3409.92</v>
      </c>
      <c r="K4673" s="85">
        <v>0</v>
      </c>
      <c r="L4673" s="36">
        <v>284.16000000000003</v>
      </c>
      <c r="M4673" s="36">
        <v>0</v>
      </c>
      <c r="N4673" s="36">
        <v>6.0614999999999997</v>
      </c>
      <c r="O4673" s="36">
        <v>278.10000000000002</v>
      </c>
      <c r="P4673" t="s">
        <v>110</v>
      </c>
      <c r="Q4673" t="s">
        <v>111</v>
      </c>
      <c r="R4673" t="s">
        <v>111</v>
      </c>
      <c r="S4673" s="112">
        <v>46155</v>
      </c>
      <c r="T4673" s="112">
        <v>46155</v>
      </c>
      <c r="U4673" s="112">
        <v>46149</v>
      </c>
      <c r="V4673" s="112">
        <v>46520</v>
      </c>
      <c r="W4673" t="s">
        <v>38</v>
      </c>
      <c r="X4673">
        <v>12</v>
      </c>
      <c r="Y4673" t="s">
        <v>49</v>
      </c>
      <c r="Z4673" t="s">
        <v>81</v>
      </c>
      <c r="AA4673" t="s">
        <v>112</v>
      </c>
      <c r="AB4673">
        <v>12</v>
      </c>
      <c r="AC4673" t="s">
        <v>113</v>
      </c>
      <c r="AD4673" t="s">
        <v>160</v>
      </c>
      <c r="AE4673" t="s">
        <v>43</v>
      </c>
      <c r="AF4673" t="s">
        <v>44</v>
      </c>
      <c r="AG4673" t="str">
        <f t="shared" si="109"/>
        <v>CC 12x</v>
      </c>
      <c r="AH4673" t="str">
        <f t="shared" si="110"/>
        <v/>
      </c>
    </row>
    <row r="4674" spans="1:34">
      <c r="A4674">
        <v>2026</v>
      </c>
      <c r="B4674">
        <v>5</v>
      </c>
      <c r="C4674" s="83">
        <v>49502835335</v>
      </c>
      <c r="D4674" t="s">
        <v>3996</v>
      </c>
      <c r="E4674">
        <v>59204298915</v>
      </c>
      <c r="F4674">
        <v>637807</v>
      </c>
      <c r="G4674">
        <v>55270198921</v>
      </c>
      <c r="H4674" t="s">
        <v>35</v>
      </c>
      <c r="I4674" s="36">
        <v>3381.36</v>
      </c>
      <c r="J4674" s="36">
        <v>3381.42</v>
      </c>
      <c r="K4674" s="85">
        <v>0</v>
      </c>
      <c r="L4674" s="36">
        <v>281.78500000000003</v>
      </c>
      <c r="M4674" s="36">
        <v>281.78500000000003</v>
      </c>
      <c r="N4674" s="36">
        <v>0</v>
      </c>
      <c r="O4674" s="36">
        <v>0</v>
      </c>
      <c r="P4674" t="s">
        <v>506</v>
      </c>
      <c r="Q4674" t="s">
        <v>300</v>
      </c>
      <c r="R4674" t="s">
        <v>300</v>
      </c>
      <c r="S4674" s="112">
        <v>46157</v>
      </c>
      <c r="T4674" s="112">
        <v>46157</v>
      </c>
      <c r="U4674" s="112"/>
      <c r="V4674" s="112">
        <v>46522</v>
      </c>
      <c r="W4674" t="s">
        <v>38</v>
      </c>
      <c r="X4674">
        <v>12</v>
      </c>
      <c r="Y4674" t="s">
        <v>49</v>
      </c>
      <c r="AA4674" t="s">
        <v>112</v>
      </c>
      <c r="AB4674">
        <v>12</v>
      </c>
      <c r="AC4674" t="s">
        <v>301</v>
      </c>
      <c r="AD4674" t="s">
        <v>160</v>
      </c>
      <c r="AE4674" t="s">
        <v>43</v>
      </c>
      <c r="AF4674" t="s">
        <v>44</v>
      </c>
      <c r="AG4674" t="str">
        <f t="shared" si="109"/>
        <v>CC 12x</v>
      </c>
      <c r="AH4674" t="str">
        <f t="shared" si="110"/>
        <v/>
      </c>
    </row>
    <row r="4675" spans="1:34">
      <c r="A4675">
        <v>2026</v>
      </c>
      <c r="B4675">
        <v>5</v>
      </c>
      <c r="C4675" s="83">
        <v>2083223</v>
      </c>
      <c r="D4675" t="s">
        <v>3997</v>
      </c>
      <c r="E4675">
        <v>60626892099</v>
      </c>
      <c r="F4675">
        <v>637971</v>
      </c>
      <c r="G4675">
        <v>55620981841</v>
      </c>
      <c r="H4675" t="s">
        <v>35</v>
      </c>
      <c r="I4675" s="36">
        <v>3378.72</v>
      </c>
      <c r="J4675" s="36">
        <v>3378.7080000000001</v>
      </c>
      <c r="K4675" s="85">
        <v>1.2E-2</v>
      </c>
      <c r="L4675" s="36">
        <v>281.55900000000003</v>
      </c>
      <c r="M4675" s="36">
        <v>281.55900000000003</v>
      </c>
      <c r="N4675" s="36">
        <v>0</v>
      </c>
      <c r="O4675" s="36">
        <v>0</v>
      </c>
      <c r="P4675" t="s">
        <v>506</v>
      </c>
      <c r="Q4675" t="s">
        <v>300</v>
      </c>
      <c r="R4675" t="s">
        <v>300</v>
      </c>
      <c r="S4675" s="112">
        <v>46168</v>
      </c>
      <c r="T4675" s="112">
        <v>46168</v>
      </c>
      <c r="U4675" s="112"/>
      <c r="V4675" s="112">
        <v>46533</v>
      </c>
      <c r="W4675" t="s">
        <v>38</v>
      </c>
      <c r="X4675">
        <v>12</v>
      </c>
      <c r="Y4675" t="s">
        <v>49</v>
      </c>
      <c r="AA4675" t="s">
        <v>112</v>
      </c>
      <c r="AB4675">
        <v>12</v>
      </c>
      <c r="AC4675" t="s">
        <v>301</v>
      </c>
      <c r="AD4675" t="s">
        <v>160</v>
      </c>
      <c r="AE4675" t="s">
        <v>43</v>
      </c>
      <c r="AF4675" t="s">
        <v>44</v>
      </c>
      <c r="AG4675" t="str">
        <f t="shared" si="109"/>
        <v>CC 12x</v>
      </c>
      <c r="AH4675" t="str">
        <f t="shared" si="110"/>
        <v/>
      </c>
    </row>
    <row r="4676" spans="1:34">
      <c r="A4676">
        <v>2026</v>
      </c>
      <c r="B4676">
        <v>5</v>
      </c>
      <c r="C4676" s="83">
        <v>19435650133</v>
      </c>
      <c r="D4676" t="s">
        <v>3998</v>
      </c>
      <c r="E4676">
        <v>60075705483</v>
      </c>
      <c r="F4676">
        <v>637647</v>
      </c>
      <c r="G4676">
        <v>55099015950</v>
      </c>
      <c r="H4676" t="s">
        <v>35</v>
      </c>
      <c r="I4676" s="36">
        <v>3361.08</v>
      </c>
      <c r="J4676" s="36">
        <v>3361.05</v>
      </c>
      <c r="K4676" s="85">
        <v>0.03</v>
      </c>
      <c r="L4676" s="36">
        <v>280.08749999999998</v>
      </c>
      <c r="M4676" s="36">
        <v>280.08749999999998</v>
      </c>
      <c r="N4676" s="36">
        <v>0</v>
      </c>
      <c r="O4676" s="36">
        <v>0</v>
      </c>
      <c r="P4676" t="s">
        <v>506</v>
      </c>
      <c r="Q4676" t="s">
        <v>300</v>
      </c>
      <c r="R4676" t="s">
        <v>300</v>
      </c>
      <c r="S4676" s="112">
        <v>46149</v>
      </c>
      <c r="T4676" s="112">
        <v>46149</v>
      </c>
      <c r="U4676" s="112"/>
      <c r="V4676" s="112">
        <v>46514</v>
      </c>
      <c r="W4676" t="s">
        <v>38</v>
      </c>
      <c r="X4676">
        <v>12</v>
      </c>
      <c r="Y4676" t="s">
        <v>49</v>
      </c>
      <c r="AA4676" t="s">
        <v>117</v>
      </c>
      <c r="AB4676">
        <v>1</v>
      </c>
      <c r="AC4676" t="s">
        <v>301</v>
      </c>
      <c r="AD4676" t="s">
        <v>160</v>
      </c>
      <c r="AE4676" t="s">
        <v>43</v>
      </c>
      <c r="AF4676" t="s">
        <v>44</v>
      </c>
      <c r="AG4676" t="str">
        <f t="shared" si="109"/>
        <v>À Vista</v>
      </c>
      <c r="AH4676" t="str">
        <f t="shared" si="110"/>
        <v/>
      </c>
    </row>
    <row r="4677" spans="1:34">
      <c r="A4677">
        <v>2026</v>
      </c>
      <c r="B4677">
        <v>5</v>
      </c>
      <c r="C4677" s="83">
        <v>2135454</v>
      </c>
      <c r="D4677" t="s">
        <v>3999</v>
      </c>
      <c r="E4677">
        <v>60344845177</v>
      </c>
      <c r="F4677">
        <v>637895</v>
      </c>
      <c r="G4677">
        <v>55408280147</v>
      </c>
      <c r="H4677" t="s">
        <v>35</v>
      </c>
      <c r="I4677" s="36">
        <v>3308.4</v>
      </c>
      <c r="J4677" s="36">
        <v>3308.4</v>
      </c>
      <c r="K4677" s="85">
        <v>4.5499999999999998E-13</v>
      </c>
      <c r="L4677" s="36">
        <v>275.7</v>
      </c>
      <c r="M4677" s="36">
        <v>275.7</v>
      </c>
      <c r="N4677" s="36">
        <v>0</v>
      </c>
      <c r="O4677" s="36">
        <v>0</v>
      </c>
      <c r="P4677" t="s">
        <v>3642</v>
      </c>
      <c r="Q4677" t="s">
        <v>300</v>
      </c>
      <c r="R4677" t="s">
        <v>300</v>
      </c>
      <c r="S4677" s="112">
        <v>46163</v>
      </c>
      <c r="T4677" s="112">
        <v>46163</v>
      </c>
      <c r="U4677" s="112"/>
      <c r="V4677" s="112">
        <v>46528</v>
      </c>
      <c r="W4677" t="s">
        <v>38</v>
      </c>
      <c r="X4677">
        <v>12</v>
      </c>
      <c r="Y4677" t="s">
        <v>49</v>
      </c>
      <c r="AA4677" t="s">
        <v>112</v>
      </c>
      <c r="AB4677">
        <v>12</v>
      </c>
      <c r="AC4677" t="s">
        <v>301</v>
      </c>
      <c r="AD4677" t="s">
        <v>138</v>
      </c>
      <c r="AE4677" t="s">
        <v>135</v>
      </c>
      <c r="AF4677" t="s">
        <v>119</v>
      </c>
      <c r="AG4677" t="str">
        <f t="shared" si="109"/>
        <v>CC 12x</v>
      </c>
      <c r="AH4677" t="str">
        <f t="shared" si="110"/>
        <v/>
      </c>
    </row>
    <row r="4678" spans="1:34">
      <c r="A4678">
        <v>2026</v>
      </c>
      <c r="B4678">
        <v>5</v>
      </c>
      <c r="C4678" s="83">
        <v>2139125</v>
      </c>
      <c r="D4678" t="s">
        <v>4000</v>
      </c>
      <c r="E4678">
        <v>60713426553</v>
      </c>
      <c r="F4678">
        <v>638072</v>
      </c>
      <c r="G4678">
        <v>55685293339</v>
      </c>
      <c r="H4678" t="s">
        <v>35</v>
      </c>
      <c r="I4678" s="36">
        <v>3308.4</v>
      </c>
      <c r="J4678" s="36">
        <v>3308.4</v>
      </c>
      <c r="K4678" s="85">
        <v>4.5499999999999998E-13</v>
      </c>
      <c r="L4678" s="36">
        <v>275.7</v>
      </c>
      <c r="M4678" s="36">
        <v>275.7</v>
      </c>
      <c r="N4678" s="36">
        <v>0</v>
      </c>
      <c r="O4678" s="36">
        <v>0</v>
      </c>
      <c r="P4678" t="s">
        <v>3179</v>
      </c>
      <c r="Q4678" t="s">
        <v>300</v>
      </c>
      <c r="R4678" t="s">
        <v>300</v>
      </c>
      <c r="S4678" s="112">
        <v>46171</v>
      </c>
      <c r="T4678" s="112">
        <v>46171</v>
      </c>
      <c r="U4678" s="112"/>
      <c r="V4678" s="112">
        <v>46536</v>
      </c>
      <c r="W4678" t="s">
        <v>38</v>
      </c>
      <c r="X4678">
        <v>12</v>
      </c>
      <c r="Y4678" t="s">
        <v>49</v>
      </c>
      <c r="AA4678" t="s">
        <v>112</v>
      </c>
      <c r="AB4678">
        <v>12</v>
      </c>
      <c r="AC4678" t="s">
        <v>301</v>
      </c>
      <c r="AD4678" t="s">
        <v>138</v>
      </c>
      <c r="AE4678" t="s">
        <v>135</v>
      </c>
      <c r="AF4678" t="s">
        <v>119</v>
      </c>
      <c r="AG4678" t="str">
        <f t="shared" si="109"/>
        <v>CC 12x</v>
      </c>
      <c r="AH4678" t="str">
        <f t="shared" si="110"/>
        <v/>
      </c>
    </row>
    <row r="4679" spans="1:34">
      <c r="A4679">
        <v>2026</v>
      </c>
      <c r="B4679">
        <v>5</v>
      </c>
      <c r="C4679" s="83">
        <v>132577556395</v>
      </c>
      <c r="D4679" t="s">
        <v>1952</v>
      </c>
      <c r="E4679">
        <v>59719469930</v>
      </c>
      <c r="F4679">
        <v>636733</v>
      </c>
      <c r="G4679">
        <v>54947517228</v>
      </c>
      <c r="H4679" t="s">
        <v>35</v>
      </c>
      <c r="I4679" s="36">
        <v>3308.16</v>
      </c>
      <c r="J4679" s="36">
        <v>3650.64</v>
      </c>
      <c r="K4679" s="85">
        <v>0</v>
      </c>
      <c r="L4679" s="36">
        <v>304.22000000000003</v>
      </c>
      <c r="M4679" s="36">
        <v>0</v>
      </c>
      <c r="N4679" s="36">
        <v>304.22000000000003</v>
      </c>
      <c r="O4679" s="36">
        <v>0</v>
      </c>
      <c r="P4679" t="s">
        <v>323</v>
      </c>
      <c r="Q4679" t="s">
        <v>191</v>
      </c>
      <c r="R4679" t="s">
        <v>191</v>
      </c>
      <c r="S4679" s="112">
        <v>46151</v>
      </c>
      <c r="T4679" s="112">
        <v>46151</v>
      </c>
      <c r="U4679" s="112">
        <v>46473</v>
      </c>
      <c r="V4679" s="112">
        <v>46473</v>
      </c>
      <c r="W4679" t="s">
        <v>38</v>
      </c>
      <c r="X4679">
        <v>10</v>
      </c>
      <c r="Y4679" t="s">
        <v>49</v>
      </c>
      <c r="Z4679" t="s">
        <v>324</v>
      </c>
      <c r="AA4679" t="s">
        <v>122</v>
      </c>
      <c r="AB4679">
        <v>10</v>
      </c>
      <c r="AC4679" t="s">
        <v>192</v>
      </c>
      <c r="AD4679" t="s">
        <v>134</v>
      </c>
      <c r="AE4679" t="s">
        <v>135</v>
      </c>
      <c r="AF4679" t="s">
        <v>44</v>
      </c>
      <c r="AG4679" t="str">
        <f t="shared" si="109"/>
        <v>Recorrente</v>
      </c>
      <c r="AH4679" t="str">
        <f t="shared" si="110"/>
        <v/>
      </c>
    </row>
    <row r="4680" spans="1:34">
      <c r="A4680">
        <v>2026</v>
      </c>
      <c r="B4680">
        <v>5</v>
      </c>
      <c r="C4680" s="83">
        <v>142466956840</v>
      </c>
      <c r="D4680" t="s">
        <v>4001</v>
      </c>
      <c r="E4680">
        <v>60629204243</v>
      </c>
      <c r="F4680">
        <v>613025</v>
      </c>
      <c r="G4680">
        <v>55612273753</v>
      </c>
      <c r="H4680" t="s">
        <v>35</v>
      </c>
      <c r="I4680" s="36">
        <v>3300</v>
      </c>
      <c r="J4680" s="36">
        <v>3300</v>
      </c>
      <c r="K4680" s="85">
        <v>0</v>
      </c>
      <c r="L4680" s="36">
        <v>275</v>
      </c>
      <c r="M4680" s="36">
        <v>0</v>
      </c>
      <c r="N4680" s="36">
        <v>40.158394999999999</v>
      </c>
      <c r="O4680" s="36">
        <v>234.84</v>
      </c>
      <c r="P4680" t="s">
        <v>110</v>
      </c>
      <c r="Q4680" t="s">
        <v>111</v>
      </c>
      <c r="R4680" t="s">
        <v>111</v>
      </c>
      <c r="S4680" s="112">
        <v>46168</v>
      </c>
      <c r="T4680" s="112">
        <v>46168</v>
      </c>
      <c r="U4680" s="112">
        <v>46117</v>
      </c>
      <c r="V4680" s="112">
        <v>46532</v>
      </c>
      <c r="W4680" t="s">
        <v>38</v>
      </c>
      <c r="X4680">
        <v>13</v>
      </c>
      <c r="Y4680" t="s">
        <v>49</v>
      </c>
      <c r="Z4680" t="s">
        <v>81</v>
      </c>
      <c r="AA4680" t="s">
        <v>112</v>
      </c>
      <c r="AB4680">
        <v>12</v>
      </c>
      <c r="AC4680" t="s">
        <v>113</v>
      </c>
      <c r="AD4680" t="s">
        <v>114</v>
      </c>
      <c r="AE4680" t="s">
        <v>43</v>
      </c>
      <c r="AF4680" t="s">
        <v>44</v>
      </c>
      <c r="AG4680" t="str">
        <f t="shared" si="109"/>
        <v>CC 12x</v>
      </c>
      <c r="AH4680" t="str">
        <f t="shared" si="110"/>
        <v/>
      </c>
    </row>
    <row r="4681" spans="1:34">
      <c r="A4681">
        <v>2026</v>
      </c>
      <c r="B4681">
        <v>5</v>
      </c>
      <c r="C4681" s="83">
        <v>53465977418</v>
      </c>
      <c r="D4681" t="s">
        <v>2657</v>
      </c>
      <c r="E4681">
        <v>60556990246</v>
      </c>
      <c r="F4681">
        <v>636802</v>
      </c>
      <c r="G4681">
        <v>55519627033</v>
      </c>
      <c r="H4681" t="s">
        <v>35</v>
      </c>
      <c r="I4681" s="36">
        <v>3292.92</v>
      </c>
      <c r="J4681" s="36">
        <v>3842.88</v>
      </c>
      <c r="K4681" s="85">
        <v>0</v>
      </c>
      <c r="L4681" s="36">
        <v>320.24</v>
      </c>
      <c r="M4681" s="36">
        <v>0</v>
      </c>
      <c r="N4681" s="36">
        <v>320.24</v>
      </c>
      <c r="O4681" s="36">
        <v>0</v>
      </c>
      <c r="P4681" t="s">
        <v>804</v>
      </c>
      <c r="Q4681" t="s">
        <v>191</v>
      </c>
      <c r="R4681" t="s">
        <v>191</v>
      </c>
      <c r="S4681" s="112">
        <v>46164</v>
      </c>
      <c r="T4681" s="112">
        <v>46164</v>
      </c>
      <c r="U4681" s="112">
        <v>46477</v>
      </c>
      <c r="V4681" s="112">
        <v>46477</v>
      </c>
      <c r="W4681" t="s">
        <v>38</v>
      </c>
      <c r="X4681">
        <v>10</v>
      </c>
      <c r="Y4681" t="s">
        <v>49</v>
      </c>
      <c r="Z4681" t="s">
        <v>324</v>
      </c>
      <c r="AA4681" t="s">
        <v>122</v>
      </c>
      <c r="AB4681">
        <v>10</v>
      </c>
      <c r="AC4681" t="s">
        <v>192</v>
      </c>
      <c r="AD4681" t="s">
        <v>134</v>
      </c>
      <c r="AE4681" t="s">
        <v>135</v>
      </c>
      <c r="AF4681" t="s">
        <v>44</v>
      </c>
      <c r="AG4681" t="str">
        <f t="shared" si="109"/>
        <v>Recorrente</v>
      </c>
      <c r="AH4681" t="str">
        <f t="shared" si="110"/>
        <v/>
      </c>
    </row>
    <row r="4682" spans="1:34">
      <c r="A4682">
        <v>2026</v>
      </c>
      <c r="B4682">
        <v>5</v>
      </c>
      <c r="C4682" s="83">
        <v>109586965803</v>
      </c>
      <c r="D4682" t="s">
        <v>4002</v>
      </c>
      <c r="E4682">
        <v>59692631417</v>
      </c>
      <c r="F4682">
        <v>629935</v>
      </c>
      <c r="G4682">
        <v>55099010955</v>
      </c>
      <c r="H4682" t="s">
        <v>35</v>
      </c>
      <c r="I4682" s="36">
        <v>3289.8</v>
      </c>
      <c r="J4682" s="36">
        <v>3289.8</v>
      </c>
      <c r="K4682" s="85">
        <v>0</v>
      </c>
      <c r="L4682" s="36">
        <v>274.14999999999998</v>
      </c>
      <c r="M4682" s="36">
        <v>0</v>
      </c>
      <c r="N4682" s="36">
        <v>24.47625</v>
      </c>
      <c r="O4682" s="36">
        <v>249.67</v>
      </c>
      <c r="P4682" t="s">
        <v>110</v>
      </c>
      <c r="Q4682" t="s">
        <v>111</v>
      </c>
      <c r="R4682" t="s">
        <v>111</v>
      </c>
      <c r="S4682" s="112">
        <v>46150</v>
      </c>
      <c r="T4682" s="112">
        <v>46150</v>
      </c>
      <c r="U4682" s="112">
        <v>46172</v>
      </c>
      <c r="V4682" s="112">
        <v>46537</v>
      </c>
      <c r="W4682" t="s">
        <v>38</v>
      </c>
      <c r="X4682">
        <v>12</v>
      </c>
      <c r="Y4682" t="s">
        <v>49</v>
      </c>
      <c r="Z4682" t="s">
        <v>81</v>
      </c>
      <c r="AA4682" t="s">
        <v>122</v>
      </c>
      <c r="AB4682">
        <v>12</v>
      </c>
      <c r="AC4682" t="s">
        <v>113</v>
      </c>
      <c r="AD4682" t="s">
        <v>160</v>
      </c>
      <c r="AE4682" t="s">
        <v>43</v>
      </c>
      <c r="AF4682" t="s">
        <v>44</v>
      </c>
      <c r="AG4682" t="str">
        <f t="shared" si="109"/>
        <v>Recorrente</v>
      </c>
      <c r="AH4682" t="str">
        <f t="shared" si="110"/>
        <v/>
      </c>
    </row>
    <row r="4683" spans="1:34">
      <c r="A4683">
        <v>2026</v>
      </c>
      <c r="B4683">
        <v>5</v>
      </c>
      <c r="C4683" s="83">
        <v>191164460613</v>
      </c>
      <c r="D4683" t="s">
        <v>4003</v>
      </c>
      <c r="E4683">
        <v>59702393679</v>
      </c>
      <c r="F4683">
        <v>629872</v>
      </c>
      <c r="G4683">
        <v>55555707567</v>
      </c>
      <c r="H4683" t="s">
        <v>35</v>
      </c>
      <c r="I4683" s="36">
        <v>3289.8</v>
      </c>
      <c r="J4683" s="36">
        <v>3289.8</v>
      </c>
      <c r="K4683" s="85">
        <v>0</v>
      </c>
      <c r="L4683" s="36">
        <v>274.14999999999998</v>
      </c>
      <c r="M4683" s="36">
        <v>0</v>
      </c>
      <c r="N4683" s="36">
        <v>11.49625</v>
      </c>
      <c r="O4683" s="36">
        <v>262.64999999999998</v>
      </c>
      <c r="P4683" t="s">
        <v>133</v>
      </c>
      <c r="Q4683" t="s">
        <v>111</v>
      </c>
      <c r="R4683" t="s">
        <v>111</v>
      </c>
      <c r="S4683" s="112">
        <v>46169</v>
      </c>
      <c r="T4683" s="112">
        <v>46169</v>
      </c>
      <c r="U4683" s="112">
        <v>46169</v>
      </c>
      <c r="V4683" s="112">
        <v>46534</v>
      </c>
      <c r="W4683" t="s">
        <v>38</v>
      </c>
      <c r="X4683">
        <v>12</v>
      </c>
      <c r="Y4683" t="s">
        <v>49</v>
      </c>
      <c r="Z4683" t="s">
        <v>81</v>
      </c>
      <c r="AA4683" t="s">
        <v>122</v>
      </c>
      <c r="AB4683">
        <v>12</v>
      </c>
      <c r="AC4683" t="s">
        <v>113</v>
      </c>
      <c r="AD4683" t="s">
        <v>160</v>
      </c>
      <c r="AE4683" t="s">
        <v>43</v>
      </c>
      <c r="AF4683" t="s">
        <v>44</v>
      </c>
      <c r="AG4683" t="str">
        <f t="shared" si="109"/>
        <v>Recorrente</v>
      </c>
      <c r="AH4683" t="str">
        <f t="shared" si="110"/>
        <v/>
      </c>
    </row>
    <row r="4684" spans="1:34">
      <c r="A4684">
        <v>2026</v>
      </c>
      <c r="B4684">
        <v>5</v>
      </c>
      <c r="C4684" s="83">
        <v>31779717377</v>
      </c>
      <c r="D4684" t="s">
        <v>4004</v>
      </c>
      <c r="E4684">
        <v>59996715532</v>
      </c>
      <c r="F4684">
        <v>629749</v>
      </c>
      <c r="G4684">
        <v>55340655699</v>
      </c>
      <c r="H4684" t="s">
        <v>35</v>
      </c>
      <c r="I4684" s="36">
        <v>3222</v>
      </c>
      <c r="J4684" s="36">
        <v>3222</v>
      </c>
      <c r="K4684" s="85">
        <v>0</v>
      </c>
      <c r="L4684" s="36">
        <v>268.5</v>
      </c>
      <c r="M4684" s="36">
        <v>0</v>
      </c>
      <c r="N4684" s="36">
        <v>18</v>
      </c>
      <c r="O4684" s="36">
        <v>250.5</v>
      </c>
      <c r="P4684" t="s">
        <v>116</v>
      </c>
      <c r="Q4684" t="s">
        <v>111</v>
      </c>
      <c r="R4684" t="s">
        <v>111</v>
      </c>
      <c r="S4684" s="112">
        <v>46162</v>
      </c>
      <c r="T4684" s="112">
        <v>46162</v>
      </c>
      <c r="U4684" s="112">
        <v>46164</v>
      </c>
      <c r="V4684" s="112">
        <v>46529</v>
      </c>
      <c r="W4684" t="s">
        <v>38</v>
      </c>
      <c r="X4684">
        <v>12</v>
      </c>
      <c r="Y4684" t="s">
        <v>49</v>
      </c>
      <c r="Z4684" t="s">
        <v>81</v>
      </c>
      <c r="AA4684" t="s">
        <v>92</v>
      </c>
      <c r="AB4684">
        <v>12</v>
      </c>
      <c r="AC4684" t="s">
        <v>113</v>
      </c>
      <c r="AD4684" t="s">
        <v>256</v>
      </c>
      <c r="AE4684" t="s">
        <v>257</v>
      </c>
      <c r="AF4684" t="s">
        <v>59</v>
      </c>
      <c r="AG4684" t="str">
        <f t="shared" si="109"/>
        <v>Recorrente</v>
      </c>
      <c r="AH4684" t="str">
        <f t="shared" si="110"/>
        <v/>
      </c>
    </row>
    <row r="4685" spans="1:34">
      <c r="A4685">
        <v>2026</v>
      </c>
      <c r="B4685">
        <v>5</v>
      </c>
      <c r="C4685" s="83">
        <v>214634192708</v>
      </c>
      <c r="D4685" t="s">
        <v>3238</v>
      </c>
      <c r="E4685">
        <v>60645279610</v>
      </c>
      <c r="F4685">
        <v>628344</v>
      </c>
      <c r="G4685">
        <v>55623692924</v>
      </c>
      <c r="H4685" t="s">
        <v>35</v>
      </c>
      <c r="I4685" s="36">
        <v>3218.16</v>
      </c>
      <c r="J4685" s="36">
        <v>4017.42</v>
      </c>
      <c r="K4685" s="85">
        <v>0</v>
      </c>
      <c r="L4685" s="36">
        <v>334.78500000000003</v>
      </c>
      <c r="M4685" s="36">
        <v>0</v>
      </c>
      <c r="N4685" s="36">
        <v>334.78500000000003</v>
      </c>
      <c r="O4685" s="36">
        <v>0</v>
      </c>
      <c r="P4685" t="s">
        <v>323</v>
      </c>
      <c r="Q4685" t="s">
        <v>191</v>
      </c>
      <c r="R4685" t="s">
        <v>191</v>
      </c>
      <c r="S4685" s="112">
        <v>46168</v>
      </c>
      <c r="T4685" s="112">
        <v>46168</v>
      </c>
      <c r="U4685" s="112">
        <v>46490</v>
      </c>
      <c r="V4685" s="112">
        <v>46490</v>
      </c>
      <c r="W4685" t="s">
        <v>38</v>
      </c>
      <c r="X4685">
        <v>11</v>
      </c>
      <c r="Y4685" t="s">
        <v>49</v>
      </c>
      <c r="Z4685" t="s">
        <v>324</v>
      </c>
      <c r="AA4685" t="s">
        <v>122</v>
      </c>
      <c r="AB4685">
        <v>10</v>
      </c>
      <c r="AC4685" t="s">
        <v>192</v>
      </c>
      <c r="AD4685" t="s">
        <v>131</v>
      </c>
      <c r="AE4685" t="s">
        <v>46</v>
      </c>
      <c r="AF4685" t="s">
        <v>96</v>
      </c>
      <c r="AG4685" t="str">
        <f t="shared" si="109"/>
        <v>Recorrente</v>
      </c>
      <c r="AH4685" t="str">
        <f t="shared" si="110"/>
        <v/>
      </c>
    </row>
    <row r="4686" spans="1:34">
      <c r="A4686">
        <v>2026</v>
      </c>
      <c r="B4686">
        <v>5</v>
      </c>
      <c r="C4686" s="83">
        <v>123704626213</v>
      </c>
      <c r="D4686" t="s">
        <v>4005</v>
      </c>
      <c r="E4686">
        <v>59770539637</v>
      </c>
      <c r="F4686">
        <v>629915</v>
      </c>
      <c r="G4686">
        <v>55608421947</v>
      </c>
      <c r="H4686" t="s">
        <v>35</v>
      </c>
      <c r="I4686" s="36">
        <v>3163.2</v>
      </c>
      <c r="J4686" s="36">
        <v>3163.2</v>
      </c>
      <c r="K4686" s="85">
        <v>0</v>
      </c>
      <c r="L4686" s="36">
        <v>263.60000000000002</v>
      </c>
      <c r="M4686" s="36">
        <v>0</v>
      </c>
      <c r="N4686" s="36">
        <v>0</v>
      </c>
      <c r="O4686" s="36">
        <v>263.60000000000002</v>
      </c>
      <c r="P4686" t="s">
        <v>121</v>
      </c>
      <c r="Q4686" t="s">
        <v>111</v>
      </c>
      <c r="R4686" t="s">
        <v>111</v>
      </c>
      <c r="S4686" s="112">
        <v>46167</v>
      </c>
      <c r="T4686" s="112">
        <v>46167</v>
      </c>
      <c r="U4686" s="112">
        <v>46171</v>
      </c>
      <c r="V4686" s="112">
        <v>46536</v>
      </c>
      <c r="W4686" t="s">
        <v>38</v>
      </c>
      <c r="X4686">
        <v>12</v>
      </c>
      <c r="Y4686" t="s">
        <v>49</v>
      </c>
      <c r="Z4686" t="s">
        <v>81</v>
      </c>
      <c r="AA4686" t="s">
        <v>122</v>
      </c>
      <c r="AB4686">
        <v>12</v>
      </c>
      <c r="AC4686" t="s">
        <v>113</v>
      </c>
      <c r="AD4686" t="s">
        <v>84</v>
      </c>
      <c r="AE4686" t="s">
        <v>43</v>
      </c>
      <c r="AF4686" t="s">
        <v>44</v>
      </c>
      <c r="AG4686" t="str">
        <f t="shared" si="109"/>
        <v>Recorrente</v>
      </c>
      <c r="AH4686" t="str">
        <f t="shared" si="110"/>
        <v/>
      </c>
    </row>
    <row r="4687" spans="1:34">
      <c r="A4687">
        <v>2026</v>
      </c>
      <c r="B4687">
        <v>5</v>
      </c>
      <c r="C4687" s="83">
        <v>123704626213</v>
      </c>
      <c r="D4687" t="s">
        <v>4005</v>
      </c>
      <c r="E4687">
        <v>59770539637</v>
      </c>
      <c r="F4687">
        <v>629915</v>
      </c>
      <c r="G4687">
        <v>55608421948</v>
      </c>
      <c r="H4687" t="s">
        <v>35</v>
      </c>
      <c r="I4687" s="36">
        <v>3163.2</v>
      </c>
      <c r="J4687" s="36">
        <v>3163.2</v>
      </c>
      <c r="K4687" s="85">
        <v>0</v>
      </c>
      <c r="L4687" s="36">
        <v>263.60000000000002</v>
      </c>
      <c r="M4687" s="36">
        <v>0</v>
      </c>
      <c r="N4687" s="36">
        <v>0</v>
      </c>
      <c r="O4687" s="36">
        <v>263.60000000000002</v>
      </c>
      <c r="P4687" t="s">
        <v>121</v>
      </c>
      <c r="Q4687" t="s">
        <v>111</v>
      </c>
      <c r="R4687" t="s">
        <v>111</v>
      </c>
      <c r="S4687" s="112">
        <v>46167</v>
      </c>
      <c r="T4687" s="112">
        <v>46167</v>
      </c>
      <c r="U4687" s="112">
        <v>46171</v>
      </c>
      <c r="V4687" s="112">
        <v>46536</v>
      </c>
      <c r="W4687" t="s">
        <v>38</v>
      </c>
      <c r="X4687">
        <v>12</v>
      </c>
      <c r="Y4687" t="s">
        <v>49</v>
      </c>
      <c r="Z4687" t="s">
        <v>81</v>
      </c>
      <c r="AA4687" t="s">
        <v>122</v>
      </c>
      <c r="AB4687">
        <v>12</v>
      </c>
      <c r="AC4687" t="s">
        <v>113</v>
      </c>
      <c r="AD4687" t="s">
        <v>140</v>
      </c>
      <c r="AE4687" t="s">
        <v>46</v>
      </c>
      <c r="AF4687" t="s">
        <v>119</v>
      </c>
      <c r="AG4687" t="str">
        <f t="shared" si="109"/>
        <v>Recorrente</v>
      </c>
      <c r="AH4687" t="str">
        <f t="shared" si="110"/>
        <v/>
      </c>
    </row>
    <row r="4688" spans="1:34">
      <c r="A4688">
        <v>2026</v>
      </c>
      <c r="B4688">
        <v>5</v>
      </c>
      <c r="C4688" s="83">
        <v>2117382</v>
      </c>
      <c r="D4688" t="s">
        <v>4006</v>
      </c>
      <c r="E4688">
        <v>59223568797</v>
      </c>
      <c r="F4688">
        <v>315314</v>
      </c>
      <c r="G4688">
        <v>55478866458</v>
      </c>
      <c r="H4688" t="s">
        <v>35</v>
      </c>
      <c r="I4688" s="36">
        <v>3116.64</v>
      </c>
      <c r="J4688" s="36">
        <v>3116.64</v>
      </c>
      <c r="K4688" s="85">
        <v>4.5499999999999998E-13</v>
      </c>
      <c r="L4688" s="36">
        <v>259.72000000000003</v>
      </c>
      <c r="M4688" s="36">
        <v>0</v>
      </c>
      <c r="N4688" s="36">
        <v>12.5175</v>
      </c>
      <c r="O4688" s="36">
        <v>247.2</v>
      </c>
      <c r="P4688" t="s">
        <v>137</v>
      </c>
      <c r="Q4688" t="s">
        <v>111</v>
      </c>
      <c r="R4688" t="s">
        <v>111</v>
      </c>
      <c r="S4688" s="112">
        <v>46163</v>
      </c>
      <c r="T4688" s="112">
        <v>46163</v>
      </c>
      <c r="U4688" s="112">
        <v>46172</v>
      </c>
      <c r="V4688" s="112">
        <v>46537</v>
      </c>
      <c r="W4688" t="s">
        <v>38</v>
      </c>
      <c r="X4688">
        <v>12</v>
      </c>
      <c r="Y4688" t="s">
        <v>49</v>
      </c>
      <c r="Z4688" t="s">
        <v>76</v>
      </c>
      <c r="AA4688" t="s">
        <v>112</v>
      </c>
      <c r="AB4688">
        <v>12</v>
      </c>
      <c r="AC4688" t="s">
        <v>113</v>
      </c>
      <c r="AD4688" t="s">
        <v>160</v>
      </c>
      <c r="AE4688" t="s">
        <v>43</v>
      </c>
      <c r="AF4688" t="s">
        <v>44</v>
      </c>
      <c r="AG4688" t="str">
        <f t="shared" si="109"/>
        <v>CC 12x</v>
      </c>
      <c r="AH4688" t="str">
        <f t="shared" si="110"/>
        <v/>
      </c>
    </row>
    <row r="4689" spans="1:34">
      <c r="A4689">
        <v>2026</v>
      </c>
      <c r="B4689">
        <v>5</v>
      </c>
      <c r="C4689" s="83">
        <v>221638004073</v>
      </c>
      <c r="D4689" t="s">
        <v>4007</v>
      </c>
      <c r="E4689">
        <v>60035623473</v>
      </c>
      <c r="F4689">
        <v>637733</v>
      </c>
      <c r="G4689">
        <v>55196546136</v>
      </c>
      <c r="H4689" t="s">
        <v>35</v>
      </c>
      <c r="I4689" s="36">
        <v>3114</v>
      </c>
      <c r="J4689" s="36">
        <v>3114</v>
      </c>
      <c r="K4689" s="85">
        <v>0</v>
      </c>
      <c r="L4689" s="36">
        <v>259.5</v>
      </c>
      <c r="M4689" s="36">
        <v>259.5</v>
      </c>
      <c r="N4689" s="36">
        <v>0</v>
      </c>
      <c r="O4689" s="36">
        <v>0</v>
      </c>
      <c r="P4689" t="s">
        <v>511</v>
      </c>
      <c r="Q4689" t="s">
        <v>300</v>
      </c>
      <c r="R4689" t="s">
        <v>300</v>
      </c>
      <c r="S4689" s="112">
        <v>46154</v>
      </c>
      <c r="T4689" s="112">
        <v>46154</v>
      </c>
      <c r="U4689" s="112"/>
      <c r="V4689" s="112">
        <v>46519</v>
      </c>
      <c r="W4689" t="s">
        <v>38</v>
      </c>
      <c r="X4689">
        <v>12</v>
      </c>
      <c r="Y4689" t="s">
        <v>49</v>
      </c>
      <c r="AA4689" t="s">
        <v>122</v>
      </c>
      <c r="AB4689">
        <v>12</v>
      </c>
      <c r="AC4689" t="s">
        <v>301</v>
      </c>
      <c r="AD4689" t="s">
        <v>2734</v>
      </c>
      <c r="AE4689" t="s">
        <v>106</v>
      </c>
      <c r="AF4689" t="s">
        <v>59</v>
      </c>
      <c r="AG4689" t="str">
        <f t="shared" si="109"/>
        <v>Recorrente</v>
      </c>
      <c r="AH4689" t="str">
        <f t="shared" si="110"/>
        <v/>
      </c>
    </row>
    <row r="4690" spans="1:34">
      <c r="A4690">
        <v>2026</v>
      </c>
      <c r="B4690">
        <v>5</v>
      </c>
      <c r="C4690" s="83">
        <v>9707374708</v>
      </c>
      <c r="D4690" t="s">
        <v>3964</v>
      </c>
      <c r="E4690">
        <v>59186298130</v>
      </c>
      <c r="F4690">
        <v>637562</v>
      </c>
      <c r="G4690">
        <v>54466258601</v>
      </c>
      <c r="H4690" t="s">
        <v>35</v>
      </c>
      <c r="I4690" s="36">
        <v>3114</v>
      </c>
      <c r="J4690" s="36">
        <v>3114</v>
      </c>
      <c r="K4690" s="85">
        <v>0</v>
      </c>
      <c r="L4690" s="36">
        <v>259.5</v>
      </c>
      <c r="M4690" s="36">
        <v>259.5</v>
      </c>
      <c r="N4690" s="36">
        <v>0</v>
      </c>
      <c r="O4690" s="36">
        <v>0</v>
      </c>
      <c r="P4690" t="s">
        <v>511</v>
      </c>
      <c r="Q4690" t="s">
        <v>300</v>
      </c>
      <c r="R4690" t="s">
        <v>300</v>
      </c>
      <c r="S4690" s="112">
        <v>46147</v>
      </c>
      <c r="T4690" s="112">
        <v>46147</v>
      </c>
      <c r="U4690" s="112"/>
      <c r="V4690" s="112"/>
      <c r="W4690" t="s">
        <v>2733</v>
      </c>
      <c r="Y4690" t="s">
        <v>49</v>
      </c>
      <c r="AA4690" t="s">
        <v>122</v>
      </c>
      <c r="AB4690">
        <v>12</v>
      </c>
      <c r="AC4690" t="s">
        <v>301</v>
      </c>
      <c r="AD4690" t="s">
        <v>2734</v>
      </c>
      <c r="AE4690" t="s">
        <v>106</v>
      </c>
      <c r="AF4690" t="s">
        <v>59</v>
      </c>
      <c r="AG4690" t="str">
        <f t="shared" si="109"/>
        <v>Recorrente</v>
      </c>
      <c r="AH4690" t="str">
        <f t="shared" si="110"/>
        <v/>
      </c>
    </row>
    <row r="4691" spans="1:34">
      <c r="A4691">
        <v>2026</v>
      </c>
      <c r="B4691">
        <v>5</v>
      </c>
      <c r="C4691" s="83">
        <v>221183144466</v>
      </c>
      <c r="D4691" t="s">
        <v>4008</v>
      </c>
      <c r="E4691">
        <v>60205747353</v>
      </c>
      <c r="F4691">
        <v>637757</v>
      </c>
      <c r="G4691">
        <v>55241702806</v>
      </c>
      <c r="H4691" t="s">
        <v>35</v>
      </c>
      <c r="I4691" s="36">
        <v>3067.2</v>
      </c>
      <c r="J4691" s="36">
        <v>3067.2</v>
      </c>
      <c r="K4691" s="85">
        <v>0</v>
      </c>
      <c r="L4691" s="36">
        <v>255.6</v>
      </c>
      <c r="M4691" s="36">
        <v>255.6</v>
      </c>
      <c r="N4691" s="36">
        <v>0</v>
      </c>
      <c r="O4691" s="36">
        <v>0</v>
      </c>
      <c r="P4691" t="s">
        <v>511</v>
      </c>
      <c r="Q4691" t="s">
        <v>300</v>
      </c>
      <c r="R4691" t="s">
        <v>300</v>
      </c>
      <c r="S4691" s="112">
        <v>46155</v>
      </c>
      <c r="T4691" s="112">
        <v>46155</v>
      </c>
      <c r="U4691" s="112"/>
      <c r="V4691" s="112">
        <v>46520</v>
      </c>
      <c r="W4691" t="s">
        <v>38</v>
      </c>
      <c r="X4691">
        <v>12</v>
      </c>
      <c r="Y4691" t="s">
        <v>49</v>
      </c>
      <c r="AA4691" t="s">
        <v>122</v>
      </c>
      <c r="AB4691">
        <v>12</v>
      </c>
      <c r="AC4691" t="s">
        <v>301</v>
      </c>
      <c r="AD4691" t="s">
        <v>142</v>
      </c>
      <c r="AE4691" t="s">
        <v>95</v>
      </c>
      <c r="AF4691" t="s">
        <v>44</v>
      </c>
      <c r="AG4691" t="str">
        <f t="shared" si="109"/>
        <v>Recorrente</v>
      </c>
      <c r="AH4691" t="str">
        <f t="shared" si="110"/>
        <v/>
      </c>
    </row>
    <row r="4692" spans="1:34">
      <c r="A4692">
        <v>2026</v>
      </c>
      <c r="B4692">
        <v>5</v>
      </c>
      <c r="C4692" s="83">
        <v>149210718540</v>
      </c>
      <c r="D4692" t="s">
        <v>3665</v>
      </c>
      <c r="E4692">
        <v>60711543463</v>
      </c>
      <c r="F4692">
        <v>614901</v>
      </c>
      <c r="G4692">
        <v>55685279410</v>
      </c>
      <c r="H4692" t="s">
        <v>35</v>
      </c>
      <c r="I4692" s="36">
        <v>3042.36</v>
      </c>
      <c r="J4692" s="36">
        <v>3239.88</v>
      </c>
      <c r="K4692" s="85">
        <v>0</v>
      </c>
      <c r="L4692" s="36">
        <v>269.99</v>
      </c>
      <c r="M4692" s="36">
        <v>0</v>
      </c>
      <c r="N4692" s="36">
        <v>269.99</v>
      </c>
      <c r="O4692" s="36">
        <v>0</v>
      </c>
      <c r="P4692" t="s">
        <v>804</v>
      </c>
      <c r="Q4692" t="s">
        <v>191</v>
      </c>
      <c r="R4692" t="s">
        <v>191</v>
      </c>
      <c r="S4692" s="112">
        <v>46171</v>
      </c>
      <c r="T4692" s="112">
        <v>46171</v>
      </c>
      <c r="U4692" s="112">
        <v>46514</v>
      </c>
      <c r="V4692" s="112">
        <v>46514</v>
      </c>
      <c r="W4692" t="s">
        <v>38</v>
      </c>
      <c r="X4692">
        <v>12</v>
      </c>
      <c r="Y4692" t="s">
        <v>49</v>
      </c>
      <c r="Z4692" t="s">
        <v>324</v>
      </c>
      <c r="AA4692" t="s">
        <v>112</v>
      </c>
      <c r="AB4692">
        <v>11</v>
      </c>
      <c r="AC4692" t="s">
        <v>192</v>
      </c>
      <c r="AD4692" t="s">
        <v>146</v>
      </c>
      <c r="AE4692" t="s">
        <v>135</v>
      </c>
      <c r="AF4692" t="s">
        <v>96</v>
      </c>
      <c r="AG4692" t="str">
        <f t="shared" si="109"/>
        <v>CC 12x</v>
      </c>
      <c r="AH4692" t="str">
        <f t="shared" si="110"/>
        <v/>
      </c>
    </row>
    <row r="4693" spans="1:34">
      <c r="A4693">
        <v>2026</v>
      </c>
      <c r="B4693">
        <v>5</v>
      </c>
      <c r="C4693" s="83">
        <v>2132527</v>
      </c>
      <c r="D4693" t="s">
        <v>4009</v>
      </c>
      <c r="E4693">
        <v>60217943045</v>
      </c>
      <c r="F4693">
        <v>511001</v>
      </c>
      <c r="G4693">
        <v>55242235496</v>
      </c>
      <c r="H4693" t="s">
        <v>35</v>
      </c>
      <c r="I4693" s="36">
        <v>3037.32</v>
      </c>
      <c r="J4693" s="36">
        <v>3037.32</v>
      </c>
      <c r="K4693" s="85">
        <v>0</v>
      </c>
      <c r="L4693" s="36">
        <v>253.11</v>
      </c>
      <c r="M4693" s="36">
        <v>0</v>
      </c>
      <c r="N4693" s="36">
        <v>20.5825</v>
      </c>
      <c r="O4693" s="36">
        <v>232.53</v>
      </c>
      <c r="P4693" t="s">
        <v>133</v>
      </c>
      <c r="Q4693" t="s">
        <v>111</v>
      </c>
      <c r="R4693" t="s">
        <v>111</v>
      </c>
      <c r="S4693" s="112">
        <v>46155</v>
      </c>
      <c r="T4693" s="112">
        <v>46155</v>
      </c>
      <c r="U4693" s="112">
        <v>46154</v>
      </c>
      <c r="V4693" s="112">
        <v>46520</v>
      </c>
      <c r="W4693" t="s">
        <v>38</v>
      </c>
      <c r="X4693">
        <v>12</v>
      </c>
      <c r="Y4693" t="s">
        <v>49</v>
      </c>
      <c r="Z4693" t="s">
        <v>81</v>
      </c>
      <c r="AA4693" t="s">
        <v>122</v>
      </c>
      <c r="AB4693">
        <v>12</v>
      </c>
      <c r="AC4693" t="s">
        <v>113</v>
      </c>
      <c r="AD4693" t="s">
        <v>140</v>
      </c>
      <c r="AE4693" t="s">
        <v>46</v>
      </c>
      <c r="AF4693" t="s">
        <v>119</v>
      </c>
      <c r="AG4693" t="str">
        <f t="shared" si="109"/>
        <v>Recorrente</v>
      </c>
      <c r="AH4693" t="str">
        <f t="shared" si="110"/>
        <v/>
      </c>
    </row>
    <row r="4694" spans="1:34">
      <c r="A4694">
        <v>2026</v>
      </c>
      <c r="B4694">
        <v>5</v>
      </c>
      <c r="C4694" s="83">
        <v>2132527</v>
      </c>
      <c r="D4694" t="s">
        <v>4009</v>
      </c>
      <c r="E4694">
        <v>60217943045</v>
      </c>
      <c r="F4694">
        <v>511001</v>
      </c>
      <c r="G4694">
        <v>55242235497</v>
      </c>
      <c r="H4694" t="s">
        <v>35</v>
      </c>
      <c r="I4694" s="36">
        <v>3037.32</v>
      </c>
      <c r="J4694" s="36">
        <v>3037.32</v>
      </c>
      <c r="K4694" s="85">
        <v>0</v>
      </c>
      <c r="L4694" s="36">
        <v>253.11</v>
      </c>
      <c r="M4694" s="36">
        <v>0</v>
      </c>
      <c r="N4694" s="36">
        <v>20.5825</v>
      </c>
      <c r="O4694" s="36">
        <v>232.53</v>
      </c>
      <c r="P4694" t="s">
        <v>133</v>
      </c>
      <c r="Q4694" t="s">
        <v>111</v>
      </c>
      <c r="R4694" t="s">
        <v>111</v>
      </c>
      <c r="S4694" s="112">
        <v>46155</v>
      </c>
      <c r="T4694" s="112">
        <v>46155</v>
      </c>
      <c r="U4694" s="112">
        <v>46154</v>
      </c>
      <c r="V4694" s="112">
        <v>46520</v>
      </c>
      <c r="W4694" t="s">
        <v>38</v>
      </c>
      <c r="X4694">
        <v>12</v>
      </c>
      <c r="Y4694" t="s">
        <v>49</v>
      </c>
      <c r="Z4694" t="s">
        <v>81</v>
      </c>
      <c r="AA4694" t="s">
        <v>122</v>
      </c>
      <c r="AB4694">
        <v>12</v>
      </c>
      <c r="AC4694" t="s">
        <v>113</v>
      </c>
      <c r="AD4694" t="s">
        <v>84</v>
      </c>
      <c r="AE4694" t="s">
        <v>43</v>
      </c>
      <c r="AF4694" t="s">
        <v>44</v>
      </c>
      <c r="AG4694" t="str">
        <f t="shared" si="109"/>
        <v>Recorrente</v>
      </c>
      <c r="AH4694" t="str">
        <f t="shared" si="110"/>
        <v/>
      </c>
    </row>
    <row r="4695" spans="1:34">
      <c r="A4695">
        <v>2026</v>
      </c>
      <c r="B4695">
        <v>5</v>
      </c>
      <c r="C4695" s="83">
        <v>223146740747</v>
      </c>
      <c r="D4695" t="s">
        <v>4010</v>
      </c>
      <c r="E4695">
        <v>60400998014</v>
      </c>
      <c r="F4695">
        <v>637897</v>
      </c>
      <c r="G4695">
        <v>55412796449</v>
      </c>
      <c r="H4695" t="s">
        <v>35</v>
      </c>
      <c r="I4695" s="36">
        <v>3020.4</v>
      </c>
      <c r="J4695" s="36">
        <v>3020.4</v>
      </c>
      <c r="K4695" s="85">
        <v>4.5499999999999998E-13</v>
      </c>
      <c r="L4695" s="36">
        <v>251.7</v>
      </c>
      <c r="M4695" s="36">
        <v>251.7</v>
      </c>
      <c r="N4695" s="36">
        <v>0</v>
      </c>
      <c r="O4695" s="36">
        <v>0</v>
      </c>
      <c r="P4695" t="s">
        <v>511</v>
      </c>
      <c r="Q4695" t="s">
        <v>300</v>
      </c>
      <c r="R4695" t="s">
        <v>300</v>
      </c>
      <c r="S4695" s="112">
        <v>46163</v>
      </c>
      <c r="T4695" s="112">
        <v>46163</v>
      </c>
      <c r="U4695" s="112"/>
      <c r="V4695" s="112">
        <v>46528</v>
      </c>
      <c r="W4695" t="s">
        <v>38</v>
      </c>
      <c r="X4695">
        <v>12</v>
      </c>
      <c r="Y4695" t="s">
        <v>49</v>
      </c>
      <c r="AA4695" t="s">
        <v>122</v>
      </c>
      <c r="AB4695">
        <v>12</v>
      </c>
      <c r="AC4695" t="s">
        <v>301</v>
      </c>
      <c r="AD4695" t="s">
        <v>160</v>
      </c>
      <c r="AE4695" t="s">
        <v>43</v>
      </c>
      <c r="AF4695" t="s">
        <v>44</v>
      </c>
      <c r="AG4695" t="str">
        <f t="shared" si="109"/>
        <v>Recorrente</v>
      </c>
      <c r="AH4695" t="str">
        <f t="shared" si="110"/>
        <v/>
      </c>
    </row>
    <row r="4696" spans="1:34">
      <c r="A4696">
        <v>2026</v>
      </c>
      <c r="B4696">
        <v>5</v>
      </c>
      <c r="C4696" s="83">
        <v>152777417733</v>
      </c>
      <c r="D4696" t="s">
        <v>1999</v>
      </c>
      <c r="E4696">
        <v>60640585493</v>
      </c>
      <c r="F4696">
        <v>636425</v>
      </c>
      <c r="G4696">
        <v>55625923659</v>
      </c>
      <c r="H4696" t="s">
        <v>35</v>
      </c>
      <c r="I4696" s="36">
        <v>3019.2</v>
      </c>
      <c r="J4696" s="36">
        <v>3842.64</v>
      </c>
      <c r="K4696" s="85">
        <v>0</v>
      </c>
      <c r="L4696" s="36">
        <v>320.22000000000003</v>
      </c>
      <c r="M4696" s="36">
        <v>0</v>
      </c>
      <c r="N4696" s="36">
        <v>320.22000000000003</v>
      </c>
      <c r="O4696" s="36">
        <v>0</v>
      </c>
      <c r="P4696" t="s">
        <v>804</v>
      </c>
      <c r="Q4696" t="s">
        <v>191</v>
      </c>
      <c r="R4696" t="s">
        <v>191</v>
      </c>
      <c r="S4696" s="112">
        <v>46170</v>
      </c>
      <c r="T4696" s="112">
        <v>46170</v>
      </c>
      <c r="U4696" s="112">
        <v>46455</v>
      </c>
      <c r="V4696" s="112">
        <v>46455</v>
      </c>
      <c r="W4696" t="s">
        <v>38</v>
      </c>
      <c r="X4696">
        <v>10</v>
      </c>
      <c r="Y4696" t="s">
        <v>49</v>
      </c>
      <c r="Z4696" t="s">
        <v>324</v>
      </c>
      <c r="AA4696" t="s">
        <v>112</v>
      </c>
      <c r="AB4696">
        <v>9</v>
      </c>
      <c r="AC4696" t="s">
        <v>192</v>
      </c>
      <c r="AD4696" t="s">
        <v>131</v>
      </c>
      <c r="AE4696" t="s">
        <v>46</v>
      </c>
      <c r="AF4696" t="s">
        <v>96</v>
      </c>
      <c r="AG4696" t="str">
        <f t="shared" si="109"/>
        <v>CC 12x</v>
      </c>
      <c r="AH4696" t="str">
        <f t="shared" si="110"/>
        <v/>
      </c>
    </row>
    <row r="4697" spans="1:34">
      <c r="A4697">
        <v>2026</v>
      </c>
      <c r="B4697">
        <v>5</v>
      </c>
      <c r="C4697" s="83">
        <v>51722328857</v>
      </c>
      <c r="D4697" t="s">
        <v>1709</v>
      </c>
      <c r="E4697">
        <v>60343931992</v>
      </c>
      <c r="F4697">
        <v>636243</v>
      </c>
      <c r="G4697">
        <v>55339763833</v>
      </c>
      <c r="H4697" t="s">
        <v>35</v>
      </c>
      <c r="I4697" s="36">
        <v>2966.76</v>
      </c>
      <c r="J4697" s="36">
        <v>3842.88</v>
      </c>
      <c r="K4697" s="85">
        <v>0</v>
      </c>
      <c r="L4697" s="36">
        <v>320.24</v>
      </c>
      <c r="M4697" s="36">
        <v>0</v>
      </c>
      <c r="N4697" s="36">
        <v>320.24</v>
      </c>
      <c r="O4697" s="36">
        <v>0</v>
      </c>
      <c r="P4697" t="s">
        <v>190</v>
      </c>
      <c r="Q4697" t="s">
        <v>191</v>
      </c>
      <c r="R4697" t="s">
        <v>191</v>
      </c>
      <c r="S4697" s="112">
        <v>46162</v>
      </c>
      <c r="T4697" s="112">
        <v>46162</v>
      </c>
      <c r="U4697" s="112">
        <v>46443</v>
      </c>
      <c r="V4697" s="112">
        <v>46443</v>
      </c>
      <c r="W4697" t="s">
        <v>38</v>
      </c>
      <c r="X4697">
        <v>9</v>
      </c>
      <c r="Y4697" t="s">
        <v>49</v>
      </c>
      <c r="Z4697" t="s">
        <v>324</v>
      </c>
      <c r="AA4697" t="s">
        <v>92</v>
      </c>
      <c r="AB4697">
        <v>9</v>
      </c>
      <c r="AC4697" t="s">
        <v>192</v>
      </c>
      <c r="AD4697" t="s">
        <v>134</v>
      </c>
      <c r="AE4697" t="s">
        <v>135</v>
      </c>
      <c r="AF4697" t="s">
        <v>44</v>
      </c>
      <c r="AG4697" t="str">
        <f t="shared" si="109"/>
        <v>Recorrente</v>
      </c>
      <c r="AH4697" t="str">
        <f t="shared" si="110"/>
        <v/>
      </c>
    </row>
    <row r="4698" spans="1:34">
      <c r="A4698">
        <v>2026</v>
      </c>
      <c r="B4698">
        <v>5</v>
      </c>
      <c r="C4698" s="83">
        <v>104380405037</v>
      </c>
      <c r="D4698" t="s">
        <v>4011</v>
      </c>
      <c r="E4698">
        <v>60131871583</v>
      </c>
      <c r="F4698">
        <v>627175</v>
      </c>
      <c r="G4698">
        <v>55155400608</v>
      </c>
      <c r="H4698" t="s">
        <v>35</v>
      </c>
      <c r="I4698" s="36">
        <v>2874</v>
      </c>
      <c r="J4698" s="36">
        <v>2874</v>
      </c>
      <c r="K4698" s="85">
        <v>0</v>
      </c>
      <c r="L4698" s="36">
        <v>239.5</v>
      </c>
      <c r="M4698" s="36">
        <v>0</v>
      </c>
      <c r="N4698" s="36">
        <v>0</v>
      </c>
      <c r="O4698" s="36">
        <v>239.5</v>
      </c>
      <c r="P4698" t="s">
        <v>137</v>
      </c>
      <c r="Q4698" t="s">
        <v>111</v>
      </c>
      <c r="R4698" t="s">
        <v>111</v>
      </c>
      <c r="S4698" s="112">
        <v>46150</v>
      </c>
      <c r="T4698" s="112">
        <v>46150</v>
      </c>
      <c r="U4698" s="112">
        <v>46088</v>
      </c>
      <c r="V4698" s="112">
        <v>46515</v>
      </c>
      <c r="W4698" t="s">
        <v>38</v>
      </c>
      <c r="X4698">
        <v>14</v>
      </c>
      <c r="Y4698" t="s">
        <v>49</v>
      </c>
      <c r="Z4698" t="s">
        <v>76</v>
      </c>
      <c r="AA4698" t="s">
        <v>122</v>
      </c>
      <c r="AB4698">
        <v>12</v>
      </c>
      <c r="AC4698" t="s">
        <v>113</v>
      </c>
      <c r="AD4698" t="s">
        <v>140</v>
      </c>
      <c r="AE4698" t="s">
        <v>46</v>
      </c>
      <c r="AF4698" t="s">
        <v>119</v>
      </c>
      <c r="AG4698" t="str">
        <f t="shared" si="109"/>
        <v>Recorrente</v>
      </c>
      <c r="AH4698" t="str">
        <f t="shared" si="110"/>
        <v/>
      </c>
    </row>
    <row r="4699" spans="1:34">
      <c r="A4699">
        <v>2026</v>
      </c>
      <c r="B4699">
        <v>5</v>
      </c>
      <c r="C4699" s="83">
        <v>116122633221</v>
      </c>
      <c r="D4699" t="s">
        <v>4012</v>
      </c>
      <c r="E4699">
        <v>58512685069</v>
      </c>
      <c r="F4699">
        <v>313845</v>
      </c>
      <c r="G4699">
        <v>53686087262</v>
      </c>
      <c r="H4699" t="s">
        <v>35</v>
      </c>
      <c r="I4699" s="36">
        <v>2874</v>
      </c>
      <c r="J4699" s="36">
        <v>2874</v>
      </c>
      <c r="K4699" s="85">
        <v>0</v>
      </c>
      <c r="L4699" s="36">
        <v>239.5</v>
      </c>
      <c r="M4699" s="36">
        <v>0</v>
      </c>
      <c r="N4699" s="36">
        <v>46.51</v>
      </c>
      <c r="O4699" s="36">
        <v>192.99</v>
      </c>
      <c r="P4699" t="s">
        <v>165</v>
      </c>
      <c r="Q4699" t="s">
        <v>166</v>
      </c>
      <c r="R4699" t="s">
        <v>166</v>
      </c>
      <c r="S4699" s="112">
        <v>46155</v>
      </c>
      <c r="T4699" s="112">
        <v>46155</v>
      </c>
      <c r="U4699" s="112">
        <v>46155</v>
      </c>
      <c r="V4699" s="112">
        <v>46520</v>
      </c>
      <c r="W4699" t="s">
        <v>38</v>
      </c>
      <c r="X4699">
        <v>12</v>
      </c>
      <c r="Y4699" t="s">
        <v>49</v>
      </c>
      <c r="Z4699" t="s">
        <v>81</v>
      </c>
      <c r="AA4699" t="s">
        <v>122</v>
      </c>
      <c r="AB4699">
        <v>12</v>
      </c>
      <c r="AC4699" t="s">
        <v>166</v>
      </c>
      <c r="AD4699" t="s">
        <v>140</v>
      </c>
      <c r="AE4699" t="s">
        <v>46</v>
      </c>
      <c r="AF4699" t="s">
        <v>119</v>
      </c>
      <c r="AG4699" t="str">
        <f t="shared" si="109"/>
        <v>Recorrente</v>
      </c>
      <c r="AH4699" t="str">
        <f t="shared" si="110"/>
        <v/>
      </c>
    </row>
    <row r="4700" spans="1:34">
      <c r="A4700">
        <v>2026</v>
      </c>
      <c r="B4700">
        <v>5</v>
      </c>
      <c r="C4700" s="83">
        <v>117680161166</v>
      </c>
      <c r="D4700" t="s">
        <v>4013</v>
      </c>
      <c r="E4700">
        <v>60203137847</v>
      </c>
      <c r="F4700">
        <v>637726</v>
      </c>
      <c r="G4700">
        <v>55198908538</v>
      </c>
      <c r="H4700" t="s">
        <v>35</v>
      </c>
      <c r="I4700" s="36">
        <v>2874</v>
      </c>
      <c r="J4700" s="36">
        <v>2874</v>
      </c>
      <c r="K4700" s="85">
        <v>0</v>
      </c>
      <c r="L4700" s="36">
        <v>239.5</v>
      </c>
      <c r="M4700" s="36">
        <v>239.5</v>
      </c>
      <c r="N4700" s="36">
        <v>0</v>
      </c>
      <c r="O4700" s="36">
        <v>0</v>
      </c>
      <c r="Q4700" t="s">
        <v>498</v>
      </c>
      <c r="R4700" t="s">
        <v>498</v>
      </c>
      <c r="S4700" s="112">
        <v>46153</v>
      </c>
      <c r="T4700" s="112">
        <v>46153</v>
      </c>
      <c r="U4700" s="112"/>
      <c r="V4700" s="112">
        <v>46518</v>
      </c>
      <c r="W4700" t="s">
        <v>38</v>
      </c>
      <c r="X4700">
        <v>12</v>
      </c>
      <c r="Y4700" t="s">
        <v>49</v>
      </c>
      <c r="AA4700" t="s">
        <v>122</v>
      </c>
      <c r="AB4700">
        <v>12</v>
      </c>
      <c r="AC4700" t="s">
        <v>499</v>
      </c>
      <c r="AD4700" t="s">
        <v>140</v>
      </c>
      <c r="AE4700" t="s">
        <v>46</v>
      </c>
      <c r="AF4700" t="s">
        <v>119</v>
      </c>
      <c r="AG4700" t="str">
        <f t="shared" si="109"/>
        <v>Recorrente</v>
      </c>
      <c r="AH4700" t="str">
        <f t="shared" si="110"/>
        <v/>
      </c>
    </row>
    <row r="4701" spans="1:34">
      <c r="A4701">
        <v>2026</v>
      </c>
      <c r="B4701">
        <v>5</v>
      </c>
      <c r="C4701" s="83">
        <v>118841411722</v>
      </c>
      <c r="D4701" t="s">
        <v>4014</v>
      </c>
      <c r="E4701">
        <v>59079781220</v>
      </c>
      <c r="F4701">
        <v>629841</v>
      </c>
      <c r="G4701">
        <v>54232443713</v>
      </c>
      <c r="H4701" t="s">
        <v>35</v>
      </c>
      <c r="I4701" s="36">
        <v>2874</v>
      </c>
      <c r="J4701" s="36">
        <v>2874</v>
      </c>
      <c r="K4701" s="85">
        <v>0</v>
      </c>
      <c r="L4701" s="36">
        <v>239.5</v>
      </c>
      <c r="M4701" s="36">
        <v>0</v>
      </c>
      <c r="N4701" s="36">
        <v>24.4</v>
      </c>
      <c r="O4701" s="36">
        <v>215.1</v>
      </c>
      <c r="P4701" t="s">
        <v>165</v>
      </c>
      <c r="Q4701" t="s">
        <v>166</v>
      </c>
      <c r="R4701" t="s">
        <v>166</v>
      </c>
      <c r="S4701" s="112">
        <v>46167</v>
      </c>
      <c r="T4701" s="112">
        <v>46167</v>
      </c>
      <c r="U4701" s="112">
        <v>46168</v>
      </c>
      <c r="V4701" s="112">
        <v>46533</v>
      </c>
      <c r="W4701" t="s">
        <v>38</v>
      </c>
      <c r="X4701">
        <v>12</v>
      </c>
      <c r="Y4701" t="s">
        <v>49</v>
      </c>
      <c r="Z4701" t="s">
        <v>81</v>
      </c>
      <c r="AA4701" t="s">
        <v>122</v>
      </c>
      <c r="AB4701">
        <v>12</v>
      </c>
      <c r="AC4701" t="s">
        <v>166</v>
      </c>
      <c r="AD4701" t="s">
        <v>118</v>
      </c>
      <c r="AE4701" t="s">
        <v>43</v>
      </c>
      <c r="AF4701" t="s">
        <v>119</v>
      </c>
      <c r="AG4701" t="str">
        <f t="shared" si="109"/>
        <v>Recorrente</v>
      </c>
      <c r="AH4701" t="str">
        <f t="shared" si="110"/>
        <v/>
      </c>
    </row>
    <row r="4702" spans="1:34">
      <c r="A4702">
        <v>2026</v>
      </c>
      <c r="B4702">
        <v>5</v>
      </c>
      <c r="C4702" s="83">
        <v>119614837016</v>
      </c>
      <c r="D4702" t="s">
        <v>2796</v>
      </c>
      <c r="E4702">
        <v>58888176162</v>
      </c>
      <c r="F4702">
        <v>629436</v>
      </c>
      <c r="G4702">
        <v>54279576905</v>
      </c>
      <c r="H4702" t="s">
        <v>35</v>
      </c>
      <c r="I4702" s="36">
        <v>2874</v>
      </c>
      <c r="J4702" s="36">
        <v>2874</v>
      </c>
      <c r="K4702" s="85">
        <v>0</v>
      </c>
      <c r="L4702" s="36">
        <v>239.5</v>
      </c>
      <c r="M4702" s="36">
        <v>0</v>
      </c>
      <c r="N4702" s="36">
        <v>0</v>
      </c>
      <c r="O4702" s="36">
        <v>239.5</v>
      </c>
      <c r="P4702" t="s">
        <v>127</v>
      </c>
      <c r="Q4702" t="s">
        <v>111</v>
      </c>
      <c r="R4702" t="s">
        <v>111</v>
      </c>
      <c r="S4702" s="112">
        <v>46150</v>
      </c>
      <c r="T4702" s="112">
        <v>46150</v>
      </c>
      <c r="U4702" s="112">
        <v>46149</v>
      </c>
      <c r="V4702" s="112">
        <v>46515</v>
      </c>
      <c r="W4702" t="s">
        <v>38</v>
      </c>
      <c r="X4702">
        <v>12</v>
      </c>
      <c r="Y4702" t="s">
        <v>49</v>
      </c>
      <c r="Z4702" t="s">
        <v>76</v>
      </c>
      <c r="AA4702" t="s">
        <v>122</v>
      </c>
      <c r="AB4702">
        <v>12</v>
      </c>
      <c r="AC4702" t="s">
        <v>113</v>
      </c>
      <c r="AD4702" t="s">
        <v>118</v>
      </c>
      <c r="AE4702" t="s">
        <v>43</v>
      </c>
      <c r="AF4702" t="s">
        <v>119</v>
      </c>
      <c r="AG4702" t="str">
        <f t="shared" si="109"/>
        <v>Recorrente</v>
      </c>
      <c r="AH4702" t="str">
        <f t="shared" si="110"/>
        <v/>
      </c>
    </row>
    <row r="4703" spans="1:34">
      <c r="A4703">
        <v>2026</v>
      </c>
      <c r="B4703">
        <v>5</v>
      </c>
      <c r="C4703" s="83">
        <v>119637159229</v>
      </c>
      <c r="D4703" t="s">
        <v>4015</v>
      </c>
      <c r="E4703">
        <v>58338274590</v>
      </c>
      <c r="F4703">
        <v>314262</v>
      </c>
      <c r="G4703">
        <v>53542040582</v>
      </c>
      <c r="H4703" t="s">
        <v>35</v>
      </c>
      <c r="I4703" s="36">
        <v>2874</v>
      </c>
      <c r="J4703" s="36">
        <v>2874</v>
      </c>
      <c r="K4703" s="85">
        <v>0</v>
      </c>
      <c r="L4703" s="36">
        <v>239.5</v>
      </c>
      <c r="M4703" s="36">
        <v>0</v>
      </c>
      <c r="N4703" s="36">
        <v>36.35</v>
      </c>
      <c r="O4703" s="36">
        <v>203.15</v>
      </c>
      <c r="P4703" t="s">
        <v>165</v>
      </c>
      <c r="Q4703" t="s">
        <v>166</v>
      </c>
      <c r="R4703" t="s">
        <v>166</v>
      </c>
      <c r="S4703" s="112">
        <v>46151</v>
      </c>
      <c r="T4703" s="112">
        <v>46151</v>
      </c>
      <c r="U4703" s="112">
        <v>46151</v>
      </c>
      <c r="V4703" s="112">
        <v>46516</v>
      </c>
      <c r="W4703" t="s">
        <v>38</v>
      </c>
      <c r="X4703">
        <v>12</v>
      </c>
      <c r="Y4703" t="s">
        <v>49</v>
      </c>
      <c r="Z4703" t="s">
        <v>81</v>
      </c>
      <c r="AA4703" t="s">
        <v>122</v>
      </c>
      <c r="AB4703">
        <v>12</v>
      </c>
      <c r="AC4703" t="s">
        <v>166</v>
      </c>
      <c r="AD4703" t="s">
        <v>140</v>
      </c>
      <c r="AE4703" t="s">
        <v>46</v>
      </c>
      <c r="AF4703" t="s">
        <v>119</v>
      </c>
      <c r="AG4703" t="str">
        <f t="shared" si="109"/>
        <v>Recorrente</v>
      </c>
      <c r="AH4703" t="str">
        <f t="shared" si="110"/>
        <v/>
      </c>
    </row>
    <row r="4704" spans="1:34">
      <c r="A4704">
        <v>2026</v>
      </c>
      <c r="B4704">
        <v>5</v>
      </c>
      <c r="C4704" s="83">
        <v>119876661608</v>
      </c>
      <c r="D4704" t="s">
        <v>4016</v>
      </c>
      <c r="E4704">
        <v>58242695574</v>
      </c>
      <c r="F4704">
        <v>629397</v>
      </c>
      <c r="G4704">
        <v>53423203115</v>
      </c>
      <c r="H4704" t="s">
        <v>35</v>
      </c>
      <c r="I4704" s="36">
        <v>2874</v>
      </c>
      <c r="J4704" s="36">
        <v>2874</v>
      </c>
      <c r="K4704" s="85">
        <v>0</v>
      </c>
      <c r="L4704" s="36">
        <v>239.5</v>
      </c>
      <c r="M4704" s="36">
        <v>0</v>
      </c>
      <c r="N4704" s="36">
        <v>35.159999999999997</v>
      </c>
      <c r="O4704" s="36">
        <v>204.34</v>
      </c>
      <c r="P4704" t="s">
        <v>165</v>
      </c>
      <c r="Q4704" t="s">
        <v>166</v>
      </c>
      <c r="R4704" t="s">
        <v>166</v>
      </c>
      <c r="S4704" s="112">
        <v>46149</v>
      </c>
      <c r="T4704" s="112">
        <v>46149</v>
      </c>
      <c r="U4704" s="112">
        <v>46149</v>
      </c>
      <c r="V4704" s="112">
        <v>46514</v>
      </c>
      <c r="W4704" t="s">
        <v>38</v>
      </c>
      <c r="X4704">
        <v>12</v>
      </c>
      <c r="Y4704" t="s">
        <v>49</v>
      </c>
      <c r="Z4704" t="s">
        <v>81</v>
      </c>
      <c r="AA4704" t="s">
        <v>112</v>
      </c>
      <c r="AB4704">
        <v>12</v>
      </c>
      <c r="AC4704" t="s">
        <v>166</v>
      </c>
      <c r="AD4704" t="s">
        <v>118</v>
      </c>
      <c r="AE4704" t="s">
        <v>43</v>
      </c>
      <c r="AF4704" t="s">
        <v>119</v>
      </c>
      <c r="AG4704" t="str">
        <f t="shared" si="109"/>
        <v>CC 12x</v>
      </c>
      <c r="AH4704" t="str">
        <f t="shared" si="110"/>
        <v/>
      </c>
    </row>
    <row r="4705" spans="1:34">
      <c r="A4705">
        <v>2026</v>
      </c>
      <c r="B4705">
        <v>5</v>
      </c>
      <c r="C4705" s="83">
        <v>120203600208</v>
      </c>
      <c r="D4705" t="s">
        <v>4017</v>
      </c>
      <c r="E4705">
        <v>58669879668</v>
      </c>
      <c r="F4705">
        <v>534989</v>
      </c>
      <c r="G4705">
        <v>53828708479</v>
      </c>
      <c r="H4705" t="s">
        <v>35</v>
      </c>
      <c r="I4705" s="36">
        <v>2874</v>
      </c>
      <c r="J4705" s="36">
        <v>2874</v>
      </c>
      <c r="K4705" s="85">
        <v>0</v>
      </c>
      <c r="L4705" s="36">
        <v>239.5</v>
      </c>
      <c r="M4705" s="36">
        <v>0</v>
      </c>
      <c r="N4705" s="36">
        <v>12.45</v>
      </c>
      <c r="O4705" s="36">
        <v>227.05</v>
      </c>
      <c r="P4705" t="s">
        <v>165</v>
      </c>
      <c r="Q4705" t="s">
        <v>166</v>
      </c>
      <c r="R4705" t="s">
        <v>166</v>
      </c>
      <c r="S4705" s="112">
        <v>46159</v>
      </c>
      <c r="T4705" s="112">
        <v>46159</v>
      </c>
      <c r="U4705" s="112">
        <v>46159</v>
      </c>
      <c r="V4705" s="112">
        <v>46524</v>
      </c>
      <c r="W4705" t="s">
        <v>38</v>
      </c>
      <c r="X4705">
        <v>12</v>
      </c>
      <c r="Y4705" t="s">
        <v>49</v>
      </c>
      <c r="Z4705" t="s">
        <v>81</v>
      </c>
      <c r="AA4705" t="s">
        <v>122</v>
      </c>
      <c r="AB4705">
        <v>12</v>
      </c>
      <c r="AC4705" t="s">
        <v>166</v>
      </c>
      <c r="AD4705" t="s">
        <v>118</v>
      </c>
      <c r="AE4705" t="s">
        <v>43</v>
      </c>
      <c r="AF4705" t="s">
        <v>119</v>
      </c>
      <c r="AG4705" t="str">
        <f t="shared" si="109"/>
        <v>Recorrente</v>
      </c>
      <c r="AH4705" t="str">
        <f t="shared" si="110"/>
        <v/>
      </c>
    </row>
    <row r="4706" spans="1:34">
      <c r="A4706">
        <v>2026</v>
      </c>
      <c r="B4706">
        <v>5</v>
      </c>
      <c r="C4706" s="83">
        <v>120429735709</v>
      </c>
      <c r="D4706" t="s">
        <v>4018</v>
      </c>
      <c r="E4706">
        <v>60100642066</v>
      </c>
      <c r="F4706">
        <v>637644</v>
      </c>
      <c r="G4706">
        <v>55099413634</v>
      </c>
      <c r="H4706" t="s">
        <v>35</v>
      </c>
      <c r="I4706" s="36">
        <v>2874</v>
      </c>
      <c r="J4706" s="36">
        <v>2874</v>
      </c>
      <c r="K4706" s="85">
        <v>0</v>
      </c>
      <c r="L4706" s="36">
        <v>239.5</v>
      </c>
      <c r="M4706" s="36">
        <v>239.5</v>
      </c>
      <c r="N4706" s="36">
        <v>0</v>
      </c>
      <c r="O4706" s="36">
        <v>0</v>
      </c>
      <c r="Q4706" t="s">
        <v>498</v>
      </c>
      <c r="R4706" t="s">
        <v>498</v>
      </c>
      <c r="S4706" s="112">
        <v>46149</v>
      </c>
      <c r="T4706" s="112">
        <v>46149</v>
      </c>
      <c r="U4706" s="112"/>
      <c r="V4706" s="112">
        <v>46514</v>
      </c>
      <c r="W4706" t="s">
        <v>38</v>
      </c>
      <c r="X4706">
        <v>12</v>
      </c>
      <c r="Y4706" t="s">
        <v>49</v>
      </c>
      <c r="AA4706" t="s">
        <v>122</v>
      </c>
      <c r="AB4706">
        <v>12</v>
      </c>
      <c r="AC4706" t="s">
        <v>499</v>
      </c>
      <c r="AD4706" t="s">
        <v>140</v>
      </c>
      <c r="AE4706" t="s">
        <v>46</v>
      </c>
      <c r="AF4706" t="s">
        <v>119</v>
      </c>
      <c r="AG4706" t="str">
        <f t="shared" si="109"/>
        <v>Recorrente</v>
      </c>
      <c r="AH4706" t="str">
        <f t="shared" si="110"/>
        <v/>
      </c>
    </row>
    <row r="4707" spans="1:34">
      <c r="A4707">
        <v>2026</v>
      </c>
      <c r="B4707">
        <v>5</v>
      </c>
      <c r="C4707" s="83">
        <v>121458281888</v>
      </c>
      <c r="D4707" t="s">
        <v>4019</v>
      </c>
      <c r="E4707">
        <v>58961548068</v>
      </c>
      <c r="F4707">
        <v>629471</v>
      </c>
      <c r="G4707">
        <v>54884814086</v>
      </c>
      <c r="H4707" t="s">
        <v>35</v>
      </c>
      <c r="I4707" s="36">
        <v>2874</v>
      </c>
      <c r="J4707" s="36">
        <v>2874</v>
      </c>
      <c r="K4707" s="85">
        <v>0</v>
      </c>
      <c r="L4707" s="36">
        <v>239.5</v>
      </c>
      <c r="M4707" s="36">
        <v>0</v>
      </c>
      <c r="N4707" s="36">
        <v>0</v>
      </c>
      <c r="O4707" s="36">
        <v>239.5</v>
      </c>
      <c r="P4707" t="s">
        <v>137</v>
      </c>
      <c r="Q4707" t="s">
        <v>111</v>
      </c>
      <c r="R4707" t="s">
        <v>111</v>
      </c>
      <c r="S4707" s="112">
        <v>46150</v>
      </c>
      <c r="T4707" s="112">
        <v>46150</v>
      </c>
      <c r="U4707" s="112">
        <v>46150</v>
      </c>
      <c r="V4707" s="112">
        <v>46515</v>
      </c>
      <c r="W4707" t="s">
        <v>38</v>
      </c>
      <c r="X4707">
        <v>12</v>
      </c>
      <c r="Y4707" t="s">
        <v>49</v>
      </c>
      <c r="Z4707" t="s">
        <v>81</v>
      </c>
      <c r="AA4707" t="s">
        <v>112</v>
      </c>
      <c r="AB4707">
        <v>12</v>
      </c>
      <c r="AC4707" t="s">
        <v>113</v>
      </c>
      <c r="AD4707" t="s">
        <v>140</v>
      </c>
      <c r="AE4707" t="s">
        <v>46</v>
      </c>
      <c r="AF4707" t="s">
        <v>119</v>
      </c>
      <c r="AG4707" t="str">
        <f t="shared" si="109"/>
        <v>CC 12x</v>
      </c>
      <c r="AH4707" t="str">
        <f t="shared" si="110"/>
        <v/>
      </c>
    </row>
    <row r="4708" spans="1:34">
      <c r="A4708">
        <v>2026</v>
      </c>
      <c r="B4708">
        <v>5</v>
      </c>
      <c r="C4708" s="83">
        <v>122863898371</v>
      </c>
      <c r="D4708" t="s">
        <v>4020</v>
      </c>
      <c r="E4708">
        <v>58847280206</v>
      </c>
      <c r="F4708">
        <v>629668</v>
      </c>
      <c r="G4708">
        <v>53994725511</v>
      </c>
      <c r="H4708" t="s">
        <v>35</v>
      </c>
      <c r="I4708" s="36">
        <v>2874</v>
      </c>
      <c r="J4708" s="36">
        <v>2874</v>
      </c>
      <c r="K4708" s="85">
        <v>0</v>
      </c>
      <c r="L4708" s="36">
        <v>239.5</v>
      </c>
      <c r="M4708" s="36">
        <v>0</v>
      </c>
      <c r="N4708" s="36">
        <v>0.5</v>
      </c>
      <c r="O4708" s="36">
        <v>239</v>
      </c>
      <c r="P4708" t="s">
        <v>165</v>
      </c>
      <c r="Q4708" t="s">
        <v>166</v>
      </c>
      <c r="R4708" t="s">
        <v>166</v>
      </c>
      <c r="S4708" s="112">
        <v>46162</v>
      </c>
      <c r="T4708" s="112">
        <v>46162</v>
      </c>
      <c r="U4708" s="112">
        <v>46162</v>
      </c>
      <c r="V4708" s="112">
        <v>46527</v>
      </c>
      <c r="W4708" t="s">
        <v>38</v>
      </c>
      <c r="X4708">
        <v>12</v>
      </c>
      <c r="Y4708" t="s">
        <v>49</v>
      </c>
      <c r="Z4708" t="s">
        <v>81</v>
      </c>
      <c r="AA4708" t="s">
        <v>112</v>
      </c>
      <c r="AB4708">
        <v>12</v>
      </c>
      <c r="AC4708" t="s">
        <v>166</v>
      </c>
      <c r="AD4708" t="s">
        <v>140</v>
      </c>
      <c r="AE4708" t="s">
        <v>46</v>
      </c>
      <c r="AF4708" t="s">
        <v>119</v>
      </c>
      <c r="AG4708" t="str">
        <f t="shared" si="109"/>
        <v>CC 12x</v>
      </c>
      <c r="AH4708" t="str">
        <f t="shared" si="110"/>
        <v/>
      </c>
    </row>
    <row r="4709" spans="1:34">
      <c r="A4709">
        <v>2026</v>
      </c>
      <c r="B4709">
        <v>5</v>
      </c>
      <c r="C4709" s="83">
        <v>125736091486</v>
      </c>
      <c r="D4709" t="s">
        <v>4021</v>
      </c>
      <c r="E4709">
        <v>59157801651</v>
      </c>
      <c r="F4709">
        <v>616316</v>
      </c>
      <c r="G4709">
        <v>54274910483</v>
      </c>
      <c r="H4709" t="s">
        <v>35</v>
      </c>
      <c r="I4709" s="36">
        <v>2874</v>
      </c>
      <c r="J4709" s="36">
        <v>2874</v>
      </c>
      <c r="K4709" s="85">
        <v>0</v>
      </c>
      <c r="L4709" s="36">
        <v>239.5</v>
      </c>
      <c r="M4709" s="36">
        <v>0</v>
      </c>
      <c r="N4709" s="36">
        <v>0.5</v>
      </c>
      <c r="O4709" s="36">
        <v>239</v>
      </c>
      <c r="P4709" t="s">
        <v>165</v>
      </c>
      <c r="Q4709" t="s">
        <v>166</v>
      </c>
      <c r="R4709" t="s">
        <v>166</v>
      </c>
      <c r="S4709" s="112">
        <v>46168</v>
      </c>
      <c r="T4709" s="112">
        <v>46168</v>
      </c>
      <c r="U4709" s="112">
        <v>46171</v>
      </c>
      <c r="V4709" s="112">
        <v>46536</v>
      </c>
      <c r="W4709" t="s">
        <v>38</v>
      </c>
      <c r="X4709">
        <v>12</v>
      </c>
      <c r="Y4709" t="s">
        <v>49</v>
      </c>
      <c r="Z4709" t="s">
        <v>81</v>
      </c>
      <c r="AA4709" t="s">
        <v>122</v>
      </c>
      <c r="AB4709">
        <v>12</v>
      </c>
      <c r="AC4709" t="s">
        <v>166</v>
      </c>
      <c r="AD4709" t="s">
        <v>140</v>
      </c>
      <c r="AE4709" t="s">
        <v>46</v>
      </c>
      <c r="AF4709" t="s">
        <v>119</v>
      </c>
      <c r="AG4709" t="str">
        <f t="shared" si="109"/>
        <v>Recorrente</v>
      </c>
      <c r="AH4709" t="str">
        <f t="shared" si="110"/>
        <v/>
      </c>
    </row>
    <row r="4710" spans="1:34">
      <c r="A4710">
        <v>2026</v>
      </c>
      <c r="B4710">
        <v>5</v>
      </c>
      <c r="C4710" s="83">
        <v>130039579033</v>
      </c>
      <c r="D4710" t="s">
        <v>4022</v>
      </c>
      <c r="E4710">
        <v>58211282785</v>
      </c>
      <c r="F4710">
        <v>629303</v>
      </c>
      <c r="G4710">
        <v>53411800451</v>
      </c>
      <c r="H4710" t="s">
        <v>35</v>
      </c>
      <c r="I4710" s="36">
        <v>2874</v>
      </c>
      <c r="J4710" s="36">
        <v>2874</v>
      </c>
      <c r="K4710" s="85">
        <v>0</v>
      </c>
      <c r="L4710" s="36">
        <v>239.5</v>
      </c>
      <c r="M4710" s="36">
        <v>0</v>
      </c>
      <c r="N4710" s="36">
        <v>24.5</v>
      </c>
      <c r="O4710" s="36">
        <v>215</v>
      </c>
      <c r="P4710" t="s">
        <v>165</v>
      </c>
      <c r="Q4710" t="s">
        <v>166</v>
      </c>
      <c r="R4710" t="s">
        <v>166</v>
      </c>
      <c r="S4710" s="112">
        <v>46147</v>
      </c>
      <c r="T4710" s="112">
        <v>46147</v>
      </c>
      <c r="U4710" s="112">
        <v>46147</v>
      </c>
      <c r="V4710" s="112">
        <v>46512</v>
      </c>
      <c r="W4710" t="s">
        <v>38</v>
      </c>
      <c r="X4710">
        <v>12</v>
      </c>
      <c r="Y4710" t="s">
        <v>49</v>
      </c>
      <c r="Z4710" t="s">
        <v>81</v>
      </c>
      <c r="AA4710" t="s">
        <v>112</v>
      </c>
      <c r="AB4710">
        <v>12</v>
      </c>
      <c r="AC4710" t="s">
        <v>166</v>
      </c>
      <c r="AD4710" t="s">
        <v>118</v>
      </c>
      <c r="AE4710" t="s">
        <v>43</v>
      </c>
      <c r="AF4710" t="s">
        <v>119</v>
      </c>
      <c r="AG4710" t="str">
        <f t="shared" si="109"/>
        <v>CC 12x</v>
      </c>
      <c r="AH4710" t="str">
        <f t="shared" si="110"/>
        <v/>
      </c>
    </row>
    <row r="4711" spans="1:34">
      <c r="A4711">
        <v>2026</v>
      </c>
      <c r="B4711">
        <v>5</v>
      </c>
      <c r="C4711" s="83">
        <v>135597719811</v>
      </c>
      <c r="D4711" t="s">
        <v>4023</v>
      </c>
      <c r="E4711">
        <v>60334017644</v>
      </c>
      <c r="F4711">
        <v>637838</v>
      </c>
      <c r="G4711">
        <v>55325414185</v>
      </c>
      <c r="H4711" t="s">
        <v>35</v>
      </c>
      <c r="I4711" s="36">
        <v>2874</v>
      </c>
      <c r="J4711" s="36">
        <v>2874</v>
      </c>
      <c r="K4711" s="85">
        <v>0</v>
      </c>
      <c r="L4711" s="36">
        <v>239.5</v>
      </c>
      <c r="M4711" s="36">
        <v>239.5</v>
      </c>
      <c r="N4711" s="36">
        <v>0</v>
      </c>
      <c r="O4711" s="36">
        <v>0</v>
      </c>
      <c r="Q4711" t="s">
        <v>498</v>
      </c>
      <c r="R4711" t="s">
        <v>498</v>
      </c>
      <c r="S4711" s="112">
        <v>46160</v>
      </c>
      <c r="T4711" s="112">
        <v>46160</v>
      </c>
      <c r="U4711" s="112"/>
      <c r="V4711" s="112">
        <v>46525</v>
      </c>
      <c r="W4711" t="s">
        <v>38</v>
      </c>
      <c r="X4711">
        <v>12</v>
      </c>
      <c r="Y4711" t="s">
        <v>49</v>
      </c>
      <c r="AA4711" t="s">
        <v>122</v>
      </c>
      <c r="AB4711">
        <v>12</v>
      </c>
      <c r="AC4711" t="s">
        <v>499</v>
      </c>
      <c r="AD4711" t="s">
        <v>140</v>
      </c>
      <c r="AE4711" t="s">
        <v>46</v>
      </c>
      <c r="AF4711" t="s">
        <v>119</v>
      </c>
      <c r="AG4711" t="str">
        <f t="shared" si="109"/>
        <v>Recorrente</v>
      </c>
      <c r="AH4711" t="str">
        <f t="shared" si="110"/>
        <v/>
      </c>
    </row>
    <row r="4712" spans="1:34">
      <c r="A4712">
        <v>2026</v>
      </c>
      <c r="B4712">
        <v>5</v>
      </c>
      <c r="C4712" s="83">
        <v>136487867823</v>
      </c>
      <c r="D4712" t="s">
        <v>4024</v>
      </c>
      <c r="E4712">
        <v>60642218041</v>
      </c>
      <c r="F4712">
        <v>637992</v>
      </c>
      <c r="G4712">
        <v>55615986256</v>
      </c>
      <c r="H4712" t="s">
        <v>35</v>
      </c>
      <c r="I4712" s="36">
        <v>2874</v>
      </c>
      <c r="J4712" s="36">
        <v>2874</v>
      </c>
      <c r="K4712" s="85">
        <v>0</v>
      </c>
      <c r="L4712" s="36">
        <v>239.5</v>
      </c>
      <c r="M4712" s="36">
        <v>239.5</v>
      </c>
      <c r="N4712" s="36">
        <v>0</v>
      </c>
      <c r="O4712" s="36">
        <v>0</v>
      </c>
      <c r="Q4712" t="s">
        <v>498</v>
      </c>
      <c r="R4712" t="s">
        <v>498</v>
      </c>
      <c r="S4712" s="112">
        <v>46169</v>
      </c>
      <c r="T4712" s="112">
        <v>46169</v>
      </c>
      <c r="U4712" s="112"/>
      <c r="V4712" s="112">
        <v>46534</v>
      </c>
      <c r="W4712" t="s">
        <v>38</v>
      </c>
      <c r="X4712">
        <v>12</v>
      </c>
      <c r="Y4712" t="s">
        <v>49</v>
      </c>
      <c r="AA4712" t="s">
        <v>122</v>
      </c>
      <c r="AB4712">
        <v>12</v>
      </c>
      <c r="AC4712" t="s">
        <v>499</v>
      </c>
      <c r="AD4712" t="s">
        <v>140</v>
      </c>
      <c r="AE4712" t="s">
        <v>46</v>
      </c>
      <c r="AF4712" t="s">
        <v>119</v>
      </c>
      <c r="AG4712" t="str">
        <f t="shared" si="109"/>
        <v>Recorrente</v>
      </c>
      <c r="AH4712" t="str">
        <f t="shared" si="110"/>
        <v/>
      </c>
    </row>
    <row r="4713" spans="1:34">
      <c r="A4713">
        <v>2026</v>
      </c>
      <c r="B4713">
        <v>5</v>
      </c>
      <c r="C4713" s="83">
        <v>140775160439</v>
      </c>
      <c r="D4713" t="s">
        <v>4025</v>
      </c>
      <c r="E4713">
        <v>60754649218</v>
      </c>
      <c r="F4713">
        <v>638108</v>
      </c>
      <c r="G4713">
        <v>55712931877</v>
      </c>
      <c r="H4713" t="s">
        <v>35</v>
      </c>
      <c r="I4713" s="36">
        <v>2874</v>
      </c>
      <c r="J4713" s="36">
        <v>2874</v>
      </c>
      <c r="K4713" s="85">
        <v>0</v>
      </c>
      <c r="L4713" s="36">
        <v>239.5</v>
      </c>
      <c r="M4713" s="36">
        <v>239.5</v>
      </c>
      <c r="N4713" s="36">
        <v>0</v>
      </c>
      <c r="O4713" s="36">
        <v>0</v>
      </c>
      <c r="Q4713" t="s">
        <v>498</v>
      </c>
      <c r="R4713" t="s">
        <v>498</v>
      </c>
      <c r="S4713" s="112">
        <v>46173</v>
      </c>
      <c r="T4713" s="112">
        <v>46173</v>
      </c>
      <c r="V4713" s="112">
        <v>46538</v>
      </c>
      <c r="W4713" t="s">
        <v>38</v>
      </c>
      <c r="X4713">
        <v>12</v>
      </c>
      <c r="Y4713" t="s">
        <v>49</v>
      </c>
      <c r="AA4713" t="s">
        <v>122</v>
      </c>
      <c r="AB4713">
        <v>12</v>
      </c>
      <c r="AC4713" t="s">
        <v>499</v>
      </c>
      <c r="AD4713" t="s">
        <v>140</v>
      </c>
      <c r="AE4713" t="s">
        <v>46</v>
      </c>
      <c r="AF4713" t="s">
        <v>119</v>
      </c>
      <c r="AG4713" t="str">
        <f t="shared" si="109"/>
        <v>Recorrente</v>
      </c>
      <c r="AH4713" t="str">
        <f t="shared" si="110"/>
        <v/>
      </c>
    </row>
    <row r="4714" spans="1:34">
      <c r="A4714">
        <v>2026</v>
      </c>
      <c r="B4714">
        <v>5</v>
      </c>
      <c r="C4714" s="83">
        <v>144904318986</v>
      </c>
      <c r="D4714" t="s">
        <v>4026</v>
      </c>
      <c r="E4714">
        <v>58062519451</v>
      </c>
      <c r="F4714">
        <v>314046</v>
      </c>
      <c r="G4714">
        <v>53275857523</v>
      </c>
      <c r="H4714" t="s">
        <v>35</v>
      </c>
      <c r="I4714" s="36">
        <v>2874</v>
      </c>
      <c r="J4714" s="36">
        <v>2874</v>
      </c>
      <c r="K4714" s="85">
        <v>0</v>
      </c>
      <c r="L4714" s="36">
        <v>239.5</v>
      </c>
      <c r="M4714" s="36">
        <v>0</v>
      </c>
      <c r="N4714" s="36">
        <v>24.4</v>
      </c>
      <c r="O4714" s="36">
        <v>215.1</v>
      </c>
      <c r="P4714" t="s">
        <v>165</v>
      </c>
      <c r="Q4714" t="s">
        <v>166</v>
      </c>
      <c r="R4714" t="s">
        <v>166</v>
      </c>
      <c r="S4714" s="112">
        <v>46143</v>
      </c>
      <c r="T4714" s="112">
        <v>46143</v>
      </c>
      <c r="U4714" s="112">
        <v>46143</v>
      </c>
      <c r="V4714" s="112">
        <v>46508</v>
      </c>
      <c r="W4714" t="s">
        <v>38</v>
      </c>
      <c r="X4714">
        <v>12</v>
      </c>
      <c r="Y4714" t="s">
        <v>49</v>
      </c>
      <c r="Z4714" t="s">
        <v>81</v>
      </c>
      <c r="AA4714" t="s">
        <v>122</v>
      </c>
      <c r="AB4714">
        <v>12</v>
      </c>
      <c r="AC4714" t="s">
        <v>166</v>
      </c>
      <c r="AD4714" t="s">
        <v>140</v>
      </c>
      <c r="AE4714" t="s">
        <v>46</v>
      </c>
      <c r="AF4714" t="s">
        <v>119</v>
      </c>
      <c r="AG4714" t="str">
        <f t="shared" si="109"/>
        <v>Recorrente</v>
      </c>
      <c r="AH4714" t="str">
        <f t="shared" si="110"/>
        <v/>
      </c>
    </row>
    <row r="4715" spans="1:34">
      <c r="A4715">
        <v>2026</v>
      </c>
      <c r="B4715">
        <v>5</v>
      </c>
      <c r="C4715" s="83">
        <v>146534627499</v>
      </c>
      <c r="D4715" t="s">
        <v>4027</v>
      </c>
      <c r="E4715">
        <v>58171920194</v>
      </c>
      <c r="F4715">
        <v>534129</v>
      </c>
      <c r="G4715">
        <v>53381890121</v>
      </c>
      <c r="H4715" t="s">
        <v>35</v>
      </c>
      <c r="I4715" s="36">
        <v>2874</v>
      </c>
      <c r="J4715" s="36">
        <v>2874</v>
      </c>
      <c r="K4715" s="85">
        <v>0</v>
      </c>
      <c r="L4715" s="36">
        <v>239.5</v>
      </c>
      <c r="M4715" s="36">
        <v>0</v>
      </c>
      <c r="N4715" s="36">
        <v>34.5</v>
      </c>
      <c r="O4715" s="36">
        <v>205</v>
      </c>
      <c r="P4715" t="s">
        <v>165</v>
      </c>
      <c r="Q4715" t="s">
        <v>166</v>
      </c>
      <c r="R4715" t="s">
        <v>166</v>
      </c>
      <c r="S4715" s="112">
        <v>46145</v>
      </c>
      <c r="T4715" s="112">
        <v>46145</v>
      </c>
      <c r="U4715" s="112">
        <v>46145</v>
      </c>
      <c r="V4715" s="112">
        <v>46510</v>
      </c>
      <c r="W4715" t="s">
        <v>38</v>
      </c>
      <c r="X4715">
        <v>12</v>
      </c>
      <c r="Y4715" t="s">
        <v>49</v>
      </c>
      <c r="Z4715" t="s">
        <v>81</v>
      </c>
      <c r="AA4715" t="s">
        <v>112</v>
      </c>
      <c r="AB4715">
        <v>12</v>
      </c>
      <c r="AC4715" t="s">
        <v>166</v>
      </c>
      <c r="AD4715" t="s">
        <v>140</v>
      </c>
      <c r="AE4715" t="s">
        <v>46</v>
      </c>
      <c r="AF4715" t="s">
        <v>119</v>
      </c>
      <c r="AG4715" t="str">
        <f t="shared" si="109"/>
        <v>CC 12x</v>
      </c>
      <c r="AH4715" t="str">
        <f t="shared" si="110"/>
        <v/>
      </c>
    </row>
    <row r="4716" spans="1:34">
      <c r="A4716">
        <v>2026</v>
      </c>
      <c r="B4716">
        <v>5</v>
      </c>
      <c r="C4716" s="83">
        <v>150902917720</v>
      </c>
      <c r="D4716" t="s">
        <v>4028</v>
      </c>
      <c r="E4716">
        <v>60050995595</v>
      </c>
      <c r="F4716">
        <v>637635</v>
      </c>
      <c r="G4716">
        <v>55078072500</v>
      </c>
      <c r="H4716" t="s">
        <v>35</v>
      </c>
      <c r="I4716" s="36">
        <v>2874</v>
      </c>
      <c r="J4716" s="36">
        <v>2874</v>
      </c>
      <c r="K4716" s="85">
        <v>0</v>
      </c>
      <c r="L4716" s="36">
        <v>239.5</v>
      </c>
      <c r="M4716" s="36">
        <v>239.5</v>
      </c>
      <c r="N4716" s="36">
        <v>0</v>
      </c>
      <c r="O4716" s="36">
        <v>0</v>
      </c>
      <c r="P4716" t="s">
        <v>3179</v>
      </c>
      <c r="Q4716" t="s">
        <v>300</v>
      </c>
      <c r="R4716" t="s">
        <v>300</v>
      </c>
      <c r="S4716" s="112">
        <v>46149</v>
      </c>
      <c r="T4716" s="112">
        <v>46149</v>
      </c>
      <c r="U4716" s="112"/>
      <c r="V4716" s="112">
        <v>46514</v>
      </c>
      <c r="W4716" t="s">
        <v>38</v>
      </c>
      <c r="X4716">
        <v>12</v>
      </c>
      <c r="Y4716" t="s">
        <v>49</v>
      </c>
      <c r="AA4716" t="s">
        <v>112</v>
      </c>
      <c r="AB4716">
        <v>12</v>
      </c>
      <c r="AC4716" t="s">
        <v>301</v>
      </c>
      <c r="AD4716" t="s">
        <v>118</v>
      </c>
      <c r="AE4716" t="s">
        <v>43</v>
      </c>
      <c r="AF4716" t="s">
        <v>119</v>
      </c>
      <c r="AG4716" t="str">
        <f t="shared" si="109"/>
        <v>CC 12x</v>
      </c>
      <c r="AH4716" t="str">
        <f t="shared" si="110"/>
        <v/>
      </c>
    </row>
    <row r="4717" spans="1:34">
      <c r="A4717">
        <v>2026</v>
      </c>
      <c r="B4717">
        <v>5</v>
      </c>
      <c r="C4717" s="83">
        <v>159726815651</v>
      </c>
      <c r="D4717" t="s">
        <v>4029</v>
      </c>
      <c r="E4717">
        <v>60147044440</v>
      </c>
      <c r="F4717">
        <v>637694</v>
      </c>
      <c r="G4717">
        <v>55172802695</v>
      </c>
      <c r="H4717" t="s">
        <v>35</v>
      </c>
      <c r="I4717" s="36">
        <v>2874</v>
      </c>
      <c r="J4717" s="36">
        <v>2874</v>
      </c>
      <c r="K4717" s="85">
        <v>0</v>
      </c>
      <c r="L4717" s="36">
        <v>239.5</v>
      </c>
      <c r="M4717" s="36">
        <v>239.5</v>
      </c>
      <c r="N4717" s="36">
        <v>0</v>
      </c>
      <c r="O4717" s="36">
        <v>0</v>
      </c>
      <c r="Q4717" t="s">
        <v>498</v>
      </c>
      <c r="R4717" t="s">
        <v>498</v>
      </c>
      <c r="S4717" s="112">
        <v>46151</v>
      </c>
      <c r="T4717" s="112">
        <v>46151</v>
      </c>
      <c r="U4717" s="112"/>
      <c r="V4717" s="112">
        <v>46516</v>
      </c>
      <c r="W4717" t="s">
        <v>38</v>
      </c>
      <c r="X4717">
        <v>12</v>
      </c>
      <c r="Y4717" t="s">
        <v>49</v>
      </c>
      <c r="AA4717" t="s">
        <v>122</v>
      </c>
      <c r="AB4717">
        <v>12</v>
      </c>
      <c r="AC4717" t="s">
        <v>499</v>
      </c>
      <c r="AD4717" t="s">
        <v>118</v>
      </c>
      <c r="AE4717" t="s">
        <v>43</v>
      </c>
      <c r="AF4717" t="s">
        <v>119</v>
      </c>
      <c r="AG4717" t="str">
        <f t="shared" si="109"/>
        <v>Recorrente</v>
      </c>
      <c r="AH4717" t="str">
        <f t="shared" si="110"/>
        <v/>
      </c>
    </row>
    <row r="4718" spans="1:34">
      <c r="A4718">
        <v>2026</v>
      </c>
      <c r="B4718">
        <v>5</v>
      </c>
      <c r="C4718" s="83">
        <v>162285864837</v>
      </c>
      <c r="D4718" t="s">
        <v>4030</v>
      </c>
      <c r="E4718">
        <v>60156670389</v>
      </c>
      <c r="F4718">
        <v>637728</v>
      </c>
      <c r="G4718">
        <v>55189492768</v>
      </c>
      <c r="H4718" t="s">
        <v>35</v>
      </c>
      <c r="I4718" s="36">
        <v>2874</v>
      </c>
      <c r="J4718" s="36">
        <v>2874</v>
      </c>
      <c r="K4718" s="85">
        <v>0</v>
      </c>
      <c r="L4718" s="36">
        <v>239.5</v>
      </c>
      <c r="M4718" s="36">
        <v>239.5</v>
      </c>
      <c r="N4718" s="36">
        <v>0</v>
      </c>
      <c r="O4718" s="36">
        <v>0</v>
      </c>
      <c r="P4718" t="s">
        <v>511</v>
      </c>
      <c r="Q4718" t="s">
        <v>300</v>
      </c>
      <c r="R4718" t="s">
        <v>300</v>
      </c>
      <c r="S4718" s="112">
        <v>46154</v>
      </c>
      <c r="T4718" s="112">
        <v>46154</v>
      </c>
      <c r="V4718" s="112">
        <v>46519</v>
      </c>
      <c r="W4718" t="s">
        <v>38</v>
      </c>
      <c r="X4718">
        <v>12</v>
      </c>
      <c r="Y4718" t="s">
        <v>49</v>
      </c>
      <c r="AA4718" t="s">
        <v>122</v>
      </c>
      <c r="AB4718">
        <v>12</v>
      </c>
      <c r="AC4718" t="s">
        <v>301</v>
      </c>
      <c r="AD4718" t="s">
        <v>140</v>
      </c>
      <c r="AE4718" t="s">
        <v>46</v>
      </c>
      <c r="AF4718" t="s">
        <v>119</v>
      </c>
      <c r="AG4718" t="str">
        <f t="shared" si="109"/>
        <v>Recorrente</v>
      </c>
      <c r="AH4718" t="str">
        <f t="shared" si="110"/>
        <v/>
      </c>
    </row>
    <row r="4719" spans="1:34">
      <c r="A4719">
        <v>2026</v>
      </c>
      <c r="B4719">
        <v>5</v>
      </c>
      <c r="C4719" s="83">
        <v>163557841239</v>
      </c>
      <c r="D4719" t="s">
        <v>4031</v>
      </c>
      <c r="E4719">
        <v>58222781577</v>
      </c>
      <c r="F4719">
        <v>534390</v>
      </c>
      <c r="G4719">
        <v>53432265232</v>
      </c>
      <c r="H4719" t="s">
        <v>35</v>
      </c>
      <c r="I4719" s="36">
        <v>2874</v>
      </c>
      <c r="J4719" s="36">
        <v>2874</v>
      </c>
      <c r="K4719" s="85">
        <v>0</v>
      </c>
      <c r="L4719" s="36">
        <v>239.5</v>
      </c>
      <c r="M4719" s="36">
        <v>0</v>
      </c>
      <c r="N4719" s="36">
        <v>0.5</v>
      </c>
      <c r="O4719" s="36">
        <v>239</v>
      </c>
      <c r="P4719" t="s">
        <v>165</v>
      </c>
      <c r="Q4719" t="s">
        <v>166</v>
      </c>
      <c r="R4719" t="s">
        <v>166</v>
      </c>
      <c r="S4719" s="112">
        <v>46147</v>
      </c>
      <c r="T4719" s="112">
        <v>46147</v>
      </c>
      <c r="U4719" s="112">
        <v>46147</v>
      </c>
      <c r="V4719" s="112">
        <v>46512</v>
      </c>
      <c r="W4719" t="s">
        <v>38</v>
      </c>
      <c r="X4719">
        <v>12</v>
      </c>
      <c r="Y4719" t="s">
        <v>49</v>
      </c>
      <c r="Z4719" t="s">
        <v>81</v>
      </c>
      <c r="AA4719" t="s">
        <v>122</v>
      </c>
      <c r="AB4719">
        <v>12</v>
      </c>
      <c r="AC4719" t="s">
        <v>166</v>
      </c>
      <c r="AD4719" t="s">
        <v>140</v>
      </c>
      <c r="AE4719" t="s">
        <v>46</v>
      </c>
      <c r="AF4719" t="s">
        <v>119</v>
      </c>
      <c r="AG4719" t="str">
        <f t="shared" si="109"/>
        <v>Recorrente</v>
      </c>
      <c r="AH4719" t="str">
        <f t="shared" si="110"/>
        <v/>
      </c>
    </row>
    <row r="4720" spans="1:34">
      <c r="A4720">
        <v>2026</v>
      </c>
      <c r="B4720">
        <v>5</v>
      </c>
      <c r="C4720" s="83">
        <v>16917976751</v>
      </c>
      <c r="D4720" t="s">
        <v>4032</v>
      </c>
      <c r="E4720">
        <v>60077123512</v>
      </c>
      <c r="F4720">
        <v>637718</v>
      </c>
      <c r="G4720">
        <v>55099197584</v>
      </c>
      <c r="H4720" t="s">
        <v>35</v>
      </c>
      <c r="I4720" s="36">
        <v>2874</v>
      </c>
      <c r="J4720" s="36">
        <v>2874</v>
      </c>
      <c r="K4720" s="85">
        <v>0</v>
      </c>
      <c r="L4720" s="36">
        <v>239.5</v>
      </c>
      <c r="M4720" s="36">
        <v>239.5</v>
      </c>
      <c r="N4720" s="36">
        <v>0</v>
      </c>
      <c r="O4720" s="36">
        <v>0</v>
      </c>
      <c r="P4720" t="s">
        <v>3179</v>
      </c>
      <c r="Q4720" t="s">
        <v>300</v>
      </c>
      <c r="R4720" t="s">
        <v>300</v>
      </c>
      <c r="S4720" s="112">
        <v>46153</v>
      </c>
      <c r="T4720" s="112">
        <v>46153</v>
      </c>
      <c r="U4720" s="112"/>
      <c r="V4720" s="112">
        <v>46518</v>
      </c>
      <c r="W4720" t="s">
        <v>38</v>
      </c>
      <c r="X4720">
        <v>12</v>
      </c>
      <c r="Y4720" t="s">
        <v>49</v>
      </c>
      <c r="AA4720" t="s">
        <v>122</v>
      </c>
      <c r="AB4720">
        <v>12</v>
      </c>
      <c r="AC4720" t="s">
        <v>301</v>
      </c>
      <c r="AD4720" t="s">
        <v>118</v>
      </c>
      <c r="AE4720" t="s">
        <v>43</v>
      </c>
      <c r="AF4720" t="s">
        <v>119</v>
      </c>
      <c r="AG4720" t="str">
        <f t="shared" si="109"/>
        <v>Recorrente</v>
      </c>
      <c r="AH4720" t="str">
        <f t="shared" si="110"/>
        <v/>
      </c>
    </row>
    <row r="4721" spans="1:34">
      <c r="A4721">
        <v>2026</v>
      </c>
      <c r="B4721">
        <v>5</v>
      </c>
      <c r="C4721" s="83">
        <v>19435650126</v>
      </c>
      <c r="D4721" t="s">
        <v>4033</v>
      </c>
      <c r="E4721">
        <v>59229770590</v>
      </c>
      <c r="F4721">
        <v>536575</v>
      </c>
      <c r="G4721">
        <v>54338901420</v>
      </c>
      <c r="H4721" t="s">
        <v>35</v>
      </c>
      <c r="I4721" s="36">
        <v>2874</v>
      </c>
      <c r="J4721" s="36">
        <v>2874</v>
      </c>
      <c r="K4721" s="85">
        <v>0</v>
      </c>
      <c r="L4721" s="36">
        <v>239.5</v>
      </c>
      <c r="M4721" s="36">
        <v>0</v>
      </c>
      <c r="N4721" s="36">
        <v>35.159999999999997</v>
      </c>
      <c r="O4721" s="36">
        <v>204.34</v>
      </c>
      <c r="P4721" t="s">
        <v>165</v>
      </c>
      <c r="Q4721" t="s">
        <v>166</v>
      </c>
      <c r="R4721" t="s">
        <v>166</v>
      </c>
      <c r="S4721" s="112">
        <v>46169</v>
      </c>
      <c r="T4721" s="112">
        <v>46169</v>
      </c>
      <c r="U4721" s="112">
        <v>46173</v>
      </c>
      <c r="V4721" s="112">
        <v>46538</v>
      </c>
      <c r="W4721" t="s">
        <v>38</v>
      </c>
      <c r="X4721">
        <v>12</v>
      </c>
      <c r="Y4721" t="s">
        <v>49</v>
      </c>
      <c r="Z4721" t="s">
        <v>81</v>
      </c>
      <c r="AA4721" t="s">
        <v>112</v>
      </c>
      <c r="AB4721">
        <v>12</v>
      </c>
      <c r="AC4721" t="s">
        <v>166</v>
      </c>
      <c r="AD4721" t="s">
        <v>118</v>
      </c>
      <c r="AE4721" t="s">
        <v>43</v>
      </c>
      <c r="AF4721" t="s">
        <v>119</v>
      </c>
      <c r="AG4721" t="str">
        <f t="shared" si="109"/>
        <v>CC 12x</v>
      </c>
      <c r="AH4721" t="str">
        <f t="shared" si="110"/>
        <v/>
      </c>
    </row>
    <row r="4722" spans="1:34">
      <c r="A4722">
        <v>2026</v>
      </c>
      <c r="B4722">
        <v>5</v>
      </c>
      <c r="C4722" s="83">
        <v>19435650126</v>
      </c>
      <c r="D4722" t="s">
        <v>4033</v>
      </c>
      <c r="E4722">
        <v>59229770590</v>
      </c>
      <c r="F4722">
        <v>536575</v>
      </c>
      <c r="G4722">
        <v>54340758561</v>
      </c>
      <c r="H4722" t="s">
        <v>35</v>
      </c>
      <c r="I4722" s="36">
        <v>2874</v>
      </c>
      <c r="J4722" s="36">
        <v>2874</v>
      </c>
      <c r="K4722" s="85">
        <v>0</v>
      </c>
      <c r="L4722" s="36">
        <v>239.5</v>
      </c>
      <c r="M4722" s="36">
        <v>0</v>
      </c>
      <c r="N4722" s="36">
        <v>35.159999999999997</v>
      </c>
      <c r="O4722" s="36">
        <v>204.34</v>
      </c>
      <c r="P4722" t="s">
        <v>165</v>
      </c>
      <c r="Q4722" t="s">
        <v>166</v>
      </c>
      <c r="R4722" t="s">
        <v>166</v>
      </c>
      <c r="S4722" s="112">
        <v>46169</v>
      </c>
      <c r="T4722" s="112">
        <v>46169</v>
      </c>
      <c r="U4722" s="112">
        <v>46173</v>
      </c>
      <c r="V4722" s="112">
        <v>46538</v>
      </c>
      <c r="W4722" t="s">
        <v>38</v>
      </c>
      <c r="X4722">
        <v>12</v>
      </c>
      <c r="Y4722" t="s">
        <v>49</v>
      </c>
      <c r="Z4722" t="s">
        <v>81</v>
      </c>
      <c r="AA4722" t="s">
        <v>112</v>
      </c>
      <c r="AB4722">
        <v>12</v>
      </c>
      <c r="AC4722" t="s">
        <v>166</v>
      </c>
      <c r="AD4722" t="s">
        <v>118</v>
      </c>
      <c r="AE4722" t="s">
        <v>43</v>
      </c>
      <c r="AF4722" t="s">
        <v>119</v>
      </c>
      <c r="AG4722" t="str">
        <f t="shared" si="109"/>
        <v>CC 12x</v>
      </c>
      <c r="AH4722" t="str">
        <f t="shared" si="110"/>
        <v/>
      </c>
    </row>
    <row r="4723" spans="1:34">
      <c r="A4723">
        <v>2026</v>
      </c>
      <c r="B4723">
        <v>5</v>
      </c>
      <c r="C4723" s="83">
        <v>19435709200</v>
      </c>
      <c r="D4723" t="s">
        <v>4034</v>
      </c>
      <c r="E4723">
        <v>60336577163</v>
      </c>
      <c r="F4723">
        <v>637851</v>
      </c>
      <c r="G4723">
        <v>55334449995</v>
      </c>
      <c r="H4723" t="s">
        <v>35</v>
      </c>
      <c r="I4723" s="36">
        <v>2874</v>
      </c>
      <c r="J4723" s="36">
        <v>2874</v>
      </c>
      <c r="K4723" s="85">
        <v>0</v>
      </c>
      <c r="L4723" s="36">
        <v>239.5</v>
      </c>
      <c r="M4723" s="36">
        <v>239.5</v>
      </c>
      <c r="N4723" s="36">
        <v>0</v>
      </c>
      <c r="O4723" s="36">
        <v>0</v>
      </c>
      <c r="Q4723" t="s">
        <v>498</v>
      </c>
      <c r="R4723" t="s">
        <v>498</v>
      </c>
      <c r="S4723" s="112">
        <v>46161</v>
      </c>
      <c r="T4723" s="112">
        <v>46161</v>
      </c>
      <c r="U4723" s="112"/>
      <c r="V4723" s="112">
        <v>46526</v>
      </c>
      <c r="W4723" t="s">
        <v>38</v>
      </c>
      <c r="X4723">
        <v>12</v>
      </c>
      <c r="Y4723" t="s">
        <v>49</v>
      </c>
      <c r="AA4723" t="s">
        <v>122</v>
      </c>
      <c r="AB4723">
        <v>12</v>
      </c>
      <c r="AC4723" t="s">
        <v>499</v>
      </c>
      <c r="AD4723" t="s">
        <v>118</v>
      </c>
      <c r="AE4723" t="s">
        <v>43</v>
      </c>
      <c r="AF4723" t="s">
        <v>119</v>
      </c>
      <c r="AG4723" t="str">
        <f t="shared" si="109"/>
        <v>Recorrente</v>
      </c>
      <c r="AH4723" t="str">
        <f t="shared" si="110"/>
        <v/>
      </c>
    </row>
    <row r="4724" spans="1:34">
      <c r="A4724">
        <v>2026</v>
      </c>
      <c r="B4724">
        <v>5</v>
      </c>
      <c r="C4724" s="83">
        <v>19485530629</v>
      </c>
      <c r="D4724" t="s">
        <v>394</v>
      </c>
      <c r="E4724">
        <v>58261057626</v>
      </c>
      <c r="F4724">
        <v>314256</v>
      </c>
      <c r="G4724">
        <v>53476741459</v>
      </c>
      <c r="H4724" t="s">
        <v>35</v>
      </c>
      <c r="I4724" s="36">
        <v>2874</v>
      </c>
      <c r="J4724" s="36">
        <v>2874</v>
      </c>
      <c r="K4724" s="85">
        <v>0</v>
      </c>
      <c r="L4724" s="36">
        <v>239.5</v>
      </c>
      <c r="M4724" s="36">
        <v>0</v>
      </c>
      <c r="N4724" s="36">
        <v>36.35</v>
      </c>
      <c r="O4724" s="36">
        <v>203.15</v>
      </c>
      <c r="P4724" t="s">
        <v>165</v>
      </c>
      <c r="Q4724" t="s">
        <v>166</v>
      </c>
      <c r="R4724" t="s">
        <v>166</v>
      </c>
      <c r="S4724" s="112">
        <v>46150</v>
      </c>
      <c r="T4724" s="112">
        <v>46150</v>
      </c>
      <c r="U4724" s="112">
        <v>46150</v>
      </c>
      <c r="V4724" s="112">
        <v>46515</v>
      </c>
      <c r="W4724" t="s">
        <v>38</v>
      </c>
      <c r="X4724">
        <v>12</v>
      </c>
      <c r="Y4724" t="s">
        <v>49</v>
      </c>
      <c r="Z4724" t="s">
        <v>81</v>
      </c>
      <c r="AA4724" t="s">
        <v>122</v>
      </c>
      <c r="AB4724">
        <v>12</v>
      </c>
      <c r="AC4724" t="s">
        <v>166</v>
      </c>
      <c r="AD4724" t="s">
        <v>118</v>
      </c>
      <c r="AE4724" t="s">
        <v>43</v>
      </c>
      <c r="AF4724" t="s">
        <v>119</v>
      </c>
      <c r="AG4724" t="str">
        <f t="shared" si="109"/>
        <v>Recorrente</v>
      </c>
      <c r="AH4724" t="str">
        <f t="shared" si="110"/>
        <v/>
      </c>
    </row>
    <row r="4725" spans="1:34">
      <c r="A4725">
        <v>2026</v>
      </c>
      <c r="B4725">
        <v>5</v>
      </c>
      <c r="C4725" s="83">
        <v>19485546540</v>
      </c>
      <c r="D4725" t="s">
        <v>4035</v>
      </c>
      <c r="E4725">
        <v>58335181883</v>
      </c>
      <c r="F4725">
        <v>629481</v>
      </c>
      <c r="G4725">
        <v>53528549001</v>
      </c>
      <c r="H4725" t="s">
        <v>35</v>
      </c>
      <c r="I4725" s="36">
        <v>2874</v>
      </c>
      <c r="J4725" s="36">
        <v>2874</v>
      </c>
      <c r="K4725" s="85">
        <v>0</v>
      </c>
      <c r="L4725" s="36">
        <v>239.5</v>
      </c>
      <c r="M4725" s="36">
        <v>0</v>
      </c>
      <c r="N4725" s="36">
        <v>24.4</v>
      </c>
      <c r="O4725" s="36">
        <v>215.1</v>
      </c>
      <c r="P4725" t="s">
        <v>165</v>
      </c>
      <c r="Q4725" t="s">
        <v>166</v>
      </c>
      <c r="R4725" t="s">
        <v>166</v>
      </c>
      <c r="S4725" s="112">
        <v>46151</v>
      </c>
      <c r="T4725" s="112">
        <v>46151</v>
      </c>
      <c r="U4725" s="112">
        <v>46151</v>
      </c>
      <c r="V4725" s="112">
        <v>46516</v>
      </c>
      <c r="W4725" t="s">
        <v>38</v>
      </c>
      <c r="X4725">
        <v>12</v>
      </c>
      <c r="Y4725" t="s">
        <v>49</v>
      </c>
      <c r="Z4725" t="s">
        <v>81</v>
      </c>
      <c r="AA4725" t="s">
        <v>112</v>
      </c>
      <c r="AB4725">
        <v>12</v>
      </c>
      <c r="AC4725" t="s">
        <v>166</v>
      </c>
      <c r="AD4725" t="s">
        <v>118</v>
      </c>
      <c r="AE4725" t="s">
        <v>43</v>
      </c>
      <c r="AF4725" t="s">
        <v>119</v>
      </c>
      <c r="AG4725" t="str">
        <f t="shared" si="109"/>
        <v>CC 12x</v>
      </c>
      <c r="AH4725" t="str">
        <f t="shared" si="110"/>
        <v/>
      </c>
    </row>
    <row r="4726" spans="1:34">
      <c r="A4726">
        <v>2026</v>
      </c>
      <c r="B4726">
        <v>5</v>
      </c>
      <c r="C4726" s="83">
        <v>19485975099</v>
      </c>
      <c r="D4726" t="s">
        <v>3725</v>
      </c>
      <c r="E4726">
        <v>60072710971</v>
      </c>
      <c r="F4726">
        <v>637849</v>
      </c>
      <c r="G4726">
        <v>55335120224</v>
      </c>
      <c r="H4726" t="s">
        <v>35</v>
      </c>
      <c r="I4726" s="36">
        <v>2874</v>
      </c>
      <c r="J4726" s="36">
        <v>2874</v>
      </c>
      <c r="K4726" s="85">
        <v>0</v>
      </c>
      <c r="L4726" s="36">
        <v>239.5</v>
      </c>
      <c r="M4726" s="36">
        <v>239.5</v>
      </c>
      <c r="N4726" s="36">
        <v>0</v>
      </c>
      <c r="O4726" s="36">
        <v>0</v>
      </c>
      <c r="P4726" t="s">
        <v>313</v>
      </c>
      <c r="Q4726" t="s">
        <v>191</v>
      </c>
      <c r="R4726" t="s">
        <v>349</v>
      </c>
      <c r="S4726" s="112">
        <v>46161</v>
      </c>
      <c r="T4726" s="112">
        <v>46161</v>
      </c>
      <c r="U4726" s="112"/>
      <c r="V4726" s="112">
        <v>46527</v>
      </c>
      <c r="W4726" t="s">
        <v>38</v>
      </c>
      <c r="X4726">
        <v>12</v>
      </c>
      <c r="Y4726" t="s">
        <v>49</v>
      </c>
      <c r="AA4726" t="s">
        <v>112</v>
      </c>
      <c r="AB4726">
        <v>12</v>
      </c>
      <c r="AC4726" t="s">
        <v>350</v>
      </c>
      <c r="AD4726" t="s">
        <v>118</v>
      </c>
      <c r="AE4726" t="s">
        <v>43</v>
      </c>
      <c r="AF4726" t="s">
        <v>119</v>
      </c>
      <c r="AG4726" t="str">
        <f t="shared" ref="AG4726:AG4789" si="111">IF(IFERROR(SEARCH("Recorrente",AA4726),0)&gt;0,"Recorrente",IF(AB4726=1,"À Vista",IF(AB4726&lt;=3,"CC 3x",IF(AB4726&lt;=12,"CC 12x",IF(AB4726&gt;12,"Recorrente","")))))</f>
        <v>CC 12x</v>
      </c>
      <c r="AH4726" t="str">
        <f t="shared" ref="AH4726:AH4789" si="112">IF(AND(SUMIF(E:E,E4726,I:I)&gt;=400000,Q4726="B2G"),"n","")</f>
        <v/>
      </c>
    </row>
    <row r="4727" spans="1:34">
      <c r="A4727">
        <v>2026</v>
      </c>
      <c r="B4727">
        <v>5</v>
      </c>
      <c r="C4727" s="83">
        <v>19486010759</v>
      </c>
      <c r="D4727" t="s">
        <v>1232</v>
      </c>
      <c r="E4727">
        <v>58960780638</v>
      </c>
      <c r="F4727">
        <v>616032</v>
      </c>
      <c r="G4727">
        <v>54083316482</v>
      </c>
      <c r="H4727" t="s">
        <v>35</v>
      </c>
      <c r="I4727" s="36">
        <v>2874</v>
      </c>
      <c r="J4727" s="36">
        <v>2874</v>
      </c>
      <c r="K4727" s="85">
        <v>0</v>
      </c>
      <c r="L4727" s="36">
        <v>239.5</v>
      </c>
      <c r="M4727" s="36">
        <v>0</v>
      </c>
      <c r="N4727" s="36">
        <v>0.5</v>
      </c>
      <c r="O4727" s="36">
        <v>239</v>
      </c>
      <c r="P4727" t="s">
        <v>165</v>
      </c>
      <c r="Q4727" t="s">
        <v>166</v>
      </c>
      <c r="R4727" t="s">
        <v>166</v>
      </c>
      <c r="S4727" s="112">
        <v>46165</v>
      </c>
      <c r="T4727" s="112">
        <v>46165</v>
      </c>
      <c r="U4727" s="112">
        <v>46165</v>
      </c>
      <c r="V4727" s="112">
        <v>46530</v>
      </c>
      <c r="W4727" t="s">
        <v>38</v>
      </c>
      <c r="X4727">
        <v>12</v>
      </c>
      <c r="Y4727" t="s">
        <v>49</v>
      </c>
      <c r="Z4727" t="s">
        <v>81</v>
      </c>
      <c r="AA4727" t="s">
        <v>122</v>
      </c>
      <c r="AB4727">
        <v>12</v>
      </c>
      <c r="AC4727" t="s">
        <v>166</v>
      </c>
      <c r="AD4727" t="s">
        <v>118</v>
      </c>
      <c r="AE4727" t="s">
        <v>43</v>
      </c>
      <c r="AF4727" t="s">
        <v>119</v>
      </c>
      <c r="AG4727" t="str">
        <f t="shared" si="111"/>
        <v>Recorrente</v>
      </c>
      <c r="AH4727" t="str">
        <f t="shared" si="112"/>
        <v/>
      </c>
    </row>
    <row r="4728" spans="1:34">
      <c r="A4728">
        <v>2026</v>
      </c>
      <c r="B4728">
        <v>5</v>
      </c>
      <c r="C4728" s="83">
        <v>205628360856</v>
      </c>
      <c r="D4728" t="s">
        <v>4036</v>
      </c>
      <c r="E4728">
        <v>58642863997</v>
      </c>
      <c r="F4728">
        <v>629621</v>
      </c>
      <c r="G4728">
        <v>53821057331</v>
      </c>
      <c r="H4728" t="s">
        <v>35</v>
      </c>
      <c r="I4728" s="36">
        <v>2874</v>
      </c>
      <c r="J4728" s="36">
        <v>2874</v>
      </c>
      <c r="K4728" s="85">
        <v>0</v>
      </c>
      <c r="L4728" s="36">
        <v>239.5</v>
      </c>
      <c r="M4728" s="36">
        <v>0</v>
      </c>
      <c r="N4728" s="36">
        <v>41.13</v>
      </c>
      <c r="O4728" s="36">
        <v>198.37</v>
      </c>
      <c r="P4728" t="s">
        <v>165</v>
      </c>
      <c r="Q4728" t="s">
        <v>166</v>
      </c>
      <c r="R4728" t="s">
        <v>166</v>
      </c>
      <c r="S4728" s="112">
        <v>46158</v>
      </c>
      <c r="T4728" s="112">
        <v>46158</v>
      </c>
      <c r="U4728" s="112">
        <v>46158</v>
      </c>
      <c r="V4728" s="112">
        <v>46523</v>
      </c>
      <c r="W4728" t="s">
        <v>38</v>
      </c>
      <c r="X4728">
        <v>12</v>
      </c>
      <c r="Y4728" t="s">
        <v>49</v>
      </c>
      <c r="Z4728" t="s">
        <v>81</v>
      </c>
      <c r="AA4728" t="s">
        <v>112</v>
      </c>
      <c r="AB4728">
        <v>12</v>
      </c>
      <c r="AC4728" t="s">
        <v>166</v>
      </c>
      <c r="AD4728" t="s">
        <v>118</v>
      </c>
      <c r="AE4728" t="s">
        <v>43</v>
      </c>
      <c r="AF4728" t="s">
        <v>119</v>
      </c>
      <c r="AG4728" t="str">
        <f t="shared" si="111"/>
        <v>CC 12x</v>
      </c>
      <c r="AH4728" t="str">
        <f t="shared" si="112"/>
        <v/>
      </c>
    </row>
    <row r="4729" spans="1:34">
      <c r="A4729">
        <v>2026</v>
      </c>
      <c r="B4729">
        <v>5</v>
      </c>
      <c r="C4729" s="83">
        <v>2061028</v>
      </c>
      <c r="D4729" t="s">
        <v>4037</v>
      </c>
      <c r="E4729">
        <v>60546799710</v>
      </c>
      <c r="F4729">
        <v>510959</v>
      </c>
      <c r="G4729">
        <v>55583770719</v>
      </c>
      <c r="H4729" t="s">
        <v>35</v>
      </c>
      <c r="I4729" s="36">
        <v>2874</v>
      </c>
      <c r="J4729" s="36">
        <v>2874</v>
      </c>
      <c r="K4729" s="85">
        <v>0</v>
      </c>
      <c r="L4729" s="36">
        <v>239.5</v>
      </c>
      <c r="M4729" s="36">
        <v>0</v>
      </c>
      <c r="N4729" s="36">
        <v>36.35</v>
      </c>
      <c r="O4729" s="36">
        <v>203.15</v>
      </c>
      <c r="P4729" t="s">
        <v>110</v>
      </c>
      <c r="Q4729" t="s">
        <v>111</v>
      </c>
      <c r="R4729" t="s">
        <v>111</v>
      </c>
      <c r="S4729" s="112">
        <v>46164</v>
      </c>
      <c r="T4729" s="112">
        <v>46164</v>
      </c>
      <c r="U4729" s="112">
        <v>46163</v>
      </c>
      <c r="V4729" s="112">
        <v>46529</v>
      </c>
      <c r="W4729" t="s">
        <v>38</v>
      </c>
      <c r="X4729">
        <v>12</v>
      </c>
      <c r="Y4729" t="s">
        <v>49</v>
      </c>
      <c r="Z4729" t="s">
        <v>81</v>
      </c>
      <c r="AA4729" t="s">
        <v>122</v>
      </c>
      <c r="AB4729">
        <v>12</v>
      </c>
      <c r="AC4729" t="s">
        <v>113</v>
      </c>
      <c r="AD4729" t="s">
        <v>118</v>
      </c>
      <c r="AE4729" t="s">
        <v>43</v>
      </c>
      <c r="AF4729" t="s">
        <v>119</v>
      </c>
      <c r="AG4729" t="str">
        <f t="shared" si="111"/>
        <v>Recorrente</v>
      </c>
      <c r="AH4729" t="str">
        <f t="shared" si="112"/>
        <v/>
      </c>
    </row>
    <row r="4730" spans="1:34">
      <c r="A4730">
        <v>2026</v>
      </c>
      <c r="B4730">
        <v>5</v>
      </c>
      <c r="C4730" s="83">
        <v>2067412</v>
      </c>
      <c r="D4730" t="s">
        <v>4038</v>
      </c>
      <c r="E4730">
        <v>58601659919</v>
      </c>
      <c r="F4730">
        <v>615408</v>
      </c>
      <c r="G4730">
        <v>53792483926</v>
      </c>
      <c r="H4730" t="s">
        <v>35</v>
      </c>
      <c r="I4730" s="36">
        <v>2874</v>
      </c>
      <c r="J4730" s="36">
        <v>2874</v>
      </c>
      <c r="K4730" s="85">
        <v>0</v>
      </c>
      <c r="L4730" s="36">
        <v>239.5</v>
      </c>
      <c r="M4730" s="36">
        <v>0</v>
      </c>
      <c r="N4730" s="36">
        <v>0.5</v>
      </c>
      <c r="O4730" s="36">
        <v>239</v>
      </c>
      <c r="P4730" t="s">
        <v>165</v>
      </c>
      <c r="Q4730" t="s">
        <v>166</v>
      </c>
      <c r="R4730" t="s">
        <v>166</v>
      </c>
      <c r="S4730" s="112">
        <v>46157</v>
      </c>
      <c r="T4730" s="112">
        <v>46157</v>
      </c>
      <c r="U4730" s="112">
        <v>46157</v>
      </c>
      <c r="V4730" s="112">
        <v>46522</v>
      </c>
      <c r="W4730" t="s">
        <v>38</v>
      </c>
      <c r="X4730">
        <v>12</v>
      </c>
      <c r="Y4730" t="s">
        <v>49</v>
      </c>
      <c r="Z4730" t="s">
        <v>81</v>
      </c>
      <c r="AA4730" t="s">
        <v>122</v>
      </c>
      <c r="AB4730">
        <v>12</v>
      </c>
      <c r="AC4730" t="s">
        <v>166</v>
      </c>
      <c r="AD4730" t="s">
        <v>140</v>
      </c>
      <c r="AE4730" t="s">
        <v>46</v>
      </c>
      <c r="AF4730" t="s">
        <v>119</v>
      </c>
      <c r="AG4730" t="str">
        <f t="shared" si="111"/>
        <v>Recorrente</v>
      </c>
      <c r="AH4730" t="str">
        <f t="shared" si="112"/>
        <v/>
      </c>
    </row>
    <row r="4731" spans="1:34">
      <c r="A4731">
        <v>2026</v>
      </c>
      <c r="B4731">
        <v>5</v>
      </c>
      <c r="C4731" s="83">
        <v>2071496</v>
      </c>
      <c r="D4731" t="s">
        <v>4039</v>
      </c>
      <c r="E4731">
        <v>60075399560</v>
      </c>
      <c r="F4731">
        <v>637632</v>
      </c>
      <c r="G4731">
        <v>55093137710</v>
      </c>
      <c r="H4731" t="s">
        <v>35</v>
      </c>
      <c r="I4731" s="36">
        <v>2874</v>
      </c>
      <c r="J4731" s="36">
        <v>0</v>
      </c>
      <c r="K4731" s="85">
        <v>2874</v>
      </c>
      <c r="L4731" s="36">
        <v>0</v>
      </c>
      <c r="M4731" s="36">
        <v>0</v>
      </c>
      <c r="N4731" s="36">
        <v>0</v>
      </c>
      <c r="O4731" s="36">
        <v>0</v>
      </c>
      <c r="P4731" t="s">
        <v>506</v>
      </c>
      <c r="Q4731" t="s">
        <v>300</v>
      </c>
      <c r="R4731" t="s">
        <v>300</v>
      </c>
      <c r="S4731" s="112">
        <v>46149</v>
      </c>
      <c r="T4731" s="112">
        <v>46149</v>
      </c>
      <c r="U4731" s="112"/>
      <c r="V4731" s="112">
        <v>46514</v>
      </c>
      <c r="W4731" t="s">
        <v>38</v>
      </c>
      <c r="Y4731" t="s">
        <v>49</v>
      </c>
      <c r="AA4731" t="s">
        <v>122</v>
      </c>
      <c r="AB4731">
        <v>12</v>
      </c>
      <c r="AC4731" t="s">
        <v>301</v>
      </c>
      <c r="AD4731" t="s">
        <v>118</v>
      </c>
      <c r="AE4731" t="s">
        <v>43</v>
      </c>
      <c r="AF4731" t="s">
        <v>119</v>
      </c>
      <c r="AG4731" t="str">
        <f t="shared" si="111"/>
        <v>Recorrente</v>
      </c>
      <c r="AH4731" t="str">
        <f t="shared" si="112"/>
        <v/>
      </c>
    </row>
    <row r="4732" spans="1:34">
      <c r="A4732">
        <v>2026</v>
      </c>
      <c r="B4732">
        <v>5</v>
      </c>
      <c r="C4732" s="83">
        <v>2072584</v>
      </c>
      <c r="D4732" t="s">
        <v>3075</v>
      </c>
      <c r="E4732">
        <v>58669647158</v>
      </c>
      <c r="F4732">
        <v>315252</v>
      </c>
      <c r="G4732">
        <v>53824429427</v>
      </c>
      <c r="H4732" t="s">
        <v>35</v>
      </c>
      <c r="I4732" s="36">
        <v>2874</v>
      </c>
      <c r="J4732" s="36">
        <v>2874</v>
      </c>
      <c r="K4732" s="85">
        <v>0</v>
      </c>
      <c r="L4732" s="36">
        <v>239.5</v>
      </c>
      <c r="M4732" s="36">
        <v>0</v>
      </c>
      <c r="N4732" s="36">
        <v>36.35</v>
      </c>
      <c r="O4732" s="36">
        <v>203.15</v>
      </c>
      <c r="P4732" t="s">
        <v>165</v>
      </c>
      <c r="Q4732" t="s">
        <v>166</v>
      </c>
      <c r="R4732" t="s">
        <v>166</v>
      </c>
      <c r="S4732" s="112">
        <v>46159</v>
      </c>
      <c r="T4732" s="112">
        <v>46159</v>
      </c>
      <c r="U4732" s="112">
        <v>46159</v>
      </c>
      <c r="V4732" s="112">
        <v>46524</v>
      </c>
      <c r="W4732" t="s">
        <v>38</v>
      </c>
      <c r="X4732">
        <v>12</v>
      </c>
      <c r="Y4732" t="s">
        <v>49</v>
      </c>
      <c r="Z4732" t="s">
        <v>81</v>
      </c>
      <c r="AA4732" t="s">
        <v>112</v>
      </c>
      <c r="AB4732">
        <v>12</v>
      </c>
      <c r="AC4732" t="s">
        <v>166</v>
      </c>
      <c r="AD4732" t="s">
        <v>118</v>
      </c>
      <c r="AE4732" t="s">
        <v>43</v>
      </c>
      <c r="AF4732" t="s">
        <v>119</v>
      </c>
      <c r="AG4732" t="str">
        <f t="shared" si="111"/>
        <v>CC 12x</v>
      </c>
      <c r="AH4732" t="str">
        <f t="shared" si="112"/>
        <v/>
      </c>
    </row>
    <row r="4733" spans="1:34">
      <c r="A4733">
        <v>2026</v>
      </c>
      <c r="B4733">
        <v>5</v>
      </c>
      <c r="C4733" s="83">
        <v>2073991</v>
      </c>
      <c r="D4733" t="s">
        <v>4040</v>
      </c>
      <c r="E4733">
        <v>58180571295</v>
      </c>
      <c r="F4733">
        <v>534171</v>
      </c>
      <c r="G4733">
        <v>53371191459</v>
      </c>
      <c r="H4733" t="s">
        <v>35</v>
      </c>
      <c r="I4733" s="36">
        <v>2874</v>
      </c>
      <c r="J4733" s="36">
        <v>2874</v>
      </c>
      <c r="K4733" s="85">
        <v>0</v>
      </c>
      <c r="L4733" s="36">
        <v>239.5</v>
      </c>
      <c r="M4733" s="36">
        <v>0</v>
      </c>
      <c r="N4733" s="36">
        <v>0.5</v>
      </c>
      <c r="O4733" s="36">
        <v>239</v>
      </c>
      <c r="P4733" t="s">
        <v>165</v>
      </c>
      <c r="Q4733" t="s">
        <v>166</v>
      </c>
      <c r="R4733" t="s">
        <v>166</v>
      </c>
      <c r="S4733" s="112">
        <v>46145</v>
      </c>
      <c r="T4733" s="112">
        <v>46145</v>
      </c>
      <c r="U4733" s="112">
        <v>46145</v>
      </c>
      <c r="V4733" s="112">
        <v>46510</v>
      </c>
      <c r="W4733" t="s">
        <v>38</v>
      </c>
      <c r="X4733">
        <v>12</v>
      </c>
      <c r="Y4733" t="s">
        <v>49</v>
      </c>
      <c r="Z4733" t="s">
        <v>81</v>
      </c>
      <c r="AA4733" t="s">
        <v>122</v>
      </c>
      <c r="AB4733">
        <v>12</v>
      </c>
      <c r="AC4733" t="s">
        <v>166</v>
      </c>
      <c r="AD4733" t="s">
        <v>140</v>
      </c>
      <c r="AE4733" t="s">
        <v>46</v>
      </c>
      <c r="AF4733" t="s">
        <v>119</v>
      </c>
      <c r="AG4733" t="str">
        <f t="shared" si="111"/>
        <v>Recorrente</v>
      </c>
      <c r="AH4733" t="str">
        <f t="shared" si="112"/>
        <v/>
      </c>
    </row>
    <row r="4734" spans="1:34">
      <c r="A4734">
        <v>2026</v>
      </c>
      <c r="B4734">
        <v>5</v>
      </c>
      <c r="C4734" s="83">
        <v>2080322</v>
      </c>
      <c r="D4734" t="s">
        <v>4041</v>
      </c>
      <c r="E4734">
        <v>59123058258</v>
      </c>
      <c r="F4734">
        <v>315025</v>
      </c>
      <c r="G4734">
        <v>55053866278</v>
      </c>
      <c r="H4734" t="s">
        <v>35</v>
      </c>
      <c r="I4734" s="36">
        <v>2874</v>
      </c>
      <c r="J4734" s="36">
        <v>2874</v>
      </c>
      <c r="K4734" s="85">
        <v>0</v>
      </c>
      <c r="L4734" s="36">
        <v>239.5</v>
      </c>
      <c r="M4734" s="36">
        <v>0</v>
      </c>
      <c r="N4734" s="36">
        <v>0</v>
      </c>
      <c r="O4734" s="36">
        <v>239.5</v>
      </c>
      <c r="P4734" t="s">
        <v>137</v>
      </c>
      <c r="Q4734" t="s">
        <v>111</v>
      </c>
      <c r="R4734" t="s">
        <v>111</v>
      </c>
      <c r="S4734" s="112">
        <v>46147</v>
      </c>
      <c r="T4734" s="112">
        <v>46147</v>
      </c>
      <c r="U4734" s="112">
        <v>46154</v>
      </c>
      <c r="V4734" s="112">
        <v>46512</v>
      </c>
      <c r="W4734" t="s">
        <v>38</v>
      </c>
      <c r="X4734">
        <v>12</v>
      </c>
      <c r="Y4734" t="s">
        <v>49</v>
      </c>
      <c r="Z4734" t="s">
        <v>76</v>
      </c>
      <c r="AA4734" t="s">
        <v>122</v>
      </c>
      <c r="AB4734">
        <v>12</v>
      </c>
      <c r="AC4734" t="s">
        <v>113</v>
      </c>
      <c r="AD4734" t="s">
        <v>140</v>
      </c>
      <c r="AE4734" t="s">
        <v>46</v>
      </c>
      <c r="AF4734" t="s">
        <v>119</v>
      </c>
      <c r="AG4734" t="str">
        <f t="shared" si="111"/>
        <v>Recorrente</v>
      </c>
      <c r="AH4734" t="str">
        <f t="shared" si="112"/>
        <v/>
      </c>
    </row>
    <row r="4735" spans="1:34">
      <c r="A4735">
        <v>2026</v>
      </c>
      <c r="B4735">
        <v>5</v>
      </c>
      <c r="C4735" s="83">
        <v>2082664</v>
      </c>
      <c r="D4735" t="s">
        <v>4042</v>
      </c>
      <c r="E4735">
        <v>58722438494</v>
      </c>
      <c r="F4735">
        <v>314849</v>
      </c>
      <c r="G4735">
        <v>53897475424</v>
      </c>
      <c r="H4735" t="s">
        <v>35</v>
      </c>
      <c r="I4735" s="36">
        <v>2874</v>
      </c>
      <c r="J4735" s="36">
        <v>2874</v>
      </c>
      <c r="K4735" s="85">
        <v>0</v>
      </c>
      <c r="L4735" s="36">
        <v>239.5</v>
      </c>
      <c r="M4735" s="36">
        <v>0</v>
      </c>
      <c r="N4735" s="36">
        <v>24.4</v>
      </c>
      <c r="O4735" s="36">
        <v>215.1</v>
      </c>
      <c r="P4735" t="s">
        <v>165</v>
      </c>
      <c r="Q4735" t="s">
        <v>166</v>
      </c>
      <c r="R4735" t="s">
        <v>166</v>
      </c>
      <c r="S4735" s="112">
        <v>46160</v>
      </c>
      <c r="T4735" s="112">
        <v>46160</v>
      </c>
      <c r="U4735" s="112">
        <v>46160</v>
      </c>
      <c r="V4735" s="112">
        <v>46525</v>
      </c>
      <c r="W4735" t="s">
        <v>38</v>
      </c>
      <c r="X4735">
        <v>12</v>
      </c>
      <c r="Y4735" t="s">
        <v>49</v>
      </c>
      <c r="Z4735" t="s">
        <v>81</v>
      </c>
      <c r="AA4735" t="s">
        <v>122</v>
      </c>
      <c r="AB4735">
        <v>12</v>
      </c>
      <c r="AC4735" t="s">
        <v>166</v>
      </c>
      <c r="AD4735" t="s">
        <v>140</v>
      </c>
      <c r="AE4735" t="s">
        <v>46</v>
      </c>
      <c r="AF4735" t="s">
        <v>119</v>
      </c>
      <c r="AG4735" t="str">
        <f t="shared" si="111"/>
        <v>Recorrente</v>
      </c>
      <c r="AH4735" t="str">
        <f t="shared" si="112"/>
        <v/>
      </c>
    </row>
    <row r="4736" spans="1:34">
      <c r="A4736">
        <v>2026</v>
      </c>
      <c r="B4736">
        <v>5</v>
      </c>
      <c r="C4736" s="83">
        <v>2083195</v>
      </c>
      <c r="D4736" t="s">
        <v>4043</v>
      </c>
      <c r="E4736">
        <v>59946599299</v>
      </c>
      <c r="F4736">
        <v>314097</v>
      </c>
      <c r="G4736">
        <v>55061296473</v>
      </c>
      <c r="H4736" t="s">
        <v>35</v>
      </c>
      <c r="I4736" s="36">
        <v>2874</v>
      </c>
      <c r="J4736" s="36">
        <v>2874</v>
      </c>
      <c r="K4736" s="85">
        <v>0</v>
      </c>
      <c r="L4736" s="36">
        <v>239.5</v>
      </c>
      <c r="M4736" s="36">
        <v>0</v>
      </c>
      <c r="N4736" s="36">
        <v>12.45</v>
      </c>
      <c r="O4736" s="36">
        <v>227.05</v>
      </c>
      <c r="P4736" t="s">
        <v>116</v>
      </c>
      <c r="Q4736" t="s">
        <v>111</v>
      </c>
      <c r="R4736" t="s">
        <v>111</v>
      </c>
      <c r="S4736" s="112">
        <v>46147</v>
      </c>
      <c r="T4736" s="112">
        <v>46147</v>
      </c>
      <c r="U4736" s="112">
        <v>46143</v>
      </c>
      <c r="V4736" s="112">
        <v>46512</v>
      </c>
      <c r="W4736" t="s">
        <v>38</v>
      </c>
      <c r="X4736">
        <v>12</v>
      </c>
      <c r="Y4736" t="s">
        <v>49</v>
      </c>
      <c r="Z4736" t="s">
        <v>81</v>
      </c>
      <c r="AA4736" t="s">
        <v>122</v>
      </c>
      <c r="AB4736">
        <v>12</v>
      </c>
      <c r="AC4736" t="s">
        <v>113</v>
      </c>
      <c r="AD4736" t="s">
        <v>140</v>
      </c>
      <c r="AE4736" t="s">
        <v>46</v>
      </c>
      <c r="AF4736" t="s">
        <v>119</v>
      </c>
      <c r="AG4736" t="str">
        <f t="shared" si="111"/>
        <v>Recorrente</v>
      </c>
      <c r="AH4736" t="str">
        <f t="shared" si="112"/>
        <v/>
      </c>
    </row>
    <row r="4737" spans="1:34">
      <c r="A4737">
        <v>2026</v>
      </c>
      <c r="B4737">
        <v>5</v>
      </c>
      <c r="C4737" s="83">
        <v>2083195</v>
      </c>
      <c r="D4737" t="s">
        <v>4043</v>
      </c>
      <c r="E4737">
        <v>60019231274</v>
      </c>
      <c r="F4737">
        <v>637581</v>
      </c>
      <c r="G4737">
        <v>55039081093</v>
      </c>
      <c r="H4737" t="s">
        <v>35</v>
      </c>
      <c r="I4737" s="36">
        <v>2874</v>
      </c>
      <c r="J4737" s="36">
        <v>2874</v>
      </c>
      <c r="K4737" s="85">
        <v>0</v>
      </c>
      <c r="L4737" s="36">
        <v>239.5</v>
      </c>
      <c r="M4737" s="36">
        <v>239.5</v>
      </c>
      <c r="N4737" s="36">
        <v>0</v>
      </c>
      <c r="O4737" s="36">
        <v>0</v>
      </c>
      <c r="P4737" t="s">
        <v>562</v>
      </c>
      <c r="Q4737" t="s">
        <v>498</v>
      </c>
      <c r="R4737" t="s">
        <v>498</v>
      </c>
      <c r="S4737" s="112">
        <v>46147</v>
      </c>
      <c r="T4737" s="112">
        <v>46147</v>
      </c>
      <c r="U4737" s="112"/>
      <c r="V4737" s="112">
        <v>46512</v>
      </c>
      <c r="W4737" t="s">
        <v>38</v>
      </c>
      <c r="X4737">
        <v>12</v>
      </c>
      <c r="Y4737" t="s">
        <v>49</v>
      </c>
      <c r="AA4737" t="s">
        <v>112</v>
      </c>
      <c r="AB4737">
        <v>12</v>
      </c>
      <c r="AC4737" t="s">
        <v>499</v>
      </c>
      <c r="AD4737" t="s">
        <v>140</v>
      </c>
      <c r="AE4737" t="s">
        <v>46</v>
      </c>
      <c r="AF4737" t="s">
        <v>119</v>
      </c>
      <c r="AG4737" t="str">
        <f t="shared" si="111"/>
        <v>CC 12x</v>
      </c>
      <c r="AH4737" t="str">
        <f t="shared" si="112"/>
        <v/>
      </c>
    </row>
    <row r="4738" spans="1:34">
      <c r="A4738">
        <v>2026</v>
      </c>
      <c r="B4738">
        <v>5</v>
      </c>
      <c r="C4738" s="83">
        <v>2087369</v>
      </c>
      <c r="D4738" t="s">
        <v>4044</v>
      </c>
      <c r="E4738">
        <v>58230965675</v>
      </c>
      <c r="F4738">
        <v>614846</v>
      </c>
      <c r="G4738">
        <v>53423646280</v>
      </c>
      <c r="H4738" t="s">
        <v>35</v>
      </c>
      <c r="I4738" s="36">
        <v>2874</v>
      </c>
      <c r="J4738" s="36">
        <v>2874</v>
      </c>
      <c r="K4738" s="85">
        <v>0</v>
      </c>
      <c r="L4738" s="36">
        <v>239.5</v>
      </c>
      <c r="M4738" s="36">
        <v>0</v>
      </c>
      <c r="N4738" s="36">
        <v>0.5</v>
      </c>
      <c r="O4738" s="36">
        <v>239</v>
      </c>
      <c r="P4738" t="s">
        <v>165</v>
      </c>
      <c r="Q4738" t="s">
        <v>166</v>
      </c>
      <c r="R4738" t="s">
        <v>166</v>
      </c>
      <c r="S4738" s="112">
        <v>46148</v>
      </c>
      <c r="T4738" s="112">
        <v>46148</v>
      </c>
      <c r="U4738" s="112">
        <v>46148</v>
      </c>
      <c r="V4738" s="112">
        <v>46513</v>
      </c>
      <c r="W4738" t="s">
        <v>38</v>
      </c>
      <c r="X4738">
        <v>12</v>
      </c>
      <c r="Y4738" t="s">
        <v>49</v>
      </c>
      <c r="Z4738" t="s">
        <v>81</v>
      </c>
      <c r="AA4738" t="s">
        <v>112</v>
      </c>
      <c r="AB4738">
        <v>12</v>
      </c>
      <c r="AC4738" t="s">
        <v>166</v>
      </c>
      <c r="AD4738" t="s">
        <v>140</v>
      </c>
      <c r="AE4738" t="s">
        <v>46</v>
      </c>
      <c r="AF4738" t="s">
        <v>119</v>
      </c>
      <c r="AG4738" t="str">
        <f t="shared" si="111"/>
        <v>CC 12x</v>
      </c>
      <c r="AH4738" t="str">
        <f t="shared" si="112"/>
        <v/>
      </c>
    </row>
    <row r="4739" spans="1:34">
      <c r="A4739">
        <v>2026</v>
      </c>
      <c r="B4739">
        <v>5</v>
      </c>
      <c r="C4739" s="83">
        <v>209041859123</v>
      </c>
      <c r="D4739" t="s">
        <v>4045</v>
      </c>
      <c r="E4739">
        <v>59975202146</v>
      </c>
      <c r="F4739">
        <v>637571</v>
      </c>
      <c r="G4739">
        <v>55053475358</v>
      </c>
      <c r="H4739" t="s">
        <v>35</v>
      </c>
      <c r="I4739" s="36">
        <v>2874</v>
      </c>
      <c r="J4739" s="36">
        <v>2874</v>
      </c>
      <c r="K4739" s="85">
        <v>0</v>
      </c>
      <c r="L4739" s="36">
        <v>239.5</v>
      </c>
      <c r="M4739" s="36">
        <v>239.5</v>
      </c>
      <c r="N4739" s="36">
        <v>0</v>
      </c>
      <c r="O4739" s="36">
        <v>0</v>
      </c>
      <c r="P4739" t="s">
        <v>2004</v>
      </c>
      <c r="Q4739" t="s">
        <v>300</v>
      </c>
      <c r="R4739" t="s">
        <v>300</v>
      </c>
      <c r="S4739" s="112">
        <v>46147</v>
      </c>
      <c r="T4739" s="112">
        <v>46147</v>
      </c>
      <c r="U4739" s="112"/>
      <c r="V4739" s="112">
        <v>46512</v>
      </c>
      <c r="W4739" t="s">
        <v>38</v>
      </c>
      <c r="X4739">
        <v>12</v>
      </c>
      <c r="Y4739" t="s">
        <v>49</v>
      </c>
      <c r="AA4739" t="s">
        <v>122</v>
      </c>
      <c r="AB4739">
        <v>12</v>
      </c>
      <c r="AC4739" t="s">
        <v>301</v>
      </c>
      <c r="AD4739" t="s">
        <v>118</v>
      </c>
      <c r="AE4739" t="s">
        <v>43</v>
      </c>
      <c r="AF4739" t="s">
        <v>119</v>
      </c>
      <c r="AG4739" t="str">
        <f t="shared" si="111"/>
        <v>Recorrente</v>
      </c>
      <c r="AH4739" t="str">
        <f t="shared" si="112"/>
        <v/>
      </c>
    </row>
    <row r="4740" spans="1:34">
      <c r="A4740">
        <v>2026</v>
      </c>
      <c r="B4740">
        <v>5</v>
      </c>
      <c r="C4740" s="83">
        <v>2092448</v>
      </c>
      <c r="D4740" t="s">
        <v>4046</v>
      </c>
      <c r="E4740">
        <v>58166773050</v>
      </c>
      <c r="F4740">
        <v>534145</v>
      </c>
      <c r="G4740">
        <v>53385088842</v>
      </c>
      <c r="H4740" t="s">
        <v>35</v>
      </c>
      <c r="I4740" s="36">
        <v>2874</v>
      </c>
      <c r="J4740" s="36">
        <v>2874</v>
      </c>
      <c r="K4740" s="85">
        <v>0</v>
      </c>
      <c r="L4740" s="36">
        <v>239.5</v>
      </c>
      <c r="M4740" s="36">
        <v>0</v>
      </c>
      <c r="N4740" s="36">
        <v>12.45</v>
      </c>
      <c r="O4740" s="36">
        <v>227.05</v>
      </c>
      <c r="P4740" t="s">
        <v>165</v>
      </c>
      <c r="Q4740" t="s">
        <v>166</v>
      </c>
      <c r="R4740" t="s">
        <v>166</v>
      </c>
      <c r="S4740" s="112">
        <v>46146</v>
      </c>
      <c r="T4740" s="112">
        <v>46146</v>
      </c>
      <c r="U4740" s="112">
        <v>46146</v>
      </c>
      <c r="V4740" s="112">
        <v>46511</v>
      </c>
      <c r="W4740" t="s">
        <v>38</v>
      </c>
      <c r="X4740">
        <v>12</v>
      </c>
      <c r="Y4740" t="s">
        <v>49</v>
      </c>
      <c r="Z4740" t="s">
        <v>81</v>
      </c>
      <c r="AA4740" t="s">
        <v>122</v>
      </c>
      <c r="AB4740">
        <v>12</v>
      </c>
      <c r="AC4740" t="s">
        <v>166</v>
      </c>
      <c r="AD4740" t="s">
        <v>140</v>
      </c>
      <c r="AE4740" t="s">
        <v>46</v>
      </c>
      <c r="AF4740" t="s">
        <v>119</v>
      </c>
      <c r="AG4740" t="str">
        <f t="shared" si="111"/>
        <v>Recorrente</v>
      </c>
      <c r="AH4740" t="str">
        <f t="shared" si="112"/>
        <v/>
      </c>
    </row>
    <row r="4741" spans="1:34">
      <c r="A4741">
        <v>2026</v>
      </c>
      <c r="B4741">
        <v>5</v>
      </c>
      <c r="C4741" s="83">
        <v>20945328528</v>
      </c>
      <c r="D4741" t="s">
        <v>4047</v>
      </c>
      <c r="E4741">
        <v>60249650517</v>
      </c>
      <c r="F4741">
        <v>616192</v>
      </c>
      <c r="G4741">
        <v>55407992844</v>
      </c>
      <c r="H4741" t="s">
        <v>35</v>
      </c>
      <c r="I4741" s="36">
        <v>2874</v>
      </c>
      <c r="J4741" s="36">
        <v>2874</v>
      </c>
      <c r="K4741" s="85">
        <v>0</v>
      </c>
      <c r="L4741" s="36">
        <v>239.5</v>
      </c>
      <c r="M4741" s="36">
        <v>0</v>
      </c>
      <c r="N4741" s="36">
        <v>0</v>
      </c>
      <c r="O4741" s="36">
        <v>239.5</v>
      </c>
      <c r="P4741" t="s">
        <v>110</v>
      </c>
      <c r="Q4741" t="s">
        <v>111</v>
      </c>
      <c r="R4741" t="s">
        <v>111</v>
      </c>
      <c r="S4741" s="112">
        <v>46162</v>
      </c>
      <c r="T4741" s="112">
        <v>46162</v>
      </c>
      <c r="U4741" s="112">
        <v>46171</v>
      </c>
      <c r="V4741" s="112">
        <v>46536</v>
      </c>
      <c r="W4741" t="s">
        <v>38</v>
      </c>
      <c r="X4741">
        <v>12</v>
      </c>
      <c r="Y4741" t="s">
        <v>49</v>
      </c>
      <c r="Z4741" t="s">
        <v>76</v>
      </c>
      <c r="AA4741" t="s">
        <v>122</v>
      </c>
      <c r="AB4741">
        <v>12</v>
      </c>
      <c r="AC4741" t="s">
        <v>113</v>
      </c>
      <c r="AD4741" t="s">
        <v>118</v>
      </c>
      <c r="AE4741" t="s">
        <v>43</v>
      </c>
      <c r="AF4741" t="s">
        <v>119</v>
      </c>
      <c r="AG4741" t="str">
        <f t="shared" si="111"/>
        <v>Recorrente</v>
      </c>
      <c r="AH4741" t="str">
        <f t="shared" si="112"/>
        <v/>
      </c>
    </row>
    <row r="4742" spans="1:34">
      <c r="A4742">
        <v>2026</v>
      </c>
      <c r="B4742">
        <v>5</v>
      </c>
      <c r="C4742" s="83">
        <v>20997532826</v>
      </c>
      <c r="D4742" t="s">
        <v>4048</v>
      </c>
      <c r="E4742">
        <v>59157627727</v>
      </c>
      <c r="F4742">
        <v>616146</v>
      </c>
      <c r="G4742">
        <v>54230511012</v>
      </c>
      <c r="H4742" t="s">
        <v>35</v>
      </c>
      <c r="I4742" s="36">
        <v>2874</v>
      </c>
      <c r="J4742" s="36">
        <v>2874</v>
      </c>
      <c r="K4742" s="85">
        <v>0</v>
      </c>
      <c r="L4742" s="36">
        <v>239.5</v>
      </c>
      <c r="M4742" s="36">
        <v>0</v>
      </c>
      <c r="N4742" s="36">
        <v>0.5</v>
      </c>
      <c r="O4742" s="36">
        <v>239</v>
      </c>
      <c r="P4742" t="s">
        <v>165</v>
      </c>
      <c r="Q4742" t="s">
        <v>166</v>
      </c>
      <c r="R4742" t="s">
        <v>166</v>
      </c>
      <c r="S4742" s="112">
        <v>46168</v>
      </c>
      <c r="T4742" s="112">
        <v>46168</v>
      </c>
      <c r="U4742" s="112">
        <v>46171</v>
      </c>
      <c r="V4742" s="112">
        <v>46536</v>
      </c>
      <c r="W4742" t="s">
        <v>38</v>
      </c>
      <c r="X4742">
        <v>12</v>
      </c>
      <c r="Y4742" t="s">
        <v>49</v>
      </c>
      <c r="Z4742" t="s">
        <v>81</v>
      </c>
      <c r="AA4742" t="s">
        <v>122</v>
      </c>
      <c r="AB4742">
        <v>12</v>
      </c>
      <c r="AC4742" t="s">
        <v>166</v>
      </c>
      <c r="AD4742" t="s">
        <v>140</v>
      </c>
      <c r="AE4742" t="s">
        <v>46</v>
      </c>
      <c r="AF4742" t="s">
        <v>119</v>
      </c>
      <c r="AG4742" t="str">
        <f t="shared" si="111"/>
        <v>Recorrente</v>
      </c>
      <c r="AH4742" t="str">
        <f t="shared" si="112"/>
        <v/>
      </c>
    </row>
    <row r="4743" spans="1:34">
      <c r="A4743">
        <v>2026</v>
      </c>
      <c r="B4743">
        <v>5</v>
      </c>
      <c r="C4743" s="83">
        <v>2102954</v>
      </c>
      <c r="D4743" t="s">
        <v>4049</v>
      </c>
      <c r="E4743">
        <v>60249830753</v>
      </c>
      <c r="F4743">
        <v>637782</v>
      </c>
      <c r="G4743">
        <v>55251735818</v>
      </c>
      <c r="H4743" t="s">
        <v>35</v>
      </c>
      <c r="I4743" s="36">
        <v>2874</v>
      </c>
      <c r="J4743" s="36">
        <v>2874</v>
      </c>
      <c r="K4743" s="85">
        <v>0</v>
      </c>
      <c r="L4743" s="36">
        <v>239.5</v>
      </c>
      <c r="M4743" s="36">
        <v>239.5</v>
      </c>
      <c r="N4743" s="36">
        <v>0</v>
      </c>
      <c r="O4743" s="36">
        <v>0</v>
      </c>
      <c r="Q4743" t="s">
        <v>498</v>
      </c>
      <c r="R4743" t="s">
        <v>498</v>
      </c>
      <c r="S4743" s="112">
        <v>46156</v>
      </c>
      <c r="T4743" s="112">
        <v>46156</v>
      </c>
      <c r="U4743" s="112"/>
      <c r="V4743" s="112">
        <v>46521</v>
      </c>
      <c r="W4743" t="s">
        <v>38</v>
      </c>
      <c r="X4743">
        <v>12</v>
      </c>
      <c r="Y4743" t="s">
        <v>49</v>
      </c>
      <c r="AA4743" t="s">
        <v>122</v>
      </c>
      <c r="AB4743">
        <v>12</v>
      </c>
      <c r="AC4743" t="s">
        <v>499</v>
      </c>
      <c r="AD4743" t="s">
        <v>140</v>
      </c>
      <c r="AE4743" t="s">
        <v>46</v>
      </c>
      <c r="AF4743" t="s">
        <v>119</v>
      </c>
      <c r="AG4743" t="str">
        <f t="shared" si="111"/>
        <v>Recorrente</v>
      </c>
      <c r="AH4743" t="str">
        <f t="shared" si="112"/>
        <v/>
      </c>
    </row>
    <row r="4744" spans="1:34">
      <c r="A4744">
        <v>2026</v>
      </c>
      <c r="B4744">
        <v>5</v>
      </c>
      <c r="C4744" s="83">
        <v>2110316</v>
      </c>
      <c r="D4744" t="s">
        <v>4050</v>
      </c>
      <c r="E4744">
        <v>58103561780</v>
      </c>
      <c r="F4744">
        <v>314154</v>
      </c>
      <c r="G4744">
        <v>53283122754</v>
      </c>
      <c r="H4744" t="s">
        <v>35</v>
      </c>
      <c r="I4744" s="36">
        <v>2874</v>
      </c>
      <c r="J4744" s="36">
        <v>2874</v>
      </c>
      <c r="K4744" s="85">
        <v>0</v>
      </c>
      <c r="L4744" s="36">
        <v>239.5</v>
      </c>
      <c r="M4744" s="36">
        <v>0</v>
      </c>
      <c r="N4744" s="36">
        <v>12.45</v>
      </c>
      <c r="O4744" s="36">
        <v>227.05</v>
      </c>
      <c r="P4744" t="s">
        <v>165</v>
      </c>
      <c r="Q4744" t="s">
        <v>166</v>
      </c>
      <c r="R4744" t="s">
        <v>166</v>
      </c>
      <c r="S4744" s="112">
        <v>46144</v>
      </c>
      <c r="T4744" s="112">
        <v>46144</v>
      </c>
      <c r="U4744" s="112">
        <v>46144</v>
      </c>
      <c r="V4744" s="112">
        <v>46509</v>
      </c>
      <c r="W4744" t="s">
        <v>38</v>
      </c>
      <c r="X4744">
        <v>12</v>
      </c>
      <c r="Y4744" t="s">
        <v>49</v>
      </c>
      <c r="Z4744" t="s">
        <v>81</v>
      </c>
      <c r="AA4744" t="s">
        <v>122</v>
      </c>
      <c r="AB4744">
        <v>12</v>
      </c>
      <c r="AC4744" t="s">
        <v>166</v>
      </c>
      <c r="AD4744" t="s">
        <v>140</v>
      </c>
      <c r="AE4744" t="s">
        <v>46</v>
      </c>
      <c r="AF4744" t="s">
        <v>119</v>
      </c>
      <c r="AG4744" t="str">
        <f t="shared" si="111"/>
        <v>Recorrente</v>
      </c>
      <c r="AH4744" t="str">
        <f t="shared" si="112"/>
        <v/>
      </c>
    </row>
    <row r="4745" spans="1:34">
      <c r="A4745">
        <v>2026</v>
      </c>
      <c r="B4745">
        <v>5</v>
      </c>
      <c r="C4745" s="83">
        <v>2110636</v>
      </c>
      <c r="D4745" t="s">
        <v>4051</v>
      </c>
      <c r="E4745">
        <v>60623223849</v>
      </c>
      <c r="F4745">
        <v>637949</v>
      </c>
      <c r="G4745">
        <v>55603832960</v>
      </c>
      <c r="H4745" t="s">
        <v>35</v>
      </c>
      <c r="I4745" s="36">
        <v>2874</v>
      </c>
      <c r="J4745" s="36">
        <v>2874</v>
      </c>
      <c r="K4745" s="85">
        <v>0</v>
      </c>
      <c r="L4745" s="36">
        <v>239.5</v>
      </c>
      <c r="M4745" s="36">
        <v>239.5</v>
      </c>
      <c r="N4745" s="36">
        <v>0</v>
      </c>
      <c r="O4745" s="36">
        <v>0</v>
      </c>
      <c r="Q4745" t="s">
        <v>498</v>
      </c>
      <c r="R4745" t="s">
        <v>498</v>
      </c>
      <c r="S4745" s="112">
        <v>46167</v>
      </c>
      <c r="T4745" s="112">
        <v>46167</v>
      </c>
      <c r="U4745" s="112"/>
      <c r="V4745" s="112">
        <v>46532</v>
      </c>
      <c r="W4745" t="s">
        <v>38</v>
      </c>
      <c r="X4745">
        <v>12</v>
      </c>
      <c r="Y4745" t="s">
        <v>49</v>
      </c>
      <c r="AA4745" t="s">
        <v>122</v>
      </c>
      <c r="AB4745">
        <v>12</v>
      </c>
      <c r="AC4745" t="s">
        <v>499</v>
      </c>
      <c r="AD4745" t="s">
        <v>118</v>
      </c>
      <c r="AE4745" t="s">
        <v>43</v>
      </c>
      <c r="AF4745" t="s">
        <v>119</v>
      </c>
      <c r="AG4745" t="str">
        <f t="shared" si="111"/>
        <v>Recorrente</v>
      </c>
      <c r="AH4745" t="str">
        <f t="shared" si="112"/>
        <v/>
      </c>
    </row>
    <row r="4746" spans="1:34">
      <c r="A4746">
        <v>2026</v>
      </c>
      <c r="B4746">
        <v>5</v>
      </c>
      <c r="C4746" s="83">
        <v>2117127</v>
      </c>
      <c r="D4746" t="s">
        <v>4052</v>
      </c>
      <c r="E4746">
        <v>59178583349</v>
      </c>
      <c r="F4746">
        <v>629973</v>
      </c>
      <c r="G4746">
        <v>54290949146</v>
      </c>
      <c r="H4746" t="s">
        <v>35</v>
      </c>
      <c r="I4746" s="36">
        <v>2874</v>
      </c>
      <c r="J4746" s="36">
        <v>2874</v>
      </c>
      <c r="K4746" s="85">
        <v>0</v>
      </c>
      <c r="L4746" s="36">
        <v>239.5</v>
      </c>
      <c r="M4746" s="36">
        <v>0</v>
      </c>
      <c r="N4746" s="36">
        <v>36.35</v>
      </c>
      <c r="O4746" s="36">
        <v>203.15</v>
      </c>
      <c r="P4746" t="s">
        <v>165</v>
      </c>
      <c r="Q4746" t="s">
        <v>166</v>
      </c>
      <c r="R4746" t="s">
        <v>166</v>
      </c>
      <c r="S4746" s="112">
        <v>46169</v>
      </c>
      <c r="T4746" s="112">
        <v>46169</v>
      </c>
      <c r="U4746" s="112">
        <v>46172</v>
      </c>
      <c r="V4746" s="112">
        <v>46537</v>
      </c>
      <c r="W4746" t="s">
        <v>38</v>
      </c>
      <c r="X4746">
        <v>12</v>
      </c>
      <c r="Y4746" t="s">
        <v>49</v>
      </c>
      <c r="Z4746" t="s">
        <v>81</v>
      </c>
      <c r="AA4746" t="s">
        <v>112</v>
      </c>
      <c r="AB4746">
        <v>12</v>
      </c>
      <c r="AC4746" t="s">
        <v>166</v>
      </c>
      <c r="AD4746" t="s">
        <v>118</v>
      </c>
      <c r="AE4746" t="s">
        <v>43</v>
      </c>
      <c r="AF4746" t="s">
        <v>119</v>
      </c>
      <c r="AG4746" t="str">
        <f t="shared" si="111"/>
        <v>CC 12x</v>
      </c>
      <c r="AH4746" t="str">
        <f t="shared" si="112"/>
        <v/>
      </c>
    </row>
    <row r="4747" spans="1:34">
      <c r="A4747">
        <v>2026</v>
      </c>
      <c r="B4747">
        <v>5</v>
      </c>
      <c r="C4747" s="83">
        <v>2133608</v>
      </c>
      <c r="D4747" t="s">
        <v>4053</v>
      </c>
      <c r="E4747">
        <v>60079081055</v>
      </c>
      <c r="F4747">
        <v>637885</v>
      </c>
      <c r="G4747">
        <v>55191231502</v>
      </c>
      <c r="H4747" t="s">
        <v>35</v>
      </c>
      <c r="I4747" s="36">
        <v>2874</v>
      </c>
      <c r="J4747" s="36">
        <v>2874</v>
      </c>
      <c r="K4747" s="85">
        <v>0</v>
      </c>
      <c r="L4747" s="36">
        <v>239.5</v>
      </c>
      <c r="M4747" s="36">
        <v>239.5</v>
      </c>
      <c r="N4747" s="36">
        <v>0</v>
      </c>
      <c r="O4747" s="36">
        <v>0</v>
      </c>
      <c r="P4747" t="s">
        <v>2004</v>
      </c>
      <c r="Q4747" t="s">
        <v>300</v>
      </c>
      <c r="R4747" t="s">
        <v>300</v>
      </c>
      <c r="S4747" s="112">
        <v>46162</v>
      </c>
      <c r="T4747" s="112">
        <v>46162</v>
      </c>
      <c r="U4747" s="112"/>
      <c r="V4747" s="112">
        <v>46527</v>
      </c>
      <c r="W4747" t="s">
        <v>38</v>
      </c>
      <c r="X4747">
        <v>12</v>
      </c>
      <c r="Y4747" t="s">
        <v>49</v>
      </c>
      <c r="AA4747" t="s">
        <v>122</v>
      </c>
      <c r="AB4747">
        <v>12</v>
      </c>
      <c r="AC4747" t="s">
        <v>301</v>
      </c>
      <c r="AD4747" t="s">
        <v>140</v>
      </c>
      <c r="AE4747" t="s">
        <v>46</v>
      </c>
      <c r="AF4747" t="s">
        <v>119</v>
      </c>
      <c r="AG4747" t="str">
        <f t="shared" si="111"/>
        <v>Recorrente</v>
      </c>
      <c r="AH4747" t="str">
        <f t="shared" si="112"/>
        <v/>
      </c>
    </row>
    <row r="4748" spans="1:34">
      <c r="A4748">
        <v>2026</v>
      </c>
      <c r="B4748">
        <v>5</v>
      </c>
      <c r="C4748" s="83">
        <v>2135831</v>
      </c>
      <c r="D4748" t="s">
        <v>4054</v>
      </c>
      <c r="E4748">
        <v>60234206064</v>
      </c>
      <c r="F4748">
        <v>637808</v>
      </c>
      <c r="G4748">
        <v>55270210465</v>
      </c>
      <c r="H4748" t="s">
        <v>35</v>
      </c>
      <c r="I4748" s="36">
        <v>2874</v>
      </c>
      <c r="J4748" s="36">
        <v>2874</v>
      </c>
      <c r="K4748" s="85">
        <v>0</v>
      </c>
      <c r="L4748" s="36">
        <v>239.5</v>
      </c>
      <c r="M4748" s="36">
        <v>239.5</v>
      </c>
      <c r="N4748" s="36">
        <v>0</v>
      </c>
      <c r="O4748" s="36">
        <v>0</v>
      </c>
      <c r="P4748" t="s">
        <v>2004</v>
      </c>
      <c r="Q4748" t="s">
        <v>300</v>
      </c>
      <c r="R4748" t="s">
        <v>300</v>
      </c>
      <c r="S4748" s="112">
        <v>46157</v>
      </c>
      <c r="T4748" s="112">
        <v>46157</v>
      </c>
      <c r="U4748" s="112"/>
      <c r="V4748" s="112">
        <v>46522</v>
      </c>
      <c r="W4748" t="s">
        <v>38</v>
      </c>
      <c r="X4748">
        <v>12</v>
      </c>
      <c r="Y4748" t="s">
        <v>49</v>
      </c>
      <c r="AA4748" t="s">
        <v>122</v>
      </c>
      <c r="AB4748">
        <v>12</v>
      </c>
      <c r="AC4748" t="s">
        <v>301</v>
      </c>
      <c r="AD4748" t="s">
        <v>140</v>
      </c>
      <c r="AE4748" t="s">
        <v>46</v>
      </c>
      <c r="AF4748" t="s">
        <v>119</v>
      </c>
      <c r="AG4748" t="str">
        <f t="shared" si="111"/>
        <v>Recorrente</v>
      </c>
      <c r="AH4748" t="str">
        <f t="shared" si="112"/>
        <v/>
      </c>
    </row>
    <row r="4749" spans="1:34">
      <c r="A4749">
        <v>2026</v>
      </c>
      <c r="B4749">
        <v>5</v>
      </c>
      <c r="C4749" s="83">
        <v>2138909</v>
      </c>
      <c r="D4749" t="s">
        <v>4055</v>
      </c>
      <c r="E4749">
        <v>60531369868</v>
      </c>
      <c r="F4749">
        <v>637928</v>
      </c>
      <c r="G4749">
        <v>55519597952</v>
      </c>
      <c r="H4749" t="s">
        <v>35</v>
      </c>
      <c r="I4749" s="36">
        <v>2874</v>
      </c>
      <c r="J4749" s="36">
        <v>2874</v>
      </c>
      <c r="K4749" s="85">
        <v>0</v>
      </c>
      <c r="L4749" s="36">
        <v>239.5</v>
      </c>
      <c r="M4749" s="36">
        <v>239.5</v>
      </c>
      <c r="N4749" s="36">
        <v>0</v>
      </c>
      <c r="O4749" s="36">
        <v>0</v>
      </c>
      <c r="P4749" t="s">
        <v>3642</v>
      </c>
      <c r="Q4749" t="s">
        <v>300</v>
      </c>
      <c r="R4749" t="s">
        <v>300</v>
      </c>
      <c r="S4749" s="112">
        <v>46164</v>
      </c>
      <c r="T4749" s="112">
        <v>46164</v>
      </c>
      <c r="U4749" s="112"/>
      <c r="V4749" s="112">
        <v>46529</v>
      </c>
      <c r="W4749" t="s">
        <v>38</v>
      </c>
      <c r="X4749">
        <v>12</v>
      </c>
      <c r="Y4749" t="s">
        <v>49</v>
      </c>
      <c r="AA4749" t="s">
        <v>112</v>
      </c>
      <c r="AB4749">
        <v>12</v>
      </c>
      <c r="AC4749" t="s">
        <v>301</v>
      </c>
      <c r="AD4749" t="s">
        <v>140</v>
      </c>
      <c r="AE4749" t="s">
        <v>46</v>
      </c>
      <c r="AF4749" t="s">
        <v>119</v>
      </c>
      <c r="AG4749" t="str">
        <f t="shared" si="111"/>
        <v>CC 12x</v>
      </c>
      <c r="AH4749" t="str">
        <f t="shared" si="112"/>
        <v/>
      </c>
    </row>
    <row r="4750" spans="1:34">
      <c r="A4750">
        <v>2026</v>
      </c>
      <c r="B4750">
        <v>5</v>
      </c>
      <c r="C4750" s="83">
        <v>214110384460</v>
      </c>
      <c r="D4750" t="s">
        <v>3746</v>
      </c>
      <c r="E4750">
        <v>60607155352</v>
      </c>
      <c r="F4750">
        <v>637942</v>
      </c>
      <c r="G4750">
        <v>55594880651</v>
      </c>
      <c r="H4750" t="s">
        <v>35</v>
      </c>
      <c r="I4750" s="36">
        <v>2874</v>
      </c>
      <c r="J4750" s="36">
        <v>2874</v>
      </c>
      <c r="K4750" s="85">
        <v>0</v>
      </c>
      <c r="L4750" s="36">
        <v>239.5</v>
      </c>
      <c r="M4750" s="36">
        <v>239.5</v>
      </c>
      <c r="N4750" s="36">
        <v>0</v>
      </c>
      <c r="O4750" s="36">
        <v>0</v>
      </c>
      <c r="Q4750" t="s">
        <v>498</v>
      </c>
      <c r="R4750" t="s">
        <v>498</v>
      </c>
      <c r="S4750" s="112">
        <v>46166</v>
      </c>
      <c r="T4750" s="112">
        <v>46166</v>
      </c>
      <c r="U4750" s="112"/>
      <c r="V4750" s="112">
        <v>46531</v>
      </c>
      <c r="W4750" t="s">
        <v>38</v>
      </c>
      <c r="X4750">
        <v>12</v>
      </c>
      <c r="Y4750" t="s">
        <v>49</v>
      </c>
      <c r="AA4750" t="s">
        <v>122</v>
      </c>
      <c r="AB4750">
        <v>12</v>
      </c>
      <c r="AC4750" t="s">
        <v>499</v>
      </c>
      <c r="AD4750" t="s">
        <v>118</v>
      </c>
      <c r="AE4750" t="s">
        <v>43</v>
      </c>
      <c r="AF4750" t="s">
        <v>119</v>
      </c>
      <c r="AG4750" t="str">
        <f t="shared" si="111"/>
        <v>Recorrente</v>
      </c>
      <c r="AH4750" t="str">
        <f t="shared" si="112"/>
        <v/>
      </c>
    </row>
    <row r="4751" spans="1:34">
      <c r="A4751">
        <v>2026</v>
      </c>
      <c r="B4751">
        <v>5</v>
      </c>
      <c r="C4751" s="83">
        <v>214425788754</v>
      </c>
      <c r="D4751" t="s">
        <v>4056</v>
      </c>
      <c r="E4751">
        <v>58211205502</v>
      </c>
      <c r="F4751">
        <v>629383</v>
      </c>
      <c r="G4751">
        <v>53410918473</v>
      </c>
      <c r="H4751" t="s">
        <v>35</v>
      </c>
      <c r="I4751" s="36">
        <v>2874</v>
      </c>
      <c r="J4751" s="36">
        <v>2874</v>
      </c>
      <c r="K4751" s="85">
        <v>0</v>
      </c>
      <c r="L4751" s="36">
        <v>239.5</v>
      </c>
      <c r="M4751" s="36">
        <v>0</v>
      </c>
      <c r="N4751" s="36">
        <v>39.5</v>
      </c>
      <c r="O4751" s="36">
        <v>200</v>
      </c>
      <c r="P4751" t="s">
        <v>165</v>
      </c>
      <c r="Q4751" t="s">
        <v>166</v>
      </c>
      <c r="R4751" t="s">
        <v>166</v>
      </c>
      <c r="S4751" s="112">
        <v>46148</v>
      </c>
      <c r="T4751" s="112">
        <v>46148</v>
      </c>
      <c r="U4751" s="112">
        <v>46148</v>
      </c>
      <c r="V4751" s="112">
        <v>46513</v>
      </c>
      <c r="W4751" t="s">
        <v>38</v>
      </c>
      <c r="X4751">
        <v>12</v>
      </c>
      <c r="Y4751" t="s">
        <v>49</v>
      </c>
      <c r="Z4751" t="s">
        <v>81</v>
      </c>
      <c r="AA4751" t="s">
        <v>112</v>
      </c>
      <c r="AB4751">
        <v>12</v>
      </c>
      <c r="AC4751" t="s">
        <v>166</v>
      </c>
      <c r="AD4751" t="s">
        <v>118</v>
      </c>
      <c r="AE4751" t="s">
        <v>43</v>
      </c>
      <c r="AF4751" t="s">
        <v>119</v>
      </c>
      <c r="AG4751" t="str">
        <f t="shared" si="111"/>
        <v>CC 12x</v>
      </c>
      <c r="AH4751" t="str">
        <f t="shared" si="112"/>
        <v/>
      </c>
    </row>
    <row r="4752" spans="1:34">
      <c r="A4752">
        <v>2026</v>
      </c>
      <c r="B4752">
        <v>5</v>
      </c>
      <c r="C4752" s="83">
        <v>214605225539</v>
      </c>
      <c r="D4752" t="s">
        <v>4057</v>
      </c>
      <c r="E4752">
        <v>60391622149</v>
      </c>
      <c r="F4752">
        <v>637866</v>
      </c>
      <c r="G4752">
        <v>55340500543</v>
      </c>
      <c r="H4752" t="s">
        <v>35</v>
      </c>
      <c r="I4752" s="36">
        <v>2874</v>
      </c>
      <c r="J4752" s="36">
        <v>2874</v>
      </c>
      <c r="K4752" s="85">
        <v>0</v>
      </c>
      <c r="L4752" s="36">
        <v>239.5</v>
      </c>
      <c r="M4752" s="36">
        <v>239.5</v>
      </c>
      <c r="N4752" s="36">
        <v>0</v>
      </c>
      <c r="O4752" s="36">
        <v>0</v>
      </c>
      <c r="P4752" t="s">
        <v>3179</v>
      </c>
      <c r="Q4752" t="s">
        <v>300</v>
      </c>
      <c r="R4752" t="s">
        <v>300</v>
      </c>
      <c r="S4752" s="112">
        <v>46161</v>
      </c>
      <c r="T4752" s="112">
        <v>46161</v>
      </c>
      <c r="U4752" s="112"/>
      <c r="V4752" s="112">
        <v>46526</v>
      </c>
      <c r="W4752" t="s">
        <v>38</v>
      </c>
      <c r="X4752">
        <v>12</v>
      </c>
      <c r="Y4752" t="s">
        <v>49</v>
      </c>
      <c r="AA4752" t="s">
        <v>112</v>
      </c>
      <c r="AB4752">
        <v>12</v>
      </c>
      <c r="AC4752" t="s">
        <v>301</v>
      </c>
      <c r="AD4752" t="s">
        <v>118</v>
      </c>
      <c r="AE4752" t="s">
        <v>43</v>
      </c>
      <c r="AF4752" t="s">
        <v>119</v>
      </c>
      <c r="AG4752" t="str">
        <f t="shared" si="111"/>
        <v>CC 12x</v>
      </c>
      <c r="AH4752" t="str">
        <f t="shared" si="112"/>
        <v/>
      </c>
    </row>
    <row r="4753" spans="1:34">
      <c r="A4753">
        <v>2026</v>
      </c>
      <c r="B4753">
        <v>5</v>
      </c>
      <c r="C4753" s="83">
        <v>214875407791</v>
      </c>
      <c r="D4753" t="s">
        <v>4058</v>
      </c>
      <c r="E4753">
        <v>60036753972</v>
      </c>
      <c r="F4753">
        <v>637569</v>
      </c>
      <c r="G4753">
        <v>55059886370</v>
      </c>
      <c r="H4753" t="s">
        <v>35</v>
      </c>
      <c r="I4753" s="36">
        <v>2874</v>
      </c>
      <c r="J4753" s="36">
        <v>2874</v>
      </c>
      <c r="K4753" s="85">
        <v>0</v>
      </c>
      <c r="L4753" s="36">
        <v>239.5</v>
      </c>
      <c r="M4753" s="36">
        <v>239.5</v>
      </c>
      <c r="N4753" s="36">
        <v>0</v>
      </c>
      <c r="O4753" s="36">
        <v>0</v>
      </c>
      <c r="P4753" t="s">
        <v>562</v>
      </c>
      <c r="Q4753" t="s">
        <v>498</v>
      </c>
      <c r="R4753" t="s">
        <v>498</v>
      </c>
      <c r="S4753" s="112">
        <v>46147</v>
      </c>
      <c r="T4753" s="112">
        <v>46147</v>
      </c>
      <c r="U4753" s="112"/>
      <c r="V4753" s="112">
        <v>46512</v>
      </c>
      <c r="W4753" t="s">
        <v>38</v>
      </c>
      <c r="X4753">
        <v>12</v>
      </c>
      <c r="Y4753" t="s">
        <v>49</v>
      </c>
      <c r="AA4753" t="s">
        <v>112</v>
      </c>
      <c r="AB4753">
        <v>12</v>
      </c>
      <c r="AC4753" t="s">
        <v>499</v>
      </c>
      <c r="AD4753" t="s">
        <v>140</v>
      </c>
      <c r="AE4753" t="s">
        <v>46</v>
      </c>
      <c r="AF4753" t="s">
        <v>119</v>
      </c>
      <c r="AG4753" t="str">
        <f t="shared" si="111"/>
        <v>CC 12x</v>
      </c>
      <c r="AH4753" t="str">
        <f t="shared" si="112"/>
        <v/>
      </c>
    </row>
    <row r="4754" spans="1:34">
      <c r="A4754">
        <v>2026</v>
      </c>
      <c r="B4754">
        <v>5</v>
      </c>
      <c r="C4754" s="83">
        <v>218170315288</v>
      </c>
      <c r="D4754" t="s">
        <v>4059</v>
      </c>
      <c r="E4754">
        <v>60011243413</v>
      </c>
      <c r="F4754">
        <v>637552</v>
      </c>
      <c r="G4754">
        <v>55042427797</v>
      </c>
      <c r="H4754" t="s">
        <v>35</v>
      </c>
      <c r="I4754" s="36">
        <v>2874</v>
      </c>
      <c r="J4754" s="36">
        <v>2874</v>
      </c>
      <c r="K4754" s="85">
        <v>0</v>
      </c>
      <c r="L4754" s="36">
        <v>239.5</v>
      </c>
      <c r="M4754" s="36">
        <v>239.5</v>
      </c>
      <c r="N4754" s="36">
        <v>0</v>
      </c>
      <c r="O4754" s="36">
        <v>0</v>
      </c>
      <c r="P4754" t="s">
        <v>2004</v>
      </c>
      <c r="Q4754" t="s">
        <v>300</v>
      </c>
      <c r="R4754" t="s">
        <v>300</v>
      </c>
      <c r="S4754" s="112">
        <v>46146</v>
      </c>
      <c r="T4754" s="112">
        <v>46146</v>
      </c>
      <c r="U4754" s="112"/>
      <c r="V4754" s="112">
        <v>46511</v>
      </c>
      <c r="W4754" t="s">
        <v>38</v>
      </c>
      <c r="X4754">
        <v>12</v>
      </c>
      <c r="Y4754" t="s">
        <v>49</v>
      </c>
      <c r="AA4754" t="s">
        <v>122</v>
      </c>
      <c r="AB4754">
        <v>12</v>
      </c>
      <c r="AC4754" t="s">
        <v>301</v>
      </c>
      <c r="AD4754" t="s">
        <v>140</v>
      </c>
      <c r="AE4754" t="s">
        <v>46</v>
      </c>
      <c r="AF4754" t="s">
        <v>119</v>
      </c>
      <c r="AG4754" t="str">
        <f t="shared" si="111"/>
        <v>Recorrente</v>
      </c>
      <c r="AH4754" t="str">
        <f t="shared" si="112"/>
        <v/>
      </c>
    </row>
    <row r="4755" spans="1:34">
      <c r="A4755">
        <v>2026</v>
      </c>
      <c r="B4755">
        <v>5</v>
      </c>
      <c r="C4755" s="83">
        <v>218473588876</v>
      </c>
      <c r="D4755" t="s">
        <v>4060</v>
      </c>
      <c r="E4755">
        <v>60056284548</v>
      </c>
      <c r="F4755">
        <v>637603</v>
      </c>
      <c r="G4755">
        <v>55076939124</v>
      </c>
      <c r="H4755" t="s">
        <v>35</v>
      </c>
      <c r="I4755" s="36">
        <v>2874</v>
      </c>
      <c r="J4755" s="36">
        <v>2874</v>
      </c>
      <c r="K4755" s="85">
        <v>0</v>
      </c>
      <c r="L4755" s="36">
        <v>239.5</v>
      </c>
      <c r="M4755" s="36">
        <v>239.5</v>
      </c>
      <c r="N4755" s="36">
        <v>0</v>
      </c>
      <c r="O4755" s="36">
        <v>0</v>
      </c>
      <c r="P4755" t="s">
        <v>497</v>
      </c>
      <c r="Q4755" t="s">
        <v>498</v>
      </c>
      <c r="R4755" t="s">
        <v>498</v>
      </c>
      <c r="S4755" s="112">
        <v>46148</v>
      </c>
      <c r="T4755" s="112">
        <v>46148</v>
      </c>
      <c r="U4755" s="112"/>
      <c r="V4755" s="112">
        <v>46513</v>
      </c>
      <c r="W4755" t="s">
        <v>38</v>
      </c>
      <c r="X4755">
        <v>12</v>
      </c>
      <c r="Y4755" t="s">
        <v>49</v>
      </c>
      <c r="AA4755" t="s">
        <v>117</v>
      </c>
      <c r="AB4755">
        <v>1</v>
      </c>
      <c r="AC4755" t="s">
        <v>499</v>
      </c>
      <c r="AD4755" t="s">
        <v>118</v>
      </c>
      <c r="AE4755" t="s">
        <v>43</v>
      </c>
      <c r="AF4755" t="s">
        <v>119</v>
      </c>
      <c r="AG4755" t="str">
        <f t="shared" si="111"/>
        <v>À Vista</v>
      </c>
      <c r="AH4755" t="str">
        <f t="shared" si="112"/>
        <v/>
      </c>
    </row>
    <row r="4756" spans="1:34">
      <c r="A4756">
        <v>2026</v>
      </c>
      <c r="B4756">
        <v>5</v>
      </c>
      <c r="C4756" s="83">
        <v>219478222440</v>
      </c>
      <c r="D4756" t="s">
        <v>4061</v>
      </c>
      <c r="E4756">
        <v>60014377258</v>
      </c>
      <c r="F4756">
        <v>637558</v>
      </c>
      <c r="G4756">
        <v>55038936959</v>
      </c>
      <c r="H4756" t="s">
        <v>35</v>
      </c>
      <c r="I4756" s="36">
        <v>2874</v>
      </c>
      <c r="J4756" s="36">
        <v>2874</v>
      </c>
      <c r="K4756" s="85">
        <v>0</v>
      </c>
      <c r="L4756" s="36">
        <v>239.5</v>
      </c>
      <c r="M4756" s="36">
        <v>239.5</v>
      </c>
      <c r="N4756" s="36">
        <v>0</v>
      </c>
      <c r="O4756" s="36">
        <v>0</v>
      </c>
      <c r="P4756" t="s">
        <v>829</v>
      </c>
      <c r="Q4756" t="s">
        <v>300</v>
      </c>
      <c r="R4756" t="s">
        <v>300</v>
      </c>
      <c r="S4756" s="112">
        <v>46147</v>
      </c>
      <c r="T4756" s="112">
        <v>46147</v>
      </c>
      <c r="V4756" s="112">
        <v>46512</v>
      </c>
      <c r="W4756" t="s">
        <v>38</v>
      </c>
      <c r="X4756">
        <v>12</v>
      </c>
      <c r="Y4756" t="s">
        <v>49</v>
      </c>
      <c r="AA4756" t="s">
        <v>112</v>
      </c>
      <c r="AB4756">
        <v>12</v>
      </c>
      <c r="AC4756" t="s">
        <v>301</v>
      </c>
      <c r="AD4756" t="s">
        <v>118</v>
      </c>
      <c r="AE4756" t="s">
        <v>43</v>
      </c>
      <c r="AF4756" t="s">
        <v>119</v>
      </c>
      <c r="AG4756" t="str">
        <f t="shared" si="111"/>
        <v>CC 12x</v>
      </c>
      <c r="AH4756" t="str">
        <f t="shared" si="112"/>
        <v/>
      </c>
    </row>
    <row r="4757" spans="1:34">
      <c r="A4757">
        <v>2026</v>
      </c>
      <c r="B4757">
        <v>5</v>
      </c>
      <c r="C4757" s="83">
        <v>219670628915</v>
      </c>
      <c r="D4757" t="s">
        <v>4062</v>
      </c>
      <c r="E4757">
        <v>60453015578</v>
      </c>
      <c r="F4757">
        <v>637890</v>
      </c>
      <c r="G4757">
        <v>55446572315</v>
      </c>
      <c r="H4757" t="s">
        <v>35</v>
      </c>
      <c r="I4757" s="36">
        <v>2874</v>
      </c>
      <c r="J4757" s="36">
        <v>2874</v>
      </c>
      <c r="K4757" s="85">
        <v>0</v>
      </c>
      <c r="L4757" s="36">
        <v>239.5</v>
      </c>
      <c r="M4757" s="36">
        <v>239.5</v>
      </c>
      <c r="N4757" s="36">
        <v>0</v>
      </c>
      <c r="O4757" s="36">
        <v>0</v>
      </c>
      <c r="Q4757" t="s">
        <v>498</v>
      </c>
      <c r="R4757" t="s">
        <v>498</v>
      </c>
      <c r="S4757" s="112">
        <v>46163</v>
      </c>
      <c r="T4757" s="112">
        <v>46163</v>
      </c>
      <c r="V4757" s="112">
        <v>46528</v>
      </c>
      <c r="W4757" t="s">
        <v>38</v>
      </c>
      <c r="X4757">
        <v>12</v>
      </c>
      <c r="Y4757" t="s">
        <v>49</v>
      </c>
      <c r="AA4757" t="s">
        <v>122</v>
      </c>
      <c r="AB4757">
        <v>12</v>
      </c>
      <c r="AC4757" t="s">
        <v>499</v>
      </c>
      <c r="AD4757" t="s">
        <v>140</v>
      </c>
      <c r="AE4757" t="s">
        <v>46</v>
      </c>
      <c r="AF4757" t="s">
        <v>119</v>
      </c>
      <c r="AG4757" t="str">
        <f t="shared" si="111"/>
        <v>Recorrente</v>
      </c>
      <c r="AH4757" t="str">
        <f t="shared" si="112"/>
        <v/>
      </c>
    </row>
    <row r="4758" spans="1:34">
      <c r="A4758">
        <v>2026</v>
      </c>
      <c r="B4758">
        <v>5</v>
      </c>
      <c r="C4758" s="83">
        <v>219814250859</v>
      </c>
      <c r="D4758" t="s">
        <v>4063</v>
      </c>
      <c r="E4758">
        <v>60532748810</v>
      </c>
      <c r="F4758">
        <v>637941</v>
      </c>
      <c r="G4758">
        <v>55540852610</v>
      </c>
      <c r="H4758" t="s">
        <v>35</v>
      </c>
      <c r="I4758" s="36">
        <v>2874</v>
      </c>
      <c r="J4758" s="36">
        <v>2874</v>
      </c>
      <c r="K4758" s="85">
        <v>0</v>
      </c>
      <c r="L4758" s="36">
        <v>239.5</v>
      </c>
      <c r="M4758" s="36">
        <v>239.5</v>
      </c>
      <c r="N4758" s="36">
        <v>0</v>
      </c>
      <c r="O4758" s="36">
        <v>0</v>
      </c>
      <c r="Q4758" t="s">
        <v>498</v>
      </c>
      <c r="R4758" t="s">
        <v>498</v>
      </c>
      <c r="S4758" s="112">
        <v>46165</v>
      </c>
      <c r="T4758" s="112">
        <v>46165</v>
      </c>
      <c r="U4758" s="112"/>
      <c r="V4758" s="112">
        <v>46530</v>
      </c>
      <c r="W4758" t="s">
        <v>38</v>
      </c>
      <c r="X4758">
        <v>12</v>
      </c>
      <c r="Y4758" t="s">
        <v>49</v>
      </c>
      <c r="AA4758" t="s">
        <v>122</v>
      </c>
      <c r="AB4758">
        <v>12</v>
      </c>
      <c r="AC4758" t="s">
        <v>499</v>
      </c>
      <c r="AD4758" t="s">
        <v>140</v>
      </c>
      <c r="AE4758" t="s">
        <v>46</v>
      </c>
      <c r="AF4758" t="s">
        <v>119</v>
      </c>
      <c r="AG4758" t="str">
        <f t="shared" si="111"/>
        <v>Recorrente</v>
      </c>
      <c r="AH4758" t="str">
        <f t="shared" si="112"/>
        <v/>
      </c>
    </row>
    <row r="4759" spans="1:34">
      <c r="A4759">
        <v>2026</v>
      </c>
      <c r="B4759">
        <v>5</v>
      </c>
      <c r="C4759" s="83">
        <v>219855083952</v>
      </c>
      <c r="D4759" t="s">
        <v>4064</v>
      </c>
      <c r="E4759">
        <v>60040496040</v>
      </c>
      <c r="F4759">
        <v>637608</v>
      </c>
      <c r="G4759">
        <v>55076473170</v>
      </c>
      <c r="H4759" t="s">
        <v>35</v>
      </c>
      <c r="I4759" s="36">
        <v>2874</v>
      </c>
      <c r="J4759" s="36">
        <v>2874</v>
      </c>
      <c r="K4759" s="85">
        <v>0</v>
      </c>
      <c r="L4759" s="36">
        <v>239.5</v>
      </c>
      <c r="M4759" s="36">
        <v>239.5</v>
      </c>
      <c r="N4759" s="36">
        <v>0</v>
      </c>
      <c r="O4759" s="36">
        <v>0</v>
      </c>
      <c r="P4759" t="s">
        <v>3179</v>
      </c>
      <c r="Q4759" t="s">
        <v>300</v>
      </c>
      <c r="R4759" t="s">
        <v>300</v>
      </c>
      <c r="S4759" s="112">
        <v>46148</v>
      </c>
      <c r="T4759" s="112">
        <v>46148</v>
      </c>
      <c r="U4759" s="112"/>
      <c r="V4759" s="112">
        <v>46513</v>
      </c>
      <c r="W4759" t="s">
        <v>38</v>
      </c>
      <c r="X4759">
        <v>12</v>
      </c>
      <c r="Y4759" t="s">
        <v>49</v>
      </c>
      <c r="AA4759" t="s">
        <v>122</v>
      </c>
      <c r="AB4759">
        <v>12</v>
      </c>
      <c r="AC4759" t="s">
        <v>301</v>
      </c>
      <c r="AD4759" t="s">
        <v>140</v>
      </c>
      <c r="AE4759" t="s">
        <v>46</v>
      </c>
      <c r="AF4759" t="s">
        <v>119</v>
      </c>
      <c r="AG4759" t="str">
        <f t="shared" si="111"/>
        <v>Recorrente</v>
      </c>
      <c r="AH4759" t="str">
        <f t="shared" si="112"/>
        <v/>
      </c>
    </row>
    <row r="4760" spans="1:34">
      <c r="A4760">
        <v>2026</v>
      </c>
      <c r="B4760">
        <v>5</v>
      </c>
      <c r="C4760" s="83">
        <v>219915130956</v>
      </c>
      <c r="D4760" t="s">
        <v>4065</v>
      </c>
      <c r="E4760">
        <v>60691993227</v>
      </c>
      <c r="F4760">
        <v>638048</v>
      </c>
      <c r="G4760">
        <v>55661510679</v>
      </c>
      <c r="H4760" t="s">
        <v>35</v>
      </c>
      <c r="I4760" s="36">
        <v>2874</v>
      </c>
      <c r="J4760" s="36">
        <v>2874</v>
      </c>
      <c r="K4760" s="85">
        <v>0</v>
      </c>
      <c r="L4760" s="36">
        <v>239.5</v>
      </c>
      <c r="M4760" s="36">
        <v>239.5</v>
      </c>
      <c r="N4760" s="36">
        <v>0</v>
      </c>
      <c r="O4760" s="36">
        <v>0</v>
      </c>
      <c r="P4760" t="s">
        <v>3642</v>
      </c>
      <c r="Q4760" t="s">
        <v>300</v>
      </c>
      <c r="R4760" t="s">
        <v>300</v>
      </c>
      <c r="S4760" s="112">
        <v>46170</v>
      </c>
      <c r="T4760" s="112">
        <v>46170</v>
      </c>
      <c r="U4760" s="112"/>
      <c r="V4760" s="112">
        <v>46535</v>
      </c>
      <c r="W4760" t="s">
        <v>38</v>
      </c>
      <c r="X4760">
        <v>12</v>
      </c>
      <c r="Y4760" t="s">
        <v>49</v>
      </c>
      <c r="AA4760" t="s">
        <v>122</v>
      </c>
      <c r="AB4760">
        <v>12</v>
      </c>
      <c r="AC4760" t="s">
        <v>301</v>
      </c>
      <c r="AD4760" t="s">
        <v>140</v>
      </c>
      <c r="AE4760" t="s">
        <v>46</v>
      </c>
      <c r="AF4760" t="s">
        <v>119</v>
      </c>
      <c r="AG4760" t="str">
        <f t="shared" si="111"/>
        <v>Recorrente</v>
      </c>
      <c r="AH4760" t="str">
        <f t="shared" si="112"/>
        <v/>
      </c>
    </row>
    <row r="4761" spans="1:34">
      <c r="A4761">
        <v>2026</v>
      </c>
      <c r="B4761">
        <v>5</v>
      </c>
      <c r="C4761" s="83">
        <v>220405645220</v>
      </c>
      <c r="D4761" t="s">
        <v>4066</v>
      </c>
      <c r="E4761">
        <v>60107667099</v>
      </c>
      <c r="F4761">
        <v>637656</v>
      </c>
      <c r="G4761">
        <v>55149948051</v>
      </c>
      <c r="H4761" t="s">
        <v>35</v>
      </c>
      <c r="I4761" s="36">
        <v>2874</v>
      </c>
      <c r="J4761" s="36">
        <v>2874</v>
      </c>
      <c r="K4761" s="85">
        <v>0</v>
      </c>
      <c r="L4761" s="36">
        <v>239.5</v>
      </c>
      <c r="M4761" s="36">
        <v>239.5</v>
      </c>
      <c r="N4761" s="36">
        <v>0</v>
      </c>
      <c r="O4761" s="36">
        <v>0</v>
      </c>
      <c r="Q4761" t="s">
        <v>498</v>
      </c>
      <c r="R4761" t="s">
        <v>498</v>
      </c>
      <c r="S4761" s="112">
        <v>46150</v>
      </c>
      <c r="T4761" s="112">
        <v>46150</v>
      </c>
      <c r="U4761" s="112"/>
      <c r="V4761" s="112">
        <v>46515</v>
      </c>
      <c r="W4761" t="s">
        <v>38</v>
      </c>
      <c r="X4761">
        <v>12</v>
      </c>
      <c r="Y4761" t="s">
        <v>49</v>
      </c>
      <c r="AA4761" t="s">
        <v>117</v>
      </c>
      <c r="AB4761">
        <v>1</v>
      </c>
      <c r="AC4761" t="s">
        <v>499</v>
      </c>
      <c r="AD4761" t="s">
        <v>140</v>
      </c>
      <c r="AE4761" t="s">
        <v>46</v>
      </c>
      <c r="AF4761" t="s">
        <v>119</v>
      </c>
      <c r="AG4761" t="str">
        <f t="shared" si="111"/>
        <v>À Vista</v>
      </c>
      <c r="AH4761" t="str">
        <f t="shared" si="112"/>
        <v/>
      </c>
    </row>
    <row r="4762" spans="1:34">
      <c r="A4762">
        <v>2026</v>
      </c>
      <c r="B4762">
        <v>5</v>
      </c>
      <c r="C4762" s="83">
        <v>220408692255</v>
      </c>
      <c r="D4762" t="s">
        <v>4067</v>
      </c>
      <c r="E4762">
        <v>60138237831</v>
      </c>
      <c r="F4762">
        <v>637684</v>
      </c>
      <c r="G4762">
        <v>55129142646</v>
      </c>
      <c r="H4762" t="s">
        <v>35</v>
      </c>
      <c r="I4762" s="36">
        <v>2874</v>
      </c>
      <c r="J4762" s="36">
        <v>2874</v>
      </c>
      <c r="K4762" s="85">
        <v>0</v>
      </c>
      <c r="L4762" s="36">
        <v>239.5</v>
      </c>
      <c r="M4762" s="36">
        <v>239.5</v>
      </c>
      <c r="N4762" s="36">
        <v>0</v>
      </c>
      <c r="O4762" s="36">
        <v>0</v>
      </c>
      <c r="P4762" t="s">
        <v>511</v>
      </c>
      <c r="Q4762" t="s">
        <v>300</v>
      </c>
      <c r="R4762" t="s">
        <v>300</v>
      </c>
      <c r="S4762" s="112">
        <v>46150</v>
      </c>
      <c r="T4762" s="112">
        <v>46150</v>
      </c>
      <c r="U4762" s="112"/>
      <c r="V4762" s="112">
        <v>46515</v>
      </c>
      <c r="W4762" t="s">
        <v>38</v>
      </c>
      <c r="X4762">
        <v>12</v>
      </c>
      <c r="Y4762" t="s">
        <v>49</v>
      </c>
      <c r="AA4762" t="s">
        <v>122</v>
      </c>
      <c r="AB4762">
        <v>12</v>
      </c>
      <c r="AC4762" t="s">
        <v>301</v>
      </c>
      <c r="AD4762" t="s">
        <v>118</v>
      </c>
      <c r="AE4762" t="s">
        <v>43</v>
      </c>
      <c r="AF4762" t="s">
        <v>119</v>
      </c>
      <c r="AG4762" t="str">
        <f t="shared" si="111"/>
        <v>Recorrente</v>
      </c>
      <c r="AH4762" t="str">
        <f t="shared" si="112"/>
        <v/>
      </c>
    </row>
    <row r="4763" spans="1:34">
      <c r="A4763">
        <v>2026</v>
      </c>
      <c r="B4763">
        <v>5</v>
      </c>
      <c r="C4763" s="83">
        <v>221004560914</v>
      </c>
      <c r="D4763" t="s">
        <v>4068</v>
      </c>
      <c r="E4763">
        <v>60181976205</v>
      </c>
      <c r="F4763">
        <v>637743</v>
      </c>
      <c r="G4763">
        <v>55191338377</v>
      </c>
      <c r="H4763" t="s">
        <v>35</v>
      </c>
      <c r="I4763" s="36">
        <v>2874</v>
      </c>
      <c r="J4763" s="36">
        <v>2874</v>
      </c>
      <c r="K4763" s="85">
        <v>0</v>
      </c>
      <c r="L4763" s="36">
        <v>239.5</v>
      </c>
      <c r="M4763" s="36">
        <v>239.5</v>
      </c>
      <c r="N4763" s="36">
        <v>0</v>
      </c>
      <c r="O4763" s="36">
        <v>0</v>
      </c>
      <c r="P4763" t="s">
        <v>506</v>
      </c>
      <c r="Q4763" t="s">
        <v>300</v>
      </c>
      <c r="R4763" t="s">
        <v>300</v>
      </c>
      <c r="S4763" s="112">
        <v>46154</v>
      </c>
      <c r="T4763" s="112">
        <v>46154</v>
      </c>
      <c r="U4763" s="112"/>
      <c r="V4763" s="112">
        <v>46519</v>
      </c>
      <c r="W4763" t="s">
        <v>38</v>
      </c>
      <c r="X4763">
        <v>12</v>
      </c>
      <c r="Y4763" t="s">
        <v>49</v>
      </c>
      <c r="AA4763" t="s">
        <v>122</v>
      </c>
      <c r="AB4763">
        <v>12</v>
      </c>
      <c r="AC4763" t="s">
        <v>301</v>
      </c>
      <c r="AD4763" t="s">
        <v>118</v>
      </c>
      <c r="AE4763" t="s">
        <v>43</v>
      </c>
      <c r="AF4763" t="s">
        <v>119</v>
      </c>
      <c r="AG4763" t="str">
        <f t="shared" si="111"/>
        <v>Recorrente</v>
      </c>
      <c r="AH4763" t="str">
        <f t="shared" si="112"/>
        <v/>
      </c>
    </row>
    <row r="4764" spans="1:34">
      <c r="A4764">
        <v>2026</v>
      </c>
      <c r="B4764">
        <v>5</v>
      </c>
      <c r="C4764" s="83">
        <v>221121151876</v>
      </c>
      <c r="D4764" t="s">
        <v>4069</v>
      </c>
      <c r="E4764">
        <v>60185891679</v>
      </c>
      <c r="F4764">
        <v>637781</v>
      </c>
      <c r="G4764">
        <v>55243821349</v>
      </c>
      <c r="H4764" t="s">
        <v>35</v>
      </c>
      <c r="I4764" s="36">
        <v>2874</v>
      </c>
      <c r="J4764" s="36">
        <v>2874</v>
      </c>
      <c r="K4764" s="85">
        <v>0</v>
      </c>
      <c r="L4764" s="36">
        <v>239.5</v>
      </c>
      <c r="M4764" s="36">
        <v>239.5</v>
      </c>
      <c r="N4764" s="36">
        <v>0</v>
      </c>
      <c r="O4764" s="36">
        <v>0</v>
      </c>
      <c r="P4764" t="s">
        <v>3642</v>
      </c>
      <c r="Q4764" t="s">
        <v>300</v>
      </c>
      <c r="R4764" t="s">
        <v>300</v>
      </c>
      <c r="S4764" s="112">
        <v>46156</v>
      </c>
      <c r="T4764" s="112">
        <v>46156</v>
      </c>
      <c r="U4764" s="112"/>
      <c r="V4764" s="112">
        <v>46521</v>
      </c>
      <c r="W4764" t="s">
        <v>38</v>
      </c>
      <c r="X4764">
        <v>12</v>
      </c>
      <c r="Y4764" t="s">
        <v>49</v>
      </c>
      <c r="AA4764" t="s">
        <v>122</v>
      </c>
      <c r="AB4764">
        <v>12</v>
      </c>
      <c r="AC4764" t="s">
        <v>301</v>
      </c>
      <c r="AD4764" t="s">
        <v>118</v>
      </c>
      <c r="AE4764" t="s">
        <v>43</v>
      </c>
      <c r="AF4764" t="s">
        <v>119</v>
      </c>
      <c r="AG4764" t="str">
        <f t="shared" si="111"/>
        <v>Recorrente</v>
      </c>
      <c r="AH4764" t="str">
        <f t="shared" si="112"/>
        <v/>
      </c>
    </row>
    <row r="4765" spans="1:34">
      <c r="A4765">
        <v>2026</v>
      </c>
      <c r="B4765">
        <v>5</v>
      </c>
      <c r="C4765" s="83">
        <v>2212560</v>
      </c>
      <c r="D4765" t="s">
        <v>4070</v>
      </c>
      <c r="E4765">
        <v>60014530432</v>
      </c>
      <c r="F4765">
        <v>637555</v>
      </c>
      <c r="G4765">
        <v>55042452535</v>
      </c>
      <c r="H4765" t="s">
        <v>35</v>
      </c>
      <c r="I4765" s="36">
        <v>2874</v>
      </c>
      <c r="J4765" s="36">
        <v>2874</v>
      </c>
      <c r="K4765" s="85">
        <v>0</v>
      </c>
      <c r="L4765" s="36">
        <v>239.5</v>
      </c>
      <c r="M4765" s="36">
        <v>239.5</v>
      </c>
      <c r="N4765" s="36">
        <v>0</v>
      </c>
      <c r="O4765" s="36">
        <v>0</v>
      </c>
      <c r="P4765" t="s">
        <v>2004</v>
      </c>
      <c r="Q4765" t="s">
        <v>300</v>
      </c>
      <c r="R4765" t="s">
        <v>300</v>
      </c>
      <c r="S4765" s="112">
        <v>46146</v>
      </c>
      <c r="T4765" s="112">
        <v>46146</v>
      </c>
      <c r="U4765" s="112"/>
      <c r="V4765" s="112">
        <v>46511</v>
      </c>
      <c r="W4765" t="s">
        <v>38</v>
      </c>
      <c r="X4765">
        <v>12</v>
      </c>
      <c r="Y4765" t="s">
        <v>49</v>
      </c>
      <c r="AA4765" t="s">
        <v>122</v>
      </c>
      <c r="AB4765">
        <v>12</v>
      </c>
      <c r="AC4765" t="s">
        <v>301</v>
      </c>
      <c r="AD4765" t="s">
        <v>140</v>
      </c>
      <c r="AE4765" t="s">
        <v>46</v>
      </c>
      <c r="AF4765" t="s">
        <v>119</v>
      </c>
      <c r="AG4765" t="str">
        <f t="shared" si="111"/>
        <v>Recorrente</v>
      </c>
      <c r="AH4765" t="str">
        <f t="shared" si="112"/>
        <v/>
      </c>
    </row>
    <row r="4766" spans="1:34">
      <c r="A4766">
        <v>2026</v>
      </c>
      <c r="B4766">
        <v>5</v>
      </c>
      <c r="C4766" s="83">
        <v>221357327927</v>
      </c>
      <c r="D4766" t="s">
        <v>4071</v>
      </c>
      <c r="E4766">
        <v>60253835551</v>
      </c>
      <c r="F4766">
        <v>637800</v>
      </c>
      <c r="G4766">
        <v>55256236147</v>
      </c>
      <c r="H4766" t="s">
        <v>35</v>
      </c>
      <c r="I4766" s="36">
        <v>2874</v>
      </c>
      <c r="J4766" s="36">
        <v>2874</v>
      </c>
      <c r="K4766" s="85">
        <v>0</v>
      </c>
      <c r="L4766" s="36">
        <v>239.5</v>
      </c>
      <c r="M4766" s="36">
        <v>239.5</v>
      </c>
      <c r="N4766" s="36">
        <v>0</v>
      </c>
      <c r="O4766" s="36">
        <v>0</v>
      </c>
      <c r="P4766" t="s">
        <v>3179</v>
      </c>
      <c r="Q4766" t="s">
        <v>300</v>
      </c>
      <c r="R4766" t="s">
        <v>300</v>
      </c>
      <c r="S4766" s="112">
        <v>46156</v>
      </c>
      <c r="T4766" s="112">
        <v>46156</v>
      </c>
      <c r="U4766" s="112"/>
      <c r="V4766" s="112">
        <v>46521</v>
      </c>
      <c r="W4766" t="s">
        <v>38</v>
      </c>
      <c r="X4766">
        <v>12</v>
      </c>
      <c r="Y4766" t="s">
        <v>49</v>
      </c>
      <c r="AA4766" t="s">
        <v>112</v>
      </c>
      <c r="AB4766">
        <v>12</v>
      </c>
      <c r="AC4766" t="s">
        <v>301</v>
      </c>
      <c r="AD4766" t="s">
        <v>118</v>
      </c>
      <c r="AE4766" t="s">
        <v>43</v>
      </c>
      <c r="AF4766" t="s">
        <v>119</v>
      </c>
      <c r="AG4766" t="str">
        <f t="shared" si="111"/>
        <v>CC 12x</v>
      </c>
      <c r="AH4766" t="str">
        <f t="shared" si="112"/>
        <v/>
      </c>
    </row>
    <row r="4767" spans="1:34">
      <c r="A4767">
        <v>2026</v>
      </c>
      <c r="B4767">
        <v>5</v>
      </c>
      <c r="C4767" s="83">
        <v>221409816914</v>
      </c>
      <c r="D4767" t="s">
        <v>4072</v>
      </c>
      <c r="E4767">
        <v>60530119776</v>
      </c>
      <c r="F4767">
        <v>637908</v>
      </c>
      <c r="G4767">
        <v>55479054736</v>
      </c>
      <c r="H4767" t="s">
        <v>35</v>
      </c>
      <c r="I4767" s="36">
        <v>2874</v>
      </c>
      <c r="J4767" s="36">
        <v>2874</v>
      </c>
      <c r="K4767" s="85">
        <v>0</v>
      </c>
      <c r="L4767" s="36">
        <v>239.5</v>
      </c>
      <c r="M4767" s="36">
        <v>239.5</v>
      </c>
      <c r="N4767" s="36">
        <v>0</v>
      </c>
      <c r="O4767" s="36">
        <v>0</v>
      </c>
      <c r="P4767" t="s">
        <v>3179</v>
      </c>
      <c r="Q4767" t="s">
        <v>300</v>
      </c>
      <c r="R4767" t="s">
        <v>300</v>
      </c>
      <c r="S4767" s="112">
        <v>46163</v>
      </c>
      <c r="T4767" s="112">
        <v>46163</v>
      </c>
      <c r="U4767" s="112"/>
      <c r="V4767" s="112">
        <v>46528</v>
      </c>
      <c r="W4767" t="s">
        <v>38</v>
      </c>
      <c r="X4767">
        <v>12</v>
      </c>
      <c r="Y4767" t="s">
        <v>49</v>
      </c>
      <c r="AA4767" t="s">
        <v>122</v>
      </c>
      <c r="AB4767">
        <v>12</v>
      </c>
      <c r="AC4767" t="s">
        <v>301</v>
      </c>
      <c r="AD4767" t="s">
        <v>118</v>
      </c>
      <c r="AE4767" t="s">
        <v>43</v>
      </c>
      <c r="AF4767" t="s">
        <v>119</v>
      </c>
      <c r="AG4767" t="str">
        <f t="shared" si="111"/>
        <v>Recorrente</v>
      </c>
      <c r="AH4767" t="str">
        <f t="shared" si="112"/>
        <v/>
      </c>
    </row>
    <row r="4768" spans="1:34">
      <c r="A4768">
        <v>2026</v>
      </c>
      <c r="B4768">
        <v>5</v>
      </c>
      <c r="C4768" s="83">
        <v>222549764407</v>
      </c>
      <c r="D4768" t="s">
        <v>4073</v>
      </c>
      <c r="E4768">
        <v>60381337170</v>
      </c>
      <c r="F4768">
        <v>637936</v>
      </c>
      <c r="G4768">
        <v>55519555701</v>
      </c>
      <c r="H4768" t="s">
        <v>35</v>
      </c>
      <c r="I4768" s="36">
        <v>2874</v>
      </c>
      <c r="J4768" s="36">
        <v>2874</v>
      </c>
      <c r="K4768" s="85">
        <v>0</v>
      </c>
      <c r="L4768" s="36">
        <v>239.5</v>
      </c>
      <c r="M4768" s="36">
        <v>239.5</v>
      </c>
      <c r="N4768" s="36">
        <v>0</v>
      </c>
      <c r="O4768" s="36">
        <v>0</v>
      </c>
      <c r="P4768" t="s">
        <v>3642</v>
      </c>
      <c r="Q4768" t="s">
        <v>300</v>
      </c>
      <c r="R4768" t="s">
        <v>300</v>
      </c>
      <c r="S4768" s="112">
        <v>46164</v>
      </c>
      <c r="T4768" s="112">
        <v>46164</v>
      </c>
      <c r="U4768" s="112"/>
      <c r="V4768" s="112">
        <v>46529</v>
      </c>
      <c r="W4768" t="s">
        <v>38</v>
      </c>
      <c r="X4768">
        <v>12</v>
      </c>
      <c r="Y4768" t="s">
        <v>49</v>
      </c>
      <c r="AA4768" t="s">
        <v>122</v>
      </c>
      <c r="AB4768">
        <v>12</v>
      </c>
      <c r="AC4768" t="s">
        <v>301</v>
      </c>
      <c r="AD4768" t="s">
        <v>140</v>
      </c>
      <c r="AE4768" t="s">
        <v>46</v>
      </c>
      <c r="AF4768" t="s">
        <v>119</v>
      </c>
      <c r="AG4768" t="str">
        <f t="shared" si="111"/>
        <v>Recorrente</v>
      </c>
      <c r="AH4768" t="str">
        <f t="shared" si="112"/>
        <v/>
      </c>
    </row>
    <row r="4769" spans="1:34">
      <c r="A4769">
        <v>2026</v>
      </c>
      <c r="B4769">
        <v>5</v>
      </c>
      <c r="C4769" s="83">
        <v>222772462466</v>
      </c>
      <c r="D4769" t="s">
        <v>4074</v>
      </c>
      <c r="E4769">
        <v>59156806010</v>
      </c>
      <c r="F4769">
        <v>270543</v>
      </c>
      <c r="G4769">
        <v>54274832678</v>
      </c>
      <c r="H4769" t="s">
        <v>35</v>
      </c>
      <c r="I4769" s="36">
        <v>2874</v>
      </c>
      <c r="J4769" s="36">
        <v>2874</v>
      </c>
      <c r="K4769" s="85">
        <v>0</v>
      </c>
      <c r="L4769" s="36">
        <v>239.5</v>
      </c>
      <c r="M4769" s="36">
        <v>0</v>
      </c>
      <c r="N4769" s="36">
        <v>24.4</v>
      </c>
      <c r="O4769" s="36">
        <v>215.1</v>
      </c>
      <c r="P4769" t="s">
        <v>165</v>
      </c>
      <c r="Q4769" t="s">
        <v>166</v>
      </c>
      <c r="R4769" t="s">
        <v>166</v>
      </c>
      <c r="S4769" s="112">
        <v>46168</v>
      </c>
      <c r="T4769" s="112">
        <v>46168</v>
      </c>
      <c r="U4769" s="112">
        <v>46171</v>
      </c>
      <c r="V4769" s="112">
        <v>46536</v>
      </c>
      <c r="W4769" t="s">
        <v>38</v>
      </c>
      <c r="X4769">
        <v>12</v>
      </c>
      <c r="Y4769" t="s">
        <v>49</v>
      </c>
      <c r="Z4769" t="s">
        <v>81</v>
      </c>
      <c r="AA4769" t="s">
        <v>112</v>
      </c>
      <c r="AB4769">
        <v>12</v>
      </c>
      <c r="AC4769" t="s">
        <v>166</v>
      </c>
      <c r="AD4769" t="s">
        <v>118</v>
      </c>
      <c r="AE4769" t="s">
        <v>43</v>
      </c>
      <c r="AF4769" t="s">
        <v>119</v>
      </c>
      <c r="AG4769" t="str">
        <f t="shared" si="111"/>
        <v>CC 12x</v>
      </c>
      <c r="AH4769" t="str">
        <f t="shared" si="112"/>
        <v/>
      </c>
    </row>
    <row r="4770" spans="1:34">
      <c r="A4770">
        <v>2026</v>
      </c>
      <c r="B4770">
        <v>5</v>
      </c>
      <c r="C4770" s="83">
        <v>222772462466</v>
      </c>
      <c r="D4770" t="s">
        <v>4074</v>
      </c>
      <c r="E4770">
        <v>59156806010</v>
      </c>
      <c r="F4770">
        <v>270543</v>
      </c>
      <c r="G4770">
        <v>54274862117</v>
      </c>
      <c r="H4770" t="s">
        <v>35</v>
      </c>
      <c r="I4770" s="36">
        <v>2874</v>
      </c>
      <c r="J4770" s="36">
        <v>2874</v>
      </c>
      <c r="K4770" s="85">
        <v>0</v>
      </c>
      <c r="L4770" s="36">
        <v>239.5</v>
      </c>
      <c r="M4770" s="36">
        <v>0</v>
      </c>
      <c r="N4770" s="36">
        <v>24.4</v>
      </c>
      <c r="O4770" s="36">
        <v>215.1</v>
      </c>
      <c r="P4770" t="s">
        <v>165</v>
      </c>
      <c r="Q4770" t="s">
        <v>166</v>
      </c>
      <c r="R4770" t="s">
        <v>166</v>
      </c>
      <c r="S4770" s="112">
        <v>46168</v>
      </c>
      <c r="T4770" s="112">
        <v>46168</v>
      </c>
      <c r="U4770" s="112">
        <v>46171</v>
      </c>
      <c r="V4770" s="112">
        <v>46536</v>
      </c>
      <c r="W4770" t="s">
        <v>38</v>
      </c>
      <c r="X4770">
        <v>12</v>
      </c>
      <c r="Y4770" t="s">
        <v>49</v>
      </c>
      <c r="Z4770" t="s">
        <v>81</v>
      </c>
      <c r="AA4770" t="s">
        <v>112</v>
      </c>
      <c r="AB4770">
        <v>12</v>
      </c>
      <c r="AC4770" t="s">
        <v>166</v>
      </c>
      <c r="AD4770" t="s">
        <v>140</v>
      </c>
      <c r="AE4770" t="s">
        <v>46</v>
      </c>
      <c r="AF4770" t="s">
        <v>119</v>
      </c>
      <c r="AG4770" t="str">
        <f t="shared" si="111"/>
        <v>CC 12x</v>
      </c>
      <c r="AH4770" t="str">
        <f t="shared" si="112"/>
        <v/>
      </c>
    </row>
    <row r="4771" spans="1:34">
      <c r="A4771">
        <v>2026</v>
      </c>
      <c r="B4771">
        <v>5</v>
      </c>
      <c r="C4771" s="83">
        <v>222849723804</v>
      </c>
      <c r="D4771" t="s">
        <v>4075</v>
      </c>
      <c r="E4771">
        <v>60627448360</v>
      </c>
      <c r="F4771">
        <v>637960</v>
      </c>
      <c r="G4771">
        <v>55611064744</v>
      </c>
      <c r="H4771" t="s">
        <v>35</v>
      </c>
      <c r="I4771" s="36">
        <v>2874</v>
      </c>
      <c r="J4771" s="36">
        <v>2874</v>
      </c>
      <c r="K4771" s="85">
        <v>0</v>
      </c>
      <c r="L4771" s="36">
        <v>239.5</v>
      </c>
      <c r="M4771" s="36">
        <v>239.5</v>
      </c>
      <c r="N4771" s="36">
        <v>0</v>
      </c>
      <c r="O4771" s="36">
        <v>0</v>
      </c>
      <c r="P4771" t="s">
        <v>3179</v>
      </c>
      <c r="Q4771" t="s">
        <v>300</v>
      </c>
      <c r="R4771" t="s">
        <v>300</v>
      </c>
      <c r="S4771" s="112">
        <v>46167</v>
      </c>
      <c r="T4771" s="112">
        <v>46167</v>
      </c>
      <c r="U4771" s="112"/>
      <c r="V4771" s="112">
        <v>46532</v>
      </c>
      <c r="W4771" t="s">
        <v>38</v>
      </c>
      <c r="X4771">
        <v>12</v>
      </c>
      <c r="Y4771" t="s">
        <v>49</v>
      </c>
      <c r="AA4771" t="s">
        <v>112</v>
      </c>
      <c r="AB4771">
        <v>12</v>
      </c>
      <c r="AC4771" t="s">
        <v>301</v>
      </c>
      <c r="AD4771" t="s">
        <v>118</v>
      </c>
      <c r="AE4771" t="s">
        <v>43</v>
      </c>
      <c r="AF4771" t="s">
        <v>119</v>
      </c>
      <c r="AG4771" t="str">
        <f t="shared" si="111"/>
        <v>CC 12x</v>
      </c>
      <c r="AH4771" t="str">
        <f t="shared" si="112"/>
        <v/>
      </c>
    </row>
    <row r="4772" spans="1:34">
      <c r="A4772">
        <v>2026</v>
      </c>
      <c r="B4772">
        <v>5</v>
      </c>
      <c r="C4772" s="83">
        <v>223020507199</v>
      </c>
      <c r="D4772" t="s">
        <v>4076</v>
      </c>
      <c r="E4772">
        <v>60050695773</v>
      </c>
      <c r="F4772">
        <v>637591</v>
      </c>
      <c r="G4772">
        <v>55073699632</v>
      </c>
      <c r="H4772" t="s">
        <v>35</v>
      </c>
      <c r="I4772" s="36">
        <v>2874</v>
      </c>
      <c r="J4772" s="36">
        <v>2874</v>
      </c>
      <c r="K4772" s="85">
        <v>0</v>
      </c>
      <c r="L4772" s="36">
        <v>239.5</v>
      </c>
      <c r="M4772" s="36">
        <v>239.5</v>
      </c>
      <c r="N4772" s="36">
        <v>0</v>
      </c>
      <c r="O4772" s="36">
        <v>0</v>
      </c>
      <c r="P4772" t="s">
        <v>2004</v>
      </c>
      <c r="Q4772" t="s">
        <v>300</v>
      </c>
      <c r="R4772" t="s">
        <v>300</v>
      </c>
      <c r="S4772" s="112">
        <v>46148</v>
      </c>
      <c r="T4772" s="112">
        <v>46148</v>
      </c>
      <c r="U4772" s="112"/>
      <c r="V4772" s="112">
        <v>46513</v>
      </c>
      <c r="W4772" t="s">
        <v>38</v>
      </c>
      <c r="X4772">
        <v>12</v>
      </c>
      <c r="Y4772" t="s">
        <v>49</v>
      </c>
      <c r="AA4772" t="s">
        <v>122</v>
      </c>
      <c r="AB4772">
        <v>12</v>
      </c>
      <c r="AC4772" t="s">
        <v>301</v>
      </c>
      <c r="AD4772" t="s">
        <v>118</v>
      </c>
      <c r="AE4772" t="s">
        <v>43</v>
      </c>
      <c r="AF4772" t="s">
        <v>119</v>
      </c>
      <c r="AG4772" t="str">
        <f t="shared" si="111"/>
        <v>Recorrente</v>
      </c>
      <c r="AH4772" t="str">
        <f t="shared" si="112"/>
        <v/>
      </c>
    </row>
    <row r="4773" spans="1:34">
      <c r="A4773">
        <v>2026</v>
      </c>
      <c r="B4773">
        <v>5</v>
      </c>
      <c r="C4773" s="83">
        <v>223221868646</v>
      </c>
      <c r="D4773" t="s">
        <v>4077</v>
      </c>
      <c r="E4773">
        <v>60616023389</v>
      </c>
      <c r="F4773">
        <v>637965</v>
      </c>
      <c r="G4773">
        <v>55612286798</v>
      </c>
      <c r="H4773" t="s">
        <v>35</v>
      </c>
      <c r="I4773" s="36">
        <v>2874</v>
      </c>
      <c r="J4773" s="36">
        <v>2874</v>
      </c>
      <c r="K4773" s="85">
        <v>0</v>
      </c>
      <c r="L4773" s="36">
        <v>239.5</v>
      </c>
      <c r="M4773" s="36">
        <v>239.5</v>
      </c>
      <c r="N4773" s="36">
        <v>0</v>
      </c>
      <c r="O4773" s="36">
        <v>0</v>
      </c>
      <c r="P4773" t="s">
        <v>3179</v>
      </c>
      <c r="Q4773" t="s">
        <v>300</v>
      </c>
      <c r="R4773" t="s">
        <v>300</v>
      </c>
      <c r="S4773" s="112">
        <v>46167</v>
      </c>
      <c r="T4773" s="112">
        <v>46167</v>
      </c>
      <c r="U4773" s="112"/>
      <c r="V4773" s="112">
        <v>46532</v>
      </c>
      <c r="W4773" t="s">
        <v>38</v>
      </c>
      <c r="X4773">
        <v>12</v>
      </c>
      <c r="Y4773" t="s">
        <v>49</v>
      </c>
      <c r="AA4773" t="s">
        <v>122</v>
      </c>
      <c r="AB4773">
        <v>12</v>
      </c>
      <c r="AC4773" t="s">
        <v>301</v>
      </c>
      <c r="AD4773" t="s">
        <v>118</v>
      </c>
      <c r="AE4773" t="s">
        <v>43</v>
      </c>
      <c r="AF4773" t="s">
        <v>119</v>
      </c>
      <c r="AG4773" t="str">
        <f t="shared" si="111"/>
        <v>Recorrente</v>
      </c>
      <c r="AH4773" t="str">
        <f t="shared" si="112"/>
        <v/>
      </c>
    </row>
    <row r="4774" spans="1:34">
      <c r="A4774">
        <v>2026</v>
      </c>
      <c r="B4774">
        <v>5</v>
      </c>
      <c r="C4774" s="83">
        <v>2233982</v>
      </c>
      <c r="D4774" t="s">
        <v>4078</v>
      </c>
      <c r="E4774">
        <v>58655264593</v>
      </c>
      <c r="F4774">
        <v>629617</v>
      </c>
      <c r="G4774">
        <v>53817695577</v>
      </c>
      <c r="H4774" t="s">
        <v>35</v>
      </c>
      <c r="I4774" s="36">
        <v>2874</v>
      </c>
      <c r="J4774" s="36">
        <v>2874</v>
      </c>
      <c r="K4774" s="85">
        <v>0</v>
      </c>
      <c r="L4774" s="36">
        <v>239.5</v>
      </c>
      <c r="M4774" s="36">
        <v>0</v>
      </c>
      <c r="N4774" s="36">
        <v>24.4</v>
      </c>
      <c r="O4774" s="36">
        <v>215.1</v>
      </c>
      <c r="P4774" t="s">
        <v>165</v>
      </c>
      <c r="Q4774" t="s">
        <v>166</v>
      </c>
      <c r="R4774" t="s">
        <v>166</v>
      </c>
      <c r="S4774" s="112">
        <v>46158</v>
      </c>
      <c r="T4774" s="112">
        <v>46158</v>
      </c>
      <c r="U4774" s="112">
        <v>46158</v>
      </c>
      <c r="V4774" s="112">
        <v>46523</v>
      </c>
      <c r="W4774" t="s">
        <v>38</v>
      </c>
      <c r="X4774">
        <v>12</v>
      </c>
      <c r="Y4774" t="s">
        <v>49</v>
      </c>
      <c r="Z4774" t="s">
        <v>81</v>
      </c>
      <c r="AA4774" t="s">
        <v>112</v>
      </c>
      <c r="AB4774">
        <v>12</v>
      </c>
      <c r="AC4774" t="s">
        <v>166</v>
      </c>
      <c r="AD4774" t="s">
        <v>118</v>
      </c>
      <c r="AE4774" t="s">
        <v>43</v>
      </c>
      <c r="AF4774" t="s">
        <v>119</v>
      </c>
      <c r="AG4774" t="str">
        <f t="shared" si="111"/>
        <v>CC 12x</v>
      </c>
      <c r="AH4774" t="str">
        <f t="shared" si="112"/>
        <v/>
      </c>
    </row>
    <row r="4775" spans="1:34">
      <c r="A4775">
        <v>2026</v>
      </c>
      <c r="B4775">
        <v>5</v>
      </c>
      <c r="C4775" s="83">
        <v>223867198353</v>
      </c>
      <c r="D4775" t="s">
        <v>4079</v>
      </c>
      <c r="E4775">
        <v>59136051249</v>
      </c>
      <c r="F4775">
        <v>614944</v>
      </c>
      <c r="G4775">
        <v>54263821449</v>
      </c>
      <c r="H4775" t="s">
        <v>35</v>
      </c>
      <c r="I4775" s="36">
        <v>2874</v>
      </c>
      <c r="J4775" s="36">
        <v>2874</v>
      </c>
      <c r="K4775" s="85">
        <v>0</v>
      </c>
      <c r="L4775" s="36">
        <v>239.5</v>
      </c>
      <c r="M4775" s="36">
        <v>0</v>
      </c>
      <c r="N4775" s="36">
        <v>45.91</v>
      </c>
      <c r="O4775" s="36">
        <v>193.59</v>
      </c>
      <c r="P4775" t="s">
        <v>165</v>
      </c>
      <c r="Q4775" t="s">
        <v>166</v>
      </c>
      <c r="R4775" t="s">
        <v>166</v>
      </c>
      <c r="S4775" s="112">
        <v>46168</v>
      </c>
      <c r="T4775" s="112">
        <v>46168</v>
      </c>
      <c r="U4775" s="112">
        <v>46170</v>
      </c>
      <c r="V4775" s="112">
        <v>46535</v>
      </c>
      <c r="W4775" t="s">
        <v>38</v>
      </c>
      <c r="X4775">
        <v>12</v>
      </c>
      <c r="Y4775" t="s">
        <v>49</v>
      </c>
      <c r="Z4775" t="s">
        <v>81</v>
      </c>
      <c r="AA4775" t="s">
        <v>112</v>
      </c>
      <c r="AB4775">
        <v>12</v>
      </c>
      <c r="AC4775" t="s">
        <v>166</v>
      </c>
      <c r="AD4775" t="s">
        <v>140</v>
      </c>
      <c r="AE4775" t="s">
        <v>46</v>
      </c>
      <c r="AF4775" t="s">
        <v>119</v>
      </c>
      <c r="AG4775" t="str">
        <f t="shared" si="111"/>
        <v>CC 12x</v>
      </c>
      <c r="AH4775" t="str">
        <f t="shared" si="112"/>
        <v/>
      </c>
    </row>
    <row r="4776" spans="1:34">
      <c r="A4776">
        <v>2026</v>
      </c>
      <c r="B4776">
        <v>5</v>
      </c>
      <c r="C4776" s="83">
        <v>223904866898</v>
      </c>
      <c r="D4776" t="s">
        <v>4080</v>
      </c>
      <c r="E4776">
        <v>60650494374</v>
      </c>
      <c r="F4776">
        <v>638001</v>
      </c>
      <c r="G4776">
        <v>55642402223</v>
      </c>
      <c r="H4776" t="s">
        <v>35</v>
      </c>
      <c r="I4776" s="36">
        <v>2874</v>
      </c>
      <c r="J4776" s="36">
        <v>2874</v>
      </c>
      <c r="K4776" s="85">
        <v>0</v>
      </c>
      <c r="L4776" s="36">
        <v>239.5</v>
      </c>
      <c r="M4776" s="36">
        <v>239.5</v>
      </c>
      <c r="N4776" s="36">
        <v>0</v>
      </c>
      <c r="O4776" s="36">
        <v>0</v>
      </c>
      <c r="P4776" t="s">
        <v>511</v>
      </c>
      <c r="Q4776" t="s">
        <v>300</v>
      </c>
      <c r="R4776" t="s">
        <v>300</v>
      </c>
      <c r="S4776" s="112">
        <v>46169</v>
      </c>
      <c r="T4776" s="112">
        <v>46169</v>
      </c>
      <c r="U4776" s="112"/>
      <c r="V4776" s="112">
        <v>46534</v>
      </c>
      <c r="W4776" t="s">
        <v>38</v>
      </c>
      <c r="X4776">
        <v>12</v>
      </c>
      <c r="Y4776" t="s">
        <v>49</v>
      </c>
      <c r="AA4776" t="s">
        <v>112</v>
      </c>
      <c r="AB4776">
        <v>12</v>
      </c>
      <c r="AC4776" t="s">
        <v>301</v>
      </c>
      <c r="AD4776" t="s">
        <v>140</v>
      </c>
      <c r="AE4776" t="s">
        <v>46</v>
      </c>
      <c r="AF4776" t="s">
        <v>119</v>
      </c>
      <c r="AG4776" t="str">
        <f t="shared" si="111"/>
        <v>CC 12x</v>
      </c>
      <c r="AH4776" t="str">
        <f t="shared" si="112"/>
        <v/>
      </c>
    </row>
    <row r="4777" spans="1:34">
      <c r="A4777">
        <v>2026</v>
      </c>
      <c r="B4777">
        <v>5</v>
      </c>
      <c r="C4777" s="83">
        <v>2262834</v>
      </c>
      <c r="D4777" t="s">
        <v>4081</v>
      </c>
      <c r="E4777">
        <v>60237043202</v>
      </c>
      <c r="F4777">
        <v>637787</v>
      </c>
      <c r="G4777">
        <v>55252740955</v>
      </c>
      <c r="H4777" t="s">
        <v>35</v>
      </c>
      <c r="I4777" s="36">
        <v>2874</v>
      </c>
      <c r="J4777" s="36">
        <v>2874</v>
      </c>
      <c r="K4777" s="85">
        <v>0</v>
      </c>
      <c r="L4777" s="36">
        <v>239.5</v>
      </c>
      <c r="M4777" s="36">
        <v>239.5</v>
      </c>
      <c r="N4777" s="36">
        <v>0</v>
      </c>
      <c r="O4777" s="36">
        <v>0</v>
      </c>
      <c r="P4777" t="s">
        <v>829</v>
      </c>
      <c r="Q4777" t="s">
        <v>300</v>
      </c>
      <c r="R4777" t="s">
        <v>300</v>
      </c>
      <c r="S4777" s="112">
        <v>46156</v>
      </c>
      <c r="T4777" s="112">
        <v>46156</v>
      </c>
      <c r="U4777" s="112"/>
      <c r="V4777" s="112">
        <v>46521</v>
      </c>
      <c r="W4777" t="s">
        <v>38</v>
      </c>
      <c r="X4777">
        <v>12</v>
      </c>
      <c r="Y4777" t="s">
        <v>49</v>
      </c>
      <c r="AA4777" t="s">
        <v>122</v>
      </c>
      <c r="AB4777">
        <v>12</v>
      </c>
      <c r="AC4777" t="s">
        <v>301</v>
      </c>
      <c r="AD4777" t="s">
        <v>118</v>
      </c>
      <c r="AE4777" t="s">
        <v>43</v>
      </c>
      <c r="AF4777" t="s">
        <v>119</v>
      </c>
      <c r="AG4777" t="str">
        <f t="shared" si="111"/>
        <v>Recorrente</v>
      </c>
      <c r="AH4777" t="str">
        <f t="shared" si="112"/>
        <v/>
      </c>
    </row>
    <row r="4778" spans="1:34">
      <c r="A4778">
        <v>2026</v>
      </c>
      <c r="B4778">
        <v>5</v>
      </c>
      <c r="C4778" s="83">
        <v>2272896</v>
      </c>
      <c r="D4778" t="s">
        <v>4082</v>
      </c>
      <c r="E4778">
        <v>60253847601</v>
      </c>
      <c r="F4778">
        <v>637845</v>
      </c>
      <c r="G4778">
        <v>55323187217</v>
      </c>
      <c r="H4778" t="s">
        <v>35</v>
      </c>
      <c r="I4778" s="36">
        <v>2874</v>
      </c>
      <c r="J4778" s="36">
        <v>2874</v>
      </c>
      <c r="K4778" s="85">
        <v>0</v>
      </c>
      <c r="L4778" s="36">
        <v>239.5</v>
      </c>
      <c r="M4778" s="36">
        <v>239.5</v>
      </c>
      <c r="N4778" s="36">
        <v>0</v>
      </c>
      <c r="O4778" s="36">
        <v>0</v>
      </c>
      <c r="P4778" t="s">
        <v>506</v>
      </c>
      <c r="Q4778" t="s">
        <v>300</v>
      </c>
      <c r="R4778" t="s">
        <v>300</v>
      </c>
      <c r="S4778" s="112">
        <v>46161</v>
      </c>
      <c r="T4778" s="112">
        <v>46161</v>
      </c>
      <c r="U4778" s="112"/>
      <c r="V4778" s="112">
        <v>46526</v>
      </c>
      <c r="W4778" t="s">
        <v>38</v>
      </c>
      <c r="X4778">
        <v>12</v>
      </c>
      <c r="Y4778" t="s">
        <v>49</v>
      </c>
      <c r="AA4778" t="s">
        <v>122</v>
      </c>
      <c r="AB4778">
        <v>12</v>
      </c>
      <c r="AC4778" t="s">
        <v>301</v>
      </c>
      <c r="AD4778" t="s">
        <v>118</v>
      </c>
      <c r="AE4778" t="s">
        <v>43</v>
      </c>
      <c r="AF4778" t="s">
        <v>119</v>
      </c>
      <c r="AG4778" t="str">
        <f t="shared" si="111"/>
        <v>Recorrente</v>
      </c>
      <c r="AH4778" t="str">
        <f t="shared" si="112"/>
        <v/>
      </c>
    </row>
    <row r="4779" spans="1:34">
      <c r="A4779">
        <v>2026</v>
      </c>
      <c r="B4779">
        <v>5</v>
      </c>
      <c r="C4779" s="83">
        <v>228819437468</v>
      </c>
      <c r="D4779" t="s">
        <v>4083</v>
      </c>
      <c r="E4779">
        <v>60330436975</v>
      </c>
      <c r="F4779">
        <v>637836</v>
      </c>
      <c r="G4779">
        <v>55323182625</v>
      </c>
      <c r="H4779" t="s">
        <v>35</v>
      </c>
      <c r="I4779" s="36">
        <v>2874</v>
      </c>
      <c r="J4779" s="36">
        <v>2874</v>
      </c>
      <c r="K4779" s="85">
        <v>0</v>
      </c>
      <c r="L4779" s="36">
        <v>239.5</v>
      </c>
      <c r="M4779" s="36">
        <v>239.5</v>
      </c>
      <c r="N4779" s="36">
        <v>0</v>
      </c>
      <c r="O4779" s="36">
        <v>0</v>
      </c>
      <c r="P4779" t="s">
        <v>506</v>
      </c>
      <c r="Q4779" t="s">
        <v>300</v>
      </c>
      <c r="R4779" t="s">
        <v>300</v>
      </c>
      <c r="S4779" s="112">
        <v>46160</v>
      </c>
      <c r="T4779" s="112">
        <v>46160</v>
      </c>
      <c r="U4779" s="112"/>
      <c r="V4779" s="112">
        <v>46525</v>
      </c>
      <c r="W4779" t="s">
        <v>38</v>
      </c>
      <c r="X4779">
        <v>12</v>
      </c>
      <c r="Y4779" t="s">
        <v>49</v>
      </c>
      <c r="AA4779" t="s">
        <v>122</v>
      </c>
      <c r="AB4779">
        <v>12</v>
      </c>
      <c r="AC4779" t="s">
        <v>301</v>
      </c>
      <c r="AD4779" t="s">
        <v>118</v>
      </c>
      <c r="AE4779" t="s">
        <v>43</v>
      </c>
      <c r="AF4779" t="s">
        <v>119</v>
      </c>
      <c r="AG4779" t="str">
        <f t="shared" si="111"/>
        <v>Recorrente</v>
      </c>
      <c r="AH4779" t="str">
        <f t="shared" si="112"/>
        <v/>
      </c>
    </row>
    <row r="4780" spans="1:34">
      <c r="A4780">
        <v>2026</v>
      </c>
      <c r="B4780">
        <v>5</v>
      </c>
      <c r="C4780" s="83">
        <v>22915773216</v>
      </c>
      <c r="D4780" t="s">
        <v>4084</v>
      </c>
      <c r="E4780">
        <v>60690007456</v>
      </c>
      <c r="F4780">
        <v>638039</v>
      </c>
      <c r="G4780">
        <v>55634815401</v>
      </c>
      <c r="H4780" t="s">
        <v>35</v>
      </c>
      <c r="I4780" s="36">
        <v>2874</v>
      </c>
      <c r="J4780" s="36">
        <v>2874</v>
      </c>
      <c r="K4780" s="85">
        <v>0</v>
      </c>
      <c r="L4780" s="36">
        <v>239.5</v>
      </c>
      <c r="M4780" s="36">
        <v>239.5</v>
      </c>
      <c r="N4780" s="36">
        <v>0</v>
      </c>
      <c r="O4780" s="36">
        <v>0</v>
      </c>
      <c r="Q4780" t="s">
        <v>498</v>
      </c>
      <c r="R4780" t="s">
        <v>498</v>
      </c>
      <c r="S4780" s="112">
        <v>46170</v>
      </c>
      <c r="T4780" s="112">
        <v>46170</v>
      </c>
      <c r="U4780" s="112"/>
      <c r="V4780" s="112">
        <v>46535</v>
      </c>
      <c r="W4780" t="s">
        <v>38</v>
      </c>
      <c r="X4780">
        <v>12</v>
      </c>
      <c r="Y4780" t="s">
        <v>49</v>
      </c>
      <c r="AA4780" t="s">
        <v>117</v>
      </c>
      <c r="AB4780">
        <v>1</v>
      </c>
      <c r="AC4780" t="s">
        <v>499</v>
      </c>
      <c r="AD4780" t="s">
        <v>118</v>
      </c>
      <c r="AE4780" t="s">
        <v>43</v>
      </c>
      <c r="AF4780" t="s">
        <v>119</v>
      </c>
      <c r="AG4780" t="str">
        <f t="shared" si="111"/>
        <v>À Vista</v>
      </c>
      <c r="AH4780" t="str">
        <f t="shared" si="112"/>
        <v/>
      </c>
    </row>
    <row r="4781" spans="1:34">
      <c r="A4781">
        <v>2026</v>
      </c>
      <c r="B4781">
        <v>5</v>
      </c>
      <c r="C4781" s="83">
        <v>229404984148</v>
      </c>
      <c r="D4781" t="s">
        <v>4085</v>
      </c>
      <c r="E4781">
        <v>58196631557</v>
      </c>
      <c r="F4781">
        <v>312314</v>
      </c>
      <c r="G4781">
        <v>53374678441</v>
      </c>
      <c r="H4781" t="s">
        <v>35</v>
      </c>
      <c r="I4781" s="36">
        <v>2874</v>
      </c>
      <c r="J4781" s="36">
        <v>2874</v>
      </c>
      <c r="K4781" s="85">
        <v>0</v>
      </c>
      <c r="L4781" s="36">
        <v>239.5</v>
      </c>
      <c r="M4781" s="36">
        <v>0</v>
      </c>
      <c r="N4781" s="36">
        <v>44.5</v>
      </c>
      <c r="O4781" s="36">
        <v>195</v>
      </c>
      <c r="P4781" t="s">
        <v>165</v>
      </c>
      <c r="Q4781" t="s">
        <v>166</v>
      </c>
      <c r="R4781" t="s">
        <v>166</v>
      </c>
      <c r="S4781" s="112">
        <v>46146</v>
      </c>
      <c r="T4781" s="112">
        <v>46146</v>
      </c>
      <c r="U4781" s="112">
        <v>46146</v>
      </c>
      <c r="V4781" s="112">
        <v>46511</v>
      </c>
      <c r="W4781" t="s">
        <v>38</v>
      </c>
      <c r="X4781">
        <v>12</v>
      </c>
      <c r="Y4781" t="s">
        <v>49</v>
      </c>
      <c r="Z4781" t="s">
        <v>81</v>
      </c>
      <c r="AA4781" t="s">
        <v>112</v>
      </c>
      <c r="AB4781">
        <v>12</v>
      </c>
      <c r="AC4781" t="s">
        <v>166</v>
      </c>
      <c r="AD4781" t="s">
        <v>140</v>
      </c>
      <c r="AE4781" t="s">
        <v>46</v>
      </c>
      <c r="AF4781" t="s">
        <v>119</v>
      </c>
      <c r="AG4781" t="str">
        <f t="shared" si="111"/>
        <v>CC 12x</v>
      </c>
      <c r="AH4781" t="str">
        <f t="shared" si="112"/>
        <v/>
      </c>
    </row>
    <row r="4782" spans="1:34">
      <c r="A4782">
        <v>2026</v>
      </c>
      <c r="B4782">
        <v>5</v>
      </c>
      <c r="C4782" s="83">
        <v>22983796011</v>
      </c>
      <c r="D4782" t="s">
        <v>4086</v>
      </c>
      <c r="E4782">
        <v>58243125399</v>
      </c>
      <c r="F4782">
        <v>614940</v>
      </c>
      <c r="G4782">
        <v>53433255256</v>
      </c>
      <c r="H4782" t="s">
        <v>35</v>
      </c>
      <c r="I4782" s="36">
        <v>2874</v>
      </c>
      <c r="J4782" s="36">
        <v>2874</v>
      </c>
      <c r="K4782" s="85">
        <v>0</v>
      </c>
      <c r="L4782" s="36">
        <v>239.5</v>
      </c>
      <c r="M4782" s="36">
        <v>0</v>
      </c>
      <c r="N4782" s="36">
        <v>19.27</v>
      </c>
      <c r="O4782" s="36">
        <v>220.23</v>
      </c>
      <c r="P4782" t="s">
        <v>165</v>
      </c>
      <c r="Q4782" t="s">
        <v>166</v>
      </c>
      <c r="R4782" t="s">
        <v>166</v>
      </c>
      <c r="S4782" s="112">
        <v>46149</v>
      </c>
      <c r="T4782" s="112">
        <v>46149</v>
      </c>
      <c r="U4782" s="112">
        <v>46149</v>
      </c>
      <c r="V4782" s="112">
        <v>46514</v>
      </c>
      <c r="W4782" t="s">
        <v>38</v>
      </c>
      <c r="X4782">
        <v>12</v>
      </c>
      <c r="Y4782" t="s">
        <v>49</v>
      </c>
      <c r="Z4782" t="s">
        <v>81</v>
      </c>
      <c r="AA4782" t="s">
        <v>112</v>
      </c>
      <c r="AB4782">
        <v>12</v>
      </c>
      <c r="AC4782" t="s">
        <v>166</v>
      </c>
      <c r="AD4782" t="s">
        <v>118</v>
      </c>
      <c r="AE4782" t="s">
        <v>43</v>
      </c>
      <c r="AF4782" t="s">
        <v>119</v>
      </c>
      <c r="AG4782" t="str">
        <f t="shared" si="111"/>
        <v>CC 12x</v>
      </c>
      <c r="AH4782" t="str">
        <f t="shared" si="112"/>
        <v/>
      </c>
    </row>
    <row r="4783" spans="1:34">
      <c r="A4783">
        <v>2026</v>
      </c>
      <c r="B4783">
        <v>5</v>
      </c>
      <c r="C4783" s="83">
        <v>23776870251</v>
      </c>
      <c r="D4783" t="s">
        <v>4087</v>
      </c>
      <c r="E4783">
        <v>58864964449</v>
      </c>
      <c r="F4783">
        <v>629731</v>
      </c>
      <c r="G4783">
        <v>54004101690</v>
      </c>
      <c r="H4783" t="s">
        <v>35</v>
      </c>
      <c r="I4783" s="36">
        <v>2874</v>
      </c>
      <c r="J4783" s="36">
        <v>2874</v>
      </c>
      <c r="K4783" s="85">
        <v>0</v>
      </c>
      <c r="L4783" s="36">
        <v>239.5</v>
      </c>
      <c r="M4783" s="36">
        <v>0</v>
      </c>
      <c r="N4783" s="36">
        <v>0.5</v>
      </c>
      <c r="O4783" s="36">
        <v>239</v>
      </c>
      <c r="P4783" t="s">
        <v>165</v>
      </c>
      <c r="Q4783" t="s">
        <v>166</v>
      </c>
      <c r="R4783" t="s">
        <v>166</v>
      </c>
      <c r="S4783" s="112">
        <v>46163</v>
      </c>
      <c r="T4783" s="112">
        <v>46163</v>
      </c>
      <c r="U4783" s="112">
        <v>46163</v>
      </c>
      <c r="V4783" s="112">
        <v>46528</v>
      </c>
      <c r="W4783" t="s">
        <v>38</v>
      </c>
      <c r="X4783">
        <v>12</v>
      </c>
      <c r="Y4783" t="s">
        <v>49</v>
      </c>
      <c r="Z4783" t="s">
        <v>81</v>
      </c>
      <c r="AA4783" t="s">
        <v>122</v>
      </c>
      <c r="AB4783">
        <v>12</v>
      </c>
      <c r="AC4783" t="s">
        <v>166</v>
      </c>
      <c r="AD4783" t="s">
        <v>140</v>
      </c>
      <c r="AE4783" t="s">
        <v>46</v>
      </c>
      <c r="AF4783" t="s">
        <v>119</v>
      </c>
      <c r="AG4783" t="str">
        <f t="shared" si="111"/>
        <v>Recorrente</v>
      </c>
      <c r="AH4783" t="str">
        <f t="shared" si="112"/>
        <v/>
      </c>
    </row>
    <row r="4784" spans="1:34">
      <c r="A4784">
        <v>2026</v>
      </c>
      <c r="B4784">
        <v>5</v>
      </c>
      <c r="C4784" s="83">
        <v>2577751</v>
      </c>
      <c r="D4784" t="s">
        <v>4088</v>
      </c>
      <c r="E4784">
        <v>60621705761</v>
      </c>
      <c r="F4784">
        <v>637944</v>
      </c>
      <c r="G4784">
        <v>55607186584</v>
      </c>
      <c r="H4784" t="s">
        <v>35</v>
      </c>
      <c r="I4784" s="36">
        <v>2874</v>
      </c>
      <c r="J4784" s="36">
        <v>2874</v>
      </c>
      <c r="K4784" s="85">
        <v>0</v>
      </c>
      <c r="L4784" s="36">
        <v>239.5</v>
      </c>
      <c r="M4784" s="36">
        <v>239.5</v>
      </c>
      <c r="N4784" s="36">
        <v>0</v>
      </c>
      <c r="O4784" s="36">
        <v>0</v>
      </c>
      <c r="Q4784" t="s">
        <v>498</v>
      </c>
      <c r="R4784" t="s">
        <v>498</v>
      </c>
      <c r="S4784" s="112">
        <v>46167</v>
      </c>
      <c r="T4784" s="112">
        <v>46167</v>
      </c>
      <c r="U4784" s="112"/>
      <c r="V4784" s="112">
        <v>46532</v>
      </c>
      <c r="W4784" t="s">
        <v>38</v>
      </c>
      <c r="X4784">
        <v>12</v>
      </c>
      <c r="Y4784" t="s">
        <v>49</v>
      </c>
      <c r="AA4784" t="s">
        <v>117</v>
      </c>
      <c r="AB4784">
        <v>1</v>
      </c>
      <c r="AC4784" t="s">
        <v>499</v>
      </c>
      <c r="AD4784" t="s">
        <v>140</v>
      </c>
      <c r="AE4784" t="s">
        <v>46</v>
      </c>
      <c r="AF4784" t="s">
        <v>119</v>
      </c>
      <c r="AG4784" t="str">
        <f t="shared" si="111"/>
        <v>À Vista</v>
      </c>
      <c r="AH4784" t="str">
        <f t="shared" si="112"/>
        <v/>
      </c>
    </row>
    <row r="4785" spans="1:34">
      <c r="A4785">
        <v>2026</v>
      </c>
      <c r="B4785">
        <v>5</v>
      </c>
      <c r="C4785" s="83">
        <v>26533178161</v>
      </c>
      <c r="D4785" t="s">
        <v>4089</v>
      </c>
      <c r="E4785">
        <v>60008209455</v>
      </c>
      <c r="F4785">
        <v>637548</v>
      </c>
      <c r="G4785">
        <v>54957112644</v>
      </c>
      <c r="H4785" t="s">
        <v>35</v>
      </c>
      <c r="I4785" s="36">
        <v>2874</v>
      </c>
      <c r="J4785" s="36">
        <v>2874</v>
      </c>
      <c r="K4785" s="85">
        <v>0</v>
      </c>
      <c r="L4785" s="36">
        <v>239.5</v>
      </c>
      <c r="M4785" s="36">
        <v>239.5</v>
      </c>
      <c r="N4785" s="36">
        <v>0</v>
      </c>
      <c r="O4785" s="36">
        <v>0</v>
      </c>
      <c r="P4785" t="s">
        <v>506</v>
      </c>
      <c r="Q4785" t="s">
        <v>300</v>
      </c>
      <c r="R4785" t="s">
        <v>300</v>
      </c>
      <c r="S4785" s="112">
        <v>46146</v>
      </c>
      <c r="T4785" s="112">
        <v>46146</v>
      </c>
      <c r="U4785" s="112"/>
      <c r="V4785" s="112">
        <v>46511</v>
      </c>
      <c r="W4785" t="s">
        <v>38</v>
      </c>
      <c r="X4785">
        <v>12</v>
      </c>
      <c r="Y4785" t="s">
        <v>49</v>
      </c>
      <c r="AA4785" t="s">
        <v>122</v>
      </c>
      <c r="AB4785">
        <v>12</v>
      </c>
      <c r="AC4785" t="s">
        <v>301</v>
      </c>
      <c r="AD4785" t="s">
        <v>118</v>
      </c>
      <c r="AE4785" t="s">
        <v>43</v>
      </c>
      <c r="AF4785" t="s">
        <v>119</v>
      </c>
      <c r="AG4785" t="str">
        <f t="shared" si="111"/>
        <v>Recorrente</v>
      </c>
      <c r="AH4785" t="str">
        <f t="shared" si="112"/>
        <v/>
      </c>
    </row>
    <row r="4786" spans="1:34">
      <c r="A4786">
        <v>2026</v>
      </c>
      <c r="B4786">
        <v>5</v>
      </c>
      <c r="C4786" s="83">
        <v>32949218207</v>
      </c>
      <c r="D4786" t="s">
        <v>4090</v>
      </c>
      <c r="E4786">
        <v>60050379539</v>
      </c>
      <c r="F4786">
        <v>629280</v>
      </c>
      <c r="G4786">
        <v>55073667421</v>
      </c>
      <c r="H4786" t="s">
        <v>35</v>
      </c>
      <c r="I4786" s="36">
        <v>2874</v>
      </c>
      <c r="J4786" s="36">
        <v>2874</v>
      </c>
      <c r="K4786" s="85">
        <v>0</v>
      </c>
      <c r="L4786" s="36">
        <v>239.5</v>
      </c>
      <c r="M4786" s="36">
        <v>0</v>
      </c>
      <c r="N4786" s="36">
        <v>0.5</v>
      </c>
      <c r="O4786" s="36">
        <v>239</v>
      </c>
      <c r="P4786" t="s">
        <v>137</v>
      </c>
      <c r="Q4786" t="s">
        <v>111</v>
      </c>
      <c r="R4786" t="s">
        <v>111</v>
      </c>
      <c r="S4786" s="112">
        <v>46148</v>
      </c>
      <c r="T4786" s="112">
        <v>46148</v>
      </c>
      <c r="U4786" s="112">
        <v>46147</v>
      </c>
      <c r="V4786" s="112">
        <v>46513</v>
      </c>
      <c r="W4786" t="s">
        <v>38</v>
      </c>
      <c r="X4786">
        <v>12</v>
      </c>
      <c r="Y4786" t="s">
        <v>49</v>
      </c>
      <c r="Z4786" t="s">
        <v>81</v>
      </c>
      <c r="AA4786" t="s">
        <v>122</v>
      </c>
      <c r="AB4786">
        <v>12</v>
      </c>
      <c r="AC4786" t="s">
        <v>113</v>
      </c>
      <c r="AD4786" t="s">
        <v>140</v>
      </c>
      <c r="AE4786" t="s">
        <v>46</v>
      </c>
      <c r="AF4786" t="s">
        <v>119</v>
      </c>
      <c r="AG4786" t="str">
        <f t="shared" si="111"/>
        <v>Recorrente</v>
      </c>
      <c r="AH4786" t="str">
        <f t="shared" si="112"/>
        <v/>
      </c>
    </row>
    <row r="4787" spans="1:34">
      <c r="A4787">
        <v>2026</v>
      </c>
      <c r="B4787">
        <v>5</v>
      </c>
      <c r="C4787" s="83">
        <v>34087279740</v>
      </c>
      <c r="D4787" t="s">
        <v>4091</v>
      </c>
      <c r="E4787">
        <v>59100635728</v>
      </c>
      <c r="F4787">
        <v>629861</v>
      </c>
      <c r="G4787">
        <v>54226653504</v>
      </c>
      <c r="H4787" t="s">
        <v>35</v>
      </c>
      <c r="I4787" s="36">
        <v>2874</v>
      </c>
      <c r="J4787" s="36">
        <v>2874</v>
      </c>
      <c r="K4787" s="85">
        <v>0</v>
      </c>
      <c r="L4787" s="36">
        <v>239.5</v>
      </c>
      <c r="M4787" s="36">
        <v>0</v>
      </c>
      <c r="N4787" s="36">
        <v>32.53</v>
      </c>
      <c r="O4787" s="36">
        <v>206.97</v>
      </c>
      <c r="P4787" t="s">
        <v>165</v>
      </c>
      <c r="Q4787" t="s">
        <v>166</v>
      </c>
      <c r="R4787" t="s">
        <v>166</v>
      </c>
      <c r="S4787" s="112">
        <v>46167</v>
      </c>
      <c r="T4787" s="112">
        <v>46167</v>
      </c>
      <c r="U4787" s="112">
        <v>46169</v>
      </c>
      <c r="V4787" s="112">
        <v>46534</v>
      </c>
      <c r="W4787" t="s">
        <v>38</v>
      </c>
      <c r="X4787">
        <v>12</v>
      </c>
      <c r="Y4787" t="s">
        <v>49</v>
      </c>
      <c r="Z4787" t="s">
        <v>81</v>
      </c>
      <c r="AA4787" t="s">
        <v>112</v>
      </c>
      <c r="AB4787">
        <v>12</v>
      </c>
      <c r="AC4787" t="s">
        <v>166</v>
      </c>
      <c r="AD4787" t="s">
        <v>140</v>
      </c>
      <c r="AE4787" t="s">
        <v>46</v>
      </c>
      <c r="AF4787" t="s">
        <v>119</v>
      </c>
      <c r="AG4787" t="str">
        <f t="shared" si="111"/>
        <v>CC 12x</v>
      </c>
      <c r="AH4787" t="str">
        <f t="shared" si="112"/>
        <v/>
      </c>
    </row>
    <row r="4788" spans="1:34">
      <c r="A4788">
        <v>2026</v>
      </c>
      <c r="B4788">
        <v>5</v>
      </c>
      <c r="C4788" s="83">
        <v>35461779050</v>
      </c>
      <c r="D4788" t="s">
        <v>4092</v>
      </c>
      <c r="E4788">
        <v>60327479716</v>
      </c>
      <c r="F4788">
        <v>637864</v>
      </c>
      <c r="G4788">
        <v>55340623126</v>
      </c>
      <c r="H4788" t="s">
        <v>35</v>
      </c>
      <c r="I4788" s="36">
        <v>2874</v>
      </c>
      <c r="J4788" s="36">
        <v>2874</v>
      </c>
      <c r="K4788" s="85">
        <v>0</v>
      </c>
      <c r="L4788" s="36">
        <v>239.5</v>
      </c>
      <c r="M4788" s="36">
        <v>239.5</v>
      </c>
      <c r="N4788" s="36">
        <v>0</v>
      </c>
      <c r="O4788" s="36">
        <v>0</v>
      </c>
      <c r="P4788" t="s">
        <v>348</v>
      </c>
      <c r="Q4788" t="s">
        <v>349</v>
      </c>
      <c r="R4788" t="s">
        <v>349</v>
      </c>
      <c r="S4788" s="112">
        <v>46161</v>
      </c>
      <c r="T4788" s="112">
        <v>46161</v>
      </c>
      <c r="U4788" s="112"/>
      <c r="V4788" s="112">
        <v>46527</v>
      </c>
      <c r="W4788" t="s">
        <v>38</v>
      </c>
      <c r="X4788">
        <v>12</v>
      </c>
      <c r="Y4788" t="s">
        <v>49</v>
      </c>
      <c r="AA4788" t="s">
        <v>112</v>
      </c>
      <c r="AB4788">
        <v>12</v>
      </c>
      <c r="AC4788" t="s">
        <v>350</v>
      </c>
      <c r="AD4788" t="s">
        <v>118</v>
      </c>
      <c r="AE4788" t="s">
        <v>43</v>
      </c>
      <c r="AF4788" t="s">
        <v>119</v>
      </c>
      <c r="AG4788" t="str">
        <f t="shared" si="111"/>
        <v>CC 12x</v>
      </c>
      <c r="AH4788" t="str">
        <f t="shared" si="112"/>
        <v/>
      </c>
    </row>
    <row r="4789" spans="1:34">
      <c r="A4789">
        <v>2026</v>
      </c>
      <c r="B4789">
        <v>5</v>
      </c>
      <c r="C4789" s="83">
        <v>38487370890</v>
      </c>
      <c r="D4789" t="s">
        <v>3823</v>
      </c>
      <c r="E4789">
        <v>60453581197</v>
      </c>
      <c r="F4789">
        <v>637837</v>
      </c>
      <c r="G4789">
        <v>55430217248</v>
      </c>
      <c r="H4789" t="s">
        <v>35</v>
      </c>
      <c r="I4789" s="36">
        <v>2874</v>
      </c>
      <c r="J4789" s="36">
        <v>2874</v>
      </c>
      <c r="K4789" s="85">
        <v>0</v>
      </c>
      <c r="L4789" s="36">
        <v>239.5</v>
      </c>
      <c r="M4789" s="36">
        <v>239.5</v>
      </c>
      <c r="N4789" s="36">
        <v>0</v>
      </c>
      <c r="O4789" s="36">
        <v>0</v>
      </c>
      <c r="Q4789" t="s">
        <v>498</v>
      </c>
      <c r="R4789" t="s">
        <v>498</v>
      </c>
      <c r="S4789" s="112">
        <v>46162</v>
      </c>
      <c r="T4789" s="112">
        <v>46162</v>
      </c>
      <c r="U4789" s="112"/>
      <c r="V4789" s="112">
        <v>46527</v>
      </c>
      <c r="W4789" t="s">
        <v>38</v>
      </c>
      <c r="X4789">
        <v>12</v>
      </c>
      <c r="Y4789" t="s">
        <v>49</v>
      </c>
      <c r="AA4789" t="s">
        <v>122</v>
      </c>
      <c r="AB4789">
        <v>12</v>
      </c>
      <c r="AC4789" t="s">
        <v>499</v>
      </c>
      <c r="AD4789" t="s">
        <v>140</v>
      </c>
      <c r="AE4789" t="s">
        <v>46</v>
      </c>
      <c r="AF4789" t="s">
        <v>119</v>
      </c>
      <c r="AG4789" t="str">
        <f t="shared" si="111"/>
        <v>Recorrente</v>
      </c>
      <c r="AH4789" t="str">
        <f t="shared" si="112"/>
        <v/>
      </c>
    </row>
    <row r="4790" spans="1:34">
      <c r="A4790">
        <v>2026</v>
      </c>
      <c r="B4790">
        <v>5</v>
      </c>
      <c r="C4790" s="83">
        <v>45777654040</v>
      </c>
      <c r="D4790" t="s">
        <v>4093</v>
      </c>
      <c r="E4790">
        <v>60456237984</v>
      </c>
      <c r="F4790">
        <v>637914</v>
      </c>
      <c r="G4790">
        <v>55555711125</v>
      </c>
      <c r="H4790" t="s">
        <v>35</v>
      </c>
      <c r="I4790" s="36">
        <v>2874</v>
      </c>
      <c r="J4790" s="36">
        <v>2874</v>
      </c>
      <c r="K4790" s="85">
        <v>0</v>
      </c>
      <c r="L4790" s="36">
        <v>239.5</v>
      </c>
      <c r="M4790" s="36">
        <v>0</v>
      </c>
      <c r="N4790" s="36">
        <v>239.5</v>
      </c>
      <c r="O4790" s="36">
        <v>0</v>
      </c>
      <c r="P4790" t="s">
        <v>367</v>
      </c>
      <c r="Q4790" t="s">
        <v>191</v>
      </c>
      <c r="R4790" t="s">
        <v>191</v>
      </c>
      <c r="S4790" s="112">
        <v>46163</v>
      </c>
      <c r="T4790" s="112">
        <v>46163</v>
      </c>
      <c r="U4790" s="112"/>
      <c r="V4790" s="112">
        <v>46528</v>
      </c>
      <c r="W4790" t="s">
        <v>38</v>
      </c>
      <c r="X4790">
        <v>12</v>
      </c>
      <c r="Y4790" t="s">
        <v>49</v>
      </c>
      <c r="AA4790" t="s">
        <v>122</v>
      </c>
      <c r="AB4790">
        <v>12</v>
      </c>
      <c r="AC4790" t="s">
        <v>192</v>
      </c>
      <c r="AD4790" t="s">
        <v>118</v>
      </c>
      <c r="AE4790" t="s">
        <v>43</v>
      </c>
      <c r="AF4790" t="s">
        <v>119</v>
      </c>
      <c r="AG4790" t="str">
        <f t="shared" ref="AG4790:AG4853" si="113">IF(IFERROR(SEARCH("Recorrente",AA4790),0)&gt;0,"Recorrente",IF(AB4790=1,"À Vista",IF(AB4790&lt;=3,"CC 3x",IF(AB4790&lt;=12,"CC 12x",IF(AB4790&gt;12,"Recorrente","")))))</f>
        <v>Recorrente</v>
      </c>
      <c r="AH4790" t="str">
        <f t="shared" ref="AH4790:AH4853" si="114">IF(AND(SUMIF(E:E,E4790,I:I)&gt;=400000,Q4790="B2G"),"n","")</f>
        <v/>
      </c>
    </row>
    <row r="4791" spans="1:34">
      <c r="A4791">
        <v>2026</v>
      </c>
      <c r="B4791">
        <v>5</v>
      </c>
      <c r="C4791" s="83">
        <v>54973114896</v>
      </c>
      <c r="D4791" t="s">
        <v>4094</v>
      </c>
      <c r="E4791">
        <v>60291264555</v>
      </c>
      <c r="F4791">
        <v>637820</v>
      </c>
      <c r="G4791">
        <v>55291665194</v>
      </c>
      <c r="H4791" t="s">
        <v>35</v>
      </c>
      <c r="I4791" s="36">
        <v>2874</v>
      </c>
      <c r="J4791" s="36">
        <v>2874</v>
      </c>
      <c r="K4791" s="85">
        <v>0</v>
      </c>
      <c r="L4791" s="36">
        <v>239.5</v>
      </c>
      <c r="M4791" s="36">
        <v>239.5</v>
      </c>
      <c r="N4791" s="36">
        <v>0</v>
      </c>
      <c r="O4791" s="36">
        <v>0</v>
      </c>
      <c r="Q4791" t="s">
        <v>498</v>
      </c>
      <c r="R4791" t="s">
        <v>498</v>
      </c>
      <c r="S4791" s="112">
        <v>46158</v>
      </c>
      <c r="T4791" s="112">
        <v>46158</v>
      </c>
      <c r="U4791" s="112"/>
      <c r="V4791" s="112">
        <v>46523</v>
      </c>
      <c r="W4791" t="s">
        <v>38</v>
      </c>
      <c r="X4791">
        <v>12</v>
      </c>
      <c r="Y4791" t="s">
        <v>49</v>
      </c>
      <c r="AA4791" t="s">
        <v>122</v>
      </c>
      <c r="AB4791">
        <v>12</v>
      </c>
      <c r="AC4791" t="s">
        <v>499</v>
      </c>
      <c r="AD4791" t="s">
        <v>118</v>
      </c>
      <c r="AE4791" t="s">
        <v>43</v>
      </c>
      <c r="AF4791" t="s">
        <v>119</v>
      </c>
      <c r="AG4791" t="str">
        <f t="shared" si="113"/>
        <v>Recorrente</v>
      </c>
      <c r="AH4791" t="str">
        <f t="shared" si="114"/>
        <v/>
      </c>
    </row>
    <row r="4792" spans="1:34">
      <c r="A4792">
        <v>2026</v>
      </c>
      <c r="B4792">
        <v>5</v>
      </c>
      <c r="C4792" s="83">
        <v>55359526032</v>
      </c>
      <c r="D4792" t="s">
        <v>4095</v>
      </c>
      <c r="E4792">
        <v>60720887383</v>
      </c>
      <c r="F4792">
        <v>638085</v>
      </c>
      <c r="G4792">
        <v>55696903085</v>
      </c>
      <c r="H4792" t="s">
        <v>35</v>
      </c>
      <c r="I4792" s="36">
        <v>2874</v>
      </c>
      <c r="J4792" s="36">
        <v>2874</v>
      </c>
      <c r="K4792" s="85">
        <v>0</v>
      </c>
      <c r="L4792" s="36">
        <v>239.5</v>
      </c>
      <c r="M4792" s="36">
        <v>239.5</v>
      </c>
      <c r="N4792" s="36">
        <v>0</v>
      </c>
      <c r="O4792" s="36">
        <v>0</v>
      </c>
      <c r="Q4792" t="s">
        <v>498</v>
      </c>
      <c r="R4792" t="s">
        <v>498</v>
      </c>
      <c r="S4792" s="112">
        <v>46171</v>
      </c>
      <c r="T4792" s="112">
        <v>46171</v>
      </c>
      <c r="U4792" s="112"/>
      <c r="V4792" s="112">
        <v>46536</v>
      </c>
      <c r="W4792" t="s">
        <v>38</v>
      </c>
      <c r="X4792">
        <v>12</v>
      </c>
      <c r="Y4792" t="s">
        <v>49</v>
      </c>
      <c r="AA4792" t="s">
        <v>117</v>
      </c>
      <c r="AB4792">
        <v>1</v>
      </c>
      <c r="AC4792" t="s">
        <v>499</v>
      </c>
      <c r="AD4792" t="s">
        <v>140</v>
      </c>
      <c r="AE4792" t="s">
        <v>46</v>
      </c>
      <c r="AF4792" t="s">
        <v>119</v>
      </c>
      <c r="AG4792" t="str">
        <f t="shared" si="113"/>
        <v>À Vista</v>
      </c>
      <c r="AH4792" t="str">
        <f t="shared" si="114"/>
        <v/>
      </c>
    </row>
    <row r="4793" spans="1:34">
      <c r="A4793">
        <v>2026</v>
      </c>
      <c r="B4793">
        <v>5</v>
      </c>
      <c r="C4793" s="83">
        <v>6961351463</v>
      </c>
      <c r="D4793" t="s">
        <v>4096</v>
      </c>
      <c r="E4793">
        <v>60667630469</v>
      </c>
      <c r="F4793">
        <v>638013</v>
      </c>
      <c r="G4793">
        <v>55644284468</v>
      </c>
      <c r="H4793" t="s">
        <v>35</v>
      </c>
      <c r="I4793" s="36">
        <v>2874</v>
      </c>
      <c r="J4793" s="36">
        <v>2874</v>
      </c>
      <c r="K4793" s="85">
        <v>0</v>
      </c>
      <c r="L4793" s="36">
        <v>239.5</v>
      </c>
      <c r="M4793" s="36">
        <v>239.5</v>
      </c>
      <c r="N4793" s="36">
        <v>0</v>
      </c>
      <c r="O4793" s="36">
        <v>0</v>
      </c>
      <c r="Q4793" t="s">
        <v>498</v>
      </c>
      <c r="R4793" t="s">
        <v>498</v>
      </c>
      <c r="S4793" s="112">
        <v>46169</v>
      </c>
      <c r="T4793" s="112">
        <v>46169</v>
      </c>
      <c r="U4793" s="112"/>
      <c r="V4793" s="112">
        <v>46534</v>
      </c>
      <c r="W4793" t="s">
        <v>38</v>
      </c>
      <c r="X4793">
        <v>12</v>
      </c>
      <c r="Y4793" t="s">
        <v>49</v>
      </c>
      <c r="AA4793" t="s">
        <v>122</v>
      </c>
      <c r="AB4793">
        <v>12</v>
      </c>
      <c r="AC4793" t="s">
        <v>499</v>
      </c>
      <c r="AD4793" t="s">
        <v>140</v>
      </c>
      <c r="AE4793" t="s">
        <v>46</v>
      </c>
      <c r="AF4793" t="s">
        <v>119</v>
      </c>
      <c r="AG4793" t="str">
        <f t="shared" si="113"/>
        <v>Recorrente</v>
      </c>
      <c r="AH4793" t="str">
        <f t="shared" si="114"/>
        <v/>
      </c>
    </row>
    <row r="4794" spans="1:34">
      <c r="A4794">
        <v>2026</v>
      </c>
      <c r="B4794">
        <v>5</v>
      </c>
      <c r="C4794" s="83">
        <v>97416132505</v>
      </c>
      <c r="D4794" t="s">
        <v>4097</v>
      </c>
      <c r="E4794">
        <v>58223478648</v>
      </c>
      <c r="F4794">
        <v>629347</v>
      </c>
      <c r="G4794">
        <v>53414623800</v>
      </c>
      <c r="H4794" t="s">
        <v>35</v>
      </c>
      <c r="I4794" s="36">
        <v>2874</v>
      </c>
      <c r="J4794" s="36">
        <v>2874</v>
      </c>
      <c r="K4794" s="85">
        <v>0</v>
      </c>
      <c r="L4794" s="36">
        <v>239.5</v>
      </c>
      <c r="M4794" s="36">
        <v>0</v>
      </c>
      <c r="N4794" s="36">
        <v>0.5</v>
      </c>
      <c r="O4794" s="36">
        <v>239</v>
      </c>
      <c r="P4794" t="s">
        <v>165</v>
      </c>
      <c r="Q4794" t="s">
        <v>166</v>
      </c>
      <c r="R4794" t="s">
        <v>166</v>
      </c>
      <c r="S4794" s="112">
        <v>46148</v>
      </c>
      <c r="T4794" s="112">
        <v>46148</v>
      </c>
      <c r="U4794" s="112">
        <v>46148</v>
      </c>
      <c r="V4794" s="112">
        <v>46513</v>
      </c>
      <c r="W4794" t="s">
        <v>38</v>
      </c>
      <c r="X4794">
        <v>12</v>
      </c>
      <c r="Y4794" t="s">
        <v>49</v>
      </c>
      <c r="Z4794" t="s">
        <v>81</v>
      </c>
      <c r="AA4794" t="s">
        <v>112</v>
      </c>
      <c r="AB4794">
        <v>12</v>
      </c>
      <c r="AC4794" t="s">
        <v>166</v>
      </c>
      <c r="AD4794" t="s">
        <v>118</v>
      </c>
      <c r="AE4794" t="s">
        <v>43</v>
      </c>
      <c r="AF4794" t="s">
        <v>119</v>
      </c>
      <c r="AG4794" t="str">
        <f t="shared" si="113"/>
        <v>CC 12x</v>
      </c>
      <c r="AH4794" t="str">
        <f t="shared" si="114"/>
        <v/>
      </c>
    </row>
    <row r="4795" spans="1:34">
      <c r="A4795">
        <v>2026</v>
      </c>
      <c r="B4795">
        <v>5</v>
      </c>
      <c r="C4795" s="83">
        <v>222588236422</v>
      </c>
      <c r="D4795" t="s">
        <v>4098</v>
      </c>
      <c r="E4795">
        <v>60330053494</v>
      </c>
      <c r="F4795">
        <v>637821</v>
      </c>
      <c r="G4795">
        <v>55321940849</v>
      </c>
      <c r="H4795" t="s">
        <v>35</v>
      </c>
      <c r="I4795" s="36">
        <v>2864.16</v>
      </c>
      <c r="J4795" s="36">
        <v>2882.04</v>
      </c>
      <c r="K4795" s="85">
        <v>0</v>
      </c>
      <c r="L4795" s="36">
        <v>240.17</v>
      </c>
      <c r="M4795" s="36">
        <v>0</v>
      </c>
      <c r="N4795" s="36">
        <v>240.17</v>
      </c>
      <c r="O4795" s="36">
        <v>0</v>
      </c>
      <c r="P4795" t="s">
        <v>2004</v>
      </c>
      <c r="Q4795" t="s">
        <v>300</v>
      </c>
      <c r="R4795" t="s">
        <v>300</v>
      </c>
      <c r="S4795" s="112">
        <v>46160</v>
      </c>
      <c r="T4795" s="112">
        <v>46160</v>
      </c>
      <c r="U4795" s="112">
        <v>46523</v>
      </c>
      <c r="V4795" s="112">
        <v>46523</v>
      </c>
      <c r="W4795" t="s">
        <v>38</v>
      </c>
      <c r="X4795">
        <v>12</v>
      </c>
      <c r="Y4795" t="s">
        <v>49</v>
      </c>
      <c r="Z4795" t="s">
        <v>324</v>
      </c>
      <c r="AA4795" t="s">
        <v>122</v>
      </c>
      <c r="AB4795">
        <v>11</v>
      </c>
      <c r="AC4795" t="s">
        <v>301</v>
      </c>
      <c r="AD4795" t="s">
        <v>138</v>
      </c>
      <c r="AE4795" t="s">
        <v>135</v>
      </c>
      <c r="AF4795" t="s">
        <v>119</v>
      </c>
      <c r="AG4795" t="str">
        <f t="shared" si="113"/>
        <v>Recorrente</v>
      </c>
      <c r="AH4795" t="str">
        <f t="shared" si="114"/>
        <v/>
      </c>
    </row>
    <row r="4796" spans="1:34">
      <c r="A4796">
        <v>2026</v>
      </c>
      <c r="B4796">
        <v>5</v>
      </c>
      <c r="C4796" s="83">
        <v>54287837551</v>
      </c>
      <c r="D4796" t="s">
        <v>4099</v>
      </c>
      <c r="E4796">
        <v>60231754073</v>
      </c>
      <c r="F4796">
        <v>637778</v>
      </c>
      <c r="G4796">
        <v>55241700687</v>
      </c>
      <c r="H4796" t="s">
        <v>35</v>
      </c>
      <c r="I4796" s="36">
        <v>2816.52</v>
      </c>
      <c r="J4796" s="36">
        <v>2816.52</v>
      </c>
      <c r="K4796" s="85">
        <v>0</v>
      </c>
      <c r="L4796" s="36">
        <v>234.71</v>
      </c>
      <c r="M4796" s="36">
        <v>234.71</v>
      </c>
      <c r="N4796" s="36">
        <v>0</v>
      </c>
      <c r="O4796" s="36">
        <v>0</v>
      </c>
      <c r="P4796" t="s">
        <v>2004</v>
      </c>
      <c r="Q4796" t="s">
        <v>300</v>
      </c>
      <c r="R4796" t="s">
        <v>300</v>
      </c>
      <c r="S4796" s="112">
        <v>46155</v>
      </c>
      <c r="T4796" s="112">
        <v>46155</v>
      </c>
      <c r="U4796" s="112"/>
      <c r="V4796" s="112">
        <v>46520</v>
      </c>
      <c r="W4796" t="s">
        <v>38</v>
      </c>
      <c r="X4796">
        <v>12</v>
      </c>
      <c r="Y4796" t="s">
        <v>49</v>
      </c>
      <c r="AA4796" t="s">
        <v>122</v>
      </c>
      <c r="AB4796">
        <v>12</v>
      </c>
      <c r="AC4796" t="s">
        <v>301</v>
      </c>
      <c r="AD4796" t="s">
        <v>140</v>
      </c>
      <c r="AE4796" t="s">
        <v>46</v>
      </c>
      <c r="AF4796" t="s">
        <v>119</v>
      </c>
      <c r="AG4796" t="str">
        <f t="shared" si="113"/>
        <v>Recorrente</v>
      </c>
      <c r="AH4796" t="str">
        <f t="shared" si="114"/>
        <v/>
      </c>
    </row>
    <row r="4797" spans="1:34">
      <c r="A4797">
        <v>2026</v>
      </c>
      <c r="B4797">
        <v>5</v>
      </c>
      <c r="C4797" s="83">
        <v>2099203</v>
      </c>
      <c r="D4797" t="s">
        <v>4100</v>
      </c>
      <c r="E4797">
        <v>60203230226</v>
      </c>
      <c r="F4797">
        <v>625687</v>
      </c>
      <c r="G4797">
        <v>55237389967</v>
      </c>
      <c r="H4797" t="s">
        <v>35</v>
      </c>
      <c r="I4797" s="36">
        <v>2791.08</v>
      </c>
      <c r="J4797" s="36">
        <v>4029.72</v>
      </c>
      <c r="K4797" s="85">
        <v>0</v>
      </c>
      <c r="L4797" s="36">
        <v>335.81</v>
      </c>
      <c r="M4797" s="36">
        <v>0</v>
      </c>
      <c r="N4797" s="36">
        <v>335.81</v>
      </c>
      <c r="O4797" s="36">
        <v>0</v>
      </c>
      <c r="P4797" t="s">
        <v>469</v>
      </c>
      <c r="Q4797" t="s">
        <v>191</v>
      </c>
      <c r="R4797" t="s">
        <v>191</v>
      </c>
      <c r="S4797" s="112">
        <v>46154</v>
      </c>
      <c r="T4797" s="112">
        <v>46154</v>
      </c>
      <c r="U4797" s="112">
        <v>46407</v>
      </c>
      <c r="V4797" s="112">
        <v>46407</v>
      </c>
      <c r="W4797" t="s">
        <v>38</v>
      </c>
      <c r="X4797">
        <v>8</v>
      </c>
      <c r="Y4797" t="s">
        <v>49</v>
      </c>
      <c r="Z4797" t="s">
        <v>324</v>
      </c>
      <c r="AA4797" t="s">
        <v>112</v>
      </c>
      <c r="AB4797">
        <v>9</v>
      </c>
      <c r="AC4797" t="s">
        <v>192</v>
      </c>
      <c r="AD4797" t="s">
        <v>85</v>
      </c>
      <c r="AE4797" t="s">
        <v>46</v>
      </c>
      <c r="AF4797" t="s">
        <v>44</v>
      </c>
      <c r="AG4797" t="str">
        <f t="shared" si="113"/>
        <v>CC 12x</v>
      </c>
      <c r="AH4797" t="str">
        <f t="shared" si="114"/>
        <v/>
      </c>
    </row>
    <row r="4798" spans="1:34">
      <c r="A4798">
        <v>2026</v>
      </c>
      <c r="B4798">
        <v>5</v>
      </c>
      <c r="C4798" s="83">
        <v>20945088774</v>
      </c>
      <c r="D4798" t="s">
        <v>1470</v>
      </c>
      <c r="E4798">
        <v>60157771022</v>
      </c>
      <c r="F4798">
        <v>629461</v>
      </c>
      <c r="G4798">
        <v>55196502788</v>
      </c>
      <c r="H4798" t="s">
        <v>35</v>
      </c>
      <c r="I4798" s="36">
        <v>2787.72</v>
      </c>
      <c r="J4798" s="36">
        <v>2787.72</v>
      </c>
      <c r="K4798" s="85">
        <v>0</v>
      </c>
      <c r="L4798" s="36">
        <v>232.31</v>
      </c>
      <c r="M4798" s="36">
        <v>0</v>
      </c>
      <c r="N4798" s="36">
        <v>0</v>
      </c>
      <c r="O4798" s="36">
        <v>232.315</v>
      </c>
      <c r="P4798" t="s">
        <v>162</v>
      </c>
      <c r="Q4798" t="s">
        <v>111</v>
      </c>
      <c r="R4798" t="s">
        <v>111</v>
      </c>
      <c r="S4798" s="112">
        <v>46153</v>
      </c>
      <c r="T4798" s="112">
        <v>46153</v>
      </c>
      <c r="U4798" s="112">
        <v>46150</v>
      </c>
      <c r="V4798" s="112">
        <v>46518</v>
      </c>
      <c r="W4798" t="s">
        <v>38</v>
      </c>
      <c r="X4798">
        <v>12</v>
      </c>
      <c r="Y4798" t="s">
        <v>49</v>
      </c>
      <c r="Z4798" t="s">
        <v>81</v>
      </c>
      <c r="AA4798" t="s">
        <v>112</v>
      </c>
      <c r="AB4798">
        <v>12</v>
      </c>
      <c r="AC4798" t="s">
        <v>113</v>
      </c>
      <c r="AD4798" t="s">
        <v>140</v>
      </c>
      <c r="AE4798" t="s">
        <v>46</v>
      </c>
      <c r="AF4798" t="s">
        <v>119</v>
      </c>
      <c r="AG4798" t="str">
        <f t="shared" si="113"/>
        <v>CC 12x</v>
      </c>
      <c r="AH4798" t="str">
        <f t="shared" si="114"/>
        <v/>
      </c>
    </row>
    <row r="4799" spans="1:34">
      <c r="A4799">
        <v>2026</v>
      </c>
      <c r="B4799">
        <v>5</v>
      </c>
      <c r="C4799" s="83">
        <v>20945088774</v>
      </c>
      <c r="D4799" t="s">
        <v>1470</v>
      </c>
      <c r="E4799">
        <v>60157771022</v>
      </c>
      <c r="F4799">
        <v>629461</v>
      </c>
      <c r="G4799">
        <v>55196502789</v>
      </c>
      <c r="H4799" t="s">
        <v>35</v>
      </c>
      <c r="I4799" s="36">
        <v>2787.72</v>
      </c>
      <c r="J4799" s="36">
        <v>2787.72</v>
      </c>
      <c r="K4799" s="85">
        <v>0</v>
      </c>
      <c r="L4799" s="36">
        <v>232.31</v>
      </c>
      <c r="M4799" s="36">
        <v>0</v>
      </c>
      <c r="N4799" s="36">
        <v>0</v>
      </c>
      <c r="O4799" s="36">
        <v>232.315</v>
      </c>
      <c r="P4799" t="s">
        <v>162</v>
      </c>
      <c r="Q4799" t="s">
        <v>111</v>
      </c>
      <c r="R4799" t="s">
        <v>111</v>
      </c>
      <c r="S4799" s="112">
        <v>46153</v>
      </c>
      <c r="T4799" s="112">
        <v>46153</v>
      </c>
      <c r="U4799" s="112">
        <v>46150</v>
      </c>
      <c r="V4799" s="112">
        <v>46518</v>
      </c>
      <c r="W4799" t="s">
        <v>38</v>
      </c>
      <c r="X4799">
        <v>12</v>
      </c>
      <c r="Y4799" t="s">
        <v>49</v>
      </c>
      <c r="Z4799" t="s">
        <v>81</v>
      </c>
      <c r="AA4799" t="s">
        <v>112</v>
      </c>
      <c r="AB4799">
        <v>12</v>
      </c>
      <c r="AC4799" t="s">
        <v>113</v>
      </c>
      <c r="AD4799" t="s">
        <v>140</v>
      </c>
      <c r="AE4799" t="s">
        <v>46</v>
      </c>
      <c r="AF4799" t="s">
        <v>119</v>
      </c>
      <c r="AG4799" t="str">
        <f t="shared" si="113"/>
        <v>CC 12x</v>
      </c>
      <c r="AH4799" t="str">
        <f t="shared" si="114"/>
        <v/>
      </c>
    </row>
    <row r="4800" spans="1:34">
      <c r="A4800">
        <v>2026</v>
      </c>
      <c r="B4800">
        <v>5</v>
      </c>
      <c r="C4800" s="83">
        <v>20945088774</v>
      </c>
      <c r="D4800" t="s">
        <v>1470</v>
      </c>
      <c r="E4800">
        <v>60157771022</v>
      </c>
      <c r="F4800">
        <v>629461</v>
      </c>
      <c r="G4800">
        <v>55196502790</v>
      </c>
      <c r="H4800" t="s">
        <v>35</v>
      </c>
      <c r="I4800" s="36">
        <v>2787.72</v>
      </c>
      <c r="J4800" s="36">
        <v>2787.72</v>
      </c>
      <c r="K4800" s="85">
        <v>0</v>
      </c>
      <c r="L4800" s="36">
        <v>232.31</v>
      </c>
      <c r="M4800" s="36">
        <v>0</v>
      </c>
      <c r="N4800" s="36">
        <v>0</v>
      </c>
      <c r="O4800" s="36">
        <v>232.315</v>
      </c>
      <c r="P4800" t="s">
        <v>162</v>
      </c>
      <c r="Q4800" t="s">
        <v>111</v>
      </c>
      <c r="R4800" t="s">
        <v>111</v>
      </c>
      <c r="S4800" s="112">
        <v>46153</v>
      </c>
      <c r="T4800" s="112">
        <v>46153</v>
      </c>
      <c r="U4800" s="112">
        <v>46150</v>
      </c>
      <c r="V4800" s="112">
        <v>46518</v>
      </c>
      <c r="W4800" t="s">
        <v>38</v>
      </c>
      <c r="X4800">
        <v>12</v>
      </c>
      <c r="Y4800" t="s">
        <v>49</v>
      </c>
      <c r="Z4800" t="s">
        <v>81</v>
      </c>
      <c r="AA4800" t="s">
        <v>112</v>
      </c>
      <c r="AB4800">
        <v>12</v>
      </c>
      <c r="AC4800" t="s">
        <v>113</v>
      </c>
      <c r="AD4800" t="s">
        <v>118</v>
      </c>
      <c r="AE4800" t="s">
        <v>43</v>
      </c>
      <c r="AF4800" t="s">
        <v>119</v>
      </c>
      <c r="AG4800" t="str">
        <f t="shared" si="113"/>
        <v>CC 12x</v>
      </c>
      <c r="AH4800" t="str">
        <f t="shared" si="114"/>
        <v/>
      </c>
    </row>
    <row r="4801" spans="1:34">
      <c r="A4801">
        <v>2026</v>
      </c>
      <c r="B4801">
        <v>5</v>
      </c>
      <c r="C4801" s="83">
        <v>55328692615</v>
      </c>
      <c r="D4801" t="s">
        <v>4101</v>
      </c>
      <c r="E4801">
        <v>60672563501</v>
      </c>
      <c r="F4801">
        <v>638029</v>
      </c>
      <c r="G4801">
        <v>55647316631</v>
      </c>
      <c r="H4801" t="s">
        <v>35</v>
      </c>
      <c r="I4801" s="36">
        <v>2787.72</v>
      </c>
      <c r="J4801" s="36">
        <v>2787.78</v>
      </c>
      <c r="K4801" s="85">
        <v>0</v>
      </c>
      <c r="L4801" s="36">
        <v>232.315</v>
      </c>
      <c r="M4801" s="36">
        <v>232.315</v>
      </c>
      <c r="N4801" s="36">
        <v>0</v>
      </c>
      <c r="O4801" s="36">
        <v>0</v>
      </c>
      <c r="P4801" t="s">
        <v>348</v>
      </c>
      <c r="Q4801" t="s">
        <v>349</v>
      </c>
      <c r="R4801" t="s">
        <v>349</v>
      </c>
      <c r="S4801" s="112">
        <v>46169</v>
      </c>
      <c r="T4801" s="112">
        <v>46169</v>
      </c>
      <c r="U4801" s="112"/>
      <c r="V4801" s="112">
        <v>46536</v>
      </c>
      <c r="W4801" t="s">
        <v>38</v>
      </c>
      <c r="X4801">
        <v>12</v>
      </c>
      <c r="Y4801" t="s">
        <v>49</v>
      </c>
      <c r="AA4801" t="s">
        <v>112</v>
      </c>
      <c r="AB4801">
        <v>12</v>
      </c>
      <c r="AC4801" t="s">
        <v>350</v>
      </c>
      <c r="AD4801" t="s">
        <v>118</v>
      </c>
      <c r="AE4801" t="s">
        <v>43</v>
      </c>
      <c r="AF4801" t="s">
        <v>119</v>
      </c>
      <c r="AG4801" t="str">
        <f t="shared" si="113"/>
        <v>CC 12x</v>
      </c>
      <c r="AH4801" t="str">
        <f t="shared" si="114"/>
        <v/>
      </c>
    </row>
    <row r="4802" spans="1:34">
      <c r="A4802">
        <v>2026</v>
      </c>
      <c r="B4802">
        <v>5</v>
      </c>
      <c r="C4802" s="83">
        <v>2139762</v>
      </c>
      <c r="D4802" t="s">
        <v>4102</v>
      </c>
      <c r="E4802">
        <v>59848966966</v>
      </c>
      <c r="F4802">
        <v>510975</v>
      </c>
      <c r="G4802">
        <v>55340601168</v>
      </c>
      <c r="H4802" t="s">
        <v>35</v>
      </c>
      <c r="I4802" s="36">
        <v>2773.26</v>
      </c>
      <c r="J4802" s="36">
        <v>2773.26</v>
      </c>
      <c r="K4802" s="85">
        <v>0</v>
      </c>
      <c r="L4802" s="36">
        <v>231.10499999999999</v>
      </c>
      <c r="M4802" s="36">
        <v>0</v>
      </c>
      <c r="N4802" s="36">
        <v>38.5767375</v>
      </c>
      <c r="O4802" s="36">
        <v>192.52500000000001</v>
      </c>
      <c r="P4802" t="s">
        <v>116</v>
      </c>
      <c r="Q4802" t="s">
        <v>111</v>
      </c>
      <c r="R4802" t="s">
        <v>111</v>
      </c>
      <c r="S4802" s="112">
        <v>46167</v>
      </c>
      <c r="T4802" s="112">
        <v>46167</v>
      </c>
      <c r="U4802" s="112">
        <v>46172</v>
      </c>
      <c r="V4802" s="112">
        <v>46537</v>
      </c>
      <c r="W4802" t="s">
        <v>38</v>
      </c>
      <c r="X4802">
        <v>12</v>
      </c>
      <c r="Y4802" t="s">
        <v>49</v>
      </c>
      <c r="Z4802" t="s">
        <v>76</v>
      </c>
      <c r="AA4802" t="s">
        <v>122</v>
      </c>
      <c r="AB4802">
        <v>12</v>
      </c>
      <c r="AC4802" t="s">
        <v>113</v>
      </c>
      <c r="AD4802" t="s">
        <v>243</v>
      </c>
      <c r="AE4802" t="s">
        <v>95</v>
      </c>
      <c r="AF4802" t="s">
        <v>244</v>
      </c>
      <c r="AG4802" t="str">
        <f t="shared" si="113"/>
        <v>Recorrente</v>
      </c>
      <c r="AH4802" t="str">
        <f t="shared" si="114"/>
        <v/>
      </c>
    </row>
    <row r="4803" spans="1:34">
      <c r="A4803">
        <v>2026</v>
      </c>
      <c r="B4803">
        <v>5</v>
      </c>
      <c r="C4803" s="83">
        <v>2139762</v>
      </c>
      <c r="D4803" t="s">
        <v>4102</v>
      </c>
      <c r="E4803">
        <v>59848966966</v>
      </c>
      <c r="F4803">
        <v>510975</v>
      </c>
      <c r="G4803">
        <v>55340601169</v>
      </c>
      <c r="H4803" t="s">
        <v>35</v>
      </c>
      <c r="I4803" s="36">
        <v>2773.26</v>
      </c>
      <c r="J4803" s="36">
        <v>2773.26</v>
      </c>
      <c r="K4803" s="85">
        <v>0</v>
      </c>
      <c r="L4803" s="36">
        <v>231.10499999999999</v>
      </c>
      <c r="M4803" s="36">
        <v>0</v>
      </c>
      <c r="N4803" s="36">
        <v>38.5767375</v>
      </c>
      <c r="O4803" s="36">
        <v>192.52500000000001</v>
      </c>
      <c r="P4803" t="s">
        <v>116</v>
      </c>
      <c r="Q4803" t="s">
        <v>111</v>
      </c>
      <c r="R4803" t="s">
        <v>111</v>
      </c>
      <c r="S4803" s="112">
        <v>46167</v>
      </c>
      <c r="T4803" s="112">
        <v>46167</v>
      </c>
      <c r="U4803" s="112">
        <v>46172</v>
      </c>
      <c r="V4803" s="112">
        <v>46537</v>
      </c>
      <c r="W4803" t="s">
        <v>38</v>
      </c>
      <c r="X4803">
        <v>12</v>
      </c>
      <c r="Y4803" t="s">
        <v>49</v>
      </c>
      <c r="Z4803" t="s">
        <v>76</v>
      </c>
      <c r="AA4803" t="s">
        <v>122</v>
      </c>
      <c r="AB4803">
        <v>12</v>
      </c>
      <c r="AC4803" t="s">
        <v>113</v>
      </c>
      <c r="AD4803" t="s">
        <v>85</v>
      </c>
      <c r="AE4803" t="s">
        <v>46</v>
      </c>
      <c r="AF4803" t="s">
        <v>44</v>
      </c>
      <c r="AG4803" t="str">
        <f t="shared" si="113"/>
        <v>Recorrente</v>
      </c>
      <c r="AH4803" t="str">
        <f t="shared" si="114"/>
        <v/>
      </c>
    </row>
    <row r="4804" spans="1:34">
      <c r="A4804">
        <v>2026</v>
      </c>
      <c r="B4804">
        <v>5</v>
      </c>
      <c r="C4804" s="83">
        <v>185918634541</v>
      </c>
      <c r="D4804" t="s">
        <v>1107</v>
      </c>
      <c r="E4804">
        <v>60174263892</v>
      </c>
      <c r="F4804">
        <v>636074</v>
      </c>
      <c r="G4804">
        <v>55188175169</v>
      </c>
      <c r="H4804" t="s">
        <v>35</v>
      </c>
      <c r="I4804" s="36">
        <v>2768.52</v>
      </c>
      <c r="J4804" s="36">
        <v>3650.76</v>
      </c>
      <c r="K4804" s="85">
        <v>0</v>
      </c>
      <c r="L4804" s="36">
        <v>304.23</v>
      </c>
      <c r="M4804" s="36">
        <v>0</v>
      </c>
      <c r="N4804" s="36">
        <v>304.23</v>
      </c>
      <c r="O4804" s="36">
        <v>0</v>
      </c>
      <c r="P4804" t="s">
        <v>469</v>
      </c>
      <c r="Q4804" t="s">
        <v>191</v>
      </c>
      <c r="R4804" t="s">
        <v>191</v>
      </c>
      <c r="S4804" s="112">
        <v>46153</v>
      </c>
      <c r="T4804" s="112">
        <v>46153</v>
      </c>
      <c r="U4804" s="112">
        <v>46430</v>
      </c>
      <c r="V4804" s="112">
        <v>46430</v>
      </c>
      <c r="W4804" t="s">
        <v>38</v>
      </c>
      <c r="X4804">
        <v>9</v>
      </c>
      <c r="Y4804" t="s">
        <v>49</v>
      </c>
      <c r="Z4804" t="s">
        <v>324</v>
      </c>
      <c r="AA4804" t="s">
        <v>122</v>
      </c>
      <c r="AB4804">
        <v>9</v>
      </c>
      <c r="AC4804" t="s">
        <v>192</v>
      </c>
      <c r="AD4804" t="s">
        <v>134</v>
      </c>
      <c r="AE4804" t="s">
        <v>135</v>
      </c>
      <c r="AF4804" t="s">
        <v>44</v>
      </c>
      <c r="AG4804" t="str">
        <f t="shared" si="113"/>
        <v>Recorrente</v>
      </c>
      <c r="AH4804" t="str">
        <f t="shared" si="114"/>
        <v/>
      </c>
    </row>
    <row r="4805" spans="1:34">
      <c r="A4805">
        <v>2026</v>
      </c>
      <c r="B4805">
        <v>5</v>
      </c>
      <c r="C4805" s="83">
        <v>2099165</v>
      </c>
      <c r="D4805" t="s">
        <v>2352</v>
      </c>
      <c r="E4805">
        <v>60716475161</v>
      </c>
      <c r="F4805">
        <v>328038</v>
      </c>
      <c r="G4805">
        <v>55687734312</v>
      </c>
      <c r="H4805" t="s">
        <v>35</v>
      </c>
      <c r="I4805" s="36">
        <v>2768.4</v>
      </c>
      <c r="J4805" s="36">
        <v>3650.64</v>
      </c>
      <c r="K4805" s="85">
        <v>0</v>
      </c>
      <c r="L4805" s="36">
        <v>304.22000000000003</v>
      </c>
      <c r="M4805" s="36">
        <v>0</v>
      </c>
      <c r="N4805" s="36">
        <v>304.22000000000003</v>
      </c>
      <c r="O4805" s="36">
        <v>0</v>
      </c>
      <c r="P4805" t="s">
        <v>804</v>
      </c>
      <c r="Q4805" t="s">
        <v>191</v>
      </c>
      <c r="R4805" t="s">
        <v>191</v>
      </c>
      <c r="S4805" s="112">
        <v>46171</v>
      </c>
      <c r="T4805" s="112">
        <v>46171</v>
      </c>
      <c r="U4805" s="112">
        <v>46448</v>
      </c>
      <c r="V4805" s="112">
        <v>46448</v>
      </c>
      <c r="W4805" t="s">
        <v>38</v>
      </c>
      <c r="X4805">
        <v>10</v>
      </c>
      <c r="Y4805" t="s">
        <v>49</v>
      </c>
      <c r="Z4805" t="s">
        <v>324</v>
      </c>
      <c r="AA4805" t="s">
        <v>112</v>
      </c>
      <c r="AB4805">
        <v>9</v>
      </c>
      <c r="AC4805" t="s">
        <v>192</v>
      </c>
      <c r="AD4805" t="s">
        <v>134</v>
      </c>
      <c r="AE4805" t="s">
        <v>135</v>
      </c>
      <c r="AF4805" t="s">
        <v>44</v>
      </c>
      <c r="AG4805" t="str">
        <f t="shared" si="113"/>
        <v>CC 12x</v>
      </c>
      <c r="AH4805" t="str">
        <f t="shared" si="114"/>
        <v/>
      </c>
    </row>
    <row r="4806" spans="1:34">
      <c r="A4806">
        <v>2026</v>
      </c>
      <c r="B4806">
        <v>5</v>
      </c>
      <c r="C4806" s="83">
        <v>19435662179</v>
      </c>
      <c r="D4806" t="s">
        <v>4103</v>
      </c>
      <c r="E4806">
        <v>60548007684</v>
      </c>
      <c r="F4806">
        <v>632490</v>
      </c>
      <c r="G4806">
        <v>55519592300</v>
      </c>
      <c r="H4806" t="s">
        <v>35</v>
      </c>
      <c r="I4806" s="36">
        <v>2764.8</v>
      </c>
      <c r="J4806" s="36">
        <v>1200.8399999999999</v>
      </c>
      <c r="K4806" s="85">
        <v>1563.96</v>
      </c>
      <c r="L4806" s="36">
        <v>100.07</v>
      </c>
      <c r="M4806" s="36">
        <v>0</v>
      </c>
      <c r="N4806" s="36">
        <v>100.07</v>
      </c>
      <c r="O4806" s="36">
        <v>0</v>
      </c>
      <c r="P4806" t="s">
        <v>323</v>
      </c>
      <c r="Q4806" t="s">
        <v>191</v>
      </c>
      <c r="R4806" t="s">
        <v>191</v>
      </c>
      <c r="S4806" s="112">
        <v>46163</v>
      </c>
      <c r="T4806" s="112">
        <v>46163</v>
      </c>
      <c r="U4806" s="112">
        <v>47004</v>
      </c>
      <c r="V4806" s="112">
        <v>47004</v>
      </c>
      <c r="W4806" t="s">
        <v>102</v>
      </c>
      <c r="X4806">
        <v>28</v>
      </c>
      <c r="Y4806" t="s">
        <v>49</v>
      </c>
      <c r="Z4806" t="s">
        <v>324</v>
      </c>
      <c r="AA4806" t="s">
        <v>122</v>
      </c>
      <c r="AB4806">
        <v>27</v>
      </c>
      <c r="AC4806" t="s">
        <v>192</v>
      </c>
      <c r="AD4806" t="s">
        <v>174</v>
      </c>
      <c r="AE4806" t="s">
        <v>43</v>
      </c>
      <c r="AF4806" t="s">
        <v>47</v>
      </c>
      <c r="AG4806" t="str">
        <f t="shared" si="113"/>
        <v>Recorrente</v>
      </c>
      <c r="AH4806" t="str">
        <f t="shared" si="114"/>
        <v/>
      </c>
    </row>
    <row r="4807" spans="1:34">
      <c r="A4807">
        <v>2026</v>
      </c>
      <c r="B4807">
        <v>5</v>
      </c>
      <c r="C4807" s="83">
        <v>19435662179</v>
      </c>
      <c r="D4807" t="s">
        <v>4103</v>
      </c>
      <c r="E4807">
        <v>60548007684</v>
      </c>
      <c r="F4807">
        <v>632490</v>
      </c>
      <c r="G4807">
        <v>55519592302</v>
      </c>
      <c r="H4807" t="s">
        <v>35</v>
      </c>
      <c r="I4807" s="36">
        <v>2764.8</v>
      </c>
      <c r="J4807" s="36">
        <v>1200.8399999999999</v>
      </c>
      <c r="K4807" s="85">
        <v>1563.96</v>
      </c>
      <c r="L4807" s="36">
        <v>100.07</v>
      </c>
      <c r="M4807" s="36">
        <v>0</v>
      </c>
      <c r="N4807" s="36">
        <v>100.07</v>
      </c>
      <c r="O4807" s="36">
        <v>0</v>
      </c>
      <c r="P4807" t="s">
        <v>323</v>
      </c>
      <c r="Q4807" t="s">
        <v>191</v>
      </c>
      <c r="R4807" t="s">
        <v>191</v>
      </c>
      <c r="S4807" s="112">
        <v>46163</v>
      </c>
      <c r="T4807" s="112">
        <v>46163</v>
      </c>
      <c r="U4807" s="112">
        <v>47004</v>
      </c>
      <c r="V4807" s="112">
        <v>47004</v>
      </c>
      <c r="W4807" t="s">
        <v>102</v>
      </c>
      <c r="X4807">
        <v>28</v>
      </c>
      <c r="Y4807" t="s">
        <v>49</v>
      </c>
      <c r="Z4807" t="s">
        <v>324</v>
      </c>
      <c r="AA4807" t="s">
        <v>122</v>
      </c>
      <c r="AB4807">
        <v>27</v>
      </c>
      <c r="AC4807" t="s">
        <v>192</v>
      </c>
      <c r="AD4807" t="s">
        <v>174</v>
      </c>
      <c r="AE4807" t="s">
        <v>43</v>
      </c>
      <c r="AF4807" t="s">
        <v>47</v>
      </c>
      <c r="AG4807" t="str">
        <f t="shared" si="113"/>
        <v>Recorrente</v>
      </c>
      <c r="AH4807" t="str">
        <f t="shared" si="114"/>
        <v/>
      </c>
    </row>
    <row r="4808" spans="1:34">
      <c r="A4808">
        <v>2026</v>
      </c>
      <c r="B4808">
        <v>5</v>
      </c>
      <c r="C4808" s="83">
        <v>121346025330</v>
      </c>
      <c r="D4808" t="s">
        <v>4104</v>
      </c>
      <c r="E4808">
        <v>60389943985</v>
      </c>
      <c r="F4808">
        <v>637870</v>
      </c>
      <c r="G4808">
        <v>55340594786</v>
      </c>
      <c r="H4808" t="s">
        <v>35</v>
      </c>
      <c r="I4808" s="36">
        <v>2759.04</v>
      </c>
      <c r="J4808" s="36">
        <v>2759.04</v>
      </c>
      <c r="K4808" s="85">
        <v>0</v>
      </c>
      <c r="L4808" s="36">
        <v>229.92</v>
      </c>
      <c r="M4808" s="36">
        <v>229.92</v>
      </c>
      <c r="N4808" s="36">
        <v>0</v>
      </c>
      <c r="O4808" s="36">
        <v>0</v>
      </c>
      <c r="P4808" t="s">
        <v>829</v>
      </c>
      <c r="Q4808" t="s">
        <v>300</v>
      </c>
      <c r="R4808" t="s">
        <v>300</v>
      </c>
      <c r="S4808" s="112">
        <v>46162</v>
      </c>
      <c r="T4808" s="112">
        <v>46162</v>
      </c>
      <c r="U4808" s="112"/>
      <c r="V4808" s="112">
        <v>46527</v>
      </c>
      <c r="W4808" t="s">
        <v>38</v>
      </c>
      <c r="X4808">
        <v>12</v>
      </c>
      <c r="Y4808" t="s">
        <v>49</v>
      </c>
      <c r="AA4808" t="s">
        <v>112</v>
      </c>
      <c r="AB4808">
        <v>12</v>
      </c>
      <c r="AC4808" t="s">
        <v>301</v>
      </c>
      <c r="AD4808" t="s">
        <v>118</v>
      </c>
      <c r="AE4808" t="s">
        <v>43</v>
      </c>
      <c r="AF4808" t="s">
        <v>119</v>
      </c>
      <c r="AG4808" t="str">
        <f t="shared" si="113"/>
        <v>CC 12x</v>
      </c>
      <c r="AH4808" t="str">
        <f t="shared" si="114"/>
        <v/>
      </c>
    </row>
    <row r="4809" spans="1:34">
      <c r="A4809">
        <v>2026</v>
      </c>
      <c r="B4809">
        <v>5</v>
      </c>
      <c r="C4809" s="83">
        <v>19485504151</v>
      </c>
      <c r="D4809" t="s">
        <v>4105</v>
      </c>
      <c r="E4809">
        <v>60234711321</v>
      </c>
      <c r="F4809">
        <v>637764</v>
      </c>
      <c r="G4809">
        <v>55242948978</v>
      </c>
      <c r="H4809" t="s">
        <v>35</v>
      </c>
      <c r="I4809" s="36">
        <v>2759.04</v>
      </c>
      <c r="J4809" s="36">
        <v>2759.04</v>
      </c>
      <c r="K4809" s="85">
        <v>0</v>
      </c>
      <c r="L4809" s="36">
        <v>229.92</v>
      </c>
      <c r="M4809" s="36">
        <v>229.92</v>
      </c>
      <c r="N4809" s="36">
        <v>0</v>
      </c>
      <c r="O4809" s="36">
        <v>0</v>
      </c>
      <c r="P4809" t="s">
        <v>506</v>
      </c>
      <c r="Q4809" t="s">
        <v>300</v>
      </c>
      <c r="R4809" t="s">
        <v>300</v>
      </c>
      <c r="S4809" s="112">
        <v>46155</v>
      </c>
      <c r="T4809" s="112">
        <v>46155</v>
      </c>
      <c r="U4809" s="112"/>
      <c r="V4809" s="112">
        <v>46520</v>
      </c>
      <c r="W4809" t="s">
        <v>38</v>
      </c>
      <c r="X4809">
        <v>12</v>
      </c>
      <c r="Y4809" t="s">
        <v>49</v>
      </c>
      <c r="AA4809" t="s">
        <v>112</v>
      </c>
      <c r="AB4809">
        <v>12</v>
      </c>
      <c r="AC4809" t="s">
        <v>301</v>
      </c>
      <c r="AD4809" t="s">
        <v>140</v>
      </c>
      <c r="AE4809" t="s">
        <v>46</v>
      </c>
      <c r="AF4809" t="s">
        <v>119</v>
      </c>
      <c r="AG4809" t="str">
        <f t="shared" si="113"/>
        <v>CC 12x</v>
      </c>
      <c r="AH4809" t="str">
        <f t="shared" si="114"/>
        <v/>
      </c>
    </row>
    <row r="4810" spans="1:34">
      <c r="A4810">
        <v>2026</v>
      </c>
      <c r="B4810">
        <v>5</v>
      </c>
      <c r="C4810" s="83">
        <v>2093877</v>
      </c>
      <c r="D4810" t="s">
        <v>4106</v>
      </c>
      <c r="E4810">
        <v>60032595339</v>
      </c>
      <c r="F4810">
        <v>637568</v>
      </c>
      <c r="G4810">
        <v>55059807261</v>
      </c>
      <c r="H4810" t="s">
        <v>35</v>
      </c>
      <c r="I4810" s="36">
        <v>2759.04</v>
      </c>
      <c r="J4810" s="36">
        <v>2759.04</v>
      </c>
      <c r="K4810" s="85">
        <v>0</v>
      </c>
      <c r="L4810" s="36">
        <v>229.92</v>
      </c>
      <c r="M4810" s="36">
        <v>229.92</v>
      </c>
      <c r="N4810" s="36">
        <v>0</v>
      </c>
      <c r="O4810" s="36">
        <v>0</v>
      </c>
      <c r="P4810" t="s">
        <v>3642</v>
      </c>
      <c r="Q4810" t="s">
        <v>300</v>
      </c>
      <c r="R4810" t="s">
        <v>300</v>
      </c>
      <c r="S4810" s="112">
        <v>46147</v>
      </c>
      <c r="T4810" s="112">
        <v>46147</v>
      </c>
      <c r="U4810" s="112"/>
      <c r="V4810" s="112">
        <v>46512</v>
      </c>
      <c r="W4810" t="s">
        <v>38</v>
      </c>
      <c r="X4810">
        <v>12</v>
      </c>
      <c r="Y4810" t="s">
        <v>49</v>
      </c>
      <c r="AA4810" t="s">
        <v>112</v>
      </c>
      <c r="AB4810">
        <v>12</v>
      </c>
      <c r="AC4810" t="s">
        <v>301</v>
      </c>
      <c r="AD4810" t="s">
        <v>140</v>
      </c>
      <c r="AE4810" t="s">
        <v>46</v>
      </c>
      <c r="AF4810" t="s">
        <v>119</v>
      </c>
      <c r="AG4810" t="str">
        <f t="shared" si="113"/>
        <v>CC 12x</v>
      </c>
      <c r="AH4810" t="str">
        <f t="shared" si="114"/>
        <v/>
      </c>
    </row>
    <row r="4811" spans="1:34">
      <c r="A4811">
        <v>2026</v>
      </c>
      <c r="B4811">
        <v>5</v>
      </c>
      <c r="C4811" s="83">
        <v>2122950</v>
      </c>
      <c r="D4811" t="s">
        <v>4107</v>
      </c>
      <c r="E4811">
        <v>60073245977</v>
      </c>
      <c r="F4811">
        <v>637623</v>
      </c>
      <c r="G4811">
        <v>55092268809</v>
      </c>
      <c r="H4811" t="s">
        <v>35</v>
      </c>
      <c r="I4811" s="36">
        <v>2759.04</v>
      </c>
      <c r="J4811" s="36">
        <v>2759.04</v>
      </c>
      <c r="K4811" s="85">
        <v>0</v>
      </c>
      <c r="L4811" s="36">
        <v>229.92</v>
      </c>
      <c r="M4811" s="36">
        <v>229.92</v>
      </c>
      <c r="N4811" s="36">
        <v>0</v>
      </c>
      <c r="O4811" s="36">
        <v>0</v>
      </c>
      <c r="P4811" t="s">
        <v>829</v>
      </c>
      <c r="Q4811" t="s">
        <v>300</v>
      </c>
      <c r="R4811" t="s">
        <v>300</v>
      </c>
      <c r="S4811" s="112">
        <v>46149</v>
      </c>
      <c r="T4811" s="112">
        <v>46149</v>
      </c>
      <c r="U4811" s="112"/>
      <c r="V4811" s="112">
        <v>46514</v>
      </c>
      <c r="W4811" t="s">
        <v>38</v>
      </c>
      <c r="X4811">
        <v>12</v>
      </c>
      <c r="Y4811" t="s">
        <v>49</v>
      </c>
      <c r="AA4811" t="s">
        <v>112</v>
      </c>
      <c r="AB4811">
        <v>12</v>
      </c>
      <c r="AC4811" t="s">
        <v>301</v>
      </c>
      <c r="AD4811" t="s">
        <v>140</v>
      </c>
      <c r="AE4811" t="s">
        <v>46</v>
      </c>
      <c r="AF4811" t="s">
        <v>119</v>
      </c>
      <c r="AG4811" t="str">
        <f t="shared" si="113"/>
        <v>CC 12x</v>
      </c>
      <c r="AH4811" t="str">
        <f t="shared" si="114"/>
        <v/>
      </c>
    </row>
    <row r="4812" spans="1:34">
      <c r="A4812">
        <v>2026</v>
      </c>
      <c r="B4812">
        <v>5</v>
      </c>
      <c r="C4812" s="83">
        <v>219834685540</v>
      </c>
      <c r="D4812" t="s">
        <v>4108</v>
      </c>
      <c r="E4812">
        <v>60034306070</v>
      </c>
      <c r="F4812">
        <v>637583</v>
      </c>
      <c r="G4812">
        <v>55061268072</v>
      </c>
      <c r="H4812" t="s">
        <v>35</v>
      </c>
      <c r="I4812" s="36">
        <v>2759.04</v>
      </c>
      <c r="J4812" s="36">
        <v>2759.04</v>
      </c>
      <c r="K4812" s="85">
        <v>0</v>
      </c>
      <c r="L4812" s="36">
        <v>229.92</v>
      </c>
      <c r="M4812" s="36">
        <v>229.92</v>
      </c>
      <c r="N4812" s="36">
        <v>0</v>
      </c>
      <c r="O4812" s="36">
        <v>0</v>
      </c>
      <c r="P4812" t="s">
        <v>829</v>
      </c>
      <c r="Q4812" t="s">
        <v>300</v>
      </c>
      <c r="R4812" t="s">
        <v>300</v>
      </c>
      <c r="S4812" s="112">
        <v>46147</v>
      </c>
      <c r="T4812" s="112">
        <v>46147</v>
      </c>
      <c r="U4812" s="112"/>
      <c r="V4812" s="112">
        <v>46512</v>
      </c>
      <c r="W4812" t="s">
        <v>38</v>
      </c>
      <c r="X4812">
        <v>12</v>
      </c>
      <c r="Y4812" t="s">
        <v>49</v>
      </c>
      <c r="AA4812" t="s">
        <v>112</v>
      </c>
      <c r="AB4812">
        <v>12</v>
      </c>
      <c r="AC4812" t="s">
        <v>301</v>
      </c>
      <c r="AD4812" t="s">
        <v>118</v>
      </c>
      <c r="AE4812" t="s">
        <v>43</v>
      </c>
      <c r="AF4812" t="s">
        <v>119</v>
      </c>
      <c r="AG4812" t="str">
        <f t="shared" si="113"/>
        <v>CC 12x</v>
      </c>
      <c r="AH4812" t="str">
        <f t="shared" si="114"/>
        <v/>
      </c>
    </row>
    <row r="4813" spans="1:34">
      <c r="A4813">
        <v>2026</v>
      </c>
      <c r="B4813">
        <v>5</v>
      </c>
      <c r="C4813" s="83">
        <v>223419887689</v>
      </c>
      <c r="D4813" t="s">
        <v>4109</v>
      </c>
      <c r="E4813">
        <v>60627523609</v>
      </c>
      <c r="F4813">
        <v>637961</v>
      </c>
      <c r="G4813">
        <v>55611071396</v>
      </c>
      <c r="H4813" t="s">
        <v>35</v>
      </c>
      <c r="I4813" s="36">
        <v>2759.04</v>
      </c>
      <c r="J4813" s="36">
        <v>2759.04</v>
      </c>
      <c r="K4813" s="85">
        <v>0</v>
      </c>
      <c r="L4813" s="36">
        <v>229.92</v>
      </c>
      <c r="M4813" s="36">
        <v>229.92</v>
      </c>
      <c r="N4813" s="36">
        <v>0</v>
      </c>
      <c r="O4813" s="36">
        <v>0</v>
      </c>
      <c r="P4813" t="s">
        <v>2004</v>
      </c>
      <c r="Q4813" t="s">
        <v>300</v>
      </c>
      <c r="R4813" t="s">
        <v>300</v>
      </c>
      <c r="S4813" s="112">
        <v>46167</v>
      </c>
      <c r="T4813" s="112">
        <v>46167</v>
      </c>
      <c r="U4813" s="112"/>
      <c r="V4813" s="112">
        <v>46532</v>
      </c>
      <c r="W4813" t="s">
        <v>38</v>
      </c>
      <c r="X4813">
        <v>12</v>
      </c>
      <c r="Y4813" t="s">
        <v>49</v>
      </c>
      <c r="AA4813" t="s">
        <v>112</v>
      </c>
      <c r="AB4813">
        <v>12</v>
      </c>
      <c r="AC4813" t="s">
        <v>301</v>
      </c>
      <c r="AD4813" t="s">
        <v>140</v>
      </c>
      <c r="AE4813" t="s">
        <v>46</v>
      </c>
      <c r="AF4813" t="s">
        <v>119</v>
      </c>
      <c r="AG4813" t="str">
        <f t="shared" si="113"/>
        <v>CC 12x</v>
      </c>
      <c r="AH4813" t="str">
        <f t="shared" si="114"/>
        <v/>
      </c>
    </row>
    <row r="4814" spans="1:34">
      <c r="A4814">
        <v>2026</v>
      </c>
      <c r="B4814">
        <v>5</v>
      </c>
      <c r="C4814" s="83">
        <v>130452258709</v>
      </c>
      <c r="D4814" t="s">
        <v>4110</v>
      </c>
      <c r="E4814">
        <v>59228835957</v>
      </c>
      <c r="F4814">
        <v>629625</v>
      </c>
      <c r="G4814">
        <v>55090790519</v>
      </c>
      <c r="H4814" t="s">
        <v>35</v>
      </c>
      <c r="I4814" s="36">
        <v>2730.24</v>
      </c>
      <c r="J4814" s="36">
        <v>2730.24</v>
      </c>
      <c r="K4814" s="85">
        <v>0</v>
      </c>
      <c r="L4814" s="36">
        <v>227.52</v>
      </c>
      <c r="M4814" s="36">
        <v>0</v>
      </c>
      <c r="N4814" s="36">
        <v>0</v>
      </c>
      <c r="O4814" s="36">
        <v>227.52500000000001</v>
      </c>
      <c r="P4814" t="s">
        <v>127</v>
      </c>
      <c r="Q4814" t="s">
        <v>111</v>
      </c>
      <c r="R4814" t="s">
        <v>111</v>
      </c>
      <c r="S4814" s="112">
        <v>46149</v>
      </c>
      <c r="T4814" s="112">
        <v>46149</v>
      </c>
      <c r="U4814" s="112">
        <v>46158</v>
      </c>
      <c r="V4814" s="112">
        <v>46523</v>
      </c>
      <c r="W4814" t="s">
        <v>38</v>
      </c>
      <c r="X4814">
        <v>12</v>
      </c>
      <c r="Y4814" t="s">
        <v>49</v>
      </c>
      <c r="Z4814" t="s">
        <v>76</v>
      </c>
      <c r="AA4814" t="s">
        <v>112</v>
      </c>
      <c r="AB4814">
        <v>12</v>
      </c>
      <c r="AC4814" t="s">
        <v>113</v>
      </c>
      <c r="AD4814" t="s">
        <v>118</v>
      </c>
      <c r="AE4814" t="s">
        <v>43</v>
      </c>
      <c r="AF4814" t="s">
        <v>119</v>
      </c>
      <c r="AG4814" t="str">
        <f t="shared" si="113"/>
        <v>CC 12x</v>
      </c>
      <c r="AH4814" t="str">
        <f t="shared" si="114"/>
        <v/>
      </c>
    </row>
    <row r="4815" spans="1:34">
      <c r="A4815">
        <v>2026</v>
      </c>
      <c r="B4815">
        <v>5</v>
      </c>
      <c r="C4815" s="83">
        <v>130452258709</v>
      </c>
      <c r="D4815" t="s">
        <v>4110</v>
      </c>
      <c r="E4815">
        <v>59228835957</v>
      </c>
      <c r="F4815">
        <v>629625</v>
      </c>
      <c r="G4815">
        <v>55090790520</v>
      </c>
      <c r="H4815" t="s">
        <v>35</v>
      </c>
      <c r="I4815" s="36">
        <v>2730.24</v>
      </c>
      <c r="J4815" s="36">
        <v>2730.24</v>
      </c>
      <c r="K4815" s="85">
        <v>0</v>
      </c>
      <c r="L4815" s="36">
        <v>227.52</v>
      </c>
      <c r="M4815" s="36">
        <v>0</v>
      </c>
      <c r="N4815" s="36">
        <v>0</v>
      </c>
      <c r="O4815" s="36">
        <v>227.52500000000001</v>
      </c>
      <c r="P4815" t="s">
        <v>127</v>
      </c>
      <c r="Q4815" t="s">
        <v>111</v>
      </c>
      <c r="R4815" t="s">
        <v>111</v>
      </c>
      <c r="S4815" s="112">
        <v>46149</v>
      </c>
      <c r="T4815" s="112">
        <v>46149</v>
      </c>
      <c r="U4815" s="112">
        <v>46158</v>
      </c>
      <c r="V4815" s="112">
        <v>46523</v>
      </c>
      <c r="W4815" t="s">
        <v>38</v>
      </c>
      <c r="X4815">
        <v>12</v>
      </c>
      <c r="Y4815" t="s">
        <v>49</v>
      </c>
      <c r="Z4815" t="s">
        <v>76</v>
      </c>
      <c r="AA4815" t="s">
        <v>112</v>
      </c>
      <c r="AB4815">
        <v>12</v>
      </c>
      <c r="AC4815" t="s">
        <v>113</v>
      </c>
      <c r="AD4815" t="s">
        <v>140</v>
      </c>
      <c r="AE4815" t="s">
        <v>46</v>
      </c>
      <c r="AF4815" t="s">
        <v>119</v>
      </c>
      <c r="AG4815" t="str">
        <f t="shared" si="113"/>
        <v>CC 12x</v>
      </c>
      <c r="AH4815" t="str">
        <f t="shared" si="114"/>
        <v/>
      </c>
    </row>
    <row r="4816" spans="1:34">
      <c r="A4816">
        <v>2026</v>
      </c>
      <c r="B4816">
        <v>5</v>
      </c>
      <c r="C4816" s="83">
        <v>31876341632</v>
      </c>
      <c r="D4816" t="s">
        <v>4111</v>
      </c>
      <c r="E4816">
        <v>60204583093</v>
      </c>
      <c r="F4816">
        <v>637987</v>
      </c>
      <c r="G4816">
        <v>55623707999</v>
      </c>
      <c r="H4816" t="s">
        <v>35</v>
      </c>
      <c r="I4816" s="36">
        <v>2730.24</v>
      </c>
      <c r="J4816" s="36">
        <v>2730.3</v>
      </c>
      <c r="K4816" s="85">
        <v>0</v>
      </c>
      <c r="L4816" s="36">
        <v>227.52500000000001</v>
      </c>
      <c r="M4816" s="36">
        <v>227.52500000000001</v>
      </c>
      <c r="N4816" s="36">
        <v>0</v>
      </c>
      <c r="O4816" s="36">
        <v>0</v>
      </c>
      <c r="P4816" t="s">
        <v>129</v>
      </c>
      <c r="Q4816" t="s">
        <v>91</v>
      </c>
      <c r="R4816" t="s">
        <v>91</v>
      </c>
      <c r="S4816" s="112">
        <v>46168</v>
      </c>
      <c r="T4816" s="112">
        <v>46168</v>
      </c>
      <c r="U4816" s="112"/>
      <c r="V4816" s="112">
        <v>46533</v>
      </c>
      <c r="W4816" t="s">
        <v>38</v>
      </c>
      <c r="X4816">
        <v>12</v>
      </c>
      <c r="Y4816" t="s">
        <v>49</v>
      </c>
      <c r="AA4816" t="s">
        <v>112</v>
      </c>
      <c r="AB4816">
        <v>12</v>
      </c>
      <c r="AC4816" t="s">
        <v>93</v>
      </c>
      <c r="AD4816" t="s">
        <v>140</v>
      </c>
      <c r="AE4816" t="s">
        <v>46</v>
      </c>
      <c r="AF4816" t="s">
        <v>119</v>
      </c>
      <c r="AG4816" t="str">
        <f t="shared" si="113"/>
        <v>CC 12x</v>
      </c>
      <c r="AH4816" t="str">
        <f t="shared" si="114"/>
        <v/>
      </c>
    </row>
    <row r="4817" spans="1:34">
      <c r="A4817">
        <v>2026</v>
      </c>
      <c r="B4817">
        <v>5</v>
      </c>
      <c r="C4817" s="83">
        <v>2094283</v>
      </c>
      <c r="D4817" t="s">
        <v>4112</v>
      </c>
      <c r="E4817">
        <v>59988615230</v>
      </c>
      <c r="F4817">
        <v>637546</v>
      </c>
      <c r="G4817">
        <v>55002358354</v>
      </c>
      <c r="H4817" t="s">
        <v>35</v>
      </c>
      <c r="I4817" s="36">
        <v>2644.08</v>
      </c>
      <c r="J4817" s="36">
        <v>2644.08</v>
      </c>
      <c r="K4817" s="85">
        <v>0</v>
      </c>
      <c r="L4817" s="36">
        <v>220.34</v>
      </c>
      <c r="M4817" s="36">
        <v>220.34</v>
      </c>
      <c r="N4817" s="36">
        <v>0</v>
      </c>
      <c r="O4817" s="36">
        <v>0</v>
      </c>
      <c r="P4817" t="s">
        <v>506</v>
      </c>
      <c r="Q4817" t="s">
        <v>300</v>
      </c>
      <c r="R4817" t="s">
        <v>300</v>
      </c>
      <c r="S4817" s="112">
        <v>46146</v>
      </c>
      <c r="T4817" s="112">
        <v>46146</v>
      </c>
      <c r="U4817" s="112"/>
      <c r="V4817" s="112">
        <v>46511</v>
      </c>
      <c r="W4817" t="s">
        <v>38</v>
      </c>
      <c r="X4817">
        <v>12</v>
      </c>
      <c r="Y4817" t="s">
        <v>49</v>
      </c>
      <c r="AA4817" t="s">
        <v>112</v>
      </c>
      <c r="AB4817">
        <v>12</v>
      </c>
      <c r="AC4817" t="s">
        <v>301</v>
      </c>
      <c r="AD4817" t="s">
        <v>140</v>
      </c>
      <c r="AE4817" t="s">
        <v>46</v>
      </c>
      <c r="AF4817" t="s">
        <v>119</v>
      </c>
      <c r="AG4817" t="str">
        <f t="shared" si="113"/>
        <v>CC 12x</v>
      </c>
      <c r="AH4817" t="str">
        <f t="shared" si="114"/>
        <v/>
      </c>
    </row>
    <row r="4818" spans="1:34">
      <c r="A4818">
        <v>2026</v>
      </c>
      <c r="B4818">
        <v>5</v>
      </c>
      <c r="C4818" s="83">
        <v>215600058035</v>
      </c>
      <c r="D4818" t="s">
        <v>4113</v>
      </c>
      <c r="E4818">
        <v>60331803503</v>
      </c>
      <c r="F4818">
        <v>637833</v>
      </c>
      <c r="G4818">
        <v>55323943717</v>
      </c>
      <c r="H4818" t="s">
        <v>35</v>
      </c>
      <c r="I4818" s="36">
        <v>2644.08</v>
      </c>
      <c r="J4818" s="36">
        <v>2644.08</v>
      </c>
      <c r="K4818" s="85">
        <v>0</v>
      </c>
      <c r="L4818" s="36">
        <v>220.34</v>
      </c>
      <c r="M4818" s="36">
        <v>220.34</v>
      </c>
      <c r="N4818" s="36">
        <v>0</v>
      </c>
      <c r="O4818" s="36">
        <v>0</v>
      </c>
      <c r="P4818" t="s">
        <v>506</v>
      </c>
      <c r="Q4818" t="s">
        <v>300</v>
      </c>
      <c r="R4818" t="s">
        <v>300</v>
      </c>
      <c r="S4818" s="112">
        <v>46160</v>
      </c>
      <c r="T4818" s="112">
        <v>46160</v>
      </c>
      <c r="U4818" s="112"/>
      <c r="V4818" s="112">
        <v>46525</v>
      </c>
      <c r="W4818" t="s">
        <v>38</v>
      </c>
      <c r="X4818">
        <v>12</v>
      </c>
      <c r="Y4818" t="s">
        <v>49</v>
      </c>
      <c r="AA4818" t="s">
        <v>112</v>
      </c>
      <c r="AB4818">
        <v>12</v>
      </c>
      <c r="AC4818" t="s">
        <v>301</v>
      </c>
      <c r="AD4818" t="s">
        <v>118</v>
      </c>
      <c r="AE4818" t="s">
        <v>43</v>
      </c>
      <c r="AF4818" t="s">
        <v>119</v>
      </c>
      <c r="AG4818" t="str">
        <f t="shared" si="113"/>
        <v>CC 12x</v>
      </c>
      <c r="AH4818" t="str">
        <f t="shared" si="114"/>
        <v/>
      </c>
    </row>
    <row r="4819" spans="1:34">
      <c r="A4819">
        <v>2026</v>
      </c>
      <c r="B4819">
        <v>5</v>
      </c>
      <c r="C4819" s="83">
        <v>220212311654</v>
      </c>
      <c r="D4819" t="s">
        <v>3357</v>
      </c>
      <c r="E4819">
        <v>60070879098</v>
      </c>
      <c r="F4819">
        <v>636927</v>
      </c>
      <c r="G4819">
        <v>55090757897</v>
      </c>
      <c r="H4819" t="s">
        <v>35</v>
      </c>
      <c r="I4819" s="36">
        <v>2643.12</v>
      </c>
      <c r="J4819" s="36">
        <v>2881.92</v>
      </c>
      <c r="K4819" s="85">
        <v>0</v>
      </c>
      <c r="L4819" s="36">
        <v>240.16</v>
      </c>
      <c r="M4819" s="36">
        <v>0</v>
      </c>
      <c r="N4819" s="36">
        <v>240.16</v>
      </c>
      <c r="O4819" s="36">
        <v>0</v>
      </c>
      <c r="P4819" t="s">
        <v>506</v>
      </c>
      <c r="Q4819" t="s">
        <v>300</v>
      </c>
      <c r="R4819" t="s">
        <v>300</v>
      </c>
      <c r="S4819" s="112">
        <v>46149</v>
      </c>
      <c r="T4819" s="112">
        <v>46149</v>
      </c>
      <c r="U4819" s="112">
        <v>46484</v>
      </c>
      <c r="V4819" s="112">
        <v>46484</v>
      </c>
      <c r="W4819" t="s">
        <v>38</v>
      </c>
      <c r="X4819">
        <v>11</v>
      </c>
      <c r="Y4819" t="s">
        <v>49</v>
      </c>
      <c r="Z4819" t="s">
        <v>324</v>
      </c>
      <c r="AA4819" t="s">
        <v>112</v>
      </c>
      <c r="AB4819">
        <v>12</v>
      </c>
      <c r="AC4819" t="s">
        <v>301</v>
      </c>
      <c r="AD4819" t="s">
        <v>85</v>
      </c>
      <c r="AE4819" t="s">
        <v>46</v>
      </c>
      <c r="AF4819" t="s">
        <v>44</v>
      </c>
      <c r="AG4819" t="str">
        <f t="shared" si="113"/>
        <v>CC 12x</v>
      </c>
      <c r="AH4819" t="str">
        <f t="shared" si="114"/>
        <v/>
      </c>
    </row>
    <row r="4820" spans="1:34">
      <c r="A4820">
        <v>2026</v>
      </c>
      <c r="B4820">
        <v>5</v>
      </c>
      <c r="C4820" s="83">
        <v>220210967640</v>
      </c>
      <c r="D4820" t="s">
        <v>4114</v>
      </c>
      <c r="E4820">
        <v>60070061401</v>
      </c>
      <c r="F4820">
        <v>637646</v>
      </c>
      <c r="G4820">
        <v>55094018612</v>
      </c>
      <c r="H4820" t="s">
        <v>35</v>
      </c>
      <c r="I4820" s="36">
        <v>2638.32</v>
      </c>
      <c r="J4820" s="36">
        <v>2638.3319999999999</v>
      </c>
      <c r="K4820" s="85">
        <v>0</v>
      </c>
      <c r="L4820" s="36">
        <v>219.86099999999999</v>
      </c>
      <c r="M4820" s="36">
        <v>219.86099999999999</v>
      </c>
      <c r="N4820" s="36">
        <v>0</v>
      </c>
      <c r="O4820" s="36">
        <v>0</v>
      </c>
      <c r="P4820" t="s">
        <v>506</v>
      </c>
      <c r="Q4820" t="s">
        <v>300</v>
      </c>
      <c r="R4820" t="s">
        <v>300</v>
      </c>
      <c r="S4820" s="112">
        <v>46149</v>
      </c>
      <c r="T4820" s="112">
        <v>46149</v>
      </c>
      <c r="U4820" s="112"/>
      <c r="V4820" s="112">
        <v>46514</v>
      </c>
      <c r="W4820" t="s">
        <v>38</v>
      </c>
      <c r="X4820">
        <v>12</v>
      </c>
      <c r="Y4820" t="s">
        <v>49</v>
      </c>
      <c r="AA4820" t="s">
        <v>112</v>
      </c>
      <c r="AB4820">
        <v>12</v>
      </c>
      <c r="AC4820" t="s">
        <v>301</v>
      </c>
      <c r="AD4820" t="s">
        <v>118</v>
      </c>
      <c r="AE4820" t="s">
        <v>43</v>
      </c>
      <c r="AF4820" t="s">
        <v>119</v>
      </c>
      <c r="AG4820" t="str">
        <f t="shared" si="113"/>
        <v>CC 12x</v>
      </c>
      <c r="AH4820" t="str">
        <f t="shared" si="114"/>
        <v/>
      </c>
    </row>
    <row r="4821" spans="1:34">
      <c r="A4821">
        <v>2026</v>
      </c>
      <c r="B4821">
        <v>5</v>
      </c>
      <c r="C4821" s="83">
        <v>115121084020</v>
      </c>
      <c r="D4821" t="s">
        <v>4115</v>
      </c>
      <c r="E4821">
        <v>60313113428</v>
      </c>
      <c r="F4821">
        <v>637862</v>
      </c>
      <c r="G4821">
        <v>55373610593</v>
      </c>
      <c r="H4821" t="s">
        <v>35</v>
      </c>
      <c r="I4821" s="36">
        <v>2634</v>
      </c>
      <c r="J4821" s="36">
        <v>2634</v>
      </c>
      <c r="K4821" s="85">
        <v>0</v>
      </c>
      <c r="L4821" s="36">
        <v>219.5</v>
      </c>
      <c r="M4821" s="36">
        <v>219.5</v>
      </c>
      <c r="N4821" s="36">
        <v>0</v>
      </c>
      <c r="O4821" s="36">
        <v>0</v>
      </c>
      <c r="P4821" t="s">
        <v>511</v>
      </c>
      <c r="Q4821" t="s">
        <v>300</v>
      </c>
      <c r="R4821" t="s">
        <v>300</v>
      </c>
      <c r="S4821" s="112">
        <v>46161</v>
      </c>
      <c r="T4821" s="112">
        <v>46161</v>
      </c>
      <c r="U4821" s="112"/>
      <c r="V4821" s="112">
        <v>46526</v>
      </c>
      <c r="W4821" t="s">
        <v>38</v>
      </c>
      <c r="X4821">
        <v>12</v>
      </c>
      <c r="Y4821" t="s">
        <v>49</v>
      </c>
      <c r="AA4821" t="s">
        <v>122</v>
      </c>
      <c r="AB4821">
        <v>12</v>
      </c>
      <c r="AC4821" t="s">
        <v>301</v>
      </c>
      <c r="AD4821" t="s">
        <v>3056</v>
      </c>
      <c r="AE4821" t="s">
        <v>106</v>
      </c>
      <c r="AF4821" t="s">
        <v>59</v>
      </c>
      <c r="AG4821" t="str">
        <f t="shared" si="113"/>
        <v>Recorrente</v>
      </c>
      <c r="AH4821" t="str">
        <f t="shared" si="114"/>
        <v/>
      </c>
    </row>
    <row r="4822" spans="1:34">
      <c r="A4822">
        <v>2026</v>
      </c>
      <c r="B4822">
        <v>5</v>
      </c>
      <c r="C4822" s="83">
        <v>137929761304</v>
      </c>
      <c r="D4822" t="s">
        <v>4116</v>
      </c>
      <c r="E4822">
        <v>60486766713</v>
      </c>
      <c r="F4822">
        <v>637909</v>
      </c>
      <c r="G4822">
        <v>55479054432</v>
      </c>
      <c r="H4822" t="s">
        <v>35</v>
      </c>
      <c r="I4822" s="36">
        <v>2634</v>
      </c>
      <c r="J4822" s="36">
        <v>2634</v>
      </c>
      <c r="K4822" s="85">
        <v>0</v>
      </c>
      <c r="L4822" s="36">
        <v>219.5</v>
      </c>
      <c r="M4822" s="36">
        <v>219.5</v>
      </c>
      <c r="N4822" s="36">
        <v>0</v>
      </c>
      <c r="O4822" s="36">
        <v>0</v>
      </c>
      <c r="P4822" t="s">
        <v>506</v>
      </c>
      <c r="Q4822" t="s">
        <v>300</v>
      </c>
      <c r="R4822" t="s">
        <v>300</v>
      </c>
      <c r="S4822" s="112">
        <v>46163</v>
      </c>
      <c r="T4822" s="112">
        <v>46163</v>
      </c>
      <c r="U4822" s="112"/>
      <c r="V4822" s="112">
        <v>46528</v>
      </c>
      <c r="W4822" t="s">
        <v>38</v>
      </c>
      <c r="X4822">
        <v>12</v>
      </c>
      <c r="Y4822" t="s">
        <v>49</v>
      </c>
      <c r="AA4822" t="s">
        <v>122</v>
      </c>
      <c r="AB4822">
        <v>12</v>
      </c>
      <c r="AC4822" t="s">
        <v>301</v>
      </c>
      <c r="AD4822" t="s">
        <v>3056</v>
      </c>
      <c r="AE4822" t="s">
        <v>106</v>
      </c>
      <c r="AF4822" t="s">
        <v>59</v>
      </c>
      <c r="AG4822" t="str">
        <f t="shared" si="113"/>
        <v>Recorrente</v>
      </c>
      <c r="AH4822" t="str">
        <f t="shared" si="114"/>
        <v/>
      </c>
    </row>
    <row r="4823" spans="1:34">
      <c r="A4823">
        <v>2026</v>
      </c>
      <c r="B4823">
        <v>5</v>
      </c>
      <c r="C4823" s="83">
        <v>173874952762</v>
      </c>
      <c r="D4823" t="s">
        <v>4117</v>
      </c>
      <c r="E4823">
        <v>59178727344</v>
      </c>
      <c r="F4823">
        <v>613676</v>
      </c>
      <c r="G4823">
        <v>55340626236</v>
      </c>
      <c r="H4823" t="s">
        <v>35</v>
      </c>
      <c r="I4823" s="36">
        <v>2634</v>
      </c>
      <c r="J4823" s="36">
        <v>2634</v>
      </c>
      <c r="K4823" s="85">
        <v>0</v>
      </c>
      <c r="L4823" s="36">
        <v>219.5</v>
      </c>
      <c r="M4823" s="36">
        <v>0</v>
      </c>
      <c r="N4823" s="36">
        <v>0</v>
      </c>
      <c r="O4823" s="36">
        <v>219.5</v>
      </c>
      <c r="P4823" t="s">
        <v>116</v>
      </c>
      <c r="Q4823" t="s">
        <v>111</v>
      </c>
      <c r="R4823" t="s">
        <v>111</v>
      </c>
      <c r="S4823" s="112">
        <v>46162</v>
      </c>
      <c r="T4823" s="112">
        <v>46162</v>
      </c>
      <c r="U4823" s="112">
        <v>46157</v>
      </c>
      <c r="V4823" s="112">
        <v>46527</v>
      </c>
      <c r="W4823" t="s">
        <v>38</v>
      </c>
      <c r="X4823">
        <v>12</v>
      </c>
      <c r="Y4823" t="s">
        <v>49</v>
      </c>
      <c r="Z4823" t="s">
        <v>76</v>
      </c>
      <c r="AA4823" t="s">
        <v>112</v>
      </c>
      <c r="AB4823">
        <v>12</v>
      </c>
      <c r="AC4823" t="s">
        <v>113</v>
      </c>
      <c r="AD4823" t="s">
        <v>3056</v>
      </c>
      <c r="AE4823" t="s">
        <v>106</v>
      </c>
      <c r="AF4823" t="s">
        <v>59</v>
      </c>
      <c r="AG4823" t="str">
        <f t="shared" si="113"/>
        <v>CC 12x</v>
      </c>
      <c r="AH4823" t="str">
        <f t="shared" si="114"/>
        <v/>
      </c>
    </row>
    <row r="4824" spans="1:34">
      <c r="A4824">
        <v>2026</v>
      </c>
      <c r="B4824">
        <v>5</v>
      </c>
      <c r="C4824" s="83">
        <v>184203110685</v>
      </c>
      <c r="D4824" t="s">
        <v>4118</v>
      </c>
      <c r="E4824">
        <v>60361709630</v>
      </c>
      <c r="F4824">
        <v>637859</v>
      </c>
      <c r="G4824">
        <v>55339509832</v>
      </c>
      <c r="H4824" t="s">
        <v>35</v>
      </c>
      <c r="I4824" s="36">
        <v>2634</v>
      </c>
      <c r="J4824" s="36">
        <v>2634</v>
      </c>
      <c r="K4824" s="85">
        <v>0</v>
      </c>
      <c r="L4824" s="36">
        <v>219.5</v>
      </c>
      <c r="M4824" s="36">
        <v>219.5</v>
      </c>
      <c r="N4824" s="36">
        <v>0</v>
      </c>
      <c r="O4824" s="36">
        <v>0</v>
      </c>
      <c r="P4824" t="s">
        <v>511</v>
      </c>
      <c r="Q4824" t="s">
        <v>300</v>
      </c>
      <c r="R4824" t="s">
        <v>300</v>
      </c>
      <c r="S4824" s="112">
        <v>46161</v>
      </c>
      <c r="T4824" s="112">
        <v>46161</v>
      </c>
      <c r="U4824" s="112"/>
      <c r="V4824" s="112">
        <v>46526</v>
      </c>
      <c r="W4824" t="s">
        <v>38</v>
      </c>
      <c r="X4824">
        <v>12</v>
      </c>
      <c r="Y4824" t="s">
        <v>49</v>
      </c>
      <c r="AA4824" t="s">
        <v>122</v>
      </c>
      <c r="AB4824">
        <v>12</v>
      </c>
      <c r="AC4824" t="s">
        <v>301</v>
      </c>
      <c r="AD4824" t="s">
        <v>3056</v>
      </c>
      <c r="AE4824" t="s">
        <v>106</v>
      </c>
      <c r="AF4824" t="s">
        <v>59</v>
      </c>
      <c r="AG4824" t="str">
        <f t="shared" si="113"/>
        <v>Recorrente</v>
      </c>
      <c r="AH4824" t="str">
        <f t="shared" si="114"/>
        <v/>
      </c>
    </row>
    <row r="4825" spans="1:34">
      <c r="A4825">
        <v>2026</v>
      </c>
      <c r="B4825">
        <v>5</v>
      </c>
      <c r="C4825" s="83">
        <v>199149429593</v>
      </c>
      <c r="D4825" t="s">
        <v>4119</v>
      </c>
      <c r="E4825">
        <v>60625462096</v>
      </c>
      <c r="F4825">
        <v>638107</v>
      </c>
      <c r="G4825">
        <v>55687712512</v>
      </c>
      <c r="H4825" t="s">
        <v>35</v>
      </c>
      <c r="I4825" s="36">
        <v>2634</v>
      </c>
      <c r="J4825" s="36">
        <v>2634</v>
      </c>
      <c r="K4825" s="85">
        <v>0</v>
      </c>
      <c r="L4825" s="36">
        <v>219.5</v>
      </c>
      <c r="M4825" s="36">
        <v>219.5</v>
      </c>
      <c r="N4825" s="36">
        <v>0</v>
      </c>
      <c r="O4825" s="36">
        <v>0</v>
      </c>
      <c r="P4825" t="s">
        <v>506</v>
      </c>
      <c r="Q4825" t="s">
        <v>300</v>
      </c>
      <c r="R4825" t="s">
        <v>300</v>
      </c>
      <c r="S4825" s="112">
        <v>46172</v>
      </c>
      <c r="T4825" s="112">
        <v>46172</v>
      </c>
      <c r="U4825" s="112"/>
      <c r="V4825" s="112">
        <v>46537</v>
      </c>
      <c r="W4825" t="s">
        <v>38</v>
      </c>
      <c r="X4825">
        <v>12</v>
      </c>
      <c r="Y4825" t="s">
        <v>49</v>
      </c>
      <c r="AA4825" t="s">
        <v>122</v>
      </c>
      <c r="AB4825">
        <v>12</v>
      </c>
      <c r="AC4825" t="s">
        <v>301</v>
      </c>
      <c r="AD4825" t="s">
        <v>3056</v>
      </c>
      <c r="AE4825" t="s">
        <v>106</v>
      </c>
      <c r="AF4825" t="s">
        <v>59</v>
      </c>
      <c r="AG4825" t="str">
        <f t="shared" si="113"/>
        <v>Recorrente</v>
      </c>
      <c r="AH4825" t="str">
        <f t="shared" si="114"/>
        <v/>
      </c>
    </row>
    <row r="4826" spans="1:34">
      <c r="A4826">
        <v>2026</v>
      </c>
      <c r="B4826">
        <v>5</v>
      </c>
      <c r="C4826" s="83">
        <v>199318623302</v>
      </c>
      <c r="D4826" t="s">
        <v>4120</v>
      </c>
      <c r="E4826">
        <v>60630028111</v>
      </c>
      <c r="F4826">
        <v>638057</v>
      </c>
      <c r="G4826">
        <v>55645975063</v>
      </c>
      <c r="H4826" t="s">
        <v>35</v>
      </c>
      <c r="I4826" s="36">
        <v>2634</v>
      </c>
      <c r="J4826" s="36">
        <v>2634</v>
      </c>
      <c r="K4826" s="85">
        <v>0</v>
      </c>
      <c r="L4826" s="36">
        <v>219.5</v>
      </c>
      <c r="M4826" s="36">
        <v>219.5</v>
      </c>
      <c r="N4826" s="36">
        <v>0</v>
      </c>
      <c r="O4826" s="36">
        <v>0</v>
      </c>
      <c r="P4826" t="s">
        <v>829</v>
      </c>
      <c r="Q4826" t="s">
        <v>300</v>
      </c>
      <c r="R4826" t="s">
        <v>300</v>
      </c>
      <c r="S4826" s="112">
        <v>46171</v>
      </c>
      <c r="T4826" s="112">
        <v>46171</v>
      </c>
      <c r="U4826" s="112"/>
      <c r="V4826" s="112">
        <v>46536</v>
      </c>
      <c r="W4826" t="s">
        <v>38</v>
      </c>
      <c r="X4826">
        <v>12</v>
      </c>
      <c r="Y4826" t="s">
        <v>49</v>
      </c>
      <c r="AA4826" t="s">
        <v>117</v>
      </c>
      <c r="AB4826">
        <v>1</v>
      </c>
      <c r="AC4826" t="s">
        <v>301</v>
      </c>
      <c r="AD4826" t="s">
        <v>3056</v>
      </c>
      <c r="AE4826" t="s">
        <v>106</v>
      </c>
      <c r="AF4826" t="s">
        <v>59</v>
      </c>
      <c r="AG4826" t="str">
        <f t="shared" si="113"/>
        <v>À Vista</v>
      </c>
      <c r="AH4826" t="str">
        <f t="shared" si="114"/>
        <v/>
      </c>
    </row>
    <row r="4827" spans="1:34">
      <c r="A4827">
        <v>2026</v>
      </c>
      <c r="B4827">
        <v>5</v>
      </c>
      <c r="C4827" s="83">
        <v>2129489</v>
      </c>
      <c r="D4827" t="s">
        <v>4121</v>
      </c>
      <c r="E4827">
        <v>60071556744</v>
      </c>
      <c r="F4827">
        <v>637628</v>
      </c>
      <c r="G4827">
        <v>55093122863</v>
      </c>
      <c r="H4827" t="s">
        <v>35</v>
      </c>
      <c r="I4827" s="36">
        <v>2634</v>
      </c>
      <c r="J4827" s="36">
        <v>2634</v>
      </c>
      <c r="K4827" s="85">
        <v>0</v>
      </c>
      <c r="L4827" s="36">
        <v>219.5</v>
      </c>
      <c r="M4827" s="36">
        <v>219.5</v>
      </c>
      <c r="N4827" s="36">
        <v>0</v>
      </c>
      <c r="O4827" s="36">
        <v>0</v>
      </c>
      <c r="P4827" t="s">
        <v>3642</v>
      </c>
      <c r="Q4827" t="s">
        <v>300</v>
      </c>
      <c r="R4827" t="s">
        <v>300</v>
      </c>
      <c r="S4827" s="112">
        <v>46149</v>
      </c>
      <c r="T4827" s="112">
        <v>46149</v>
      </c>
      <c r="U4827" s="112"/>
      <c r="V4827" s="112">
        <v>46514</v>
      </c>
      <c r="W4827" t="s">
        <v>38</v>
      </c>
      <c r="X4827">
        <v>12</v>
      </c>
      <c r="Y4827" t="s">
        <v>49</v>
      </c>
      <c r="AA4827" t="s">
        <v>117</v>
      </c>
      <c r="AB4827">
        <v>1</v>
      </c>
      <c r="AC4827" t="s">
        <v>301</v>
      </c>
      <c r="AD4827" t="s">
        <v>3056</v>
      </c>
      <c r="AE4827" t="s">
        <v>106</v>
      </c>
      <c r="AF4827" t="s">
        <v>59</v>
      </c>
      <c r="AG4827" t="str">
        <f t="shared" si="113"/>
        <v>À Vista</v>
      </c>
      <c r="AH4827" t="str">
        <f t="shared" si="114"/>
        <v/>
      </c>
    </row>
    <row r="4828" spans="1:34">
      <c r="A4828">
        <v>2026</v>
      </c>
      <c r="B4828">
        <v>5</v>
      </c>
      <c r="C4828" s="83">
        <v>213035849796</v>
      </c>
      <c r="D4828" t="s">
        <v>4122</v>
      </c>
      <c r="E4828">
        <v>60255772981</v>
      </c>
      <c r="F4828">
        <v>637818</v>
      </c>
      <c r="G4828">
        <v>55275795640</v>
      </c>
      <c r="H4828" t="s">
        <v>35</v>
      </c>
      <c r="I4828" s="36">
        <v>2634</v>
      </c>
      <c r="J4828" s="36">
        <v>2634</v>
      </c>
      <c r="K4828" s="85">
        <v>0</v>
      </c>
      <c r="L4828" s="36">
        <v>219.5</v>
      </c>
      <c r="M4828" s="36">
        <v>219.5</v>
      </c>
      <c r="N4828" s="36">
        <v>0</v>
      </c>
      <c r="O4828" s="36">
        <v>0</v>
      </c>
      <c r="P4828" t="s">
        <v>2004</v>
      </c>
      <c r="Q4828" t="s">
        <v>300</v>
      </c>
      <c r="R4828" t="s">
        <v>300</v>
      </c>
      <c r="S4828" s="112">
        <v>46157</v>
      </c>
      <c r="T4828" s="112">
        <v>46157</v>
      </c>
      <c r="U4828" s="112"/>
      <c r="V4828" s="112">
        <v>46522</v>
      </c>
      <c r="W4828" t="s">
        <v>38</v>
      </c>
      <c r="X4828">
        <v>12</v>
      </c>
      <c r="Y4828" t="s">
        <v>49</v>
      </c>
      <c r="AA4828" t="s">
        <v>122</v>
      </c>
      <c r="AB4828">
        <v>12</v>
      </c>
      <c r="AC4828" t="s">
        <v>301</v>
      </c>
      <c r="AD4828" t="s">
        <v>3056</v>
      </c>
      <c r="AE4828" t="s">
        <v>106</v>
      </c>
      <c r="AF4828" t="s">
        <v>59</v>
      </c>
      <c r="AG4828" t="str">
        <f t="shared" si="113"/>
        <v>Recorrente</v>
      </c>
      <c r="AH4828" t="str">
        <f t="shared" si="114"/>
        <v/>
      </c>
    </row>
    <row r="4829" spans="1:34">
      <c r="A4829">
        <v>2026</v>
      </c>
      <c r="B4829">
        <v>5</v>
      </c>
      <c r="C4829" s="83">
        <v>219512849977</v>
      </c>
      <c r="D4829" t="s">
        <v>4123</v>
      </c>
      <c r="E4829">
        <v>60186789738</v>
      </c>
      <c r="F4829">
        <v>637732</v>
      </c>
      <c r="G4829">
        <v>55191149898</v>
      </c>
      <c r="H4829" t="s">
        <v>35</v>
      </c>
      <c r="I4829" s="36">
        <v>2634</v>
      </c>
      <c r="J4829" s="36">
        <v>2634</v>
      </c>
      <c r="K4829" s="85">
        <v>0</v>
      </c>
      <c r="L4829" s="36">
        <v>219.5</v>
      </c>
      <c r="M4829" s="36">
        <v>219.5</v>
      </c>
      <c r="N4829" s="36">
        <v>0</v>
      </c>
      <c r="O4829" s="36">
        <v>0</v>
      </c>
      <c r="P4829" t="s">
        <v>506</v>
      </c>
      <c r="Q4829" t="s">
        <v>300</v>
      </c>
      <c r="R4829" t="s">
        <v>300</v>
      </c>
      <c r="S4829" s="112">
        <v>46154</v>
      </c>
      <c r="T4829" s="112">
        <v>46154</v>
      </c>
      <c r="U4829" s="112"/>
      <c r="V4829" s="112">
        <v>46519</v>
      </c>
      <c r="W4829" t="s">
        <v>38</v>
      </c>
      <c r="X4829">
        <v>12</v>
      </c>
      <c r="Y4829" t="s">
        <v>49</v>
      </c>
      <c r="AA4829" t="s">
        <v>112</v>
      </c>
      <c r="AB4829">
        <v>12</v>
      </c>
      <c r="AC4829" t="s">
        <v>301</v>
      </c>
      <c r="AD4829" t="s">
        <v>3056</v>
      </c>
      <c r="AE4829" t="s">
        <v>106</v>
      </c>
      <c r="AF4829" t="s">
        <v>59</v>
      </c>
      <c r="AG4829" t="str">
        <f t="shared" si="113"/>
        <v>CC 12x</v>
      </c>
      <c r="AH4829" t="str">
        <f t="shared" si="114"/>
        <v/>
      </c>
    </row>
    <row r="4830" spans="1:34">
      <c r="A4830">
        <v>2026</v>
      </c>
      <c r="B4830">
        <v>5</v>
      </c>
      <c r="C4830" s="83">
        <v>220681555632</v>
      </c>
      <c r="D4830" t="s">
        <v>4124</v>
      </c>
      <c r="E4830">
        <v>60154363408</v>
      </c>
      <c r="F4830">
        <v>637699</v>
      </c>
      <c r="G4830">
        <v>55189495703</v>
      </c>
      <c r="H4830" t="s">
        <v>35</v>
      </c>
      <c r="I4830" s="36">
        <v>2634</v>
      </c>
      <c r="J4830" s="36">
        <v>2634</v>
      </c>
      <c r="K4830" s="85">
        <v>0</v>
      </c>
      <c r="L4830" s="36">
        <v>219.5</v>
      </c>
      <c r="M4830" s="36">
        <v>219.5</v>
      </c>
      <c r="N4830" s="36">
        <v>0</v>
      </c>
      <c r="O4830" s="36">
        <v>0</v>
      </c>
      <c r="P4830" t="s">
        <v>829</v>
      </c>
      <c r="Q4830" t="s">
        <v>300</v>
      </c>
      <c r="R4830" t="s">
        <v>300</v>
      </c>
      <c r="S4830" s="112">
        <v>46153</v>
      </c>
      <c r="T4830" s="112">
        <v>46153</v>
      </c>
      <c r="U4830" s="112"/>
      <c r="V4830" s="112">
        <v>46518</v>
      </c>
      <c r="W4830" t="s">
        <v>38</v>
      </c>
      <c r="X4830">
        <v>12</v>
      </c>
      <c r="Y4830" t="s">
        <v>49</v>
      </c>
      <c r="AA4830" t="s">
        <v>122</v>
      </c>
      <c r="AB4830">
        <v>12</v>
      </c>
      <c r="AC4830" t="s">
        <v>301</v>
      </c>
      <c r="AD4830" t="s">
        <v>3056</v>
      </c>
      <c r="AE4830" t="s">
        <v>106</v>
      </c>
      <c r="AF4830" t="s">
        <v>59</v>
      </c>
      <c r="AG4830" t="str">
        <f t="shared" si="113"/>
        <v>Recorrente</v>
      </c>
      <c r="AH4830" t="str">
        <f t="shared" si="114"/>
        <v/>
      </c>
    </row>
    <row r="4831" spans="1:34">
      <c r="A4831">
        <v>2026</v>
      </c>
      <c r="B4831">
        <v>5</v>
      </c>
      <c r="C4831" s="83">
        <v>222588236422</v>
      </c>
      <c r="D4831" t="s">
        <v>4098</v>
      </c>
      <c r="E4831">
        <v>60253803876</v>
      </c>
      <c r="F4831">
        <v>637821</v>
      </c>
      <c r="G4831">
        <v>55277435236</v>
      </c>
      <c r="H4831" t="s">
        <v>35</v>
      </c>
      <c r="I4831" s="36">
        <v>2634</v>
      </c>
      <c r="J4831" s="36">
        <v>2634</v>
      </c>
      <c r="K4831" s="85">
        <v>0</v>
      </c>
      <c r="L4831" s="36">
        <v>219.5</v>
      </c>
      <c r="M4831" s="36">
        <v>219.5</v>
      </c>
      <c r="N4831" s="36">
        <v>0</v>
      </c>
      <c r="O4831" s="36">
        <v>0</v>
      </c>
      <c r="P4831" t="s">
        <v>2004</v>
      </c>
      <c r="Q4831" t="s">
        <v>300</v>
      </c>
      <c r="R4831" t="s">
        <v>300</v>
      </c>
      <c r="S4831" s="112">
        <v>46158</v>
      </c>
      <c r="T4831" s="112">
        <v>46158</v>
      </c>
      <c r="U4831" s="112"/>
      <c r="V4831" s="112">
        <v>46523</v>
      </c>
      <c r="W4831" t="s">
        <v>38</v>
      </c>
      <c r="X4831">
        <v>12</v>
      </c>
      <c r="Y4831" t="s">
        <v>49</v>
      </c>
      <c r="AA4831" t="s">
        <v>122</v>
      </c>
      <c r="AB4831">
        <v>12</v>
      </c>
      <c r="AC4831" t="s">
        <v>301</v>
      </c>
      <c r="AD4831" t="s">
        <v>3056</v>
      </c>
      <c r="AE4831" t="s">
        <v>106</v>
      </c>
      <c r="AF4831" t="s">
        <v>59</v>
      </c>
      <c r="AG4831" t="str">
        <f t="shared" si="113"/>
        <v>Recorrente</v>
      </c>
      <c r="AH4831" t="str">
        <f t="shared" si="114"/>
        <v/>
      </c>
    </row>
    <row r="4832" spans="1:34">
      <c r="A4832">
        <v>2026</v>
      </c>
      <c r="B4832">
        <v>5</v>
      </c>
      <c r="C4832" s="83">
        <v>23751976037</v>
      </c>
      <c r="D4832" t="s">
        <v>4125</v>
      </c>
      <c r="E4832">
        <v>58891578013</v>
      </c>
      <c r="F4832">
        <v>535704</v>
      </c>
      <c r="G4832">
        <v>55251344904</v>
      </c>
      <c r="H4832" t="s">
        <v>35</v>
      </c>
      <c r="I4832" s="36">
        <v>2634</v>
      </c>
      <c r="J4832" s="36">
        <v>2634</v>
      </c>
      <c r="K4832" s="85">
        <v>0</v>
      </c>
      <c r="L4832" s="36">
        <v>219.5</v>
      </c>
      <c r="M4832" s="36">
        <v>0</v>
      </c>
      <c r="N4832" s="36">
        <v>0</v>
      </c>
      <c r="O4832" s="36">
        <v>219.5</v>
      </c>
      <c r="P4832" t="s">
        <v>137</v>
      </c>
      <c r="Q4832" t="s">
        <v>111</v>
      </c>
      <c r="R4832" t="s">
        <v>111</v>
      </c>
      <c r="S4832" s="112">
        <v>46156</v>
      </c>
      <c r="T4832" s="112">
        <v>46156</v>
      </c>
      <c r="U4832" s="112">
        <v>46164</v>
      </c>
      <c r="V4832" s="112">
        <v>46529</v>
      </c>
      <c r="W4832" t="s">
        <v>38</v>
      </c>
      <c r="X4832">
        <v>12</v>
      </c>
      <c r="Y4832" t="s">
        <v>49</v>
      </c>
      <c r="Z4832" t="s">
        <v>76</v>
      </c>
      <c r="AA4832" t="s">
        <v>122</v>
      </c>
      <c r="AB4832">
        <v>12</v>
      </c>
      <c r="AC4832" t="s">
        <v>113</v>
      </c>
      <c r="AD4832" t="s">
        <v>3056</v>
      </c>
      <c r="AE4832" t="s">
        <v>106</v>
      </c>
      <c r="AF4832" t="s">
        <v>59</v>
      </c>
      <c r="AG4832" t="str">
        <f t="shared" si="113"/>
        <v>Recorrente</v>
      </c>
      <c r="AH4832" t="str">
        <f t="shared" si="114"/>
        <v/>
      </c>
    </row>
    <row r="4833" spans="1:34">
      <c r="A4833">
        <v>2026</v>
      </c>
      <c r="B4833">
        <v>5</v>
      </c>
      <c r="C4833" s="83">
        <v>122779534997</v>
      </c>
      <c r="D4833" t="s">
        <v>4126</v>
      </c>
      <c r="E4833">
        <v>59687651239</v>
      </c>
      <c r="F4833">
        <v>629839</v>
      </c>
      <c r="G4833">
        <v>55340476762</v>
      </c>
      <c r="H4833" t="s">
        <v>35</v>
      </c>
      <c r="I4833" s="36">
        <v>2593.8000000000002</v>
      </c>
      <c r="J4833" s="36">
        <v>2593.8000000000002</v>
      </c>
      <c r="K4833" s="85">
        <v>0</v>
      </c>
      <c r="L4833" s="36">
        <v>216.15</v>
      </c>
      <c r="M4833" s="36">
        <v>0</v>
      </c>
      <c r="N4833" s="36">
        <v>1.051145</v>
      </c>
      <c r="O4833" s="36">
        <v>215.1</v>
      </c>
      <c r="P4833" t="s">
        <v>116</v>
      </c>
      <c r="Q4833" t="s">
        <v>111</v>
      </c>
      <c r="R4833" t="s">
        <v>111</v>
      </c>
      <c r="S4833" s="112">
        <v>46164</v>
      </c>
      <c r="T4833" s="112">
        <v>46164</v>
      </c>
      <c r="U4833" s="112">
        <v>46168</v>
      </c>
      <c r="V4833" s="112">
        <v>46533</v>
      </c>
      <c r="W4833" t="s">
        <v>38</v>
      </c>
      <c r="X4833">
        <v>12</v>
      </c>
      <c r="Y4833" t="s">
        <v>49</v>
      </c>
      <c r="Z4833" t="s">
        <v>81</v>
      </c>
      <c r="AA4833" t="s">
        <v>112</v>
      </c>
      <c r="AB4833">
        <v>12</v>
      </c>
      <c r="AC4833" t="s">
        <v>113</v>
      </c>
      <c r="AD4833" t="s">
        <v>140</v>
      </c>
      <c r="AE4833" t="s">
        <v>46</v>
      </c>
      <c r="AF4833" t="s">
        <v>119</v>
      </c>
      <c r="AG4833" t="str">
        <f t="shared" si="113"/>
        <v>CC 12x</v>
      </c>
      <c r="AH4833" t="str">
        <f t="shared" si="114"/>
        <v/>
      </c>
    </row>
    <row r="4834" spans="1:34">
      <c r="A4834">
        <v>2026</v>
      </c>
      <c r="B4834">
        <v>5</v>
      </c>
      <c r="C4834" s="83">
        <v>2119393</v>
      </c>
      <c r="D4834" t="s">
        <v>4127</v>
      </c>
      <c r="E4834">
        <v>58894494075</v>
      </c>
      <c r="F4834">
        <v>511497</v>
      </c>
      <c r="G4834">
        <v>55412789070</v>
      </c>
      <c r="H4834" t="s">
        <v>35</v>
      </c>
      <c r="I4834" s="36">
        <v>2593.8000000000002</v>
      </c>
      <c r="J4834" s="36">
        <v>2593.8000000000002</v>
      </c>
      <c r="K4834" s="85">
        <v>0</v>
      </c>
      <c r="L4834" s="36">
        <v>216.15</v>
      </c>
      <c r="M4834" s="36">
        <v>0</v>
      </c>
      <c r="N4834" s="36">
        <v>0</v>
      </c>
      <c r="O4834" s="36">
        <v>216.15114500000001</v>
      </c>
      <c r="P4834" t="s">
        <v>116</v>
      </c>
      <c r="Q4834" t="s">
        <v>111</v>
      </c>
      <c r="R4834" t="s">
        <v>111</v>
      </c>
      <c r="S4834" s="112">
        <v>46171</v>
      </c>
      <c r="T4834" s="112">
        <v>46171</v>
      </c>
      <c r="U4834" s="112">
        <v>46164</v>
      </c>
      <c r="V4834" s="112">
        <v>46536</v>
      </c>
      <c r="W4834" t="s">
        <v>38</v>
      </c>
      <c r="X4834">
        <v>12</v>
      </c>
      <c r="Y4834" t="s">
        <v>49</v>
      </c>
      <c r="Z4834" t="s">
        <v>76</v>
      </c>
      <c r="AA4834" t="s">
        <v>122</v>
      </c>
      <c r="AB4834">
        <v>12</v>
      </c>
      <c r="AC4834" t="s">
        <v>113</v>
      </c>
      <c r="AD4834" t="s">
        <v>118</v>
      </c>
      <c r="AE4834" t="s">
        <v>43</v>
      </c>
      <c r="AF4834" t="s">
        <v>119</v>
      </c>
      <c r="AG4834" t="str">
        <f t="shared" si="113"/>
        <v>Recorrente</v>
      </c>
      <c r="AH4834" t="str">
        <f t="shared" si="114"/>
        <v/>
      </c>
    </row>
    <row r="4835" spans="1:34">
      <c r="A4835">
        <v>2026</v>
      </c>
      <c r="B4835">
        <v>5</v>
      </c>
      <c r="C4835" s="83">
        <v>104414303096</v>
      </c>
      <c r="D4835" t="s">
        <v>4128</v>
      </c>
      <c r="E4835">
        <v>60240862824</v>
      </c>
      <c r="F4835">
        <v>535840</v>
      </c>
      <c r="G4835">
        <v>55408302093</v>
      </c>
      <c r="H4835" t="s">
        <v>35</v>
      </c>
      <c r="I4835" s="36">
        <v>2586.6</v>
      </c>
      <c r="J4835" s="36">
        <v>2586.6</v>
      </c>
      <c r="K4835" s="85">
        <v>0</v>
      </c>
      <c r="L4835" s="36">
        <v>215.55</v>
      </c>
      <c r="M4835" s="36">
        <v>0</v>
      </c>
      <c r="N4835" s="36">
        <v>18.5</v>
      </c>
      <c r="O4835" s="36">
        <v>197.05</v>
      </c>
      <c r="P4835" t="s">
        <v>162</v>
      </c>
      <c r="Q4835" t="s">
        <v>111</v>
      </c>
      <c r="R4835" t="s">
        <v>111</v>
      </c>
      <c r="S4835" s="112">
        <v>46165</v>
      </c>
      <c r="T4835" s="112">
        <v>46165</v>
      </c>
      <c r="U4835" s="112">
        <v>46166</v>
      </c>
      <c r="V4835" s="112">
        <v>46531</v>
      </c>
      <c r="W4835" t="s">
        <v>38</v>
      </c>
      <c r="X4835">
        <v>12</v>
      </c>
      <c r="Y4835" t="s">
        <v>49</v>
      </c>
      <c r="Z4835" t="s">
        <v>81</v>
      </c>
      <c r="AA4835" t="s">
        <v>112</v>
      </c>
      <c r="AB4835">
        <v>12</v>
      </c>
      <c r="AC4835" t="s">
        <v>113</v>
      </c>
      <c r="AD4835" t="s">
        <v>118</v>
      </c>
      <c r="AE4835" t="s">
        <v>43</v>
      </c>
      <c r="AF4835" t="s">
        <v>119</v>
      </c>
      <c r="AG4835" t="str">
        <f t="shared" si="113"/>
        <v>CC 12x</v>
      </c>
      <c r="AH4835" t="str">
        <f t="shared" si="114"/>
        <v/>
      </c>
    </row>
    <row r="4836" spans="1:34">
      <c r="A4836">
        <v>2026</v>
      </c>
      <c r="B4836">
        <v>5</v>
      </c>
      <c r="C4836" s="83">
        <v>117626065076</v>
      </c>
      <c r="D4836" t="s">
        <v>4129</v>
      </c>
      <c r="E4836">
        <v>58169870253</v>
      </c>
      <c r="F4836">
        <v>314190</v>
      </c>
      <c r="G4836">
        <v>53390122245</v>
      </c>
      <c r="H4836" t="s">
        <v>35</v>
      </c>
      <c r="I4836" s="36">
        <v>2586.6</v>
      </c>
      <c r="J4836" s="36">
        <v>2586.6</v>
      </c>
      <c r="K4836" s="85">
        <v>0</v>
      </c>
      <c r="L4836" s="36">
        <v>215.55</v>
      </c>
      <c r="M4836" s="36">
        <v>0</v>
      </c>
      <c r="N4836" s="36">
        <v>32.72</v>
      </c>
      <c r="O4836" s="36">
        <v>182.83</v>
      </c>
      <c r="P4836" t="s">
        <v>165</v>
      </c>
      <c r="Q4836" t="s">
        <v>166</v>
      </c>
      <c r="R4836" t="s">
        <v>166</v>
      </c>
      <c r="S4836" s="112">
        <v>46146</v>
      </c>
      <c r="T4836" s="112">
        <v>46146</v>
      </c>
      <c r="U4836" s="112">
        <v>46146</v>
      </c>
      <c r="V4836" s="112">
        <v>46511</v>
      </c>
      <c r="W4836" t="s">
        <v>38</v>
      </c>
      <c r="X4836">
        <v>12</v>
      </c>
      <c r="Y4836" t="s">
        <v>49</v>
      </c>
      <c r="Z4836" t="s">
        <v>81</v>
      </c>
      <c r="AA4836" t="s">
        <v>112</v>
      </c>
      <c r="AB4836">
        <v>12</v>
      </c>
      <c r="AC4836" t="s">
        <v>166</v>
      </c>
      <c r="AD4836" t="s">
        <v>140</v>
      </c>
      <c r="AE4836" t="s">
        <v>46</v>
      </c>
      <c r="AF4836" t="s">
        <v>119</v>
      </c>
      <c r="AG4836" t="str">
        <f t="shared" si="113"/>
        <v>CC 12x</v>
      </c>
      <c r="AH4836" t="str">
        <f t="shared" si="114"/>
        <v/>
      </c>
    </row>
    <row r="4837" spans="1:34">
      <c r="A4837">
        <v>2026</v>
      </c>
      <c r="B4837">
        <v>5</v>
      </c>
      <c r="C4837" s="83">
        <v>119682558383</v>
      </c>
      <c r="D4837" t="s">
        <v>4130</v>
      </c>
      <c r="E4837">
        <v>60281645362</v>
      </c>
      <c r="F4837">
        <v>509983</v>
      </c>
      <c r="G4837">
        <v>55643767043</v>
      </c>
      <c r="H4837" t="s">
        <v>35</v>
      </c>
      <c r="I4837" s="36">
        <v>2586.6</v>
      </c>
      <c r="J4837" s="36">
        <v>2586.6</v>
      </c>
      <c r="K4837" s="85">
        <v>0</v>
      </c>
      <c r="L4837" s="36">
        <v>215.55</v>
      </c>
      <c r="M4837" s="36">
        <v>0</v>
      </c>
      <c r="N4837" s="36">
        <v>12.4</v>
      </c>
      <c r="O4837" s="36">
        <v>203.15</v>
      </c>
      <c r="P4837" t="s">
        <v>110</v>
      </c>
      <c r="Q4837" t="s">
        <v>111</v>
      </c>
      <c r="R4837" t="s">
        <v>111</v>
      </c>
      <c r="S4837" s="112">
        <v>46170</v>
      </c>
      <c r="T4837" s="112">
        <v>46170</v>
      </c>
      <c r="U4837" s="112">
        <v>46157</v>
      </c>
      <c r="V4837" s="112">
        <v>46535</v>
      </c>
      <c r="W4837" t="s">
        <v>38</v>
      </c>
      <c r="X4837">
        <v>12</v>
      </c>
      <c r="Y4837" t="s">
        <v>49</v>
      </c>
      <c r="Z4837" t="s">
        <v>81</v>
      </c>
      <c r="AA4837" t="s">
        <v>112</v>
      </c>
      <c r="AB4837">
        <v>12</v>
      </c>
      <c r="AC4837" t="s">
        <v>113</v>
      </c>
      <c r="AD4837" t="s">
        <v>140</v>
      </c>
      <c r="AE4837" t="s">
        <v>46</v>
      </c>
      <c r="AF4837" t="s">
        <v>119</v>
      </c>
      <c r="AG4837" t="str">
        <f t="shared" si="113"/>
        <v>CC 12x</v>
      </c>
      <c r="AH4837" t="str">
        <f t="shared" si="114"/>
        <v/>
      </c>
    </row>
    <row r="4838" spans="1:34">
      <c r="A4838">
        <v>2026</v>
      </c>
      <c r="B4838">
        <v>5</v>
      </c>
      <c r="C4838" s="83">
        <v>127676211103</v>
      </c>
      <c r="D4838" t="s">
        <v>4131</v>
      </c>
      <c r="E4838">
        <v>60666641500</v>
      </c>
      <c r="F4838">
        <v>616417</v>
      </c>
      <c r="G4838">
        <v>55685262953</v>
      </c>
      <c r="H4838" t="s">
        <v>35</v>
      </c>
      <c r="I4838" s="36">
        <v>2586.6</v>
      </c>
      <c r="J4838" s="36">
        <v>2586.6</v>
      </c>
      <c r="K4838" s="85">
        <v>0</v>
      </c>
      <c r="L4838" s="36">
        <v>215.55</v>
      </c>
      <c r="M4838" s="36">
        <v>0</v>
      </c>
      <c r="N4838" s="36">
        <v>12.4</v>
      </c>
      <c r="O4838" s="36">
        <v>203.15</v>
      </c>
      <c r="P4838" t="s">
        <v>133</v>
      </c>
      <c r="Q4838" t="s">
        <v>111</v>
      </c>
      <c r="R4838" t="s">
        <v>111</v>
      </c>
      <c r="S4838" s="112">
        <v>46171</v>
      </c>
      <c r="T4838" s="112">
        <v>46171</v>
      </c>
      <c r="U4838" s="112">
        <v>46173</v>
      </c>
      <c r="V4838" s="112">
        <v>46538</v>
      </c>
      <c r="W4838" t="s">
        <v>38</v>
      </c>
      <c r="X4838">
        <v>12</v>
      </c>
      <c r="Y4838" t="s">
        <v>49</v>
      </c>
      <c r="Z4838" t="s">
        <v>81</v>
      </c>
      <c r="AA4838" t="s">
        <v>112</v>
      </c>
      <c r="AB4838">
        <v>12</v>
      </c>
      <c r="AC4838" t="s">
        <v>113</v>
      </c>
      <c r="AD4838" t="s">
        <v>118</v>
      </c>
      <c r="AE4838" t="s">
        <v>43</v>
      </c>
      <c r="AF4838" t="s">
        <v>119</v>
      </c>
      <c r="AG4838" t="str">
        <f t="shared" si="113"/>
        <v>CC 12x</v>
      </c>
      <c r="AH4838" t="str">
        <f t="shared" si="114"/>
        <v/>
      </c>
    </row>
    <row r="4839" spans="1:34">
      <c r="A4839">
        <v>2026</v>
      </c>
      <c r="B4839">
        <v>5</v>
      </c>
      <c r="C4839" s="83">
        <v>149074403928</v>
      </c>
      <c r="D4839" t="s">
        <v>4132</v>
      </c>
      <c r="E4839">
        <v>59224608694</v>
      </c>
      <c r="F4839">
        <v>614948</v>
      </c>
      <c r="G4839">
        <v>54377546781</v>
      </c>
      <c r="H4839" t="s">
        <v>35</v>
      </c>
      <c r="I4839" s="36">
        <v>2586.6</v>
      </c>
      <c r="J4839" s="36">
        <v>2586.6</v>
      </c>
      <c r="K4839" s="85">
        <v>0</v>
      </c>
      <c r="L4839" s="36">
        <v>215.55</v>
      </c>
      <c r="M4839" s="36">
        <v>0</v>
      </c>
      <c r="N4839" s="36">
        <v>0.45</v>
      </c>
      <c r="O4839" s="36">
        <v>215.1</v>
      </c>
      <c r="P4839" t="s">
        <v>133</v>
      </c>
      <c r="Q4839" t="s">
        <v>111</v>
      </c>
      <c r="R4839" t="s">
        <v>111</v>
      </c>
      <c r="S4839" s="112">
        <v>46138</v>
      </c>
      <c r="T4839" s="112">
        <v>46143</v>
      </c>
      <c r="U4839" s="112">
        <v>46149</v>
      </c>
      <c r="V4839" s="112">
        <v>46514</v>
      </c>
      <c r="W4839" t="s">
        <v>38</v>
      </c>
      <c r="X4839">
        <v>12</v>
      </c>
      <c r="Y4839" t="s">
        <v>49</v>
      </c>
      <c r="Z4839" t="s">
        <v>81</v>
      </c>
      <c r="AA4839" t="s">
        <v>112</v>
      </c>
      <c r="AB4839">
        <v>12</v>
      </c>
      <c r="AC4839" t="s">
        <v>113</v>
      </c>
      <c r="AD4839" t="s">
        <v>118</v>
      </c>
      <c r="AE4839" t="s">
        <v>43</v>
      </c>
      <c r="AF4839" t="s">
        <v>119</v>
      </c>
      <c r="AG4839" t="str">
        <f t="shared" si="113"/>
        <v>CC 12x</v>
      </c>
      <c r="AH4839" t="str">
        <f t="shared" si="114"/>
        <v/>
      </c>
    </row>
    <row r="4840" spans="1:34">
      <c r="A4840">
        <v>2026</v>
      </c>
      <c r="B4840">
        <v>5</v>
      </c>
      <c r="C4840" s="83">
        <v>19485580041</v>
      </c>
      <c r="D4840" t="s">
        <v>4133</v>
      </c>
      <c r="E4840">
        <v>60258212882</v>
      </c>
      <c r="F4840">
        <v>637802</v>
      </c>
      <c r="G4840">
        <v>55257625873</v>
      </c>
      <c r="H4840" t="s">
        <v>35</v>
      </c>
      <c r="I4840" s="36">
        <v>2586.6</v>
      </c>
      <c r="J4840" s="36">
        <v>2586.6</v>
      </c>
      <c r="K4840" s="85">
        <v>0</v>
      </c>
      <c r="L4840" s="36">
        <v>215.55</v>
      </c>
      <c r="M4840" s="36">
        <v>215.55</v>
      </c>
      <c r="N4840" s="36">
        <v>0</v>
      </c>
      <c r="O4840" s="36">
        <v>0</v>
      </c>
      <c r="P4840" t="s">
        <v>129</v>
      </c>
      <c r="Q4840" t="s">
        <v>91</v>
      </c>
      <c r="R4840" t="s">
        <v>91</v>
      </c>
      <c r="S4840" s="112">
        <v>46156</v>
      </c>
      <c r="T4840" s="112">
        <v>46156</v>
      </c>
      <c r="U4840" s="112"/>
      <c r="V4840" s="112">
        <v>46522</v>
      </c>
      <c r="W4840" t="s">
        <v>38</v>
      </c>
      <c r="X4840">
        <v>12</v>
      </c>
      <c r="Y4840" t="s">
        <v>49</v>
      </c>
      <c r="AA4840" t="s">
        <v>117</v>
      </c>
      <c r="AB4840">
        <v>1</v>
      </c>
      <c r="AC4840" t="s">
        <v>93</v>
      </c>
      <c r="AD4840" t="s">
        <v>140</v>
      </c>
      <c r="AE4840" t="s">
        <v>46</v>
      </c>
      <c r="AF4840" t="s">
        <v>119</v>
      </c>
      <c r="AG4840" t="str">
        <f t="shared" si="113"/>
        <v>À Vista</v>
      </c>
      <c r="AH4840" t="str">
        <f t="shared" si="114"/>
        <v/>
      </c>
    </row>
    <row r="4841" spans="1:34">
      <c r="A4841">
        <v>2026</v>
      </c>
      <c r="B4841">
        <v>5</v>
      </c>
      <c r="C4841" s="83">
        <v>2073171</v>
      </c>
      <c r="D4841" t="s">
        <v>4134</v>
      </c>
      <c r="E4841">
        <v>57901852675</v>
      </c>
      <c r="F4841">
        <v>637586</v>
      </c>
      <c r="G4841">
        <v>55038899275</v>
      </c>
      <c r="H4841" t="s">
        <v>35</v>
      </c>
      <c r="I4841" s="36">
        <v>2586.6</v>
      </c>
      <c r="J4841" s="36">
        <v>2586.6</v>
      </c>
      <c r="K4841" s="85">
        <v>0</v>
      </c>
      <c r="L4841" s="36">
        <v>215.55</v>
      </c>
      <c r="M4841" s="36">
        <v>215.55</v>
      </c>
      <c r="N4841" s="36">
        <v>0</v>
      </c>
      <c r="O4841" s="36">
        <v>0</v>
      </c>
      <c r="P4841" t="s">
        <v>829</v>
      </c>
      <c r="Q4841" t="s">
        <v>300</v>
      </c>
      <c r="R4841" t="s">
        <v>300</v>
      </c>
      <c r="S4841" s="112">
        <v>46147</v>
      </c>
      <c r="T4841" s="112">
        <v>46147</v>
      </c>
      <c r="U4841" s="112"/>
      <c r="V4841" s="112">
        <v>46512</v>
      </c>
      <c r="W4841" t="s">
        <v>38</v>
      </c>
      <c r="X4841">
        <v>12</v>
      </c>
      <c r="Y4841" t="s">
        <v>49</v>
      </c>
      <c r="AA4841" t="s">
        <v>112</v>
      </c>
      <c r="AB4841">
        <v>12</v>
      </c>
      <c r="AC4841" t="s">
        <v>301</v>
      </c>
      <c r="AD4841" t="s">
        <v>140</v>
      </c>
      <c r="AE4841" t="s">
        <v>46</v>
      </c>
      <c r="AF4841" t="s">
        <v>119</v>
      </c>
      <c r="AG4841" t="str">
        <f t="shared" si="113"/>
        <v>CC 12x</v>
      </c>
      <c r="AH4841" t="str">
        <f t="shared" si="114"/>
        <v/>
      </c>
    </row>
    <row r="4842" spans="1:34">
      <c r="A4842">
        <v>2026</v>
      </c>
      <c r="B4842">
        <v>5</v>
      </c>
      <c r="C4842" s="83">
        <v>2089034</v>
      </c>
      <c r="D4842" t="s">
        <v>3590</v>
      </c>
      <c r="E4842">
        <v>58162247292</v>
      </c>
      <c r="F4842">
        <v>533111</v>
      </c>
      <c r="G4842">
        <v>55323946400</v>
      </c>
      <c r="H4842" t="s">
        <v>35</v>
      </c>
      <c r="I4842" s="36">
        <v>2586.6</v>
      </c>
      <c r="J4842" s="36">
        <v>2586.6</v>
      </c>
      <c r="K4842" s="85">
        <v>0</v>
      </c>
      <c r="L4842" s="36">
        <v>215.55</v>
      </c>
      <c r="M4842" s="36">
        <v>0</v>
      </c>
      <c r="N4842" s="36">
        <v>35.299999999999997</v>
      </c>
      <c r="O4842" s="36">
        <v>180.25</v>
      </c>
      <c r="P4842" t="s">
        <v>162</v>
      </c>
      <c r="Q4842" t="s">
        <v>111</v>
      </c>
      <c r="R4842" t="s">
        <v>111</v>
      </c>
      <c r="S4842" s="112">
        <v>46160</v>
      </c>
      <c r="T4842" s="112">
        <v>46160</v>
      </c>
      <c r="U4842" s="112">
        <v>46131</v>
      </c>
      <c r="V4842" s="112">
        <v>46525</v>
      </c>
      <c r="W4842" t="s">
        <v>38</v>
      </c>
      <c r="X4842">
        <v>13</v>
      </c>
      <c r="Y4842" t="s">
        <v>49</v>
      </c>
      <c r="Z4842" t="s">
        <v>76</v>
      </c>
      <c r="AA4842" t="s">
        <v>117</v>
      </c>
      <c r="AB4842">
        <v>1</v>
      </c>
      <c r="AC4842" t="s">
        <v>113</v>
      </c>
      <c r="AD4842" t="s">
        <v>118</v>
      </c>
      <c r="AE4842" t="s">
        <v>43</v>
      </c>
      <c r="AF4842" t="s">
        <v>119</v>
      </c>
      <c r="AG4842" t="str">
        <f t="shared" si="113"/>
        <v>À Vista</v>
      </c>
      <c r="AH4842" t="str">
        <f t="shared" si="114"/>
        <v/>
      </c>
    </row>
    <row r="4843" spans="1:34">
      <c r="A4843">
        <v>2026</v>
      </c>
      <c r="B4843">
        <v>5</v>
      </c>
      <c r="C4843" s="83">
        <v>2128063</v>
      </c>
      <c r="D4843" t="s">
        <v>4135</v>
      </c>
      <c r="E4843">
        <v>60457181480</v>
      </c>
      <c r="F4843">
        <v>637906</v>
      </c>
      <c r="G4843">
        <v>55478261265</v>
      </c>
      <c r="H4843" t="s">
        <v>35</v>
      </c>
      <c r="I4843" s="36">
        <v>2586.6</v>
      </c>
      <c r="J4843" s="36">
        <v>2586.6</v>
      </c>
      <c r="K4843" s="85">
        <v>0</v>
      </c>
      <c r="L4843" s="36">
        <v>215.55</v>
      </c>
      <c r="M4843" s="36">
        <v>215.55</v>
      </c>
      <c r="N4843" s="36">
        <v>0</v>
      </c>
      <c r="O4843" s="36">
        <v>0</v>
      </c>
      <c r="P4843" t="s">
        <v>511</v>
      </c>
      <c r="Q4843" t="s">
        <v>300</v>
      </c>
      <c r="R4843" t="s">
        <v>300</v>
      </c>
      <c r="S4843" s="112">
        <v>46163</v>
      </c>
      <c r="T4843" s="112">
        <v>46163</v>
      </c>
      <c r="U4843" s="112"/>
      <c r="V4843" s="112">
        <v>46528</v>
      </c>
      <c r="W4843" t="s">
        <v>38</v>
      </c>
      <c r="X4843">
        <v>12</v>
      </c>
      <c r="Y4843" t="s">
        <v>49</v>
      </c>
      <c r="AA4843" t="s">
        <v>112</v>
      </c>
      <c r="AB4843">
        <v>12</v>
      </c>
      <c r="AC4843" t="s">
        <v>301</v>
      </c>
      <c r="AD4843" t="s">
        <v>140</v>
      </c>
      <c r="AE4843" t="s">
        <v>46</v>
      </c>
      <c r="AF4843" t="s">
        <v>119</v>
      </c>
      <c r="AG4843" t="str">
        <f t="shared" si="113"/>
        <v>CC 12x</v>
      </c>
      <c r="AH4843" t="str">
        <f t="shared" si="114"/>
        <v/>
      </c>
    </row>
    <row r="4844" spans="1:34">
      <c r="A4844">
        <v>2026</v>
      </c>
      <c r="B4844">
        <v>5</v>
      </c>
      <c r="C4844" s="83">
        <v>2136851</v>
      </c>
      <c r="D4844" t="s">
        <v>4136</v>
      </c>
      <c r="E4844">
        <v>59805355019</v>
      </c>
      <c r="F4844">
        <v>637602</v>
      </c>
      <c r="G4844">
        <v>55076354679</v>
      </c>
      <c r="H4844" t="s">
        <v>35</v>
      </c>
      <c r="I4844" s="36">
        <v>2586.6</v>
      </c>
      <c r="J4844" s="36">
        <v>2586.6</v>
      </c>
      <c r="K4844" s="85">
        <v>0</v>
      </c>
      <c r="L4844" s="36">
        <v>215.55</v>
      </c>
      <c r="M4844" s="36">
        <v>215.55</v>
      </c>
      <c r="N4844" s="36">
        <v>0</v>
      </c>
      <c r="O4844" s="36">
        <v>0</v>
      </c>
      <c r="P4844" t="s">
        <v>2004</v>
      </c>
      <c r="Q4844" t="s">
        <v>300</v>
      </c>
      <c r="R4844" t="s">
        <v>300</v>
      </c>
      <c r="S4844" s="112">
        <v>46148</v>
      </c>
      <c r="T4844" s="112">
        <v>46148</v>
      </c>
      <c r="U4844" s="112"/>
      <c r="V4844" s="112">
        <v>46513</v>
      </c>
      <c r="W4844" t="s">
        <v>38</v>
      </c>
      <c r="X4844">
        <v>12</v>
      </c>
      <c r="Y4844" t="s">
        <v>49</v>
      </c>
      <c r="AA4844" t="s">
        <v>122</v>
      </c>
      <c r="AB4844">
        <v>12</v>
      </c>
      <c r="AC4844" t="s">
        <v>301</v>
      </c>
      <c r="AD4844" t="s">
        <v>118</v>
      </c>
      <c r="AE4844" t="s">
        <v>43</v>
      </c>
      <c r="AF4844" t="s">
        <v>119</v>
      </c>
      <c r="AG4844" t="str">
        <f t="shared" si="113"/>
        <v>Recorrente</v>
      </c>
      <c r="AH4844" t="str">
        <f t="shared" si="114"/>
        <v/>
      </c>
    </row>
    <row r="4845" spans="1:34">
      <c r="A4845">
        <v>2026</v>
      </c>
      <c r="B4845">
        <v>5</v>
      </c>
      <c r="C4845" s="83">
        <v>217313972385</v>
      </c>
      <c r="D4845" t="s">
        <v>4137</v>
      </c>
      <c r="E4845">
        <v>60669220783</v>
      </c>
      <c r="F4845">
        <v>638015</v>
      </c>
      <c r="G4845">
        <v>55644745058</v>
      </c>
      <c r="H4845" t="s">
        <v>35</v>
      </c>
      <c r="I4845" s="36">
        <v>2586.6</v>
      </c>
      <c r="J4845" s="36">
        <v>2586.6</v>
      </c>
      <c r="K4845" s="85">
        <v>0</v>
      </c>
      <c r="L4845" s="36">
        <v>215.55</v>
      </c>
      <c r="M4845" s="36">
        <v>215.55</v>
      </c>
      <c r="N4845" s="36">
        <v>0</v>
      </c>
      <c r="O4845" s="36">
        <v>0</v>
      </c>
      <c r="P4845" t="s">
        <v>511</v>
      </c>
      <c r="Q4845" t="s">
        <v>300</v>
      </c>
      <c r="R4845" t="s">
        <v>300</v>
      </c>
      <c r="S4845" s="112">
        <v>46169</v>
      </c>
      <c r="T4845" s="112">
        <v>46169</v>
      </c>
      <c r="U4845" s="112"/>
      <c r="V4845" s="112">
        <v>46534</v>
      </c>
      <c r="W4845" t="s">
        <v>38</v>
      </c>
      <c r="X4845">
        <v>12</v>
      </c>
      <c r="Y4845" t="s">
        <v>49</v>
      </c>
      <c r="AA4845" t="s">
        <v>122</v>
      </c>
      <c r="AB4845">
        <v>12</v>
      </c>
      <c r="AC4845" t="s">
        <v>301</v>
      </c>
      <c r="AD4845" t="s">
        <v>118</v>
      </c>
      <c r="AE4845" t="s">
        <v>43</v>
      </c>
      <c r="AF4845" t="s">
        <v>119</v>
      </c>
      <c r="AG4845" t="str">
        <f t="shared" si="113"/>
        <v>Recorrente</v>
      </c>
      <c r="AH4845" t="str">
        <f t="shared" si="114"/>
        <v/>
      </c>
    </row>
    <row r="4846" spans="1:34">
      <c r="A4846">
        <v>2026</v>
      </c>
      <c r="B4846">
        <v>5</v>
      </c>
      <c r="C4846" s="83">
        <v>219821556736</v>
      </c>
      <c r="D4846" t="s">
        <v>4138</v>
      </c>
      <c r="E4846">
        <v>60035818499</v>
      </c>
      <c r="F4846">
        <v>637575</v>
      </c>
      <c r="G4846">
        <v>55039017787</v>
      </c>
      <c r="H4846" t="s">
        <v>35</v>
      </c>
      <c r="I4846" s="36">
        <v>2586.6</v>
      </c>
      <c r="J4846" s="36">
        <v>2586.6</v>
      </c>
      <c r="K4846" s="85">
        <v>0</v>
      </c>
      <c r="L4846" s="36">
        <v>215.55</v>
      </c>
      <c r="M4846" s="36">
        <v>215.55</v>
      </c>
      <c r="N4846" s="36">
        <v>0</v>
      </c>
      <c r="O4846" s="36">
        <v>0</v>
      </c>
      <c r="P4846" t="s">
        <v>3179</v>
      </c>
      <c r="Q4846" t="s">
        <v>300</v>
      </c>
      <c r="R4846" t="s">
        <v>300</v>
      </c>
      <c r="S4846" s="112">
        <v>46147</v>
      </c>
      <c r="T4846" s="112">
        <v>46147</v>
      </c>
      <c r="U4846" s="112"/>
      <c r="V4846" s="112">
        <v>46512</v>
      </c>
      <c r="W4846" t="s">
        <v>38</v>
      </c>
      <c r="X4846">
        <v>12</v>
      </c>
      <c r="Y4846" t="s">
        <v>49</v>
      </c>
      <c r="AA4846" t="s">
        <v>112</v>
      </c>
      <c r="AB4846">
        <v>12</v>
      </c>
      <c r="AC4846" t="s">
        <v>301</v>
      </c>
      <c r="AD4846" t="s">
        <v>118</v>
      </c>
      <c r="AE4846" t="s">
        <v>43</v>
      </c>
      <c r="AF4846" t="s">
        <v>119</v>
      </c>
      <c r="AG4846" t="str">
        <f t="shared" si="113"/>
        <v>CC 12x</v>
      </c>
      <c r="AH4846" t="str">
        <f t="shared" si="114"/>
        <v/>
      </c>
    </row>
    <row r="4847" spans="1:34">
      <c r="A4847">
        <v>2026</v>
      </c>
      <c r="B4847">
        <v>5</v>
      </c>
      <c r="C4847" s="83">
        <v>221661019945</v>
      </c>
      <c r="D4847" t="s">
        <v>4139</v>
      </c>
      <c r="E4847">
        <v>60254885746</v>
      </c>
      <c r="F4847">
        <v>637806</v>
      </c>
      <c r="G4847">
        <v>55271616850</v>
      </c>
      <c r="H4847" t="s">
        <v>35</v>
      </c>
      <c r="I4847" s="36">
        <v>2586.6</v>
      </c>
      <c r="J4847" s="36">
        <v>2586.6</v>
      </c>
      <c r="K4847" s="85">
        <v>0</v>
      </c>
      <c r="L4847" s="36">
        <v>215.55</v>
      </c>
      <c r="M4847" s="36">
        <v>215.55</v>
      </c>
      <c r="N4847" s="36">
        <v>0</v>
      </c>
      <c r="O4847" s="36">
        <v>0</v>
      </c>
      <c r="P4847" t="s">
        <v>3642</v>
      </c>
      <c r="Q4847" t="s">
        <v>300</v>
      </c>
      <c r="R4847" t="s">
        <v>300</v>
      </c>
      <c r="S4847" s="112">
        <v>46157</v>
      </c>
      <c r="T4847" s="112">
        <v>46157</v>
      </c>
      <c r="U4847" s="112"/>
      <c r="V4847" s="112">
        <v>46522</v>
      </c>
      <c r="W4847" t="s">
        <v>38</v>
      </c>
      <c r="X4847">
        <v>12</v>
      </c>
      <c r="Y4847" t="s">
        <v>49</v>
      </c>
      <c r="AA4847" t="s">
        <v>112</v>
      </c>
      <c r="AB4847">
        <v>12</v>
      </c>
      <c r="AC4847" t="s">
        <v>301</v>
      </c>
      <c r="AD4847" t="s">
        <v>140</v>
      </c>
      <c r="AE4847" t="s">
        <v>46</v>
      </c>
      <c r="AF4847" t="s">
        <v>119</v>
      </c>
      <c r="AG4847" t="str">
        <f t="shared" si="113"/>
        <v>CC 12x</v>
      </c>
      <c r="AH4847" t="str">
        <f t="shared" si="114"/>
        <v/>
      </c>
    </row>
    <row r="4848" spans="1:34">
      <c r="A4848">
        <v>2026</v>
      </c>
      <c r="B4848">
        <v>5</v>
      </c>
      <c r="C4848" s="83">
        <v>31274698543</v>
      </c>
      <c r="D4848" t="s">
        <v>4140</v>
      </c>
      <c r="E4848">
        <v>60648487476</v>
      </c>
      <c r="F4848">
        <v>638035</v>
      </c>
      <c r="G4848">
        <v>55644724837</v>
      </c>
      <c r="H4848" t="s">
        <v>35</v>
      </c>
      <c r="I4848" s="36">
        <v>2586.6</v>
      </c>
      <c r="J4848" s="36">
        <v>2586.6</v>
      </c>
      <c r="K4848" s="85">
        <v>0</v>
      </c>
      <c r="L4848" s="36">
        <v>215.55</v>
      </c>
      <c r="M4848" s="36">
        <v>215.55</v>
      </c>
      <c r="N4848" s="36">
        <v>0</v>
      </c>
      <c r="O4848" s="36">
        <v>0</v>
      </c>
      <c r="P4848" t="s">
        <v>90</v>
      </c>
      <c r="Q4848" t="s">
        <v>91</v>
      </c>
      <c r="R4848" t="s">
        <v>91</v>
      </c>
      <c r="S4848" s="112">
        <v>46170</v>
      </c>
      <c r="T4848" s="112">
        <v>46170</v>
      </c>
      <c r="U4848" s="112"/>
      <c r="V4848" s="112">
        <v>46535</v>
      </c>
      <c r="W4848" t="s">
        <v>38</v>
      </c>
      <c r="X4848">
        <v>12</v>
      </c>
      <c r="Y4848" t="s">
        <v>49</v>
      </c>
      <c r="AA4848" t="s">
        <v>117</v>
      </c>
      <c r="AB4848">
        <v>1</v>
      </c>
      <c r="AC4848" t="s">
        <v>93</v>
      </c>
      <c r="AD4848" t="s">
        <v>118</v>
      </c>
      <c r="AE4848" t="s">
        <v>43</v>
      </c>
      <c r="AF4848" t="s">
        <v>119</v>
      </c>
      <c r="AG4848" t="str">
        <f t="shared" si="113"/>
        <v>À Vista</v>
      </c>
      <c r="AH4848" t="str">
        <f t="shared" si="114"/>
        <v/>
      </c>
    </row>
    <row r="4849" spans="1:34">
      <c r="A4849">
        <v>2026</v>
      </c>
      <c r="B4849">
        <v>5</v>
      </c>
      <c r="C4849" s="83">
        <v>38737704858</v>
      </c>
      <c r="D4849" t="s">
        <v>4141</v>
      </c>
      <c r="E4849">
        <v>60187908631</v>
      </c>
      <c r="F4849">
        <v>637709</v>
      </c>
      <c r="G4849">
        <v>55191230755</v>
      </c>
      <c r="H4849" t="s">
        <v>35</v>
      </c>
      <c r="I4849" s="36">
        <v>2586.6</v>
      </c>
      <c r="J4849" s="36">
        <v>2586.6</v>
      </c>
      <c r="K4849" s="85">
        <v>0</v>
      </c>
      <c r="L4849" s="36">
        <v>215.55</v>
      </c>
      <c r="M4849" s="36">
        <v>0</v>
      </c>
      <c r="N4849" s="36">
        <v>215.55</v>
      </c>
      <c r="O4849" s="36">
        <v>0</v>
      </c>
      <c r="P4849" t="s">
        <v>804</v>
      </c>
      <c r="Q4849" t="s">
        <v>191</v>
      </c>
      <c r="R4849" t="s">
        <v>191</v>
      </c>
      <c r="S4849" s="112">
        <v>46153</v>
      </c>
      <c r="T4849" s="112">
        <v>46153</v>
      </c>
      <c r="U4849" s="112"/>
      <c r="V4849" s="112">
        <v>46518</v>
      </c>
      <c r="W4849" t="s">
        <v>38</v>
      </c>
      <c r="X4849">
        <v>12</v>
      </c>
      <c r="Y4849" t="s">
        <v>49</v>
      </c>
      <c r="AA4849" t="s">
        <v>122</v>
      </c>
      <c r="AB4849">
        <v>12</v>
      </c>
      <c r="AC4849" t="s">
        <v>192</v>
      </c>
      <c r="AD4849" t="s">
        <v>118</v>
      </c>
      <c r="AE4849" t="s">
        <v>43</v>
      </c>
      <c r="AF4849" t="s">
        <v>119</v>
      </c>
      <c r="AG4849" t="str">
        <f t="shared" si="113"/>
        <v>Recorrente</v>
      </c>
      <c r="AH4849" t="str">
        <f t="shared" si="114"/>
        <v/>
      </c>
    </row>
    <row r="4850" spans="1:34">
      <c r="A4850">
        <v>2026</v>
      </c>
      <c r="B4850">
        <v>5</v>
      </c>
      <c r="C4850" s="83">
        <v>46432168558</v>
      </c>
      <c r="D4850" t="s">
        <v>4142</v>
      </c>
      <c r="E4850">
        <v>60458075270</v>
      </c>
      <c r="F4850">
        <v>637922</v>
      </c>
      <c r="G4850">
        <v>55555738231</v>
      </c>
      <c r="H4850" t="s">
        <v>35</v>
      </c>
      <c r="I4850" s="36">
        <v>2586.6</v>
      </c>
      <c r="J4850" s="36">
        <v>2586.6</v>
      </c>
      <c r="K4850" s="85">
        <v>0</v>
      </c>
      <c r="L4850" s="36">
        <v>215.55</v>
      </c>
      <c r="M4850" s="36">
        <v>215.55</v>
      </c>
      <c r="N4850" s="36">
        <v>0</v>
      </c>
      <c r="O4850" s="36">
        <v>0</v>
      </c>
      <c r="P4850" t="s">
        <v>129</v>
      </c>
      <c r="Q4850" t="s">
        <v>91</v>
      </c>
      <c r="R4850" t="s">
        <v>91</v>
      </c>
      <c r="S4850" s="112">
        <v>46164</v>
      </c>
      <c r="T4850" s="112">
        <v>46164</v>
      </c>
      <c r="V4850" s="112">
        <v>46529</v>
      </c>
      <c r="W4850" t="s">
        <v>38</v>
      </c>
      <c r="X4850">
        <v>12</v>
      </c>
      <c r="Y4850" t="s">
        <v>49</v>
      </c>
      <c r="AA4850" t="s">
        <v>112</v>
      </c>
      <c r="AB4850">
        <v>1</v>
      </c>
      <c r="AC4850" t="s">
        <v>93</v>
      </c>
      <c r="AD4850" t="s">
        <v>140</v>
      </c>
      <c r="AE4850" t="s">
        <v>46</v>
      </c>
      <c r="AF4850" t="s">
        <v>119</v>
      </c>
      <c r="AG4850" t="str">
        <f t="shared" si="113"/>
        <v>À Vista</v>
      </c>
      <c r="AH4850" t="str">
        <f t="shared" si="114"/>
        <v/>
      </c>
    </row>
    <row r="4851" spans="1:34">
      <c r="A4851">
        <v>2026</v>
      </c>
      <c r="B4851">
        <v>5</v>
      </c>
      <c r="C4851" s="83">
        <v>54223093542</v>
      </c>
      <c r="D4851" t="s">
        <v>4143</v>
      </c>
      <c r="E4851">
        <v>59446233635</v>
      </c>
      <c r="F4851">
        <v>637678</v>
      </c>
      <c r="G4851">
        <v>55095908744</v>
      </c>
      <c r="H4851" t="s">
        <v>35</v>
      </c>
      <c r="I4851" s="36">
        <v>2586.6</v>
      </c>
      <c r="J4851" s="36">
        <v>2586.6</v>
      </c>
      <c r="K4851" s="85">
        <v>0</v>
      </c>
      <c r="L4851" s="36">
        <v>215.55</v>
      </c>
      <c r="M4851" s="36">
        <v>215.55</v>
      </c>
      <c r="N4851" s="36">
        <v>0</v>
      </c>
      <c r="O4851" s="36">
        <v>0</v>
      </c>
      <c r="P4851" t="s">
        <v>90</v>
      </c>
      <c r="Q4851" t="s">
        <v>91</v>
      </c>
      <c r="R4851" t="s">
        <v>91</v>
      </c>
      <c r="S4851" s="112">
        <v>46150</v>
      </c>
      <c r="T4851" s="112">
        <v>46150</v>
      </c>
      <c r="V4851" s="112">
        <v>46515</v>
      </c>
      <c r="W4851" t="s">
        <v>38</v>
      </c>
      <c r="X4851">
        <v>12</v>
      </c>
      <c r="Y4851" t="s">
        <v>49</v>
      </c>
      <c r="AA4851" t="s">
        <v>117</v>
      </c>
      <c r="AB4851">
        <v>1</v>
      </c>
      <c r="AC4851" t="s">
        <v>93</v>
      </c>
      <c r="AD4851" t="s">
        <v>140</v>
      </c>
      <c r="AE4851" t="s">
        <v>46</v>
      </c>
      <c r="AF4851" t="s">
        <v>119</v>
      </c>
      <c r="AG4851" t="str">
        <f t="shared" si="113"/>
        <v>À Vista</v>
      </c>
      <c r="AH4851" t="str">
        <f t="shared" si="114"/>
        <v/>
      </c>
    </row>
    <row r="4852" spans="1:34">
      <c r="A4852">
        <v>2026</v>
      </c>
      <c r="B4852">
        <v>5</v>
      </c>
      <c r="C4852" s="83">
        <v>54803284550</v>
      </c>
      <c r="D4852" t="s">
        <v>3855</v>
      </c>
      <c r="E4852">
        <v>60154692426</v>
      </c>
      <c r="F4852">
        <v>637691</v>
      </c>
      <c r="G4852">
        <v>55129217056</v>
      </c>
      <c r="H4852" t="s">
        <v>35</v>
      </c>
      <c r="I4852" s="36">
        <v>2586.6</v>
      </c>
      <c r="J4852" s="36">
        <v>2586.6</v>
      </c>
      <c r="K4852" s="85">
        <v>0</v>
      </c>
      <c r="L4852" s="36">
        <v>215.55</v>
      </c>
      <c r="M4852" s="36">
        <v>215.55</v>
      </c>
      <c r="N4852" s="36">
        <v>0</v>
      </c>
      <c r="O4852" s="36">
        <v>0</v>
      </c>
      <c r="P4852" t="s">
        <v>3642</v>
      </c>
      <c r="Q4852" t="s">
        <v>300</v>
      </c>
      <c r="R4852" t="s">
        <v>300</v>
      </c>
      <c r="S4852" s="112">
        <v>46150</v>
      </c>
      <c r="T4852" s="112">
        <v>46150</v>
      </c>
      <c r="V4852" s="112">
        <v>46515</v>
      </c>
      <c r="W4852" t="s">
        <v>38</v>
      </c>
      <c r="X4852">
        <v>12</v>
      </c>
      <c r="Y4852" t="s">
        <v>49</v>
      </c>
      <c r="AA4852" t="s">
        <v>112</v>
      </c>
      <c r="AB4852">
        <v>12</v>
      </c>
      <c r="AC4852" t="s">
        <v>301</v>
      </c>
      <c r="AD4852" t="s">
        <v>118</v>
      </c>
      <c r="AE4852" t="s">
        <v>43</v>
      </c>
      <c r="AF4852" t="s">
        <v>119</v>
      </c>
      <c r="AG4852" t="str">
        <f t="shared" si="113"/>
        <v>CC 12x</v>
      </c>
      <c r="AH4852" t="str">
        <f t="shared" si="114"/>
        <v/>
      </c>
    </row>
    <row r="4853" spans="1:34">
      <c r="A4853">
        <v>2026</v>
      </c>
      <c r="B4853">
        <v>5</v>
      </c>
      <c r="C4853" s="83">
        <v>54835542633</v>
      </c>
      <c r="D4853" t="s">
        <v>4144</v>
      </c>
      <c r="E4853">
        <v>60136985207</v>
      </c>
      <c r="F4853">
        <v>637688</v>
      </c>
      <c r="G4853">
        <v>55155406441</v>
      </c>
      <c r="H4853" t="s">
        <v>35</v>
      </c>
      <c r="I4853" s="36">
        <v>2586.6</v>
      </c>
      <c r="J4853" s="36">
        <v>2586.6</v>
      </c>
      <c r="K4853" s="85">
        <v>0</v>
      </c>
      <c r="L4853" s="36">
        <v>215.55</v>
      </c>
      <c r="M4853" s="36">
        <v>215.55</v>
      </c>
      <c r="N4853" s="36">
        <v>0</v>
      </c>
      <c r="O4853" s="36">
        <v>0</v>
      </c>
      <c r="P4853" t="s">
        <v>511</v>
      </c>
      <c r="Q4853" t="s">
        <v>300</v>
      </c>
      <c r="R4853" t="s">
        <v>300</v>
      </c>
      <c r="S4853" s="112">
        <v>46150</v>
      </c>
      <c r="T4853" s="112">
        <v>46150</v>
      </c>
      <c r="V4853" s="112">
        <v>46515</v>
      </c>
      <c r="W4853" t="s">
        <v>38</v>
      </c>
      <c r="X4853">
        <v>12</v>
      </c>
      <c r="Y4853" t="s">
        <v>49</v>
      </c>
      <c r="AA4853" t="s">
        <v>112</v>
      </c>
      <c r="AB4853">
        <v>12</v>
      </c>
      <c r="AC4853" t="s">
        <v>301</v>
      </c>
      <c r="AD4853" t="s">
        <v>140</v>
      </c>
      <c r="AE4853" t="s">
        <v>46</v>
      </c>
      <c r="AF4853" t="s">
        <v>119</v>
      </c>
      <c r="AG4853" t="str">
        <f t="shared" si="113"/>
        <v>CC 12x</v>
      </c>
      <c r="AH4853" t="str">
        <f t="shared" si="114"/>
        <v/>
      </c>
    </row>
    <row r="4854" spans="1:34">
      <c r="A4854">
        <v>2026</v>
      </c>
      <c r="B4854">
        <v>5</v>
      </c>
      <c r="C4854" s="83">
        <v>206429499753</v>
      </c>
      <c r="D4854" t="s">
        <v>2241</v>
      </c>
      <c r="E4854">
        <v>60130820014</v>
      </c>
      <c r="F4854">
        <v>637682</v>
      </c>
      <c r="G4854">
        <v>55098544143</v>
      </c>
      <c r="H4854" t="s">
        <v>35</v>
      </c>
      <c r="I4854" s="36">
        <v>2585.4</v>
      </c>
      <c r="J4854" s="36">
        <v>2585.4504000000002</v>
      </c>
      <c r="K4854" s="85">
        <v>0</v>
      </c>
      <c r="L4854" s="36">
        <v>215.45419999999999</v>
      </c>
      <c r="M4854" s="36">
        <v>0</v>
      </c>
      <c r="N4854" s="36">
        <v>215.45419999999999</v>
      </c>
      <c r="O4854" s="36">
        <v>0</v>
      </c>
      <c r="P4854" t="s">
        <v>323</v>
      </c>
      <c r="Q4854" t="s">
        <v>191</v>
      </c>
      <c r="R4854" t="s">
        <v>191</v>
      </c>
      <c r="S4854" s="112">
        <v>46150</v>
      </c>
      <c r="T4854" s="112">
        <v>46150</v>
      </c>
      <c r="U4854" s="112">
        <v>46448</v>
      </c>
      <c r="V4854" s="112">
        <v>46515</v>
      </c>
      <c r="W4854" t="s">
        <v>38</v>
      </c>
      <c r="X4854">
        <v>12</v>
      </c>
      <c r="Y4854" t="s">
        <v>49</v>
      </c>
      <c r="AA4854" t="s">
        <v>122</v>
      </c>
      <c r="AB4854">
        <v>12</v>
      </c>
      <c r="AC4854" t="s">
        <v>192</v>
      </c>
      <c r="AD4854" t="s">
        <v>140</v>
      </c>
      <c r="AE4854" t="s">
        <v>46</v>
      </c>
      <c r="AF4854" t="s">
        <v>119</v>
      </c>
      <c r="AG4854" t="str">
        <f t="shared" ref="AG4854:AG4917" si="115">IF(IFERROR(SEARCH("Recorrente",AA4854),0)&gt;0,"Recorrente",IF(AB4854=1,"À Vista",IF(AB4854&lt;=3,"CC 3x",IF(AB4854&lt;=12,"CC 12x",IF(AB4854&gt;12,"Recorrente","")))))</f>
        <v>Recorrente</v>
      </c>
      <c r="AH4854" t="str">
        <f t="shared" ref="AH4854:AH4917" si="116">IF(AND(SUMIF(E:E,E4854,I:I)&gt;=400000,Q4854="B2G"),"n","")</f>
        <v/>
      </c>
    </row>
    <row r="4855" spans="1:34">
      <c r="A4855">
        <v>2026</v>
      </c>
      <c r="B4855">
        <v>5</v>
      </c>
      <c r="C4855" s="83">
        <v>223322183838</v>
      </c>
      <c r="D4855" t="s">
        <v>4145</v>
      </c>
      <c r="E4855">
        <v>60543798912</v>
      </c>
      <c r="F4855">
        <v>637933</v>
      </c>
      <c r="G4855">
        <v>55583775529</v>
      </c>
      <c r="H4855" t="s">
        <v>35</v>
      </c>
      <c r="I4855" s="36">
        <v>2580.84</v>
      </c>
      <c r="J4855" s="36">
        <v>2580.8519999999999</v>
      </c>
      <c r="K4855" s="85">
        <v>0</v>
      </c>
      <c r="L4855" s="36">
        <v>215.071</v>
      </c>
      <c r="M4855" s="36">
        <v>215.071</v>
      </c>
      <c r="N4855" s="36">
        <v>0</v>
      </c>
      <c r="O4855" s="36">
        <v>0</v>
      </c>
      <c r="P4855" t="s">
        <v>506</v>
      </c>
      <c r="Q4855" t="s">
        <v>300</v>
      </c>
      <c r="R4855" t="s">
        <v>300</v>
      </c>
      <c r="S4855" s="112">
        <v>46164</v>
      </c>
      <c r="T4855" s="112">
        <v>46164</v>
      </c>
      <c r="U4855" s="112"/>
      <c r="V4855" s="112">
        <v>46529</v>
      </c>
      <c r="W4855" t="s">
        <v>38</v>
      </c>
      <c r="X4855">
        <v>12</v>
      </c>
      <c r="Y4855" t="s">
        <v>49</v>
      </c>
      <c r="AA4855" t="s">
        <v>112</v>
      </c>
      <c r="AB4855">
        <v>12</v>
      </c>
      <c r="AC4855" t="s">
        <v>301</v>
      </c>
      <c r="AD4855" t="s">
        <v>140</v>
      </c>
      <c r="AE4855" t="s">
        <v>46</v>
      </c>
      <c r="AF4855" t="s">
        <v>119</v>
      </c>
      <c r="AG4855" t="str">
        <f t="shared" si="115"/>
        <v>CC 12x</v>
      </c>
      <c r="AH4855" t="str">
        <f t="shared" si="116"/>
        <v/>
      </c>
    </row>
    <row r="4856" spans="1:34">
      <c r="A4856">
        <v>2026</v>
      </c>
      <c r="B4856">
        <v>5</v>
      </c>
      <c r="C4856" s="83">
        <v>20194130807</v>
      </c>
      <c r="D4856" t="s">
        <v>3993</v>
      </c>
      <c r="E4856">
        <v>60551258990</v>
      </c>
      <c r="F4856">
        <v>638053</v>
      </c>
      <c r="G4856">
        <v>55660970915</v>
      </c>
      <c r="H4856" t="s">
        <v>35</v>
      </c>
      <c r="I4856" s="36">
        <v>2557.8000000000002</v>
      </c>
      <c r="J4856" s="36">
        <v>2557.86</v>
      </c>
      <c r="K4856" s="85">
        <v>0</v>
      </c>
      <c r="L4856" s="36">
        <v>213.155</v>
      </c>
      <c r="M4856" s="36">
        <v>213.155</v>
      </c>
      <c r="N4856" s="36">
        <v>0</v>
      </c>
      <c r="O4856" s="36">
        <v>0</v>
      </c>
      <c r="P4856" t="s">
        <v>129</v>
      </c>
      <c r="Q4856" t="s">
        <v>91</v>
      </c>
      <c r="R4856" t="s">
        <v>91</v>
      </c>
      <c r="S4856" s="112">
        <v>46170</v>
      </c>
      <c r="T4856" s="112">
        <v>46170</v>
      </c>
      <c r="U4856" s="112"/>
      <c r="V4856" s="112">
        <v>46546</v>
      </c>
      <c r="W4856" t="s">
        <v>38</v>
      </c>
      <c r="X4856">
        <v>13</v>
      </c>
      <c r="Y4856" t="s">
        <v>49</v>
      </c>
      <c r="AA4856" t="s">
        <v>92</v>
      </c>
      <c r="AB4856">
        <v>12</v>
      </c>
      <c r="AC4856" t="s">
        <v>93</v>
      </c>
      <c r="AD4856" t="s">
        <v>140</v>
      </c>
      <c r="AE4856" t="s">
        <v>46</v>
      </c>
      <c r="AF4856" t="s">
        <v>119</v>
      </c>
      <c r="AG4856" t="str">
        <f t="shared" si="115"/>
        <v>Recorrente</v>
      </c>
      <c r="AH4856" t="str">
        <f t="shared" si="116"/>
        <v/>
      </c>
    </row>
    <row r="4857" spans="1:34">
      <c r="A4857">
        <v>2026</v>
      </c>
      <c r="B4857">
        <v>5</v>
      </c>
      <c r="C4857" s="83">
        <v>2065784</v>
      </c>
      <c r="D4857" t="s">
        <v>4146</v>
      </c>
      <c r="E4857">
        <v>60197417322</v>
      </c>
      <c r="F4857">
        <v>637735</v>
      </c>
      <c r="G4857">
        <v>55196612780</v>
      </c>
      <c r="H4857" t="s">
        <v>35</v>
      </c>
      <c r="I4857" s="36">
        <v>2520.48</v>
      </c>
      <c r="J4857" s="36">
        <v>2520.498</v>
      </c>
      <c r="K4857" s="85">
        <v>0</v>
      </c>
      <c r="L4857" s="36">
        <v>210.04150000000001</v>
      </c>
      <c r="M4857" s="36">
        <v>210.04150000000001</v>
      </c>
      <c r="N4857" s="36">
        <v>0</v>
      </c>
      <c r="O4857" s="36">
        <v>0</v>
      </c>
      <c r="P4857" t="s">
        <v>506</v>
      </c>
      <c r="Q4857" t="s">
        <v>300</v>
      </c>
      <c r="R4857" t="s">
        <v>300</v>
      </c>
      <c r="S4857" s="112">
        <v>46154</v>
      </c>
      <c r="T4857" s="112">
        <v>46154</v>
      </c>
      <c r="V4857" s="112">
        <v>46519</v>
      </c>
      <c r="W4857" t="s">
        <v>38</v>
      </c>
      <c r="X4857">
        <v>12</v>
      </c>
      <c r="Y4857" t="s">
        <v>49</v>
      </c>
      <c r="AA4857" t="s">
        <v>112</v>
      </c>
      <c r="AB4857">
        <v>12</v>
      </c>
      <c r="AC4857" t="s">
        <v>301</v>
      </c>
      <c r="AD4857" t="s">
        <v>118</v>
      </c>
      <c r="AE4857" t="s">
        <v>43</v>
      </c>
      <c r="AF4857" t="s">
        <v>119</v>
      </c>
      <c r="AG4857" t="str">
        <f t="shared" si="115"/>
        <v>CC 12x</v>
      </c>
      <c r="AH4857" t="str">
        <f t="shared" si="116"/>
        <v/>
      </c>
    </row>
    <row r="4858" spans="1:34">
      <c r="A4858">
        <v>2026</v>
      </c>
      <c r="B4858">
        <v>5</v>
      </c>
      <c r="C4858" s="83">
        <v>32027906151</v>
      </c>
      <c r="D4858" t="s">
        <v>2552</v>
      </c>
      <c r="E4858">
        <v>60130942471</v>
      </c>
      <c r="F4858">
        <v>628644</v>
      </c>
      <c r="G4858">
        <v>55252386672</v>
      </c>
      <c r="H4858" t="s">
        <v>35</v>
      </c>
      <c r="I4858" s="36">
        <v>2511</v>
      </c>
      <c r="J4858" s="36">
        <v>2737.92</v>
      </c>
      <c r="K4858" s="85">
        <v>0</v>
      </c>
      <c r="L4858" s="36">
        <v>228.16</v>
      </c>
      <c r="M4858" s="36">
        <v>0</v>
      </c>
      <c r="N4858" s="36">
        <v>228.16</v>
      </c>
      <c r="O4858" s="36">
        <v>0</v>
      </c>
      <c r="P4858" t="s">
        <v>469</v>
      </c>
      <c r="Q4858" t="s">
        <v>191</v>
      </c>
      <c r="R4858" t="s">
        <v>191</v>
      </c>
      <c r="S4858" s="112">
        <v>46156</v>
      </c>
      <c r="T4858" s="112">
        <v>46156</v>
      </c>
      <c r="U4858" s="112">
        <v>46491</v>
      </c>
      <c r="V4858" s="112">
        <v>46491</v>
      </c>
      <c r="W4858" t="s">
        <v>38</v>
      </c>
      <c r="X4858">
        <v>11</v>
      </c>
      <c r="Y4858" t="s">
        <v>49</v>
      </c>
      <c r="Z4858" t="s">
        <v>324</v>
      </c>
      <c r="AA4858" t="s">
        <v>112</v>
      </c>
      <c r="AB4858">
        <v>11</v>
      </c>
      <c r="AC4858" t="s">
        <v>192</v>
      </c>
      <c r="AD4858" t="s">
        <v>85</v>
      </c>
      <c r="AE4858" t="s">
        <v>46</v>
      </c>
      <c r="AF4858" t="s">
        <v>44</v>
      </c>
      <c r="AG4858" t="str">
        <f t="shared" si="115"/>
        <v>CC 12x</v>
      </c>
      <c r="AH4858" t="str">
        <f t="shared" si="116"/>
        <v/>
      </c>
    </row>
    <row r="4859" spans="1:34">
      <c r="A4859">
        <v>2026</v>
      </c>
      <c r="B4859">
        <v>5</v>
      </c>
      <c r="C4859" s="83">
        <v>2098196</v>
      </c>
      <c r="D4859" t="s">
        <v>4147</v>
      </c>
      <c r="E4859">
        <v>60508179539</v>
      </c>
      <c r="F4859">
        <v>637930</v>
      </c>
      <c r="G4859">
        <v>55478127978</v>
      </c>
      <c r="H4859" t="s">
        <v>35</v>
      </c>
      <c r="I4859" s="36">
        <v>2500.3200000000002</v>
      </c>
      <c r="J4859" s="36">
        <v>2500.38</v>
      </c>
      <c r="K4859" s="85">
        <v>0</v>
      </c>
      <c r="L4859" s="36">
        <v>208.36500000000001</v>
      </c>
      <c r="M4859" s="36">
        <v>208.36500000000001</v>
      </c>
      <c r="N4859" s="36">
        <v>0</v>
      </c>
      <c r="O4859" s="36">
        <v>0</v>
      </c>
      <c r="P4859" t="s">
        <v>829</v>
      </c>
      <c r="Q4859" t="s">
        <v>300</v>
      </c>
      <c r="R4859" t="s">
        <v>300</v>
      </c>
      <c r="S4859" s="112">
        <v>46164</v>
      </c>
      <c r="T4859" s="112">
        <v>46164</v>
      </c>
      <c r="U4859" s="112"/>
      <c r="V4859" s="112">
        <v>46529</v>
      </c>
      <c r="W4859" t="s">
        <v>38</v>
      </c>
      <c r="X4859">
        <v>12</v>
      </c>
      <c r="Y4859" t="s">
        <v>49</v>
      </c>
      <c r="AA4859" t="s">
        <v>117</v>
      </c>
      <c r="AB4859">
        <v>1</v>
      </c>
      <c r="AC4859" t="s">
        <v>301</v>
      </c>
      <c r="AD4859" t="s">
        <v>118</v>
      </c>
      <c r="AE4859" t="s">
        <v>43</v>
      </c>
      <c r="AF4859" t="s">
        <v>119</v>
      </c>
      <c r="AG4859" t="str">
        <f t="shared" si="115"/>
        <v>À Vista</v>
      </c>
      <c r="AH4859" t="str">
        <f t="shared" si="116"/>
        <v/>
      </c>
    </row>
    <row r="4860" spans="1:34">
      <c r="A4860">
        <v>2026</v>
      </c>
      <c r="B4860">
        <v>5</v>
      </c>
      <c r="C4860" s="83">
        <v>54963816787</v>
      </c>
      <c r="D4860" t="s">
        <v>4148</v>
      </c>
      <c r="E4860">
        <v>60275863643</v>
      </c>
      <c r="F4860">
        <v>637867</v>
      </c>
      <c r="G4860">
        <v>55324650924</v>
      </c>
      <c r="H4860" t="s">
        <v>35</v>
      </c>
      <c r="I4860" s="36">
        <v>2500.3200000000002</v>
      </c>
      <c r="J4860" s="36">
        <v>2500.38</v>
      </c>
      <c r="K4860" s="85">
        <v>0</v>
      </c>
      <c r="L4860" s="36">
        <v>208.36500000000001</v>
      </c>
      <c r="M4860" s="36">
        <v>208.36500000000001</v>
      </c>
      <c r="N4860" s="36">
        <v>0</v>
      </c>
      <c r="O4860" s="36">
        <v>0</v>
      </c>
      <c r="P4860" t="s">
        <v>129</v>
      </c>
      <c r="Q4860" t="s">
        <v>91</v>
      </c>
      <c r="R4860" t="s">
        <v>91</v>
      </c>
      <c r="S4860" s="112">
        <v>46162</v>
      </c>
      <c r="T4860" s="112">
        <v>46162</v>
      </c>
      <c r="U4860" s="112"/>
      <c r="V4860" s="112">
        <v>46538</v>
      </c>
      <c r="W4860" t="s">
        <v>38</v>
      </c>
      <c r="X4860">
        <v>12</v>
      </c>
      <c r="Y4860" t="s">
        <v>49</v>
      </c>
      <c r="AA4860" t="s">
        <v>82</v>
      </c>
      <c r="AB4860">
        <v>1</v>
      </c>
      <c r="AC4860" t="s">
        <v>93</v>
      </c>
      <c r="AD4860" t="s">
        <v>140</v>
      </c>
      <c r="AE4860" t="s">
        <v>46</v>
      </c>
      <c r="AF4860" t="s">
        <v>119</v>
      </c>
      <c r="AG4860" t="str">
        <f t="shared" si="115"/>
        <v>À Vista</v>
      </c>
      <c r="AH4860" t="str">
        <f t="shared" si="116"/>
        <v/>
      </c>
    </row>
    <row r="4861" spans="1:34">
      <c r="A4861">
        <v>2026</v>
      </c>
      <c r="B4861">
        <v>5</v>
      </c>
      <c r="C4861" s="83">
        <v>7002615217</v>
      </c>
      <c r="D4861" t="s">
        <v>4149</v>
      </c>
      <c r="E4861">
        <v>60355473735</v>
      </c>
      <c r="F4861">
        <v>627636</v>
      </c>
      <c r="G4861">
        <v>55412936451</v>
      </c>
      <c r="H4861" t="s">
        <v>35</v>
      </c>
      <c r="I4861" s="36">
        <v>2500.3200000000002</v>
      </c>
      <c r="J4861" s="36">
        <v>2500.3200000000002</v>
      </c>
      <c r="K4861" s="85">
        <v>0</v>
      </c>
      <c r="L4861" s="36">
        <v>208.36</v>
      </c>
      <c r="M4861" s="36">
        <v>0</v>
      </c>
      <c r="N4861" s="36">
        <v>0</v>
      </c>
      <c r="O4861" s="36">
        <v>208.36500000000001</v>
      </c>
      <c r="P4861" t="s">
        <v>121</v>
      </c>
      <c r="Q4861" t="s">
        <v>111</v>
      </c>
      <c r="R4861" t="s">
        <v>111</v>
      </c>
      <c r="S4861" s="112">
        <v>46164</v>
      </c>
      <c r="T4861" s="112">
        <v>46164</v>
      </c>
      <c r="U4861" s="112">
        <v>46102</v>
      </c>
      <c r="V4861" s="112">
        <v>46529</v>
      </c>
      <c r="W4861" t="s">
        <v>38</v>
      </c>
      <c r="X4861">
        <v>14</v>
      </c>
      <c r="Y4861" t="s">
        <v>49</v>
      </c>
      <c r="Z4861" t="s">
        <v>76</v>
      </c>
      <c r="AA4861" t="s">
        <v>112</v>
      </c>
      <c r="AB4861">
        <v>12</v>
      </c>
      <c r="AC4861" t="s">
        <v>113</v>
      </c>
      <c r="AD4861" t="s">
        <v>118</v>
      </c>
      <c r="AE4861" t="s">
        <v>43</v>
      </c>
      <c r="AF4861" t="s">
        <v>119</v>
      </c>
      <c r="AG4861" t="str">
        <f t="shared" si="115"/>
        <v>CC 12x</v>
      </c>
      <c r="AH4861" t="str">
        <f t="shared" si="116"/>
        <v/>
      </c>
    </row>
    <row r="4862" spans="1:34">
      <c r="A4862">
        <v>2026</v>
      </c>
      <c r="B4862">
        <v>5</v>
      </c>
      <c r="C4862" s="83">
        <v>219193037686</v>
      </c>
      <c r="D4862" t="s">
        <v>4150</v>
      </c>
      <c r="E4862">
        <v>60010533817</v>
      </c>
      <c r="F4862">
        <v>637697</v>
      </c>
      <c r="G4862">
        <v>55099137068</v>
      </c>
      <c r="H4862" t="s">
        <v>35</v>
      </c>
      <c r="I4862" s="36">
        <v>2492.04</v>
      </c>
      <c r="J4862" s="36">
        <v>2492.1</v>
      </c>
      <c r="K4862" s="85">
        <v>0</v>
      </c>
      <c r="L4862" s="36">
        <v>207.67500000000001</v>
      </c>
      <c r="M4862" s="36">
        <v>0</v>
      </c>
      <c r="N4862" s="36">
        <v>207.67500000000001</v>
      </c>
      <c r="O4862" s="36">
        <v>0</v>
      </c>
      <c r="P4862" t="s">
        <v>804</v>
      </c>
      <c r="Q4862" t="s">
        <v>191</v>
      </c>
      <c r="R4862" t="s">
        <v>191</v>
      </c>
      <c r="S4862" s="112">
        <v>46152</v>
      </c>
      <c r="T4862" s="112">
        <v>46152</v>
      </c>
      <c r="U4862" s="112">
        <v>46238</v>
      </c>
      <c r="V4862" s="112">
        <v>46517</v>
      </c>
      <c r="W4862" t="s">
        <v>38</v>
      </c>
      <c r="X4862">
        <v>12</v>
      </c>
      <c r="Y4862" t="s">
        <v>49</v>
      </c>
      <c r="AA4862" t="s">
        <v>122</v>
      </c>
      <c r="AB4862">
        <v>12</v>
      </c>
      <c r="AC4862" t="s">
        <v>192</v>
      </c>
      <c r="AD4862" t="s">
        <v>142</v>
      </c>
      <c r="AE4862" t="s">
        <v>95</v>
      </c>
      <c r="AF4862" t="s">
        <v>44</v>
      </c>
      <c r="AG4862" t="str">
        <f t="shared" si="115"/>
        <v>Recorrente</v>
      </c>
      <c r="AH4862" t="str">
        <f t="shared" si="116"/>
        <v/>
      </c>
    </row>
    <row r="4863" spans="1:34">
      <c r="A4863">
        <v>2026</v>
      </c>
      <c r="B4863">
        <v>5</v>
      </c>
      <c r="C4863" s="83">
        <v>45777654040</v>
      </c>
      <c r="D4863" t="s">
        <v>4093</v>
      </c>
      <c r="E4863">
        <v>60456237984</v>
      </c>
      <c r="F4863">
        <v>637914</v>
      </c>
      <c r="G4863">
        <v>55555711126</v>
      </c>
      <c r="H4863" t="s">
        <v>35</v>
      </c>
      <c r="I4863" s="36">
        <v>2492.04</v>
      </c>
      <c r="J4863" s="36">
        <v>2492.1</v>
      </c>
      <c r="K4863" s="85">
        <v>0</v>
      </c>
      <c r="L4863" s="36">
        <v>207.67500000000001</v>
      </c>
      <c r="M4863" s="36">
        <v>0</v>
      </c>
      <c r="N4863" s="36">
        <v>207.67500000000001</v>
      </c>
      <c r="O4863" s="36">
        <v>0</v>
      </c>
      <c r="P4863" t="s">
        <v>367</v>
      </c>
      <c r="Q4863" t="s">
        <v>191</v>
      </c>
      <c r="R4863" t="s">
        <v>191</v>
      </c>
      <c r="S4863" s="112">
        <v>46163</v>
      </c>
      <c r="T4863" s="112">
        <v>46163</v>
      </c>
      <c r="U4863" s="112"/>
      <c r="V4863" s="112">
        <v>46528</v>
      </c>
      <c r="W4863" t="s">
        <v>38</v>
      </c>
      <c r="X4863">
        <v>12</v>
      </c>
      <c r="Y4863" t="s">
        <v>49</v>
      </c>
      <c r="AA4863" t="s">
        <v>122</v>
      </c>
      <c r="AB4863">
        <v>12</v>
      </c>
      <c r="AC4863" t="s">
        <v>192</v>
      </c>
      <c r="AD4863" t="s">
        <v>142</v>
      </c>
      <c r="AE4863" t="s">
        <v>95</v>
      </c>
      <c r="AF4863" t="s">
        <v>44</v>
      </c>
      <c r="AG4863" t="str">
        <f t="shared" si="115"/>
        <v>Recorrente</v>
      </c>
      <c r="AH4863" t="str">
        <f t="shared" si="116"/>
        <v/>
      </c>
    </row>
    <row r="4864" spans="1:34">
      <c r="A4864">
        <v>2026</v>
      </c>
      <c r="B4864">
        <v>5</v>
      </c>
      <c r="C4864" s="83">
        <v>165646477592</v>
      </c>
      <c r="D4864" t="s">
        <v>2887</v>
      </c>
      <c r="E4864">
        <v>60012357953</v>
      </c>
      <c r="F4864">
        <v>628568</v>
      </c>
      <c r="G4864">
        <v>55059854613</v>
      </c>
      <c r="H4864" t="s">
        <v>35</v>
      </c>
      <c r="I4864" s="36">
        <v>2480.88</v>
      </c>
      <c r="J4864" s="36">
        <v>2641.92</v>
      </c>
      <c r="K4864" s="85">
        <v>0</v>
      </c>
      <c r="L4864" s="36">
        <v>220.16</v>
      </c>
      <c r="M4864" s="36">
        <v>0</v>
      </c>
      <c r="N4864" s="36">
        <v>220.16</v>
      </c>
      <c r="O4864" s="36">
        <v>0</v>
      </c>
      <c r="P4864" t="s">
        <v>367</v>
      </c>
      <c r="Q4864" t="s">
        <v>191</v>
      </c>
      <c r="R4864" t="s">
        <v>191</v>
      </c>
      <c r="S4864" s="112">
        <v>46147</v>
      </c>
      <c r="T4864" s="112">
        <v>46147</v>
      </c>
      <c r="U4864" s="112">
        <v>46490</v>
      </c>
      <c r="V4864" s="112">
        <v>46490</v>
      </c>
      <c r="W4864" t="s">
        <v>38</v>
      </c>
      <c r="X4864">
        <v>11</v>
      </c>
      <c r="Y4864" t="s">
        <v>49</v>
      </c>
      <c r="Z4864" t="s">
        <v>324</v>
      </c>
      <c r="AA4864" t="s">
        <v>122</v>
      </c>
      <c r="AB4864">
        <v>11</v>
      </c>
      <c r="AC4864" t="s">
        <v>192</v>
      </c>
      <c r="AD4864" t="s">
        <v>138</v>
      </c>
      <c r="AE4864" t="s">
        <v>135</v>
      </c>
      <c r="AF4864" t="s">
        <v>119</v>
      </c>
      <c r="AG4864" t="str">
        <f t="shared" si="115"/>
        <v>Recorrente</v>
      </c>
      <c r="AH4864" t="str">
        <f t="shared" si="116"/>
        <v/>
      </c>
    </row>
    <row r="4865" spans="1:34">
      <c r="A4865">
        <v>2026</v>
      </c>
      <c r="B4865">
        <v>5</v>
      </c>
      <c r="C4865" s="83">
        <v>142815385930</v>
      </c>
      <c r="D4865" t="s">
        <v>4151</v>
      </c>
      <c r="E4865">
        <v>60346311452</v>
      </c>
      <c r="F4865">
        <v>637850</v>
      </c>
      <c r="G4865">
        <v>55335123052</v>
      </c>
      <c r="H4865" t="s">
        <v>35</v>
      </c>
      <c r="I4865" s="36">
        <v>2474.52</v>
      </c>
      <c r="J4865" s="36">
        <v>2474.5140000000001</v>
      </c>
      <c r="K4865" s="85">
        <v>6.0000000000000001E-3</v>
      </c>
      <c r="L4865" s="36">
        <v>206.20949999999999</v>
      </c>
      <c r="M4865" s="36">
        <v>206.20949999999999</v>
      </c>
      <c r="N4865" s="36">
        <v>0</v>
      </c>
      <c r="O4865" s="36">
        <v>0</v>
      </c>
      <c r="P4865" t="s">
        <v>506</v>
      </c>
      <c r="Q4865" t="s">
        <v>300</v>
      </c>
      <c r="R4865" t="s">
        <v>300</v>
      </c>
      <c r="S4865" s="112">
        <v>46161</v>
      </c>
      <c r="T4865" s="112">
        <v>46161</v>
      </c>
      <c r="U4865" s="112"/>
      <c r="V4865" s="112">
        <v>46526</v>
      </c>
      <c r="W4865" t="s">
        <v>38</v>
      </c>
      <c r="X4865">
        <v>12</v>
      </c>
      <c r="Y4865" t="s">
        <v>49</v>
      </c>
      <c r="AA4865" t="s">
        <v>112</v>
      </c>
      <c r="AB4865">
        <v>12</v>
      </c>
      <c r="AC4865" t="s">
        <v>301</v>
      </c>
      <c r="AD4865" t="s">
        <v>140</v>
      </c>
      <c r="AE4865" t="s">
        <v>46</v>
      </c>
      <c r="AF4865" t="s">
        <v>119</v>
      </c>
      <c r="AG4865" t="str">
        <f t="shared" si="115"/>
        <v>CC 12x</v>
      </c>
      <c r="AH4865" t="str">
        <f t="shared" si="116"/>
        <v/>
      </c>
    </row>
    <row r="4866" spans="1:34">
      <c r="A4866">
        <v>2026</v>
      </c>
      <c r="B4866">
        <v>5</v>
      </c>
      <c r="C4866" s="83">
        <v>2246549</v>
      </c>
      <c r="D4866" t="s">
        <v>440</v>
      </c>
      <c r="E4866">
        <v>60140565875</v>
      </c>
      <c r="F4866">
        <v>637696</v>
      </c>
      <c r="G4866">
        <v>55129150078</v>
      </c>
      <c r="H4866" t="s">
        <v>35</v>
      </c>
      <c r="I4866" s="36">
        <v>2471.64</v>
      </c>
      <c r="J4866" s="36">
        <v>2471.64</v>
      </c>
      <c r="K4866" s="85">
        <v>0</v>
      </c>
      <c r="L4866" s="36">
        <v>205.97</v>
      </c>
      <c r="M4866" s="36">
        <v>205.97</v>
      </c>
      <c r="N4866" s="36">
        <v>0</v>
      </c>
      <c r="O4866" s="36">
        <v>0</v>
      </c>
      <c r="P4866" t="s">
        <v>3179</v>
      </c>
      <c r="Q4866" t="s">
        <v>300</v>
      </c>
      <c r="R4866" t="s">
        <v>300</v>
      </c>
      <c r="S4866" s="112">
        <v>46152</v>
      </c>
      <c r="T4866" s="112">
        <v>46152</v>
      </c>
      <c r="U4866" s="112"/>
      <c r="V4866" s="112">
        <v>46517</v>
      </c>
      <c r="W4866" t="s">
        <v>38</v>
      </c>
      <c r="X4866">
        <v>12</v>
      </c>
      <c r="Y4866" t="s">
        <v>49</v>
      </c>
      <c r="AA4866" t="s">
        <v>117</v>
      </c>
      <c r="AB4866">
        <v>1</v>
      </c>
      <c r="AC4866" t="s">
        <v>301</v>
      </c>
      <c r="AD4866" t="s">
        <v>140</v>
      </c>
      <c r="AE4866" t="s">
        <v>46</v>
      </c>
      <c r="AF4866" t="s">
        <v>119</v>
      </c>
      <c r="AG4866" t="str">
        <f t="shared" si="115"/>
        <v>À Vista</v>
      </c>
      <c r="AH4866" t="str">
        <f t="shared" si="116"/>
        <v/>
      </c>
    </row>
    <row r="4867" spans="1:34">
      <c r="A4867">
        <v>2026</v>
      </c>
      <c r="B4867">
        <v>5</v>
      </c>
      <c r="C4867" s="83">
        <v>55160380583</v>
      </c>
      <c r="D4867" t="s">
        <v>4152</v>
      </c>
      <c r="E4867">
        <v>60460171789</v>
      </c>
      <c r="F4867">
        <v>637923</v>
      </c>
      <c r="G4867">
        <v>55607227415</v>
      </c>
      <c r="H4867" t="s">
        <v>35</v>
      </c>
      <c r="I4867" s="36">
        <v>2471.64</v>
      </c>
      <c r="J4867" s="36">
        <v>2471.64</v>
      </c>
      <c r="K4867" s="85">
        <v>0</v>
      </c>
      <c r="L4867" s="36">
        <v>205.97</v>
      </c>
      <c r="M4867" s="36">
        <v>205.97</v>
      </c>
      <c r="N4867" s="36">
        <v>0</v>
      </c>
      <c r="O4867" s="36">
        <v>0</v>
      </c>
      <c r="P4867" t="s">
        <v>829</v>
      </c>
      <c r="Q4867" t="s">
        <v>300</v>
      </c>
      <c r="R4867" t="s">
        <v>300</v>
      </c>
      <c r="S4867" s="112">
        <v>46164</v>
      </c>
      <c r="T4867" s="112">
        <v>46164</v>
      </c>
      <c r="U4867" s="112"/>
      <c r="V4867" s="112">
        <v>46532</v>
      </c>
      <c r="W4867" t="s">
        <v>38</v>
      </c>
      <c r="X4867">
        <v>12</v>
      </c>
      <c r="Y4867" t="s">
        <v>49</v>
      </c>
      <c r="AA4867" t="s">
        <v>117</v>
      </c>
      <c r="AB4867">
        <v>1</v>
      </c>
      <c r="AC4867" t="s">
        <v>301</v>
      </c>
      <c r="AD4867" t="s">
        <v>118</v>
      </c>
      <c r="AE4867" t="s">
        <v>43</v>
      </c>
      <c r="AF4867" t="s">
        <v>119</v>
      </c>
      <c r="AG4867" t="str">
        <f t="shared" si="115"/>
        <v>À Vista</v>
      </c>
      <c r="AH4867" t="str">
        <f t="shared" si="116"/>
        <v/>
      </c>
    </row>
    <row r="4868" spans="1:34">
      <c r="A4868">
        <v>2026</v>
      </c>
      <c r="B4868">
        <v>5</v>
      </c>
      <c r="C4868" s="83">
        <v>183807034786</v>
      </c>
      <c r="D4868" t="s">
        <v>3791</v>
      </c>
      <c r="E4868">
        <v>51613313591</v>
      </c>
      <c r="F4868">
        <v>637846</v>
      </c>
      <c r="G4868">
        <v>55333167751</v>
      </c>
      <c r="H4868" t="s">
        <v>35</v>
      </c>
      <c r="I4868" s="36">
        <v>2466</v>
      </c>
      <c r="J4868" s="36">
        <v>2466</v>
      </c>
      <c r="K4868" s="85">
        <v>0</v>
      </c>
      <c r="L4868" s="36">
        <v>205.5</v>
      </c>
      <c r="M4868" s="36">
        <v>205.5</v>
      </c>
      <c r="N4868" s="36">
        <v>0</v>
      </c>
      <c r="O4868" s="36">
        <v>0</v>
      </c>
      <c r="P4868" t="s">
        <v>511</v>
      </c>
      <c r="Q4868" t="s">
        <v>300</v>
      </c>
      <c r="R4868" t="s">
        <v>300</v>
      </c>
      <c r="S4868" s="112">
        <v>46161</v>
      </c>
      <c r="T4868" s="112">
        <v>46161</v>
      </c>
      <c r="U4868" s="112"/>
      <c r="V4868" s="112">
        <v>46526</v>
      </c>
      <c r="W4868" t="s">
        <v>38</v>
      </c>
      <c r="X4868">
        <v>12</v>
      </c>
      <c r="Y4868" t="s">
        <v>49</v>
      </c>
      <c r="AA4868" t="s">
        <v>122</v>
      </c>
      <c r="AB4868">
        <v>12</v>
      </c>
      <c r="AC4868" t="s">
        <v>301</v>
      </c>
      <c r="AD4868" t="s">
        <v>118</v>
      </c>
      <c r="AE4868" t="s">
        <v>43</v>
      </c>
      <c r="AF4868" t="s">
        <v>119</v>
      </c>
      <c r="AG4868" t="str">
        <f t="shared" si="115"/>
        <v>Recorrente</v>
      </c>
      <c r="AH4868" t="str">
        <f t="shared" si="116"/>
        <v/>
      </c>
    </row>
    <row r="4869" spans="1:34">
      <c r="A4869">
        <v>2026</v>
      </c>
      <c r="B4869">
        <v>5</v>
      </c>
      <c r="C4869" s="83">
        <v>100828958987</v>
      </c>
      <c r="D4869" t="s">
        <v>4153</v>
      </c>
      <c r="E4869">
        <v>58879967405</v>
      </c>
      <c r="F4869">
        <v>629243</v>
      </c>
      <c r="G4869">
        <v>54509334895</v>
      </c>
      <c r="H4869" t="s">
        <v>35</v>
      </c>
      <c r="I4869" s="36">
        <v>2459.88</v>
      </c>
      <c r="J4869" s="36">
        <v>2459.88</v>
      </c>
      <c r="K4869" s="85">
        <v>0</v>
      </c>
      <c r="L4869" s="36">
        <v>204.99</v>
      </c>
      <c r="M4869" s="36">
        <v>0</v>
      </c>
      <c r="N4869" s="36">
        <v>1.83805</v>
      </c>
      <c r="O4869" s="36">
        <v>203.15</v>
      </c>
      <c r="P4869" t="s">
        <v>137</v>
      </c>
      <c r="Q4869" t="s">
        <v>111</v>
      </c>
      <c r="R4869" t="s">
        <v>111</v>
      </c>
      <c r="S4869" s="112">
        <v>46145</v>
      </c>
      <c r="T4869" s="112">
        <v>46145</v>
      </c>
      <c r="U4869" s="112">
        <v>46145</v>
      </c>
      <c r="V4869" s="112">
        <v>46510</v>
      </c>
      <c r="W4869" t="s">
        <v>38</v>
      </c>
      <c r="X4869">
        <v>12</v>
      </c>
      <c r="Y4869" t="s">
        <v>49</v>
      </c>
      <c r="Z4869" t="s">
        <v>81</v>
      </c>
      <c r="AA4869" t="s">
        <v>112</v>
      </c>
      <c r="AB4869">
        <v>12</v>
      </c>
      <c r="AC4869" t="s">
        <v>113</v>
      </c>
      <c r="AD4869" t="s">
        <v>140</v>
      </c>
      <c r="AE4869" t="s">
        <v>46</v>
      </c>
      <c r="AF4869" t="s">
        <v>119</v>
      </c>
      <c r="AG4869" t="str">
        <f t="shared" si="115"/>
        <v>CC 12x</v>
      </c>
      <c r="AH4869" t="str">
        <f t="shared" si="116"/>
        <v/>
      </c>
    </row>
    <row r="4870" spans="1:34">
      <c r="A4870">
        <v>2026</v>
      </c>
      <c r="B4870">
        <v>5</v>
      </c>
      <c r="C4870" s="83">
        <v>104976813950</v>
      </c>
      <c r="D4870" t="s">
        <v>4154</v>
      </c>
      <c r="E4870">
        <v>60672964508</v>
      </c>
      <c r="F4870">
        <v>614751</v>
      </c>
      <c r="G4870">
        <v>55647279671</v>
      </c>
      <c r="H4870" t="s">
        <v>35</v>
      </c>
      <c r="I4870" s="36">
        <v>2459.88</v>
      </c>
      <c r="J4870" s="36">
        <v>2459.88</v>
      </c>
      <c r="K4870" s="85">
        <v>0</v>
      </c>
      <c r="L4870" s="36">
        <v>204.99</v>
      </c>
      <c r="M4870" s="36">
        <v>0</v>
      </c>
      <c r="N4870" s="36">
        <v>0.63805000000000001</v>
      </c>
      <c r="O4870" s="36">
        <v>204.35</v>
      </c>
      <c r="P4870" t="s">
        <v>137</v>
      </c>
      <c r="Q4870" t="s">
        <v>111</v>
      </c>
      <c r="R4870" t="s">
        <v>111</v>
      </c>
      <c r="S4870" s="112">
        <v>46169</v>
      </c>
      <c r="T4870" s="112">
        <v>46169</v>
      </c>
      <c r="U4870" s="112">
        <v>46145</v>
      </c>
      <c r="V4870" s="112">
        <v>46534</v>
      </c>
      <c r="W4870" t="s">
        <v>38</v>
      </c>
      <c r="X4870">
        <v>12</v>
      </c>
      <c r="Y4870" t="s">
        <v>49</v>
      </c>
      <c r="Z4870" t="s">
        <v>81</v>
      </c>
      <c r="AA4870" t="s">
        <v>122</v>
      </c>
      <c r="AB4870">
        <v>12</v>
      </c>
      <c r="AC4870" t="s">
        <v>113</v>
      </c>
      <c r="AD4870" t="s">
        <v>118</v>
      </c>
      <c r="AE4870" t="s">
        <v>43</v>
      </c>
      <c r="AF4870" t="s">
        <v>119</v>
      </c>
      <c r="AG4870" t="str">
        <f t="shared" si="115"/>
        <v>Recorrente</v>
      </c>
      <c r="AH4870" t="str">
        <f t="shared" si="116"/>
        <v/>
      </c>
    </row>
    <row r="4871" spans="1:34">
      <c r="A4871">
        <v>2026</v>
      </c>
      <c r="B4871">
        <v>5</v>
      </c>
      <c r="C4871" s="83">
        <v>185649447048</v>
      </c>
      <c r="D4871" t="s">
        <v>4155</v>
      </c>
      <c r="E4871">
        <v>60686675780</v>
      </c>
      <c r="F4871">
        <v>638037</v>
      </c>
      <c r="G4871">
        <v>55658871730</v>
      </c>
      <c r="H4871" t="s">
        <v>35</v>
      </c>
      <c r="I4871" s="36">
        <v>2457.6</v>
      </c>
      <c r="J4871" s="36">
        <v>2457.5574000000001</v>
      </c>
      <c r="K4871" s="85">
        <v>4.2599999999999999E-2</v>
      </c>
      <c r="L4871" s="36">
        <v>204.79644999999999</v>
      </c>
      <c r="M4871" s="36">
        <v>204.79644999999999</v>
      </c>
      <c r="N4871" s="36">
        <v>0</v>
      </c>
      <c r="O4871" s="36">
        <v>0</v>
      </c>
      <c r="P4871" t="s">
        <v>3642</v>
      </c>
      <c r="Q4871" t="s">
        <v>300</v>
      </c>
      <c r="R4871" t="s">
        <v>300</v>
      </c>
      <c r="S4871" s="112">
        <v>46170</v>
      </c>
      <c r="T4871" s="112">
        <v>46170</v>
      </c>
      <c r="U4871" s="112"/>
      <c r="V4871" s="112">
        <v>46535</v>
      </c>
      <c r="W4871" t="s">
        <v>38</v>
      </c>
      <c r="X4871">
        <v>12</v>
      </c>
      <c r="Y4871" t="s">
        <v>49</v>
      </c>
      <c r="AA4871" t="s">
        <v>117</v>
      </c>
      <c r="AB4871">
        <v>1</v>
      </c>
      <c r="AC4871" t="s">
        <v>301</v>
      </c>
      <c r="AD4871" t="s">
        <v>140</v>
      </c>
      <c r="AE4871" t="s">
        <v>46</v>
      </c>
      <c r="AF4871" t="s">
        <v>119</v>
      </c>
      <c r="AG4871" t="str">
        <f t="shared" si="115"/>
        <v>À Vista</v>
      </c>
      <c r="AH4871" t="str">
        <f t="shared" si="116"/>
        <v/>
      </c>
    </row>
    <row r="4872" spans="1:34">
      <c r="A4872">
        <v>2026</v>
      </c>
      <c r="B4872">
        <v>5</v>
      </c>
      <c r="C4872" s="83">
        <v>202028927273</v>
      </c>
      <c r="D4872" t="s">
        <v>2211</v>
      </c>
      <c r="E4872">
        <v>60255845541</v>
      </c>
      <c r="F4872">
        <v>629611</v>
      </c>
      <c r="G4872">
        <v>55256941858</v>
      </c>
      <c r="H4872" t="s">
        <v>35</v>
      </c>
      <c r="I4872" s="36">
        <v>2457.2399999999998</v>
      </c>
      <c r="J4872" s="36">
        <v>2457.2399999999998</v>
      </c>
      <c r="K4872" s="85">
        <v>0</v>
      </c>
      <c r="L4872" s="36">
        <v>204.77</v>
      </c>
      <c r="M4872" s="36">
        <v>0</v>
      </c>
      <c r="N4872" s="36">
        <v>25.520105000000001</v>
      </c>
      <c r="O4872" s="36">
        <v>179.25</v>
      </c>
      <c r="P4872" t="s">
        <v>162</v>
      </c>
      <c r="Q4872" t="s">
        <v>111</v>
      </c>
      <c r="R4872" t="s">
        <v>111</v>
      </c>
      <c r="S4872" s="112">
        <v>46161</v>
      </c>
      <c r="T4872" s="112">
        <v>46161</v>
      </c>
      <c r="U4872" s="112">
        <v>46157</v>
      </c>
      <c r="V4872" s="112">
        <v>46526</v>
      </c>
      <c r="W4872" t="s">
        <v>38</v>
      </c>
      <c r="X4872">
        <v>12</v>
      </c>
      <c r="Y4872" t="s">
        <v>49</v>
      </c>
      <c r="Z4872" t="s">
        <v>81</v>
      </c>
      <c r="AA4872" t="s">
        <v>122</v>
      </c>
      <c r="AB4872">
        <v>12</v>
      </c>
      <c r="AC4872" t="s">
        <v>113</v>
      </c>
      <c r="AD4872" t="s">
        <v>118</v>
      </c>
      <c r="AE4872" t="s">
        <v>43</v>
      </c>
      <c r="AF4872" t="s">
        <v>119</v>
      </c>
      <c r="AG4872" t="str">
        <f t="shared" si="115"/>
        <v>Recorrente</v>
      </c>
      <c r="AH4872" t="str">
        <f t="shared" si="116"/>
        <v/>
      </c>
    </row>
    <row r="4873" spans="1:34">
      <c r="A4873">
        <v>2026</v>
      </c>
      <c r="B4873">
        <v>5</v>
      </c>
      <c r="C4873" s="83">
        <v>2079509</v>
      </c>
      <c r="D4873" t="s">
        <v>4156</v>
      </c>
      <c r="E4873">
        <v>60629207602</v>
      </c>
      <c r="F4873">
        <v>533987</v>
      </c>
      <c r="G4873">
        <v>55620988843</v>
      </c>
      <c r="H4873" t="s">
        <v>35</v>
      </c>
      <c r="I4873" s="36">
        <v>2457.2399999999998</v>
      </c>
      <c r="J4873" s="36">
        <v>2457.2399999999998</v>
      </c>
      <c r="K4873" s="85">
        <v>0</v>
      </c>
      <c r="L4873" s="36">
        <v>204.77</v>
      </c>
      <c r="M4873" s="36">
        <v>0</v>
      </c>
      <c r="N4873" s="36">
        <v>1.62</v>
      </c>
      <c r="O4873" s="36">
        <v>203.15</v>
      </c>
      <c r="P4873" t="s">
        <v>133</v>
      </c>
      <c r="Q4873" t="s">
        <v>111</v>
      </c>
      <c r="R4873" t="s">
        <v>111</v>
      </c>
      <c r="S4873" s="112">
        <v>46168</v>
      </c>
      <c r="T4873" s="112">
        <v>46168</v>
      </c>
      <c r="U4873" s="112">
        <v>46140</v>
      </c>
      <c r="V4873" s="112">
        <v>46533</v>
      </c>
      <c r="W4873" t="s">
        <v>38</v>
      </c>
      <c r="X4873">
        <v>13</v>
      </c>
      <c r="Y4873" t="s">
        <v>49</v>
      </c>
      <c r="Z4873" t="s">
        <v>81</v>
      </c>
      <c r="AA4873" t="s">
        <v>122</v>
      </c>
      <c r="AB4873">
        <v>12</v>
      </c>
      <c r="AC4873" t="s">
        <v>113</v>
      </c>
      <c r="AD4873" t="s">
        <v>140</v>
      </c>
      <c r="AE4873" t="s">
        <v>46</v>
      </c>
      <c r="AF4873" t="s">
        <v>119</v>
      </c>
      <c r="AG4873" t="str">
        <f t="shared" si="115"/>
        <v>Recorrente</v>
      </c>
      <c r="AH4873" t="str">
        <f t="shared" si="116"/>
        <v/>
      </c>
    </row>
    <row r="4874" spans="1:34">
      <c r="A4874">
        <v>2026</v>
      </c>
      <c r="B4874">
        <v>5</v>
      </c>
      <c r="C4874" s="83">
        <v>217026396268</v>
      </c>
      <c r="D4874" t="s">
        <v>4157</v>
      </c>
      <c r="E4874">
        <v>60666029341</v>
      </c>
      <c r="F4874">
        <v>638009</v>
      </c>
      <c r="G4874">
        <v>55642410754</v>
      </c>
      <c r="H4874" t="s">
        <v>35</v>
      </c>
      <c r="I4874" s="36">
        <v>2450.04</v>
      </c>
      <c r="J4874" s="36">
        <v>2450.04</v>
      </c>
      <c r="K4874" s="85">
        <v>0</v>
      </c>
      <c r="L4874" s="36">
        <v>204.17</v>
      </c>
      <c r="M4874" s="36">
        <v>204.17</v>
      </c>
      <c r="N4874" s="36">
        <v>0</v>
      </c>
      <c r="O4874" s="36">
        <v>0</v>
      </c>
      <c r="P4874" t="s">
        <v>511</v>
      </c>
      <c r="Q4874" t="s">
        <v>300</v>
      </c>
      <c r="R4874" t="s">
        <v>300</v>
      </c>
      <c r="S4874" s="112">
        <v>46169</v>
      </c>
      <c r="T4874" s="112">
        <v>46169</v>
      </c>
      <c r="U4874" s="112"/>
      <c r="V4874" s="112">
        <v>46534</v>
      </c>
      <c r="W4874" t="s">
        <v>38</v>
      </c>
      <c r="X4874">
        <v>12</v>
      </c>
      <c r="Y4874" t="s">
        <v>49</v>
      </c>
      <c r="AA4874" t="s">
        <v>117</v>
      </c>
      <c r="AB4874">
        <v>1</v>
      </c>
      <c r="AC4874" t="s">
        <v>301</v>
      </c>
      <c r="AD4874" t="s">
        <v>140</v>
      </c>
      <c r="AE4874" t="s">
        <v>46</v>
      </c>
      <c r="AF4874" t="s">
        <v>119</v>
      </c>
      <c r="AG4874" t="str">
        <f t="shared" si="115"/>
        <v>À Vista</v>
      </c>
      <c r="AH4874" t="str">
        <f t="shared" si="116"/>
        <v/>
      </c>
    </row>
    <row r="4875" spans="1:34">
      <c r="A4875">
        <v>2026</v>
      </c>
      <c r="B4875">
        <v>5</v>
      </c>
      <c r="C4875" s="83">
        <v>112332320650</v>
      </c>
      <c r="D4875" t="s">
        <v>4158</v>
      </c>
      <c r="E4875">
        <v>60347650630</v>
      </c>
      <c r="F4875">
        <v>638008</v>
      </c>
      <c r="G4875">
        <v>55642401549</v>
      </c>
      <c r="H4875" t="s">
        <v>35</v>
      </c>
      <c r="I4875" s="36">
        <v>2444.4</v>
      </c>
      <c r="J4875" s="36">
        <v>2444.4</v>
      </c>
      <c r="K4875" s="85">
        <v>4.5499999999999998E-13</v>
      </c>
      <c r="L4875" s="36">
        <v>203.7</v>
      </c>
      <c r="M4875" s="36">
        <v>203.7</v>
      </c>
      <c r="N4875" s="36">
        <v>0</v>
      </c>
      <c r="O4875" s="36">
        <v>0</v>
      </c>
      <c r="P4875" t="s">
        <v>829</v>
      </c>
      <c r="Q4875" t="s">
        <v>300</v>
      </c>
      <c r="R4875" t="s">
        <v>300</v>
      </c>
      <c r="S4875" s="112">
        <v>46169</v>
      </c>
      <c r="T4875" s="112">
        <v>46169</v>
      </c>
      <c r="U4875" s="112"/>
      <c r="V4875" s="112">
        <v>46534</v>
      </c>
      <c r="W4875" t="s">
        <v>38</v>
      </c>
      <c r="X4875">
        <v>12</v>
      </c>
      <c r="Y4875" t="s">
        <v>49</v>
      </c>
      <c r="AA4875" t="s">
        <v>112</v>
      </c>
      <c r="AB4875">
        <v>12</v>
      </c>
      <c r="AC4875" t="s">
        <v>301</v>
      </c>
      <c r="AD4875" t="s">
        <v>114</v>
      </c>
      <c r="AE4875" t="s">
        <v>43</v>
      </c>
      <c r="AF4875" t="s">
        <v>44</v>
      </c>
      <c r="AG4875" t="str">
        <f t="shared" si="115"/>
        <v>CC 12x</v>
      </c>
      <c r="AH4875" t="str">
        <f t="shared" si="116"/>
        <v/>
      </c>
    </row>
    <row r="4876" spans="1:34">
      <c r="A4876">
        <v>2026</v>
      </c>
      <c r="B4876">
        <v>5</v>
      </c>
      <c r="C4876" s="83">
        <v>2108080</v>
      </c>
      <c r="D4876" t="s">
        <v>4159</v>
      </c>
      <c r="E4876">
        <v>60460075418</v>
      </c>
      <c r="F4876">
        <v>637899</v>
      </c>
      <c r="G4876">
        <v>55478310250</v>
      </c>
      <c r="H4876" t="s">
        <v>35</v>
      </c>
      <c r="I4876" s="36">
        <v>2442.84</v>
      </c>
      <c r="J4876" s="36">
        <v>2442.9</v>
      </c>
      <c r="K4876" s="85">
        <v>0</v>
      </c>
      <c r="L4876" s="36">
        <v>203.57499999999999</v>
      </c>
      <c r="M4876" s="36">
        <v>203.57499999999999</v>
      </c>
      <c r="N4876" s="36">
        <v>0</v>
      </c>
      <c r="O4876" s="36">
        <v>0</v>
      </c>
      <c r="P4876" t="s">
        <v>829</v>
      </c>
      <c r="Q4876" t="s">
        <v>300</v>
      </c>
      <c r="R4876" t="s">
        <v>300</v>
      </c>
      <c r="S4876" s="112">
        <v>46163</v>
      </c>
      <c r="T4876" s="112">
        <v>46163</v>
      </c>
      <c r="U4876" s="112"/>
      <c r="V4876" s="112">
        <v>46528</v>
      </c>
      <c r="W4876" t="s">
        <v>38</v>
      </c>
      <c r="X4876">
        <v>12</v>
      </c>
      <c r="Y4876" t="s">
        <v>49</v>
      </c>
      <c r="AA4876" t="s">
        <v>122</v>
      </c>
      <c r="AB4876">
        <v>12</v>
      </c>
      <c r="AC4876" t="s">
        <v>301</v>
      </c>
      <c r="AD4876" t="s">
        <v>118</v>
      </c>
      <c r="AE4876" t="s">
        <v>43</v>
      </c>
      <c r="AF4876" t="s">
        <v>119</v>
      </c>
      <c r="AG4876" t="str">
        <f t="shared" si="115"/>
        <v>Recorrente</v>
      </c>
      <c r="AH4876" t="str">
        <f t="shared" si="116"/>
        <v/>
      </c>
    </row>
    <row r="4877" spans="1:34">
      <c r="A4877">
        <v>2026</v>
      </c>
      <c r="B4877">
        <v>5</v>
      </c>
      <c r="C4877" s="83">
        <v>219687659114</v>
      </c>
      <c r="D4877" t="s">
        <v>3353</v>
      </c>
      <c r="E4877">
        <v>60030473594</v>
      </c>
      <c r="F4877">
        <v>627259</v>
      </c>
      <c r="G4877">
        <v>55059807578</v>
      </c>
      <c r="H4877" t="s">
        <v>35</v>
      </c>
      <c r="I4877" s="36">
        <v>2400.12</v>
      </c>
      <c r="J4877" s="36">
        <v>2593.8000000000002</v>
      </c>
      <c r="K4877" s="85">
        <v>0</v>
      </c>
      <c r="L4877" s="36">
        <v>216.15</v>
      </c>
      <c r="M4877" s="36">
        <v>0</v>
      </c>
      <c r="N4877" s="36">
        <v>216.15</v>
      </c>
      <c r="O4877" s="36">
        <v>0</v>
      </c>
      <c r="P4877" t="s">
        <v>469</v>
      </c>
      <c r="Q4877" t="s">
        <v>191</v>
      </c>
      <c r="R4877" t="s">
        <v>191</v>
      </c>
      <c r="S4877" s="112">
        <v>46147</v>
      </c>
      <c r="T4877" s="112">
        <v>46147</v>
      </c>
      <c r="U4877" s="112">
        <v>46485</v>
      </c>
      <c r="V4877" s="112">
        <v>46485</v>
      </c>
      <c r="W4877" t="s">
        <v>38</v>
      </c>
      <c r="X4877">
        <v>11</v>
      </c>
      <c r="Y4877" t="s">
        <v>49</v>
      </c>
      <c r="Z4877" t="s">
        <v>324</v>
      </c>
      <c r="AA4877" t="s">
        <v>117</v>
      </c>
      <c r="AB4877">
        <v>1</v>
      </c>
      <c r="AC4877" t="s">
        <v>192</v>
      </c>
      <c r="AD4877" t="s">
        <v>85</v>
      </c>
      <c r="AE4877" t="s">
        <v>46</v>
      </c>
      <c r="AF4877" t="s">
        <v>44</v>
      </c>
      <c r="AG4877" t="str">
        <f t="shared" si="115"/>
        <v>À Vista</v>
      </c>
      <c r="AH4877" t="str">
        <f t="shared" si="116"/>
        <v/>
      </c>
    </row>
    <row r="4878" spans="1:34">
      <c r="A4878">
        <v>2026</v>
      </c>
      <c r="B4878">
        <v>5</v>
      </c>
      <c r="C4878" s="83">
        <v>55358266956</v>
      </c>
      <c r="D4878" t="s">
        <v>4160</v>
      </c>
      <c r="E4878">
        <v>60713769043</v>
      </c>
      <c r="F4878">
        <v>638083</v>
      </c>
      <c r="G4878">
        <v>55687708675</v>
      </c>
      <c r="H4878" t="s">
        <v>35</v>
      </c>
      <c r="I4878" s="36">
        <v>2400</v>
      </c>
      <c r="J4878" s="36">
        <v>2400</v>
      </c>
      <c r="K4878" s="85">
        <v>0</v>
      </c>
      <c r="L4878" s="36">
        <v>200</v>
      </c>
      <c r="M4878" s="36">
        <v>200</v>
      </c>
      <c r="N4878" s="36">
        <v>0</v>
      </c>
      <c r="O4878" s="36">
        <v>0</v>
      </c>
      <c r="P4878" t="s">
        <v>313</v>
      </c>
      <c r="Q4878" t="s">
        <v>191</v>
      </c>
      <c r="R4878" t="s">
        <v>91</v>
      </c>
      <c r="S4878" s="112">
        <v>46171</v>
      </c>
      <c r="T4878" s="112">
        <v>46171</v>
      </c>
      <c r="U4878" s="112"/>
      <c r="V4878" s="112">
        <v>46536</v>
      </c>
      <c r="W4878" t="s">
        <v>38</v>
      </c>
      <c r="X4878">
        <v>12</v>
      </c>
      <c r="Y4878" t="s">
        <v>49</v>
      </c>
      <c r="AA4878" t="s">
        <v>117</v>
      </c>
      <c r="AB4878">
        <v>1</v>
      </c>
      <c r="AC4878" t="s">
        <v>93</v>
      </c>
      <c r="AD4878" t="s">
        <v>140</v>
      </c>
      <c r="AE4878" t="s">
        <v>46</v>
      </c>
      <c r="AF4878" t="s">
        <v>119</v>
      </c>
      <c r="AG4878" t="str">
        <f t="shared" si="115"/>
        <v>À Vista</v>
      </c>
      <c r="AH4878" t="str">
        <f t="shared" si="116"/>
        <v/>
      </c>
    </row>
    <row r="4879" spans="1:34">
      <c r="A4879">
        <v>2026</v>
      </c>
      <c r="B4879">
        <v>5</v>
      </c>
      <c r="C4879" s="83">
        <v>54896365989</v>
      </c>
      <c r="D4879" t="s">
        <v>4161</v>
      </c>
      <c r="E4879">
        <v>60236482669</v>
      </c>
      <c r="F4879">
        <v>637773</v>
      </c>
      <c r="G4879">
        <v>55244686865</v>
      </c>
      <c r="H4879" t="s">
        <v>35</v>
      </c>
      <c r="I4879" s="36">
        <v>2361</v>
      </c>
      <c r="J4879" s="36">
        <v>2360.991</v>
      </c>
      <c r="K4879" s="85">
        <v>8.9999999999999993E-3</v>
      </c>
      <c r="L4879" s="36">
        <v>196.74924999999999</v>
      </c>
      <c r="M4879" s="36">
        <v>196.74924999999999</v>
      </c>
      <c r="N4879" s="36">
        <v>0</v>
      </c>
      <c r="O4879" s="36">
        <v>0</v>
      </c>
      <c r="P4879" t="s">
        <v>506</v>
      </c>
      <c r="Q4879" t="s">
        <v>300</v>
      </c>
      <c r="R4879" t="s">
        <v>300</v>
      </c>
      <c r="S4879" s="112">
        <v>46155</v>
      </c>
      <c r="T4879" s="112">
        <v>46155</v>
      </c>
      <c r="U4879" s="112"/>
      <c r="V4879" s="112">
        <v>46521</v>
      </c>
      <c r="W4879" t="s">
        <v>38</v>
      </c>
      <c r="X4879">
        <v>12</v>
      </c>
      <c r="Y4879" t="s">
        <v>49</v>
      </c>
      <c r="AA4879" t="s">
        <v>117</v>
      </c>
      <c r="AB4879">
        <v>1</v>
      </c>
      <c r="AC4879" t="s">
        <v>301</v>
      </c>
      <c r="AD4879" t="s">
        <v>140</v>
      </c>
      <c r="AE4879" t="s">
        <v>46</v>
      </c>
      <c r="AF4879" t="s">
        <v>119</v>
      </c>
      <c r="AG4879" t="str">
        <f t="shared" si="115"/>
        <v>À Vista</v>
      </c>
      <c r="AH4879" t="str">
        <f t="shared" si="116"/>
        <v/>
      </c>
    </row>
    <row r="4880" spans="1:34">
      <c r="A4880">
        <v>2026</v>
      </c>
      <c r="B4880">
        <v>5</v>
      </c>
      <c r="C4880" s="83">
        <v>54896365989</v>
      </c>
      <c r="D4880" t="s">
        <v>4161</v>
      </c>
      <c r="E4880">
        <v>60236482669</v>
      </c>
      <c r="F4880">
        <v>637773</v>
      </c>
      <c r="G4880">
        <v>55244686864</v>
      </c>
      <c r="H4880" t="s">
        <v>35</v>
      </c>
      <c r="I4880" s="36">
        <v>2359.56</v>
      </c>
      <c r="J4880" s="36">
        <v>2359.5540000000001</v>
      </c>
      <c r="K4880" s="85">
        <v>6.0000000000000001E-3</v>
      </c>
      <c r="L4880" s="36">
        <v>196.62950000000001</v>
      </c>
      <c r="M4880" s="36">
        <v>196.62950000000001</v>
      </c>
      <c r="N4880" s="36">
        <v>0</v>
      </c>
      <c r="O4880" s="36">
        <v>0</v>
      </c>
      <c r="P4880" t="s">
        <v>506</v>
      </c>
      <c r="Q4880" t="s">
        <v>300</v>
      </c>
      <c r="R4880" t="s">
        <v>300</v>
      </c>
      <c r="S4880" s="112">
        <v>46155</v>
      </c>
      <c r="T4880" s="112">
        <v>46155</v>
      </c>
      <c r="U4880" s="112"/>
      <c r="V4880" s="112">
        <v>46521</v>
      </c>
      <c r="W4880" t="s">
        <v>38</v>
      </c>
      <c r="X4880">
        <v>12</v>
      </c>
      <c r="Y4880" t="s">
        <v>49</v>
      </c>
      <c r="AA4880" t="s">
        <v>117</v>
      </c>
      <c r="AB4880">
        <v>1</v>
      </c>
      <c r="AC4880" t="s">
        <v>301</v>
      </c>
      <c r="AD4880" t="s">
        <v>118</v>
      </c>
      <c r="AE4880" t="s">
        <v>43</v>
      </c>
      <c r="AF4880" t="s">
        <v>119</v>
      </c>
      <c r="AG4880" t="str">
        <f t="shared" si="115"/>
        <v>À Vista</v>
      </c>
      <c r="AH4880" t="str">
        <f t="shared" si="116"/>
        <v/>
      </c>
    </row>
    <row r="4881" spans="1:34">
      <c r="A4881">
        <v>2026</v>
      </c>
      <c r="B4881">
        <v>5</v>
      </c>
      <c r="C4881" s="83">
        <v>207863485284</v>
      </c>
      <c r="D4881" t="s">
        <v>2283</v>
      </c>
      <c r="E4881">
        <v>60331816087</v>
      </c>
      <c r="F4881">
        <v>507405</v>
      </c>
      <c r="G4881">
        <v>55340550791</v>
      </c>
      <c r="H4881" t="s">
        <v>35</v>
      </c>
      <c r="I4881" s="36">
        <v>2345.2800000000002</v>
      </c>
      <c r="J4881" s="36">
        <v>2874.72</v>
      </c>
      <c r="K4881" s="85">
        <v>0</v>
      </c>
      <c r="L4881" s="36">
        <v>239.56</v>
      </c>
      <c r="M4881" s="36">
        <v>0</v>
      </c>
      <c r="N4881" s="36">
        <v>239.56</v>
      </c>
      <c r="O4881" s="36">
        <v>0</v>
      </c>
      <c r="P4881" t="s">
        <v>323</v>
      </c>
      <c r="Q4881" t="s">
        <v>191</v>
      </c>
      <c r="R4881" t="s">
        <v>191</v>
      </c>
      <c r="S4881" s="112">
        <v>46161</v>
      </c>
      <c r="T4881" s="112">
        <v>46161</v>
      </c>
      <c r="U4881" s="112">
        <v>46459</v>
      </c>
      <c r="V4881" s="112">
        <v>46459</v>
      </c>
      <c r="W4881" t="s">
        <v>38</v>
      </c>
      <c r="X4881">
        <v>10</v>
      </c>
      <c r="Y4881" t="s">
        <v>49</v>
      </c>
      <c r="Z4881" t="s">
        <v>324</v>
      </c>
      <c r="AA4881" t="s">
        <v>122</v>
      </c>
      <c r="AB4881">
        <v>9</v>
      </c>
      <c r="AC4881" t="s">
        <v>192</v>
      </c>
      <c r="AD4881" t="s">
        <v>140</v>
      </c>
      <c r="AE4881" t="s">
        <v>46</v>
      </c>
      <c r="AF4881" t="s">
        <v>119</v>
      </c>
      <c r="AG4881" t="str">
        <f t="shared" si="115"/>
        <v>Recorrente</v>
      </c>
      <c r="AH4881" t="str">
        <f t="shared" si="116"/>
        <v/>
      </c>
    </row>
    <row r="4882" spans="1:34">
      <c r="A4882">
        <v>2026</v>
      </c>
      <c r="B4882">
        <v>5</v>
      </c>
      <c r="C4882" s="83">
        <v>124176381068</v>
      </c>
      <c r="D4882" t="s">
        <v>4162</v>
      </c>
      <c r="E4882">
        <v>60163139142</v>
      </c>
      <c r="F4882">
        <v>532896</v>
      </c>
      <c r="G4882">
        <v>55274331481</v>
      </c>
      <c r="H4882" t="s">
        <v>35</v>
      </c>
      <c r="I4882" s="36">
        <v>2328</v>
      </c>
      <c r="J4882" s="36">
        <v>2328</v>
      </c>
      <c r="K4882" s="85">
        <v>0</v>
      </c>
      <c r="L4882" s="36">
        <v>194</v>
      </c>
      <c r="M4882" s="36">
        <v>0</v>
      </c>
      <c r="N4882" s="36">
        <v>11.162184999999999</v>
      </c>
      <c r="O4882" s="36">
        <v>182.84</v>
      </c>
      <c r="P4882" t="s">
        <v>116</v>
      </c>
      <c r="Q4882" t="s">
        <v>111</v>
      </c>
      <c r="R4882" t="s">
        <v>111</v>
      </c>
      <c r="S4882" s="112">
        <v>46157</v>
      </c>
      <c r="T4882" s="112">
        <v>46157</v>
      </c>
      <c r="U4882" s="112">
        <v>46151</v>
      </c>
      <c r="V4882" s="112">
        <v>46522</v>
      </c>
      <c r="W4882" t="s">
        <v>38</v>
      </c>
      <c r="X4882">
        <v>12</v>
      </c>
      <c r="Y4882" t="s">
        <v>49</v>
      </c>
      <c r="Z4882" t="s">
        <v>81</v>
      </c>
      <c r="AA4882" t="s">
        <v>112</v>
      </c>
      <c r="AB4882">
        <v>12</v>
      </c>
      <c r="AC4882" t="s">
        <v>113</v>
      </c>
      <c r="AD4882" t="s">
        <v>118</v>
      </c>
      <c r="AE4882" t="s">
        <v>43</v>
      </c>
      <c r="AF4882" t="s">
        <v>119</v>
      </c>
      <c r="AG4882" t="str">
        <f t="shared" si="115"/>
        <v>CC 12x</v>
      </c>
      <c r="AH4882" t="str">
        <f t="shared" si="116"/>
        <v/>
      </c>
    </row>
    <row r="4883" spans="1:34">
      <c r="A4883">
        <v>2026</v>
      </c>
      <c r="B4883">
        <v>5</v>
      </c>
      <c r="C4883" s="83">
        <v>2070190</v>
      </c>
      <c r="D4883" t="s">
        <v>4163</v>
      </c>
      <c r="E4883">
        <v>59678869762</v>
      </c>
      <c r="F4883">
        <v>534678</v>
      </c>
      <c r="G4883">
        <v>55073703816</v>
      </c>
      <c r="H4883" t="s">
        <v>35</v>
      </c>
      <c r="I4883" s="36">
        <v>2328</v>
      </c>
      <c r="J4883" s="36">
        <v>2328</v>
      </c>
      <c r="K4883" s="85">
        <v>0</v>
      </c>
      <c r="L4883" s="36">
        <v>194</v>
      </c>
      <c r="M4883" s="36">
        <v>0</v>
      </c>
      <c r="N4883" s="36">
        <v>14.752185000000001</v>
      </c>
      <c r="O4883" s="36">
        <v>179.25</v>
      </c>
      <c r="P4883" t="s">
        <v>116</v>
      </c>
      <c r="Q4883" t="s">
        <v>111</v>
      </c>
      <c r="R4883" t="s">
        <v>111</v>
      </c>
      <c r="S4883" s="112">
        <v>46153</v>
      </c>
      <c r="T4883" s="112">
        <v>46153</v>
      </c>
      <c r="U4883" s="112">
        <v>46152</v>
      </c>
      <c r="V4883" s="112">
        <v>46518</v>
      </c>
      <c r="W4883" t="s">
        <v>38</v>
      </c>
      <c r="X4883">
        <v>12</v>
      </c>
      <c r="Y4883" t="s">
        <v>49</v>
      </c>
      <c r="Z4883" t="s">
        <v>81</v>
      </c>
      <c r="AA4883" t="s">
        <v>112</v>
      </c>
      <c r="AB4883">
        <v>12</v>
      </c>
      <c r="AC4883" t="s">
        <v>113</v>
      </c>
      <c r="AD4883" t="s">
        <v>140</v>
      </c>
      <c r="AE4883" t="s">
        <v>46</v>
      </c>
      <c r="AF4883" t="s">
        <v>119</v>
      </c>
      <c r="AG4883" t="str">
        <f t="shared" si="115"/>
        <v>CC 12x</v>
      </c>
      <c r="AH4883" t="str">
        <f t="shared" si="116"/>
        <v/>
      </c>
    </row>
    <row r="4884" spans="1:34">
      <c r="A4884">
        <v>2026</v>
      </c>
      <c r="B4884">
        <v>5</v>
      </c>
      <c r="C4884" s="83">
        <v>169643022650</v>
      </c>
      <c r="D4884" t="s">
        <v>4164</v>
      </c>
      <c r="E4884">
        <v>60036241303</v>
      </c>
      <c r="F4884">
        <v>615529</v>
      </c>
      <c r="G4884">
        <v>55412717123</v>
      </c>
      <c r="H4884" t="s">
        <v>35</v>
      </c>
      <c r="I4884" s="36">
        <v>2327.88</v>
      </c>
      <c r="J4884" s="36">
        <v>2327.88</v>
      </c>
      <c r="K4884" s="85">
        <v>0</v>
      </c>
      <c r="L4884" s="36">
        <v>193.99</v>
      </c>
      <c r="M4884" s="36">
        <v>0</v>
      </c>
      <c r="N4884" s="36">
        <v>8.0950000000000006</v>
      </c>
      <c r="O4884" s="36">
        <v>185.9</v>
      </c>
      <c r="P4884" t="s">
        <v>133</v>
      </c>
      <c r="Q4884" t="s">
        <v>111</v>
      </c>
      <c r="R4884" t="s">
        <v>111</v>
      </c>
      <c r="S4884" s="112">
        <v>46162</v>
      </c>
      <c r="T4884" s="112">
        <v>46162</v>
      </c>
      <c r="U4884" s="112">
        <v>46159</v>
      </c>
      <c r="V4884" s="112">
        <v>46527</v>
      </c>
      <c r="W4884" t="s">
        <v>38</v>
      </c>
      <c r="X4884">
        <v>12</v>
      </c>
      <c r="Y4884" t="s">
        <v>49</v>
      </c>
      <c r="Z4884" t="s">
        <v>81</v>
      </c>
      <c r="AA4884" t="s">
        <v>117</v>
      </c>
      <c r="AB4884">
        <v>1</v>
      </c>
      <c r="AC4884" t="s">
        <v>113</v>
      </c>
      <c r="AD4884" t="s">
        <v>118</v>
      </c>
      <c r="AE4884" t="s">
        <v>43</v>
      </c>
      <c r="AF4884" t="s">
        <v>119</v>
      </c>
      <c r="AG4884" t="str">
        <f t="shared" si="115"/>
        <v>À Vista</v>
      </c>
      <c r="AH4884" t="str">
        <f t="shared" si="116"/>
        <v/>
      </c>
    </row>
    <row r="4885" spans="1:34">
      <c r="A4885">
        <v>2026</v>
      </c>
      <c r="B4885">
        <v>5</v>
      </c>
      <c r="C4885" s="83">
        <v>109328155927</v>
      </c>
      <c r="D4885" t="s">
        <v>1880</v>
      </c>
      <c r="E4885">
        <v>60130670446</v>
      </c>
      <c r="F4885">
        <v>637687</v>
      </c>
      <c r="G4885">
        <v>55155161204</v>
      </c>
      <c r="H4885" t="s">
        <v>35</v>
      </c>
      <c r="I4885" s="36">
        <v>2299.1999999999998</v>
      </c>
      <c r="J4885" s="36">
        <v>2299.1999999999998</v>
      </c>
      <c r="K4885" s="85">
        <v>0</v>
      </c>
      <c r="L4885" s="36">
        <v>191.6</v>
      </c>
      <c r="M4885" s="36">
        <v>0</v>
      </c>
      <c r="N4885" s="36">
        <v>191.6</v>
      </c>
      <c r="O4885" s="36">
        <v>0</v>
      </c>
      <c r="P4885" t="s">
        <v>323</v>
      </c>
      <c r="Q4885" t="s">
        <v>191</v>
      </c>
      <c r="R4885" t="s">
        <v>191</v>
      </c>
      <c r="S4885" s="112">
        <v>46150</v>
      </c>
      <c r="T4885" s="112">
        <v>46150</v>
      </c>
      <c r="U4885" s="112">
        <v>46466</v>
      </c>
      <c r="V4885" s="112">
        <v>46515</v>
      </c>
      <c r="W4885" t="s">
        <v>38</v>
      </c>
      <c r="X4885">
        <v>12</v>
      </c>
      <c r="Y4885" t="s">
        <v>49</v>
      </c>
      <c r="AA4885" t="s">
        <v>122</v>
      </c>
      <c r="AB4885">
        <v>12</v>
      </c>
      <c r="AC4885" t="s">
        <v>192</v>
      </c>
      <c r="AD4885" t="s">
        <v>118</v>
      </c>
      <c r="AE4885" t="s">
        <v>43</v>
      </c>
      <c r="AF4885" t="s">
        <v>119</v>
      </c>
      <c r="AG4885" t="str">
        <f t="shared" si="115"/>
        <v>Recorrente</v>
      </c>
      <c r="AH4885" t="str">
        <f t="shared" si="116"/>
        <v/>
      </c>
    </row>
    <row r="4886" spans="1:34">
      <c r="A4886">
        <v>2026</v>
      </c>
      <c r="B4886">
        <v>5</v>
      </c>
      <c r="C4886" s="83">
        <v>220390646700</v>
      </c>
      <c r="D4886" t="s">
        <v>4165</v>
      </c>
      <c r="E4886">
        <v>60710159266</v>
      </c>
      <c r="F4886">
        <v>638078</v>
      </c>
      <c r="G4886">
        <v>55686070081</v>
      </c>
      <c r="H4886" t="s">
        <v>35</v>
      </c>
      <c r="I4886" s="36">
        <v>2299.1999999999998</v>
      </c>
      <c r="J4886" s="36">
        <v>2299.1999999999998</v>
      </c>
      <c r="K4886" s="85">
        <v>0</v>
      </c>
      <c r="L4886" s="36">
        <v>191.6</v>
      </c>
      <c r="M4886" s="36">
        <v>191.6</v>
      </c>
      <c r="N4886" s="36">
        <v>0</v>
      </c>
      <c r="O4886" s="36">
        <v>0</v>
      </c>
      <c r="P4886" t="s">
        <v>3179</v>
      </c>
      <c r="Q4886" t="s">
        <v>300</v>
      </c>
      <c r="R4886" t="s">
        <v>300</v>
      </c>
      <c r="S4886" s="112">
        <v>46171</v>
      </c>
      <c r="T4886" s="112">
        <v>46171</v>
      </c>
      <c r="U4886" s="112"/>
      <c r="V4886" s="112">
        <v>46536</v>
      </c>
      <c r="W4886" t="s">
        <v>38</v>
      </c>
      <c r="X4886">
        <v>12</v>
      </c>
      <c r="Y4886" t="s">
        <v>49</v>
      </c>
      <c r="AA4886" t="s">
        <v>122</v>
      </c>
      <c r="AB4886">
        <v>12</v>
      </c>
      <c r="AC4886" t="s">
        <v>301</v>
      </c>
      <c r="AD4886" t="s">
        <v>118</v>
      </c>
      <c r="AE4886" t="s">
        <v>43</v>
      </c>
      <c r="AF4886" t="s">
        <v>119</v>
      </c>
      <c r="AG4886" t="str">
        <f t="shared" si="115"/>
        <v>Recorrente</v>
      </c>
      <c r="AH4886" t="str">
        <f t="shared" si="116"/>
        <v/>
      </c>
    </row>
    <row r="4887" spans="1:34">
      <c r="A4887">
        <v>2026</v>
      </c>
      <c r="B4887">
        <v>5</v>
      </c>
      <c r="C4887" s="83">
        <v>218928617355</v>
      </c>
      <c r="D4887" t="s">
        <v>4166</v>
      </c>
      <c r="E4887">
        <v>60233106103</v>
      </c>
      <c r="F4887">
        <v>327533</v>
      </c>
      <c r="G4887">
        <v>55242265131</v>
      </c>
      <c r="H4887" t="s">
        <v>35</v>
      </c>
      <c r="I4887" s="36">
        <v>2288.16</v>
      </c>
      <c r="J4887" s="36">
        <v>1440.96</v>
      </c>
      <c r="K4887" s="85">
        <v>847.2</v>
      </c>
      <c r="L4887" s="36">
        <v>120.08</v>
      </c>
      <c r="M4887" s="36">
        <v>0</v>
      </c>
      <c r="N4887" s="36">
        <v>120.08</v>
      </c>
      <c r="O4887" s="36">
        <v>0</v>
      </c>
      <c r="P4887" t="s">
        <v>804</v>
      </c>
      <c r="Q4887" t="s">
        <v>191</v>
      </c>
      <c r="R4887" t="s">
        <v>191</v>
      </c>
      <c r="S4887" s="112">
        <v>46155</v>
      </c>
      <c r="T4887" s="112">
        <v>46155</v>
      </c>
      <c r="U4887" s="112">
        <v>46735</v>
      </c>
      <c r="V4887" s="112">
        <v>46735</v>
      </c>
      <c r="W4887" t="s">
        <v>102</v>
      </c>
      <c r="X4887">
        <v>19</v>
      </c>
      <c r="Y4887" t="s">
        <v>49</v>
      </c>
      <c r="Z4887" t="s">
        <v>324</v>
      </c>
      <c r="AA4887" t="s">
        <v>122</v>
      </c>
      <c r="AB4887">
        <v>18</v>
      </c>
      <c r="AC4887" t="s">
        <v>192</v>
      </c>
      <c r="AD4887" t="s">
        <v>125</v>
      </c>
      <c r="AE4887" t="s">
        <v>43</v>
      </c>
      <c r="AF4887" t="s">
        <v>47</v>
      </c>
      <c r="AG4887" t="str">
        <f t="shared" si="115"/>
        <v>Recorrente</v>
      </c>
      <c r="AH4887" t="str">
        <f t="shared" si="116"/>
        <v/>
      </c>
    </row>
    <row r="4888" spans="1:34">
      <c r="A4888">
        <v>2026</v>
      </c>
      <c r="B4888">
        <v>5</v>
      </c>
      <c r="C4888" s="83">
        <v>107856102320</v>
      </c>
      <c r="D4888" t="s">
        <v>932</v>
      </c>
      <c r="E4888">
        <v>60256512321</v>
      </c>
      <c r="F4888">
        <v>527422</v>
      </c>
      <c r="G4888">
        <v>55272919048</v>
      </c>
      <c r="H4888" t="s">
        <v>35</v>
      </c>
      <c r="I4888" s="36">
        <v>2209.3200000000002</v>
      </c>
      <c r="J4888" s="36">
        <v>2882.16</v>
      </c>
      <c r="K4888" s="85">
        <v>0</v>
      </c>
      <c r="L4888" s="36">
        <v>240.18</v>
      </c>
      <c r="M4888" s="36">
        <v>0</v>
      </c>
      <c r="N4888" s="36">
        <v>240.18</v>
      </c>
      <c r="O4888" s="36">
        <v>0</v>
      </c>
      <c r="P4888" t="s">
        <v>323</v>
      </c>
      <c r="Q4888" t="s">
        <v>191</v>
      </c>
      <c r="R4888" t="s">
        <v>191</v>
      </c>
      <c r="S4888" s="112">
        <v>46157</v>
      </c>
      <c r="T4888" s="112">
        <v>46157</v>
      </c>
      <c r="U4888" s="112">
        <v>46437</v>
      </c>
      <c r="V4888" s="112">
        <v>46437</v>
      </c>
      <c r="W4888" t="s">
        <v>38</v>
      </c>
      <c r="X4888">
        <v>9</v>
      </c>
      <c r="Y4888" t="s">
        <v>49</v>
      </c>
      <c r="Z4888" t="s">
        <v>324</v>
      </c>
      <c r="AA4888" t="s">
        <v>122</v>
      </c>
      <c r="AB4888">
        <v>9</v>
      </c>
      <c r="AC4888" t="s">
        <v>192</v>
      </c>
      <c r="AD4888" t="s">
        <v>85</v>
      </c>
      <c r="AE4888" t="s">
        <v>46</v>
      </c>
      <c r="AF4888" t="s">
        <v>44</v>
      </c>
      <c r="AG4888" t="str">
        <f t="shared" si="115"/>
        <v>Recorrente</v>
      </c>
      <c r="AH4888" t="str">
        <f t="shared" si="116"/>
        <v/>
      </c>
    </row>
    <row r="4889" spans="1:34">
      <c r="A4889">
        <v>2026</v>
      </c>
      <c r="B4889">
        <v>5</v>
      </c>
      <c r="C4889" s="83">
        <v>208087947011</v>
      </c>
      <c r="D4889" t="s">
        <v>4167</v>
      </c>
      <c r="E4889">
        <v>59169479603</v>
      </c>
      <c r="F4889">
        <v>508485</v>
      </c>
      <c r="G4889">
        <v>54917877004</v>
      </c>
      <c r="H4889" t="s">
        <v>35</v>
      </c>
      <c r="I4889" s="36">
        <v>2199</v>
      </c>
      <c r="J4889" s="36">
        <v>2199</v>
      </c>
      <c r="K4889" s="85">
        <v>0</v>
      </c>
      <c r="L4889" s="36">
        <v>183.25</v>
      </c>
      <c r="M4889" s="36">
        <v>183.25</v>
      </c>
      <c r="N4889" s="36">
        <v>0</v>
      </c>
      <c r="O4889" s="36">
        <v>0</v>
      </c>
      <c r="P4889" t="s">
        <v>127</v>
      </c>
      <c r="Q4889" t="s">
        <v>111</v>
      </c>
      <c r="R4889" t="s">
        <v>111</v>
      </c>
      <c r="S4889" s="112">
        <v>46146</v>
      </c>
      <c r="T4889" s="112">
        <v>46146</v>
      </c>
      <c r="U4889" s="112">
        <v>45377</v>
      </c>
      <c r="V4889" s="112">
        <v>46511</v>
      </c>
      <c r="W4889" t="s">
        <v>38</v>
      </c>
      <c r="X4889">
        <v>12</v>
      </c>
      <c r="Y4889" t="s">
        <v>49</v>
      </c>
      <c r="Z4889" t="s">
        <v>76</v>
      </c>
      <c r="AA4889" t="s">
        <v>117</v>
      </c>
      <c r="AB4889">
        <v>1</v>
      </c>
      <c r="AC4889" t="s">
        <v>113</v>
      </c>
      <c r="AD4889" t="s">
        <v>140</v>
      </c>
      <c r="AE4889" t="s">
        <v>46</v>
      </c>
      <c r="AF4889" t="s">
        <v>119</v>
      </c>
      <c r="AG4889" t="str">
        <f t="shared" si="115"/>
        <v>À Vista</v>
      </c>
      <c r="AH4889" t="str">
        <f t="shared" si="116"/>
        <v/>
      </c>
    </row>
    <row r="4890" spans="1:34">
      <c r="A4890">
        <v>2026</v>
      </c>
      <c r="B4890">
        <v>5</v>
      </c>
      <c r="C4890" s="83">
        <v>118024335791</v>
      </c>
      <c r="D4890" t="s">
        <v>4168</v>
      </c>
      <c r="E4890">
        <v>58542391650</v>
      </c>
      <c r="F4890">
        <v>629570</v>
      </c>
      <c r="G4890">
        <v>53704848732</v>
      </c>
      <c r="H4890" t="s">
        <v>35</v>
      </c>
      <c r="I4890" s="36">
        <v>2155.44</v>
      </c>
      <c r="J4890" s="36">
        <v>2155.44</v>
      </c>
      <c r="K4890" s="85">
        <v>0</v>
      </c>
      <c r="L4890" s="36">
        <v>179.62</v>
      </c>
      <c r="M4890" s="36">
        <v>0</v>
      </c>
      <c r="N4890" s="36">
        <v>36.225000000000001</v>
      </c>
      <c r="O4890" s="36">
        <v>143.4</v>
      </c>
      <c r="P4890" t="s">
        <v>165</v>
      </c>
      <c r="Q4890" t="s">
        <v>166</v>
      </c>
      <c r="R4890" t="s">
        <v>166</v>
      </c>
      <c r="S4890" s="112">
        <v>46156</v>
      </c>
      <c r="T4890" s="112">
        <v>46156</v>
      </c>
      <c r="U4890" s="112">
        <v>46156</v>
      </c>
      <c r="V4890" s="112">
        <v>46521</v>
      </c>
      <c r="W4890" t="s">
        <v>38</v>
      </c>
      <c r="X4890">
        <v>12</v>
      </c>
      <c r="Y4890" t="s">
        <v>49</v>
      </c>
      <c r="Z4890" t="s">
        <v>81</v>
      </c>
      <c r="AA4890" t="s">
        <v>122</v>
      </c>
      <c r="AB4890">
        <v>12</v>
      </c>
      <c r="AC4890" t="s">
        <v>166</v>
      </c>
      <c r="AD4890" t="s">
        <v>140</v>
      </c>
      <c r="AE4890" t="s">
        <v>46</v>
      </c>
      <c r="AF4890" t="s">
        <v>119</v>
      </c>
      <c r="AG4890" t="str">
        <f t="shared" si="115"/>
        <v>Recorrente</v>
      </c>
      <c r="AH4890" t="str">
        <f t="shared" si="116"/>
        <v/>
      </c>
    </row>
    <row r="4891" spans="1:34">
      <c r="A4891">
        <v>2026</v>
      </c>
      <c r="B4891">
        <v>5</v>
      </c>
      <c r="C4891" s="83">
        <v>204574266414</v>
      </c>
      <c r="D4891" t="s">
        <v>4169</v>
      </c>
      <c r="E4891">
        <v>59170973005</v>
      </c>
      <c r="F4891">
        <v>629335</v>
      </c>
      <c r="G4891">
        <v>55412847503</v>
      </c>
      <c r="H4891" t="s">
        <v>35</v>
      </c>
      <c r="I4891" s="36">
        <v>2155.44</v>
      </c>
      <c r="J4891" s="36">
        <v>2155.44</v>
      </c>
      <c r="K4891" s="85">
        <v>0</v>
      </c>
      <c r="L4891" s="36">
        <v>179.62</v>
      </c>
      <c r="M4891" s="36">
        <v>0</v>
      </c>
      <c r="N4891" s="36">
        <v>2.77</v>
      </c>
      <c r="O4891" s="36">
        <v>176.85499999999999</v>
      </c>
      <c r="P4891" t="s">
        <v>133</v>
      </c>
      <c r="Q4891" t="s">
        <v>111</v>
      </c>
      <c r="R4891" t="s">
        <v>111</v>
      </c>
      <c r="S4891" s="112">
        <v>46170</v>
      </c>
      <c r="T4891" s="112">
        <v>46170</v>
      </c>
      <c r="U4891" s="112">
        <v>46148</v>
      </c>
      <c r="V4891" s="112">
        <v>46535</v>
      </c>
      <c r="W4891" t="s">
        <v>38</v>
      </c>
      <c r="X4891">
        <v>12</v>
      </c>
      <c r="Y4891" t="s">
        <v>49</v>
      </c>
      <c r="Z4891" t="s">
        <v>76</v>
      </c>
      <c r="AA4891" t="s">
        <v>112</v>
      </c>
      <c r="AB4891">
        <v>12</v>
      </c>
      <c r="AC4891" t="s">
        <v>113</v>
      </c>
      <c r="AD4891" t="s">
        <v>118</v>
      </c>
      <c r="AE4891" t="s">
        <v>43</v>
      </c>
      <c r="AF4891" t="s">
        <v>119</v>
      </c>
      <c r="AG4891" t="str">
        <f t="shared" si="115"/>
        <v>CC 12x</v>
      </c>
      <c r="AH4891" t="str">
        <f t="shared" si="116"/>
        <v/>
      </c>
    </row>
    <row r="4892" spans="1:34">
      <c r="A4892">
        <v>2026</v>
      </c>
      <c r="B4892">
        <v>5</v>
      </c>
      <c r="C4892" s="83">
        <v>204574266414</v>
      </c>
      <c r="D4892" t="s">
        <v>4169</v>
      </c>
      <c r="E4892">
        <v>59170973005</v>
      </c>
      <c r="F4892">
        <v>629335</v>
      </c>
      <c r="G4892">
        <v>55412847504</v>
      </c>
      <c r="H4892" t="s">
        <v>35</v>
      </c>
      <c r="I4892" s="36">
        <v>2155.44</v>
      </c>
      <c r="J4892" s="36">
        <v>2155.44</v>
      </c>
      <c r="K4892" s="85">
        <v>0</v>
      </c>
      <c r="L4892" s="36">
        <v>179.62</v>
      </c>
      <c r="M4892" s="36">
        <v>0</v>
      </c>
      <c r="N4892" s="36">
        <v>2.77</v>
      </c>
      <c r="O4892" s="36">
        <v>176.85499999999999</v>
      </c>
      <c r="P4892" t="s">
        <v>133</v>
      </c>
      <c r="Q4892" t="s">
        <v>111</v>
      </c>
      <c r="R4892" t="s">
        <v>111</v>
      </c>
      <c r="S4892" s="112">
        <v>46170</v>
      </c>
      <c r="T4892" s="112">
        <v>46170</v>
      </c>
      <c r="U4892" s="112">
        <v>46148</v>
      </c>
      <c r="V4892" s="112">
        <v>46535</v>
      </c>
      <c r="W4892" t="s">
        <v>38</v>
      </c>
      <c r="X4892">
        <v>12</v>
      </c>
      <c r="Y4892" t="s">
        <v>49</v>
      </c>
      <c r="Z4892" t="s">
        <v>76</v>
      </c>
      <c r="AA4892" t="s">
        <v>112</v>
      </c>
      <c r="AB4892">
        <v>12</v>
      </c>
      <c r="AC4892" t="s">
        <v>113</v>
      </c>
      <c r="AD4892" t="s">
        <v>140</v>
      </c>
      <c r="AE4892" t="s">
        <v>46</v>
      </c>
      <c r="AF4892" t="s">
        <v>119</v>
      </c>
      <c r="AG4892" t="str">
        <f t="shared" si="115"/>
        <v>CC 12x</v>
      </c>
      <c r="AH4892" t="str">
        <f t="shared" si="116"/>
        <v/>
      </c>
    </row>
    <row r="4893" spans="1:34">
      <c r="A4893">
        <v>2026</v>
      </c>
      <c r="B4893">
        <v>5</v>
      </c>
      <c r="C4893" s="83">
        <v>2274140</v>
      </c>
      <c r="D4893" t="s">
        <v>4170</v>
      </c>
      <c r="E4893">
        <v>58670994961</v>
      </c>
      <c r="F4893">
        <v>615568</v>
      </c>
      <c r="G4893">
        <v>53835719856</v>
      </c>
      <c r="H4893" t="s">
        <v>35</v>
      </c>
      <c r="I4893" s="36">
        <v>2155.44</v>
      </c>
      <c r="J4893" s="36">
        <v>2155.44</v>
      </c>
      <c r="K4893" s="85">
        <v>0</v>
      </c>
      <c r="L4893" s="36">
        <v>179.62</v>
      </c>
      <c r="M4893" s="36">
        <v>0</v>
      </c>
      <c r="N4893" s="36">
        <v>36.225000000000001</v>
      </c>
      <c r="O4893" s="36">
        <v>143.4</v>
      </c>
      <c r="P4893" t="s">
        <v>165</v>
      </c>
      <c r="Q4893" t="s">
        <v>166</v>
      </c>
      <c r="R4893" t="s">
        <v>166</v>
      </c>
      <c r="S4893" s="112">
        <v>46159</v>
      </c>
      <c r="T4893" s="112">
        <v>46159</v>
      </c>
      <c r="U4893" s="112">
        <v>46159</v>
      </c>
      <c r="V4893" s="112">
        <v>46524</v>
      </c>
      <c r="W4893" t="s">
        <v>38</v>
      </c>
      <c r="X4893">
        <v>12</v>
      </c>
      <c r="Y4893" t="s">
        <v>49</v>
      </c>
      <c r="Z4893" t="s">
        <v>81</v>
      </c>
      <c r="AA4893" t="s">
        <v>122</v>
      </c>
      <c r="AB4893">
        <v>12</v>
      </c>
      <c r="AC4893" t="s">
        <v>166</v>
      </c>
      <c r="AD4893" t="s">
        <v>140</v>
      </c>
      <c r="AE4893" t="s">
        <v>46</v>
      </c>
      <c r="AF4893" t="s">
        <v>119</v>
      </c>
      <c r="AG4893" t="str">
        <f t="shared" si="115"/>
        <v>Recorrente</v>
      </c>
      <c r="AH4893" t="str">
        <f t="shared" si="116"/>
        <v/>
      </c>
    </row>
    <row r="4894" spans="1:34">
      <c r="A4894">
        <v>2026</v>
      </c>
      <c r="B4894">
        <v>5</v>
      </c>
      <c r="C4894" s="83">
        <v>6813917799</v>
      </c>
      <c r="D4894" t="s">
        <v>4171</v>
      </c>
      <c r="E4894">
        <v>59135734599</v>
      </c>
      <c r="F4894">
        <v>629881</v>
      </c>
      <c r="G4894">
        <v>54238759541</v>
      </c>
      <c r="H4894" t="s">
        <v>35</v>
      </c>
      <c r="I4894" s="36">
        <v>2155.44</v>
      </c>
      <c r="J4894" s="36">
        <v>2155.44</v>
      </c>
      <c r="K4894" s="85">
        <v>0</v>
      </c>
      <c r="L4894" s="36">
        <v>179.62</v>
      </c>
      <c r="M4894" s="36">
        <v>0</v>
      </c>
      <c r="N4894" s="36">
        <v>36.225000000000001</v>
      </c>
      <c r="O4894" s="36">
        <v>143.4</v>
      </c>
      <c r="P4894" t="s">
        <v>165</v>
      </c>
      <c r="Q4894" t="s">
        <v>166</v>
      </c>
      <c r="R4894" t="s">
        <v>166</v>
      </c>
      <c r="S4894" s="112">
        <v>46168</v>
      </c>
      <c r="T4894" s="112">
        <v>46168</v>
      </c>
      <c r="U4894" s="112">
        <v>46170</v>
      </c>
      <c r="V4894" s="112">
        <v>46535</v>
      </c>
      <c r="W4894" t="s">
        <v>38</v>
      </c>
      <c r="X4894">
        <v>12</v>
      </c>
      <c r="Y4894" t="s">
        <v>49</v>
      </c>
      <c r="Z4894" t="s">
        <v>81</v>
      </c>
      <c r="AA4894" t="s">
        <v>122</v>
      </c>
      <c r="AB4894">
        <v>12</v>
      </c>
      <c r="AC4894" t="s">
        <v>166</v>
      </c>
      <c r="AD4894" t="s">
        <v>118</v>
      </c>
      <c r="AE4894" t="s">
        <v>43</v>
      </c>
      <c r="AF4894" t="s">
        <v>119</v>
      </c>
      <c r="AG4894" t="str">
        <f t="shared" si="115"/>
        <v>Recorrente</v>
      </c>
      <c r="AH4894" t="str">
        <f t="shared" si="116"/>
        <v/>
      </c>
    </row>
    <row r="4895" spans="1:34">
      <c r="A4895">
        <v>2026</v>
      </c>
      <c r="B4895">
        <v>5</v>
      </c>
      <c r="C4895" s="83">
        <v>137707163935</v>
      </c>
      <c r="D4895" t="s">
        <v>4172</v>
      </c>
      <c r="E4895">
        <v>60034962547</v>
      </c>
      <c r="F4895">
        <v>533607</v>
      </c>
      <c r="G4895">
        <v>55478247971</v>
      </c>
      <c r="H4895" t="s">
        <v>35</v>
      </c>
      <c r="I4895" s="36">
        <v>2079</v>
      </c>
      <c r="J4895" s="36">
        <v>2079</v>
      </c>
      <c r="K4895" s="85">
        <v>0</v>
      </c>
      <c r="L4895" s="36">
        <v>173.25</v>
      </c>
      <c r="M4895" s="36">
        <v>0</v>
      </c>
      <c r="N4895" s="36">
        <v>6.6642999999999999</v>
      </c>
      <c r="O4895" s="36">
        <v>166.59</v>
      </c>
      <c r="P4895" t="s">
        <v>137</v>
      </c>
      <c r="Q4895" t="s">
        <v>111</v>
      </c>
      <c r="R4895" t="s">
        <v>111</v>
      </c>
      <c r="S4895" s="112">
        <v>46172</v>
      </c>
      <c r="T4895" s="112">
        <v>46172</v>
      </c>
      <c r="U4895" s="112">
        <v>46172</v>
      </c>
      <c r="V4895" s="112">
        <v>46537</v>
      </c>
      <c r="W4895" t="s">
        <v>38</v>
      </c>
      <c r="X4895">
        <v>12</v>
      </c>
      <c r="Y4895" t="s">
        <v>49</v>
      </c>
      <c r="Z4895" t="s">
        <v>81</v>
      </c>
      <c r="AA4895" t="s">
        <v>117</v>
      </c>
      <c r="AB4895">
        <v>1</v>
      </c>
      <c r="AC4895" t="s">
        <v>113</v>
      </c>
      <c r="AD4895" t="s">
        <v>140</v>
      </c>
      <c r="AE4895" t="s">
        <v>46</v>
      </c>
      <c r="AF4895" t="s">
        <v>119</v>
      </c>
      <c r="AG4895" t="str">
        <f t="shared" si="115"/>
        <v>À Vista</v>
      </c>
      <c r="AH4895" t="str">
        <f t="shared" si="116"/>
        <v/>
      </c>
    </row>
    <row r="4896" spans="1:34">
      <c r="A4896">
        <v>2026</v>
      </c>
      <c r="B4896">
        <v>5</v>
      </c>
      <c r="C4896" s="83">
        <v>28868437124</v>
      </c>
      <c r="D4896" t="s">
        <v>3726</v>
      </c>
      <c r="E4896">
        <v>60538207402</v>
      </c>
      <c r="F4896">
        <v>630129</v>
      </c>
      <c r="G4896">
        <v>55658897589</v>
      </c>
      <c r="H4896" t="s">
        <v>35</v>
      </c>
      <c r="I4896" s="36">
        <v>2013.12</v>
      </c>
      <c r="J4896" s="36">
        <v>1636.04</v>
      </c>
      <c r="K4896" s="85">
        <v>377.08</v>
      </c>
      <c r="L4896" s="36">
        <v>136.33666669999999</v>
      </c>
      <c r="M4896" s="36">
        <v>0</v>
      </c>
      <c r="N4896" s="36">
        <v>136.33666669999999</v>
      </c>
      <c r="O4896" s="36">
        <v>0</v>
      </c>
      <c r="P4896" t="s">
        <v>520</v>
      </c>
      <c r="Q4896" t="s">
        <v>191</v>
      </c>
      <c r="R4896" t="s">
        <v>191</v>
      </c>
      <c r="S4896" s="112">
        <v>46170</v>
      </c>
      <c r="T4896" s="112">
        <v>46170</v>
      </c>
      <c r="U4896" s="112">
        <v>46913</v>
      </c>
      <c r="V4896" s="112">
        <v>46913</v>
      </c>
      <c r="W4896" t="s">
        <v>102</v>
      </c>
      <c r="X4896">
        <v>25</v>
      </c>
      <c r="Y4896" t="s">
        <v>49</v>
      </c>
      <c r="Z4896" t="s">
        <v>324</v>
      </c>
      <c r="AA4896" t="s">
        <v>92</v>
      </c>
      <c r="AB4896">
        <v>24</v>
      </c>
      <c r="AC4896" t="s">
        <v>192</v>
      </c>
      <c r="AD4896" t="s">
        <v>550</v>
      </c>
      <c r="AE4896" t="s">
        <v>363</v>
      </c>
      <c r="AF4896" t="s">
        <v>59</v>
      </c>
      <c r="AG4896" t="str">
        <f t="shared" si="115"/>
        <v>Recorrente</v>
      </c>
      <c r="AH4896" t="str">
        <f t="shared" si="116"/>
        <v/>
      </c>
    </row>
    <row r="4897" spans="1:34">
      <c r="A4897">
        <v>2026</v>
      </c>
      <c r="B4897">
        <v>5</v>
      </c>
      <c r="C4897" s="83">
        <v>28868437124</v>
      </c>
      <c r="D4897" t="s">
        <v>3726</v>
      </c>
      <c r="E4897">
        <v>60538207402</v>
      </c>
      <c r="F4897">
        <v>630129</v>
      </c>
      <c r="G4897">
        <v>55658897670</v>
      </c>
      <c r="H4897" t="s">
        <v>35</v>
      </c>
      <c r="I4897" s="36">
        <v>2013.12</v>
      </c>
      <c r="J4897" s="36">
        <v>1636.04</v>
      </c>
      <c r="K4897" s="85">
        <v>377.08</v>
      </c>
      <c r="L4897" s="36">
        <v>136.33666669999999</v>
      </c>
      <c r="M4897" s="36">
        <v>0</v>
      </c>
      <c r="N4897" s="36">
        <v>136.33666669999999</v>
      </c>
      <c r="O4897" s="36">
        <v>0</v>
      </c>
      <c r="P4897" t="s">
        <v>520</v>
      </c>
      <c r="Q4897" t="s">
        <v>191</v>
      </c>
      <c r="R4897" t="s">
        <v>191</v>
      </c>
      <c r="S4897" s="112">
        <v>46170</v>
      </c>
      <c r="T4897" s="112">
        <v>46170</v>
      </c>
      <c r="U4897" s="112">
        <v>46913</v>
      </c>
      <c r="V4897" s="112">
        <v>46913</v>
      </c>
      <c r="W4897" t="s">
        <v>102</v>
      </c>
      <c r="X4897">
        <v>25</v>
      </c>
      <c r="Y4897" t="s">
        <v>49</v>
      </c>
      <c r="Z4897" t="s">
        <v>324</v>
      </c>
      <c r="AA4897" t="s">
        <v>92</v>
      </c>
      <c r="AB4897">
        <v>24</v>
      </c>
      <c r="AC4897" t="s">
        <v>192</v>
      </c>
      <c r="AD4897" t="s">
        <v>527</v>
      </c>
      <c r="AE4897" t="s">
        <v>257</v>
      </c>
      <c r="AF4897" t="s">
        <v>59</v>
      </c>
      <c r="AG4897" t="str">
        <f t="shared" si="115"/>
        <v>Recorrente</v>
      </c>
      <c r="AH4897" t="str">
        <f t="shared" si="116"/>
        <v/>
      </c>
    </row>
    <row r="4898" spans="1:34">
      <c r="A4898">
        <v>2026</v>
      </c>
      <c r="B4898">
        <v>5</v>
      </c>
      <c r="C4898" s="83">
        <v>118726977923</v>
      </c>
      <c r="D4898" t="s">
        <v>4173</v>
      </c>
      <c r="E4898">
        <v>60109085742</v>
      </c>
      <c r="F4898">
        <v>629479</v>
      </c>
      <c r="G4898">
        <v>55244737705</v>
      </c>
      <c r="H4898" t="s">
        <v>35</v>
      </c>
      <c r="I4898" s="36">
        <v>2011.8</v>
      </c>
      <c r="J4898" s="36">
        <v>2011.8</v>
      </c>
      <c r="K4898" s="85">
        <v>0</v>
      </c>
      <c r="L4898" s="36">
        <v>167.65</v>
      </c>
      <c r="M4898" s="36">
        <v>0</v>
      </c>
      <c r="N4898" s="36">
        <v>24.25</v>
      </c>
      <c r="O4898" s="36">
        <v>143.4</v>
      </c>
      <c r="P4898" t="s">
        <v>133</v>
      </c>
      <c r="Q4898" t="s">
        <v>111</v>
      </c>
      <c r="R4898" t="s">
        <v>111</v>
      </c>
      <c r="S4898" s="112">
        <v>46156</v>
      </c>
      <c r="T4898" s="112">
        <v>46156</v>
      </c>
      <c r="U4898" s="112">
        <v>46151</v>
      </c>
      <c r="V4898" s="112">
        <v>46522</v>
      </c>
      <c r="W4898" t="s">
        <v>38</v>
      </c>
      <c r="X4898">
        <v>12</v>
      </c>
      <c r="Y4898" t="s">
        <v>49</v>
      </c>
      <c r="Z4898" t="s">
        <v>81</v>
      </c>
      <c r="AA4898" t="s">
        <v>112</v>
      </c>
      <c r="AB4898">
        <v>12</v>
      </c>
      <c r="AC4898" t="s">
        <v>113</v>
      </c>
      <c r="AD4898" t="s">
        <v>118</v>
      </c>
      <c r="AE4898" t="s">
        <v>43</v>
      </c>
      <c r="AF4898" t="s">
        <v>119</v>
      </c>
      <c r="AG4898" t="str">
        <f t="shared" si="115"/>
        <v>CC 12x</v>
      </c>
      <c r="AH4898" t="str">
        <f t="shared" si="116"/>
        <v/>
      </c>
    </row>
    <row r="4899" spans="1:34">
      <c r="A4899">
        <v>2026</v>
      </c>
      <c r="B4899">
        <v>5</v>
      </c>
      <c r="C4899" s="83">
        <v>195006393241</v>
      </c>
      <c r="D4899" t="s">
        <v>2183</v>
      </c>
      <c r="E4899">
        <v>60071552065</v>
      </c>
      <c r="F4899">
        <v>611647</v>
      </c>
      <c r="G4899">
        <v>55089654201</v>
      </c>
      <c r="H4899" t="s">
        <v>35</v>
      </c>
      <c r="I4899" s="36">
        <v>1899.6</v>
      </c>
      <c r="J4899" s="36">
        <v>2161.56</v>
      </c>
      <c r="K4899" s="85">
        <v>0</v>
      </c>
      <c r="L4899" s="36">
        <v>180.13</v>
      </c>
      <c r="M4899" s="36">
        <v>0</v>
      </c>
      <c r="N4899" s="36">
        <v>180.13</v>
      </c>
      <c r="O4899" s="36">
        <v>0</v>
      </c>
      <c r="P4899" t="s">
        <v>804</v>
      </c>
      <c r="Q4899" t="s">
        <v>191</v>
      </c>
      <c r="R4899" t="s">
        <v>191</v>
      </c>
      <c r="S4899" s="112">
        <v>46153</v>
      </c>
      <c r="T4899" s="112">
        <v>46153</v>
      </c>
      <c r="U4899" s="112">
        <v>46470</v>
      </c>
      <c r="V4899" s="112">
        <v>46470</v>
      </c>
      <c r="W4899" t="s">
        <v>38</v>
      </c>
      <c r="X4899">
        <v>10</v>
      </c>
      <c r="Y4899" t="s">
        <v>49</v>
      </c>
      <c r="Z4899" t="s">
        <v>324</v>
      </c>
      <c r="AA4899" t="s">
        <v>122</v>
      </c>
      <c r="AB4899">
        <v>10</v>
      </c>
      <c r="AC4899" t="s">
        <v>192</v>
      </c>
      <c r="AD4899" t="s">
        <v>84</v>
      </c>
      <c r="AE4899" t="s">
        <v>43</v>
      </c>
      <c r="AF4899" t="s">
        <v>44</v>
      </c>
      <c r="AG4899" t="str">
        <f t="shared" si="115"/>
        <v>Recorrente</v>
      </c>
      <c r="AH4899" t="str">
        <f t="shared" si="116"/>
        <v/>
      </c>
    </row>
    <row r="4900" spans="1:34">
      <c r="A4900">
        <v>2026</v>
      </c>
      <c r="B4900">
        <v>5</v>
      </c>
      <c r="C4900" s="83">
        <v>21804440895</v>
      </c>
      <c r="D4900" t="s">
        <v>2479</v>
      </c>
      <c r="E4900">
        <v>60191825736</v>
      </c>
      <c r="F4900">
        <v>630026</v>
      </c>
      <c r="G4900">
        <v>55191497081</v>
      </c>
      <c r="H4900" t="s">
        <v>35</v>
      </c>
      <c r="I4900" s="36">
        <v>1897.92</v>
      </c>
      <c r="J4900" s="36">
        <v>1727.96</v>
      </c>
      <c r="K4900" s="85">
        <v>169.96</v>
      </c>
      <c r="L4900" s="36">
        <v>143.99666669999999</v>
      </c>
      <c r="M4900" s="36">
        <v>0</v>
      </c>
      <c r="N4900" s="36">
        <v>143.99666669999999</v>
      </c>
      <c r="O4900" s="36">
        <v>0</v>
      </c>
      <c r="P4900" t="s">
        <v>520</v>
      </c>
      <c r="Q4900" t="s">
        <v>191</v>
      </c>
      <c r="R4900" t="s">
        <v>191</v>
      </c>
      <c r="S4900" s="112">
        <v>46154</v>
      </c>
      <c r="T4900" s="112">
        <v>46154</v>
      </c>
      <c r="U4900" s="112">
        <v>46907</v>
      </c>
      <c r="V4900" s="112">
        <v>46907</v>
      </c>
      <c r="W4900" t="s">
        <v>102</v>
      </c>
      <c r="X4900">
        <v>25</v>
      </c>
      <c r="Y4900" t="s">
        <v>49</v>
      </c>
      <c r="Z4900" t="s">
        <v>324</v>
      </c>
      <c r="AA4900" t="s">
        <v>122</v>
      </c>
      <c r="AB4900">
        <v>24</v>
      </c>
      <c r="AC4900" t="s">
        <v>192</v>
      </c>
      <c r="AD4900" t="s">
        <v>256</v>
      </c>
      <c r="AE4900" t="s">
        <v>257</v>
      </c>
      <c r="AF4900" t="s">
        <v>59</v>
      </c>
      <c r="AG4900" t="str">
        <f t="shared" si="115"/>
        <v>Recorrente</v>
      </c>
      <c r="AH4900" t="str">
        <f t="shared" si="116"/>
        <v/>
      </c>
    </row>
    <row r="4901" spans="1:34">
      <c r="A4901">
        <v>2026</v>
      </c>
      <c r="B4901">
        <v>5</v>
      </c>
      <c r="C4901" s="83">
        <v>21804440895</v>
      </c>
      <c r="D4901" t="s">
        <v>2479</v>
      </c>
      <c r="E4901">
        <v>60191825736</v>
      </c>
      <c r="F4901">
        <v>630026</v>
      </c>
      <c r="G4901">
        <v>55191497082</v>
      </c>
      <c r="H4901" t="s">
        <v>35</v>
      </c>
      <c r="I4901" s="36">
        <v>1897.92</v>
      </c>
      <c r="J4901" s="36">
        <v>1727.96</v>
      </c>
      <c r="K4901" s="85">
        <v>169.96</v>
      </c>
      <c r="L4901" s="36">
        <v>143.99666669999999</v>
      </c>
      <c r="M4901" s="36">
        <v>0</v>
      </c>
      <c r="N4901" s="36">
        <v>143.99666669999999</v>
      </c>
      <c r="O4901" s="36">
        <v>0</v>
      </c>
      <c r="P4901" t="s">
        <v>520</v>
      </c>
      <c r="Q4901" t="s">
        <v>191</v>
      </c>
      <c r="R4901" t="s">
        <v>191</v>
      </c>
      <c r="S4901" s="112">
        <v>46154</v>
      </c>
      <c r="T4901" s="112">
        <v>46154</v>
      </c>
      <c r="U4901" s="112">
        <v>46907</v>
      </c>
      <c r="V4901" s="112">
        <v>46907</v>
      </c>
      <c r="W4901" t="s">
        <v>102</v>
      </c>
      <c r="X4901">
        <v>25</v>
      </c>
      <c r="Y4901" t="s">
        <v>49</v>
      </c>
      <c r="Z4901" t="s">
        <v>324</v>
      </c>
      <c r="AA4901" t="s">
        <v>122</v>
      </c>
      <c r="AB4901">
        <v>24</v>
      </c>
      <c r="AC4901" t="s">
        <v>192</v>
      </c>
      <c r="AD4901" t="s">
        <v>362</v>
      </c>
      <c r="AE4901" t="s">
        <v>363</v>
      </c>
      <c r="AF4901" t="s">
        <v>59</v>
      </c>
      <c r="AG4901" t="str">
        <f t="shared" si="115"/>
        <v>Recorrente</v>
      </c>
      <c r="AH4901" t="str">
        <f t="shared" si="116"/>
        <v/>
      </c>
    </row>
    <row r="4902" spans="1:34">
      <c r="A4902">
        <v>2026</v>
      </c>
      <c r="B4902">
        <v>5</v>
      </c>
      <c r="C4902" s="83">
        <v>217139749814</v>
      </c>
      <c r="D4902" t="s">
        <v>152</v>
      </c>
      <c r="E4902">
        <v>59226699192</v>
      </c>
      <c r="F4902">
        <v>624535</v>
      </c>
      <c r="G4902">
        <v>55039001769</v>
      </c>
      <c r="H4902" t="s">
        <v>35</v>
      </c>
      <c r="I4902" s="36">
        <v>1892.04</v>
      </c>
      <c r="J4902" s="36">
        <v>2086.44</v>
      </c>
      <c r="K4902" s="85">
        <v>0</v>
      </c>
      <c r="L4902" s="36">
        <v>173.87</v>
      </c>
      <c r="M4902" s="36">
        <v>0</v>
      </c>
      <c r="N4902" s="36">
        <v>173.87</v>
      </c>
      <c r="O4902" s="36">
        <v>0</v>
      </c>
      <c r="P4902" t="s">
        <v>469</v>
      </c>
      <c r="Q4902" t="s">
        <v>191</v>
      </c>
      <c r="R4902" t="s">
        <v>191</v>
      </c>
      <c r="S4902" s="112">
        <v>46148</v>
      </c>
      <c r="T4902" s="112">
        <v>46148</v>
      </c>
      <c r="U4902" s="112">
        <v>46359</v>
      </c>
      <c r="V4902" s="112">
        <v>46359</v>
      </c>
      <c r="W4902" t="s">
        <v>38</v>
      </c>
      <c r="X4902">
        <v>7</v>
      </c>
      <c r="Y4902" t="s">
        <v>49</v>
      </c>
      <c r="Z4902" t="s">
        <v>324</v>
      </c>
      <c r="AA4902" t="s">
        <v>122</v>
      </c>
      <c r="AB4902">
        <v>6</v>
      </c>
      <c r="AC4902" t="s">
        <v>192</v>
      </c>
      <c r="AD4902" t="s">
        <v>142</v>
      </c>
      <c r="AE4902" t="s">
        <v>95</v>
      </c>
      <c r="AF4902" t="s">
        <v>44</v>
      </c>
      <c r="AG4902" t="str">
        <f t="shared" si="115"/>
        <v>Recorrente</v>
      </c>
      <c r="AH4902" t="str">
        <f t="shared" si="116"/>
        <v/>
      </c>
    </row>
    <row r="4903" spans="1:34">
      <c r="A4903">
        <v>2026</v>
      </c>
      <c r="B4903">
        <v>5</v>
      </c>
      <c r="C4903" s="83">
        <v>148228454821</v>
      </c>
      <c r="D4903" t="s">
        <v>4174</v>
      </c>
      <c r="E4903">
        <v>60010966834</v>
      </c>
      <c r="F4903">
        <v>521658</v>
      </c>
      <c r="G4903">
        <v>55060571475</v>
      </c>
      <c r="H4903" t="s">
        <v>35</v>
      </c>
      <c r="I4903" s="36">
        <v>1751.76</v>
      </c>
      <c r="J4903" s="36">
        <v>1080.8399999999999</v>
      </c>
      <c r="K4903" s="85">
        <v>670.92</v>
      </c>
      <c r="L4903" s="36">
        <v>90.07</v>
      </c>
      <c r="M4903" s="36">
        <v>0</v>
      </c>
      <c r="N4903" s="36">
        <v>90.07</v>
      </c>
      <c r="O4903" s="36">
        <v>0</v>
      </c>
      <c r="P4903" t="s">
        <v>469</v>
      </c>
      <c r="Q4903" t="s">
        <v>191</v>
      </c>
      <c r="R4903" t="s">
        <v>191</v>
      </c>
      <c r="S4903" s="112">
        <v>46148</v>
      </c>
      <c r="T4903" s="112">
        <v>46148</v>
      </c>
      <c r="U4903" s="112">
        <v>46739</v>
      </c>
      <c r="V4903" s="112">
        <v>46739</v>
      </c>
      <c r="W4903" t="s">
        <v>102</v>
      </c>
      <c r="X4903">
        <v>19</v>
      </c>
      <c r="Y4903" t="s">
        <v>49</v>
      </c>
      <c r="Z4903" t="s">
        <v>324</v>
      </c>
      <c r="AA4903" t="s">
        <v>122</v>
      </c>
      <c r="AB4903">
        <v>19</v>
      </c>
      <c r="AC4903" t="s">
        <v>192</v>
      </c>
      <c r="AD4903" t="s">
        <v>163</v>
      </c>
      <c r="AE4903" t="s">
        <v>43</v>
      </c>
      <c r="AF4903" t="s">
        <v>96</v>
      </c>
      <c r="AG4903" t="str">
        <f t="shared" si="115"/>
        <v>Recorrente</v>
      </c>
      <c r="AH4903" t="str">
        <f t="shared" si="116"/>
        <v/>
      </c>
    </row>
    <row r="4904" spans="1:34">
      <c r="A4904">
        <v>2026</v>
      </c>
      <c r="B4904">
        <v>5</v>
      </c>
      <c r="C4904" s="83">
        <v>19435681579</v>
      </c>
      <c r="D4904" t="s">
        <v>3613</v>
      </c>
      <c r="E4904">
        <v>55389535876</v>
      </c>
      <c r="F4904">
        <v>523711</v>
      </c>
      <c r="G4904">
        <v>55647277575</v>
      </c>
      <c r="H4904" t="s">
        <v>35</v>
      </c>
      <c r="I4904" s="36">
        <v>1747.2</v>
      </c>
      <c r="J4904" s="36">
        <v>402.9</v>
      </c>
      <c r="K4904" s="85">
        <v>1344.3</v>
      </c>
      <c r="L4904" s="36">
        <v>33.575000000000003</v>
      </c>
      <c r="M4904" s="36">
        <v>0</v>
      </c>
      <c r="N4904" s="36">
        <v>33.575000000000003</v>
      </c>
      <c r="O4904" s="36">
        <v>0</v>
      </c>
      <c r="P4904" t="s">
        <v>1165</v>
      </c>
      <c r="Q4904" t="s">
        <v>3558</v>
      </c>
      <c r="R4904" t="s">
        <v>79</v>
      </c>
      <c r="S4904" s="112">
        <v>46169</v>
      </c>
      <c r="T4904" s="112">
        <v>46169</v>
      </c>
      <c r="U4904" s="112">
        <v>46170</v>
      </c>
      <c r="V4904" s="112">
        <v>46573</v>
      </c>
      <c r="W4904" t="s">
        <v>38</v>
      </c>
      <c r="X4904">
        <v>14</v>
      </c>
      <c r="Y4904" t="s">
        <v>49</v>
      </c>
      <c r="Z4904" t="s">
        <v>324</v>
      </c>
      <c r="AA4904" t="s">
        <v>82</v>
      </c>
      <c r="AB4904">
        <v>1</v>
      </c>
      <c r="AC4904" t="s">
        <v>83</v>
      </c>
      <c r="AD4904" t="s">
        <v>564</v>
      </c>
      <c r="AE4904" t="s">
        <v>257</v>
      </c>
      <c r="AF4904" t="s">
        <v>59</v>
      </c>
      <c r="AG4904" t="str">
        <f t="shared" si="115"/>
        <v>À Vista</v>
      </c>
      <c r="AH4904" t="str">
        <f t="shared" si="116"/>
        <v/>
      </c>
    </row>
    <row r="4905" spans="1:34">
      <c r="A4905">
        <v>2026</v>
      </c>
      <c r="B4905">
        <v>5</v>
      </c>
      <c r="C4905" s="83">
        <v>137924128325</v>
      </c>
      <c r="D4905" t="s">
        <v>4175</v>
      </c>
      <c r="E4905">
        <v>60022649999</v>
      </c>
      <c r="F4905">
        <v>637598</v>
      </c>
      <c r="G4905">
        <v>55061323366</v>
      </c>
      <c r="H4905" t="s">
        <v>35</v>
      </c>
      <c r="I4905" s="36">
        <v>1724.4</v>
      </c>
      <c r="J4905" s="36">
        <v>1724.4</v>
      </c>
      <c r="K4905" s="85">
        <v>2.2699999999999999E-13</v>
      </c>
      <c r="L4905" s="36">
        <v>143.69999999999999</v>
      </c>
      <c r="M4905" s="36">
        <v>143.69999999999999</v>
      </c>
      <c r="N4905" s="36">
        <v>0</v>
      </c>
      <c r="O4905" s="36">
        <v>0</v>
      </c>
      <c r="P4905" t="s">
        <v>829</v>
      </c>
      <c r="Q4905" t="s">
        <v>300</v>
      </c>
      <c r="R4905" t="s">
        <v>300</v>
      </c>
      <c r="S4905" s="112">
        <v>46148</v>
      </c>
      <c r="T4905" s="112">
        <v>46148</v>
      </c>
      <c r="U4905" s="112"/>
      <c r="V4905" s="112">
        <v>46513</v>
      </c>
      <c r="W4905" t="s">
        <v>38</v>
      </c>
      <c r="X4905">
        <v>12</v>
      </c>
      <c r="Y4905" t="s">
        <v>49</v>
      </c>
      <c r="AA4905" t="s">
        <v>112</v>
      </c>
      <c r="AB4905">
        <v>12</v>
      </c>
      <c r="AC4905" t="s">
        <v>301</v>
      </c>
      <c r="AD4905" t="s">
        <v>140</v>
      </c>
      <c r="AE4905" t="s">
        <v>46</v>
      </c>
      <c r="AF4905" t="s">
        <v>119</v>
      </c>
      <c r="AG4905" t="str">
        <f t="shared" si="115"/>
        <v>CC 12x</v>
      </c>
      <c r="AH4905" t="str">
        <f t="shared" si="116"/>
        <v/>
      </c>
    </row>
    <row r="4906" spans="1:34">
      <c r="A4906">
        <v>2026</v>
      </c>
      <c r="B4906">
        <v>5</v>
      </c>
      <c r="C4906" s="83">
        <v>2080487</v>
      </c>
      <c r="D4906" t="s">
        <v>4176</v>
      </c>
      <c r="E4906">
        <v>60649868867</v>
      </c>
      <c r="F4906">
        <v>637988</v>
      </c>
      <c r="G4906">
        <v>55625935899</v>
      </c>
      <c r="H4906" t="s">
        <v>35</v>
      </c>
      <c r="I4906" s="36">
        <v>1724.4</v>
      </c>
      <c r="J4906" s="36">
        <v>1724.4</v>
      </c>
      <c r="K4906" s="85">
        <v>2.2699999999999999E-13</v>
      </c>
      <c r="L4906" s="36">
        <v>143.69999999999999</v>
      </c>
      <c r="M4906" s="36">
        <v>143.69999999999999</v>
      </c>
      <c r="N4906" s="36">
        <v>0</v>
      </c>
      <c r="O4906" s="36">
        <v>0</v>
      </c>
      <c r="P4906" t="s">
        <v>3179</v>
      </c>
      <c r="Q4906" t="s">
        <v>300</v>
      </c>
      <c r="R4906" t="s">
        <v>300</v>
      </c>
      <c r="S4906" s="112">
        <v>46168</v>
      </c>
      <c r="T4906" s="112">
        <v>46168</v>
      </c>
      <c r="V4906" s="112">
        <v>46533</v>
      </c>
      <c r="W4906" t="s">
        <v>38</v>
      </c>
      <c r="X4906">
        <v>12</v>
      </c>
      <c r="Y4906" t="s">
        <v>49</v>
      </c>
      <c r="AA4906" t="s">
        <v>117</v>
      </c>
      <c r="AB4906">
        <v>1</v>
      </c>
      <c r="AC4906" t="s">
        <v>301</v>
      </c>
      <c r="AD4906" t="s">
        <v>140</v>
      </c>
      <c r="AE4906" t="s">
        <v>46</v>
      </c>
      <c r="AF4906" t="s">
        <v>119</v>
      </c>
      <c r="AG4906" t="str">
        <f t="shared" si="115"/>
        <v>À Vista</v>
      </c>
      <c r="AH4906" t="str">
        <f t="shared" si="116"/>
        <v/>
      </c>
    </row>
    <row r="4907" spans="1:34">
      <c r="A4907">
        <v>2026</v>
      </c>
      <c r="B4907">
        <v>5</v>
      </c>
      <c r="C4907" s="83">
        <v>209957481991</v>
      </c>
      <c r="D4907" t="s">
        <v>4177</v>
      </c>
      <c r="E4907">
        <v>60230147908</v>
      </c>
      <c r="F4907">
        <v>637794</v>
      </c>
      <c r="G4907">
        <v>55255009676</v>
      </c>
      <c r="H4907" t="s">
        <v>35</v>
      </c>
      <c r="I4907" s="36">
        <v>1724.4</v>
      </c>
      <c r="J4907" s="36">
        <v>1724.4</v>
      </c>
      <c r="K4907" s="85">
        <v>2.2699999999999999E-13</v>
      </c>
      <c r="L4907" s="36">
        <v>143.69999999999999</v>
      </c>
      <c r="M4907" s="36">
        <v>143.69999999999999</v>
      </c>
      <c r="N4907" s="36">
        <v>0</v>
      </c>
      <c r="O4907" s="36">
        <v>0</v>
      </c>
      <c r="P4907" t="s">
        <v>506</v>
      </c>
      <c r="Q4907" t="s">
        <v>300</v>
      </c>
      <c r="R4907" t="s">
        <v>300</v>
      </c>
      <c r="S4907" s="112">
        <v>46156</v>
      </c>
      <c r="T4907" s="112">
        <v>46156</v>
      </c>
      <c r="V4907" s="112">
        <v>46521</v>
      </c>
      <c r="W4907" t="s">
        <v>38</v>
      </c>
      <c r="X4907">
        <v>12</v>
      </c>
      <c r="Y4907" t="s">
        <v>49</v>
      </c>
      <c r="AA4907" t="s">
        <v>112</v>
      </c>
      <c r="AB4907">
        <v>12</v>
      </c>
      <c r="AC4907" t="s">
        <v>301</v>
      </c>
      <c r="AD4907" t="s">
        <v>140</v>
      </c>
      <c r="AE4907" t="s">
        <v>46</v>
      </c>
      <c r="AF4907" t="s">
        <v>119</v>
      </c>
      <c r="AG4907" t="str">
        <f t="shared" si="115"/>
        <v>CC 12x</v>
      </c>
      <c r="AH4907" t="str">
        <f t="shared" si="116"/>
        <v/>
      </c>
    </row>
    <row r="4908" spans="1:34">
      <c r="A4908">
        <v>2026</v>
      </c>
      <c r="B4908">
        <v>5</v>
      </c>
      <c r="C4908" s="83">
        <v>220529571657</v>
      </c>
      <c r="D4908" t="s">
        <v>4178</v>
      </c>
      <c r="E4908">
        <v>60174082657</v>
      </c>
      <c r="F4908">
        <v>637725</v>
      </c>
      <c r="G4908">
        <v>55196559275</v>
      </c>
      <c r="H4908" t="s">
        <v>35</v>
      </c>
      <c r="I4908" s="36">
        <v>1724.4</v>
      </c>
      <c r="J4908" s="36">
        <v>1724.4</v>
      </c>
      <c r="K4908" s="85">
        <v>2.2699999999999999E-13</v>
      </c>
      <c r="L4908" s="36">
        <v>143.69999999999999</v>
      </c>
      <c r="M4908" s="36">
        <v>143.69999999999999</v>
      </c>
      <c r="N4908" s="36">
        <v>0</v>
      </c>
      <c r="O4908" s="36">
        <v>0</v>
      </c>
      <c r="P4908" t="s">
        <v>506</v>
      </c>
      <c r="Q4908" t="s">
        <v>300</v>
      </c>
      <c r="R4908" t="s">
        <v>300</v>
      </c>
      <c r="S4908" s="112">
        <v>46153</v>
      </c>
      <c r="T4908" s="112">
        <v>46153</v>
      </c>
      <c r="V4908" s="112">
        <v>46518</v>
      </c>
      <c r="W4908" t="s">
        <v>38</v>
      </c>
      <c r="X4908">
        <v>12</v>
      </c>
      <c r="Y4908" t="s">
        <v>49</v>
      </c>
      <c r="AA4908" t="s">
        <v>122</v>
      </c>
      <c r="AB4908">
        <v>12</v>
      </c>
      <c r="AC4908" t="s">
        <v>301</v>
      </c>
      <c r="AD4908" t="s">
        <v>140</v>
      </c>
      <c r="AE4908" t="s">
        <v>46</v>
      </c>
      <c r="AF4908" t="s">
        <v>119</v>
      </c>
      <c r="AG4908" t="str">
        <f t="shared" si="115"/>
        <v>Recorrente</v>
      </c>
      <c r="AH4908" t="str">
        <f t="shared" si="116"/>
        <v/>
      </c>
    </row>
    <row r="4909" spans="1:34">
      <c r="A4909">
        <v>2026</v>
      </c>
      <c r="B4909">
        <v>5</v>
      </c>
      <c r="C4909" s="83">
        <v>220764918025</v>
      </c>
      <c r="D4909" t="s">
        <v>4179</v>
      </c>
      <c r="E4909">
        <v>60235150111</v>
      </c>
      <c r="F4909">
        <v>637776</v>
      </c>
      <c r="G4909">
        <v>55244704166</v>
      </c>
      <c r="H4909" t="s">
        <v>35</v>
      </c>
      <c r="I4909" s="36">
        <v>1724.4</v>
      </c>
      <c r="J4909" s="36">
        <v>1724.4</v>
      </c>
      <c r="K4909" s="85">
        <v>2.2699999999999999E-13</v>
      </c>
      <c r="L4909" s="36">
        <v>143.69999999999999</v>
      </c>
      <c r="M4909" s="36">
        <v>143.69999999999999</v>
      </c>
      <c r="N4909" s="36">
        <v>0</v>
      </c>
      <c r="O4909" s="36">
        <v>0</v>
      </c>
      <c r="P4909" t="s">
        <v>3642</v>
      </c>
      <c r="Q4909" t="s">
        <v>300</v>
      </c>
      <c r="R4909" t="s">
        <v>300</v>
      </c>
      <c r="S4909" s="112">
        <v>46155</v>
      </c>
      <c r="T4909" s="112">
        <v>46155</v>
      </c>
      <c r="V4909" s="112">
        <v>46520</v>
      </c>
      <c r="W4909" t="s">
        <v>38</v>
      </c>
      <c r="X4909">
        <v>12</v>
      </c>
      <c r="Y4909" t="s">
        <v>49</v>
      </c>
      <c r="AA4909" t="s">
        <v>112</v>
      </c>
      <c r="AB4909">
        <v>12</v>
      </c>
      <c r="AC4909" t="s">
        <v>301</v>
      </c>
      <c r="AD4909" t="s">
        <v>140</v>
      </c>
      <c r="AE4909" t="s">
        <v>46</v>
      </c>
      <c r="AF4909" t="s">
        <v>119</v>
      </c>
      <c r="AG4909" t="str">
        <f t="shared" si="115"/>
        <v>CC 12x</v>
      </c>
      <c r="AH4909" t="str">
        <f t="shared" si="116"/>
        <v/>
      </c>
    </row>
    <row r="4910" spans="1:34">
      <c r="A4910">
        <v>2026</v>
      </c>
      <c r="B4910">
        <v>5</v>
      </c>
      <c r="C4910" s="83">
        <v>222283320647</v>
      </c>
      <c r="D4910" t="s">
        <v>4180</v>
      </c>
      <c r="E4910">
        <v>60327120178</v>
      </c>
      <c r="F4910">
        <v>637827</v>
      </c>
      <c r="G4910">
        <v>55320741722</v>
      </c>
      <c r="H4910" t="s">
        <v>35</v>
      </c>
      <c r="I4910" s="36">
        <v>1724.4</v>
      </c>
      <c r="J4910" s="36">
        <v>1724.4</v>
      </c>
      <c r="K4910" s="85">
        <v>2.2699999999999999E-13</v>
      </c>
      <c r="L4910" s="36">
        <v>143.69999999999999</v>
      </c>
      <c r="M4910" s="36">
        <v>143.69999999999999</v>
      </c>
      <c r="N4910" s="36">
        <v>0</v>
      </c>
      <c r="O4910" s="36">
        <v>0</v>
      </c>
      <c r="P4910" t="s">
        <v>506</v>
      </c>
      <c r="Q4910" t="s">
        <v>300</v>
      </c>
      <c r="R4910" t="s">
        <v>300</v>
      </c>
      <c r="S4910" s="112">
        <v>46160</v>
      </c>
      <c r="T4910" s="112">
        <v>46160</v>
      </c>
      <c r="V4910" s="112">
        <v>46525</v>
      </c>
      <c r="W4910" t="s">
        <v>38</v>
      </c>
      <c r="X4910">
        <v>12</v>
      </c>
      <c r="Y4910" t="s">
        <v>49</v>
      </c>
      <c r="AA4910" t="s">
        <v>112</v>
      </c>
      <c r="AB4910">
        <v>12</v>
      </c>
      <c r="AC4910" t="s">
        <v>301</v>
      </c>
      <c r="AD4910" t="s">
        <v>140</v>
      </c>
      <c r="AE4910" t="s">
        <v>46</v>
      </c>
      <c r="AF4910" t="s">
        <v>119</v>
      </c>
      <c r="AG4910" t="str">
        <f t="shared" si="115"/>
        <v>CC 12x</v>
      </c>
      <c r="AH4910" t="str">
        <f t="shared" si="116"/>
        <v/>
      </c>
    </row>
    <row r="4911" spans="1:34">
      <c r="A4911">
        <v>2026</v>
      </c>
      <c r="B4911">
        <v>5</v>
      </c>
      <c r="C4911" s="83">
        <v>223701777533</v>
      </c>
      <c r="D4911" t="s">
        <v>4181</v>
      </c>
      <c r="E4911">
        <v>60626925175</v>
      </c>
      <c r="F4911">
        <v>637980</v>
      </c>
      <c r="G4911">
        <v>55623654727</v>
      </c>
      <c r="H4911" t="s">
        <v>35</v>
      </c>
      <c r="I4911" s="36">
        <v>1724.4</v>
      </c>
      <c r="J4911" s="36">
        <v>1724.4</v>
      </c>
      <c r="K4911" s="85">
        <v>2.2699999999999999E-13</v>
      </c>
      <c r="L4911" s="36">
        <v>143.69999999999999</v>
      </c>
      <c r="M4911" s="36">
        <v>143.69999999999999</v>
      </c>
      <c r="N4911" s="36">
        <v>0</v>
      </c>
      <c r="O4911" s="36">
        <v>0</v>
      </c>
      <c r="P4911" t="s">
        <v>506</v>
      </c>
      <c r="Q4911" t="s">
        <v>300</v>
      </c>
      <c r="R4911" t="s">
        <v>300</v>
      </c>
      <c r="S4911" s="112">
        <v>46168</v>
      </c>
      <c r="T4911" s="112">
        <v>46168</v>
      </c>
      <c r="V4911" s="112">
        <v>46533</v>
      </c>
      <c r="W4911" t="s">
        <v>38</v>
      </c>
      <c r="X4911">
        <v>12</v>
      </c>
      <c r="Y4911" t="s">
        <v>49</v>
      </c>
      <c r="AA4911" t="s">
        <v>122</v>
      </c>
      <c r="AB4911">
        <v>12</v>
      </c>
      <c r="AC4911" t="s">
        <v>301</v>
      </c>
      <c r="AD4911" t="s">
        <v>118</v>
      </c>
      <c r="AE4911" t="s">
        <v>43</v>
      </c>
      <c r="AF4911" t="s">
        <v>119</v>
      </c>
      <c r="AG4911" t="str">
        <f t="shared" si="115"/>
        <v>Recorrente</v>
      </c>
      <c r="AH4911" t="str">
        <f t="shared" si="116"/>
        <v/>
      </c>
    </row>
    <row r="4912" spans="1:34">
      <c r="A4912">
        <v>2026</v>
      </c>
      <c r="B4912">
        <v>5</v>
      </c>
      <c r="C4912" s="83">
        <v>2278374</v>
      </c>
      <c r="D4912" t="s">
        <v>4182</v>
      </c>
      <c r="E4912">
        <v>60173375037</v>
      </c>
      <c r="F4912">
        <v>637702</v>
      </c>
      <c r="G4912">
        <v>55189480824</v>
      </c>
      <c r="H4912" t="s">
        <v>35</v>
      </c>
      <c r="I4912" s="36">
        <v>1724.4</v>
      </c>
      <c r="J4912" s="36">
        <v>1724.4</v>
      </c>
      <c r="K4912" s="85">
        <v>2.2699999999999999E-13</v>
      </c>
      <c r="L4912" s="36">
        <v>143.69999999999999</v>
      </c>
      <c r="M4912" s="36">
        <v>143.69999999999999</v>
      </c>
      <c r="N4912" s="36">
        <v>0</v>
      </c>
      <c r="O4912" s="36">
        <v>0</v>
      </c>
      <c r="P4912" t="s">
        <v>2004</v>
      </c>
      <c r="Q4912" t="s">
        <v>300</v>
      </c>
      <c r="R4912" t="s">
        <v>300</v>
      </c>
      <c r="S4912" s="112">
        <v>46153</v>
      </c>
      <c r="T4912" s="112">
        <v>46153</v>
      </c>
      <c r="V4912" s="112">
        <v>46518</v>
      </c>
      <c r="W4912" t="s">
        <v>38</v>
      </c>
      <c r="X4912">
        <v>12</v>
      </c>
      <c r="Y4912" t="s">
        <v>49</v>
      </c>
      <c r="AA4912" t="s">
        <v>112</v>
      </c>
      <c r="AB4912">
        <v>12</v>
      </c>
      <c r="AC4912" t="s">
        <v>301</v>
      </c>
      <c r="AD4912" t="s">
        <v>140</v>
      </c>
      <c r="AE4912" t="s">
        <v>46</v>
      </c>
      <c r="AF4912" t="s">
        <v>119</v>
      </c>
      <c r="AG4912" t="str">
        <f t="shared" si="115"/>
        <v>CC 12x</v>
      </c>
      <c r="AH4912" t="str">
        <f t="shared" si="116"/>
        <v/>
      </c>
    </row>
    <row r="4913" spans="1:34">
      <c r="A4913">
        <v>2026</v>
      </c>
      <c r="B4913">
        <v>5</v>
      </c>
      <c r="C4913" s="83">
        <v>152113293973</v>
      </c>
      <c r="D4913" t="s">
        <v>1053</v>
      </c>
      <c r="E4913">
        <v>60565120594</v>
      </c>
      <c r="F4913">
        <v>518858</v>
      </c>
      <c r="G4913">
        <v>55582193412</v>
      </c>
      <c r="H4913" t="s">
        <v>35</v>
      </c>
      <c r="I4913" s="36">
        <v>1654.8</v>
      </c>
      <c r="J4913" s="36">
        <v>5037.12</v>
      </c>
      <c r="K4913" s="85">
        <v>0</v>
      </c>
      <c r="L4913" s="36">
        <v>419.76</v>
      </c>
      <c r="M4913" s="36">
        <v>0</v>
      </c>
      <c r="N4913" s="36">
        <v>419.76</v>
      </c>
      <c r="O4913" s="36">
        <v>0</v>
      </c>
      <c r="P4913" t="s">
        <v>323</v>
      </c>
      <c r="Q4913" t="s">
        <v>191</v>
      </c>
      <c r="R4913" t="s">
        <v>191</v>
      </c>
      <c r="S4913" s="112">
        <v>46164</v>
      </c>
      <c r="T4913" s="112">
        <v>46164</v>
      </c>
      <c r="U4913" s="112">
        <v>46284</v>
      </c>
      <c r="V4913" s="112">
        <v>46284</v>
      </c>
      <c r="W4913" t="s">
        <v>38</v>
      </c>
      <c r="X4913">
        <v>4</v>
      </c>
      <c r="Y4913" t="s">
        <v>49</v>
      </c>
      <c r="Z4913" t="s">
        <v>324</v>
      </c>
      <c r="AA4913" t="s">
        <v>122</v>
      </c>
      <c r="AB4913">
        <v>3</v>
      </c>
      <c r="AC4913" t="s">
        <v>192</v>
      </c>
      <c r="AD4913" t="s">
        <v>84</v>
      </c>
      <c r="AE4913" t="s">
        <v>43</v>
      </c>
      <c r="AF4913" t="s">
        <v>44</v>
      </c>
      <c r="AG4913" t="str">
        <f t="shared" si="115"/>
        <v>Recorrente</v>
      </c>
      <c r="AH4913" t="str">
        <f t="shared" si="116"/>
        <v/>
      </c>
    </row>
    <row r="4914" spans="1:34">
      <c r="A4914">
        <v>2026</v>
      </c>
      <c r="B4914">
        <v>5</v>
      </c>
      <c r="C4914" s="83">
        <v>208033701016</v>
      </c>
      <c r="D4914" t="s">
        <v>3627</v>
      </c>
      <c r="E4914">
        <v>59644344740</v>
      </c>
      <c r="F4914">
        <v>637614</v>
      </c>
      <c r="G4914">
        <v>55072705345</v>
      </c>
      <c r="H4914" t="s">
        <v>35</v>
      </c>
      <c r="I4914" s="36">
        <v>1503.6</v>
      </c>
      <c r="J4914" s="36">
        <v>1503.6</v>
      </c>
      <c r="K4914" s="85">
        <v>0</v>
      </c>
      <c r="L4914" s="36">
        <v>125.3</v>
      </c>
      <c r="M4914" s="36">
        <v>0</v>
      </c>
      <c r="N4914" s="36">
        <v>39.558657420000003</v>
      </c>
      <c r="O4914" s="36">
        <v>85.741342579999994</v>
      </c>
      <c r="P4914" t="s">
        <v>162</v>
      </c>
      <c r="Q4914" t="s">
        <v>111</v>
      </c>
      <c r="R4914" t="s">
        <v>111</v>
      </c>
      <c r="S4914" s="112">
        <v>46149</v>
      </c>
      <c r="T4914" s="112">
        <v>46149</v>
      </c>
      <c r="U4914" s="112"/>
      <c r="V4914" s="112">
        <v>46514</v>
      </c>
      <c r="W4914" t="s">
        <v>38</v>
      </c>
      <c r="Y4914" t="s">
        <v>49</v>
      </c>
      <c r="AA4914" t="s">
        <v>112</v>
      </c>
      <c r="AB4914">
        <v>12</v>
      </c>
      <c r="AC4914" t="s">
        <v>113</v>
      </c>
      <c r="AD4914" t="s">
        <v>256</v>
      </c>
      <c r="AE4914" t="s">
        <v>257</v>
      </c>
      <c r="AF4914" t="s">
        <v>59</v>
      </c>
      <c r="AG4914" t="str">
        <f t="shared" si="115"/>
        <v>CC 12x</v>
      </c>
      <c r="AH4914" t="str">
        <f t="shared" si="116"/>
        <v/>
      </c>
    </row>
    <row r="4915" spans="1:34">
      <c r="A4915">
        <v>2026</v>
      </c>
      <c r="B4915">
        <v>5</v>
      </c>
      <c r="C4915" s="83">
        <v>223059995450</v>
      </c>
      <c r="D4915" t="s">
        <v>4183</v>
      </c>
      <c r="E4915">
        <v>60552585246</v>
      </c>
      <c r="F4915">
        <v>637985</v>
      </c>
      <c r="G4915">
        <v>55612285821</v>
      </c>
      <c r="H4915" t="s">
        <v>35</v>
      </c>
      <c r="I4915" s="36">
        <v>1437</v>
      </c>
      <c r="J4915" s="36">
        <v>1437</v>
      </c>
      <c r="K4915" s="85">
        <v>0</v>
      </c>
      <c r="L4915" s="36">
        <v>119.75</v>
      </c>
      <c r="M4915" s="36">
        <v>119.75</v>
      </c>
      <c r="N4915" s="36">
        <v>0</v>
      </c>
      <c r="O4915" s="36">
        <v>0</v>
      </c>
      <c r="P4915" t="s">
        <v>2004</v>
      </c>
      <c r="Q4915" t="s">
        <v>300</v>
      </c>
      <c r="R4915" t="s">
        <v>300</v>
      </c>
      <c r="S4915" s="112">
        <v>46168</v>
      </c>
      <c r="T4915" s="112">
        <v>46168</v>
      </c>
      <c r="V4915" s="112">
        <v>46533</v>
      </c>
      <c r="W4915" t="s">
        <v>38</v>
      </c>
      <c r="X4915">
        <v>12</v>
      </c>
      <c r="Y4915" t="s">
        <v>49</v>
      </c>
      <c r="AA4915" t="s">
        <v>117</v>
      </c>
      <c r="AB4915">
        <v>1</v>
      </c>
      <c r="AC4915" t="s">
        <v>301</v>
      </c>
      <c r="AD4915" t="s">
        <v>140</v>
      </c>
      <c r="AE4915" t="s">
        <v>46</v>
      </c>
      <c r="AF4915" t="s">
        <v>119</v>
      </c>
      <c r="AG4915" t="str">
        <f t="shared" si="115"/>
        <v>À Vista</v>
      </c>
      <c r="AH4915" t="str">
        <f t="shared" si="116"/>
        <v/>
      </c>
    </row>
    <row r="4916" spans="1:34">
      <c r="A4916">
        <v>2026</v>
      </c>
      <c r="B4916">
        <v>5</v>
      </c>
      <c r="C4916" s="83">
        <v>127097215060</v>
      </c>
      <c r="D4916" t="s">
        <v>4184</v>
      </c>
      <c r="E4916">
        <v>60177650471</v>
      </c>
      <c r="F4916">
        <v>633966</v>
      </c>
      <c r="G4916">
        <v>55129120779</v>
      </c>
      <c r="H4916" t="s">
        <v>35</v>
      </c>
      <c r="I4916" s="36">
        <v>1249.56</v>
      </c>
      <c r="J4916" s="36">
        <v>2280.96</v>
      </c>
      <c r="K4916" s="85">
        <v>0</v>
      </c>
      <c r="L4916" s="36">
        <v>190.08</v>
      </c>
      <c r="M4916" s="36">
        <v>0</v>
      </c>
      <c r="N4916" s="36">
        <v>190.08</v>
      </c>
      <c r="O4916" s="36">
        <v>0</v>
      </c>
      <c r="P4916" t="s">
        <v>469</v>
      </c>
      <c r="Q4916" t="s">
        <v>191</v>
      </c>
      <c r="R4916" t="s">
        <v>191</v>
      </c>
      <c r="S4916" s="112">
        <v>46150</v>
      </c>
      <c r="T4916" s="112">
        <v>46150</v>
      </c>
      <c r="U4916" s="112">
        <v>46325</v>
      </c>
      <c r="V4916" s="112">
        <v>46325</v>
      </c>
      <c r="W4916" t="s">
        <v>38</v>
      </c>
      <c r="X4916">
        <v>5</v>
      </c>
      <c r="Y4916" t="s">
        <v>49</v>
      </c>
      <c r="Z4916" t="s">
        <v>324</v>
      </c>
      <c r="AA4916" t="s">
        <v>112</v>
      </c>
      <c r="AB4916">
        <v>6</v>
      </c>
      <c r="AC4916" t="s">
        <v>192</v>
      </c>
      <c r="AD4916" t="s">
        <v>85</v>
      </c>
      <c r="AE4916" t="s">
        <v>46</v>
      </c>
      <c r="AF4916" t="s">
        <v>44</v>
      </c>
      <c r="AG4916" t="str">
        <f t="shared" si="115"/>
        <v>CC 12x</v>
      </c>
      <c r="AH4916" t="str">
        <f t="shared" si="116"/>
        <v/>
      </c>
    </row>
    <row r="4917" spans="1:34">
      <c r="A4917">
        <v>2026</v>
      </c>
      <c r="B4917">
        <v>5</v>
      </c>
      <c r="C4917" s="83">
        <v>19486017130</v>
      </c>
      <c r="D4917" t="s">
        <v>3018</v>
      </c>
      <c r="E4917">
        <v>60670266656</v>
      </c>
      <c r="F4917">
        <v>612997</v>
      </c>
      <c r="G4917">
        <v>55645992704</v>
      </c>
      <c r="H4917" t="s">
        <v>35</v>
      </c>
      <c r="I4917" s="36">
        <v>1041.48</v>
      </c>
      <c r="J4917" s="36">
        <v>1174.1400000000001</v>
      </c>
      <c r="K4917" s="85">
        <v>0</v>
      </c>
      <c r="L4917" s="36">
        <v>97.844999999999999</v>
      </c>
      <c r="M4917" s="36">
        <v>0</v>
      </c>
      <c r="N4917" s="36">
        <v>97.844999999999999</v>
      </c>
      <c r="O4917" s="36">
        <v>0</v>
      </c>
      <c r="P4917" t="s">
        <v>520</v>
      </c>
      <c r="Q4917" t="s">
        <v>191</v>
      </c>
      <c r="R4917" t="s">
        <v>191</v>
      </c>
      <c r="S4917" s="112">
        <v>46169</v>
      </c>
      <c r="T4917" s="112">
        <v>46169</v>
      </c>
      <c r="U4917" s="112">
        <v>46493</v>
      </c>
      <c r="V4917" s="112">
        <v>46493</v>
      </c>
      <c r="W4917" t="s">
        <v>38</v>
      </c>
      <c r="X4917">
        <v>11</v>
      </c>
      <c r="Y4917" t="s">
        <v>49</v>
      </c>
      <c r="Z4917" t="s">
        <v>324</v>
      </c>
      <c r="AA4917" t="s">
        <v>82</v>
      </c>
      <c r="AB4917">
        <v>1</v>
      </c>
      <c r="AC4917" t="s">
        <v>192</v>
      </c>
      <c r="AD4917" t="s">
        <v>149</v>
      </c>
      <c r="AE4917" t="s">
        <v>43</v>
      </c>
      <c r="AF4917" t="s">
        <v>96</v>
      </c>
      <c r="AG4917" t="str">
        <f t="shared" si="115"/>
        <v>À Vista</v>
      </c>
      <c r="AH4917" t="str">
        <f t="shared" si="116"/>
        <v/>
      </c>
    </row>
    <row r="4918" spans="1:34">
      <c r="A4918">
        <v>2026</v>
      </c>
      <c r="B4918">
        <v>5</v>
      </c>
      <c r="C4918" s="83">
        <v>19486017130</v>
      </c>
      <c r="D4918" t="s">
        <v>3018</v>
      </c>
      <c r="E4918">
        <v>60670266656</v>
      </c>
      <c r="F4918">
        <v>612997</v>
      </c>
      <c r="G4918">
        <v>55645992706</v>
      </c>
      <c r="H4918" t="s">
        <v>35</v>
      </c>
      <c r="I4918" s="36">
        <v>1041.48</v>
      </c>
      <c r="J4918" s="36">
        <v>1174.1400000000001</v>
      </c>
      <c r="K4918" s="85">
        <v>0</v>
      </c>
      <c r="L4918" s="36">
        <v>97.844999999999999</v>
      </c>
      <c r="M4918" s="36">
        <v>0</v>
      </c>
      <c r="N4918" s="36">
        <v>97.844999999999999</v>
      </c>
      <c r="O4918" s="36">
        <v>0</v>
      </c>
      <c r="P4918" t="s">
        <v>520</v>
      </c>
      <c r="Q4918" t="s">
        <v>191</v>
      </c>
      <c r="R4918" t="s">
        <v>191</v>
      </c>
      <c r="S4918" s="112">
        <v>46169</v>
      </c>
      <c r="T4918" s="112">
        <v>46169</v>
      </c>
      <c r="U4918" s="112">
        <v>46493</v>
      </c>
      <c r="V4918" s="112">
        <v>46493</v>
      </c>
      <c r="W4918" t="s">
        <v>38</v>
      </c>
      <c r="X4918">
        <v>11</v>
      </c>
      <c r="Y4918" t="s">
        <v>49</v>
      </c>
      <c r="Z4918" t="s">
        <v>324</v>
      </c>
      <c r="AA4918" t="s">
        <v>82</v>
      </c>
      <c r="AB4918">
        <v>1</v>
      </c>
      <c r="AC4918" t="s">
        <v>192</v>
      </c>
      <c r="AD4918" t="s">
        <v>149</v>
      </c>
      <c r="AE4918" t="s">
        <v>43</v>
      </c>
      <c r="AF4918" t="s">
        <v>96</v>
      </c>
      <c r="AG4918" t="str">
        <f t="shared" ref="AG4918:AG4981" si="117">IF(IFERROR(SEARCH("Recorrente",AA4918),0)&gt;0,"Recorrente",IF(AB4918=1,"À Vista",IF(AB4918&lt;=3,"CC 3x",IF(AB4918&lt;=12,"CC 12x",IF(AB4918&gt;12,"Recorrente","")))))</f>
        <v>À Vista</v>
      </c>
      <c r="AH4918" t="str">
        <f t="shared" ref="AH4918:AH4981" si="118">IF(AND(SUMIF(E:E,E4918,I:I)&gt;=400000,Q4918="B2G"),"n","")</f>
        <v/>
      </c>
    </row>
    <row r="4919" spans="1:34">
      <c r="A4919">
        <v>2026</v>
      </c>
      <c r="B4919">
        <v>5</v>
      </c>
      <c r="C4919" s="83">
        <v>222580602520</v>
      </c>
      <c r="D4919" t="s">
        <v>4185</v>
      </c>
      <c r="E4919">
        <v>60393943455</v>
      </c>
      <c r="F4919">
        <v>632241</v>
      </c>
      <c r="G4919">
        <v>55373641011</v>
      </c>
      <c r="H4919" t="s">
        <v>35</v>
      </c>
      <c r="I4919" s="36">
        <v>999.48</v>
      </c>
      <c r="J4919" s="36">
        <v>3650.88</v>
      </c>
      <c r="K4919" s="85">
        <v>0</v>
      </c>
      <c r="L4919" s="36">
        <v>304.24</v>
      </c>
      <c r="M4919" s="36">
        <v>0</v>
      </c>
      <c r="N4919" s="36">
        <v>304.24</v>
      </c>
      <c r="O4919" s="36">
        <v>0</v>
      </c>
      <c r="P4919" t="s">
        <v>323</v>
      </c>
      <c r="Q4919" t="s">
        <v>191</v>
      </c>
      <c r="R4919" t="s">
        <v>191</v>
      </c>
      <c r="S4919" s="112">
        <v>46162</v>
      </c>
      <c r="T4919" s="112">
        <v>46162</v>
      </c>
      <c r="U4919" s="112">
        <v>46262</v>
      </c>
      <c r="V4919" s="112">
        <v>46262</v>
      </c>
      <c r="W4919" t="s">
        <v>38</v>
      </c>
      <c r="X4919">
        <v>3</v>
      </c>
      <c r="Y4919" t="s">
        <v>49</v>
      </c>
      <c r="Z4919" t="s">
        <v>324</v>
      </c>
      <c r="AA4919" t="s">
        <v>122</v>
      </c>
      <c r="AB4919">
        <v>3</v>
      </c>
      <c r="AC4919" t="s">
        <v>192</v>
      </c>
      <c r="AD4919" t="s">
        <v>134</v>
      </c>
      <c r="AE4919" t="s">
        <v>135</v>
      </c>
      <c r="AF4919" t="s">
        <v>44</v>
      </c>
      <c r="AG4919" t="str">
        <f t="shared" si="117"/>
        <v>Recorrente</v>
      </c>
      <c r="AH4919" t="str">
        <f t="shared" si="118"/>
        <v/>
      </c>
    </row>
    <row r="4920" spans="1:34">
      <c r="A4920">
        <v>2026</v>
      </c>
      <c r="B4920">
        <v>5</v>
      </c>
      <c r="C4920" s="83">
        <v>19435413329</v>
      </c>
      <c r="D4920" t="s">
        <v>3679</v>
      </c>
      <c r="E4920">
        <v>60696518053</v>
      </c>
      <c r="F4920">
        <v>638067</v>
      </c>
      <c r="G4920">
        <v>55685304452</v>
      </c>
      <c r="H4920" t="s">
        <v>35</v>
      </c>
      <c r="I4920" s="36">
        <v>970.92</v>
      </c>
      <c r="J4920" s="36">
        <v>970.92</v>
      </c>
      <c r="K4920" s="85">
        <v>0</v>
      </c>
      <c r="L4920" s="36">
        <v>80.91</v>
      </c>
      <c r="M4920" s="36">
        <v>80.91</v>
      </c>
      <c r="N4920" s="36">
        <v>0</v>
      </c>
      <c r="O4920" s="36">
        <v>0</v>
      </c>
      <c r="P4920" t="s">
        <v>348</v>
      </c>
      <c r="Q4920" t="s">
        <v>349</v>
      </c>
      <c r="R4920" t="s">
        <v>349</v>
      </c>
      <c r="S4920" s="112">
        <v>46171</v>
      </c>
      <c r="T4920" s="112">
        <v>46171</v>
      </c>
      <c r="U4920" s="112"/>
      <c r="V4920" s="112">
        <v>46536</v>
      </c>
      <c r="W4920" t="s">
        <v>38</v>
      </c>
      <c r="X4920">
        <v>12</v>
      </c>
      <c r="Y4920" t="s">
        <v>49</v>
      </c>
      <c r="AA4920" t="s">
        <v>122</v>
      </c>
      <c r="AB4920">
        <v>12</v>
      </c>
      <c r="AC4920" t="s">
        <v>350</v>
      </c>
      <c r="AD4920" t="s">
        <v>368</v>
      </c>
      <c r="AE4920" t="s">
        <v>95</v>
      </c>
      <c r="AF4920" t="s">
        <v>59</v>
      </c>
      <c r="AG4920" t="str">
        <f t="shared" si="117"/>
        <v>Recorrente</v>
      </c>
      <c r="AH4920" t="str">
        <f t="shared" si="118"/>
        <v/>
      </c>
    </row>
    <row r="4921" spans="1:34">
      <c r="A4921">
        <v>2026</v>
      </c>
      <c r="B4921">
        <v>5</v>
      </c>
      <c r="C4921" s="83">
        <v>127097215060</v>
      </c>
      <c r="D4921" t="s">
        <v>4184</v>
      </c>
      <c r="E4921">
        <v>60177650471</v>
      </c>
      <c r="F4921">
        <v>633966</v>
      </c>
      <c r="G4921">
        <v>55129120778</v>
      </c>
      <c r="H4921" t="s">
        <v>35</v>
      </c>
      <c r="I4921" s="36">
        <v>936</v>
      </c>
      <c r="J4921" s="36">
        <v>2280.96</v>
      </c>
      <c r="K4921" s="85">
        <v>0</v>
      </c>
      <c r="L4921" s="36">
        <v>190.08</v>
      </c>
      <c r="M4921" s="36">
        <v>0</v>
      </c>
      <c r="N4921" s="36">
        <v>190.08</v>
      </c>
      <c r="O4921" s="36">
        <v>0</v>
      </c>
      <c r="P4921" t="s">
        <v>469</v>
      </c>
      <c r="Q4921" t="s">
        <v>191</v>
      </c>
      <c r="R4921" t="s">
        <v>191</v>
      </c>
      <c r="S4921" s="112">
        <v>46150</v>
      </c>
      <c r="T4921" s="112">
        <v>46150</v>
      </c>
      <c r="U4921" s="112">
        <v>46325</v>
      </c>
      <c r="V4921" s="112">
        <v>46325</v>
      </c>
      <c r="W4921" t="s">
        <v>38</v>
      </c>
      <c r="X4921">
        <v>5</v>
      </c>
      <c r="Y4921" t="s">
        <v>49</v>
      </c>
      <c r="Z4921" t="s">
        <v>324</v>
      </c>
      <c r="AA4921" t="s">
        <v>112</v>
      </c>
      <c r="AB4921">
        <v>6</v>
      </c>
      <c r="AC4921" t="s">
        <v>192</v>
      </c>
      <c r="AD4921" t="s">
        <v>84</v>
      </c>
      <c r="AE4921" t="s">
        <v>43</v>
      </c>
      <c r="AF4921" t="s">
        <v>44</v>
      </c>
      <c r="AG4921" t="str">
        <f t="shared" si="117"/>
        <v>CC 12x</v>
      </c>
      <c r="AH4921" t="str">
        <f t="shared" si="118"/>
        <v/>
      </c>
    </row>
    <row r="4922" spans="1:34">
      <c r="A4922">
        <v>2026</v>
      </c>
      <c r="B4922">
        <v>5</v>
      </c>
      <c r="C4922" s="83">
        <v>150548647332</v>
      </c>
      <c r="D4922" t="s">
        <v>4186</v>
      </c>
      <c r="E4922">
        <v>60327424778</v>
      </c>
      <c r="F4922">
        <v>637828</v>
      </c>
      <c r="G4922">
        <v>55320780623</v>
      </c>
      <c r="H4922" t="s">
        <v>35</v>
      </c>
      <c r="I4922" s="36">
        <v>900</v>
      </c>
      <c r="J4922" s="36">
        <v>900</v>
      </c>
      <c r="K4922" s="85">
        <v>0</v>
      </c>
      <c r="L4922" s="36">
        <v>75</v>
      </c>
      <c r="M4922" s="36">
        <v>0</v>
      </c>
      <c r="N4922" s="36">
        <v>75</v>
      </c>
      <c r="O4922" s="36">
        <v>0</v>
      </c>
      <c r="P4922" t="s">
        <v>323</v>
      </c>
      <c r="Q4922" t="s">
        <v>191</v>
      </c>
      <c r="R4922" t="s">
        <v>191</v>
      </c>
      <c r="S4922" s="112">
        <v>46160</v>
      </c>
      <c r="T4922" s="112">
        <v>46160</v>
      </c>
      <c r="U4922" s="112">
        <v>46720</v>
      </c>
      <c r="V4922" s="112">
        <v>46525</v>
      </c>
      <c r="W4922" t="s">
        <v>38</v>
      </c>
      <c r="X4922">
        <v>12</v>
      </c>
      <c r="Y4922" t="s">
        <v>49</v>
      </c>
      <c r="AA4922" t="s">
        <v>122</v>
      </c>
      <c r="AB4922">
        <v>12</v>
      </c>
      <c r="AC4922" t="s">
        <v>192</v>
      </c>
      <c r="AD4922" t="s">
        <v>243</v>
      </c>
      <c r="AE4922" t="s">
        <v>95</v>
      </c>
      <c r="AF4922" t="s">
        <v>244</v>
      </c>
      <c r="AG4922" t="str">
        <f t="shared" si="117"/>
        <v>Recorrente</v>
      </c>
      <c r="AH4922" t="str">
        <f t="shared" si="118"/>
        <v/>
      </c>
    </row>
    <row r="4923" spans="1:34">
      <c r="A4923">
        <v>2026</v>
      </c>
      <c r="B4923">
        <v>5</v>
      </c>
      <c r="C4923" s="83">
        <v>2106882</v>
      </c>
      <c r="D4923" t="s">
        <v>3985</v>
      </c>
      <c r="E4923">
        <v>60078663029</v>
      </c>
      <c r="F4923">
        <v>620806</v>
      </c>
      <c r="G4923">
        <v>55155446963</v>
      </c>
      <c r="H4923" t="s">
        <v>35</v>
      </c>
      <c r="I4923" s="36">
        <v>871.08</v>
      </c>
      <c r="J4923" s="36">
        <v>2485.8000000000002</v>
      </c>
      <c r="K4923" s="85">
        <v>0</v>
      </c>
      <c r="L4923" s="36">
        <v>207.15</v>
      </c>
      <c r="M4923" s="36">
        <v>0</v>
      </c>
      <c r="N4923" s="36">
        <v>207.15</v>
      </c>
      <c r="O4923" s="36">
        <v>0</v>
      </c>
      <c r="P4923" t="s">
        <v>520</v>
      </c>
      <c r="Q4923" t="s">
        <v>191</v>
      </c>
      <c r="R4923" t="s">
        <v>191</v>
      </c>
      <c r="S4923" s="112">
        <v>46150</v>
      </c>
      <c r="T4923" s="112">
        <v>46150</v>
      </c>
      <c r="U4923" s="112">
        <v>46278</v>
      </c>
      <c r="V4923" s="112">
        <v>46278</v>
      </c>
      <c r="W4923" t="s">
        <v>38</v>
      </c>
      <c r="X4923">
        <v>4</v>
      </c>
      <c r="Y4923" t="s">
        <v>49</v>
      </c>
      <c r="Z4923" t="s">
        <v>324</v>
      </c>
      <c r="AA4923" t="s">
        <v>122</v>
      </c>
      <c r="AB4923">
        <v>4</v>
      </c>
      <c r="AC4923" t="s">
        <v>192</v>
      </c>
      <c r="AD4923" t="s">
        <v>125</v>
      </c>
      <c r="AE4923" t="s">
        <v>43</v>
      </c>
      <c r="AF4923" t="s">
        <v>47</v>
      </c>
      <c r="AG4923" t="str">
        <f t="shared" si="117"/>
        <v>Recorrente</v>
      </c>
      <c r="AH4923" t="str">
        <f t="shared" si="118"/>
        <v/>
      </c>
    </row>
    <row r="4924" spans="1:34">
      <c r="A4924">
        <v>2026</v>
      </c>
      <c r="B4924">
        <v>5</v>
      </c>
      <c r="C4924" s="83">
        <v>49068050987</v>
      </c>
      <c r="D4924" t="s">
        <v>695</v>
      </c>
      <c r="E4924">
        <v>59855883852</v>
      </c>
      <c r="F4924">
        <v>637553</v>
      </c>
      <c r="G4924">
        <v>54947605256</v>
      </c>
      <c r="H4924" t="s">
        <v>35</v>
      </c>
      <c r="I4924" s="36">
        <v>802.44</v>
      </c>
      <c r="J4924" s="36">
        <v>802.41143999999997</v>
      </c>
      <c r="K4924" s="85">
        <v>2.8559999999999999E-2</v>
      </c>
      <c r="L4924" s="36">
        <v>66.867620000000002</v>
      </c>
      <c r="M4924" s="36">
        <v>0</v>
      </c>
      <c r="N4924" s="36">
        <v>66.867620000000002</v>
      </c>
      <c r="O4924" s="36">
        <v>0</v>
      </c>
      <c r="P4924" t="s">
        <v>520</v>
      </c>
      <c r="Q4924" t="s">
        <v>191</v>
      </c>
      <c r="R4924" t="s">
        <v>191</v>
      </c>
      <c r="S4924" s="112">
        <v>46146</v>
      </c>
      <c r="T4924" s="112">
        <v>46146</v>
      </c>
      <c r="U4924" s="112"/>
      <c r="V4924" s="112">
        <v>46549</v>
      </c>
      <c r="W4924" t="s">
        <v>38</v>
      </c>
      <c r="X4924">
        <v>13</v>
      </c>
      <c r="Y4924" t="s">
        <v>49</v>
      </c>
      <c r="AA4924" t="s">
        <v>122</v>
      </c>
      <c r="AB4924">
        <v>12</v>
      </c>
      <c r="AC4924" t="s">
        <v>192</v>
      </c>
      <c r="AD4924" t="s">
        <v>368</v>
      </c>
      <c r="AE4924" t="s">
        <v>95</v>
      </c>
      <c r="AF4924" t="s">
        <v>59</v>
      </c>
      <c r="AG4924" t="str">
        <f t="shared" si="117"/>
        <v>Recorrente</v>
      </c>
      <c r="AH4924" t="str">
        <f t="shared" si="118"/>
        <v/>
      </c>
    </row>
    <row r="4925" spans="1:34">
      <c r="A4925">
        <v>2026</v>
      </c>
      <c r="B4925">
        <v>5</v>
      </c>
      <c r="C4925" s="83">
        <v>129511172930</v>
      </c>
      <c r="D4925" t="s">
        <v>4187</v>
      </c>
      <c r="E4925">
        <v>60277090209</v>
      </c>
      <c r="F4925">
        <v>637819</v>
      </c>
      <c r="G4925">
        <v>55275588459</v>
      </c>
      <c r="H4925" t="s">
        <v>104</v>
      </c>
      <c r="I4925" s="36">
        <v>718.8</v>
      </c>
      <c r="J4925" s="36">
        <v>718.8</v>
      </c>
      <c r="K4925" s="85">
        <v>0</v>
      </c>
      <c r="L4925" s="36">
        <v>59.9</v>
      </c>
      <c r="M4925" s="36">
        <v>59.9</v>
      </c>
      <c r="N4925" s="36">
        <v>0</v>
      </c>
      <c r="O4925" s="36">
        <v>0</v>
      </c>
      <c r="Q4925" t="s">
        <v>498</v>
      </c>
      <c r="R4925" t="s">
        <v>498</v>
      </c>
      <c r="S4925" s="112">
        <v>46157</v>
      </c>
      <c r="T4925" s="112">
        <v>46157</v>
      </c>
      <c r="U4925" s="112"/>
      <c r="V4925" s="112">
        <v>46522</v>
      </c>
      <c r="W4925" t="s">
        <v>38</v>
      </c>
      <c r="X4925">
        <v>12</v>
      </c>
      <c r="Y4925" t="s">
        <v>49</v>
      </c>
      <c r="AA4925" t="s">
        <v>117</v>
      </c>
      <c r="AB4925">
        <v>1</v>
      </c>
      <c r="AC4925" t="s">
        <v>499</v>
      </c>
      <c r="AD4925" t="s">
        <v>105</v>
      </c>
      <c r="AE4925" t="s">
        <v>106</v>
      </c>
      <c r="AF4925" t="s">
        <v>59</v>
      </c>
      <c r="AG4925" t="str">
        <f t="shared" si="117"/>
        <v>À Vista</v>
      </c>
      <c r="AH4925" t="str">
        <f t="shared" si="118"/>
        <v/>
      </c>
    </row>
    <row r="4926" spans="1:34">
      <c r="A4926">
        <v>2026</v>
      </c>
      <c r="B4926">
        <v>5</v>
      </c>
      <c r="C4926" s="83">
        <v>164985942058</v>
      </c>
      <c r="D4926" t="s">
        <v>4188</v>
      </c>
      <c r="E4926">
        <v>60078029881</v>
      </c>
      <c r="F4926">
        <v>637641</v>
      </c>
      <c r="G4926">
        <v>55095625017</v>
      </c>
      <c r="H4926" t="s">
        <v>104</v>
      </c>
      <c r="I4926" s="36">
        <v>718.8</v>
      </c>
      <c r="J4926" s="36">
        <v>718.8</v>
      </c>
      <c r="K4926" s="85">
        <v>0</v>
      </c>
      <c r="L4926" s="36">
        <v>59.9</v>
      </c>
      <c r="M4926" s="36">
        <v>59.9</v>
      </c>
      <c r="N4926" s="36">
        <v>0</v>
      </c>
      <c r="O4926" s="36">
        <v>0</v>
      </c>
      <c r="Q4926" t="s">
        <v>498</v>
      </c>
      <c r="R4926" t="s">
        <v>498</v>
      </c>
      <c r="S4926" s="112">
        <v>46149</v>
      </c>
      <c r="T4926" s="112">
        <v>46149</v>
      </c>
      <c r="U4926" s="112"/>
      <c r="V4926" s="112">
        <v>46514</v>
      </c>
      <c r="W4926" t="s">
        <v>38</v>
      </c>
      <c r="X4926">
        <v>12</v>
      </c>
      <c r="Y4926" t="s">
        <v>49</v>
      </c>
      <c r="AA4926" t="s">
        <v>122</v>
      </c>
      <c r="AB4926">
        <v>12</v>
      </c>
      <c r="AC4926" t="s">
        <v>499</v>
      </c>
      <c r="AD4926" t="s">
        <v>105</v>
      </c>
      <c r="AE4926" t="s">
        <v>106</v>
      </c>
      <c r="AF4926" t="s">
        <v>59</v>
      </c>
      <c r="AG4926" t="str">
        <f t="shared" si="117"/>
        <v>Recorrente</v>
      </c>
      <c r="AH4926" t="str">
        <f t="shared" si="118"/>
        <v/>
      </c>
    </row>
    <row r="4927" spans="1:34">
      <c r="A4927">
        <v>2026</v>
      </c>
      <c r="B4927">
        <v>5</v>
      </c>
      <c r="C4927" s="83">
        <v>19001416292</v>
      </c>
      <c r="D4927" t="s">
        <v>4189</v>
      </c>
      <c r="E4927">
        <v>60647587169</v>
      </c>
      <c r="F4927">
        <v>637979</v>
      </c>
      <c r="G4927">
        <v>55624201086</v>
      </c>
      <c r="H4927" t="s">
        <v>104</v>
      </c>
      <c r="I4927" s="36">
        <v>718.8</v>
      </c>
      <c r="J4927" s="36">
        <v>718.8</v>
      </c>
      <c r="K4927" s="85">
        <v>0</v>
      </c>
      <c r="L4927" s="36">
        <v>59.9</v>
      </c>
      <c r="M4927" s="36">
        <v>59.9</v>
      </c>
      <c r="N4927" s="36">
        <v>0</v>
      </c>
      <c r="O4927" s="36">
        <v>0</v>
      </c>
      <c r="Q4927" t="s">
        <v>498</v>
      </c>
      <c r="R4927" t="s">
        <v>498</v>
      </c>
      <c r="S4927" s="112">
        <v>46168</v>
      </c>
      <c r="T4927" s="112">
        <v>46168</v>
      </c>
      <c r="U4927" s="112"/>
      <c r="V4927" s="112">
        <v>46533</v>
      </c>
      <c r="W4927" t="s">
        <v>38</v>
      </c>
      <c r="X4927">
        <v>12</v>
      </c>
      <c r="Y4927" t="s">
        <v>49</v>
      </c>
      <c r="AA4927" t="s">
        <v>117</v>
      </c>
      <c r="AB4927">
        <v>1</v>
      </c>
      <c r="AC4927" t="s">
        <v>499</v>
      </c>
      <c r="AD4927" t="s">
        <v>105</v>
      </c>
      <c r="AE4927" t="s">
        <v>106</v>
      </c>
      <c r="AF4927" t="s">
        <v>59</v>
      </c>
      <c r="AG4927" t="str">
        <f t="shared" si="117"/>
        <v>À Vista</v>
      </c>
      <c r="AH4927" t="str">
        <f t="shared" si="118"/>
        <v/>
      </c>
    </row>
    <row r="4928" spans="1:34">
      <c r="A4928">
        <v>2026</v>
      </c>
      <c r="B4928">
        <v>5</v>
      </c>
      <c r="C4928" s="83">
        <v>215093146638</v>
      </c>
      <c r="D4928" t="s">
        <v>4190</v>
      </c>
      <c r="E4928">
        <v>60450571806</v>
      </c>
      <c r="F4928">
        <v>637891</v>
      </c>
      <c r="G4928">
        <v>55455936278</v>
      </c>
      <c r="H4928" t="s">
        <v>104</v>
      </c>
      <c r="I4928" s="36">
        <v>718.8</v>
      </c>
      <c r="J4928" s="36">
        <v>718.8</v>
      </c>
      <c r="K4928" s="85">
        <v>0</v>
      </c>
      <c r="L4928" s="36">
        <v>59.9</v>
      </c>
      <c r="M4928" s="36">
        <v>59.9</v>
      </c>
      <c r="N4928" s="36">
        <v>0</v>
      </c>
      <c r="O4928" s="36">
        <v>0</v>
      </c>
      <c r="Q4928" t="s">
        <v>498</v>
      </c>
      <c r="R4928" t="s">
        <v>498</v>
      </c>
      <c r="S4928" s="112">
        <v>46163</v>
      </c>
      <c r="T4928" s="112">
        <v>46163</v>
      </c>
      <c r="U4928" s="112"/>
      <c r="V4928" s="112">
        <v>46528</v>
      </c>
      <c r="W4928" t="s">
        <v>38</v>
      </c>
      <c r="X4928">
        <v>12</v>
      </c>
      <c r="Y4928" t="s">
        <v>49</v>
      </c>
      <c r="AA4928" t="s">
        <v>122</v>
      </c>
      <c r="AB4928">
        <v>12</v>
      </c>
      <c r="AC4928" t="s">
        <v>499</v>
      </c>
      <c r="AD4928" t="s">
        <v>105</v>
      </c>
      <c r="AE4928" t="s">
        <v>106</v>
      </c>
      <c r="AF4928" t="s">
        <v>59</v>
      </c>
      <c r="AG4928" t="str">
        <f t="shared" si="117"/>
        <v>Recorrente</v>
      </c>
      <c r="AH4928" t="str">
        <f t="shared" si="118"/>
        <v/>
      </c>
    </row>
    <row r="4929" spans="1:34">
      <c r="A4929">
        <v>2026</v>
      </c>
      <c r="B4929">
        <v>5</v>
      </c>
      <c r="C4929" s="83">
        <v>219324236670</v>
      </c>
      <c r="D4929" t="s">
        <v>4191</v>
      </c>
      <c r="E4929">
        <v>59959488344</v>
      </c>
      <c r="F4929">
        <v>637543</v>
      </c>
      <c r="G4929">
        <v>54991367761</v>
      </c>
      <c r="H4929" t="s">
        <v>104</v>
      </c>
      <c r="I4929" s="36">
        <v>718.8</v>
      </c>
      <c r="J4929" s="36">
        <v>718.8</v>
      </c>
      <c r="K4929" s="85">
        <v>0</v>
      </c>
      <c r="L4929" s="36">
        <v>59.9</v>
      </c>
      <c r="M4929" s="36">
        <v>59.9</v>
      </c>
      <c r="N4929" s="36">
        <v>0</v>
      </c>
      <c r="O4929" s="36">
        <v>0</v>
      </c>
      <c r="P4929" t="s">
        <v>497</v>
      </c>
      <c r="Q4929" t="s">
        <v>498</v>
      </c>
      <c r="R4929" t="s">
        <v>498</v>
      </c>
      <c r="S4929" s="112">
        <v>46144</v>
      </c>
      <c r="T4929" s="112">
        <v>46144</v>
      </c>
      <c r="V4929" s="112">
        <v>46509</v>
      </c>
      <c r="W4929" t="s">
        <v>38</v>
      </c>
      <c r="X4929">
        <v>12</v>
      </c>
      <c r="Y4929" t="s">
        <v>49</v>
      </c>
      <c r="AA4929" t="s">
        <v>117</v>
      </c>
      <c r="AB4929">
        <v>1</v>
      </c>
      <c r="AC4929" t="s">
        <v>499</v>
      </c>
      <c r="AD4929" t="s">
        <v>105</v>
      </c>
      <c r="AE4929" t="s">
        <v>106</v>
      </c>
      <c r="AF4929" t="s">
        <v>59</v>
      </c>
      <c r="AG4929" t="str">
        <f t="shared" si="117"/>
        <v>À Vista</v>
      </c>
      <c r="AH4929" t="str">
        <f t="shared" si="118"/>
        <v/>
      </c>
    </row>
    <row r="4930" spans="1:34">
      <c r="A4930">
        <v>2026</v>
      </c>
      <c r="B4930">
        <v>5</v>
      </c>
      <c r="C4930" s="83">
        <v>220124184893</v>
      </c>
      <c r="D4930" t="s">
        <v>4192</v>
      </c>
      <c r="E4930">
        <v>60060038706</v>
      </c>
      <c r="F4930">
        <v>637611</v>
      </c>
      <c r="G4930">
        <v>55066911887</v>
      </c>
      <c r="H4930" t="s">
        <v>104</v>
      </c>
      <c r="I4930" s="36">
        <v>718.8</v>
      </c>
      <c r="J4930" s="36">
        <v>718.8</v>
      </c>
      <c r="K4930" s="85">
        <v>0</v>
      </c>
      <c r="L4930" s="36">
        <v>59.9</v>
      </c>
      <c r="M4930" s="36">
        <v>59.9</v>
      </c>
      <c r="N4930" s="36">
        <v>0</v>
      </c>
      <c r="O4930" s="36">
        <v>0</v>
      </c>
      <c r="Q4930" t="s">
        <v>498</v>
      </c>
      <c r="R4930" t="s">
        <v>498</v>
      </c>
      <c r="S4930" s="112">
        <v>46148</v>
      </c>
      <c r="T4930" s="112">
        <v>46148</v>
      </c>
      <c r="V4930" s="112">
        <v>46513</v>
      </c>
      <c r="W4930" t="s">
        <v>38</v>
      </c>
      <c r="X4930">
        <v>12</v>
      </c>
      <c r="Y4930" t="s">
        <v>49</v>
      </c>
      <c r="AA4930" t="s">
        <v>117</v>
      </c>
      <c r="AB4930">
        <v>1</v>
      </c>
      <c r="AC4930" t="s">
        <v>499</v>
      </c>
      <c r="AD4930" t="s">
        <v>105</v>
      </c>
      <c r="AE4930" t="s">
        <v>106</v>
      </c>
      <c r="AF4930" t="s">
        <v>59</v>
      </c>
      <c r="AG4930" t="str">
        <f t="shared" si="117"/>
        <v>À Vista</v>
      </c>
      <c r="AH4930" t="str">
        <f t="shared" si="118"/>
        <v/>
      </c>
    </row>
    <row r="4931" spans="1:34">
      <c r="A4931">
        <v>2026</v>
      </c>
      <c r="B4931">
        <v>5</v>
      </c>
      <c r="C4931" s="83">
        <v>220499018245</v>
      </c>
      <c r="D4931" t="s">
        <v>4193</v>
      </c>
      <c r="E4931">
        <v>60055901591</v>
      </c>
      <c r="F4931">
        <v>637597</v>
      </c>
      <c r="G4931">
        <v>55076222797</v>
      </c>
      <c r="H4931" t="s">
        <v>104</v>
      </c>
      <c r="I4931" s="36">
        <v>718.8</v>
      </c>
      <c r="J4931" s="36">
        <v>718.8</v>
      </c>
      <c r="K4931" s="85">
        <v>0</v>
      </c>
      <c r="L4931" s="36">
        <v>59.9</v>
      </c>
      <c r="M4931" s="36">
        <v>59.9</v>
      </c>
      <c r="N4931" s="36">
        <v>0</v>
      </c>
      <c r="O4931" s="36">
        <v>0</v>
      </c>
      <c r="P4931" t="s">
        <v>497</v>
      </c>
      <c r="Q4931" t="s">
        <v>498</v>
      </c>
      <c r="R4931" t="s">
        <v>498</v>
      </c>
      <c r="S4931" s="112">
        <v>46148</v>
      </c>
      <c r="T4931" s="112">
        <v>46148</v>
      </c>
      <c r="U4931" s="112"/>
      <c r="V4931" s="112">
        <v>46513</v>
      </c>
      <c r="W4931" t="s">
        <v>38</v>
      </c>
      <c r="X4931">
        <v>12</v>
      </c>
      <c r="Y4931" t="s">
        <v>49</v>
      </c>
      <c r="AA4931" t="s">
        <v>112</v>
      </c>
      <c r="AB4931">
        <v>4</v>
      </c>
      <c r="AC4931" t="s">
        <v>499</v>
      </c>
      <c r="AD4931" t="s">
        <v>105</v>
      </c>
      <c r="AE4931" t="s">
        <v>106</v>
      </c>
      <c r="AF4931" t="s">
        <v>59</v>
      </c>
      <c r="AG4931" t="str">
        <f t="shared" si="117"/>
        <v>CC 12x</v>
      </c>
      <c r="AH4931" t="str">
        <f t="shared" si="118"/>
        <v/>
      </c>
    </row>
    <row r="4932" spans="1:34">
      <c r="A4932">
        <v>2026</v>
      </c>
      <c r="B4932">
        <v>5</v>
      </c>
      <c r="C4932" s="83">
        <v>220508853272</v>
      </c>
      <c r="D4932" t="s">
        <v>4194</v>
      </c>
      <c r="E4932">
        <v>60158518581</v>
      </c>
      <c r="F4932">
        <v>637686</v>
      </c>
      <c r="G4932">
        <v>55172761709</v>
      </c>
      <c r="H4932" t="s">
        <v>104</v>
      </c>
      <c r="I4932" s="36">
        <v>718.8</v>
      </c>
      <c r="J4932" s="36">
        <v>718.8</v>
      </c>
      <c r="K4932" s="85">
        <v>0</v>
      </c>
      <c r="L4932" s="36">
        <v>59.9</v>
      </c>
      <c r="M4932" s="36">
        <v>59.9</v>
      </c>
      <c r="N4932" s="36">
        <v>0</v>
      </c>
      <c r="O4932" s="36">
        <v>0</v>
      </c>
      <c r="Q4932" t="s">
        <v>498</v>
      </c>
      <c r="R4932" t="s">
        <v>498</v>
      </c>
      <c r="S4932" s="112">
        <v>46150</v>
      </c>
      <c r="T4932" s="112">
        <v>46150</v>
      </c>
      <c r="V4932" s="112">
        <v>46515</v>
      </c>
      <c r="W4932" t="s">
        <v>38</v>
      </c>
      <c r="X4932">
        <v>12</v>
      </c>
      <c r="Y4932" t="s">
        <v>49</v>
      </c>
      <c r="AA4932" t="s">
        <v>122</v>
      </c>
      <c r="AB4932">
        <v>12</v>
      </c>
      <c r="AC4932" t="s">
        <v>499</v>
      </c>
      <c r="AD4932" t="s">
        <v>105</v>
      </c>
      <c r="AE4932" t="s">
        <v>106</v>
      </c>
      <c r="AF4932" t="s">
        <v>59</v>
      </c>
      <c r="AG4932" t="str">
        <f t="shared" si="117"/>
        <v>Recorrente</v>
      </c>
      <c r="AH4932" t="str">
        <f t="shared" si="118"/>
        <v/>
      </c>
    </row>
    <row r="4933" spans="1:34">
      <c r="A4933">
        <v>2026</v>
      </c>
      <c r="B4933">
        <v>5</v>
      </c>
      <c r="C4933" s="83">
        <v>220642377269</v>
      </c>
      <c r="D4933" t="s">
        <v>4195</v>
      </c>
      <c r="E4933">
        <v>60157273668</v>
      </c>
      <c r="F4933">
        <v>637695</v>
      </c>
      <c r="G4933">
        <v>55147419509</v>
      </c>
      <c r="H4933" t="s">
        <v>104</v>
      </c>
      <c r="I4933" s="36">
        <v>718.8</v>
      </c>
      <c r="J4933" s="36">
        <v>718.8</v>
      </c>
      <c r="K4933" s="85">
        <v>0</v>
      </c>
      <c r="L4933" s="36">
        <v>59.9</v>
      </c>
      <c r="M4933" s="36">
        <v>59.9</v>
      </c>
      <c r="N4933" s="36">
        <v>0</v>
      </c>
      <c r="O4933" s="36">
        <v>0</v>
      </c>
      <c r="Q4933" t="s">
        <v>498</v>
      </c>
      <c r="R4933" t="s">
        <v>498</v>
      </c>
      <c r="S4933" s="112">
        <v>46151</v>
      </c>
      <c r="T4933" s="112">
        <v>46151</v>
      </c>
      <c r="V4933" s="112">
        <v>46516</v>
      </c>
      <c r="W4933" t="s">
        <v>38</v>
      </c>
      <c r="X4933">
        <v>12</v>
      </c>
      <c r="Y4933" t="s">
        <v>49</v>
      </c>
      <c r="AA4933" t="s">
        <v>122</v>
      </c>
      <c r="AB4933">
        <v>12</v>
      </c>
      <c r="AC4933" t="s">
        <v>499</v>
      </c>
      <c r="AD4933" t="s">
        <v>105</v>
      </c>
      <c r="AE4933" t="s">
        <v>106</v>
      </c>
      <c r="AF4933" t="s">
        <v>59</v>
      </c>
      <c r="AG4933" t="str">
        <f t="shared" si="117"/>
        <v>Recorrente</v>
      </c>
      <c r="AH4933" t="str">
        <f t="shared" si="118"/>
        <v/>
      </c>
    </row>
    <row r="4934" spans="1:34">
      <c r="A4934">
        <v>2026</v>
      </c>
      <c r="B4934">
        <v>5</v>
      </c>
      <c r="C4934" s="83">
        <v>220955171769</v>
      </c>
      <c r="D4934" t="s">
        <v>4196</v>
      </c>
      <c r="E4934">
        <v>60197456251</v>
      </c>
      <c r="F4934">
        <v>637727</v>
      </c>
      <c r="G4934">
        <v>55221377449</v>
      </c>
      <c r="H4934" t="s">
        <v>104</v>
      </c>
      <c r="I4934" s="36">
        <v>718.8</v>
      </c>
      <c r="J4934" s="36">
        <v>718.8</v>
      </c>
      <c r="K4934" s="85">
        <v>0</v>
      </c>
      <c r="L4934" s="36">
        <v>59.9</v>
      </c>
      <c r="M4934" s="36">
        <v>59.9</v>
      </c>
      <c r="N4934" s="36">
        <v>0</v>
      </c>
      <c r="O4934" s="36">
        <v>0</v>
      </c>
      <c r="Q4934" t="s">
        <v>498</v>
      </c>
      <c r="R4934" t="s">
        <v>498</v>
      </c>
      <c r="S4934" s="112">
        <v>46154</v>
      </c>
      <c r="T4934" s="112">
        <v>46154</v>
      </c>
      <c r="V4934" s="112">
        <v>46519</v>
      </c>
      <c r="W4934" t="s">
        <v>38</v>
      </c>
      <c r="X4934">
        <v>12</v>
      </c>
      <c r="Y4934" t="s">
        <v>49</v>
      </c>
      <c r="AA4934" t="s">
        <v>122</v>
      </c>
      <c r="AB4934">
        <v>12</v>
      </c>
      <c r="AC4934" t="s">
        <v>499</v>
      </c>
      <c r="AD4934" t="s">
        <v>105</v>
      </c>
      <c r="AE4934" t="s">
        <v>106</v>
      </c>
      <c r="AF4934" t="s">
        <v>59</v>
      </c>
      <c r="AG4934" t="str">
        <f t="shared" si="117"/>
        <v>Recorrente</v>
      </c>
      <c r="AH4934" t="str">
        <f t="shared" si="118"/>
        <v/>
      </c>
    </row>
    <row r="4935" spans="1:34">
      <c r="A4935">
        <v>2026</v>
      </c>
      <c r="B4935">
        <v>5</v>
      </c>
      <c r="C4935" s="83">
        <v>222498930315</v>
      </c>
      <c r="D4935" t="s">
        <v>4197</v>
      </c>
      <c r="E4935">
        <v>60345492241</v>
      </c>
      <c r="F4935">
        <v>637848</v>
      </c>
      <c r="G4935">
        <v>55333828641</v>
      </c>
      <c r="H4935" t="s">
        <v>104</v>
      </c>
      <c r="I4935" s="36">
        <v>718.8</v>
      </c>
      <c r="J4935" s="36">
        <v>718.8</v>
      </c>
      <c r="K4935" s="85">
        <v>0</v>
      </c>
      <c r="L4935" s="36">
        <v>59.9</v>
      </c>
      <c r="M4935" s="36">
        <v>59.9</v>
      </c>
      <c r="N4935" s="36">
        <v>0</v>
      </c>
      <c r="O4935" s="36">
        <v>0</v>
      </c>
      <c r="Q4935" t="s">
        <v>498</v>
      </c>
      <c r="R4935" t="s">
        <v>498</v>
      </c>
      <c r="S4935" s="112">
        <v>46161</v>
      </c>
      <c r="T4935" s="112">
        <v>46161</v>
      </c>
      <c r="U4935" s="112"/>
      <c r="V4935" s="112">
        <v>46526</v>
      </c>
      <c r="W4935" t="s">
        <v>38</v>
      </c>
      <c r="X4935">
        <v>12</v>
      </c>
      <c r="Y4935" t="s">
        <v>49</v>
      </c>
      <c r="AA4935" t="s">
        <v>122</v>
      </c>
      <c r="AB4935">
        <v>12</v>
      </c>
      <c r="AC4935" t="s">
        <v>499</v>
      </c>
      <c r="AD4935" t="s">
        <v>105</v>
      </c>
      <c r="AE4935" t="s">
        <v>106</v>
      </c>
      <c r="AF4935" t="s">
        <v>59</v>
      </c>
      <c r="AG4935" t="str">
        <f t="shared" si="117"/>
        <v>Recorrente</v>
      </c>
      <c r="AH4935" t="str">
        <f t="shared" si="118"/>
        <v/>
      </c>
    </row>
    <row r="4936" spans="1:34">
      <c r="A4936">
        <v>2026</v>
      </c>
      <c r="B4936">
        <v>5</v>
      </c>
      <c r="C4936" s="83">
        <v>223628667011</v>
      </c>
      <c r="D4936" t="s">
        <v>4198</v>
      </c>
      <c r="E4936">
        <v>60611854721</v>
      </c>
      <c r="F4936">
        <v>637943</v>
      </c>
      <c r="G4936">
        <v>55589557333</v>
      </c>
      <c r="H4936" t="s">
        <v>104</v>
      </c>
      <c r="I4936" s="36">
        <v>718.8</v>
      </c>
      <c r="J4936" s="36">
        <v>718.8</v>
      </c>
      <c r="K4936" s="85">
        <v>0</v>
      </c>
      <c r="L4936" s="36">
        <v>59.9</v>
      </c>
      <c r="M4936" s="36">
        <v>59.9</v>
      </c>
      <c r="N4936" s="36">
        <v>0</v>
      </c>
      <c r="O4936" s="36">
        <v>0</v>
      </c>
      <c r="Q4936" t="s">
        <v>498</v>
      </c>
      <c r="R4936" t="s">
        <v>498</v>
      </c>
      <c r="S4936" s="112">
        <v>46167</v>
      </c>
      <c r="T4936" s="112">
        <v>46167</v>
      </c>
      <c r="V4936" s="112">
        <v>46532</v>
      </c>
      <c r="W4936" t="s">
        <v>38</v>
      </c>
      <c r="X4936">
        <v>12</v>
      </c>
      <c r="Y4936" t="s">
        <v>49</v>
      </c>
      <c r="AA4936" t="s">
        <v>122</v>
      </c>
      <c r="AB4936">
        <v>12</v>
      </c>
      <c r="AC4936" t="s">
        <v>499</v>
      </c>
      <c r="AD4936" t="s">
        <v>105</v>
      </c>
      <c r="AE4936" t="s">
        <v>106</v>
      </c>
      <c r="AF4936" t="s">
        <v>59</v>
      </c>
      <c r="AG4936" t="str">
        <f t="shared" si="117"/>
        <v>Recorrente</v>
      </c>
      <c r="AH4936" t="str">
        <f t="shared" si="118"/>
        <v/>
      </c>
    </row>
    <row r="4937" spans="1:34">
      <c r="A4937">
        <v>2026</v>
      </c>
      <c r="B4937">
        <v>5</v>
      </c>
      <c r="C4937" s="83">
        <v>223995159057</v>
      </c>
      <c r="D4937" t="s">
        <v>4199</v>
      </c>
      <c r="E4937">
        <v>60640091528</v>
      </c>
      <c r="F4937">
        <v>637970</v>
      </c>
      <c r="G4937">
        <v>55620215427</v>
      </c>
      <c r="H4937" t="s">
        <v>104</v>
      </c>
      <c r="I4937" s="36">
        <v>718.8</v>
      </c>
      <c r="J4937" s="36">
        <v>718.8</v>
      </c>
      <c r="K4937" s="85">
        <v>0</v>
      </c>
      <c r="L4937" s="36">
        <v>59.9</v>
      </c>
      <c r="M4937" s="36">
        <v>59.9</v>
      </c>
      <c r="N4937" s="36">
        <v>0</v>
      </c>
      <c r="O4937" s="36">
        <v>0</v>
      </c>
      <c r="Q4937" t="s">
        <v>498</v>
      </c>
      <c r="R4937" t="s">
        <v>498</v>
      </c>
      <c r="S4937" s="112">
        <v>46168</v>
      </c>
      <c r="T4937" s="112">
        <v>46168</v>
      </c>
      <c r="U4937" s="112"/>
      <c r="V4937" s="112">
        <v>46533</v>
      </c>
      <c r="W4937" t="s">
        <v>38</v>
      </c>
      <c r="X4937">
        <v>12</v>
      </c>
      <c r="Y4937" t="s">
        <v>49</v>
      </c>
      <c r="AA4937" t="s">
        <v>122</v>
      </c>
      <c r="AB4937">
        <v>12</v>
      </c>
      <c r="AC4937" t="s">
        <v>499</v>
      </c>
      <c r="AD4937" t="s">
        <v>105</v>
      </c>
      <c r="AE4937" t="s">
        <v>106</v>
      </c>
      <c r="AF4937" t="s">
        <v>59</v>
      </c>
      <c r="AG4937" t="str">
        <f t="shared" si="117"/>
        <v>Recorrente</v>
      </c>
      <c r="AH4937" t="str">
        <f t="shared" si="118"/>
        <v/>
      </c>
    </row>
    <row r="4938" spans="1:34">
      <c r="A4938">
        <v>2026</v>
      </c>
      <c r="B4938">
        <v>5</v>
      </c>
      <c r="C4938" s="83">
        <v>224613845918</v>
      </c>
      <c r="D4938" t="s">
        <v>4200</v>
      </c>
      <c r="E4938">
        <v>60699327313</v>
      </c>
      <c r="F4938">
        <v>638056</v>
      </c>
      <c r="G4938">
        <v>55667148035</v>
      </c>
      <c r="H4938" t="s">
        <v>104</v>
      </c>
      <c r="I4938" s="36">
        <v>718.8</v>
      </c>
      <c r="J4938" s="36">
        <v>718.8</v>
      </c>
      <c r="K4938" s="85">
        <v>0</v>
      </c>
      <c r="L4938" s="36">
        <v>59.9</v>
      </c>
      <c r="M4938" s="36">
        <v>59.9</v>
      </c>
      <c r="N4938" s="36">
        <v>0</v>
      </c>
      <c r="O4938" s="36">
        <v>0</v>
      </c>
      <c r="Q4938" t="s">
        <v>498</v>
      </c>
      <c r="R4938" t="s">
        <v>498</v>
      </c>
      <c r="S4938" s="112">
        <v>46170</v>
      </c>
      <c r="T4938" s="112">
        <v>46170</v>
      </c>
      <c r="V4938" s="112">
        <v>46535</v>
      </c>
      <c r="W4938" t="s">
        <v>38</v>
      </c>
      <c r="X4938">
        <v>12</v>
      </c>
      <c r="Y4938" t="s">
        <v>49</v>
      </c>
      <c r="AA4938" t="s">
        <v>117</v>
      </c>
      <c r="AB4938">
        <v>1</v>
      </c>
      <c r="AC4938" t="s">
        <v>499</v>
      </c>
      <c r="AD4938" t="s">
        <v>105</v>
      </c>
      <c r="AE4938" t="s">
        <v>106</v>
      </c>
      <c r="AF4938" t="s">
        <v>59</v>
      </c>
      <c r="AG4938" t="str">
        <f t="shared" si="117"/>
        <v>À Vista</v>
      </c>
      <c r="AH4938" t="str">
        <f t="shared" si="118"/>
        <v/>
      </c>
    </row>
    <row r="4939" spans="1:34">
      <c r="A4939">
        <v>2026</v>
      </c>
      <c r="B4939">
        <v>5</v>
      </c>
      <c r="C4939" s="83">
        <v>2254794</v>
      </c>
      <c r="D4939" t="s">
        <v>4201</v>
      </c>
      <c r="E4939">
        <v>59969666845</v>
      </c>
      <c r="F4939">
        <v>637542</v>
      </c>
      <c r="G4939">
        <v>54992730246</v>
      </c>
      <c r="H4939" t="s">
        <v>104</v>
      </c>
      <c r="I4939" s="36">
        <v>718.8</v>
      </c>
      <c r="J4939" s="36">
        <v>718.8</v>
      </c>
      <c r="K4939" s="85">
        <v>0</v>
      </c>
      <c r="L4939" s="36">
        <v>59.9</v>
      </c>
      <c r="M4939" s="36">
        <v>59.9</v>
      </c>
      <c r="N4939" s="36">
        <v>0</v>
      </c>
      <c r="O4939" s="36">
        <v>0</v>
      </c>
      <c r="P4939" t="s">
        <v>497</v>
      </c>
      <c r="Q4939" t="s">
        <v>498</v>
      </c>
      <c r="R4939" t="s">
        <v>498</v>
      </c>
      <c r="S4939" s="112">
        <v>46143</v>
      </c>
      <c r="T4939" s="112">
        <v>46143</v>
      </c>
      <c r="V4939" s="112">
        <v>46508</v>
      </c>
      <c r="W4939" t="s">
        <v>38</v>
      </c>
      <c r="X4939">
        <v>12</v>
      </c>
      <c r="Y4939" t="s">
        <v>49</v>
      </c>
      <c r="AA4939" t="s">
        <v>112</v>
      </c>
      <c r="AB4939">
        <v>12</v>
      </c>
      <c r="AC4939" t="s">
        <v>499</v>
      </c>
      <c r="AD4939" t="s">
        <v>105</v>
      </c>
      <c r="AE4939" t="s">
        <v>106</v>
      </c>
      <c r="AF4939" t="s">
        <v>59</v>
      </c>
      <c r="AG4939" t="str">
        <f t="shared" si="117"/>
        <v>CC 12x</v>
      </c>
      <c r="AH4939" t="str">
        <f t="shared" si="118"/>
        <v/>
      </c>
    </row>
    <row r="4940" spans="1:34">
      <c r="A4940">
        <v>2026</v>
      </c>
      <c r="B4940">
        <v>5</v>
      </c>
      <c r="C4940" s="83">
        <v>118256417899</v>
      </c>
      <c r="D4940" t="s">
        <v>534</v>
      </c>
      <c r="E4940">
        <v>60380766254</v>
      </c>
      <c r="F4940">
        <v>635513</v>
      </c>
      <c r="G4940">
        <v>55339822177</v>
      </c>
      <c r="H4940" t="s">
        <v>35</v>
      </c>
      <c r="I4940" s="36">
        <v>690.36</v>
      </c>
      <c r="J4940" s="36">
        <v>1077.5999999999999</v>
      </c>
      <c r="K4940" s="85">
        <v>0</v>
      </c>
      <c r="L4940" s="36">
        <v>89.8</v>
      </c>
      <c r="M4940" s="36">
        <v>0</v>
      </c>
      <c r="N4940" s="36">
        <v>89.8</v>
      </c>
      <c r="O4940" s="36">
        <v>0</v>
      </c>
      <c r="P4940" t="s">
        <v>469</v>
      </c>
      <c r="Q4940" t="s">
        <v>191</v>
      </c>
      <c r="R4940" t="s">
        <v>191</v>
      </c>
      <c r="S4940" s="112">
        <v>46161</v>
      </c>
      <c r="T4940" s="112">
        <v>46161</v>
      </c>
      <c r="U4940" s="112">
        <v>46395</v>
      </c>
      <c r="V4940" s="112">
        <v>46395</v>
      </c>
      <c r="W4940" t="s">
        <v>38</v>
      </c>
      <c r="X4940">
        <v>8</v>
      </c>
      <c r="Y4940" t="s">
        <v>49</v>
      </c>
      <c r="Z4940" t="s">
        <v>324</v>
      </c>
      <c r="AA4940" t="s">
        <v>117</v>
      </c>
      <c r="AB4940">
        <v>1</v>
      </c>
      <c r="AC4940" t="s">
        <v>192</v>
      </c>
      <c r="AD4940" t="s">
        <v>229</v>
      </c>
      <c r="AE4940" t="s">
        <v>43</v>
      </c>
      <c r="AF4940" t="s">
        <v>96</v>
      </c>
      <c r="AG4940" t="str">
        <f t="shared" si="117"/>
        <v>À Vista</v>
      </c>
      <c r="AH4940" t="str">
        <f t="shared" si="118"/>
        <v/>
      </c>
    </row>
    <row r="4941" spans="1:34">
      <c r="A4941">
        <v>2026</v>
      </c>
      <c r="B4941">
        <v>5</v>
      </c>
      <c r="C4941" s="83">
        <v>160778110260</v>
      </c>
      <c r="D4941" t="s">
        <v>4202</v>
      </c>
      <c r="E4941">
        <v>60715657805</v>
      </c>
      <c r="F4941">
        <v>632601</v>
      </c>
      <c r="G4941">
        <v>55687730780</v>
      </c>
      <c r="H4941" t="s">
        <v>35</v>
      </c>
      <c r="I4941" s="36">
        <v>655.92</v>
      </c>
      <c r="J4941" s="36">
        <v>2281.8000000000002</v>
      </c>
      <c r="K4941" s="85">
        <v>0</v>
      </c>
      <c r="L4941" s="36">
        <v>190.15</v>
      </c>
      <c r="M4941" s="36">
        <v>0</v>
      </c>
      <c r="N4941" s="36">
        <v>190.15</v>
      </c>
      <c r="O4941" s="36">
        <v>0</v>
      </c>
      <c r="P4941" t="s">
        <v>804</v>
      </c>
      <c r="Q4941" t="s">
        <v>191</v>
      </c>
      <c r="R4941" t="s">
        <v>191</v>
      </c>
      <c r="S4941" s="112">
        <v>46171</v>
      </c>
      <c r="T4941" s="112">
        <v>46171</v>
      </c>
      <c r="U4941" s="112">
        <v>46276</v>
      </c>
      <c r="V4941" s="112">
        <v>46276</v>
      </c>
      <c r="W4941" t="s">
        <v>38</v>
      </c>
      <c r="X4941">
        <v>4</v>
      </c>
      <c r="Y4941" t="s">
        <v>49</v>
      </c>
      <c r="Z4941" t="s">
        <v>324</v>
      </c>
      <c r="AA4941" t="s">
        <v>122</v>
      </c>
      <c r="AB4941">
        <v>3</v>
      </c>
      <c r="AC4941" t="s">
        <v>192</v>
      </c>
      <c r="AD4941" t="s">
        <v>149</v>
      </c>
      <c r="AE4941" t="s">
        <v>43</v>
      </c>
      <c r="AF4941" t="s">
        <v>96</v>
      </c>
      <c r="AG4941" t="str">
        <f t="shared" si="117"/>
        <v>Recorrente</v>
      </c>
      <c r="AH4941" t="str">
        <f t="shared" si="118"/>
        <v/>
      </c>
    </row>
    <row r="4942" spans="1:34">
      <c r="A4942">
        <v>2026</v>
      </c>
      <c r="B4942">
        <v>5</v>
      </c>
      <c r="C4942" s="83">
        <v>35493419535</v>
      </c>
      <c r="D4942" t="s">
        <v>3433</v>
      </c>
      <c r="E4942">
        <v>60553430553</v>
      </c>
      <c r="F4942">
        <v>630754</v>
      </c>
      <c r="G4942">
        <v>55519597718</v>
      </c>
      <c r="H4942" t="s">
        <v>35</v>
      </c>
      <c r="I4942" s="36">
        <v>646.20000000000005</v>
      </c>
      <c r="J4942" s="36">
        <v>5757.12</v>
      </c>
      <c r="K4942" s="85">
        <v>0</v>
      </c>
      <c r="L4942" s="36">
        <v>479.76</v>
      </c>
      <c r="M4942" s="36">
        <v>0</v>
      </c>
      <c r="N4942" s="36">
        <v>479.76</v>
      </c>
      <c r="O4942" s="36">
        <v>0</v>
      </c>
      <c r="P4942" t="s">
        <v>520</v>
      </c>
      <c r="Q4942" t="s">
        <v>191</v>
      </c>
      <c r="R4942" t="s">
        <v>191</v>
      </c>
      <c r="S4942" s="112">
        <v>46163</v>
      </c>
      <c r="T4942" s="112">
        <v>46163</v>
      </c>
      <c r="U4942" s="112">
        <v>46204</v>
      </c>
      <c r="V4942" s="112">
        <v>46204</v>
      </c>
      <c r="W4942" t="s">
        <v>38</v>
      </c>
      <c r="X4942">
        <v>2</v>
      </c>
      <c r="Y4942" t="s">
        <v>49</v>
      </c>
      <c r="Z4942" t="s">
        <v>324</v>
      </c>
      <c r="AA4942" t="s">
        <v>117</v>
      </c>
      <c r="AB4942">
        <v>1</v>
      </c>
      <c r="AC4942" t="s">
        <v>192</v>
      </c>
      <c r="AD4942" t="s">
        <v>85</v>
      </c>
      <c r="AE4942" t="s">
        <v>46</v>
      </c>
      <c r="AF4942" t="s">
        <v>44</v>
      </c>
      <c r="AG4942" t="str">
        <f t="shared" si="117"/>
        <v>À Vista</v>
      </c>
      <c r="AH4942" t="str">
        <f t="shared" si="118"/>
        <v/>
      </c>
    </row>
    <row r="4943" spans="1:34">
      <c r="A4943">
        <v>2026</v>
      </c>
      <c r="B4943">
        <v>5</v>
      </c>
      <c r="C4943" s="83">
        <v>19435486019</v>
      </c>
      <c r="D4943" t="s">
        <v>4203</v>
      </c>
      <c r="E4943">
        <v>59981213283</v>
      </c>
      <c r="F4943">
        <v>510698</v>
      </c>
      <c r="G4943">
        <v>55609920583</v>
      </c>
      <c r="H4943" t="s">
        <v>35</v>
      </c>
      <c r="I4943" s="36">
        <v>633</v>
      </c>
      <c r="J4943" s="36">
        <v>7596</v>
      </c>
      <c r="K4943" s="85">
        <v>0</v>
      </c>
      <c r="L4943" s="36">
        <v>633</v>
      </c>
      <c r="M4943" s="36">
        <v>0</v>
      </c>
      <c r="N4943" s="36">
        <v>425.18791670000002</v>
      </c>
      <c r="O4943" s="36">
        <v>207.81208330000001</v>
      </c>
      <c r="P4943" t="s">
        <v>110</v>
      </c>
      <c r="Q4943" t="s">
        <v>111</v>
      </c>
      <c r="R4943" t="s">
        <v>111</v>
      </c>
      <c r="S4943" s="112">
        <v>46167</v>
      </c>
      <c r="T4943" s="112">
        <v>46167</v>
      </c>
      <c r="U4943" s="112">
        <v>46159</v>
      </c>
      <c r="V4943" s="112">
        <v>46198</v>
      </c>
      <c r="W4943" t="s">
        <v>679</v>
      </c>
      <c r="X4943">
        <v>1</v>
      </c>
      <c r="Y4943" t="s">
        <v>49</v>
      </c>
      <c r="Z4943" t="s">
        <v>81</v>
      </c>
      <c r="AA4943" t="s">
        <v>122</v>
      </c>
      <c r="AB4943">
        <v>1</v>
      </c>
      <c r="AC4943" t="s">
        <v>113</v>
      </c>
      <c r="AD4943" t="s">
        <v>160</v>
      </c>
      <c r="AE4943" t="s">
        <v>43</v>
      </c>
      <c r="AF4943" t="s">
        <v>44</v>
      </c>
      <c r="AG4943" t="str">
        <f t="shared" si="117"/>
        <v>Recorrente</v>
      </c>
      <c r="AH4943" t="str">
        <f t="shared" si="118"/>
        <v/>
      </c>
    </row>
    <row r="4944" spans="1:34">
      <c r="A4944">
        <v>2026</v>
      </c>
      <c r="B4944">
        <v>5</v>
      </c>
      <c r="C4944" s="83">
        <v>19435493656</v>
      </c>
      <c r="D4944" t="s">
        <v>4204</v>
      </c>
      <c r="E4944">
        <v>59236708169</v>
      </c>
      <c r="F4944">
        <v>534225</v>
      </c>
      <c r="G4944">
        <v>55072108582</v>
      </c>
      <c r="H4944" t="s">
        <v>35</v>
      </c>
      <c r="I4944" s="36">
        <v>633</v>
      </c>
      <c r="J4944" s="36">
        <v>7596</v>
      </c>
      <c r="K4944" s="85">
        <v>0</v>
      </c>
      <c r="L4944" s="36">
        <v>633</v>
      </c>
      <c r="M4944" s="36">
        <v>0</v>
      </c>
      <c r="N4944" s="36">
        <v>192.08</v>
      </c>
      <c r="O4944" s="36">
        <v>440.92</v>
      </c>
      <c r="P4944" t="s">
        <v>116</v>
      </c>
      <c r="Q4944" t="s">
        <v>111</v>
      </c>
      <c r="R4944" t="s">
        <v>111</v>
      </c>
      <c r="S4944" s="112">
        <v>46148</v>
      </c>
      <c r="T4944" s="112">
        <v>46148</v>
      </c>
      <c r="U4944" s="112">
        <v>46146</v>
      </c>
      <c r="V4944" s="112">
        <v>46179</v>
      </c>
      <c r="W4944" t="s">
        <v>679</v>
      </c>
      <c r="X4944">
        <v>1</v>
      </c>
      <c r="Y4944" t="s">
        <v>49</v>
      </c>
      <c r="Z4944" t="s">
        <v>76</v>
      </c>
      <c r="AA4944" t="s">
        <v>112</v>
      </c>
      <c r="AB4944">
        <v>1</v>
      </c>
      <c r="AC4944" t="s">
        <v>113</v>
      </c>
      <c r="AD4944" t="s">
        <v>84</v>
      </c>
      <c r="AE4944" t="s">
        <v>43</v>
      </c>
      <c r="AF4944" t="s">
        <v>44</v>
      </c>
      <c r="AG4944" t="str">
        <f t="shared" si="117"/>
        <v>À Vista</v>
      </c>
      <c r="AH4944" t="str">
        <f t="shared" si="118"/>
        <v/>
      </c>
    </row>
    <row r="4945" spans="1:34">
      <c r="A4945">
        <v>2026</v>
      </c>
      <c r="B4945">
        <v>5</v>
      </c>
      <c r="C4945" s="83">
        <v>125521771788</v>
      </c>
      <c r="D4945" t="s">
        <v>4205</v>
      </c>
      <c r="E4945">
        <v>60252041852</v>
      </c>
      <c r="F4945">
        <v>633607</v>
      </c>
      <c r="G4945">
        <v>55253949280</v>
      </c>
      <c r="H4945" t="s">
        <v>35</v>
      </c>
      <c r="I4945" s="36">
        <v>584.76</v>
      </c>
      <c r="J4945" s="36">
        <v>1318.44</v>
      </c>
      <c r="K4945" s="85">
        <v>0</v>
      </c>
      <c r="L4945" s="36">
        <v>109.87</v>
      </c>
      <c r="M4945" s="36">
        <v>0</v>
      </c>
      <c r="N4945" s="36">
        <v>109.87</v>
      </c>
      <c r="O4945" s="36">
        <v>0</v>
      </c>
      <c r="P4945" t="s">
        <v>804</v>
      </c>
      <c r="Q4945" t="s">
        <v>191</v>
      </c>
      <c r="R4945" t="s">
        <v>191</v>
      </c>
      <c r="S4945" s="112">
        <v>46156</v>
      </c>
      <c r="T4945" s="112">
        <v>46156</v>
      </c>
      <c r="U4945" s="112">
        <v>46318</v>
      </c>
      <c r="V4945" s="112">
        <v>46318</v>
      </c>
      <c r="W4945" t="s">
        <v>38</v>
      </c>
      <c r="X4945">
        <v>5</v>
      </c>
      <c r="Y4945" t="s">
        <v>49</v>
      </c>
      <c r="Z4945" t="s">
        <v>324</v>
      </c>
      <c r="AA4945" t="s">
        <v>112</v>
      </c>
      <c r="AB4945">
        <v>5</v>
      </c>
      <c r="AC4945" t="s">
        <v>192</v>
      </c>
      <c r="AD4945" t="s">
        <v>149</v>
      </c>
      <c r="AE4945" t="s">
        <v>43</v>
      </c>
      <c r="AF4945" t="s">
        <v>96</v>
      </c>
      <c r="AG4945" t="str">
        <f t="shared" si="117"/>
        <v>CC 12x</v>
      </c>
      <c r="AH4945" t="str">
        <f t="shared" si="118"/>
        <v/>
      </c>
    </row>
    <row r="4946" spans="1:34">
      <c r="A4946">
        <v>2026</v>
      </c>
      <c r="B4946">
        <v>5</v>
      </c>
      <c r="C4946" s="83">
        <v>20153363010</v>
      </c>
      <c r="D4946" t="s">
        <v>711</v>
      </c>
      <c r="E4946">
        <v>60180560741</v>
      </c>
      <c r="F4946">
        <v>633460</v>
      </c>
      <c r="G4946">
        <v>55196567114</v>
      </c>
      <c r="H4946" t="s">
        <v>35</v>
      </c>
      <c r="I4946" s="36">
        <v>573.96</v>
      </c>
      <c r="J4946" s="36">
        <v>1318.56</v>
      </c>
      <c r="K4946" s="85">
        <v>0</v>
      </c>
      <c r="L4946" s="36">
        <v>109.88</v>
      </c>
      <c r="M4946" s="36">
        <v>0</v>
      </c>
      <c r="N4946" s="36">
        <v>109.88</v>
      </c>
      <c r="O4946" s="36">
        <v>0</v>
      </c>
      <c r="P4946" t="s">
        <v>367</v>
      </c>
      <c r="Q4946" t="s">
        <v>191</v>
      </c>
      <c r="R4946" t="s">
        <v>191</v>
      </c>
      <c r="S4946" s="112">
        <v>46153</v>
      </c>
      <c r="T4946" s="112">
        <v>46153</v>
      </c>
      <c r="U4946" s="112">
        <v>46312</v>
      </c>
      <c r="V4946" s="112">
        <v>46312</v>
      </c>
      <c r="W4946" t="s">
        <v>38</v>
      </c>
      <c r="X4946">
        <v>5</v>
      </c>
      <c r="Y4946" t="s">
        <v>49</v>
      </c>
      <c r="Z4946" t="s">
        <v>324</v>
      </c>
      <c r="AA4946" t="s">
        <v>122</v>
      </c>
      <c r="AB4946">
        <v>5</v>
      </c>
      <c r="AC4946" t="s">
        <v>192</v>
      </c>
      <c r="AD4946" t="s">
        <v>1215</v>
      </c>
      <c r="AE4946" t="s">
        <v>257</v>
      </c>
      <c r="AF4946" t="s">
        <v>59</v>
      </c>
      <c r="AG4946" t="str">
        <f t="shared" si="117"/>
        <v>Recorrente</v>
      </c>
      <c r="AH4946" t="str">
        <f t="shared" si="118"/>
        <v/>
      </c>
    </row>
    <row r="4947" spans="1:34">
      <c r="A4947">
        <v>2026</v>
      </c>
      <c r="B4947">
        <v>5</v>
      </c>
      <c r="C4947" s="83">
        <v>217139749814</v>
      </c>
      <c r="D4947" t="s">
        <v>152</v>
      </c>
      <c r="E4947">
        <v>59226699192</v>
      </c>
      <c r="F4947">
        <v>624535</v>
      </c>
      <c r="G4947">
        <v>55039001767</v>
      </c>
      <c r="H4947" t="s">
        <v>35</v>
      </c>
      <c r="I4947" s="36">
        <v>529.79999999999995</v>
      </c>
      <c r="J4947" s="36">
        <v>2086.44</v>
      </c>
      <c r="K4947" s="85">
        <v>0</v>
      </c>
      <c r="L4947" s="36">
        <v>173.87</v>
      </c>
      <c r="M4947" s="36">
        <v>0</v>
      </c>
      <c r="N4947" s="36">
        <v>173.87</v>
      </c>
      <c r="O4947" s="36">
        <v>0</v>
      </c>
      <c r="P4947" t="s">
        <v>469</v>
      </c>
      <c r="Q4947" t="s">
        <v>191</v>
      </c>
      <c r="R4947" t="s">
        <v>191</v>
      </c>
      <c r="S4947" s="112">
        <v>46148</v>
      </c>
      <c r="T4947" s="112">
        <v>46148</v>
      </c>
      <c r="U4947" s="112">
        <v>46359</v>
      </c>
      <c r="V4947" s="112">
        <v>46359</v>
      </c>
      <c r="W4947" t="s">
        <v>38</v>
      </c>
      <c r="X4947">
        <v>7</v>
      </c>
      <c r="Y4947" t="s">
        <v>49</v>
      </c>
      <c r="Z4947" t="s">
        <v>324</v>
      </c>
      <c r="AA4947" t="s">
        <v>122</v>
      </c>
      <c r="AB4947">
        <v>6</v>
      </c>
      <c r="AC4947" t="s">
        <v>192</v>
      </c>
      <c r="AD4947" t="s">
        <v>256</v>
      </c>
      <c r="AE4947" t="s">
        <v>257</v>
      </c>
      <c r="AF4947" t="s">
        <v>59</v>
      </c>
      <c r="AG4947" t="str">
        <f t="shared" si="117"/>
        <v>Recorrente</v>
      </c>
      <c r="AH4947" t="str">
        <f t="shared" si="118"/>
        <v/>
      </c>
    </row>
    <row r="4948" spans="1:34">
      <c r="A4948">
        <v>2026</v>
      </c>
      <c r="B4948">
        <v>5</v>
      </c>
      <c r="C4948" s="83">
        <v>2110504</v>
      </c>
      <c r="D4948" t="s">
        <v>4206</v>
      </c>
      <c r="E4948">
        <v>60327815548</v>
      </c>
      <c r="F4948">
        <v>637847</v>
      </c>
      <c r="G4948">
        <v>55323937149</v>
      </c>
      <c r="H4948" t="s">
        <v>35</v>
      </c>
      <c r="I4948" s="36">
        <v>519</v>
      </c>
      <c r="J4948" s="36">
        <v>519</v>
      </c>
      <c r="K4948" s="85">
        <v>0</v>
      </c>
      <c r="L4948" s="36">
        <v>43.25</v>
      </c>
      <c r="M4948" s="36">
        <v>43.25</v>
      </c>
      <c r="N4948" s="36">
        <v>0</v>
      </c>
      <c r="O4948" s="36">
        <v>0</v>
      </c>
      <c r="P4948" t="s">
        <v>127</v>
      </c>
      <c r="Q4948" t="s">
        <v>111</v>
      </c>
      <c r="R4948" t="s">
        <v>111</v>
      </c>
      <c r="S4948" s="112">
        <v>46161</v>
      </c>
      <c r="T4948" s="112">
        <v>46161</v>
      </c>
      <c r="U4948" s="112"/>
      <c r="V4948" s="112">
        <v>46526</v>
      </c>
      <c r="W4948" t="s">
        <v>38</v>
      </c>
      <c r="X4948">
        <v>12</v>
      </c>
      <c r="Y4948" t="s">
        <v>49</v>
      </c>
      <c r="AA4948" t="s">
        <v>112</v>
      </c>
      <c r="AB4948">
        <v>1</v>
      </c>
      <c r="AC4948" t="s">
        <v>113</v>
      </c>
      <c r="AD4948" t="s">
        <v>140</v>
      </c>
      <c r="AE4948" t="s">
        <v>46</v>
      </c>
      <c r="AF4948" t="s">
        <v>119</v>
      </c>
      <c r="AG4948" t="str">
        <f t="shared" si="117"/>
        <v>À Vista</v>
      </c>
      <c r="AH4948" t="str">
        <f t="shared" si="118"/>
        <v/>
      </c>
    </row>
    <row r="4949" spans="1:34">
      <c r="A4949">
        <v>2026</v>
      </c>
      <c r="B4949">
        <v>5</v>
      </c>
      <c r="C4949" s="83">
        <v>2105948</v>
      </c>
      <c r="D4949" t="s">
        <v>4207</v>
      </c>
      <c r="E4949">
        <v>60149467569</v>
      </c>
      <c r="F4949">
        <v>318198</v>
      </c>
      <c r="G4949">
        <v>55187203639</v>
      </c>
      <c r="H4949" t="s">
        <v>35</v>
      </c>
      <c r="I4949" s="36">
        <v>451.44</v>
      </c>
      <c r="J4949" s="36">
        <v>3834.84</v>
      </c>
      <c r="K4949" s="85">
        <v>0</v>
      </c>
      <c r="L4949" s="36">
        <v>319.57</v>
      </c>
      <c r="M4949" s="36">
        <v>0</v>
      </c>
      <c r="N4949" s="36">
        <v>319.57</v>
      </c>
      <c r="O4949" s="36">
        <v>0</v>
      </c>
      <c r="P4949" t="s">
        <v>323</v>
      </c>
      <c r="Q4949" t="s">
        <v>191</v>
      </c>
      <c r="R4949" t="s">
        <v>191</v>
      </c>
      <c r="S4949" s="112">
        <v>46153</v>
      </c>
      <c r="T4949" s="112">
        <v>46153</v>
      </c>
      <c r="U4949" s="112">
        <v>46196</v>
      </c>
      <c r="V4949" s="112">
        <v>46196</v>
      </c>
      <c r="W4949" t="s">
        <v>56</v>
      </c>
      <c r="X4949">
        <v>1</v>
      </c>
      <c r="Y4949" t="s">
        <v>49</v>
      </c>
      <c r="Z4949" t="s">
        <v>324</v>
      </c>
      <c r="AA4949" t="s">
        <v>122</v>
      </c>
      <c r="AB4949">
        <v>1</v>
      </c>
      <c r="AC4949" t="s">
        <v>192</v>
      </c>
      <c r="AD4949" t="s">
        <v>142</v>
      </c>
      <c r="AE4949" t="s">
        <v>95</v>
      </c>
      <c r="AF4949" t="s">
        <v>44</v>
      </c>
      <c r="AG4949" t="str">
        <f t="shared" si="117"/>
        <v>Recorrente</v>
      </c>
      <c r="AH4949" t="str">
        <f t="shared" si="118"/>
        <v/>
      </c>
    </row>
    <row r="4950" spans="1:34">
      <c r="A4950">
        <v>2026</v>
      </c>
      <c r="B4950">
        <v>5</v>
      </c>
      <c r="C4950" s="83">
        <v>41914633774</v>
      </c>
      <c r="D4950" t="s">
        <v>4208</v>
      </c>
      <c r="E4950">
        <v>60391635022</v>
      </c>
      <c r="F4950">
        <v>633433</v>
      </c>
      <c r="G4950">
        <v>55339862566</v>
      </c>
      <c r="H4950" t="s">
        <v>35</v>
      </c>
      <c r="I4950" s="36">
        <v>439.56</v>
      </c>
      <c r="J4950" s="36">
        <v>1077.5999999999999</v>
      </c>
      <c r="K4950" s="85">
        <v>0</v>
      </c>
      <c r="L4950" s="36">
        <v>89.8</v>
      </c>
      <c r="M4950" s="36">
        <v>0</v>
      </c>
      <c r="N4950" s="36">
        <v>89.8</v>
      </c>
      <c r="O4950" s="36">
        <v>0</v>
      </c>
      <c r="P4950" t="s">
        <v>469</v>
      </c>
      <c r="Q4950" t="s">
        <v>191</v>
      </c>
      <c r="R4950" t="s">
        <v>191</v>
      </c>
      <c r="S4950" s="112">
        <v>46162</v>
      </c>
      <c r="T4950" s="112">
        <v>46162</v>
      </c>
      <c r="U4950" s="112">
        <v>46311</v>
      </c>
      <c r="V4950" s="112">
        <v>46311</v>
      </c>
      <c r="W4950" t="s">
        <v>38</v>
      </c>
      <c r="X4950">
        <v>5</v>
      </c>
      <c r="Y4950" t="s">
        <v>49</v>
      </c>
      <c r="Z4950" t="s">
        <v>324</v>
      </c>
      <c r="AA4950" t="s">
        <v>112</v>
      </c>
      <c r="AB4950">
        <v>5</v>
      </c>
      <c r="AC4950" t="s">
        <v>192</v>
      </c>
      <c r="AD4950" t="s">
        <v>229</v>
      </c>
      <c r="AE4950" t="s">
        <v>43</v>
      </c>
      <c r="AF4950" t="s">
        <v>96</v>
      </c>
      <c r="AG4950" t="str">
        <f t="shared" si="117"/>
        <v>CC 12x</v>
      </c>
      <c r="AH4950" t="str">
        <f t="shared" si="118"/>
        <v/>
      </c>
    </row>
    <row r="4951" spans="1:34">
      <c r="A4951">
        <v>2026</v>
      </c>
      <c r="B4951">
        <v>5</v>
      </c>
      <c r="C4951" s="83">
        <v>19435418160</v>
      </c>
      <c r="D4951" t="s">
        <v>4209</v>
      </c>
      <c r="E4951">
        <v>60423506093</v>
      </c>
      <c r="F4951">
        <v>630436</v>
      </c>
      <c r="G4951">
        <v>55408114964</v>
      </c>
      <c r="H4951" t="s">
        <v>35</v>
      </c>
      <c r="I4951" s="36">
        <v>378.72</v>
      </c>
      <c r="J4951" s="36">
        <v>3842.64</v>
      </c>
      <c r="K4951" s="85">
        <v>0</v>
      </c>
      <c r="L4951" s="36">
        <v>320.22000000000003</v>
      </c>
      <c r="M4951" s="36">
        <v>0</v>
      </c>
      <c r="N4951" s="36">
        <v>320.22000000000003</v>
      </c>
      <c r="O4951" s="36">
        <v>0</v>
      </c>
      <c r="P4951" t="s">
        <v>190</v>
      </c>
      <c r="Q4951" t="s">
        <v>191</v>
      </c>
      <c r="R4951" t="s">
        <v>191</v>
      </c>
      <c r="S4951" s="112">
        <v>46162</v>
      </c>
      <c r="T4951" s="112">
        <v>46162</v>
      </c>
      <c r="U4951" s="112">
        <v>46198</v>
      </c>
      <c r="V4951" s="112">
        <v>46198</v>
      </c>
      <c r="W4951" t="s">
        <v>38</v>
      </c>
      <c r="X4951">
        <v>1</v>
      </c>
      <c r="Y4951" t="s">
        <v>49</v>
      </c>
      <c r="Z4951" t="s">
        <v>324</v>
      </c>
      <c r="AA4951" t="s">
        <v>92</v>
      </c>
      <c r="AB4951">
        <v>1</v>
      </c>
      <c r="AC4951" t="s">
        <v>192</v>
      </c>
      <c r="AD4951" t="s">
        <v>131</v>
      </c>
      <c r="AE4951" t="s">
        <v>46</v>
      </c>
      <c r="AF4951" t="s">
        <v>96</v>
      </c>
      <c r="AG4951" t="str">
        <f t="shared" si="117"/>
        <v>Recorrente</v>
      </c>
      <c r="AH4951" t="str">
        <f t="shared" si="118"/>
        <v/>
      </c>
    </row>
    <row r="4952" spans="1:34">
      <c r="A4952">
        <v>2026</v>
      </c>
      <c r="B4952">
        <v>5</v>
      </c>
      <c r="C4952" s="83">
        <v>2096838</v>
      </c>
      <c r="D4952" t="s">
        <v>4210</v>
      </c>
      <c r="E4952">
        <v>60419961970</v>
      </c>
      <c r="F4952">
        <v>637877</v>
      </c>
      <c r="G4952">
        <v>55412653236</v>
      </c>
      <c r="H4952" t="s">
        <v>35</v>
      </c>
      <c r="I4952" s="36">
        <v>361</v>
      </c>
      <c r="J4952" s="36">
        <v>4332</v>
      </c>
      <c r="K4952" s="85">
        <v>0</v>
      </c>
      <c r="L4952" s="36">
        <v>361</v>
      </c>
      <c r="M4952" s="36">
        <v>361</v>
      </c>
      <c r="N4952" s="36">
        <v>0</v>
      </c>
      <c r="O4952" s="36">
        <v>0</v>
      </c>
      <c r="P4952" t="s">
        <v>127</v>
      </c>
      <c r="Q4952" t="s">
        <v>111</v>
      </c>
      <c r="R4952" t="s">
        <v>111</v>
      </c>
      <c r="S4952" s="112">
        <v>46162</v>
      </c>
      <c r="T4952" s="112">
        <v>46162</v>
      </c>
      <c r="U4952" s="112"/>
      <c r="V4952" s="112">
        <v>46193</v>
      </c>
      <c r="W4952" t="s">
        <v>679</v>
      </c>
      <c r="X4952">
        <v>1</v>
      </c>
      <c r="Y4952" t="s">
        <v>49</v>
      </c>
      <c r="AA4952" t="s">
        <v>117</v>
      </c>
      <c r="AB4952">
        <v>1</v>
      </c>
      <c r="AC4952" t="s">
        <v>113</v>
      </c>
      <c r="AD4952" t="s">
        <v>118</v>
      </c>
      <c r="AE4952" t="s">
        <v>43</v>
      </c>
      <c r="AF4952" t="s">
        <v>119</v>
      </c>
      <c r="AG4952" t="str">
        <f t="shared" si="117"/>
        <v>À Vista</v>
      </c>
      <c r="AH4952" t="str">
        <f t="shared" si="118"/>
        <v/>
      </c>
    </row>
    <row r="4953" spans="1:34">
      <c r="A4953">
        <v>2026</v>
      </c>
      <c r="B4953">
        <v>5</v>
      </c>
      <c r="C4953" s="83">
        <v>2096838</v>
      </c>
      <c r="D4953" t="s">
        <v>4210</v>
      </c>
      <c r="E4953">
        <v>60419961970</v>
      </c>
      <c r="F4953">
        <v>637877</v>
      </c>
      <c r="G4953">
        <v>55412653237</v>
      </c>
      <c r="H4953" t="s">
        <v>35</v>
      </c>
      <c r="I4953" s="36">
        <v>361</v>
      </c>
      <c r="J4953" s="36">
        <v>4332</v>
      </c>
      <c r="K4953" s="85">
        <v>0</v>
      </c>
      <c r="L4953" s="36">
        <v>361</v>
      </c>
      <c r="M4953" s="36">
        <v>361</v>
      </c>
      <c r="N4953" s="36">
        <v>0</v>
      </c>
      <c r="O4953" s="36">
        <v>0</v>
      </c>
      <c r="P4953" t="s">
        <v>127</v>
      </c>
      <c r="Q4953" t="s">
        <v>111</v>
      </c>
      <c r="R4953" t="s">
        <v>111</v>
      </c>
      <c r="S4953" s="112">
        <v>46162</v>
      </c>
      <c r="T4953" s="112">
        <v>46162</v>
      </c>
      <c r="V4953" s="112">
        <v>46193</v>
      </c>
      <c r="W4953" t="s">
        <v>679</v>
      </c>
      <c r="X4953">
        <v>1</v>
      </c>
      <c r="Y4953" t="s">
        <v>49</v>
      </c>
      <c r="AA4953" t="s">
        <v>117</v>
      </c>
      <c r="AB4953">
        <v>1</v>
      </c>
      <c r="AC4953" t="s">
        <v>113</v>
      </c>
      <c r="AD4953" t="s">
        <v>140</v>
      </c>
      <c r="AE4953" t="s">
        <v>46</v>
      </c>
      <c r="AF4953" t="s">
        <v>119</v>
      </c>
      <c r="AG4953" t="str">
        <f t="shared" si="117"/>
        <v>À Vista</v>
      </c>
      <c r="AH4953" t="str">
        <f t="shared" si="118"/>
        <v/>
      </c>
    </row>
    <row r="4954" spans="1:34">
      <c r="A4954">
        <v>2026</v>
      </c>
      <c r="B4954">
        <v>5</v>
      </c>
      <c r="C4954" s="83">
        <v>2121624</v>
      </c>
      <c r="D4954" t="s">
        <v>4211</v>
      </c>
      <c r="E4954">
        <v>60714039717</v>
      </c>
      <c r="F4954">
        <v>638066</v>
      </c>
      <c r="G4954">
        <v>55684418721</v>
      </c>
      <c r="H4954" t="s">
        <v>35</v>
      </c>
      <c r="I4954" s="36">
        <v>361</v>
      </c>
      <c r="J4954" s="36">
        <v>4332</v>
      </c>
      <c r="K4954" s="85">
        <v>0</v>
      </c>
      <c r="L4954" s="36">
        <v>361</v>
      </c>
      <c r="M4954" s="36">
        <v>361</v>
      </c>
      <c r="N4954" s="36">
        <v>0</v>
      </c>
      <c r="O4954" s="36">
        <v>0</v>
      </c>
      <c r="P4954" t="s">
        <v>127</v>
      </c>
      <c r="Q4954" t="s">
        <v>111</v>
      </c>
      <c r="R4954" t="s">
        <v>111</v>
      </c>
      <c r="S4954" s="112">
        <v>46171</v>
      </c>
      <c r="T4954" s="112">
        <v>46171</v>
      </c>
      <c r="V4954" s="112">
        <v>46202</v>
      </c>
      <c r="W4954" t="s">
        <v>679</v>
      </c>
      <c r="X4954">
        <v>1</v>
      </c>
      <c r="Y4954" t="s">
        <v>49</v>
      </c>
      <c r="AA4954" t="s">
        <v>112</v>
      </c>
      <c r="AB4954">
        <v>1</v>
      </c>
      <c r="AC4954" t="s">
        <v>113</v>
      </c>
      <c r="AD4954" t="s">
        <v>118</v>
      </c>
      <c r="AE4954" t="s">
        <v>43</v>
      </c>
      <c r="AF4954" t="s">
        <v>119</v>
      </c>
      <c r="AG4954" t="str">
        <f t="shared" si="117"/>
        <v>À Vista</v>
      </c>
      <c r="AH4954" t="str">
        <f t="shared" si="118"/>
        <v/>
      </c>
    </row>
    <row r="4955" spans="1:34">
      <c r="A4955">
        <v>2026</v>
      </c>
      <c r="B4955">
        <v>5</v>
      </c>
      <c r="C4955" s="83">
        <v>218763828079</v>
      </c>
      <c r="D4955" t="s">
        <v>4212</v>
      </c>
      <c r="E4955">
        <v>59815129418</v>
      </c>
      <c r="F4955">
        <v>637557</v>
      </c>
      <c r="G4955">
        <v>55059165964</v>
      </c>
      <c r="H4955" t="s">
        <v>35</v>
      </c>
      <c r="I4955" s="36">
        <v>361</v>
      </c>
      <c r="J4955" s="36">
        <v>4332</v>
      </c>
      <c r="K4955" s="85">
        <v>0</v>
      </c>
      <c r="L4955" s="36">
        <v>361</v>
      </c>
      <c r="M4955" s="36">
        <v>361</v>
      </c>
      <c r="N4955" s="36">
        <v>0</v>
      </c>
      <c r="O4955" s="36">
        <v>0</v>
      </c>
      <c r="P4955" t="s">
        <v>137</v>
      </c>
      <c r="Q4955" t="s">
        <v>111</v>
      </c>
      <c r="R4955" t="s">
        <v>111</v>
      </c>
      <c r="S4955" s="112">
        <v>46147</v>
      </c>
      <c r="T4955" s="112">
        <v>46147</v>
      </c>
      <c r="V4955" s="112">
        <v>46178</v>
      </c>
      <c r="W4955" t="s">
        <v>679</v>
      </c>
      <c r="X4955">
        <v>1</v>
      </c>
      <c r="Y4955" t="s">
        <v>49</v>
      </c>
      <c r="AA4955" t="s">
        <v>122</v>
      </c>
      <c r="AB4955">
        <v>1</v>
      </c>
      <c r="AC4955" t="s">
        <v>113</v>
      </c>
      <c r="AD4955" t="s">
        <v>118</v>
      </c>
      <c r="AE4955" t="s">
        <v>43</v>
      </c>
      <c r="AF4955" t="s">
        <v>119</v>
      </c>
      <c r="AG4955" t="str">
        <f t="shared" si="117"/>
        <v>Recorrente</v>
      </c>
      <c r="AH4955" t="str">
        <f t="shared" si="118"/>
        <v/>
      </c>
    </row>
    <row r="4956" spans="1:34">
      <c r="A4956">
        <v>2026</v>
      </c>
      <c r="B4956">
        <v>5</v>
      </c>
      <c r="C4956" s="83">
        <v>221806440964</v>
      </c>
      <c r="D4956" t="s">
        <v>4213</v>
      </c>
      <c r="E4956">
        <v>59724624793</v>
      </c>
      <c r="F4956">
        <v>637395</v>
      </c>
      <c r="G4956">
        <v>55271595547</v>
      </c>
      <c r="H4956" t="s">
        <v>35</v>
      </c>
      <c r="I4956" s="36">
        <v>361</v>
      </c>
      <c r="J4956" s="36">
        <v>4332</v>
      </c>
      <c r="K4956" s="85">
        <v>0</v>
      </c>
      <c r="L4956" s="36">
        <v>361</v>
      </c>
      <c r="M4956" s="36">
        <v>0</v>
      </c>
      <c r="N4956" s="36">
        <v>0</v>
      </c>
      <c r="O4956" s="36">
        <v>361</v>
      </c>
      <c r="P4956" t="s">
        <v>127</v>
      </c>
      <c r="Q4956" t="s">
        <v>111</v>
      </c>
      <c r="R4956" t="s">
        <v>111</v>
      </c>
      <c r="S4956" s="112">
        <v>46157</v>
      </c>
      <c r="T4956" s="112">
        <v>46157</v>
      </c>
      <c r="U4956" s="112">
        <v>46169</v>
      </c>
      <c r="V4956" s="112">
        <v>46200</v>
      </c>
      <c r="W4956" t="s">
        <v>679</v>
      </c>
      <c r="X4956">
        <v>1</v>
      </c>
      <c r="Y4956" t="s">
        <v>49</v>
      </c>
      <c r="Z4956" t="s">
        <v>76</v>
      </c>
      <c r="AA4956" t="s">
        <v>112</v>
      </c>
      <c r="AB4956">
        <v>1</v>
      </c>
      <c r="AC4956" t="s">
        <v>113</v>
      </c>
      <c r="AD4956" t="s">
        <v>140</v>
      </c>
      <c r="AE4956" t="s">
        <v>46</v>
      </c>
      <c r="AF4956" t="s">
        <v>119</v>
      </c>
      <c r="AG4956" t="str">
        <f t="shared" si="117"/>
        <v>À Vista</v>
      </c>
      <c r="AH4956" t="str">
        <f t="shared" si="118"/>
        <v/>
      </c>
    </row>
    <row r="4957" spans="1:34">
      <c r="A4957">
        <v>2026</v>
      </c>
      <c r="B4957">
        <v>5</v>
      </c>
      <c r="C4957" s="83">
        <v>33427963428</v>
      </c>
      <c r="D4957" t="s">
        <v>4214</v>
      </c>
      <c r="E4957">
        <v>60275543220</v>
      </c>
      <c r="F4957">
        <v>637825</v>
      </c>
      <c r="G4957">
        <v>55277448204</v>
      </c>
      <c r="H4957" t="s">
        <v>35</v>
      </c>
      <c r="I4957" s="36">
        <v>361</v>
      </c>
      <c r="J4957" s="36">
        <v>4332</v>
      </c>
      <c r="K4957" s="85">
        <v>0</v>
      </c>
      <c r="L4957" s="36">
        <v>361</v>
      </c>
      <c r="M4957" s="36">
        <v>361</v>
      </c>
      <c r="N4957" s="36">
        <v>0</v>
      </c>
      <c r="O4957" s="36">
        <v>0</v>
      </c>
      <c r="P4957" t="s">
        <v>133</v>
      </c>
      <c r="Q4957" t="s">
        <v>111</v>
      </c>
      <c r="R4957" t="s">
        <v>111</v>
      </c>
      <c r="S4957" s="112">
        <v>46160</v>
      </c>
      <c r="T4957" s="112">
        <v>46160</v>
      </c>
      <c r="U4957" s="112">
        <v>46156</v>
      </c>
      <c r="V4957" s="112">
        <v>46191</v>
      </c>
      <c r="W4957" t="s">
        <v>679</v>
      </c>
      <c r="X4957">
        <v>1</v>
      </c>
      <c r="Y4957" t="s">
        <v>49</v>
      </c>
      <c r="AA4957" t="s">
        <v>112</v>
      </c>
      <c r="AB4957">
        <v>1</v>
      </c>
      <c r="AC4957" t="s">
        <v>113</v>
      </c>
      <c r="AD4957" t="s">
        <v>118</v>
      </c>
      <c r="AE4957" t="s">
        <v>43</v>
      </c>
      <c r="AF4957" t="s">
        <v>119</v>
      </c>
      <c r="AG4957" t="str">
        <f t="shared" si="117"/>
        <v>À Vista</v>
      </c>
      <c r="AH4957" t="str">
        <f t="shared" si="118"/>
        <v/>
      </c>
    </row>
    <row r="4958" spans="1:34">
      <c r="A4958">
        <v>2026</v>
      </c>
      <c r="B4958">
        <v>5</v>
      </c>
      <c r="C4958" s="83">
        <v>54999105153</v>
      </c>
      <c r="D4958" t="s">
        <v>4215</v>
      </c>
      <c r="E4958">
        <v>60330949014</v>
      </c>
      <c r="F4958">
        <v>631919</v>
      </c>
      <c r="G4958">
        <v>55323187041</v>
      </c>
      <c r="H4958" t="s">
        <v>35</v>
      </c>
      <c r="I4958" s="36">
        <v>336.36</v>
      </c>
      <c r="J4958" s="36">
        <v>1321.08</v>
      </c>
      <c r="K4958" s="85">
        <v>0</v>
      </c>
      <c r="L4958" s="36">
        <v>110.09</v>
      </c>
      <c r="M4958" s="36">
        <v>0</v>
      </c>
      <c r="N4958" s="36">
        <v>110.09</v>
      </c>
      <c r="O4958" s="36">
        <v>0</v>
      </c>
      <c r="P4958" t="s">
        <v>367</v>
      </c>
      <c r="Q4958" t="s">
        <v>191</v>
      </c>
      <c r="R4958" t="s">
        <v>191</v>
      </c>
      <c r="S4958" s="112">
        <v>46161</v>
      </c>
      <c r="T4958" s="112">
        <v>46161</v>
      </c>
      <c r="U4958" s="112">
        <v>46253</v>
      </c>
      <c r="V4958" s="112">
        <v>46253</v>
      </c>
      <c r="W4958" t="s">
        <v>38</v>
      </c>
      <c r="X4958">
        <v>3</v>
      </c>
      <c r="Y4958" t="s">
        <v>49</v>
      </c>
      <c r="Z4958" t="s">
        <v>324</v>
      </c>
      <c r="AA4958" t="s">
        <v>92</v>
      </c>
      <c r="AB4958">
        <v>3</v>
      </c>
      <c r="AC4958" t="s">
        <v>192</v>
      </c>
      <c r="AD4958" t="s">
        <v>149</v>
      </c>
      <c r="AE4958" t="s">
        <v>43</v>
      </c>
      <c r="AF4958" t="s">
        <v>96</v>
      </c>
      <c r="AG4958" t="str">
        <f t="shared" si="117"/>
        <v>Recorrente</v>
      </c>
      <c r="AH4958" t="str">
        <f t="shared" si="118"/>
        <v/>
      </c>
    </row>
    <row r="4959" spans="1:34">
      <c r="A4959">
        <v>2026</v>
      </c>
      <c r="B4959">
        <v>5</v>
      </c>
      <c r="C4959" s="83">
        <v>102718822689</v>
      </c>
      <c r="D4959" t="s">
        <v>4216</v>
      </c>
      <c r="E4959">
        <v>60113640842</v>
      </c>
      <c r="F4959">
        <v>637679</v>
      </c>
      <c r="G4959">
        <v>55129198860</v>
      </c>
      <c r="H4959" t="s">
        <v>35</v>
      </c>
      <c r="I4959" s="36">
        <v>259.5</v>
      </c>
      <c r="J4959" s="36">
        <v>3114</v>
      </c>
      <c r="K4959" s="85">
        <v>0</v>
      </c>
      <c r="L4959" s="36">
        <v>259.5</v>
      </c>
      <c r="M4959" s="36">
        <v>259.5</v>
      </c>
      <c r="N4959" s="36">
        <v>0</v>
      </c>
      <c r="O4959" s="36">
        <v>0</v>
      </c>
      <c r="P4959" t="s">
        <v>511</v>
      </c>
      <c r="Q4959" t="s">
        <v>300</v>
      </c>
      <c r="R4959" t="s">
        <v>300</v>
      </c>
      <c r="S4959" s="112">
        <v>46150</v>
      </c>
      <c r="T4959" s="112">
        <v>46150</v>
      </c>
      <c r="U4959" s="112"/>
      <c r="V4959" s="112"/>
      <c r="W4959" t="s">
        <v>2733</v>
      </c>
      <c r="Y4959" t="s">
        <v>49</v>
      </c>
      <c r="AA4959" t="s">
        <v>122</v>
      </c>
      <c r="AB4959">
        <v>1</v>
      </c>
      <c r="AC4959" t="s">
        <v>301</v>
      </c>
      <c r="AD4959" t="s">
        <v>2734</v>
      </c>
      <c r="AE4959" t="s">
        <v>106</v>
      </c>
      <c r="AF4959" t="s">
        <v>59</v>
      </c>
      <c r="AG4959" t="str">
        <f t="shared" si="117"/>
        <v>Recorrente</v>
      </c>
      <c r="AH4959" t="str">
        <f t="shared" si="118"/>
        <v/>
      </c>
    </row>
    <row r="4960" spans="1:34">
      <c r="A4960">
        <v>2026</v>
      </c>
      <c r="B4960">
        <v>5</v>
      </c>
      <c r="C4960" s="83">
        <v>10824946080</v>
      </c>
      <c r="D4960" t="s">
        <v>4217</v>
      </c>
      <c r="E4960">
        <v>60531591523</v>
      </c>
      <c r="F4960">
        <v>637959</v>
      </c>
      <c r="G4960">
        <v>55608830872</v>
      </c>
      <c r="H4960" t="s">
        <v>35</v>
      </c>
      <c r="I4960" s="36">
        <v>259.5</v>
      </c>
      <c r="J4960" s="36">
        <v>3114</v>
      </c>
      <c r="K4960" s="85">
        <v>0</v>
      </c>
      <c r="L4960" s="36">
        <v>259.5</v>
      </c>
      <c r="M4960" s="36">
        <v>259.5</v>
      </c>
      <c r="N4960" s="36">
        <v>0</v>
      </c>
      <c r="O4960" s="36">
        <v>0</v>
      </c>
      <c r="P4960" t="s">
        <v>506</v>
      </c>
      <c r="Q4960" t="s">
        <v>300</v>
      </c>
      <c r="R4960" t="s">
        <v>300</v>
      </c>
      <c r="S4960" s="112">
        <v>46167</v>
      </c>
      <c r="T4960" s="112">
        <v>46167</v>
      </c>
      <c r="W4960" t="s">
        <v>2733</v>
      </c>
      <c r="Y4960" t="s">
        <v>49</v>
      </c>
      <c r="AA4960" t="s">
        <v>122</v>
      </c>
      <c r="AB4960">
        <v>1</v>
      </c>
      <c r="AC4960" t="s">
        <v>301</v>
      </c>
      <c r="AD4960" t="s">
        <v>2734</v>
      </c>
      <c r="AE4960" t="s">
        <v>106</v>
      </c>
      <c r="AF4960" t="s">
        <v>59</v>
      </c>
      <c r="AG4960" t="str">
        <f t="shared" si="117"/>
        <v>Recorrente</v>
      </c>
      <c r="AH4960" t="str">
        <f t="shared" si="118"/>
        <v/>
      </c>
    </row>
    <row r="4961" spans="1:34">
      <c r="A4961">
        <v>2026</v>
      </c>
      <c r="B4961">
        <v>5</v>
      </c>
      <c r="C4961" s="83">
        <v>108273725214</v>
      </c>
      <c r="D4961" t="s">
        <v>4218</v>
      </c>
      <c r="E4961">
        <v>60140560491</v>
      </c>
      <c r="F4961">
        <v>637693</v>
      </c>
      <c r="G4961">
        <v>55129137044</v>
      </c>
      <c r="H4961" t="s">
        <v>35</v>
      </c>
      <c r="I4961" s="36">
        <v>259.5</v>
      </c>
      <c r="J4961" s="36">
        <v>3114</v>
      </c>
      <c r="K4961" s="85">
        <v>0</v>
      </c>
      <c r="L4961" s="36">
        <v>259.5</v>
      </c>
      <c r="M4961" s="36">
        <v>259.5</v>
      </c>
      <c r="N4961" s="36">
        <v>0</v>
      </c>
      <c r="O4961" s="36">
        <v>0</v>
      </c>
      <c r="P4961" t="s">
        <v>511</v>
      </c>
      <c r="Q4961" t="s">
        <v>300</v>
      </c>
      <c r="R4961" t="s">
        <v>300</v>
      </c>
      <c r="S4961" s="112">
        <v>46150</v>
      </c>
      <c r="T4961" s="112">
        <v>46150</v>
      </c>
      <c r="W4961" t="s">
        <v>2733</v>
      </c>
      <c r="Y4961" t="s">
        <v>49</v>
      </c>
      <c r="AA4961" t="s">
        <v>122</v>
      </c>
      <c r="AB4961">
        <v>1</v>
      </c>
      <c r="AC4961" t="s">
        <v>301</v>
      </c>
      <c r="AD4961" t="s">
        <v>2734</v>
      </c>
      <c r="AE4961" t="s">
        <v>106</v>
      </c>
      <c r="AF4961" t="s">
        <v>59</v>
      </c>
      <c r="AG4961" t="str">
        <f t="shared" si="117"/>
        <v>Recorrente</v>
      </c>
      <c r="AH4961" t="str">
        <f t="shared" si="118"/>
        <v/>
      </c>
    </row>
    <row r="4962" spans="1:34">
      <c r="A4962">
        <v>2026</v>
      </c>
      <c r="B4962">
        <v>5</v>
      </c>
      <c r="C4962" s="83">
        <v>114962542358</v>
      </c>
      <c r="D4962" t="s">
        <v>4219</v>
      </c>
      <c r="E4962">
        <v>60553324724</v>
      </c>
      <c r="F4962">
        <v>637938</v>
      </c>
      <c r="G4962">
        <v>55519555872</v>
      </c>
      <c r="H4962" t="s">
        <v>35</v>
      </c>
      <c r="I4962" s="36">
        <v>259.5</v>
      </c>
      <c r="J4962" s="36">
        <v>3114</v>
      </c>
      <c r="K4962" s="85">
        <v>0</v>
      </c>
      <c r="L4962" s="36">
        <v>259.5</v>
      </c>
      <c r="M4962" s="36">
        <v>259.5</v>
      </c>
      <c r="N4962" s="36">
        <v>0</v>
      </c>
      <c r="O4962" s="36">
        <v>0</v>
      </c>
      <c r="P4962" t="s">
        <v>3179</v>
      </c>
      <c r="Q4962" t="s">
        <v>300</v>
      </c>
      <c r="R4962" t="s">
        <v>300</v>
      </c>
      <c r="S4962" s="112">
        <v>46164</v>
      </c>
      <c r="T4962" s="112">
        <v>46164</v>
      </c>
      <c r="V4962" s="112">
        <v>46195</v>
      </c>
      <c r="W4962" t="s">
        <v>679</v>
      </c>
      <c r="X4962">
        <v>1</v>
      </c>
      <c r="Y4962" t="s">
        <v>49</v>
      </c>
      <c r="AA4962" t="s">
        <v>122</v>
      </c>
      <c r="AB4962">
        <v>1</v>
      </c>
      <c r="AC4962" t="s">
        <v>301</v>
      </c>
      <c r="AD4962" t="s">
        <v>2734</v>
      </c>
      <c r="AE4962" t="s">
        <v>106</v>
      </c>
      <c r="AF4962" t="s">
        <v>59</v>
      </c>
      <c r="AG4962" t="str">
        <f t="shared" si="117"/>
        <v>Recorrente</v>
      </c>
      <c r="AH4962" t="str">
        <f t="shared" si="118"/>
        <v/>
      </c>
    </row>
    <row r="4963" spans="1:34">
      <c r="A4963">
        <v>2026</v>
      </c>
      <c r="B4963">
        <v>5</v>
      </c>
      <c r="C4963" s="83">
        <v>119219990439</v>
      </c>
      <c r="D4963" t="s">
        <v>4220</v>
      </c>
      <c r="E4963">
        <v>60077654090</v>
      </c>
      <c r="F4963">
        <v>638084</v>
      </c>
      <c r="G4963">
        <v>55408245629</v>
      </c>
      <c r="H4963" t="s">
        <v>35</v>
      </c>
      <c r="I4963" s="36">
        <v>259.5</v>
      </c>
      <c r="J4963" s="36">
        <v>3114</v>
      </c>
      <c r="K4963" s="85">
        <v>0</v>
      </c>
      <c r="L4963" s="36">
        <v>259.5</v>
      </c>
      <c r="M4963" s="36">
        <v>259.5</v>
      </c>
      <c r="N4963" s="36">
        <v>0</v>
      </c>
      <c r="O4963" s="36">
        <v>0</v>
      </c>
      <c r="P4963" t="s">
        <v>829</v>
      </c>
      <c r="Q4963" t="s">
        <v>300</v>
      </c>
      <c r="R4963" t="s">
        <v>300</v>
      </c>
      <c r="S4963" s="112">
        <v>46171</v>
      </c>
      <c r="T4963" s="112">
        <v>46171</v>
      </c>
      <c r="V4963" s="112"/>
      <c r="W4963" t="s">
        <v>2733</v>
      </c>
      <c r="Y4963" t="s">
        <v>49</v>
      </c>
      <c r="AA4963" t="s">
        <v>122</v>
      </c>
      <c r="AB4963">
        <v>1</v>
      </c>
      <c r="AC4963" t="s">
        <v>301</v>
      </c>
      <c r="AD4963" t="s">
        <v>2734</v>
      </c>
      <c r="AE4963" t="s">
        <v>106</v>
      </c>
      <c r="AF4963" t="s">
        <v>59</v>
      </c>
      <c r="AG4963" t="str">
        <f t="shared" si="117"/>
        <v>Recorrente</v>
      </c>
      <c r="AH4963" t="str">
        <f t="shared" si="118"/>
        <v/>
      </c>
    </row>
    <row r="4964" spans="1:34">
      <c r="A4964">
        <v>2026</v>
      </c>
      <c r="B4964">
        <v>5</v>
      </c>
      <c r="C4964" s="83">
        <v>133102968219</v>
      </c>
      <c r="D4964" t="s">
        <v>4221</v>
      </c>
      <c r="E4964">
        <v>60652307830</v>
      </c>
      <c r="F4964">
        <v>638012</v>
      </c>
      <c r="G4964">
        <v>55642409123</v>
      </c>
      <c r="H4964" t="s">
        <v>35</v>
      </c>
      <c r="I4964" s="36">
        <v>259.5</v>
      </c>
      <c r="J4964" s="36">
        <v>3114</v>
      </c>
      <c r="K4964" s="85">
        <v>0</v>
      </c>
      <c r="L4964" s="36">
        <v>259.5</v>
      </c>
      <c r="M4964" s="36">
        <v>259.5</v>
      </c>
      <c r="N4964" s="36">
        <v>0</v>
      </c>
      <c r="O4964" s="36">
        <v>0</v>
      </c>
      <c r="P4964" t="s">
        <v>2004</v>
      </c>
      <c r="Q4964" t="s">
        <v>300</v>
      </c>
      <c r="R4964" t="s">
        <v>300</v>
      </c>
      <c r="S4964" s="112">
        <v>46169</v>
      </c>
      <c r="T4964" s="112">
        <v>46169</v>
      </c>
      <c r="W4964" t="s">
        <v>2733</v>
      </c>
      <c r="Y4964" t="s">
        <v>49</v>
      </c>
      <c r="AA4964" t="s">
        <v>122</v>
      </c>
      <c r="AB4964">
        <v>1</v>
      </c>
      <c r="AC4964" t="s">
        <v>301</v>
      </c>
      <c r="AD4964" t="s">
        <v>2734</v>
      </c>
      <c r="AE4964" t="s">
        <v>106</v>
      </c>
      <c r="AF4964" t="s">
        <v>59</v>
      </c>
      <c r="AG4964" t="str">
        <f t="shared" si="117"/>
        <v>Recorrente</v>
      </c>
      <c r="AH4964" t="str">
        <f t="shared" si="118"/>
        <v/>
      </c>
    </row>
    <row r="4965" spans="1:34">
      <c r="A4965">
        <v>2026</v>
      </c>
      <c r="B4965">
        <v>5</v>
      </c>
      <c r="C4965" s="83">
        <v>136125197445</v>
      </c>
      <c r="D4965" t="s">
        <v>4222</v>
      </c>
      <c r="E4965">
        <v>60007197519</v>
      </c>
      <c r="F4965">
        <v>637545</v>
      </c>
      <c r="G4965">
        <v>54956917024</v>
      </c>
      <c r="H4965" t="s">
        <v>35</v>
      </c>
      <c r="I4965" s="36">
        <v>259.5</v>
      </c>
      <c r="J4965" s="36">
        <v>3114</v>
      </c>
      <c r="K4965" s="85">
        <v>0</v>
      </c>
      <c r="L4965" s="36">
        <v>259.5</v>
      </c>
      <c r="M4965" s="36">
        <v>259.5</v>
      </c>
      <c r="N4965" s="36">
        <v>0</v>
      </c>
      <c r="O4965" s="36">
        <v>0</v>
      </c>
      <c r="P4965" t="s">
        <v>2004</v>
      </c>
      <c r="Q4965" t="s">
        <v>300</v>
      </c>
      <c r="R4965" t="s">
        <v>300</v>
      </c>
      <c r="S4965" s="112">
        <v>46146</v>
      </c>
      <c r="T4965" s="112">
        <v>46146</v>
      </c>
      <c r="W4965" t="s">
        <v>2733</v>
      </c>
      <c r="Y4965" t="s">
        <v>49</v>
      </c>
      <c r="AA4965" t="s">
        <v>122</v>
      </c>
      <c r="AB4965">
        <v>1</v>
      </c>
      <c r="AC4965" t="s">
        <v>301</v>
      </c>
      <c r="AD4965" t="s">
        <v>2734</v>
      </c>
      <c r="AE4965" t="s">
        <v>106</v>
      </c>
      <c r="AF4965" t="s">
        <v>59</v>
      </c>
      <c r="AG4965" t="str">
        <f t="shared" si="117"/>
        <v>Recorrente</v>
      </c>
      <c r="AH4965" t="str">
        <f t="shared" si="118"/>
        <v/>
      </c>
    </row>
    <row r="4966" spans="1:34">
      <c r="A4966">
        <v>2026</v>
      </c>
      <c r="B4966">
        <v>5</v>
      </c>
      <c r="C4966" s="83">
        <v>137117326455</v>
      </c>
      <c r="D4966" t="s">
        <v>4223</v>
      </c>
      <c r="E4966">
        <v>60670800520</v>
      </c>
      <c r="F4966">
        <v>638023</v>
      </c>
      <c r="G4966">
        <v>55647263550</v>
      </c>
      <c r="H4966" t="s">
        <v>35</v>
      </c>
      <c r="I4966" s="36">
        <v>259.5</v>
      </c>
      <c r="J4966" s="36">
        <v>3114</v>
      </c>
      <c r="K4966" s="85">
        <v>0</v>
      </c>
      <c r="L4966" s="36">
        <v>259.5</v>
      </c>
      <c r="M4966" s="36">
        <v>259.5</v>
      </c>
      <c r="N4966" s="36">
        <v>0</v>
      </c>
      <c r="O4966" s="36">
        <v>0</v>
      </c>
      <c r="P4966" t="s">
        <v>3642</v>
      </c>
      <c r="Q4966" t="s">
        <v>300</v>
      </c>
      <c r="R4966" t="s">
        <v>300</v>
      </c>
      <c r="S4966" s="112">
        <v>46169</v>
      </c>
      <c r="T4966" s="112">
        <v>46169</v>
      </c>
      <c r="W4966" t="s">
        <v>2733</v>
      </c>
      <c r="Y4966" t="s">
        <v>49</v>
      </c>
      <c r="AA4966" t="s">
        <v>122</v>
      </c>
      <c r="AB4966">
        <v>1</v>
      </c>
      <c r="AC4966" t="s">
        <v>301</v>
      </c>
      <c r="AD4966" t="s">
        <v>2734</v>
      </c>
      <c r="AE4966" t="s">
        <v>106</v>
      </c>
      <c r="AF4966" t="s">
        <v>59</v>
      </c>
      <c r="AG4966" t="str">
        <f t="shared" si="117"/>
        <v>Recorrente</v>
      </c>
      <c r="AH4966" t="str">
        <f t="shared" si="118"/>
        <v/>
      </c>
    </row>
    <row r="4967" spans="1:34">
      <c r="A4967">
        <v>2026</v>
      </c>
      <c r="B4967">
        <v>5</v>
      </c>
      <c r="C4967" s="83">
        <v>148228505090</v>
      </c>
      <c r="D4967" t="s">
        <v>4224</v>
      </c>
      <c r="E4967">
        <v>60122946569</v>
      </c>
      <c r="F4967">
        <v>637681</v>
      </c>
      <c r="G4967">
        <v>55155456889</v>
      </c>
      <c r="H4967" t="s">
        <v>35</v>
      </c>
      <c r="I4967" s="36">
        <v>259.5</v>
      </c>
      <c r="J4967" s="36">
        <v>3114</v>
      </c>
      <c r="K4967" s="85">
        <v>0</v>
      </c>
      <c r="L4967" s="36">
        <v>259.5</v>
      </c>
      <c r="M4967" s="36">
        <v>259.5</v>
      </c>
      <c r="N4967" s="36">
        <v>0</v>
      </c>
      <c r="O4967" s="36">
        <v>0</v>
      </c>
      <c r="P4967" t="s">
        <v>3179</v>
      </c>
      <c r="Q4967" t="s">
        <v>300</v>
      </c>
      <c r="R4967" t="s">
        <v>300</v>
      </c>
      <c r="S4967" s="112">
        <v>46150</v>
      </c>
      <c r="T4967" s="112">
        <v>46150</v>
      </c>
      <c r="V4967" s="112">
        <v>46181</v>
      </c>
      <c r="W4967" t="s">
        <v>679</v>
      </c>
      <c r="X4967">
        <v>1</v>
      </c>
      <c r="Y4967" t="s">
        <v>49</v>
      </c>
      <c r="AA4967" t="s">
        <v>122</v>
      </c>
      <c r="AB4967">
        <v>1</v>
      </c>
      <c r="AC4967" t="s">
        <v>301</v>
      </c>
      <c r="AD4967" t="s">
        <v>2734</v>
      </c>
      <c r="AE4967" t="s">
        <v>106</v>
      </c>
      <c r="AF4967" t="s">
        <v>59</v>
      </c>
      <c r="AG4967" t="str">
        <f t="shared" si="117"/>
        <v>Recorrente</v>
      </c>
      <c r="AH4967" t="str">
        <f t="shared" si="118"/>
        <v/>
      </c>
    </row>
    <row r="4968" spans="1:34">
      <c r="A4968">
        <v>2026</v>
      </c>
      <c r="B4968">
        <v>5</v>
      </c>
      <c r="C4968" s="83">
        <v>152113356864</v>
      </c>
      <c r="D4968" t="s">
        <v>4225</v>
      </c>
      <c r="E4968">
        <v>60486852922</v>
      </c>
      <c r="F4968">
        <v>637925</v>
      </c>
      <c r="G4968">
        <v>55555676818</v>
      </c>
      <c r="H4968" t="s">
        <v>35</v>
      </c>
      <c r="I4968" s="36">
        <v>259.5</v>
      </c>
      <c r="J4968" s="36">
        <v>3114</v>
      </c>
      <c r="K4968" s="85">
        <v>0</v>
      </c>
      <c r="L4968" s="36">
        <v>259.5</v>
      </c>
      <c r="M4968" s="36">
        <v>259.5</v>
      </c>
      <c r="N4968" s="36">
        <v>0</v>
      </c>
      <c r="O4968" s="36">
        <v>0</v>
      </c>
      <c r="P4968" t="s">
        <v>506</v>
      </c>
      <c r="Q4968" t="s">
        <v>300</v>
      </c>
      <c r="R4968" t="s">
        <v>300</v>
      </c>
      <c r="S4968" s="112">
        <v>46164</v>
      </c>
      <c r="T4968" s="112">
        <v>46164</v>
      </c>
      <c r="V4968" s="112"/>
      <c r="W4968" t="s">
        <v>2733</v>
      </c>
      <c r="Y4968" t="s">
        <v>49</v>
      </c>
      <c r="AA4968" t="s">
        <v>122</v>
      </c>
      <c r="AB4968">
        <v>1</v>
      </c>
      <c r="AC4968" t="s">
        <v>301</v>
      </c>
      <c r="AD4968" t="s">
        <v>2734</v>
      </c>
      <c r="AE4968" t="s">
        <v>106</v>
      </c>
      <c r="AF4968" t="s">
        <v>59</v>
      </c>
      <c r="AG4968" t="str">
        <f t="shared" si="117"/>
        <v>Recorrente</v>
      </c>
      <c r="AH4968" t="str">
        <f t="shared" si="118"/>
        <v/>
      </c>
    </row>
    <row r="4969" spans="1:34">
      <c r="A4969">
        <v>2026</v>
      </c>
      <c r="B4969">
        <v>5</v>
      </c>
      <c r="C4969" s="83">
        <v>173254227500</v>
      </c>
      <c r="D4969" t="s">
        <v>4226</v>
      </c>
      <c r="E4969">
        <v>60052858461</v>
      </c>
      <c r="F4969">
        <v>637631</v>
      </c>
      <c r="G4969">
        <v>55093968456</v>
      </c>
      <c r="H4969" t="s">
        <v>35</v>
      </c>
      <c r="I4969" s="36">
        <v>259.5</v>
      </c>
      <c r="J4969" s="36">
        <v>3114</v>
      </c>
      <c r="K4969" s="85">
        <v>0</v>
      </c>
      <c r="L4969" s="36">
        <v>259.5</v>
      </c>
      <c r="M4969" s="36">
        <v>259.5</v>
      </c>
      <c r="N4969" s="36">
        <v>0</v>
      </c>
      <c r="O4969" s="36">
        <v>0</v>
      </c>
      <c r="P4969" t="s">
        <v>3642</v>
      </c>
      <c r="Q4969" t="s">
        <v>300</v>
      </c>
      <c r="R4969" t="s">
        <v>300</v>
      </c>
      <c r="S4969" s="112">
        <v>46149</v>
      </c>
      <c r="T4969" s="112">
        <v>46149</v>
      </c>
      <c r="W4969" t="s">
        <v>2733</v>
      </c>
      <c r="Y4969" t="s">
        <v>49</v>
      </c>
      <c r="AA4969" t="s">
        <v>122</v>
      </c>
      <c r="AB4969">
        <v>1</v>
      </c>
      <c r="AC4969" t="s">
        <v>301</v>
      </c>
      <c r="AD4969" t="s">
        <v>2734</v>
      </c>
      <c r="AE4969" t="s">
        <v>106</v>
      </c>
      <c r="AF4969" t="s">
        <v>59</v>
      </c>
      <c r="AG4969" t="str">
        <f t="shared" si="117"/>
        <v>Recorrente</v>
      </c>
      <c r="AH4969" t="str">
        <f t="shared" si="118"/>
        <v/>
      </c>
    </row>
    <row r="4970" spans="1:34">
      <c r="A4970">
        <v>2026</v>
      </c>
      <c r="B4970">
        <v>5</v>
      </c>
      <c r="C4970" s="83">
        <v>181894611249</v>
      </c>
      <c r="D4970" t="s">
        <v>4227</v>
      </c>
      <c r="E4970">
        <v>60437606489</v>
      </c>
      <c r="F4970">
        <v>637875</v>
      </c>
      <c r="G4970">
        <v>55408236956</v>
      </c>
      <c r="H4970" t="s">
        <v>35</v>
      </c>
      <c r="I4970" s="36">
        <v>259.5</v>
      </c>
      <c r="J4970" s="36">
        <v>3114</v>
      </c>
      <c r="K4970" s="85">
        <v>0</v>
      </c>
      <c r="L4970" s="36">
        <v>259.5</v>
      </c>
      <c r="M4970" s="36">
        <v>259.5</v>
      </c>
      <c r="N4970" s="36">
        <v>0</v>
      </c>
      <c r="O4970" s="36">
        <v>0</v>
      </c>
      <c r="P4970" t="s">
        <v>3642</v>
      </c>
      <c r="Q4970" t="s">
        <v>300</v>
      </c>
      <c r="R4970" t="s">
        <v>300</v>
      </c>
      <c r="S4970" s="112">
        <v>46162</v>
      </c>
      <c r="T4970" s="112">
        <v>46162</v>
      </c>
      <c r="W4970" t="s">
        <v>2733</v>
      </c>
      <c r="Y4970" t="s">
        <v>49</v>
      </c>
      <c r="AA4970" t="s">
        <v>122</v>
      </c>
      <c r="AB4970">
        <v>1</v>
      </c>
      <c r="AC4970" t="s">
        <v>301</v>
      </c>
      <c r="AD4970" t="s">
        <v>2734</v>
      </c>
      <c r="AE4970" t="s">
        <v>106</v>
      </c>
      <c r="AF4970" t="s">
        <v>59</v>
      </c>
      <c r="AG4970" t="str">
        <f t="shared" si="117"/>
        <v>Recorrente</v>
      </c>
      <c r="AH4970" t="str">
        <f t="shared" si="118"/>
        <v/>
      </c>
    </row>
    <row r="4971" spans="1:34">
      <c r="A4971">
        <v>2026</v>
      </c>
      <c r="B4971">
        <v>5</v>
      </c>
      <c r="C4971" s="83">
        <v>199510092898</v>
      </c>
      <c r="D4971" t="s">
        <v>4228</v>
      </c>
      <c r="E4971">
        <v>60387797061</v>
      </c>
      <c r="F4971">
        <v>637871</v>
      </c>
      <c r="G4971">
        <v>55340527514</v>
      </c>
      <c r="H4971" t="s">
        <v>35</v>
      </c>
      <c r="I4971" s="36">
        <v>259.5</v>
      </c>
      <c r="J4971" s="36">
        <v>3114</v>
      </c>
      <c r="K4971" s="85">
        <v>0</v>
      </c>
      <c r="L4971" s="36">
        <v>259.5</v>
      </c>
      <c r="M4971" s="36">
        <v>259.5</v>
      </c>
      <c r="N4971" s="36">
        <v>0</v>
      </c>
      <c r="O4971" s="36">
        <v>0</v>
      </c>
      <c r="P4971" t="s">
        <v>506</v>
      </c>
      <c r="Q4971" t="s">
        <v>300</v>
      </c>
      <c r="R4971" t="s">
        <v>300</v>
      </c>
      <c r="S4971" s="112">
        <v>46162</v>
      </c>
      <c r="T4971" s="112">
        <v>46162</v>
      </c>
      <c r="W4971" t="s">
        <v>2733</v>
      </c>
      <c r="Y4971" t="s">
        <v>49</v>
      </c>
      <c r="AA4971" t="s">
        <v>122</v>
      </c>
      <c r="AB4971">
        <v>1</v>
      </c>
      <c r="AC4971" t="s">
        <v>301</v>
      </c>
      <c r="AD4971" t="s">
        <v>2734</v>
      </c>
      <c r="AE4971" t="s">
        <v>106</v>
      </c>
      <c r="AF4971" t="s">
        <v>59</v>
      </c>
      <c r="AG4971" t="str">
        <f t="shared" si="117"/>
        <v>Recorrente</v>
      </c>
      <c r="AH4971" t="str">
        <f t="shared" si="118"/>
        <v/>
      </c>
    </row>
    <row r="4972" spans="1:34">
      <c r="A4972">
        <v>2026</v>
      </c>
      <c r="B4972">
        <v>5</v>
      </c>
      <c r="C4972" s="83">
        <v>205905854980</v>
      </c>
      <c r="D4972" t="s">
        <v>4229</v>
      </c>
      <c r="E4972">
        <v>60521478556</v>
      </c>
      <c r="F4972">
        <v>637907</v>
      </c>
      <c r="G4972">
        <v>55478991658</v>
      </c>
      <c r="H4972" t="s">
        <v>35</v>
      </c>
      <c r="I4972" s="36">
        <v>259.5</v>
      </c>
      <c r="J4972" s="36">
        <v>3114</v>
      </c>
      <c r="K4972" s="85">
        <v>0</v>
      </c>
      <c r="L4972" s="36">
        <v>259.5</v>
      </c>
      <c r="M4972" s="36">
        <v>259.5</v>
      </c>
      <c r="N4972" s="36">
        <v>0</v>
      </c>
      <c r="O4972" s="36">
        <v>0</v>
      </c>
      <c r="P4972" t="s">
        <v>829</v>
      </c>
      <c r="Q4972" t="s">
        <v>300</v>
      </c>
      <c r="R4972" t="s">
        <v>300</v>
      </c>
      <c r="S4972" s="112">
        <v>46163</v>
      </c>
      <c r="T4972" s="112">
        <v>46163</v>
      </c>
      <c r="W4972" t="s">
        <v>2733</v>
      </c>
      <c r="Y4972" t="s">
        <v>49</v>
      </c>
      <c r="AA4972" t="s">
        <v>122</v>
      </c>
      <c r="AB4972">
        <v>1</v>
      </c>
      <c r="AC4972" t="s">
        <v>301</v>
      </c>
      <c r="AD4972" t="s">
        <v>2734</v>
      </c>
      <c r="AE4972" t="s">
        <v>106</v>
      </c>
      <c r="AF4972" t="s">
        <v>59</v>
      </c>
      <c r="AG4972" t="str">
        <f t="shared" si="117"/>
        <v>Recorrente</v>
      </c>
      <c r="AH4972" t="str">
        <f t="shared" si="118"/>
        <v/>
      </c>
    </row>
    <row r="4973" spans="1:34">
      <c r="A4973">
        <v>2026</v>
      </c>
      <c r="B4973">
        <v>5</v>
      </c>
      <c r="C4973" s="83">
        <v>2068519</v>
      </c>
      <c r="D4973" t="s">
        <v>4230</v>
      </c>
      <c r="E4973">
        <v>60686193701</v>
      </c>
      <c r="F4973">
        <v>638068</v>
      </c>
      <c r="G4973">
        <v>55685305212</v>
      </c>
      <c r="H4973" t="s">
        <v>35</v>
      </c>
      <c r="I4973" s="36">
        <v>259.5</v>
      </c>
      <c r="J4973" s="36">
        <v>3114</v>
      </c>
      <c r="K4973" s="85">
        <v>0</v>
      </c>
      <c r="L4973" s="36">
        <v>259.5</v>
      </c>
      <c r="M4973" s="36">
        <v>259.5</v>
      </c>
      <c r="N4973" s="36">
        <v>0</v>
      </c>
      <c r="O4973" s="36">
        <v>0</v>
      </c>
      <c r="P4973" t="s">
        <v>2004</v>
      </c>
      <c r="Q4973" t="s">
        <v>300</v>
      </c>
      <c r="R4973" t="s">
        <v>300</v>
      </c>
      <c r="S4973" s="112">
        <v>46171</v>
      </c>
      <c r="T4973" s="112">
        <v>46171</v>
      </c>
      <c r="W4973" t="s">
        <v>2733</v>
      </c>
      <c r="Y4973" t="s">
        <v>49</v>
      </c>
      <c r="AA4973" t="s">
        <v>122</v>
      </c>
      <c r="AB4973">
        <v>1</v>
      </c>
      <c r="AC4973" t="s">
        <v>301</v>
      </c>
      <c r="AD4973" t="s">
        <v>2734</v>
      </c>
      <c r="AE4973" t="s">
        <v>106</v>
      </c>
      <c r="AF4973" t="s">
        <v>59</v>
      </c>
      <c r="AG4973" t="str">
        <f t="shared" si="117"/>
        <v>Recorrente</v>
      </c>
      <c r="AH4973" t="str">
        <f t="shared" si="118"/>
        <v/>
      </c>
    </row>
    <row r="4974" spans="1:34">
      <c r="A4974">
        <v>2026</v>
      </c>
      <c r="B4974">
        <v>5</v>
      </c>
      <c r="C4974" s="83">
        <v>2071496</v>
      </c>
      <c r="D4974" t="s">
        <v>4039</v>
      </c>
      <c r="E4974">
        <v>60036086376</v>
      </c>
      <c r="F4974">
        <v>637588</v>
      </c>
      <c r="G4974">
        <v>55072704940</v>
      </c>
      <c r="H4974" t="s">
        <v>35</v>
      </c>
      <c r="I4974" s="36">
        <v>259.5</v>
      </c>
      <c r="J4974" s="36">
        <v>3114</v>
      </c>
      <c r="K4974" s="85">
        <v>0</v>
      </c>
      <c r="L4974" s="36">
        <v>259.5</v>
      </c>
      <c r="M4974" s="36">
        <v>259.5</v>
      </c>
      <c r="N4974" s="36">
        <v>0</v>
      </c>
      <c r="O4974" s="36">
        <v>0</v>
      </c>
      <c r="P4974" t="s">
        <v>506</v>
      </c>
      <c r="Q4974" t="s">
        <v>300</v>
      </c>
      <c r="R4974" t="s">
        <v>300</v>
      </c>
      <c r="S4974" s="112">
        <v>46148</v>
      </c>
      <c r="T4974" s="112">
        <v>46148</v>
      </c>
      <c r="W4974" t="s">
        <v>2733</v>
      </c>
      <c r="Y4974" t="s">
        <v>49</v>
      </c>
      <c r="AA4974" t="s">
        <v>122</v>
      </c>
      <c r="AB4974">
        <v>1</v>
      </c>
      <c r="AC4974" t="s">
        <v>301</v>
      </c>
      <c r="AD4974" t="s">
        <v>2734</v>
      </c>
      <c r="AE4974" t="s">
        <v>106</v>
      </c>
      <c r="AF4974" t="s">
        <v>59</v>
      </c>
      <c r="AG4974" t="str">
        <f t="shared" si="117"/>
        <v>Recorrente</v>
      </c>
      <c r="AH4974" t="str">
        <f t="shared" si="118"/>
        <v/>
      </c>
    </row>
    <row r="4975" spans="1:34">
      <c r="A4975">
        <v>2026</v>
      </c>
      <c r="B4975">
        <v>5</v>
      </c>
      <c r="C4975" s="83">
        <v>2071765</v>
      </c>
      <c r="D4975" t="s">
        <v>4231</v>
      </c>
      <c r="E4975">
        <v>60641197471</v>
      </c>
      <c r="F4975">
        <v>637972</v>
      </c>
      <c r="G4975">
        <v>55621035177</v>
      </c>
      <c r="H4975" t="s">
        <v>35</v>
      </c>
      <c r="I4975" s="36">
        <v>259.5</v>
      </c>
      <c r="J4975" s="36">
        <v>3114</v>
      </c>
      <c r="K4975" s="85">
        <v>0</v>
      </c>
      <c r="L4975" s="36">
        <v>259.5</v>
      </c>
      <c r="M4975" s="36">
        <v>259.5</v>
      </c>
      <c r="N4975" s="36">
        <v>0</v>
      </c>
      <c r="O4975" s="36">
        <v>0</v>
      </c>
      <c r="P4975" t="s">
        <v>506</v>
      </c>
      <c r="Q4975" t="s">
        <v>300</v>
      </c>
      <c r="R4975" t="s">
        <v>300</v>
      </c>
      <c r="S4975" s="112">
        <v>46168</v>
      </c>
      <c r="T4975" s="112">
        <v>46168</v>
      </c>
      <c r="W4975" t="s">
        <v>2733</v>
      </c>
      <c r="Y4975" t="s">
        <v>49</v>
      </c>
      <c r="AA4975" t="s">
        <v>122</v>
      </c>
      <c r="AB4975">
        <v>1</v>
      </c>
      <c r="AC4975" t="s">
        <v>301</v>
      </c>
      <c r="AD4975" t="s">
        <v>2734</v>
      </c>
      <c r="AE4975" t="s">
        <v>106</v>
      </c>
      <c r="AF4975" t="s">
        <v>59</v>
      </c>
      <c r="AG4975" t="str">
        <f t="shared" si="117"/>
        <v>Recorrente</v>
      </c>
      <c r="AH4975" t="str">
        <f t="shared" si="118"/>
        <v/>
      </c>
    </row>
    <row r="4976" spans="1:34">
      <c r="A4976">
        <v>2026</v>
      </c>
      <c r="B4976">
        <v>5</v>
      </c>
      <c r="C4976" s="83">
        <v>208158284720</v>
      </c>
      <c r="D4976" t="s">
        <v>4232</v>
      </c>
      <c r="E4976">
        <v>60710725636</v>
      </c>
      <c r="F4976">
        <v>638063</v>
      </c>
      <c r="G4976">
        <v>55683702053</v>
      </c>
      <c r="H4976" t="s">
        <v>35</v>
      </c>
      <c r="I4976" s="36">
        <v>259.5</v>
      </c>
      <c r="J4976" s="36">
        <v>3114</v>
      </c>
      <c r="K4976" s="85">
        <v>0</v>
      </c>
      <c r="L4976" s="36">
        <v>259.5</v>
      </c>
      <c r="M4976" s="36">
        <v>259.5</v>
      </c>
      <c r="N4976" s="36">
        <v>0</v>
      </c>
      <c r="O4976" s="36">
        <v>0</v>
      </c>
      <c r="P4976" t="s">
        <v>829</v>
      </c>
      <c r="Q4976" t="s">
        <v>300</v>
      </c>
      <c r="R4976" t="s">
        <v>300</v>
      </c>
      <c r="S4976" s="112">
        <v>46171</v>
      </c>
      <c r="T4976" s="112">
        <v>46171</v>
      </c>
      <c r="W4976" t="s">
        <v>2733</v>
      </c>
      <c r="Y4976" t="s">
        <v>49</v>
      </c>
      <c r="AA4976" t="s">
        <v>122</v>
      </c>
      <c r="AB4976">
        <v>1</v>
      </c>
      <c r="AC4976" t="s">
        <v>301</v>
      </c>
      <c r="AD4976" t="s">
        <v>2734</v>
      </c>
      <c r="AE4976" t="s">
        <v>106</v>
      </c>
      <c r="AF4976" t="s">
        <v>59</v>
      </c>
      <c r="AG4976" t="str">
        <f t="shared" si="117"/>
        <v>Recorrente</v>
      </c>
      <c r="AH4976" t="str">
        <f t="shared" si="118"/>
        <v/>
      </c>
    </row>
    <row r="4977" spans="1:34">
      <c r="A4977">
        <v>2026</v>
      </c>
      <c r="B4977">
        <v>5</v>
      </c>
      <c r="C4977" s="83">
        <v>2083304</v>
      </c>
      <c r="D4977" t="s">
        <v>4233</v>
      </c>
      <c r="E4977">
        <v>60672824087</v>
      </c>
      <c r="F4977">
        <v>638030</v>
      </c>
      <c r="G4977">
        <v>55647321760</v>
      </c>
      <c r="H4977" t="s">
        <v>35</v>
      </c>
      <c r="I4977" s="36">
        <v>259.5</v>
      </c>
      <c r="J4977" s="36">
        <v>3114</v>
      </c>
      <c r="K4977" s="85">
        <v>0</v>
      </c>
      <c r="L4977" s="36">
        <v>259.5</v>
      </c>
      <c r="M4977" s="36">
        <v>259.5</v>
      </c>
      <c r="N4977" s="36">
        <v>0</v>
      </c>
      <c r="O4977" s="36">
        <v>0</v>
      </c>
      <c r="P4977" t="s">
        <v>511</v>
      </c>
      <c r="Q4977" t="s">
        <v>300</v>
      </c>
      <c r="R4977" t="s">
        <v>300</v>
      </c>
      <c r="S4977" s="112">
        <v>46169</v>
      </c>
      <c r="T4977" s="112">
        <v>46169</v>
      </c>
      <c r="W4977" t="s">
        <v>2733</v>
      </c>
      <c r="Y4977" t="s">
        <v>49</v>
      </c>
      <c r="AA4977" t="s">
        <v>122</v>
      </c>
      <c r="AB4977">
        <v>1</v>
      </c>
      <c r="AC4977" t="s">
        <v>301</v>
      </c>
      <c r="AD4977" t="s">
        <v>2734</v>
      </c>
      <c r="AE4977" t="s">
        <v>106</v>
      </c>
      <c r="AF4977" t="s">
        <v>59</v>
      </c>
      <c r="AG4977" t="str">
        <f t="shared" si="117"/>
        <v>Recorrente</v>
      </c>
      <c r="AH4977" t="str">
        <f t="shared" si="118"/>
        <v/>
      </c>
    </row>
    <row r="4978" spans="1:34">
      <c r="A4978">
        <v>2026</v>
      </c>
      <c r="B4978">
        <v>5</v>
      </c>
      <c r="C4978" s="83">
        <v>208547248970</v>
      </c>
      <c r="D4978" t="s">
        <v>4234</v>
      </c>
      <c r="E4978">
        <v>60032634533</v>
      </c>
      <c r="F4978">
        <v>637559</v>
      </c>
      <c r="G4978">
        <v>55059806853</v>
      </c>
      <c r="H4978" t="s">
        <v>35</v>
      </c>
      <c r="I4978" s="36">
        <v>259.5</v>
      </c>
      <c r="J4978" s="36">
        <v>3114</v>
      </c>
      <c r="K4978" s="85">
        <v>0</v>
      </c>
      <c r="L4978" s="36">
        <v>259.5</v>
      </c>
      <c r="M4978" s="36">
        <v>259.5</v>
      </c>
      <c r="N4978" s="36">
        <v>0</v>
      </c>
      <c r="O4978" s="36">
        <v>0</v>
      </c>
      <c r="P4978" t="s">
        <v>2004</v>
      </c>
      <c r="Q4978" t="s">
        <v>300</v>
      </c>
      <c r="R4978" t="s">
        <v>300</v>
      </c>
      <c r="S4978" s="112">
        <v>46147</v>
      </c>
      <c r="T4978" s="112">
        <v>46147</v>
      </c>
      <c r="W4978" t="s">
        <v>2733</v>
      </c>
      <c r="Y4978" t="s">
        <v>49</v>
      </c>
      <c r="AA4978" t="s">
        <v>122</v>
      </c>
      <c r="AB4978">
        <v>1</v>
      </c>
      <c r="AC4978" t="s">
        <v>301</v>
      </c>
      <c r="AD4978" t="s">
        <v>2734</v>
      </c>
      <c r="AE4978" t="s">
        <v>106</v>
      </c>
      <c r="AF4978" t="s">
        <v>59</v>
      </c>
      <c r="AG4978" t="str">
        <f t="shared" si="117"/>
        <v>Recorrente</v>
      </c>
      <c r="AH4978" t="str">
        <f t="shared" si="118"/>
        <v/>
      </c>
    </row>
    <row r="4979" spans="1:34">
      <c r="A4979">
        <v>2026</v>
      </c>
      <c r="B4979">
        <v>5</v>
      </c>
      <c r="C4979" s="83">
        <v>2090241</v>
      </c>
      <c r="D4979" t="s">
        <v>4235</v>
      </c>
      <c r="E4979">
        <v>60472769815</v>
      </c>
      <c r="F4979">
        <v>637905</v>
      </c>
      <c r="G4979">
        <v>55478382479</v>
      </c>
      <c r="H4979" t="s">
        <v>35</v>
      </c>
      <c r="I4979" s="36">
        <v>259.5</v>
      </c>
      <c r="J4979" s="36">
        <v>3114</v>
      </c>
      <c r="K4979" s="85">
        <v>0</v>
      </c>
      <c r="L4979" s="36">
        <v>259.5</v>
      </c>
      <c r="M4979" s="36">
        <v>259.5</v>
      </c>
      <c r="N4979" s="36">
        <v>0</v>
      </c>
      <c r="O4979" s="36">
        <v>0</v>
      </c>
      <c r="P4979" t="s">
        <v>511</v>
      </c>
      <c r="Q4979" t="s">
        <v>300</v>
      </c>
      <c r="R4979" t="s">
        <v>300</v>
      </c>
      <c r="S4979" s="112">
        <v>46163</v>
      </c>
      <c r="T4979" s="112">
        <v>46163</v>
      </c>
      <c r="W4979" t="s">
        <v>2733</v>
      </c>
      <c r="Y4979" t="s">
        <v>49</v>
      </c>
      <c r="AA4979" t="s">
        <v>122</v>
      </c>
      <c r="AB4979">
        <v>1</v>
      </c>
      <c r="AC4979" t="s">
        <v>301</v>
      </c>
      <c r="AD4979" t="s">
        <v>2734</v>
      </c>
      <c r="AE4979" t="s">
        <v>106</v>
      </c>
      <c r="AF4979" t="s">
        <v>59</v>
      </c>
      <c r="AG4979" t="str">
        <f t="shared" si="117"/>
        <v>Recorrente</v>
      </c>
      <c r="AH4979" t="str">
        <f t="shared" si="118"/>
        <v/>
      </c>
    </row>
    <row r="4980" spans="1:34">
      <c r="A4980">
        <v>2026</v>
      </c>
      <c r="B4980">
        <v>5</v>
      </c>
      <c r="C4980" s="83">
        <v>2099112</v>
      </c>
      <c r="D4980" t="s">
        <v>4236</v>
      </c>
      <c r="E4980">
        <v>60622143771</v>
      </c>
      <c r="F4980">
        <v>637966</v>
      </c>
      <c r="G4980">
        <v>55609932801</v>
      </c>
      <c r="H4980" t="s">
        <v>35</v>
      </c>
      <c r="I4980" s="36">
        <v>259.5</v>
      </c>
      <c r="J4980" s="36">
        <v>3114</v>
      </c>
      <c r="K4980" s="85">
        <v>0</v>
      </c>
      <c r="L4980" s="36">
        <v>259.5</v>
      </c>
      <c r="M4980" s="36">
        <v>259.5</v>
      </c>
      <c r="N4980" s="36">
        <v>0</v>
      </c>
      <c r="O4980" s="36">
        <v>0</v>
      </c>
      <c r="P4980" t="s">
        <v>2004</v>
      </c>
      <c r="Q4980" t="s">
        <v>300</v>
      </c>
      <c r="R4980" t="s">
        <v>300</v>
      </c>
      <c r="S4980" s="112">
        <v>46167</v>
      </c>
      <c r="T4980" s="112">
        <v>46167</v>
      </c>
      <c r="W4980" t="s">
        <v>2733</v>
      </c>
      <c r="Y4980" t="s">
        <v>49</v>
      </c>
      <c r="AA4980" t="s">
        <v>122</v>
      </c>
      <c r="AB4980">
        <v>1</v>
      </c>
      <c r="AC4980" t="s">
        <v>301</v>
      </c>
      <c r="AD4980" t="s">
        <v>2734</v>
      </c>
      <c r="AE4980" t="s">
        <v>106</v>
      </c>
      <c r="AF4980" t="s">
        <v>59</v>
      </c>
      <c r="AG4980" t="str">
        <f t="shared" si="117"/>
        <v>Recorrente</v>
      </c>
      <c r="AH4980" t="str">
        <f t="shared" si="118"/>
        <v/>
      </c>
    </row>
    <row r="4981" spans="1:34">
      <c r="A4981">
        <v>2026</v>
      </c>
      <c r="B4981">
        <v>5</v>
      </c>
      <c r="C4981" s="83">
        <v>2103652</v>
      </c>
      <c r="D4981" t="s">
        <v>4237</v>
      </c>
      <c r="E4981">
        <v>60329909359</v>
      </c>
      <c r="F4981">
        <v>638038</v>
      </c>
      <c r="G4981">
        <v>55658893699</v>
      </c>
      <c r="H4981" t="s">
        <v>35</v>
      </c>
      <c r="I4981" s="36">
        <v>259.5</v>
      </c>
      <c r="J4981" s="36">
        <v>3114</v>
      </c>
      <c r="K4981" s="85">
        <v>0</v>
      </c>
      <c r="L4981" s="36">
        <v>259.5</v>
      </c>
      <c r="M4981" s="36">
        <v>259.5</v>
      </c>
      <c r="N4981" s="36">
        <v>0</v>
      </c>
      <c r="O4981" s="36">
        <v>0</v>
      </c>
      <c r="P4981" t="s">
        <v>829</v>
      </c>
      <c r="Q4981" t="s">
        <v>300</v>
      </c>
      <c r="R4981" t="s">
        <v>300</v>
      </c>
      <c r="S4981" s="112">
        <v>46170</v>
      </c>
      <c r="T4981" s="112">
        <v>46170</v>
      </c>
      <c r="W4981" t="s">
        <v>2733</v>
      </c>
      <c r="Y4981" t="s">
        <v>49</v>
      </c>
      <c r="AA4981" t="s">
        <v>122</v>
      </c>
      <c r="AB4981">
        <v>1</v>
      </c>
      <c r="AC4981" t="s">
        <v>301</v>
      </c>
      <c r="AD4981" t="s">
        <v>2734</v>
      </c>
      <c r="AE4981" t="s">
        <v>106</v>
      </c>
      <c r="AF4981" t="s">
        <v>59</v>
      </c>
      <c r="AG4981" t="str">
        <f t="shared" si="117"/>
        <v>Recorrente</v>
      </c>
      <c r="AH4981" t="str">
        <f t="shared" si="118"/>
        <v/>
      </c>
    </row>
    <row r="4982" spans="1:34">
      <c r="A4982">
        <v>2026</v>
      </c>
      <c r="B4982">
        <v>5</v>
      </c>
      <c r="C4982" s="83">
        <v>2110651</v>
      </c>
      <c r="D4982" t="s">
        <v>4238</v>
      </c>
      <c r="E4982">
        <v>60448159260</v>
      </c>
      <c r="F4982">
        <v>637911</v>
      </c>
      <c r="G4982">
        <v>55519643302</v>
      </c>
      <c r="H4982" t="s">
        <v>35</v>
      </c>
      <c r="I4982" s="36">
        <v>259.5</v>
      </c>
      <c r="J4982" s="36">
        <v>3114</v>
      </c>
      <c r="K4982" s="85">
        <v>0</v>
      </c>
      <c r="L4982" s="36">
        <v>259.5</v>
      </c>
      <c r="M4982" s="36">
        <v>259.5</v>
      </c>
      <c r="N4982" s="36">
        <v>0</v>
      </c>
      <c r="O4982" s="36">
        <v>0</v>
      </c>
      <c r="P4982" t="s">
        <v>2004</v>
      </c>
      <c r="Q4982" t="s">
        <v>300</v>
      </c>
      <c r="R4982" t="s">
        <v>300</v>
      </c>
      <c r="S4982" s="112">
        <v>46163</v>
      </c>
      <c r="T4982" s="112">
        <v>46163</v>
      </c>
      <c r="W4982" t="s">
        <v>2733</v>
      </c>
      <c r="Y4982" t="s">
        <v>49</v>
      </c>
      <c r="AA4982" t="s">
        <v>122</v>
      </c>
      <c r="AB4982">
        <v>1</v>
      </c>
      <c r="AC4982" t="s">
        <v>301</v>
      </c>
      <c r="AD4982" t="s">
        <v>2734</v>
      </c>
      <c r="AE4982" t="s">
        <v>106</v>
      </c>
      <c r="AF4982" t="s">
        <v>59</v>
      </c>
      <c r="AG4982" t="str">
        <f t="shared" ref="AG4982:AG5008" si="119">IF(IFERROR(SEARCH("Recorrente",AA4982),0)&gt;0,"Recorrente",IF(AB4982=1,"À Vista",IF(AB4982&lt;=3,"CC 3x",IF(AB4982&lt;=12,"CC 12x",IF(AB4982&gt;12,"Recorrente","")))))</f>
        <v>Recorrente</v>
      </c>
      <c r="AH4982" t="str">
        <f t="shared" ref="AH4982:AH5008" si="120">IF(AND(SUMIF(E:E,E4982,I:I)&gt;=400000,Q4982="B2G"),"n","")</f>
        <v/>
      </c>
    </row>
    <row r="4983" spans="1:34">
      <c r="A4983">
        <v>2026</v>
      </c>
      <c r="B4983">
        <v>5</v>
      </c>
      <c r="C4983" s="83">
        <v>2134013</v>
      </c>
      <c r="D4983" t="s">
        <v>4239</v>
      </c>
      <c r="E4983">
        <v>60055025667</v>
      </c>
      <c r="F4983">
        <v>637600</v>
      </c>
      <c r="G4983">
        <v>55076418321</v>
      </c>
      <c r="H4983" t="s">
        <v>35</v>
      </c>
      <c r="I4983" s="36">
        <v>259.5</v>
      </c>
      <c r="J4983" s="36">
        <v>3114</v>
      </c>
      <c r="K4983" s="85">
        <v>0</v>
      </c>
      <c r="L4983" s="36">
        <v>259.5</v>
      </c>
      <c r="M4983" s="36">
        <v>259.5</v>
      </c>
      <c r="N4983" s="36">
        <v>0</v>
      </c>
      <c r="O4983" s="36">
        <v>0</v>
      </c>
      <c r="P4983" t="s">
        <v>511</v>
      </c>
      <c r="Q4983" t="s">
        <v>300</v>
      </c>
      <c r="R4983" t="s">
        <v>300</v>
      </c>
      <c r="S4983" s="112">
        <v>46148</v>
      </c>
      <c r="T4983" s="112">
        <v>46148</v>
      </c>
      <c r="W4983" t="s">
        <v>2733</v>
      </c>
      <c r="Y4983" t="s">
        <v>49</v>
      </c>
      <c r="AA4983" t="s">
        <v>122</v>
      </c>
      <c r="AB4983">
        <v>1</v>
      </c>
      <c r="AC4983" t="s">
        <v>301</v>
      </c>
      <c r="AD4983" t="s">
        <v>2734</v>
      </c>
      <c r="AE4983" t="s">
        <v>106</v>
      </c>
      <c r="AF4983" t="s">
        <v>59</v>
      </c>
      <c r="AG4983" t="str">
        <f t="shared" si="119"/>
        <v>Recorrente</v>
      </c>
      <c r="AH4983" t="str">
        <f t="shared" si="120"/>
        <v/>
      </c>
    </row>
    <row r="4984" spans="1:34">
      <c r="A4984">
        <v>2026</v>
      </c>
      <c r="B4984">
        <v>5</v>
      </c>
      <c r="C4984" s="83">
        <v>215546773617</v>
      </c>
      <c r="D4984" t="s">
        <v>4240</v>
      </c>
      <c r="E4984">
        <v>60078085996</v>
      </c>
      <c r="F4984">
        <v>637659</v>
      </c>
      <c r="G4984">
        <v>55098151848</v>
      </c>
      <c r="H4984" t="s">
        <v>35</v>
      </c>
      <c r="I4984" s="36">
        <v>259.5</v>
      </c>
      <c r="J4984" s="36">
        <v>3114</v>
      </c>
      <c r="K4984" s="85">
        <v>0</v>
      </c>
      <c r="L4984" s="36">
        <v>259.5</v>
      </c>
      <c r="M4984" s="36">
        <v>259.5</v>
      </c>
      <c r="N4984" s="36">
        <v>0</v>
      </c>
      <c r="O4984" s="36">
        <v>0</v>
      </c>
      <c r="P4984" t="s">
        <v>3642</v>
      </c>
      <c r="Q4984" t="s">
        <v>300</v>
      </c>
      <c r="R4984" t="s">
        <v>300</v>
      </c>
      <c r="S4984" s="112">
        <v>46150</v>
      </c>
      <c r="T4984" s="112">
        <v>46150</v>
      </c>
      <c r="W4984" t="s">
        <v>2733</v>
      </c>
      <c r="Y4984" t="s">
        <v>49</v>
      </c>
      <c r="AA4984" t="s">
        <v>122</v>
      </c>
      <c r="AB4984">
        <v>1</v>
      </c>
      <c r="AC4984" t="s">
        <v>301</v>
      </c>
      <c r="AD4984" t="s">
        <v>2734</v>
      </c>
      <c r="AE4984" t="s">
        <v>106</v>
      </c>
      <c r="AF4984" t="s">
        <v>59</v>
      </c>
      <c r="AG4984" t="str">
        <f t="shared" si="119"/>
        <v>Recorrente</v>
      </c>
      <c r="AH4984" t="str">
        <f t="shared" si="120"/>
        <v/>
      </c>
    </row>
    <row r="4985" spans="1:34">
      <c r="A4985">
        <v>2026</v>
      </c>
      <c r="B4985">
        <v>5</v>
      </c>
      <c r="C4985" s="83">
        <v>216229888522</v>
      </c>
      <c r="D4985" t="s">
        <v>4241</v>
      </c>
      <c r="E4985">
        <v>60624787038</v>
      </c>
      <c r="F4985">
        <v>637967</v>
      </c>
      <c r="G4985">
        <v>55609920579</v>
      </c>
      <c r="H4985" t="s">
        <v>35</v>
      </c>
      <c r="I4985" s="36">
        <v>259.5</v>
      </c>
      <c r="J4985" s="36">
        <v>3114</v>
      </c>
      <c r="K4985" s="85">
        <v>0</v>
      </c>
      <c r="L4985" s="36">
        <v>259.5</v>
      </c>
      <c r="M4985" s="36">
        <v>259.5</v>
      </c>
      <c r="N4985" s="36">
        <v>0</v>
      </c>
      <c r="O4985" s="36">
        <v>0</v>
      </c>
      <c r="P4985" t="s">
        <v>511</v>
      </c>
      <c r="Q4985" t="s">
        <v>300</v>
      </c>
      <c r="R4985" t="s">
        <v>300</v>
      </c>
      <c r="S4985" s="112">
        <v>46167</v>
      </c>
      <c r="T4985" s="112">
        <v>46167</v>
      </c>
      <c r="W4985" t="s">
        <v>2733</v>
      </c>
      <c r="Y4985" t="s">
        <v>49</v>
      </c>
      <c r="AA4985" t="s">
        <v>122</v>
      </c>
      <c r="AB4985">
        <v>1</v>
      </c>
      <c r="AC4985" t="s">
        <v>301</v>
      </c>
      <c r="AD4985" t="s">
        <v>2734</v>
      </c>
      <c r="AE4985" t="s">
        <v>106</v>
      </c>
      <c r="AF4985" t="s">
        <v>59</v>
      </c>
      <c r="AG4985" t="str">
        <f t="shared" si="119"/>
        <v>Recorrente</v>
      </c>
      <c r="AH4985" t="str">
        <f t="shared" si="120"/>
        <v/>
      </c>
    </row>
    <row r="4986" spans="1:34">
      <c r="A4986">
        <v>2026</v>
      </c>
      <c r="B4986">
        <v>5</v>
      </c>
      <c r="C4986" s="83">
        <v>217606898499</v>
      </c>
      <c r="D4986" t="s">
        <v>4242</v>
      </c>
      <c r="E4986">
        <v>60642762548</v>
      </c>
      <c r="F4986">
        <v>638024</v>
      </c>
      <c r="G4986">
        <v>55623483006</v>
      </c>
      <c r="H4986" t="s">
        <v>35</v>
      </c>
      <c r="I4986" s="36">
        <v>259.5</v>
      </c>
      <c r="J4986" s="36">
        <v>3114</v>
      </c>
      <c r="K4986" s="85">
        <v>0</v>
      </c>
      <c r="L4986" s="36">
        <v>259.5</v>
      </c>
      <c r="M4986" s="36">
        <v>259.5</v>
      </c>
      <c r="N4986" s="36">
        <v>0</v>
      </c>
      <c r="O4986" s="36">
        <v>0</v>
      </c>
      <c r="P4986" t="s">
        <v>2004</v>
      </c>
      <c r="Q4986" t="s">
        <v>300</v>
      </c>
      <c r="R4986" t="s">
        <v>300</v>
      </c>
      <c r="S4986" s="112">
        <v>46169</v>
      </c>
      <c r="T4986" s="112">
        <v>46169</v>
      </c>
      <c r="W4986" t="s">
        <v>2733</v>
      </c>
      <c r="Y4986" t="s">
        <v>49</v>
      </c>
      <c r="AA4986" t="s">
        <v>122</v>
      </c>
      <c r="AB4986">
        <v>1</v>
      </c>
      <c r="AC4986" t="s">
        <v>301</v>
      </c>
      <c r="AD4986" t="s">
        <v>2734</v>
      </c>
      <c r="AE4986" t="s">
        <v>106</v>
      </c>
      <c r="AF4986" t="s">
        <v>59</v>
      </c>
      <c r="AG4986" t="str">
        <f t="shared" si="119"/>
        <v>Recorrente</v>
      </c>
      <c r="AH4986" t="str">
        <f t="shared" si="120"/>
        <v/>
      </c>
    </row>
    <row r="4987" spans="1:34">
      <c r="A4987">
        <v>2026</v>
      </c>
      <c r="B4987">
        <v>5</v>
      </c>
      <c r="C4987" s="83">
        <v>219635681049</v>
      </c>
      <c r="D4987" t="s">
        <v>4243</v>
      </c>
      <c r="E4987">
        <v>60076725845</v>
      </c>
      <c r="F4987">
        <v>637639</v>
      </c>
      <c r="G4987">
        <v>55093996693</v>
      </c>
      <c r="H4987" t="s">
        <v>35</v>
      </c>
      <c r="I4987" s="36">
        <v>259.5</v>
      </c>
      <c r="J4987" s="36">
        <v>3114</v>
      </c>
      <c r="K4987" s="85">
        <v>0</v>
      </c>
      <c r="L4987" s="36">
        <v>259.5</v>
      </c>
      <c r="M4987" s="36">
        <v>259.5</v>
      </c>
      <c r="N4987" s="36">
        <v>0</v>
      </c>
      <c r="O4987" s="36">
        <v>0</v>
      </c>
      <c r="P4987" t="s">
        <v>3179</v>
      </c>
      <c r="Q4987" t="s">
        <v>300</v>
      </c>
      <c r="R4987" t="s">
        <v>300</v>
      </c>
      <c r="S4987" s="112">
        <v>46149</v>
      </c>
      <c r="T4987" s="112">
        <v>46149</v>
      </c>
      <c r="V4987" s="112">
        <v>46180</v>
      </c>
      <c r="W4987" t="s">
        <v>679</v>
      </c>
      <c r="X4987">
        <v>1</v>
      </c>
      <c r="Y4987" t="s">
        <v>49</v>
      </c>
      <c r="AA4987" t="s">
        <v>122</v>
      </c>
      <c r="AB4987">
        <v>1</v>
      </c>
      <c r="AC4987" t="s">
        <v>301</v>
      </c>
      <c r="AD4987" t="s">
        <v>2734</v>
      </c>
      <c r="AE4987" t="s">
        <v>106</v>
      </c>
      <c r="AF4987" t="s">
        <v>59</v>
      </c>
      <c r="AG4987" t="str">
        <f t="shared" si="119"/>
        <v>Recorrente</v>
      </c>
      <c r="AH4987" t="str">
        <f t="shared" si="120"/>
        <v/>
      </c>
    </row>
    <row r="4988" spans="1:34">
      <c r="A4988">
        <v>2026</v>
      </c>
      <c r="B4988">
        <v>5</v>
      </c>
      <c r="C4988" s="83">
        <v>220039674627</v>
      </c>
      <c r="D4988" t="s">
        <v>4244</v>
      </c>
      <c r="E4988">
        <v>60053784972</v>
      </c>
      <c r="F4988">
        <v>637599</v>
      </c>
      <c r="G4988">
        <v>55076384680</v>
      </c>
      <c r="H4988" t="s">
        <v>35</v>
      </c>
      <c r="I4988" s="36">
        <v>259.5</v>
      </c>
      <c r="J4988" s="36">
        <v>3114</v>
      </c>
      <c r="K4988" s="85">
        <v>0</v>
      </c>
      <c r="L4988" s="36">
        <v>259.5</v>
      </c>
      <c r="M4988" s="36">
        <v>259.5</v>
      </c>
      <c r="N4988" s="36">
        <v>0</v>
      </c>
      <c r="O4988" s="36">
        <v>0</v>
      </c>
      <c r="P4988" t="s">
        <v>829</v>
      </c>
      <c r="Q4988" t="s">
        <v>300</v>
      </c>
      <c r="R4988" t="s">
        <v>300</v>
      </c>
      <c r="S4988" s="112">
        <v>46148</v>
      </c>
      <c r="T4988" s="112">
        <v>46148</v>
      </c>
      <c r="V4988" s="112"/>
      <c r="W4988" t="s">
        <v>2733</v>
      </c>
      <c r="Y4988" t="s">
        <v>49</v>
      </c>
      <c r="AA4988" t="s">
        <v>122</v>
      </c>
      <c r="AB4988">
        <v>12</v>
      </c>
      <c r="AC4988" t="s">
        <v>301</v>
      </c>
      <c r="AD4988" t="s">
        <v>2734</v>
      </c>
      <c r="AE4988" t="s">
        <v>106</v>
      </c>
      <c r="AF4988" t="s">
        <v>59</v>
      </c>
      <c r="AG4988" t="str">
        <f t="shared" si="119"/>
        <v>Recorrente</v>
      </c>
      <c r="AH4988" t="str">
        <f t="shared" si="120"/>
        <v/>
      </c>
    </row>
    <row r="4989" spans="1:34">
      <c r="A4989">
        <v>2026</v>
      </c>
      <c r="B4989">
        <v>5</v>
      </c>
      <c r="C4989" s="83">
        <v>220100514049</v>
      </c>
      <c r="D4989" t="s">
        <v>4245</v>
      </c>
      <c r="E4989">
        <v>60056927311</v>
      </c>
      <c r="F4989">
        <v>637606</v>
      </c>
      <c r="G4989">
        <v>55078056868</v>
      </c>
      <c r="H4989" t="s">
        <v>35</v>
      </c>
      <c r="I4989" s="36">
        <v>259.5</v>
      </c>
      <c r="J4989" s="36">
        <v>3114</v>
      </c>
      <c r="K4989" s="85">
        <v>0</v>
      </c>
      <c r="L4989" s="36">
        <v>259.5</v>
      </c>
      <c r="M4989" s="36">
        <v>259.5</v>
      </c>
      <c r="N4989" s="36">
        <v>0</v>
      </c>
      <c r="O4989" s="36">
        <v>0</v>
      </c>
      <c r="P4989" t="s">
        <v>506</v>
      </c>
      <c r="Q4989" t="s">
        <v>300</v>
      </c>
      <c r="R4989" t="s">
        <v>300</v>
      </c>
      <c r="S4989" s="112">
        <v>46148</v>
      </c>
      <c r="T4989" s="112">
        <v>46148</v>
      </c>
      <c r="W4989" t="s">
        <v>2733</v>
      </c>
      <c r="Y4989" t="s">
        <v>49</v>
      </c>
      <c r="AA4989" t="s">
        <v>122</v>
      </c>
      <c r="AB4989">
        <v>1</v>
      </c>
      <c r="AC4989" t="s">
        <v>301</v>
      </c>
      <c r="AD4989" t="s">
        <v>2734</v>
      </c>
      <c r="AE4989" t="s">
        <v>106</v>
      </c>
      <c r="AF4989" t="s">
        <v>59</v>
      </c>
      <c r="AG4989" t="str">
        <f t="shared" si="119"/>
        <v>Recorrente</v>
      </c>
      <c r="AH4989" t="str">
        <f t="shared" si="120"/>
        <v/>
      </c>
    </row>
    <row r="4990" spans="1:34">
      <c r="A4990">
        <v>2026</v>
      </c>
      <c r="B4990">
        <v>5</v>
      </c>
      <c r="C4990" s="83">
        <v>220226747692</v>
      </c>
      <c r="D4990" t="s">
        <v>4246</v>
      </c>
      <c r="E4990">
        <v>60072861028</v>
      </c>
      <c r="F4990">
        <v>637624</v>
      </c>
      <c r="G4990">
        <v>55092238407</v>
      </c>
      <c r="H4990" t="s">
        <v>35</v>
      </c>
      <c r="I4990" s="36">
        <v>259.5</v>
      </c>
      <c r="J4990" s="36">
        <v>3114</v>
      </c>
      <c r="K4990" s="85">
        <v>0</v>
      </c>
      <c r="L4990" s="36">
        <v>259.5</v>
      </c>
      <c r="M4990" s="36">
        <v>259.5</v>
      </c>
      <c r="N4990" s="36">
        <v>0</v>
      </c>
      <c r="O4990" s="36">
        <v>0</v>
      </c>
      <c r="P4990" t="s">
        <v>506</v>
      </c>
      <c r="Q4990" t="s">
        <v>300</v>
      </c>
      <c r="R4990" t="s">
        <v>300</v>
      </c>
      <c r="S4990" s="112">
        <v>46149</v>
      </c>
      <c r="T4990" s="112">
        <v>46149</v>
      </c>
      <c r="W4990" t="s">
        <v>2733</v>
      </c>
      <c r="Y4990" t="s">
        <v>49</v>
      </c>
      <c r="AA4990" t="s">
        <v>122</v>
      </c>
      <c r="AB4990">
        <v>1</v>
      </c>
      <c r="AC4990" t="s">
        <v>301</v>
      </c>
      <c r="AD4990" t="s">
        <v>2734</v>
      </c>
      <c r="AE4990" t="s">
        <v>106</v>
      </c>
      <c r="AF4990" t="s">
        <v>59</v>
      </c>
      <c r="AG4990" t="str">
        <f t="shared" si="119"/>
        <v>Recorrente</v>
      </c>
      <c r="AH4990" t="str">
        <f t="shared" si="120"/>
        <v/>
      </c>
    </row>
    <row r="4991" spans="1:34">
      <c r="A4991">
        <v>2026</v>
      </c>
      <c r="B4991">
        <v>5</v>
      </c>
      <c r="C4991" s="83">
        <v>220445159753</v>
      </c>
      <c r="D4991" t="s">
        <v>4247</v>
      </c>
      <c r="E4991">
        <v>60122944073</v>
      </c>
      <c r="F4991">
        <v>637722</v>
      </c>
      <c r="G4991">
        <v>55196574215</v>
      </c>
      <c r="H4991" t="s">
        <v>35</v>
      </c>
      <c r="I4991" s="36">
        <v>259.5</v>
      </c>
      <c r="J4991" s="36">
        <v>3114</v>
      </c>
      <c r="K4991" s="85">
        <v>0</v>
      </c>
      <c r="L4991" s="36">
        <v>259.5</v>
      </c>
      <c r="M4991" s="36">
        <v>259.5</v>
      </c>
      <c r="N4991" s="36">
        <v>0</v>
      </c>
      <c r="O4991" s="36">
        <v>0</v>
      </c>
      <c r="P4991" t="s">
        <v>3642</v>
      </c>
      <c r="Q4991" t="s">
        <v>300</v>
      </c>
      <c r="R4991" t="s">
        <v>300</v>
      </c>
      <c r="S4991" s="112">
        <v>46153</v>
      </c>
      <c r="T4991" s="112">
        <v>46153</v>
      </c>
      <c r="W4991" t="s">
        <v>2733</v>
      </c>
      <c r="Y4991" t="s">
        <v>49</v>
      </c>
      <c r="AA4991" t="s">
        <v>122</v>
      </c>
      <c r="AB4991">
        <v>1</v>
      </c>
      <c r="AC4991" t="s">
        <v>301</v>
      </c>
      <c r="AD4991" t="s">
        <v>2734</v>
      </c>
      <c r="AE4991" t="s">
        <v>106</v>
      </c>
      <c r="AF4991" t="s">
        <v>59</v>
      </c>
      <c r="AG4991" t="str">
        <f t="shared" si="119"/>
        <v>Recorrente</v>
      </c>
      <c r="AH4991" t="str">
        <f t="shared" si="120"/>
        <v/>
      </c>
    </row>
    <row r="4992" spans="1:34">
      <c r="A4992">
        <v>2026</v>
      </c>
      <c r="B4992">
        <v>5</v>
      </c>
      <c r="C4992" s="83">
        <v>223074643096</v>
      </c>
      <c r="D4992" t="s">
        <v>4248</v>
      </c>
      <c r="E4992">
        <v>60642110327</v>
      </c>
      <c r="F4992">
        <v>637986</v>
      </c>
      <c r="G4992">
        <v>55623663970</v>
      </c>
      <c r="H4992" t="s">
        <v>35</v>
      </c>
      <c r="I4992" s="36">
        <v>259.5</v>
      </c>
      <c r="J4992" s="36">
        <v>3114</v>
      </c>
      <c r="K4992" s="85">
        <v>0</v>
      </c>
      <c r="L4992" s="36">
        <v>259.5</v>
      </c>
      <c r="M4992" s="36">
        <v>259.5</v>
      </c>
      <c r="N4992" s="36">
        <v>0</v>
      </c>
      <c r="O4992" s="36">
        <v>0</v>
      </c>
      <c r="P4992" t="s">
        <v>506</v>
      </c>
      <c r="Q4992" t="s">
        <v>300</v>
      </c>
      <c r="R4992" t="s">
        <v>300</v>
      </c>
      <c r="S4992" s="112">
        <v>46168</v>
      </c>
      <c r="T4992" s="112">
        <v>46168</v>
      </c>
      <c r="W4992" t="s">
        <v>2733</v>
      </c>
      <c r="Y4992" t="s">
        <v>49</v>
      </c>
      <c r="AA4992" t="s">
        <v>122</v>
      </c>
      <c r="AB4992">
        <v>1</v>
      </c>
      <c r="AC4992" t="s">
        <v>301</v>
      </c>
      <c r="AD4992" t="s">
        <v>2734</v>
      </c>
      <c r="AE4992" t="s">
        <v>106</v>
      </c>
      <c r="AF4992" t="s">
        <v>59</v>
      </c>
      <c r="AG4992" t="str">
        <f t="shared" si="119"/>
        <v>Recorrente</v>
      </c>
      <c r="AH4992" t="str">
        <f t="shared" si="120"/>
        <v/>
      </c>
    </row>
    <row r="4993" spans="1:34">
      <c r="A4993">
        <v>2026</v>
      </c>
      <c r="B4993">
        <v>5</v>
      </c>
      <c r="C4993" s="83">
        <v>223271328579</v>
      </c>
      <c r="D4993" t="s">
        <v>4249</v>
      </c>
      <c r="E4993">
        <v>60553648711</v>
      </c>
      <c r="F4993">
        <v>637927</v>
      </c>
      <c r="G4993">
        <v>55519636408</v>
      </c>
      <c r="H4993" t="s">
        <v>35</v>
      </c>
      <c r="I4993" s="36">
        <v>259.5</v>
      </c>
      <c r="J4993" s="36">
        <v>3114</v>
      </c>
      <c r="K4993" s="85">
        <v>0</v>
      </c>
      <c r="L4993" s="36">
        <v>259.5</v>
      </c>
      <c r="M4993" s="36">
        <v>259.5</v>
      </c>
      <c r="N4993" s="36">
        <v>0</v>
      </c>
      <c r="O4993" s="36">
        <v>0</v>
      </c>
      <c r="P4993" t="s">
        <v>2004</v>
      </c>
      <c r="Q4993" t="s">
        <v>300</v>
      </c>
      <c r="R4993" t="s">
        <v>300</v>
      </c>
      <c r="S4993" s="112">
        <v>46164</v>
      </c>
      <c r="T4993" s="112">
        <v>46164</v>
      </c>
      <c r="W4993" t="s">
        <v>2733</v>
      </c>
      <c r="Y4993" t="s">
        <v>49</v>
      </c>
      <c r="AA4993" t="s">
        <v>122</v>
      </c>
      <c r="AB4993">
        <v>1</v>
      </c>
      <c r="AC4993" t="s">
        <v>301</v>
      </c>
      <c r="AD4993" t="s">
        <v>2734</v>
      </c>
      <c r="AE4993" t="s">
        <v>106</v>
      </c>
      <c r="AF4993" t="s">
        <v>59</v>
      </c>
      <c r="AG4993" t="str">
        <f t="shared" si="119"/>
        <v>Recorrente</v>
      </c>
      <c r="AH4993" t="str">
        <f t="shared" si="120"/>
        <v/>
      </c>
    </row>
    <row r="4994" spans="1:34">
      <c r="A4994">
        <v>2026</v>
      </c>
      <c r="B4994">
        <v>5</v>
      </c>
      <c r="C4994" s="83">
        <v>223687762471</v>
      </c>
      <c r="D4994" t="s">
        <v>4250</v>
      </c>
      <c r="E4994">
        <v>60622609512</v>
      </c>
      <c r="F4994">
        <v>637947</v>
      </c>
      <c r="G4994">
        <v>55608828495</v>
      </c>
      <c r="H4994" t="s">
        <v>35</v>
      </c>
      <c r="I4994" s="36">
        <v>259.5</v>
      </c>
      <c r="J4994" s="36">
        <v>3114</v>
      </c>
      <c r="K4994" s="85">
        <v>0</v>
      </c>
      <c r="L4994" s="36">
        <v>259.5</v>
      </c>
      <c r="M4994" s="36">
        <v>259.5</v>
      </c>
      <c r="N4994" s="36">
        <v>0</v>
      </c>
      <c r="O4994" s="36">
        <v>0</v>
      </c>
      <c r="P4994" t="s">
        <v>829</v>
      </c>
      <c r="Q4994" t="s">
        <v>300</v>
      </c>
      <c r="R4994" t="s">
        <v>300</v>
      </c>
      <c r="S4994" s="112">
        <v>46167</v>
      </c>
      <c r="T4994" s="112">
        <v>46167</v>
      </c>
      <c r="W4994" t="s">
        <v>2733</v>
      </c>
      <c r="Y4994" t="s">
        <v>49</v>
      </c>
      <c r="AA4994" t="s">
        <v>122</v>
      </c>
      <c r="AB4994">
        <v>1</v>
      </c>
      <c r="AC4994" t="s">
        <v>301</v>
      </c>
      <c r="AD4994" t="s">
        <v>2734</v>
      </c>
      <c r="AE4994" t="s">
        <v>106</v>
      </c>
      <c r="AF4994" t="s">
        <v>59</v>
      </c>
      <c r="AG4994" t="str">
        <f t="shared" si="119"/>
        <v>Recorrente</v>
      </c>
      <c r="AH4994" t="str">
        <f t="shared" si="120"/>
        <v/>
      </c>
    </row>
    <row r="4995" spans="1:34">
      <c r="A4995">
        <v>2026</v>
      </c>
      <c r="B4995">
        <v>5</v>
      </c>
      <c r="C4995" s="83">
        <v>224246499975</v>
      </c>
      <c r="D4995" t="s">
        <v>4251</v>
      </c>
      <c r="E4995">
        <v>60669602217</v>
      </c>
      <c r="F4995">
        <v>638017</v>
      </c>
      <c r="G4995">
        <v>55644791823</v>
      </c>
      <c r="H4995" t="s">
        <v>35</v>
      </c>
      <c r="I4995" s="36">
        <v>259.5</v>
      </c>
      <c r="J4995" s="36">
        <v>3114</v>
      </c>
      <c r="K4995" s="85">
        <v>0</v>
      </c>
      <c r="L4995" s="36">
        <v>259.5</v>
      </c>
      <c r="M4995" s="36">
        <v>259.5</v>
      </c>
      <c r="N4995" s="36">
        <v>0</v>
      </c>
      <c r="O4995" s="36">
        <v>0</v>
      </c>
      <c r="P4995" t="s">
        <v>506</v>
      </c>
      <c r="Q4995" t="s">
        <v>300</v>
      </c>
      <c r="R4995" t="s">
        <v>300</v>
      </c>
      <c r="S4995" s="112">
        <v>46169</v>
      </c>
      <c r="T4995" s="112">
        <v>46169</v>
      </c>
      <c r="W4995" t="s">
        <v>2733</v>
      </c>
      <c r="Y4995" t="s">
        <v>49</v>
      </c>
      <c r="AA4995" t="s">
        <v>122</v>
      </c>
      <c r="AB4995">
        <v>1</v>
      </c>
      <c r="AC4995" t="s">
        <v>301</v>
      </c>
      <c r="AD4995" t="s">
        <v>2734</v>
      </c>
      <c r="AE4995" t="s">
        <v>106</v>
      </c>
      <c r="AF4995" t="s">
        <v>59</v>
      </c>
      <c r="AG4995" t="str">
        <f t="shared" si="119"/>
        <v>Recorrente</v>
      </c>
      <c r="AH4995" t="str">
        <f t="shared" si="120"/>
        <v/>
      </c>
    </row>
    <row r="4996" spans="1:34">
      <c r="A4996">
        <v>2026</v>
      </c>
      <c r="B4996">
        <v>5</v>
      </c>
      <c r="C4996" s="83">
        <v>224381679178</v>
      </c>
      <c r="D4996" t="s">
        <v>4252</v>
      </c>
      <c r="E4996">
        <v>60646649694</v>
      </c>
      <c r="F4996">
        <v>637981</v>
      </c>
      <c r="G4996">
        <v>55623661607</v>
      </c>
      <c r="H4996" t="s">
        <v>35</v>
      </c>
      <c r="I4996" s="36">
        <v>259.5</v>
      </c>
      <c r="J4996" s="36">
        <v>3114</v>
      </c>
      <c r="K4996" s="85">
        <v>0</v>
      </c>
      <c r="L4996" s="36">
        <v>259.5</v>
      </c>
      <c r="M4996" s="36">
        <v>259.5</v>
      </c>
      <c r="N4996" s="36">
        <v>0</v>
      </c>
      <c r="O4996" s="36">
        <v>0</v>
      </c>
      <c r="P4996" t="s">
        <v>3179</v>
      </c>
      <c r="Q4996" t="s">
        <v>300</v>
      </c>
      <c r="R4996" t="s">
        <v>300</v>
      </c>
      <c r="S4996" s="112">
        <v>46168</v>
      </c>
      <c r="T4996" s="112">
        <v>46168</v>
      </c>
      <c r="W4996" t="s">
        <v>2733</v>
      </c>
      <c r="Y4996" t="s">
        <v>49</v>
      </c>
      <c r="AA4996" t="s">
        <v>122</v>
      </c>
      <c r="AB4996">
        <v>1</v>
      </c>
      <c r="AC4996" t="s">
        <v>301</v>
      </c>
      <c r="AD4996" t="s">
        <v>2734</v>
      </c>
      <c r="AE4996" t="s">
        <v>106</v>
      </c>
      <c r="AF4996" t="s">
        <v>59</v>
      </c>
      <c r="AG4996" t="str">
        <f t="shared" si="119"/>
        <v>Recorrente</v>
      </c>
      <c r="AH4996" t="str">
        <f t="shared" si="120"/>
        <v/>
      </c>
    </row>
    <row r="4997" spans="1:34">
      <c r="A4997">
        <v>2026</v>
      </c>
      <c r="B4997">
        <v>5</v>
      </c>
      <c r="C4997" s="83">
        <v>224491660940</v>
      </c>
      <c r="D4997" t="s">
        <v>4253</v>
      </c>
      <c r="E4997">
        <v>60381483436</v>
      </c>
      <c r="F4997">
        <v>637873</v>
      </c>
      <c r="G4997">
        <v>55340473405</v>
      </c>
      <c r="H4997" t="s">
        <v>35</v>
      </c>
      <c r="I4997" s="36">
        <v>259.5</v>
      </c>
      <c r="J4997" s="36">
        <v>3114</v>
      </c>
      <c r="K4997" s="85">
        <v>0</v>
      </c>
      <c r="L4997" s="36">
        <v>259.5</v>
      </c>
      <c r="M4997" s="36">
        <v>259.5</v>
      </c>
      <c r="N4997" s="36">
        <v>0</v>
      </c>
      <c r="O4997" s="36">
        <v>0</v>
      </c>
      <c r="P4997" t="s">
        <v>506</v>
      </c>
      <c r="Q4997" t="s">
        <v>300</v>
      </c>
      <c r="R4997" t="s">
        <v>300</v>
      </c>
      <c r="S4997" s="112">
        <v>46162</v>
      </c>
      <c r="T4997" s="112">
        <v>46162</v>
      </c>
      <c r="W4997" t="s">
        <v>2733</v>
      </c>
      <c r="Y4997" t="s">
        <v>49</v>
      </c>
      <c r="AA4997" t="s">
        <v>122</v>
      </c>
      <c r="AB4997">
        <v>1</v>
      </c>
      <c r="AC4997" t="s">
        <v>301</v>
      </c>
      <c r="AD4997" t="s">
        <v>2734</v>
      </c>
      <c r="AE4997" t="s">
        <v>106</v>
      </c>
      <c r="AF4997" t="s">
        <v>59</v>
      </c>
      <c r="AG4997" t="str">
        <f t="shared" si="119"/>
        <v>Recorrente</v>
      </c>
      <c r="AH4997" t="str">
        <f t="shared" si="120"/>
        <v/>
      </c>
    </row>
    <row r="4998" spans="1:34">
      <c r="A4998">
        <v>2026</v>
      </c>
      <c r="B4998">
        <v>5</v>
      </c>
      <c r="C4998" s="83">
        <v>224530143392</v>
      </c>
      <c r="D4998" t="s">
        <v>4254</v>
      </c>
      <c r="E4998">
        <v>60691954599</v>
      </c>
      <c r="F4998">
        <v>638055</v>
      </c>
      <c r="G4998">
        <v>55661582696</v>
      </c>
      <c r="H4998" t="s">
        <v>35</v>
      </c>
      <c r="I4998" s="36">
        <v>259.5</v>
      </c>
      <c r="J4998" s="36">
        <v>3114</v>
      </c>
      <c r="K4998" s="85">
        <v>0</v>
      </c>
      <c r="L4998" s="36">
        <v>259.5</v>
      </c>
      <c r="M4998" s="36">
        <v>259.5</v>
      </c>
      <c r="N4998" s="36">
        <v>0</v>
      </c>
      <c r="O4998" s="36">
        <v>0</v>
      </c>
      <c r="P4998" t="s">
        <v>3179</v>
      </c>
      <c r="Q4998" t="s">
        <v>300</v>
      </c>
      <c r="R4998" t="s">
        <v>300</v>
      </c>
      <c r="S4998" s="112">
        <v>46170</v>
      </c>
      <c r="T4998" s="112">
        <v>46170</v>
      </c>
      <c r="W4998" t="s">
        <v>2733</v>
      </c>
      <c r="Y4998" t="s">
        <v>49</v>
      </c>
      <c r="AA4998" t="s">
        <v>122</v>
      </c>
      <c r="AB4998">
        <v>1</v>
      </c>
      <c r="AC4998" t="s">
        <v>301</v>
      </c>
      <c r="AD4998" t="s">
        <v>2734</v>
      </c>
      <c r="AE4998" t="s">
        <v>106</v>
      </c>
      <c r="AF4998" t="s">
        <v>59</v>
      </c>
      <c r="AG4998" t="str">
        <f t="shared" si="119"/>
        <v>Recorrente</v>
      </c>
      <c r="AH4998" t="str">
        <f t="shared" si="120"/>
        <v/>
      </c>
    </row>
    <row r="4999" spans="1:34">
      <c r="A4999">
        <v>2026</v>
      </c>
      <c r="B4999">
        <v>5</v>
      </c>
      <c r="C4999" s="83">
        <v>2251281</v>
      </c>
      <c r="D4999" t="s">
        <v>4255</v>
      </c>
      <c r="E4999">
        <v>60716434335</v>
      </c>
      <c r="F4999">
        <v>638081</v>
      </c>
      <c r="G4999">
        <v>55686088806</v>
      </c>
      <c r="H4999" t="s">
        <v>35</v>
      </c>
      <c r="I4999" s="36">
        <v>259.5</v>
      </c>
      <c r="J4999" s="36">
        <v>3114</v>
      </c>
      <c r="K4999" s="85">
        <v>0</v>
      </c>
      <c r="L4999" s="36">
        <v>259.5</v>
      </c>
      <c r="M4999" s="36">
        <v>259.5</v>
      </c>
      <c r="N4999" s="36">
        <v>0</v>
      </c>
      <c r="O4999" s="36">
        <v>0</v>
      </c>
      <c r="P4999" t="s">
        <v>829</v>
      </c>
      <c r="Q4999" t="s">
        <v>300</v>
      </c>
      <c r="R4999" t="s">
        <v>300</v>
      </c>
      <c r="S4999" s="112">
        <v>46171</v>
      </c>
      <c r="T4999" s="112">
        <v>46171</v>
      </c>
      <c r="W4999" t="s">
        <v>2733</v>
      </c>
      <c r="Y4999" t="s">
        <v>49</v>
      </c>
      <c r="AA4999" t="s">
        <v>122</v>
      </c>
      <c r="AB4999">
        <v>1</v>
      </c>
      <c r="AC4999" t="s">
        <v>301</v>
      </c>
      <c r="AD4999" t="s">
        <v>2734</v>
      </c>
      <c r="AE4999" t="s">
        <v>106</v>
      </c>
      <c r="AF4999" t="s">
        <v>59</v>
      </c>
      <c r="AG4999" t="str">
        <f t="shared" si="119"/>
        <v>Recorrente</v>
      </c>
      <c r="AH4999" t="str">
        <f t="shared" si="120"/>
        <v/>
      </c>
    </row>
    <row r="5000" spans="1:34">
      <c r="A5000">
        <v>2026</v>
      </c>
      <c r="B5000">
        <v>5</v>
      </c>
      <c r="C5000" s="83">
        <v>227372254224</v>
      </c>
      <c r="D5000" t="s">
        <v>4256</v>
      </c>
      <c r="E5000">
        <v>59660564826</v>
      </c>
      <c r="F5000">
        <v>637540</v>
      </c>
      <c r="G5000">
        <v>54703720852</v>
      </c>
      <c r="H5000" t="s">
        <v>35</v>
      </c>
      <c r="I5000" s="36">
        <v>259.5</v>
      </c>
      <c r="J5000" s="36">
        <v>3114</v>
      </c>
      <c r="K5000" s="85">
        <v>0</v>
      </c>
      <c r="L5000" s="36">
        <v>259.5</v>
      </c>
      <c r="M5000" s="36">
        <v>259.5</v>
      </c>
      <c r="N5000" s="36">
        <v>0</v>
      </c>
      <c r="O5000" s="36">
        <v>0</v>
      </c>
      <c r="P5000" t="s">
        <v>511</v>
      </c>
      <c r="Q5000" t="s">
        <v>300</v>
      </c>
      <c r="R5000" t="s">
        <v>300</v>
      </c>
      <c r="S5000" s="112">
        <v>46143</v>
      </c>
      <c r="T5000" s="112">
        <v>46143</v>
      </c>
      <c r="W5000" t="s">
        <v>2733</v>
      </c>
      <c r="Y5000" t="s">
        <v>49</v>
      </c>
      <c r="AA5000" t="s">
        <v>122</v>
      </c>
      <c r="AB5000">
        <v>1</v>
      </c>
      <c r="AC5000" t="s">
        <v>301</v>
      </c>
      <c r="AD5000" t="s">
        <v>2734</v>
      </c>
      <c r="AE5000" t="s">
        <v>106</v>
      </c>
      <c r="AF5000" t="s">
        <v>59</v>
      </c>
      <c r="AG5000" t="str">
        <f t="shared" si="119"/>
        <v>Recorrente</v>
      </c>
      <c r="AH5000" t="str">
        <f t="shared" si="120"/>
        <v/>
      </c>
    </row>
    <row r="5001" spans="1:34">
      <c r="A5001">
        <v>2026</v>
      </c>
      <c r="B5001">
        <v>5</v>
      </c>
      <c r="C5001" s="83">
        <v>229165724950</v>
      </c>
      <c r="D5001" t="s">
        <v>4257</v>
      </c>
      <c r="E5001">
        <v>60669845300</v>
      </c>
      <c r="F5001">
        <v>638018</v>
      </c>
      <c r="G5001">
        <v>55644758055</v>
      </c>
      <c r="H5001" t="s">
        <v>35</v>
      </c>
      <c r="I5001" s="36">
        <v>259.5</v>
      </c>
      <c r="J5001" s="36">
        <v>3114</v>
      </c>
      <c r="K5001" s="85">
        <v>0</v>
      </c>
      <c r="L5001" s="36">
        <v>259.5</v>
      </c>
      <c r="M5001" s="36">
        <v>259.5</v>
      </c>
      <c r="N5001" s="36">
        <v>0</v>
      </c>
      <c r="O5001" s="36">
        <v>0</v>
      </c>
      <c r="P5001" t="s">
        <v>3642</v>
      </c>
      <c r="Q5001" t="s">
        <v>300</v>
      </c>
      <c r="R5001" t="s">
        <v>300</v>
      </c>
      <c r="S5001" s="112">
        <v>46169</v>
      </c>
      <c r="T5001" s="112">
        <v>46169</v>
      </c>
      <c r="W5001" t="s">
        <v>2733</v>
      </c>
      <c r="Y5001" t="s">
        <v>49</v>
      </c>
      <c r="AA5001" t="s">
        <v>122</v>
      </c>
      <c r="AB5001">
        <v>1</v>
      </c>
      <c r="AC5001" t="s">
        <v>301</v>
      </c>
      <c r="AD5001" t="s">
        <v>2734</v>
      </c>
      <c r="AE5001" t="s">
        <v>106</v>
      </c>
      <c r="AF5001" t="s">
        <v>59</v>
      </c>
      <c r="AG5001" t="str">
        <f t="shared" si="119"/>
        <v>Recorrente</v>
      </c>
      <c r="AH5001" t="str">
        <f t="shared" si="120"/>
        <v/>
      </c>
    </row>
    <row r="5002" spans="1:34">
      <c r="A5002">
        <v>2026</v>
      </c>
      <c r="B5002">
        <v>5</v>
      </c>
      <c r="C5002" s="83">
        <v>23034279565</v>
      </c>
      <c r="D5002" t="s">
        <v>4258</v>
      </c>
      <c r="E5002">
        <v>60203947594</v>
      </c>
      <c r="F5002">
        <v>637768</v>
      </c>
      <c r="G5002">
        <v>55191152289</v>
      </c>
      <c r="H5002" t="s">
        <v>35</v>
      </c>
      <c r="I5002" s="36">
        <v>259.5</v>
      </c>
      <c r="J5002" s="36">
        <v>3114</v>
      </c>
      <c r="K5002" s="85">
        <v>0</v>
      </c>
      <c r="L5002" s="36">
        <v>259.5</v>
      </c>
      <c r="M5002" s="36">
        <v>259.5</v>
      </c>
      <c r="N5002" s="36">
        <v>0</v>
      </c>
      <c r="O5002" s="36">
        <v>0</v>
      </c>
      <c r="P5002" t="s">
        <v>511</v>
      </c>
      <c r="Q5002" t="s">
        <v>300</v>
      </c>
      <c r="R5002" t="s">
        <v>300</v>
      </c>
      <c r="S5002" s="112">
        <v>46155</v>
      </c>
      <c r="T5002" s="112">
        <v>46155</v>
      </c>
      <c r="W5002" t="s">
        <v>2733</v>
      </c>
      <c r="Y5002" t="s">
        <v>49</v>
      </c>
      <c r="AA5002" t="s">
        <v>122</v>
      </c>
      <c r="AB5002">
        <v>1</v>
      </c>
      <c r="AC5002" t="s">
        <v>301</v>
      </c>
      <c r="AD5002" t="s">
        <v>2734</v>
      </c>
      <c r="AE5002" t="s">
        <v>106</v>
      </c>
      <c r="AF5002" t="s">
        <v>59</v>
      </c>
      <c r="AG5002" t="str">
        <f t="shared" si="119"/>
        <v>Recorrente</v>
      </c>
      <c r="AH5002" t="str">
        <f t="shared" si="120"/>
        <v/>
      </c>
    </row>
    <row r="5003" spans="1:34">
      <c r="A5003">
        <v>2026</v>
      </c>
      <c r="B5003">
        <v>5</v>
      </c>
      <c r="C5003" s="83">
        <v>23278735986</v>
      </c>
      <c r="D5003" t="s">
        <v>4259</v>
      </c>
      <c r="E5003">
        <v>60030541919</v>
      </c>
      <c r="F5003">
        <v>637582</v>
      </c>
      <c r="G5003">
        <v>55039001004</v>
      </c>
      <c r="H5003" t="s">
        <v>35</v>
      </c>
      <c r="I5003" s="36">
        <v>259.5</v>
      </c>
      <c r="J5003" s="36">
        <v>3114</v>
      </c>
      <c r="K5003" s="85">
        <v>0</v>
      </c>
      <c r="L5003" s="36">
        <v>259.5</v>
      </c>
      <c r="M5003" s="36">
        <v>259.5</v>
      </c>
      <c r="N5003" s="36">
        <v>0</v>
      </c>
      <c r="O5003" s="36">
        <v>0</v>
      </c>
      <c r="P5003" t="s">
        <v>3179</v>
      </c>
      <c r="Q5003" t="s">
        <v>300</v>
      </c>
      <c r="R5003" t="s">
        <v>300</v>
      </c>
      <c r="S5003" s="112">
        <v>46147</v>
      </c>
      <c r="T5003" s="112">
        <v>46147</v>
      </c>
      <c r="V5003" s="112">
        <v>46178</v>
      </c>
      <c r="W5003" t="s">
        <v>679</v>
      </c>
      <c r="X5003">
        <v>1</v>
      </c>
      <c r="Y5003" t="s">
        <v>49</v>
      </c>
      <c r="AA5003" t="s">
        <v>122</v>
      </c>
      <c r="AB5003">
        <v>1</v>
      </c>
      <c r="AC5003" t="s">
        <v>301</v>
      </c>
      <c r="AD5003" t="s">
        <v>2734</v>
      </c>
      <c r="AE5003" t="s">
        <v>106</v>
      </c>
      <c r="AF5003" t="s">
        <v>59</v>
      </c>
      <c r="AG5003" t="str">
        <f t="shared" si="119"/>
        <v>Recorrente</v>
      </c>
      <c r="AH5003" t="str">
        <f t="shared" si="120"/>
        <v/>
      </c>
    </row>
    <row r="5004" spans="1:34">
      <c r="A5004">
        <v>2026</v>
      </c>
      <c r="B5004">
        <v>5</v>
      </c>
      <c r="C5004" s="83">
        <v>54711444600</v>
      </c>
      <c r="D5004" t="s">
        <v>4260</v>
      </c>
      <c r="E5004">
        <v>60036238521</v>
      </c>
      <c r="F5004">
        <v>637585</v>
      </c>
      <c r="G5004">
        <v>55061303622</v>
      </c>
      <c r="H5004" t="s">
        <v>35</v>
      </c>
      <c r="I5004" s="36">
        <v>259.5</v>
      </c>
      <c r="J5004" s="36">
        <v>3114</v>
      </c>
      <c r="K5004" s="85">
        <v>0</v>
      </c>
      <c r="L5004" s="36">
        <v>259.5</v>
      </c>
      <c r="M5004" s="36">
        <v>259.5</v>
      </c>
      <c r="N5004" s="36">
        <v>0</v>
      </c>
      <c r="O5004" s="36">
        <v>0</v>
      </c>
      <c r="P5004" t="s">
        <v>3642</v>
      </c>
      <c r="Q5004" t="s">
        <v>300</v>
      </c>
      <c r="R5004" t="s">
        <v>300</v>
      </c>
      <c r="S5004" s="112">
        <v>46147</v>
      </c>
      <c r="T5004" s="112">
        <v>46147</v>
      </c>
      <c r="V5004" s="112"/>
      <c r="W5004" t="s">
        <v>2733</v>
      </c>
      <c r="Y5004" t="s">
        <v>49</v>
      </c>
      <c r="AA5004" t="s">
        <v>122</v>
      </c>
      <c r="AB5004">
        <v>1</v>
      </c>
      <c r="AC5004" t="s">
        <v>301</v>
      </c>
      <c r="AD5004" t="s">
        <v>2734</v>
      </c>
      <c r="AE5004" t="s">
        <v>106</v>
      </c>
      <c r="AF5004" t="s">
        <v>59</v>
      </c>
      <c r="AG5004" t="str">
        <f t="shared" si="119"/>
        <v>Recorrente</v>
      </c>
      <c r="AH5004" t="str">
        <f t="shared" si="120"/>
        <v/>
      </c>
    </row>
    <row r="5005" spans="1:34">
      <c r="A5005">
        <v>2026</v>
      </c>
      <c r="B5005">
        <v>5</v>
      </c>
      <c r="C5005" s="83">
        <v>54751401873</v>
      </c>
      <c r="D5005" t="s">
        <v>4261</v>
      </c>
      <c r="E5005">
        <v>60007287306</v>
      </c>
      <c r="F5005">
        <v>637622</v>
      </c>
      <c r="G5005">
        <v>55076470031</v>
      </c>
      <c r="H5005" t="s">
        <v>35</v>
      </c>
      <c r="I5005" s="36">
        <v>259.5</v>
      </c>
      <c r="J5005" s="36">
        <v>3114</v>
      </c>
      <c r="K5005" s="85">
        <v>0</v>
      </c>
      <c r="L5005" s="36">
        <v>259.5</v>
      </c>
      <c r="M5005" s="36">
        <v>259.5</v>
      </c>
      <c r="N5005" s="36">
        <v>0</v>
      </c>
      <c r="O5005" s="36">
        <v>0</v>
      </c>
      <c r="P5005" t="s">
        <v>3642</v>
      </c>
      <c r="Q5005" t="s">
        <v>300</v>
      </c>
      <c r="R5005" t="s">
        <v>300</v>
      </c>
      <c r="S5005" s="112">
        <v>46149</v>
      </c>
      <c r="T5005" s="112">
        <v>46149</v>
      </c>
      <c r="W5005" t="s">
        <v>2733</v>
      </c>
      <c r="Y5005" t="s">
        <v>49</v>
      </c>
      <c r="AA5005" t="s">
        <v>122</v>
      </c>
      <c r="AB5005">
        <v>1</v>
      </c>
      <c r="AC5005" t="s">
        <v>301</v>
      </c>
      <c r="AD5005" t="s">
        <v>2734</v>
      </c>
      <c r="AE5005" t="s">
        <v>106</v>
      </c>
      <c r="AF5005" t="s">
        <v>59</v>
      </c>
      <c r="AG5005" t="str">
        <f t="shared" si="119"/>
        <v>Recorrente</v>
      </c>
      <c r="AH5005" t="str">
        <f t="shared" si="120"/>
        <v/>
      </c>
    </row>
    <row r="5006" spans="1:34">
      <c r="A5006">
        <v>2026</v>
      </c>
      <c r="B5006">
        <v>5</v>
      </c>
      <c r="C5006" s="83">
        <v>54759701945</v>
      </c>
      <c r="D5006" t="s">
        <v>4262</v>
      </c>
      <c r="E5006">
        <v>60051003210</v>
      </c>
      <c r="F5006">
        <v>637610</v>
      </c>
      <c r="G5006">
        <v>55076461647</v>
      </c>
      <c r="H5006" t="s">
        <v>35</v>
      </c>
      <c r="I5006" s="36">
        <v>259.5</v>
      </c>
      <c r="J5006" s="36">
        <v>3114</v>
      </c>
      <c r="K5006" s="85">
        <v>0</v>
      </c>
      <c r="L5006" s="36">
        <v>259.5</v>
      </c>
      <c r="M5006" s="36">
        <v>259.5</v>
      </c>
      <c r="N5006" s="36">
        <v>0</v>
      </c>
      <c r="O5006" s="36">
        <v>0</v>
      </c>
      <c r="P5006" t="s">
        <v>3642</v>
      </c>
      <c r="Q5006" t="s">
        <v>300</v>
      </c>
      <c r="R5006" t="s">
        <v>300</v>
      </c>
      <c r="S5006" s="112">
        <v>46148</v>
      </c>
      <c r="T5006" s="112">
        <v>46148</v>
      </c>
      <c r="W5006" t="s">
        <v>2733</v>
      </c>
      <c r="Y5006" t="s">
        <v>49</v>
      </c>
      <c r="AA5006" t="s">
        <v>122</v>
      </c>
      <c r="AB5006">
        <v>1</v>
      </c>
      <c r="AC5006" t="s">
        <v>301</v>
      </c>
      <c r="AD5006" t="s">
        <v>2734</v>
      </c>
      <c r="AE5006" t="s">
        <v>106</v>
      </c>
      <c r="AF5006" t="s">
        <v>59</v>
      </c>
      <c r="AG5006" t="str">
        <f t="shared" si="119"/>
        <v>Recorrente</v>
      </c>
      <c r="AH5006" t="str">
        <f t="shared" si="120"/>
        <v/>
      </c>
    </row>
    <row r="5007" spans="1:34">
      <c r="A5007">
        <v>2026</v>
      </c>
      <c r="B5007">
        <v>5</v>
      </c>
      <c r="C5007" s="83">
        <v>55160356634</v>
      </c>
      <c r="D5007" t="s">
        <v>3775</v>
      </c>
      <c r="E5007">
        <v>60650633608</v>
      </c>
      <c r="F5007">
        <v>637991</v>
      </c>
      <c r="G5007">
        <v>55623731213</v>
      </c>
      <c r="H5007" t="s">
        <v>35</v>
      </c>
      <c r="I5007" s="36">
        <v>259.5</v>
      </c>
      <c r="J5007" s="36">
        <v>3114</v>
      </c>
      <c r="K5007" s="85">
        <v>0</v>
      </c>
      <c r="L5007" s="36">
        <v>259.5</v>
      </c>
      <c r="M5007" s="36">
        <v>259.5</v>
      </c>
      <c r="N5007" s="36">
        <v>0</v>
      </c>
      <c r="O5007" s="36">
        <v>0</v>
      </c>
      <c r="P5007" t="s">
        <v>3642</v>
      </c>
      <c r="Q5007" t="s">
        <v>300</v>
      </c>
      <c r="R5007" t="s">
        <v>300</v>
      </c>
      <c r="S5007" s="112">
        <v>46169</v>
      </c>
      <c r="T5007" s="112">
        <v>46169</v>
      </c>
      <c r="W5007" t="s">
        <v>2733</v>
      </c>
      <c r="Y5007" t="s">
        <v>49</v>
      </c>
      <c r="AA5007" t="s">
        <v>122</v>
      </c>
      <c r="AB5007">
        <v>1</v>
      </c>
      <c r="AC5007" t="s">
        <v>301</v>
      </c>
      <c r="AD5007" t="s">
        <v>2734</v>
      </c>
      <c r="AE5007" t="s">
        <v>106</v>
      </c>
      <c r="AF5007" t="s">
        <v>59</v>
      </c>
      <c r="AG5007" t="str">
        <f t="shared" si="119"/>
        <v>Recorrente</v>
      </c>
      <c r="AH5007" t="str">
        <f t="shared" si="120"/>
        <v/>
      </c>
    </row>
    <row r="5008" spans="1:34">
      <c r="A5008">
        <v>2026</v>
      </c>
      <c r="B5008">
        <v>5</v>
      </c>
      <c r="C5008" s="83">
        <v>217177200207</v>
      </c>
      <c r="D5008" t="s">
        <v>4263</v>
      </c>
      <c r="E5008">
        <v>60331106689</v>
      </c>
      <c r="F5008">
        <v>619037</v>
      </c>
      <c r="G5008">
        <v>55334156864</v>
      </c>
      <c r="H5008" t="s">
        <v>35</v>
      </c>
      <c r="I5008" s="36">
        <v>238.68</v>
      </c>
      <c r="J5008" s="36">
        <v>1320.96</v>
      </c>
      <c r="K5008" s="85">
        <v>0</v>
      </c>
      <c r="L5008" s="36">
        <v>110.08</v>
      </c>
      <c r="M5008" s="36">
        <v>0</v>
      </c>
      <c r="N5008" s="36">
        <v>110.08</v>
      </c>
      <c r="O5008" s="36">
        <v>0</v>
      </c>
      <c r="P5008" t="s">
        <v>323</v>
      </c>
      <c r="Q5008" t="s">
        <v>191</v>
      </c>
      <c r="R5008" t="s">
        <v>191</v>
      </c>
      <c r="S5008" s="112">
        <v>46161</v>
      </c>
      <c r="T5008" s="112">
        <v>46161</v>
      </c>
      <c r="U5008" s="112">
        <v>46592</v>
      </c>
      <c r="V5008" s="112">
        <v>46227</v>
      </c>
      <c r="W5008" t="s">
        <v>38</v>
      </c>
      <c r="X5008">
        <v>2</v>
      </c>
      <c r="Y5008" t="s">
        <v>49</v>
      </c>
      <c r="Z5008" t="s">
        <v>324</v>
      </c>
      <c r="AA5008" t="s">
        <v>122</v>
      </c>
      <c r="AB5008">
        <v>1</v>
      </c>
      <c r="AC5008" t="s">
        <v>192</v>
      </c>
      <c r="AD5008" t="s">
        <v>149</v>
      </c>
      <c r="AE5008" t="s">
        <v>43</v>
      </c>
      <c r="AF5008" t="s">
        <v>96</v>
      </c>
      <c r="AG5008" t="str">
        <f t="shared" si="119"/>
        <v>Recorrente</v>
      </c>
      <c r="AH5008" t="str">
        <f t="shared" si="120"/>
        <v/>
      </c>
    </row>
    <row r="5009" spans="19:22">
      <c r="S5009" s="112"/>
      <c r="T5009" s="112"/>
      <c r="U5009" s="112"/>
      <c r="V5009" s="112"/>
    </row>
  </sheetData>
  <autoFilter ref="A1:AH500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F392-3C17-48E0-973A-A9F5EA6823AE}">
  <dimension ref="A1:D47"/>
  <sheetViews>
    <sheetView workbookViewId="0">
      <pane ySplit="1" topLeftCell="A28" activePane="bottomLeft" state="frozen"/>
      <selection pane="bottomLeft" activeCell="C37" sqref="C37"/>
    </sheetView>
  </sheetViews>
  <sheetFormatPr defaultRowHeight="15"/>
  <cols>
    <col min="1" max="1" width="5.42578125" style="7" bestFit="1" customWidth="1"/>
    <col min="2" max="2" width="4.85546875" style="7" bestFit="1" customWidth="1"/>
    <col min="3" max="3" width="33.5703125" style="7" bestFit="1" customWidth="1"/>
    <col min="4" max="4" width="9.5703125" style="7" bestFit="1" customWidth="1"/>
  </cols>
  <sheetData>
    <row r="1" spans="1:4">
      <c r="A1" s="7" t="s">
        <v>4264</v>
      </c>
      <c r="B1" s="7" t="s">
        <v>4265</v>
      </c>
      <c r="C1" s="7" t="s">
        <v>4266</v>
      </c>
      <c r="D1" s="7" t="s">
        <v>4267</v>
      </c>
    </row>
    <row r="2" spans="1:4">
      <c r="A2" s="7">
        <v>2026</v>
      </c>
      <c r="B2" s="7">
        <v>1</v>
      </c>
      <c r="C2" s="7" t="s">
        <v>4268</v>
      </c>
      <c r="D2" s="7">
        <v>96</v>
      </c>
    </row>
    <row r="3" spans="1:4">
      <c r="A3" s="7">
        <v>2026</v>
      </c>
      <c r="B3" s="7">
        <v>1</v>
      </c>
      <c r="C3" s="7" t="s">
        <v>3446</v>
      </c>
      <c r="D3" s="7">
        <v>43</v>
      </c>
    </row>
    <row r="4" spans="1:4">
      <c r="A4" s="7">
        <v>2026</v>
      </c>
      <c r="B4" s="7">
        <v>1</v>
      </c>
      <c r="C4" s="7" t="s">
        <v>4269</v>
      </c>
      <c r="D4" s="7">
        <v>106</v>
      </c>
    </row>
    <row r="5" spans="1:4">
      <c r="A5" s="7">
        <v>2026</v>
      </c>
      <c r="B5" s="7">
        <v>1</v>
      </c>
      <c r="C5" s="7" t="s">
        <v>506</v>
      </c>
      <c r="D5" s="7">
        <v>1</v>
      </c>
    </row>
    <row r="6" spans="1:4">
      <c r="A6" s="7">
        <v>2026</v>
      </c>
      <c r="B6" s="7">
        <v>1</v>
      </c>
      <c r="C6" s="7" t="s">
        <v>4270</v>
      </c>
      <c r="D6" s="7">
        <v>124</v>
      </c>
    </row>
    <row r="7" spans="1:4">
      <c r="A7" s="7">
        <v>2026</v>
      </c>
      <c r="B7" s="7">
        <v>1</v>
      </c>
      <c r="C7" s="7" t="s">
        <v>4271</v>
      </c>
      <c r="D7" s="7">
        <v>61</v>
      </c>
    </row>
    <row r="8" spans="1:4">
      <c r="A8" s="7">
        <v>2026</v>
      </c>
      <c r="B8" s="7">
        <v>1</v>
      </c>
      <c r="C8" s="7" t="s">
        <v>4272</v>
      </c>
      <c r="D8" s="7">
        <v>2</v>
      </c>
    </row>
    <row r="9" spans="1:4">
      <c r="A9" s="7">
        <v>2026</v>
      </c>
      <c r="B9" s="7">
        <v>1</v>
      </c>
      <c r="C9" s="7" t="s">
        <v>4273</v>
      </c>
      <c r="D9" s="7">
        <v>113</v>
      </c>
    </row>
    <row r="10" spans="1:4">
      <c r="A10" s="7">
        <v>2026</v>
      </c>
      <c r="B10" s="7">
        <v>1</v>
      </c>
      <c r="C10" s="7" t="s">
        <v>829</v>
      </c>
      <c r="D10" s="7">
        <v>41</v>
      </c>
    </row>
    <row r="11" spans="1:4">
      <c r="A11" s="7">
        <v>2026</v>
      </c>
      <c r="B11" s="7">
        <v>2</v>
      </c>
      <c r="C11" s="7" t="s">
        <v>4274</v>
      </c>
      <c r="D11" s="7">
        <v>1</v>
      </c>
    </row>
    <row r="12" spans="1:4">
      <c r="A12" s="7">
        <v>2026</v>
      </c>
      <c r="B12" s="7">
        <v>2</v>
      </c>
      <c r="C12" s="7" t="s">
        <v>4268</v>
      </c>
      <c r="D12" s="7">
        <v>95</v>
      </c>
    </row>
    <row r="13" spans="1:4">
      <c r="A13" s="7">
        <v>2026</v>
      </c>
      <c r="B13" s="7">
        <v>2</v>
      </c>
      <c r="C13" s="7" t="s">
        <v>3446</v>
      </c>
      <c r="D13" s="7">
        <v>46</v>
      </c>
    </row>
    <row r="14" spans="1:4">
      <c r="A14" s="7">
        <v>2026</v>
      </c>
      <c r="B14" s="7">
        <v>2</v>
      </c>
      <c r="C14" s="7" t="s">
        <v>4269</v>
      </c>
      <c r="D14" s="7">
        <v>95</v>
      </c>
    </row>
    <row r="15" spans="1:4">
      <c r="A15" s="7">
        <v>2026</v>
      </c>
      <c r="B15" s="7">
        <v>2</v>
      </c>
      <c r="C15" s="7" t="s">
        <v>4270</v>
      </c>
      <c r="D15" s="7">
        <v>101</v>
      </c>
    </row>
    <row r="16" spans="1:4">
      <c r="A16" s="7">
        <v>2026</v>
      </c>
      <c r="B16" s="7">
        <v>2</v>
      </c>
      <c r="C16" s="7" t="s">
        <v>4271</v>
      </c>
      <c r="D16" s="7">
        <v>80</v>
      </c>
    </row>
    <row r="17" spans="1:4">
      <c r="A17" s="7">
        <v>2026</v>
      </c>
      <c r="B17" s="7">
        <v>2</v>
      </c>
      <c r="C17" s="7" t="s">
        <v>4272</v>
      </c>
      <c r="D17" s="7">
        <v>35</v>
      </c>
    </row>
    <row r="18" spans="1:4">
      <c r="A18" s="7">
        <v>2026</v>
      </c>
      <c r="B18" s="7">
        <v>2</v>
      </c>
      <c r="C18" s="7" t="s">
        <v>4273</v>
      </c>
      <c r="D18" s="7">
        <v>99</v>
      </c>
    </row>
    <row r="19" spans="1:4">
      <c r="A19" s="7">
        <v>2026</v>
      </c>
      <c r="B19" s="7">
        <v>2</v>
      </c>
      <c r="C19" s="7" t="s">
        <v>4275</v>
      </c>
      <c r="D19" s="7">
        <v>1</v>
      </c>
    </row>
    <row r="20" spans="1:4">
      <c r="A20" s="7">
        <v>2026</v>
      </c>
      <c r="B20" s="7">
        <v>3</v>
      </c>
      <c r="C20" s="7" t="s">
        <v>4268</v>
      </c>
      <c r="D20" s="7">
        <v>89</v>
      </c>
    </row>
    <row r="21" spans="1:4">
      <c r="A21" s="7">
        <v>2026</v>
      </c>
      <c r="B21" s="7">
        <v>3</v>
      </c>
      <c r="C21" s="7" t="s">
        <v>3446</v>
      </c>
      <c r="D21" s="7">
        <v>61</v>
      </c>
    </row>
    <row r="22" spans="1:4">
      <c r="A22" s="7">
        <v>2026</v>
      </c>
      <c r="B22" s="7">
        <v>3</v>
      </c>
      <c r="C22" s="7" t="s">
        <v>4269</v>
      </c>
      <c r="D22" s="7">
        <v>80</v>
      </c>
    </row>
    <row r="23" spans="1:4">
      <c r="A23" s="7">
        <v>2026</v>
      </c>
      <c r="B23" s="7">
        <v>3</v>
      </c>
      <c r="C23" s="7" t="s">
        <v>4276</v>
      </c>
      <c r="D23" s="7">
        <v>1</v>
      </c>
    </row>
    <row r="24" spans="1:4">
      <c r="A24" s="7">
        <v>2026</v>
      </c>
      <c r="B24" s="7">
        <v>3</v>
      </c>
      <c r="C24" s="7" t="s">
        <v>4270</v>
      </c>
      <c r="D24" s="7">
        <v>109</v>
      </c>
    </row>
    <row r="25" spans="1:4">
      <c r="A25" s="7">
        <v>2026</v>
      </c>
      <c r="B25" s="7">
        <v>3</v>
      </c>
      <c r="C25" s="7" t="s">
        <v>4277</v>
      </c>
      <c r="D25" s="7">
        <v>1</v>
      </c>
    </row>
    <row r="26" spans="1:4">
      <c r="A26" s="7">
        <v>2026</v>
      </c>
      <c r="B26" s="7">
        <v>3</v>
      </c>
      <c r="C26" s="7" t="s">
        <v>4271</v>
      </c>
      <c r="D26" s="7">
        <v>81</v>
      </c>
    </row>
    <row r="27" spans="1:4">
      <c r="A27" s="7">
        <v>2026</v>
      </c>
      <c r="B27" s="7">
        <v>3</v>
      </c>
      <c r="C27" s="7" t="s">
        <v>4272</v>
      </c>
      <c r="D27" s="7">
        <v>60</v>
      </c>
    </row>
    <row r="28" spans="1:4">
      <c r="A28" s="7">
        <v>2026</v>
      </c>
      <c r="B28" s="7">
        <v>3</v>
      </c>
      <c r="C28" s="7" t="s">
        <v>4273</v>
      </c>
      <c r="D28" s="7">
        <v>89</v>
      </c>
    </row>
    <row r="29" spans="1:4">
      <c r="A29" s="7">
        <v>2026</v>
      </c>
      <c r="B29" s="7">
        <v>3</v>
      </c>
      <c r="C29" s="7" t="s">
        <v>4278</v>
      </c>
      <c r="D29" s="7">
        <v>26</v>
      </c>
    </row>
    <row r="30" spans="1:4">
      <c r="A30" s="7">
        <v>2026</v>
      </c>
      <c r="B30" s="7">
        <v>4</v>
      </c>
      <c r="C30" s="7" t="s">
        <v>4268</v>
      </c>
      <c r="D30" s="7">
        <v>93</v>
      </c>
    </row>
    <row r="31" spans="1:4">
      <c r="A31" s="7">
        <v>2026</v>
      </c>
      <c r="B31" s="7">
        <v>4</v>
      </c>
      <c r="C31" s="7" t="s">
        <v>4269</v>
      </c>
      <c r="D31" s="7">
        <v>51</v>
      </c>
    </row>
    <row r="32" spans="1:4">
      <c r="A32" s="7">
        <v>2026</v>
      </c>
      <c r="B32" s="7">
        <v>4</v>
      </c>
      <c r="C32" s="7" t="s">
        <v>4276</v>
      </c>
      <c r="D32" s="7">
        <v>33</v>
      </c>
    </row>
    <row r="33" spans="1:4">
      <c r="A33" s="7">
        <v>2026</v>
      </c>
      <c r="B33" s="7">
        <v>4</v>
      </c>
      <c r="C33" s="7" t="s">
        <v>4270</v>
      </c>
      <c r="D33" s="7">
        <v>32</v>
      </c>
    </row>
    <row r="34" spans="1:4">
      <c r="A34" s="7">
        <v>2026</v>
      </c>
      <c r="B34" s="7">
        <v>4</v>
      </c>
      <c r="C34" s="7" t="s">
        <v>4277</v>
      </c>
      <c r="D34" s="7">
        <v>21</v>
      </c>
    </row>
    <row r="35" spans="1:4">
      <c r="A35" s="7">
        <v>2026</v>
      </c>
      <c r="B35" s="7">
        <v>4</v>
      </c>
      <c r="C35" s="7" t="s">
        <v>4271</v>
      </c>
      <c r="D35" s="7">
        <v>86</v>
      </c>
    </row>
    <row r="36" spans="1:4">
      <c r="A36" s="7">
        <v>2026</v>
      </c>
      <c r="B36" s="7">
        <v>4</v>
      </c>
      <c r="C36" s="7" t="s">
        <v>4272</v>
      </c>
      <c r="D36" s="7">
        <v>72</v>
      </c>
    </row>
    <row r="37" spans="1:4">
      <c r="A37" s="7">
        <v>2026</v>
      </c>
      <c r="B37" s="7">
        <v>4</v>
      </c>
      <c r="C37" s="7" t="s">
        <v>4273</v>
      </c>
      <c r="D37" s="7">
        <v>92</v>
      </c>
    </row>
    <row r="38" spans="1:4">
      <c r="A38" s="7">
        <v>2026</v>
      </c>
      <c r="B38" s="7">
        <v>4</v>
      </c>
      <c r="C38" s="7" t="s">
        <v>4278</v>
      </c>
      <c r="D38" s="7">
        <v>57</v>
      </c>
    </row>
    <row r="39" spans="1:4">
      <c r="A39" s="7">
        <v>2026</v>
      </c>
      <c r="B39" s="7">
        <v>5</v>
      </c>
      <c r="C39" s="7" t="s">
        <v>4268</v>
      </c>
      <c r="D39" s="7">
        <v>67</v>
      </c>
    </row>
    <row r="40" spans="1:4">
      <c r="A40" s="7">
        <v>2026</v>
      </c>
      <c r="B40" s="7">
        <v>5</v>
      </c>
      <c r="C40" s="7" t="s">
        <v>4269</v>
      </c>
      <c r="D40" s="7">
        <v>4</v>
      </c>
    </row>
    <row r="41" spans="1:4">
      <c r="A41" s="7">
        <v>2026</v>
      </c>
      <c r="B41" s="7">
        <v>5</v>
      </c>
      <c r="C41" s="7" t="s">
        <v>4276</v>
      </c>
      <c r="D41" s="7">
        <v>30</v>
      </c>
    </row>
    <row r="42" spans="1:4">
      <c r="A42" s="7">
        <v>2026</v>
      </c>
      <c r="B42" s="7">
        <v>5</v>
      </c>
      <c r="C42" s="7" t="s">
        <v>4270</v>
      </c>
      <c r="D42" s="7">
        <v>23</v>
      </c>
    </row>
    <row r="43" spans="1:4">
      <c r="A43" s="7">
        <v>2026</v>
      </c>
      <c r="B43" s="7">
        <v>5</v>
      </c>
      <c r="C43" s="7" t="s">
        <v>4277</v>
      </c>
      <c r="D43" s="7">
        <v>25</v>
      </c>
    </row>
    <row r="44" spans="1:4">
      <c r="A44" s="7">
        <v>2026</v>
      </c>
      <c r="B44" s="7">
        <v>5</v>
      </c>
      <c r="C44" s="7" t="s">
        <v>4271</v>
      </c>
      <c r="D44" s="7">
        <v>82</v>
      </c>
    </row>
    <row r="45" spans="1:4">
      <c r="A45" s="7">
        <v>2026</v>
      </c>
      <c r="B45" s="7">
        <v>5</v>
      </c>
      <c r="C45" s="7" t="s">
        <v>4272</v>
      </c>
      <c r="D45" s="7">
        <v>78</v>
      </c>
    </row>
    <row r="46" spans="1:4">
      <c r="A46" s="7">
        <v>2026</v>
      </c>
      <c r="B46" s="7">
        <v>5</v>
      </c>
      <c r="C46" s="7" t="s">
        <v>4273</v>
      </c>
      <c r="D46" s="7">
        <v>48</v>
      </c>
    </row>
    <row r="47" spans="1:4">
      <c r="A47" s="7">
        <v>2026</v>
      </c>
      <c r="B47" s="7">
        <v>5</v>
      </c>
      <c r="C47" s="7" t="s">
        <v>4278</v>
      </c>
      <c r="D47" s="7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C0D1B-D5D3-42A3-B701-E6561CB494A4}">
  <dimension ref="A1:F66"/>
  <sheetViews>
    <sheetView topLeftCell="A36" workbookViewId="0">
      <selection activeCell="C52" sqref="C52"/>
    </sheetView>
  </sheetViews>
  <sheetFormatPr defaultRowHeight="15"/>
  <cols>
    <col min="1" max="1" width="5.42578125" bestFit="1" customWidth="1"/>
    <col min="2" max="2" width="4.85546875" bestFit="1" customWidth="1"/>
    <col min="3" max="3" width="39.28515625" bestFit="1" customWidth="1"/>
    <col min="4" max="4" width="12.5703125" bestFit="1" customWidth="1"/>
  </cols>
  <sheetData>
    <row r="1" spans="1:4">
      <c r="A1" t="s">
        <v>4264</v>
      </c>
      <c r="B1" t="s">
        <v>4265</v>
      </c>
      <c r="C1" t="s">
        <v>4279</v>
      </c>
      <c r="D1" s="111" t="s">
        <v>4280</v>
      </c>
    </row>
    <row r="2" spans="1:4">
      <c r="A2">
        <v>2026</v>
      </c>
      <c r="B2">
        <v>4</v>
      </c>
      <c r="C2" t="s">
        <v>4281</v>
      </c>
      <c r="D2" s="111">
        <v>3661.2</v>
      </c>
    </row>
    <row r="3" spans="1:4">
      <c r="A3">
        <v>2026</v>
      </c>
      <c r="B3">
        <v>4</v>
      </c>
      <c r="C3" t="s">
        <v>4282</v>
      </c>
      <c r="D3" s="111">
        <v>4593.6000000000004</v>
      </c>
    </row>
    <row r="4" spans="1:4">
      <c r="A4">
        <v>2026</v>
      </c>
      <c r="B4">
        <v>4</v>
      </c>
      <c r="C4" t="s">
        <v>4283</v>
      </c>
      <c r="D4" s="111">
        <v>5402.94</v>
      </c>
    </row>
    <row r="5" spans="1:4">
      <c r="A5">
        <v>2026</v>
      </c>
      <c r="B5">
        <v>4</v>
      </c>
      <c r="C5" t="s">
        <v>4284</v>
      </c>
      <c r="D5" s="111">
        <v>3742.2</v>
      </c>
    </row>
    <row r="6" spans="1:4">
      <c r="A6">
        <v>2026</v>
      </c>
      <c r="B6">
        <v>4</v>
      </c>
      <c r="C6" t="s">
        <v>4285</v>
      </c>
      <c r="D6" s="111">
        <v>4356</v>
      </c>
    </row>
    <row r="7" spans="1:4">
      <c r="A7">
        <v>2026</v>
      </c>
      <c r="B7">
        <v>4</v>
      </c>
      <c r="C7" t="s">
        <v>4286</v>
      </c>
      <c r="D7" s="111">
        <v>5016</v>
      </c>
    </row>
    <row r="8" spans="1:4">
      <c r="A8">
        <v>2026</v>
      </c>
      <c r="B8">
        <v>4</v>
      </c>
      <c r="C8" t="s">
        <v>4287</v>
      </c>
      <c r="D8" s="111">
        <v>3746.2</v>
      </c>
    </row>
    <row r="9" spans="1:4">
      <c r="A9">
        <v>2026</v>
      </c>
      <c r="B9">
        <v>4</v>
      </c>
      <c r="C9" t="s">
        <v>4288</v>
      </c>
      <c r="D9" s="111">
        <v>4677.12</v>
      </c>
    </row>
    <row r="10" spans="1:4">
      <c r="A10">
        <v>2026</v>
      </c>
      <c r="B10">
        <v>4</v>
      </c>
      <c r="C10" t="s">
        <v>4289</v>
      </c>
      <c r="D10" s="111">
        <v>6011.88</v>
      </c>
    </row>
    <row r="11" spans="1:4">
      <c r="A11">
        <v>2026</v>
      </c>
      <c r="B11">
        <v>4</v>
      </c>
      <c r="C11" t="s">
        <v>4290</v>
      </c>
      <c r="D11" s="111">
        <v>1650</v>
      </c>
    </row>
    <row r="12" spans="1:4">
      <c r="A12">
        <v>2026</v>
      </c>
      <c r="B12">
        <v>4</v>
      </c>
      <c r="C12" t="s">
        <v>4291</v>
      </c>
      <c r="D12" s="111">
        <v>1980</v>
      </c>
    </row>
    <row r="13" spans="1:4">
      <c r="A13">
        <v>2026</v>
      </c>
      <c r="B13">
        <v>4</v>
      </c>
      <c r="C13" t="s">
        <v>4292</v>
      </c>
      <c r="D13" s="111">
        <v>5880</v>
      </c>
    </row>
    <row r="14" spans="1:4">
      <c r="A14">
        <v>2026</v>
      </c>
      <c r="B14">
        <v>4</v>
      </c>
      <c r="C14" t="s">
        <v>4293</v>
      </c>
      <c r="D14" s="111">
        <v>7140</v>
      </c>
    </row>
    <row r="15" spans="1:4">
      <c r="A15">
        <v>2026</v>
      </c>
      <c r="B15">
        <v>4</v>
      </c>
      <c r="C15" t="s">
        <v>4294</v>
      </c>
      <c r="D15" s="111">
        <v>8400</v>
      </c>
    </row>
    <row r="16" spans="1:4">
      <c r="A16">
        <v>2026</v>
      </c>
      <c r="B16">
        <v>4</v>
      </c>
      <c r="C16" t="s">
        <v>4295</v>
      </c>
      <c r="D16" s="111">
        <v>8820</v>
      </c>
    </row>
    <row r="17" spans="1:6">
      <c r="A17">
        <v>2026</v>
      </c>
      <c r="B17">
        <v>4</v>
      </c>
      <c r="C17" t="s">
        <v>4296</v>
      </c>
      <c r="D17" s="111">
        <v>9660</v>
      </c>
    </row>
    <row r="18" spans="1:6">
      <c r="A18">
        <v>2026</v>
      </c>
      <c r="B18">
        <v>4</v>
      </c>
      <c r="C18" t="s">
        <v>4297</v>
      </c>
      <c r="D18" s="111">
        <v>10500</v>
      </c>
    </row>
    <row r="19" spans="1:6">
      <c r="A19">
        <v>2026</v>
      </c>
      <c r="B19">
        <v>4</v>
      </c>
      <c r="C19" t="s">
        <v>4298</v>
      </c>
      <c r="D19" s="111"/>
    </row>
    <row r="20" spans="1:6">
      <c r="A20">
        <v>2026</v>
      </c>
      <c r="B20">
        <v>4</v>
      </c>
      <c r="C20" t="s">
        <v>4299</v>
      </c>
      <c r="D20" s="111"/>
    </row>
    <row r="21" spans="1:6">
      <c r="A21">
        <v>2026</v>
      </c>
      <c r="B21">
        <v>4</v>
      </c>
      <c r="C21" t="s">
        <v>4300</v>
      </c>
      <c r="D21" s="111">
        <v>9660</v>
      </c>
    </row>
    <row r="22" spans="1:6">
      <c r="A22">
        <v>2026</v>
      </c>
      <c r="B22">
        <v>4</v>
      </c>
      <c r="C22" t="s">
        <v>4301</v>
      </c>
      <c r="D22" s="111">
        <v>3960</v>
      </c>
    </row>
    <row r="23" spans="1:6">
      <c r="A23">
        <v>2026</v>
      </c>
      <c r="B23">
        <v>4</v>
      </c>
      <c r="C23" t="s">
        <v>4302</v>
      </c>
      <c r="D23" s="111">
        <v>3750</v>
      </c>
    </row>
    <row r="24" spans="1:6">
      <c r="A24">
        <v>2026</v>
      </c>
      <c r="B24">
        <v>4</v>
      </c>
      <c r="C24" t="s">
        <v>4303</v>
      </c>
      <c r="D24" s="111">
        <v>5400</v>
      </c>
    </row>
    <row r="25" spans="1:6">
      <c r="A25">
        <v>2026</v>
      </c>
      <c r="B25">
        <v>4</v>
      </c>
      <c r="C25" t="s">
        <v>4304</v>
      </c>
      <c r="D25" s="111">
        <v>8100</v>
      </c>
    </row>
    <row r="26" spans="1:6">
      <c r="A26">
        <v>2026</v>
      </c>
      <c r="B26">
        <v>4</v>
      </c>
      <c r="C26" t="s">
        <v>4305</v>
      </c>
      <c r="D26" s="111">
        <v>11500</v>
      </c>
    </row>
    <row r="27" spans="1:6">
      <c r="A27">
        <v>2026</v>
      </c>
      <c r="B27">
        <v>4</v>
      </c>
      <c r="C27" t="s">
        <v>4306</v>
      </c>
      <c r="D27" s="111">
        <v>12000</v>
      </c>
    </row>
    <row r="28" spans="1:6">
      <c r="A28">
        <v>2026</v>
      </c>
      <c r="B28">
        <v>4</v>
      </c>
      <c r="C28" t="s">
        <v>4307</v>
      </c>
      <c r="D28" s="111">
        <v>12075</v>
      </c>
      <c r="E28" s="111"/>
      <c r="F28" s="111"/>
    </row>
    <row r="29" spans="1:6">
      <c r="A29">
        <v>2026</v>
      </c>
      <c r="B29">
        <v>4</v>
      </c>
      <c r="C29" t="s">
        <v>4308</v>
      </c>
      <c r="D29" s="111">
        <v>3360</v>
      </c>
      <c r="E29" s="104"/>
      <c r="F29" s="111"/>
    </row>
    <row r="30" spans="1:6">
      <c r="A30">
        <v>2026</v>
      </c>
      <c r="B30">
        <v>4</v>
      </c>
      <c r="C30" t="s">
        <v>4309</v>
      </c>
      <c r="D30" s="111">
        <v>6600</v>
      </c>
      <c r="E30" s="104"/>
      <c r="F30" s="111"/>
    </row>
    <row r="31" spans="1:6">
      <c r="A31">
        <v>2026</v>
      </c>
      <c r="B31">
        <v>4</v>
      </c>
      <c r="C31" t="s">
        <v>4310</v>
      </c>
      <c r="D31" s="111">
        <v>5122.95</v>
      </c>
      <c r="E31" s="104"/>
    </row>
    <row r="32" spans="1:6">
      <c r="A32">
        <v>2026</v>
      </c>
      <c r="B32">
        <v>4</v>
      </c>
      <c r="C32" t="s">
        <v>4311</v>
      </c>
      <c r="D32" s="111">
        <v>9424.7999999999993</v>
      </c>
      <c r="E32" s="104"/>
    </row>
    <row r="33" spans="1:4">
      <c r="A33">
        <v>2026</v>
      </c>
      <c r="B33">
        <v>5</v>
      </c>
      <c r="C33" t="s">
        <v>4281</v>
      </c>
      <c r="D33" s="111">
        <v>3661.2</v>
      </c>
    </row>
    <row r="34" spans="1:4">
      <c r="A34">
        <v>2026</v>
      </c>
      <c r="B34">
        <v>5</v>
      </c>
      <c r="C34" t="s">
        <v>4282</v>
      </c>
      <c r="D34" s="111">
        <v>4593.6000000000004</v>
      </c>
    </row>
    <row r="35" spans="1:4">
      <c r="A35">
        <v>2026</v>
      </c>
      <c r="B35">
        <v>5</v>
      </c>
      <c r="C35" t="s">
        <v>4283</v>
      </c>
      <c r="D35" s="111">
        <v>5402.94</v>
      </c>
    </row>
    <row r="36" spans="1:4">
      <c r="A36">
        <v>2026</v>
      </c>
      <c r="B36">
        <v>5</v>
      </c>
      <c r="C36" t="s">
        <v>4284</v>
      </c>
      <c r="D36" s="111">
        <v>3742.2</v>
      </c>
    </row>
    <row r="37" spans="1:4">
      <c r="A37">
        <v>2026</v>
      </c>
      <c r="B37">
        <v>5</v>
      </c>
      <c r="C37" t="s">
        <v>4285</v>
      </c>
      <c r="D37" s="111">
        <v>4356</v>
      </c>
    </row>
    <row r="38" spans="1:4">
      <c r="A38">
        <v>2026</v>
      </c>
      <c r="B38">
        <v>5</v>
      </c>
      <c r="C38" t="s">
        <v>4286</v>
      </c>
      <c r="D38" s="111">
        <v>5016</v>
      </c>
    </row>
    <row r="39" spans="1:4">
      <c r="A39">
        <v>2026</v>
      </c>
      <c r="B39">
        <v>5</v>
      </c>
      <c r="C39" t="s">
        <v>4287</v>
      </c>
      <c r="D39" s="111">
        <v>3746.2</v>
      </c>
    </row>
    <row r="40" spans="1:4">
      <c r="A40">
        <v>2026</v>
      </c>
      <c r="B40">
        <v>5</v>
      </c>
      <c r="C40" t="s">
        <v>4288</v>
      </c>
      <c r="D40" s="111">
        <v>4677.12</v>
      </c>
    </row>
    <row r="41" spans="1:4">
      <c r="A41">
        <v>2026</v>
      </c>
      <c r="B41">
        <v>5</v>
      </c>
      <c r="C41" t="s">
        <v>4289</v>
      </c>
      <c r="D41" s="111">
        <v>6011.88</v>
      </c>
    </row>
    <row r="42" spans="1:4">
      <c r="A42">
        <v>2026</v>
      </c>
      <c r="B42">
        <v>5</v>
      </c>
      <c r="C42" t="s">
        <v>4290</v>
      </c>
      <c r="D42" s="111">
        <v>1650</v>
      </c>
    </row>
    <row r="43" spans="1:4">
      <c r="A43">
        <v>2026</v>
      </c>
      <c r="B43">
        <v>5</v>
      </c>
      <c r="C43" t="s">
        <v>4291</v>
      </c>
      <c r="D43" s="111">
        <v>1980</v>
      </c>
    </row>
    <row r="44" spans="1:4">
      <c r="A44">
        <v>2026</v>
      </c>
      <c r="B44">
        <v>5</v>
      </c>
      <c r="C44" t="s">
        <v>4292</v>
      </c>
      <c r="D44" s="111">
        <v>5880</v>
      </c>
    </row>
    <row r="45" spans="1:4">
      <c r="A45">
        <v>2026</v>
      </c>
      <c r="B45">
        <v>5</v>
      </c>
      <c r="C45" t="s">
        <v>4293</v>
      </c>
      <c r="D45" s="111">
        <v>7140</v>
      </c>
    </row>
    <row r="46" spans="1:4">
      <c r="A46">
        <v>2026</v>
      </c>
      <c r="B46">
        <v>5</v>
      </c>
      <c r="C46" t="s">
        <v>4294</v>
      </c>
      <c r="D46" s="111">
        <v>8400</v>
      </c>
    </row>
    <row r="47" spans="1:4">
      <c r="A47">
        <v>2026</v>
      </c>
      <c r="B47">
        <v>5</v>
      </c>
      <c r="C47" t="s">
        <v>4295</v>
      </c>
      <c r="D47" s="111">
        <v>8820</v>
      </c>
    </row>
    <row r="48" spans="1:4">
      <c r="A48">
        <v>2026</v>
      </c>
      <c r="B48">
        <v>5</v>
      </c>
      <c r="C48" t="s">
        <v>4296</v>
      </c>
      <c r="D48" s="111">
        <v>9660</v>
      </c>
    </row>
    <row r="49" spans="1:6">
      <c r="A49">
        <v>2026</v>
      </c>
      <c r="B49">
        <v>5</v>
      </c>
      <c r="C49" t="s">
        <v>4297</v>
      </c>
      <c r="D49" s="111">
        <v>10500</v>
      </c>
    </row>
    <row r="50" spans="1:6">
      <c r="A50">
        <v>2026</v>
      </c>
      <c r="B50">
        <v>5</v>
      </c>
      <c r="C50" t="s">
        <v>4298</v>
      </c>
      <c r="D50" s="111"/>
    </row>
    <row r="51" spans="1:6">
      <c r="A51">
        <v>2026</v>
      </c>
      <c r="B51">
        <v>5</v>
      </c>
      <c r="C51" t="s">
        <v>4299</v>
      </c>
      <c r="D51" s="111"/>
    </row>
    <row r="52" spans="1:6">
      <c r="A52">
        <v>2026</v>
      </c>
      <c r="B52">
        <v>5</v>
      </c>
      <c r="C52" t="s">
        <v>4300</v>
      </c>
      <c r="D52" s="111">
        <v>9660</v>
      </c>
    </row>
    <row r="53" spans="1:6">
      <c r="A53">
        <v>2026</v>
      </c>
      <c r="B53">
        <v>5</v>
      </c>
      <c r="C53" t="s">
        <v>4301</v>
      </c>
      <c r="D53" s="111">
        <v>3960</v>
      </c>
    </row>
    <row r="54" spans="1:6">
      <c r="A54">
        <v>2026</v>
      </c>
      <c r="B54">
        <v>5</v>
      </c>
      <c r="C54" t="s">
        <v>4302</v>
      </c>
      <c r="D54" s="111">
        <v>3750</v>
      </c>
    </row>
    <row r="55" spans="1:6">
      <c r="A55">
        <v>2026</v>
      </c>
      <c r="B55">
        <v>5</v>
      </c>
      <c r="C55" t="s">
        <v>4303</v>
      </c>
      <c r="D55" s="111">
        <v>5400</v>
      </c>
    </row>
    <row r="56" spans="1:6">
      <c r="A56">
        <v>2026</v>
      </c>
      <c r="B56">
        <v>5</v>
      </c>
      <c r="C56" t="s">
        <v>4304</v>
      </c>
      <c r="D56" s="111">
        <v>8100</v>
      </c>
    </row>
    <row r="57" spans="1:6">
      <c r="A57">
        <v>2026</v>
      </c>
      <c r="B57">
        <v>5</v>
      </c>
      <c r="C57" t="s">
        <v>4305</v>
      </c>
      <c r="D57" s="111">
        <v>11500</v>
      </c>
    </row>
    <row r="58" spans="1:6">
      <c r="A58">
        <v>2026</v>
      </c>
      <c r="B58">
        <v>5</v>
      </c>
      <c r="C58" t="s">
        <v>4306</v>
      </c>
      <c r="D58" s="111">
        <v>12000</v>
      </c>
    </row>
    <row r="59" spans="1:6">
      <c r="A59">
        <v>2026</v>
      </c>
      <c r="B59">
        <v>5</v>
      </c>
      <c r="C59" t="s">
        <v>4307</v>
      </c>
      <c r="D59" s="111">
        <v>12075</v>
      </c>
      <c r="E59" s="111"/>
      <c r="F59" s="111"/>
    </row>
    <row r="60" spans="1:6">
      <c r="A60">
        <v>2026</v>
      </c>
      <c r="B60">
        <v>5</v>
      </c>
      <c r="C60" t="s">
        <v>4308</v>
      </c>
      <c r="D60" s="111">
        <v>3360</v>
      </c>
      <c r="E60" s="104"/>
      <c r="F60" s="111"/>
    </row>
    <row r="61" spans="1:6">
      <c r="A61">
        <v>2026</v>
      </c>
      <c r="B61">
        <v>5</v>
      </c>
      <c r="C61" t="s">
        <v>4312</v>
      </c>
      <c r="D61" s="111">
        <v>6600</v>
      </c>
      <c r="E61" s="104"/>
      <c r="F61" s="111"/>
    </row>
    <row r="62" spans="1:6">
      <c r="A62">
        <v>2026</v>
      </c>
      <c r="B62">
        <v>5</v>
      </c>
      <c r="C62" t="s">
        <v>4310</v>
      </c>
      <c r="D62" s="111">
        <v>5122.95</v>
      </c>
      <c r="E62" s="104"/>
    </row>
    <row r="63" spans="1:6">
      <c r="A63">
        <v>2026</v>
      </c>
      <c r="B63">
        <v>5</v>
      </c>
      <c r="C63" t="s">
        <v>4311</v>
      </c>
      <c r="D63" s="111">
        <v>9424.7999999999993</v>
      </c>
      <c r="E63" s="104"/>
    </row>
    <row r="64" spans="1:6">
      <c r="A64">
        <v>2026</v>
      </c>
      <c r="B64">
        <v>5</v>
      </c>
      <c r="C64" t="s">
        <v>4313</v>
      </c>
      <c r="D64" s="111">
        <v>5402.94</v>
      </c>
    </row>
    <row r="65" spans="1:4">
      <c r="A65">
        <v>2026</v>
      </c>
      <c r="B65">
        <v>5</v>
      </c>
      <c r="C65" t="s">
        <v>4314</v>
      </c>
      <c r="D65" s="111">
        <v>10500</v>
      </c>
    </row>
    <row r="66" spans="1:4">
      <c r="A66">
        <v>2026</v>
      </c>
      <c r="B66">
        <v>5</v>
      </c>
      <c r="C66" t="s">
        <v>4315</v>
      </c>
      <c r="D66" s="111">
        <v>9660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C2274-D2B3-48E1-BBF9-E78866CB9743}">
  <sheetPr filterMode="1"/>
  <dimension ref="A1:N305"/>
  <sheetViews>
    <sheetView workbookViewId="0">
      <pane xSplit="7" ySplit="1" topLeftCell="H203" activePane="bottomRight" state="frozen"/>
      <selection pane="bottomRight" activeCell="M262" sqref="M262"/>
      <selection pane="bottomLeft"/>
      <selection pane="topRight"/>
    </sheetView>
  </sheetViews>
  <sheetFormatPr defaultRowHeight="15"/>
  <cols>
    <col min="1" max="1" width="5.42578125" style="7" bestFit="1" customWidth="1"/>
    <col min="2" max="2" width="4.85546875" style="7" bestFit="1" customWidth="1"/>
    <col min="3" max="4" width="32" style="7" bestFit="1" customWidth="1"/>
    <col min="5" max="5" width="15.5703125" style="7" bestFit="1" customWidth="1"/>
    <col min="6" max="6" width="9.5703125" style="7" bestFit="1" customWidth="1"/>
    <col min="7" max="7" width="30.28515625" style="7" bestFit="1" customWidth="1"/>
    <col min="8" max="8" width="13.5703125" style="7" bestFit="1" customWidth="1"/>
    <col min="9" max="9" width="13.42578125" style="7" bestFit="1" customWidth="1"/>
    <col min="10" max="10" width="17.42578125" style="7" bestFit="1" customWidth="1"/>
    <col min="11" max="11" width="17.7109375" style="7" bestFit="1" customWidth="1"/>
    <col min="12" max="12" width="11.42578125" style="7" bestFit="1" customWidth="1"/>
    <col min="13" max="13" width="10.85546875" bestFit="1" customWidth="1"/>
    <col min="14" max="14" width="17.140625" bestFit="1" customWidth="1"/>
  </cols>
  <sheetData>
    <row r="1" spans="1:14">
      <c r="A1" s="7" t="s">
        <v>4264</v>
      </c>
      <c r="B1" s="7" t="s">
        <v>4265</v>
      </c>
      <c r="C1" s="7" t="s">
        <v>4316</v>
      </c>
      <c r="D1" s="7" t="s">
        <v>4266</v>
      </c>
      <c r="E1" s="7" t="s">
        <v>4317</v>
      </c>
      <c r="F1" s="7" t="s">
        <v>4279</v>
      </c>
      <c r="G1" s="7" t="s">
        <v>4318</v>
      </c>
      <c r="H1" s="7" t="s">
        <v>4319</v>
      </c>
      <c r="I1" s="8" t="s">
        <v>4320</v>
      </c>
      <c r="J1" s="10" t="s">
        <v>4321</v>
      </c>
      <c r="K1" s="7" t="s">
        <v>4322</v>
      </c>
      <c r="L1" s="9" t="s">
        <v>4323</v>
      </c>
      <c r="M1" s="7" t="s">
        <v>4324</v>
      </c>
      <c r="N1" s="7" t="s">
        <v>4325</v>
      </c>
    </row>
    <row r="2" spans="1:14" hidden="1">
      <c r="A2" s="7">
        <v>2026</v>
      </c>
      <c r="B2" s="7">
        <v>1</v>
      </c>
      <c r="C2" s="7" t="s">
        <v>4326</v>
      </c>
      <c r="D2" s="7" t="s">
        <v>501</v>
      </c>
      <c r="E2" s="7" t="s">
        <v>314</v>
      </c>
      <c r="F2" s="7" t="s">
        <v>4316</v>
      </c>
      <c r="G2" s="7" t="s">
        <v>2265</v>
      </c>
      <c r="H2" s="7" t="s">
        <v>11</v>
      </c>
      <c r="I2" s="8">
        <v>10000</v>
      </c>
      <c r="J2" s="10">
        <v>0.5</v>
      </c>
      <c r="K2" s="8">
        <f>I2*IF(J2="",1,1-J2)</f>
        <v>5000</v>
      </c>
      <c r="L2" s="9">
        <v>1</v>
      </c>
      <c r="M2" s="10"/>
      <c r="N2" s="8"/>
    </row>
    <row r="3" spans="1:14" hidden="1">
      <c r="A3" s="7">
        <v>2026</v>
      </c>
      <c r="B3" s="7">
        <v>1</v>
      </c>
      <c r="C3" s="7" t="s">
        <v>4327</v>
      </c>
      <c r="D3" s="7" t="s">
        <v>313</v>
      </c>
      <c r="E3" s="7" t="s">
        <v>314</v>
      </c>
      <c r="F3" s="7" t="s">
        <v>4316</v>
      </c>
      <c r="G3" s="7" t="s">
        <v>2265</v>
      </c>
      <c r="H3" s="7" t="s">
        <v>11</v>
      </c>
      <c r="I3" s="8">
        <v>10000</v>
      </c>
      <c r="J3" s="10"/>
      <c r="K3" s="8">
        <f>I3*IF(J3="",1,1-J3)</f>
        <v>10000</v>
      </c>
      <c r="L3" s="9">
        <v>1</v>
      </c>
      <c r="M3" s="10"/>
      <c r="N3" s="8"/>
    </row>
    <row r="4" spans="1:14" hidden="1">
      <c r="A4" s="7">
        <v>2026</v>
      </c>
      <c r="B4" s="7">
        <v>1</v>
      </c>
      <c r="C4" s="7" t="s">
        <v>4328</v>
      </c>
      <c r="D4" s="7" t="s">
        <v>1073</v>
      </c>
      <c r="E4" s="7" t="s">
        <v>314</v>
      </c>
      <c r="F4" s="7" t="s">
        <v>4316</v>
      </c>
      <c r="G4" s="7" t="s">
        <v>2265</v>
      </c>
      <c r="H4" s="7" t="s">
        <v>11</v>
      </c>
      <c r="I4" s="8">
        <v>0</v>
      </c>
      <c r="J4" s="10"/>
      <c r="K4" s="8">
        <f>I4*IF(J4="",1,1-J4)</f>
        <v>0</v>
      </c>
      <c r="L4" s="9">
        <v>1</v>
      </c>
      <c r="M4" s="10"/>
      <c r="N4" s="8"/>
    </row>
    <row r="5" spans="1:14" hidden="1">
      <c r="A5" s="7">
        <v>2026</v>
      </c>
      <c r="B5" s="7">
        <v>1</v>
      </c>
      <c r="C5" s="7" t="s">
        <v>4329</v>
      </c>
      <c r="D5" s="7" t="s">
        <v>1210</v>
      </c>
      <c r="E5" s="7" t="s">
        <v>91</v>
      </c>
      <c r="F5" s="7" t="s">
        <v>4316</v>
      </c>
      <c r="H5" s="7" t="s">
        <v>11</v>
      </c>
      <c r="I5" s="8">
        <v>7500</v>
      </c>
      <c r="J5" s="10">
        <v>0.75</v>
      </c>
      <c r="K5" s="8">
        <f>I5*IF(J5="",1,1-J5)</f>
        <v>1875</v>
      </c>
      <c r="L5" s="9">
        <v>1</v>
      </c>
      <c r="M5" s="10"/>
      <c r="N5" s="8"/>
    </row>
    <row r="6" spans="1:14" hidden="1">
      <c r="A6" s="7">
        <v>2026</v>
      </c>
      <c r="B6" s="7">
        <v>1</v>
      </c>
      <c r="C6" s="7" t="s">
        <v>4330</v>
      </c>
      <c r="D6" s="7" t="s">
        <v>129</v>
      </c>
      <c r="E6" s="7" t="s">
        <v>91</v>
      </c>
      <c r="F6" s="7" t="s">
        <v>4316</v>
      </c>
      <c r="H6" s="7" t="s">
        <v>11</v>
      </c>
      <c r="I6" s="8">
        <v>7500</v>
      </c>
      <c r="J6" s="10">
        <v>0.5</v>
      </c>
      <c r="K6" s="8">
        <f>I6*IF(J6="",1,1-J6)</f>
        <v>3750</v>
      </c>
      <c r="L6" s="9">
        <v>1</v>
      </c>
      <c r="M6" s="10"/>
      <c r="N6" s="8"/>
    </row>
    <row r="7" spans="1:14" hidden="1">
      <c r="A7" s="7">
        <v>2026</v>
      </c>
      <c r="B7" s="7">
        <v>1</v>
      </c>
      <c r="C7" s="7" t="s">
        <v>4331</v>
      </c>
      <c r="D7" s="7" t="s">
        <v>90</v>
      </c>
      <c r="E7" s="7" t="s">
        <v>91</v>
      </c>
      <c r="F7" s="7" t="s">
        <v>4316</v>
      </c>
      <c r="H7" s="7" t="s">
        <v>11</v>
      </c>
      <c r="I7" s="8">
        <v>7500</v>
      </c>
      <c r="J7" s="10">
        <v>0.33</v>
      </c>
      <c r="K7" s="8">
        <f>I7*IF(J7="",1,1-J7)</f>
        <v>5024.9999999999991</v>
      </c>
      <c r="L7" s="9">
        <v>1</v>
      </c>
      <c r="M7" s="10"/>
      <c r="N7" s="8"/>
    </row>
    <row r="8" spans="1:14" hidden="1">
      <c r="A8" s="7">
        <v>2026</v>
      </c>
      <c r="B8" s="7">
        <v>1</v>
      </c>
      <c r="C8" s="7" t="s">
        <v>4332</v>
      </c>
      <c r="D8" s="7" t="s">
        <v>668</v>
      </c>
      <c r="E8" s="7" t="s">
        <v>91</v>
      </c>
      <c r="F8" s="7" t="s">
        <v>4316</v>
      </c>
      <c r="H8" s="7" t="s">
        <v>11</v>
      </c>
      <c r="I8" s="8">
        <v>7500</v>
      </c>
      <c r="J8" s="10">
        <v>9.5200000000000007E-2</v>
      </c>
      <c r="K8" s="8">
        <f>I8*IF(J8="",1,1-J8)</f>
        <v>6786</v>
      </c>
      <c r="L8" s="9">
        <v>1</v>
      </c>
      <c r="M8" s="10"/>
      <c r="N8" s="8"/>
    </row>
    <row r="9" spans="1:14" hidden="1">
      <c r="A9" s="7">
        <v>2026</v>
      </c>
      <c r="B9" s="7">
        <v>1</v>
      </c>
      <c r="C9" s="7" t="s">
        <v>4333</v>
      </c>
      <c r="D9" s="7" t="s">
        <v>348</v>
      </c>
      <c r="E9" s="7" t="s">
        <v>349</v>
      </c>
      <c r="F9" s="7" t="s">
        <v>4316</v>
      </c>
      <c r="H9" s="7" t="s">
        <v>11</v>
      </c>
      <c r="I9" s="8">
        <v>8500</v>
      </c>
      <c r="J9" s="10">
        <v>0.5</v>
      </c>
      <c r="K9" s="8">
        <f>I9*IF(J9="",1,1-J9)</f>
        <v>4250</v>
      </c>
      <c r="L9" s="9">
        <v>1</v>
      </c>
      <c r="M9" s="10"/>
      <c r="N9" s="8"/>
    </row>
    <row r="10" spans="1:14" hidden="1">
      <c r="A10" s="7">
        <v>2026</v>
      </c>
      <c r="B10" s="7">
        <v>1</v>
      </c>
      <c r="C10" s="7" t="s">
        <v>4334</v>
      </c>
      <c r="D10" s="7" t="s">
        <v>361</v>
      </c>
      <c r="E10" s="7" t="s">
        <v>349</v>
      </c>
      <c r="F10" s="7" t="s">
        <v>4316</v>
      </c>
      <c r="H10" s="7" t="s">
        <v>11</v>
      </c>
      <c r="I10" s="8">
        <v>8500</v>
      </c>
      <c r="J10" s="10"/>
      <c r="K10" s="8">
        <f>I10*IF(J10="",1,1-J10)</f>
        <v>8500</v>
      </c>
      <c r="L10" s="9">
        <v>1</v>
      </c>
      <c r="M10" s="10"/>
      <c r="N10" s="8"/>
    </row>
    <row r="11" spans="1:14" hidden="1">
      <c r="A11" s="7">
        <v>2026</v>
      </c>
      <c r="B11" s="7">
        <v>1</v>
      </c>
      <c r="C11" s="7" t="s">
        <v>4335</v>
      </c>
      <c r="D11" s="7" t="s">
        <v>190</v>
      </c>
      <c r="E11" s="7" t="s">
        <v>191</v>
      </c>
      <c r="F11" s="7" t="s">
        <v>4316</v>
      </c>
      <c r="G11" s="7" t="s">
        <v>2265</v>
      </c>
      <c r="H11" s="7" t="s">
        <v>11</v>
      </c>
      <c r="I11" s="8">
        <v>5000</v>
      </c>
      <c r="J11" s="10"/>
      <c r="K11" s="8">
        <f>I11*IF(J11="",1,1-J11)</f>
        <v>5000</v>
      </c>
      <c r="L11" s="9">
        <v>1</v>
      </c>
      <c r="M11" s="10"/>
      <c r="N11" s="8"/>
    </row>
    <row r="12" spans="1:14" hidden="1">
      <c r="A12" s="7">
        <v>2026</v>
      </c>
      <c r="B12" s="7">
        <v>1</v>
      </c>
      <c r="C12" s="7" t="s">
        <v>4336</v>
      </c>
      <c r="D12" s="7" t="s">
        <v>323</v>
      </c>
      <c r="E12" s="7" t="s">
        <v>191</v>
      </c>
      <c r="F12" s="7" t="s">
        <v>4316</v>
      </c>
      <c r="G12" s="7" t="s">
        <v>2265</v>
      </c>
      <c r="H12" s="7" t="s">
        <v>11</v>
      </c>
      <c r="I12" s="8">
        <v>8325</v>
      </c>
      <c r="J12" s="10"/>
      <c r="K12" s="8">
        <f>I12*IF(J12="",1,1-J12)</f>
        <v>8325</v>
      </c>
      <c r="L12" s="9">
        <v>1</v>
      </c>
      <c r="M12" s="10"/>
      <c r="N12" s="8"/>
    </row>
    <row r="13" spans="1:14" hidden="1">
      <c r="A13" s="7">
        <v>2026</v>
      </c>
      <c r="B13" s="7">
        <v>1</v>
      </c>
      <c r="C13" s="7" t="s">
        <v>4337</v>
      </c>
      <c r="D13" s="7" t="s">
        <v>804</v>
      </c>
      <c r="E13" s="7" t="s">
        <v>191</v>
      </c>
      <c r="F13" s="7" t="s">
        <v>4316</v>
      </c>
      <c r="G13" s="7" t="s">
        <v>2265</v>
      </c>
      <c r="H13" s="7" t="s">
        <v>11</v>
      </c>
      <c r="I13" s="8">
        <v>7120</v>
      </c>
      <c r="J13" s="10">
        <v>0.5</v>
      </c>
      <c r="K13" s="8">
        <f>I13*IF(J13="",1,1-J13)</f>
        <v>3560</v>
      </c>
      <c r="L13" s="9">
        <v>1</v>
      </c>
      <c r="M13" s="10"/>
      <c r="N13" s="8"/>
    </row>
    <row r="14" spans="1:14" hidden="1">
      <c r="A14" s="7">
        <v>2026</v>
      </c>
      <c r="B14" s="7">
        <v>1</v>
      </c>
      <c r="C14" s="7" t="s">
        <v>4338</v>
      </c>
      <c r="D14" s="7" t="s">
        <v>367</v>
      </c>
      <c r="E14" s="7" t="s">
        <v>191</v>
      </c>
      <c r="F14" s="7" t="s">
        <v>4316</v>
      </c>
      <c r="G14" s="7" t="s">
        <v>2265</v>
      </c>
      <c r="H14" s="7" t="s">
        <v>11</v>
      </c>
      <c r="I14" s="8">
        <v>10300</v>
      </c>
      <c r="J14" s="10"/>
      <c r="K14" s="8">
        <f>I14*IF(J14="",1,1-J14)</f>
        <v>10300</v>
      </c>
      <c r="L14" s="9">
        <v>1</v>
      </c>
      <c r="M14" s="10"/>
      <c r="N14" s="8"/>
    </row>
    <row r="15" spans="1:14" hidden="1">
      <c r="A15" s="7">
        <v>2026</v>
      </c>
      <c r="B15" s="7">
        <v>1</v>
      </c>
      <c r="C15" s="7" t="s">
        <v>4339</v>
      </c>
      <c r="D15" s="7" t="s">
        <v>520</v>
      </c>
      <c r="E15" s="7" t="s">
        <v>191</v>
      </c>
      <c r="F15" s="7" t="s">
        <v>4316</v>
      </c>
      <c r="G15" s="7" t="s">
        <v>2265</v>
      </c>
      <c r="H15" s="7" t="s">
        <v>11</v>
      </c>
      <c r="I15" s="8">
        <v>8700</v>
      </c>
      <c r="J15" s="10"/>
      <c r="K15" s="8">
        <f>I15*IF(J15="",1,1-J15)</f>
        <v>8700</v>
      </c>
      <c r="L15" s="9">
        <v>1</v>
      </c>
      <c r="M15" s="10"/>
      <c r="N15" s="8"/>
    </row>
    <row r="16" spans="1:14" hidden="1">
      <c r="A16" s="7">
        <v>2026</v>
      </c>
      <c r="B16" s="7">
        <v>1</v>
      </c>
      <c r="C16" s="7" t="s">
        <v>4340</v>
      </c>
      <c r="D16" s="7" t="s">
        <v>469</v>
      </c>
      <c r="E16" s="7" t="s">
        <v>191</v>
      </c>
      <c r="F16" s="7" t="s">
        <v>4316</v>
      </c>
      <c r="G16" s="7" t="s">
        <v>2265</v>
      </c>
      <c r="H16" s="7" t="s">
        <v>11</v>
      </c>
      <c r="I16" s="8">
        <v>7120</v>
      </c>
      <c r="J16" s="10"/>
      <c r="K16" s="8">
        <f>I16*IF(J16="",1,1-J16)</f>
        <v>7120</v>
      </c>
      <c r="L16" s="9">
        <v>1</v>
      </c>
      <c r="M16" s="10"/>
      <c r="N16" s="8"/>
    </row>
    <row r="17" spans="1:14" hidden="1">
      <c r="A17" s="7">
        <v>2026</v>
      </c>
      <c r="B17" s="7">
        <v>1</v>
      </c>
      <c r="C17" s="7" t="s">
        <v>4341</v>
      </c>
      <c r="D17" s="7" t="s">
        <v>299</v>
      </c>
      <c r="E17" s="7" t="s">
        <v>300</v>
      </c>
      <c r="F17" s="7" t="s">
        <v>4316</v>
      </c>
      <c r="G17" s="7" t="s">
        <v>2265</v>
      </c>
      <c r="H17" s="7" t="s">
        <v>11</v>
      </c>
      <c r="I17" s="8">
        <v>8600</v>
      </c>
      <c r="J17" s="10"/>
      <c r="K17" s="8">
        <f>I17*IF(J17="",1,1-J17)</f>
        <v>8600</v>
      </c>
      <c r="L17" s="9">
        <v>1</v>
      </c>
      <c r="M17" s="10"/>
      <c r="N17" s="8"/>
    </row>
    <row r="18" spans="1:14" hidden="1">
      <c r="A18" s="7">
        <v>2026</v>
      </c>
      <c r="B18" s="7">
        <v>1</v>
      </c>
      <c r="C18" s="7" t="s">
        <v>4342</v>
      </c>
      <c r="D18" s="7" t="s">
        <v>506</v>
      </c>
      <c r="E18" s="7" t="s">
        <v>300</v>
      </c>
      <c r="F18" s="7" t="s">
        <v>4316</v>
      </c>
      <c r="G18" s="7" t="s">
        <v>2265</v>
      </c>
      <c r="H18" s="7" t="s">
        <v>11</v>
      </c>
      <c r="I18" s="8">
        <v>8600</v>
      </c>
      <c r="J18" s="10"/>
      <c r="K18" s="8">
        <f>I18*IF(J18="",1,1-J18)</f>
        <v>8600</v>
      </c>
      <c r="L18" s="9">
        <v>1</v>
      </c>
      <c r="M18" s="10"/>
      <c r="N18" s="8"/>
    </row>
    <row r="19" spans="1:14" hidden="1">
      <c r="A19" s="7">
        <v>2026</v>
      </c>
      <c r="B19" s="7">
        <v>1</v>
      </c>
      <c r="C19" s="7" t="s">
        <v>4343</v>
      </c>
      <c r="D19" s="7" t="s">
        <v>829</v>
      </c>
      <c r="E19" s="7" t="s">
        <v>300</v>
      </c>
      <c r="F19" s="7" t="s">
        <v>4316</v>
      </c>
      <c r="G19" s="7" t="s">
        <v>2265</v>
      </c>
      <c r="H19" s="7" t="s">
        <v>11</v>
      </c>
      <c r="I19" s="8">
        <v>8600</v>
      </c>
      <c r="J19" s="10">
        <v>0.36</v>
      </c>
      <c r="K19" s="8">
        <f>IF(M19&gt;0,SUMIFS(Negócios!L:L,Negócios!A:A,A19,Negócios!B:B,B19,Negócios!P:P,D19),I19*IF(J19="",1,1-J19))</f>
        <v>1386.1100000000001</v>
      </c>
      <c r="L19" s="9">
        <v>1</v>
      </c>
      <c r="M19" s="10">
        <v>1</v>
      </c>
      <c r="N19" s="8"/>
    </row>
    <row r="20" spans="1:14" hidden="1">
      <c r="A20" s="7">
        <v>2026</v>
      </c>
      <c r="B20" s="7">
        <v>1</v>
      </c>
      <c r="C20" s="7" t="s">
        <v>4344</v>
      </c>
      <c r="D20" s="7" t="s">
        <v>511</v>
      </c>
      <c r="E20" s="7" t="s">
        <v>300</v>
      </c>
      <c r="F20" s="7" t="s">
        <v>4316</v>
      </c>
      <c r="G20" s="7" t="s">
        <v>2265</v>
      </c>
      <c r="H20" s="7" t="s">
        <v>11</v>
      </c>
      <c r="I20" s="8">
        <v>9300</v>
      </c>
      <c r="J20" s="10"/>
      <c r="K20" s="8">
        <f>I20*IF(J20="",1,1-J20)</f>
        <v>9300</v>
      </c>
      <c r="L20" s="9">
        <v>1</v>
      </c>
      <c r="M20" s="10"/>
      <c r="N20" s="8"/>
    </row>
    <row r="21" spans="1:14" hidden="1">
      <c r="A21" s="7">
        <v>2026</v>
      </c>
      <c r="B21" s="7">
        <v>1</v>
      </c>
      <c r="C21" s="7" t="s">
        <v>4345</v>
      </c>
      <c r="D21" s="7" t="s">
        <v>4268</v>
      </c>
      <c r="E21" s="7" t="s">
        <v>4346</v>
      </c>
      <c r="F21" s="7" t="s">
        <v>4316</v>
      </c>
      <c r="G21" s="7" t="s">
        <v>4347</v>
      </c>
      <c r="H21" s="7" t="s">
        <v>4348</v>
      </c>
      <c r="I21" s="8">
        <v>96</v>
      </c>
      <c r="J21" s="10">
        <v>0.25</v>
      </c>
      <c r="K21" s="8">
        <f>I21*IF(J21="",1,1-J21)</f>
        <v>72</v>
      </c>
      <c r="L21" s="9">
        <v>1</v>
      </c>
      <c r="M21" s="10"/>
      <c r="N21" s="8"/>
    </row>
    <row r="22" spans="1:14" hidden="1">
      <c r="A22" s="7">
        <v>2026</v>
      </c>
      <c r="B22" s="7">
        <v>1</v>
      </c>
      <c r="C22" s="7" t="s">
        <v>4349</v>
      </c>
      <c r="D22" s="7" t="s">
        <v>3446</v>
      </c>
      <c r="E22" s="7" t="s">
        <v>4346</v>
      </c>
      <c r="F22" s="7" t="s">
        <v>4316</v>
      </c>
      <c r="H22" s="7" t="s">
        <v>4348</v>
      </c>
      <c r="I22" s="8">
        <v>40</v>
      </c>
      <c r="J22" s="10"/>
      <c r="K22" s="8">
        <f>I22*IF(J22="",1,1-J22)</f>
        <v>40</v>
      </c>
      <c r="L22" s="9">
        <v>1</v>
      </c>
      <c r="M22" s="10"/>
      <c r="N22" s="8"/>
    </row>
    <row r="23" spans="1:14" hidden="1">
      <c r="A23" s="7">
        <v>2026</v>
      </c>
      <c r="B23" s="7">
        <v>1</v>
      </c>
      <c r="C23" s="7" t="s">
        <v>4350</v>
      </c>
      <c r="D23" s="7" t="s">
        <v>4347</v>
      </c>
      <c r="E23" s="7" t="s">
        <v>4346</v>
      </c>
      <c r="F23" s="7" t="s">
        <v>4318</v>
      </c>
      <c r="H23" s="7" t="s">
        <v>4348</v>
      </c>
      <c r="I23" s="8">
        <v>442</v>
      </c>
      <c r="J23" s="10"/>
      <c r="K23" s="8">
        <f>I23*IF(J23="",1,1-J23)</f>
        <v>442</v>
      </c>
      <c r="L23" s="9">
        <v>1</v>
      </c>
      <c r="M23" s="10"/>
      <c r="N23" s="8"/>
    </row>
    <row r="24" spans="1:14" hidden="1">
      <c r="A24" s="7">
        <v>2026</v>
      </c>
      <c r="B24" s="7">
        <v>1</v>
      </c>
      <c r="C24" s="7" t="s">
        <v>4351</v>
      </c>
      <c r="D24" s="7" t="s">
        <v>4269</v>
      </c>
      <c r="E24" s="7" t="s">
        <v>4346</v>
      </c>
      <c r="F24" s="7" t="s">
        <v>4316</v>
      </c>
      <c r="G24" s="7" t="s">
        <v>4347</v>
      </c>
      <c r="H24" s="7" t="s">
        <v>4348</v>
      </c>
      <c r="I24" s="8">
        <v>96</v>
      </c>
      <c r="J24" s="10"/>
      <c r="K24" s="8">
        <f>I24*IF(J24="",1,1-J24)</f>
        <v>96</v>
      </c>
      <c r="L24" s="9">
        <v>1</v>
      </c>
      <c r="M24" s="10"/>
      <c r="N24" s="8"/>
    </row>
    <row r="25" spans="1:14" hidden="1">
      <c r="A25" s="7">
        <v>2026</v>
      </c>
      <c r="B25" s="7">
        <v>1</v>
      </c>
      <c r="C25" s="7" t="s">
        <v>4352</v>
      </c>
      <c r="D25" s="7" t="s">
        <v>4270</v>
      </c>
      <c r="E25" s="7" t="s">
        <v>4346</v>
      </c>
      <c r="F25" s="7" t="s">
        <v>4316</v>
      </c>
      <c r="G25" s="7" t="s">
        <v>4347</v>
      </c>
      <c r="H25" s="7" t="s">
        <v>4348</v>
      </c>
      <c r="I25" s="8">
        <v>96</v>
      </c>
      <c r="J25" s="10"/>
      <c r="K25" s="8">
        <f>I25*IF(J25="",1,1-J25)</f>
        <v>96</v>
      </c>
      <c r="L25" s="9">
        <v>1</v>
      </c>
      <c r="M25" s="10"/>
      <c r="N25" s="8"/>
    </row>
    <row r="26" spans="1:14" hidden="1">
      <c r="A26" s="7">
        <v>2026</v>
      </c>
      <c r="B26" s="7">
        <v>1</v>
      </c>
      <c r="C26" s="7" t="s">
        <v>4353</v>
      </c>
      <c r="D26" s="7" t="s">
        <v>4271</v>
      </c>
      <c r="E26" s="7" t="s">
        <v>4346</v>
      </c>
      <c r="F26" s="7" t="s">
        <v>4316</v>
      </c>
      <c r="G26" s="7" t="s">
        <v>4347</v>
      </c>
      <c r="H26" s="7" t="s">
        <v>4348</v>
      </c>
      <c r="I26" s="8">
        <v>47</v>
      </c>
      <c r="J26" s="10"/>
      <c r="K26" s="8">
        <f>I26*IF(J26="",1,1-J26)</f>
        <v>47</v>
      </c>
      <c r="L26" s="9">
        <v>1</v>
      </c>
      <c r="M26" s="10"/>
      <c r="N26" s="8"/>
    </row>
    <row r="27" spans="1:14" hidden="1">
      <c r="A27" s="7">
        <v>2026</v>
      </c>
      <c r="B27" s="7">
        <v>1</v>
      </c>
      <c r="C27" s="7" t="s">
        <v>4354</v>
      </c>
      <c r="D27" s="7" t="s">
        <v>4272</v>
      </c>
      <c r="E27" s="7" t="s">
        <v>4346</v>
      </c>
      <c r="F27" s="7" t="s">
        <v>4316</v>
      </c>
      <c r="G27" s="7" t="s">
        <v>4347</v>
      </c>
      <c r="I27" s="8"/>
      <c r="J27" s="10"/>
      <c r="K27" s="8"/>
      <c r="L27" s="9"/>
      <c r="M27" s="10"/>
      <c r="N27" s="8"/>
    </row>
    <row r="28" spans="1:14" hidden="1">
      <c r="A28" s="7">
        <v>2026</v>
      </c>
      <c r="B28" s="7">
        <v>1</v>
      </c>
      <c r="C28" s="7" t="s">
        <v>4355</v>
      </c>
      <c r="D28" s="7" t="s">
        <v>4273</v>
      </c>
      <c r="E28" s="7" t="s">
        <v>4346</v>
      </c>
      <c r="F28" s="7" t="s">
        <v>4316</v>
      </c>
      <c r="G28" s="7" t="s">
        <v>4347</v>
      </c>
      <c r="H28" s="7" t="s">
        <v>4348</v>
      </c>
      <c r="I28" s="8">
        <v>96</v>
      </c>
      <c r="J28" s="10"/>
      <c r="K28" s="8">
        <f>I28*IF(J28="",1,1-J28)</f>
        <v>96</v>
      </c>
      <c r="L28" s="9">
        <v>1</v>
      </c>
      <c r="M28" s="10"/>
      <c r="N28" s="8"/>
    </row>
    <row r="29" spans="1:14" hidden="1">
      <c r="A29" s="7">
        <v>2026</v>
      </c>
      <c r="B29" s="7">
        <v>1</v>
      </c>
      <c r="C29" s="7" t="s">
        <v>4343</v>
      </c>
      <c r="D29" s="7" t="s">
        <v>829</v>
      </c>
      <c r="E29" s="7" t="s">
        <v>4346</v>
      </c>
      <c r="F29" s="7" t="s">
        <v>4316</v>
      </c>
      <c r="G29" s="7" t="s">
        <v>4347</v>
      </c>
      <c r="H29" s="7" t="s">
        <v>4348</v>
      </c>
      <c r="I29" s="8">
        <v>96</v>
      </c>
      <c r="J29" s="10">
        <v>0.57999999999999996</v>
      </c>
      <c r="K29" s="8">
        <f>I29*IF(J29="",1,1-J29)</f>
        <v>40.320000000000007</v>
      </c>
      <c r="L29" s="9">
        <v>1</v>
      </c>
      <c r="M29" s="10"/>
      <c r="N29" s="8"/>
    </row>
    <row r="30" spans="1:14" hidden="1">
      <c r="A30" s="7">
        <v>2026</v>
      </c>
      <c r="B30" s="7">
        <v>1</v>
      </c>
      <c r="C30" s="7" t="s">
        <v>4356</v>
      </c>
      <c r="D30" s="7" t="s">
        <v>4276</v>
      </c>
      <c r="E30" s="7" t="s">
        <v>4346</v>
      </c>
      <c r="F30" s="7" t="s">
        <v>4316</v>
      </c>
      <c r="H30" s="7" t="s">
        <v>4348</v>
      </c>
      <c r="I30" s="8"/>
      <c r="J30" s="10"/>
      <c r="K30" s="8">
        <f>I30*IF(J30="",1,1-J30)</f>
        <v>0</v>
      </c>
      <c r="L30" s="9">
        <v>1</v>
      </c>
      <c r="M30" s="10"/>
      <c r="N30" s="8"/>
    </row>
    <row r="31" spans="1:14" hidden="1">
      <c r="A31" s="7">
        <v>2026</v>
      </c>
      <c r="B31" s="7">
        <v>1</v>
      </c>
      <c r="C31" s="7" t="s">
        <v>4357</v>
      </c>
      <c r="D31" s="7" t="s">
        <v>87</v>
      </c>
      <c r="E31" s="7" t="s">
        <v>3558</v>
      </c>
      <c r="F31" s="7" t="s">
        <v>4316</v>
      </c>
      <c r="G31" s="7" t="s">
        <v>4358</v>
      </c>
      <c r="H31" s="7" t="s">
        <v>9</v>
      </c>
      <c r="I31" s="8">
        <v>114309</v>
      </c>
      <c r="J31" s="10"/>
      <c r="K31" s="8">
        <f>I31*IF(J31="",1,1-J31)</f>
        <v>114309</v>
      </c>
      <c r="L31" s="9">
        <v>0.4</v>
      </c>
      <c r="M31" s="10"/>
      <c r="N31" s="8"/>
    </row>
    <row r="32" spans="1:14" hidden="1">
      <c r="A32" s="7">
        <v>2026</v>
      </c>
      <c r="B32" s="7">
        <v>1</v>
      </c>
      <c r="C32" s="7" t="s">
        <v>4357</v>
      </c>
      <c r="D32" s="7" t="s">
        <v>87</v>
      </c>
      <c r="E32" s="7" t="s">
        <v>3558</v>
      </c>
      <c r="F32" s="7" t="s">
        <v>4316</v>
      </c>
      <c r="G32" s="7" t="s">
        <v>4358</v>
      </c>
      <c r="H32" s="7" t="s">
        <v>4359</v>
      </c>
      <c r="I32" s="8">
        <v>228618</v>
      </c>
      <c r="J32" s="10"/>
      <c r="K32" s="8">
        <f>I32*IF(J32="",1,1-J32)</f>
        <v>228618</v>
      </c>
      <c r="L32" s="9">
        <v>0.6</v>
      </c>
      <c r="M32" s="10"/>
      <c r="N32" s="8"/>
    </row>
    <row r="33" spans="1:14" hidden="1">
      <c r="A33" s="7">
        <v>2026</v>
      </c>
      <c r="B33" s="7">
        <v>1</v>
      </c>
      <c r="C33" s="7" t="s">
        <v>4360</v>
      </c>
      <c r="D33" s="7" t="s">
        <v>1165</v>
      </c>
      <c r="E33" s="7" t="s">
        <v>3558</v>
      </c>
      <c r="F33" s="7" t="s">
        <v>4316</v>
      </c>
      <c r="G33" s="7" t="s">
        <v>4358</v>
      </c>
      <c r="H33" s="7" t="s">
        <v>9</v>
      </c>
      <c r="I33" s="8">
        <v>83126</v>
      </c>
      <c r="J33" s="10"/>
      <c r="K33" s="8">
        <f>I33*IF(J33="",1,1-J33)</f>
        <v>83126</v>
      </c>
      <c r="L33" s="9">
        <v>0.4</v>
      </c>
      <c r="M33" s="10"/>
      <c r="N33" s="8"/>
    </row>
    <row r="34" spans="1:14" hidden="1">
      <c r="A34" s="7">
        <v>2026</v>
      </c>
      <c r="B34" s="7">
        <v>1</v>
      </c>
      <c r="C34" s="7" t="s">
        <v>4360</v>
      </c>
      <c r="D34" s="7" t="s">
        <v>1165</v>
      </c>
      <c r="E34" s="7" t="s">
        <v>3558</v>
      </c>
      <c r="F34" s="7" t="s">
        <v>4316</v>
      </c>
      <c r="G34" s="7" t="s">
        <v>4358</v>
      </c>
      <c r="H34" s="7" t="s">
        <v>4359</v>
      </c>
      <c r="I34" s="8">
        <v>166252</v>
      </c>
      <c r="J34" s="10"/>
      <c r="K34" s="8">
        <f>I34*IF(J34="",1,1-J34)</f>
        <v>166252</v>
      </c>
      <c r="L34" s="9">
        <v>0.6</v>
      </c>
      <c r="M34" s="10"/>
      <c r="N34" s="8"/>
    </row>
    <row r="35" spans="1:14" hidden="1">
      <c r="A35" s="7">
        <v>2026</v>
      </c>
      <c r="B35" s="7">
        <v>1</v>
      </c>
      <c r="C35" s="7" t="s">
        <v>4361</v>
      </c>
      <c r="D35" s="7" t="s">
        <v>36</v>
      </c>
      <c r="E35" s="7" t="s">
        <v>3558</v>
      </c>
      <c r="F35" s="7" t="s">
        <v>4316</v>
      </c>
      <c r="G35" s="7" t="s">
        <v>4358</v>
      </c>
      <c r="H35" s="7" t="s">
        <v>9</v>
      </c>
      <c r="I35" s="8">
        <v>92681.25</v>
      </c>
      <c r="J35" s="10"/>
      <c r="K35" s="8">
        <f>I35*IF(J35="",1,1-J35)</f>
        <v>92681.25</v>
      </c>
      <c r="L35" s="9">
        <v>0.4</v>
      </c>
      <c r="M35" s="10"/>
      <c r="N35" s="8"/>
    </row>
    <row r="36" spans="1:14" hidden="1">
      <c r="A36" s="7">
        <v>2026</v>
      </c>
      <c r="B36" s="7">
        <v>1</v>
      </c>
      <c r="C36" s="7" t="s">
        <v>4361</v>
      </c>
      <c r="D36" s="7" t="s">
        <v>36</v>
      </c>
      <c r="E36" s="7" t="s">
        <v>3558</v>
      </c>
      <c r="F36" s="7" t="s">
        <v>4316</v>
      </c>
      <c r="G36" s="7" t="s">
        <v>4358</v>
      </c>
      <c r="H36" s="7" t="s">
        <v>4359</v>
      </c>
      <c r="I36" s="8">
        <v>185362.49</v>
      </c>
      <c r="J36" s="10"/>
      <c r="K36" s="8">
        <f>I36*IF(J36="",1,1-J36)</f>
        <v>185362.49</v>
      </c>
      <c r="L36" s="9">
        <v>0.6</v>
      </c>
      <c r="M36" s="10"/>
      <c r="N36" s="8"/>
    </row>
    <row r="37" spans="1:14" hidden="1">
      <c r="A37" s="7">
        <v>2026</v>
      </c>
      <c r="B37" s="7">
        <v>1</v>
      </c>
      <c r="C37" s="7" t="s">
        <v>4362</v>
      </c>
      <c r="D37" s="7" t="s">
        <v>98</v>
      </c>
      <c r="E37" s="7" t="s">
        <v>3558</v>
      </c>
      <c r="F37" s="7" t="s">
        <v>4316</v>
      </c>
      <c r="G37" s="7" t="s">
        <v>4358</v>
      </c>
      <c r="H37" s="7" t="s">
        <v>9</v>
      </c>
      <c r="I37" s="8">
        <v>92683.7</v>
      </c>
      <c r="J37" s="10"/>
      <c r="K37" s="8">
        <f>I37*IF(J37="",1,1-J37)</f>
        <v>92683.7</v>
      </c>
      <c r="L37" s="9">
        <v>0.4</v>
      </c>
      <c r="M37" s="10"/>
      <c r="N37" s="8"/>
    </row>
    <row r="38" spans="1:14" hidden="1">
      <c r="A38" s="7">
        <v>2026</v>
      </c>
      <c r="B38" s="7">
        <v>1</v>
      </c>
      <c r="C38" s="7" t="s">
        <v>4362</v>
      </c>
      <c r="D38" s="7" t="s">
        <v>98</v>
      </c>
      <c r="E38" s="7" t="s">
        <v>3558</v>
      </c>
      <c r="F38" s="7" t="s">
        <v>4316</v>
      </c>
      <c r="G38" s="7" t="s">
        <v>4358</v>
      </c>
      <c r="H38" s="7" t="s">
        <v>4359</v>
      </c>
      <c r="I38" s="8">
        <v>185367.4</v>
      </c>
      <c r="J38" s="10"/>
      <c r="K38" s="8">
        <f>I38*IF(J38="",1,1-J38)</f>
        <v>185367.4</v>
      </c>
      <c r="L38" s="9">
        <v>0.6</v>
      </c>
      <c r="M38" s="10"/>
      <c r="N38" s="8"/>
    </row>
    <row r="39" spans="1:14" hidden="1">
      <c r="A39" s="7">
        <v>2026</v>
      </c>
      <c r="B39" s="7">
        <v>1</v>
      </c>
      <c r="C39" s="7" t="s">
        <v>4363</v>
      </c>
      <c r="D39" s="7" t="s">
        <v>72</v>
      </c>
      <c r="E39" s="7" t="s">
        <v>3558</v>
      </c>
      <c r="F39" s="7" t="s">
        <v>4316</v>
      </c>
      <c r="G39" s="7" t="s">
        <v>4358</v>
      </c>
      <c r="H39" s="7" t="s">
        <v>9</v>
      </c>
      <c r="I39" s="8">
        <v>198811.3</v>
      </c>
      <c r="J39" s="10"/>
      <c r="K39" s="8">
        <f>I39*IF(J39="",1,1-J39)</f>
        <v>198811.3</v>
      </c>
      <c r="L39" s="9">
        <v>0.4</v>
      </c>
      <c r="M39" s="10"/>
      <c r="N39" s="8"/>
    </row>
    <row r="40" spans="1:14" hidden="1">
      <c r="A40" s="7">
        <v>2026</v>
      </c>
      <c r="B40" s="7">
        <v>1</v>
      </c>
      <c r="C40" s="7" t="s">
        <v>4363</v>
      </c>
      <c r="D40" s="7" t="s">
        <v>72</v>
      </c>
      <c r="E40" s="7" t="s">
        <v>3558</v>
      </c>
      <c r="F40" s="7" t="s">
        <v>4316</v>
      </c>
      <c r="G40" s="7" t="s">
        <v>4358</v>
      </c>
      <c r="H40" s="7" t="s">
        <v>4359</v>
      </c>
      <c r="I40" s="8">
        <v>397622.6</v>
      </c>
      <c r="J40" s="10"/>
      <c r="K40" s="8">
        <f>I40*IF(J40="",1,1-J40)</f>
        <v>397622.6</v>
      </c>
      <c r="L40" s="9">
        <v>0.6</v>
      </c>
      <c r="M40" s="10"/>
      <c r="N40" s="8"/>
    </row>
    <row r="41" spans="1:14" hidden="1">
      <c r="A41" s="7">
        <v>2026</v>
      </c>
      <c r="B41" s="7">
        <v>1</v>
      </c>
      <c r="C41" s="7" t="s">
        <v>4364</v>
      </c>
      <c r="D41" s="7" t="s">
        <v>78</v>
      </c>
      <c r="E41" s="7" t="s">
        <v>3558</v>
      </c>
      <c r="F41" s="7" t="s">
        <v>4316</v>
      </c>
      <c r="G41" s="7" t="s">
        <v>4358</v>
      </c>
      <c r="H41" s="7" t="s">
        <v>9</v>
      </c>
      <c r="I41" s="8">
        <v>53512.5</v>
      </c>
      <c r="J41" s="10"/>
      <c r="K41" s="8">
        <f>I41*IF(J41="",1,1-J41)</f>
        <v>53512.5</v>
      </c>
      <c r="L41" s="9">
        <v>0.4</v>
      </c>
      <c r="M41" s="10"/>
      <c r="N41" s="8"/>
    </row>
    <row r="42" spans="1:14" hidden="1">
      <c r="A42" s="7">
        <v>2026</v>
      </c>
      <c r="B42" s="7">
        <v>1</v>
      </c>
      <c r="C42" s="7" t="s">
        <v>4364</v>
      </c>
      <c r="D42" s="7" t="s">
        <v>78</v>
      </c>
      <c r="E42" s="7" t="s">
        <v>3558</v>
      </c>
      <c r="F42" s="7" t="s">
        <v>4316</v>
      </c>
      <c r="G42" s="7" t="s">
        <v>4358</v>
      </c>
      <c r="H42" s="7" t="s">
        <v>4359</v>
      </c>
      <c r="I42" s="8">
        <v>107025</v>
      </c>
      <c r="J42" s="10"/>
      <c r="K42" s="8">
        <f>I42*IF(J42="",1,1-J42)</f>
        <v>107025</v>
      </c>
      <c r="L42" s="9">
        <v>0.6</v>
      </c>
      <c r="M42" s="10"/>
      <c r="N42" s="8"/>
    </row>
    <row r="43" spans="1:14" hidden="1">
      <c r="A43" s="7">
        <v>2026</v>
      </c>
      <c r="B43" s="7">
        <v>1</v>
      </c>
      <c r="C43" s="7" t="s">
        <v>4365</v>
      </c>
      <c r="D43" s="7" t="s">
        <v>69</v>
      </c>
      <c r="E43" s="7" t="s">
        <v>3558</v>
      </c>
      <c r="F43" s="7" t="s">
        <v>4316</v>
      </c>
      <c r="G43" s="7" t="s">
        <v>4358</v>
      </c>
      <c r="H43" s="7" t="s">
        <v>9</v>
      </c>
      <c r="I43" s="8">
        <v>75000</v>
      </c>
      <c r="J43" s="10"/>
      <c r="K43" s="8">
        <f>I43*IF(J43="",1,1-J43)</f>
        <v>75000</v>
      </c>
      <c r="L43" s="9">
        <v>0.4</v>
      </c>
      <c r="M43" s="10"/>
      <c r="N43" s="8"/>
    </row>
    <row r="44" spans="1:14" hidden="1">
      <c r="A44" s="7">
        <v>2026</v>
      </c>
      <c r="B44" s="7">
        <v>1</v>
      </c>
      <c r="C44" s="7" t="s">
        <v>4365</v>
      </c>
      <c r="D44" s="7" t="s">
        <v>69</v>
      </c>
      <c r="E44" s="7" t="s">
        <v>3558</v>
      </c>
      <c r="F44" s="7" t="s">
        <v>4316</v>
      </c>
      <c r="G44" s="7" t="s">
        <v>4358</v>
      </c>
      <c r="H44" s="7" t="s">
        <v>4359</v>
      </c>
      <c r="I44" s="8">
        <v>150000</v>
      </c>
      <c r="J44" s="10"/>
      <c r="K44" s="8">
        <f>I44*IF(J44="",1,1-J44)</f>
        <v>150000</v>
      </c>
      <c r="L44" s="9">
        <v>0.6</v>
      </c>
      <c r="M44" s="10"/>
      <c r="N44" s="8"/>
    </row>
    <row r="45" spans="1:14" hidden="1">
      <c r="A45" s="7">
        <v>2026</v>
      </c>
      <c r="B45" s="7">
        <v>1</v>
      </c>
      <c r="C45" s="7" t="s">
        <v>4366</v>
      </c>
      <c r="D45" s="7" t="s">
        <v>2068</v>
      </c>
      <c r="E45" s="7" t="s">
        <v>3558</v>
      </c>
      <c r="F45" s="7" t="s">
        <v>4316</v>
      </c>
      <c r="G45" s="7" t="s">
        <v>4358</v>
      </c>
      <c r="H45" s="7" t="s">
        <v>9</v>
      </c>
      <c r="I45" s="8">
        <v>165934.85999999999</v>
      </c>
      <c r="J45" s="10"/>
      <c r="K45" s="8">
        <f>I45*IF(J45="",1,1-J45)</f>
        <v>165934.85999999999</v>
      </c>
      <c r="L45" s="9">
        <v>0.4</v>
      </c>
      <c r="M45" s="10"/>
      <c r="N45" s="8"/>
    </row>
    <row r="46" spans="1:14" hidden="1">
      <c r="A46" s="7">
        <v>2026</v>
      </c>
      <c r="B46" s="7">
        <v>1</v>
      </c>
      <c r="C46" s="7" t="s">
        <v>4366</v>
      </c>
      <c r="D46" s="7" t="s">
        <v>2068</v>
      </c>
      <c r="E46" s="7" t="s">
        <v>3558</v>
      </c>
      <c r="F46" s="7" t="s">
        <v>4316</v>
      </c>
      <c r="G46" s="7" t="s">
        <v>4358</v>
      </c>
      <c r="H46" s="7" t="s">
        <v>4359</v>
      </c>
      <c r="I46" s="8">
        <v>331869.71999999997</v>
      </c>
      <c r="J46" s="10"/>
      <c r="K46" s="8">
        <f>I46*IF(J46="",1,1-J46)</f>
        <v>331869.71999999997</v>
      </c>
      <c r="L46" s="9">
        <v>0.6</v>
      </c>
      <c r="M46" s="10"/>
      <c r="N46" s="8"/>
    </row>
    <row r="47" spans="1:14" hidden="1">
      <c r="A47" s="7">
        <v>2026</v>
      </c>
      <c r="B47" s="7">
        <v>1</v>
      </c>
      <c r="C47" s="7" t="s">
        <v>4367</v>
      </c>
      <c r="D47" s="7" t="s">
        <v>4358</v>
      </c>
      <c r="E47" s="7" t="s">
        <v>3558</v>
      </c>
      <c r="F47" s="7" t="s">
        <v>4318</v>
      </c>
      <c r="H47" s="7" t="s">
        <v>4359</v>
      </c>
      <c r="I47" s="8">
        <v>1951064.72</v>
      </c>
      <c r="J47" s="10"/>
      <c r="K47" s="8">
        <f>I47*IF(J47="",1,1-J47)</f>
        <v>1951064.72</v>
      </c>
      <c r="L47" s="9">
        <v>0.8</v>
      </c>
      <c r="M47" s="10"/>
      <c r="N47" s="8"/>
    </row>
    <row r="48" spans="1:14" hidden="1">
      <c r="A48" s="7">
        <v>2026</v>
      </c>
      <c r="B48" s="7">
        <v>1</v>
      </c>
      <c r="C48" s="7" t="s">
        <v>4367</v>
      </c>
      <c r="D48" s="7" t="s">
        <v>4358</v>
      </c>
      <c r="E48" s="7" t="s">
        <v>3558</v>
      </c>
      <c r="F48" s="7" t="s">
        <v>4318</v>
      </c>
      <c r="H48" s="7" t="s">
        <v>4368</v>
      </c>
      <c r="I48" s="8">
        <v>0.8</v>
      </c>
      <c r="J48" s="10"/>
      <c r="K48" s="8">
        <f>I48*IF(J48="",1,1-J48)</f>
        <v>0.8</v>
      </c>
      <c r="L48" s="9">
        <v>0.2</v>
      </c>
      <c r="M48" s="10"/>
      <c r="N48" s="8"/>
    </row>
    <row r="49" spans="1:14" hidden="1">
      <c r="A49" s="7">
        <v>2026</v>
      </c>
      <c r="B49" s="7">
        <v>1</v>
      </c>
      <c r="C49" s="7" t="s">
        <v>4369</v>
      </c>
      <c r="D49" s="7" t="s">
        <v>1243</v>
      </c>
      <c r="E49" s="7" t="s">
        <v>3558</v>
      </c>
      <c r="F49" s="7" t="s">
        <v>4316</v>
      </c>
      <c r="G49" s="7" t="s">
        <v>4358</v>
      </c>
      <c r="H49" s="7" t="s">
        <v>9</v>
      </c>
      <c r="I49" s="8">
        <v>66667.5</v>
      </c>
      <c r="J49" s="10"/>
      <c r="K49" s="8">
        <f>I49*IF(J49="",1,1-J49)</f>
        <v>66667.5</v>
      </c>
      <c r="L49" s="9">
        <v>0.4</v>
      </c>
      <c r="M49" s="10"/>
      <c r="N49" s="8"/>
    </row>
    <row r="50" spans="1:14" hidden="1">
      <c r="A50" s="7">
        <v>2026</v>
      </c>
      <c r="B50" s="7">
        <v>1</v>
      </c>
      <c r="C50" s="7" t="s">
        <v>4369</v>
      </c>
      <c r="D50" s="7" t="s">
        <v>1243</v>
      </c>
      <c r="E50" s="7" t="s">
        <v>3558</v>
      </c>
      <c r="F50" s="7" t="s">
        <v>4316</v>
      </c>
      <c r="G50" s="7" t="s">
        <v>4358</v>
      </c>
      <c r="H50" s="7" t="s">
        <v>4359</v>
      </c>
      <c r="I50" s="8">
        <v>133335</v>
      </c>
      <c r="J50" s="10"/>
      <c r="K50" s="8">
        <f>I50*IF(J50="",1,1-J50)</f>
        <v>133335</v>
      </c>
      <c r="L50" s="9">
        <v>0.6</v>
      </c>
      <c r="M50" s="10"/>
      <c r="N50" s="8"/>
    </row>
    <row r="51" spans="1:14" hidden="1">
      <c r="A51" s="7">
        <v>2026</v>
      </c>
      <c r="B51" s="7">
        <v>1</v>
      </c>
      <c r="C51" s="7" t="s">
        <v>4370</v>
      </c>
      <c r="D51" s="7" t="s">
        <v>66</v>
      </c>
      <c r="E51" s="7" t="s">
        <v>3558</v>
      </c>
      <c r="F51" s="7" t="s">
        <v>4316</v>
      </c>
      <c r="G51" s="7" t="s">
        <v>4358</v>
      </c>
      <c r="H51" s="7" t="s">
        <v>9</v>
      </c>
      <c r="I51" s="8">
        <v>198760</v>
      </c>
      <c r="J51" s="10"/>
      <c r="K51" s="8">
        <f>I51*IF(J51="",1,1-J51)</f>
        <v>198760</v>
      </c>
      <c r="L51" s="9">
        <v>0.4</v>
      </c>
      <c r="M51" s="10"/>
      <c r="N51" s="8"/>
    </row>
    <row r="52" spans="1:14" hidden="1">
      <c r="A52" s="7">
        <v>2026</v>
      </c>
      <c r="B52" s="7">
        <v>1</v>
      </c>
      <c r="C52" s="7" t="s">
        <v>4370</v>
      </c>
      <c r="D52" s="7" t="s">
        <v>66</v>
      </c>
      <c r="E52" s="7" t="s">
        <v>3558</v>
      </c>
      <c r="F52" s="7" t="s">
        <v>4316</v>
      </c>
      <c r="G52" s="7" t="s">
        <v>4358</v>
      </c>
      <c r="H52" s="7" t="s">
        <v>4359</v>
      </c>
      <c r="I52" s="8">
        <v>397520</v>
      </c>
      <c r="J52" s="10"/>
      <c r="K52" s="8">
        <f>I52*IF(J52="",1,1-J52)</f>
        <v>397520</v>
      </c>
      <c r="L52" s="9">
        <v>0.6</v>
      </c>
      <c r="M52" s="10"/>
      <c r="N52" s="8"/>
    </row>
    <row r="53" spans="1:14" hidden="1">
      <c r="A53" s="7">
        <v>2026</v>
      </c>
      <c r="B53" s="7">
        <v>1</v>
      </c>
      <c r="C53" s="7" t="s">
        <v>4371</v>
      </c>
      <c r="D53" s="7" t="s">
        <v>75</v>
      </c>
      <c r="E53" s="7" t="s">
        <v>3558</v>
      </c>
      <c r="F53" s="7" t="s">
        <v>4316</v>
      </c>
      <c r="G53" s="7" t="s">
        <v>4358</v>
      </c>
      <c r="H53" s="7" t="s">
        <v>9</v>
      </c>
      <c r="I53" s="8">
        <v>53442</v>
      </c>
      <c r="J53" s="10"/>
      <c r="K53" s="8">
        <f>I53*IF(J53="",1,1-J53)</f>
        <v>53442</v>
      </c>
      <c r="L53" s="9">
        <v>0.4</v>
      </c>
      <c r="M53" s="10"/>
      <c r="N53" s="8"/>
    </row>
    <row r="54" spans="1:14" hidden="1">
      <c r="A54" s="7">
        <v>2026</v>
      </c>
      <c r="B54" s="7">
        <v>1</v>
      </c>
      <c r="C54" s="7" t="s">
        <v>4371</v>
      </c>
      <c r="D54" s="7" t="s">
        <v>75</v>
      </c>
      <c r="E54" s="7" t="s">
        <v>3558</v>
      </c>
      <c r="F54" s="7" t="s">
        <v>4316</v>
      </c>
      <c r="G54" s="7" t="s">
        <v>4358</v>
      </c>
      <c r="H54" s="7" t="s">
        <v>4359</v>
      </c>
      <c r="I54" s="8">
        <v>106884</v>
      </c>
      <c r="J54" s="10"/>
      <c r="K54" s="8">
        <f>I54*IF(J54="",1,1-J54)</f>
        <v>106884</v>
      </c>
      <c r="L54" s="9">
        <v>0.6</v>
      </c>
      <c r="M54" s="10"/>
      <c r="N54" s="8"/>
    </row>
    <row r="55" spans="1:14" hidden="1">
      <c r="A55" s="7">
        <v>2026</v>
      </c>
      <c r="B55" s="7">
        <v>1</v>
      </c>
      <c r="C55" s="7" t="s">
        <v>4372</v>
      </c>
      <c r="D55" s="7" t="s">
        <v>198</v>
      </c>
      <c r="E55" s="7" t="s">
        <v>111</v>
      </c>
      <c r="F55" s="7" t="s">
        <v>4318</v>
      </c>
      <c r="H55" s="7" t="s">
        <v>11</v>
      </c>
      <c r="I55" s="8">
        <v>92366.1</v>
      </c>
      <c r="J55" s="10"/>
      <c r="K55" s="8">
        <f>I55*IF(J55="",1,1-J55)</f>
        <v>92366.1</v>
      </c>
      <c r="L55" s="9">
        <v>1</v>
      </c>
      <c r="M55" s="10"/>
      <c r="N55" s="8"/>
    </row>
    <row r="56" spans="1:14" hidden="1">
      <c r="A56" s="7">
        <v>2026</v>
      </c>
      <c r="B56" s="7">
        <v>1</v>
      </c>
      <c r="C56" s="7" t="s">
        <v>4373</v>
      </c>
      <c r="D56" s="7" t="s">
        <v>162</v>
      </c>
      <c r="E56" s="7" t="s">
        <v>111</v>
      </c>
      <c r="F56" s="7" t="s">
        <v>4316</v>
      </c>
      <c r="G56" s="7" t="s">
        <v>198</v>
      </c>
      <c r="H56" s="7" t="s">
        <v>11</v>
      </c>
      <c r="I56" s="8">
        <v>12389.69</v>
      </c>
      <c r="J56" s="10"/>
      <c r="K56" s="8">
        <f>I56*IF(J56="",1,1-J56)</f>
        <v>12389.69</v>
      </c>
      <c r="L56" s="9">
        <v>1</v>
      </c>
      <c r="M56" s="10"/>
      <c r="N56" s="8"/>
    </row>
    <row r="57" spans="1:14" hidden="1">
      <c r="A57" s="7">
        <v>2026</v>
      </c>
      <c r="B57" s="7">
        <v>1</v>
      </c>
      <c r="C57" s="7" t="s">
        <v>4374</v>
      </c>
      <c r="D57" s="7" t="s">
        <v>137</v>
      </c>
      <c r="E57" s="7" t="s">
        <v>111</v>
      </c>
      <c r="F57" s="7" t="s">
        <v>4316</v>
      </c>
      <c r="G57" s="7" t="s">
        <v>198</v>
      </c>
      <c r="H57" s="7" t="s">
        <v>11</v>
      </c>
      <c r="I57" s="8">
        <v>11826.65</v>
      </c>
      <c r="J57" s="10"/>
      <c r="K57" s="8">
        <f>I57*IF(J57="",1,1-J57)</f>
        <v>11826.65</v>
      </c>
      <c r="L57" s="9">
        <v>1</v>
      </c>
      <c r="M57" s="10"/>
      <c r="N57" s="8"/>
    </row>
    <row r="58" spans="1:14" hidden="1">
      <c r="A58" s="7">
        <v>2026</v>
      </c>
      <c r="B58" s="7">
        <v>1</v>
      </c>
      <c r="C58" s="7" t="s">
        <v>4375</v>
      </c>
      <c r="D58" s="7" t="s">
        <v>127</v>
      </c>
      <c r="E58" s="7" t="s">
        <v>111</v>
      </c>
      <c r="F58" s="7" t="s">
        <v>4316</v>
      </c>
      <c r="G58" s="7" t="s">
        <v>198</v>
      </c>
      <c r="H58" s="7" t="s">
        <v>11</v>
      </c>
      <c r="I58" s="8">
        <v>13796.64</v>
      </c>
      <c r="J58" s="10"/>
      <c r="K58" s="8">
        <f>I58*IF(J58="",1,1-J58)</f>
        <v>13796.64</v>
      </c>
      <c r="L58" s="9">
        <v>1</v>
      </c>
      <c r="M58" s="10"/>
      <c r="N58" s="8"/>
    </row>
    <row r="59" spans="1:14" hidden="1">
      <c r="A59" s="7">
        <v>2026</v>
      </c>
      <c r="B59" s="7">
        <v>1</v>
      </c>
      <c r="C59" s="7" t="s">
        <v>4376</v>
      </c>
      <c r="D59" s="7" t="s">
        <v>116</v>
      </c>
      <c r="E59" s="7" t="s">
        <v>111</v>
      </c>
      <c r="F59" s="7" t="s">
        <v>4316</v>
      </c>
      <c r="G59" s="7" t="s">
        <v>198</v>
      </c>
      <c r="H59" s="7" t="s">
        <v>11</v>
      </c>
      <c r="I59" s="8">
        <v>12427.33</v>
      </c>
      <c r="J59" s="10"/>
      <c r="K59" s="8">
        <f>I59*IF(J59="",1,1-J59)</f>
        <v>12427.33</v>
      </c>
      <c r="L59" s="9">
        <v>1</v>
      </c>
      <c r="M59" s="10"/>
      <c r="N59" s="8"/>
    </row>
    <row r="60" spans="1:14" hidden="1">
      <c r="A60" s="7">
        <v>2026</v>
      </c>
      <c r="B60" s="7">
        <v>1</v>
      </c>
      <c r="C60" s="7" t="s">
        <v>4377</v>
      </c>
      <c r="D60" s="7" t="s">
        <v>133</v>
      </c>
      <c r="E60" s="7" t="s">
        <v>111</v>
      </c>
      <c r="F60" s="7" t="s">
        <v>4316</v>
      </c>
      <c r="G60" s="7" t="s">
        <v>198</v>
      </c>
      <c r="H60" s="7" t="s">
        <v>11</v>
      </c>
      <c r="I60" s="8">
        <v>11424.3</v>
      </c>
      <c r="J60" s="10"/>
      <c r="K60" s="8">
        <f>I60*IF(J60="",1,1-J60)</f>
        <v>11424.3</v>
      </c>
      <c r="L60" s="9">
        <v>1</v>
      </c>
      <c r="M60" s="10"/>
      <c r="N60" s="8"/>
    </row>
    <row r="61" spans="1:14" hidden="1">
      <c r="A61" s="7">
        <v>2026</v>
      </c>
      <c r="B61" s="7">
        <v>1</v>
      </c>
      <c r="C61" s="7" t="s">
        <v>4378</v>
      </c>
      <c r="D61" s="7" t="s">
        <v>110</v>
      </c>
      <c r="E61" s="7" t="s">
        <v>111</v>
      </c>
      <c r="F61" s="7" t="s">
        <v>4316</v>
      </c>
      <c r="G61" s="7" t="s">
        <v>198</v>
      </c>
      <c r="H61" s="7" t="s">
        <v>11</v>
      </c>
      <c r="I61" s="8">
        <v>13955.9</v>
      </c>
      <c r="J61" s="10"/>
      <c r="K61" s="8">
        <f>I61*IF(J61="",1,1-J61)</f>
        <v>13955.9</v>
      </c>
      <c r="L61" s="9">
        <v>1</v>
      </c>
      <c r="M61" s="10"/>
      <c r="N61" s="8"/>
    </row>
    <row r="62" spans="1:14" hidden="1">
      <c r="A62" s="7">
        <v>2026</v>
      </c>
      <c r="B62" s="7">
        <v>1</v>
      </c>
      <c r="C62" s="7" t="s">
        <v>4379</v>
      </c>
      <c r="D62" s="7" t="s">
        <v>121</v>
      </c>
      <c r="E62" s="7" t="s">
        <v>111</v>
      </c>
      <c r="F62" s="7" t="s">
        <v>4316</v>
      </c>
      <c r="G62" s="7" t="s">
        <v>198</v>
      </c>
      <c r="H62" s="7" t="s">
        <v>11</v>
      </c>
      <c r="I62" s="8">
        <v>12485.74</v>
      </c>
      <c r="J62" s="10"/>
      <c r="K62" s="8">
        <f>I62*IF(J62="",1,1-J62)</f>
        <v>12485.74</v>
      </c>
      <c r="L62" s="9">
        <v>1</v>
      </c>
      <c r="M62" s="10"/>
      <c r="N62" s="8"/>
    </row>
    <row r="63" spans="1:14" hidden="1">
      <c r="A63" s="7">
        <v>2026</v>
      </c>
      <c r="B63" s="7">
        <v>1</v>
      </c>
      <c r="C63" s="7" t="s">
        <v>4380</v>
      </c>
      <c r="D63" s="7" t="s">
        <v>2265</v>
      </c>
      <c r="E63" s="7" t="s">
        <v>4381</v>
      </c>
      <c r="F63" s="7" t="s">
        <v>4318</v>
      </c>
      <c r="H63" s="7" t="s">
        <v>11</v>
      </c>
      <c r="I63" s="8">
        <v>84505</v>
      </c>
      <c r="J63" s="10"/>
      <c r="K63" s="8">
        <f>I63*IF(J63="",1,1-J63)</f>
        <v>84505</v>
      </c>
      <c r="L63" s="9">
        <v>1</v>
      </c>
      <c r="M63" s="10"/>
      <c r="N63" s="8"/>
    </row>
    <row r="64" spans="1:14" hidden="1">
      <c r="A64" s="7">
        <v>2026</v>
      </c>
      <c r="B64" s="7">
        <v>2</v>
      </c>
      <c r="C64" s="7" t="s">
        <v>4327</v>
      </c>
      <c r="D64" s="7" t="s">
        <v>313</v>
      </c>
      <c r="E64" s="7" t="s">
        <v>314</v>
      </c>
      <c r="F64" s="7" t="s">
        <v>4316</v>
      </c>
      <c r="G64" s="7" t="s">
        <v>2265</v>
      </c>
      <c r="H64" s="7" t="s">
        <v>11</v>
      </c>
      <c r="I64" s="8">
        <v>14300</v>
      </c>
      <c r="J64" s="10">
        <v>0.5</v>
      </c>
      <c r="K64" s="8">
        <f>I64*IF(J64="",1,1-J64)</f>
        <v>7150</v>
      </c>
      <c r="L64" s="9">
        <v>1</v>
      </c>
      <c r="N64" s="8"/>
    </row>
    <row r="65" spans="1:14" hidden="1">
      <c r="A65" s="7">
        <v>2026</v>
      </c>
      <c r="B65" s="7">
        <v>2</v>
      </c>
      <c r="C65" s="7" t="s">
        <v>4328</v>
      </c>
      <c r="D65" s="7" t="s">
        <v>1073</v>
      </c>
      <c r="E65" s="7" t="s">
        <v>314</v>
      </c>
      <c r="F65" s="7" t="s">
        <v>4316</v>
      </c>
      <c r="G65" s="7" t="s">
        <v>2265</v>
      </c>
      <c r="H65" s="7" t="s">
        <v>11</v>
      </c>
      <c r="I65" s="8">
        <v>11750</v>
      </c>
      <c r="J65" s="10"/>
      <c r="K65" s="8">
        <f>I65*IF(J65="",1,1-J65)</f>
        <v>11750</v>
      </c>
      <c r="L65" s="9">
        <v>1</v>
      </c>
      <c r="N65" s="8"/>
    </row>
    <row r="66" spans="1:14" hidden="1">
      <c r="A66" s="7">
        <v>2026</v>
      </c>
      <c r="B66" s="7">
        <v>2</v>
      </c>
      <c r="C66" s="7" t="s">
        <v>4329</v>
      </c>
      <c r="D66" s="7" t="s">
        <v>1210</v>
      </c>
      <c r="E66" s="7" t="s">
        <v>91</v>
      </c>
      <c r="F66" s="7" t="s">
        <v>4316</v>
      </c>
      <c r="H66" s="7" t="s">
        <v>11</v>
      </c>
      <c r="I66" s="8">
        <v>7626</v>
      </c>
      <c r="J66" s="10">
        <v>0.7</v>
      </c>
      <c r="K66" s="8">
        <v>2288</v>
      </c>
      <c r="L66" s="9">
        <v>1</v>
      </c>
      <c r="N66" s="8"/>
    </row>
    <row r="67" spans="1:14" hidden="1">
      <c r="A67" s="7">
        <v>2026</v>
      </c>
      <c r="B67" s="7">
        <v>2</v>
      </c>
      <c r="C67" s="7" t="s">
        <v>4330</v>
      </c>
      <c r="D67" s="7" t="s">
        <v>129</v>
      </c>
      <c r="E67" s="7" t="s">
        <v>91</v>
      </c>
      <c r="F67" s="7" t="s">
        <v>4316</v>
      </c>
      <c r="H67" s="7" t="s">
        <v>11</v>
      </c>
      <c r="I67" s="8">
        <v>6100</v>
      </c>
      <c r="J67" s="10"/>
      <c r="K67" s="8">
        <f>I67*IF(J67="",1,1-J67)</f>
        <v>6100</v>
      </c>
      <c r="L67" s="9">
        <v>1</v>
      </c>
      <c r="N67" s="8"/>
    </row>
    <row r="68" spans="1:14" hidden="1">
      <c r="A68" s="7">
        <v>2026</v>
      </c>
      <c r="B68" s="7">
        <v>2</v>
      </c>
      <c r="C68" s="7" t="s">
        <v>4331</v>
      </c>
      <c r="D68" s="7" t="s">
        <v>90</v>
      </c>
      <c r="E68" s="7" t="s">
        <v>91</v>
      </c>
      <c r="F68" s="7" t="s">
        <v>4316</v>
      </c>
      <c r="H68" s="7" t="s">
        <v>11</v>
      </c>
      <c r="I68" s="8">
        <v>6100</v>
      </c>
      <c r="J68" s="10"/>
      <c r="K68" s="8">
        <f>I68*IF(J68="",1,1-J68)</f>
        <v>6100</v>
      </c>
      <c r="L68" s="9">
        <v>1</v>
      </c>
      <c r="N68" s="8"/>
    </row>
    <row r="69" spans="1:14" hidden="1">
      <c r="A69" s="7">
        <v>2026</v>
      </c>
      <c r="B69" s="7">
        <v>2</v>
      </c>
      <c r="C69" s="7" t="s">
        <v>4332</v>
      </c>
      <c r="D69" s="7" t="s">
        <v>668</v>
      </c>
      <c r="E69" s="7" t="s">
        <v>91</v>
      </c>
      <c r="F69" s="7" t="s">
        <v>4316</v>
      </c>
      <c r="H69" s="7" t="s">
        <v>11</v>
      </c>
      <c r="I69" s="8">
        <v>7626</v>
      </c>
      <c r="J69" s="10">
        <v>0.34</v>
      </c>
      <c r="K69" s="8">
        <v>5033</v>
      </c>
      <c r="L69" s="9">
        <v>1</v>
      </c>
      <c r="N69" s="8"/>
    </row>
    <row r="70" spans="1:14" hidden="1">
      <c r="A70" s="7">
        <v>2026</v>
      </c>
      <c r="B70" s="7">
        <v>2</v>
      </c>
      <c r="C70" s="7" t="s">
        <v>4333</v>
      </c>
      <c r="D70" s="7" t="s">
        <v>348</v>
      </c>
      <c r="E70" s="7" t="s">
        <v>349</v>
      </c>
      <c r="F70" s="7" t="s">
        <v>4316</v>
      </c>
      <c r="H70" s="7" t="s">
        <v>11</v>
      </c>
      <c r="I70" s="8">
        <v>9200</v>
      </c>
      <c r="J70" s="10"/>
      <c r="K70" s="8">
        <f>I70*IF(J70="",1,1-J70)</f>
        <v>9200</v>
      </c>
      <c r="L70" s="9">
        <v>1</v>
      </c>
      <c r="N70" s="8"/>
    </row>
    <row r="71" spans="1:14" hidden="1">
      <c r="A71" s="7">
        <v>2026</v>
      </c>
      <c r="B71" s="7">
        <v>2</v>
      </c>
      <c r="C71" s="7" t="s">
        <v>4334</v>
      </c>
      <c r="D71" s="7" t="s">
        <v>361</v>
      </c>
      <c r="E71" s="7" t="s">
        <v>349</v>
      </c>
      <c r="F71" s="7" t="s">
        <v>4316</v>
      </c>
      <c r="H71" s="7" t="s">
        <v>11</v>
      </c>
      <c r="I71" s="8">
        <v>9200</v>
      </c>
      <c r="J71" s="10">
        <v>0.5</v>
      </c>
      <c r="K71" s="8">
        <f>I71*IF(J71="",1,1-J71)</f>
        <v>4600</v>
      </c>
      <c r="L71" s="9">
        <v>1</v>
      </c>
      <c r="N71" s="8"/>
    </row>
    <row r="72" spans="1:14" hidden="1">
      <c r="A72" s="7">
        <v>2026</v>
      </c>
      <c r="B72" s="7">
        <v>2</v>
      </c>
      <c r="C72" s="7" t="s">
        <v>4335</v>
      </c>
      <c r="D72" s="7" t="s">
        <v>190</v>
      </c>
      <c r="E72" s="7" t="s">
        <v>191</v>
      </c>
      <c r="F72" s="7" t="s">
        <v>4316</v>
      </c>
      <c r="G72" s="7" t="s">
        <v>2265</v>
      </c>
      <c r="H72" s="7" t="s">
        <v>11</v>
      </c>
      <c r="I72" s="8">
        <v>8000</v>
      </c>
      <c r="J72" s="10">
        <v>0.4</v>
      </c>
      <c r="K72" s="8">
        <f>I72*IF(J72="",1,1-J72)</f>
        <v>4800</v>
      </c>
      <c r="L72" s="9">
        <v>1</v>
      </c>
      <c r="N72" s="8"/>
    </row>
    <row r="73" spans="1:14" hidden="1">
      <c r="A73" s="7">
        <v>2026</v>
      </c>
      <c r="B73" s="7">
        <v>2</v>
      </c>
      <c r="C73" s="7" t="s">
        <v>4336</v>
      </c>
      <c r="D73" s="7" t="s">
        <v>323</v>
      </c>
      <c r="E73" s="7" t="s">
        <v>191</v>
      </c>
      <c r="F73" s="7" t="s">
        <v>4316</v>
      </c>
      <c r="G73" s="7" t="s">
        <v>2265</v>
      </c>
      <c r="H73" s="7" t="s">
        <v>11</v>
      </c>
      <c r="I73" s="8">
        <v>9775.6416666666646</v>
      </c>
      <c r="J73" s="10">
        <v>0.22</v>
      </c>
      <c r="K73" s="8">
        <f>I73*IF(J73="",1,1-J73) + 1216.308</f>
        <v>8841.3084999999992</v>
      </c>
      <c r="L73" s="9">
        <v>1</v>
      </c>
      <c r="N73" s="8"/>
    </row>
    <row r="74" spans="1:14" hidden="1">
      <c r="A74" s="7">
        <v>2026</v>
      </c>
      <c r="B74" s="7">
        <v>2</v>
      </c>
      <c r="C74" s="7" t="s">
        <v>4337</v>
      </c>
      <c r="D74" s="7" t="s">
        <v>804</v>
      </c>
      <c r="E74" s="7" t="s">
        <v>191</v>
      </c>
      <c r="F74" s="7" t="s">
        <v>4316</v>
      </c>
      <c r="G74" s="7" t="s">
        <v>2265</v>
      </c>
      <c r="H74" s="7" t="s">
        <v>11</v>
      </c>
      <c r="I74" s="8">
        <v>8964</v>
      </c>
      <c r="J74" s="10"/>
      <c r="K74" s="8">
        <f>I74*IF(J74="",1,1-J74)</f>
        <v>8964</v>
      </c>
      <c r="L74" s="9">
        <v>1</v>
      </c>
      <c r="N74" s="8"/>
    </row>
    <row r="75" spans="1:14" hidden="1">
      <c r="A75" s="7">
        <v>2026</v>
      </c>
      <c r="B75" s="7">
        <v>2</v>
      </c>
      <c r="C75" s="7" t="s">
        <v>4338</v>
      </c>
      <c r="D75" s="7" t="s">
        <v>367</v>
      </c>
      <c r="E75" s="7" t="s">
        <v>191</v>
      </c>
      <c r="F75" s="7" t="s">
        <v>4316</v>
      </c>
      <c r="G75" s="7" t="s">
        <v>2265</v>
      </c>
      <c r="H75" s="7" t="s">
        <v>11</v>
      </c>
      <c r="I75" s="8">
        <v>13888.89</v>
      </c>
      <c r="J75" s="10">
        <v>0.37</v>
      </c>
      <c r="K75" s="8">
        <f>I75*IF(J75="",1,1-J75) + 3004.188</f>
        <v>11754.188700000001</v>
      </c>
      <c r="L75" s="9">
        <v>1</v>
      </c>
      <c r="N75" s="8"/>
    </row>
    <row r="76" spans="1:14" hidden="1">
      <c r="A76" s="7">
        <v>2026</v>
      </c>
      <c r="B76" s="7">
        <v>2</v>
      </c>
      <c r="C76" s="7" t="s">
        <v>4339</v>
      </c>
      <c r="D76" s="7" t="s">
        <v>520</v>
      </c>
      <c r="E76" s="7" t="s">
        <v>191</v>
      </c>
      <c r="F76" s="7" t="s">
        <v>4316</v>
      </c>
      <c r="G76" s="7" t="s">
        <v>2265</v>
      </c>
      <c r="H76" s="7" t="s">
        <v>11</v>
      </c>
      <c r="I76" s="8">
        <v>11510.2</v>
      </c>
      <c r="J76" s="10">
        <v>0.51</v>
      </c>
      <c r="K76" s="8">
        <f>I76*IF(J76="",1,1-J76) + 921.888</f>
        <v>6561.8860000000004</v>
      </c>
      <c r="L76" s="9">
        <v>1</v>
      </c>
      <c r="N76" s="8"/>
    </row>
    <row r="77" spans="1:14" hidden="1">
      <c r="A77" s="7">
        <v>2026</v>
      </c>
      <c r="B77" s="7">
        <v>2</v>
      </c>
      <c r="C77" s="7" t="s">
        <v>4340</v>
      </c>
      <c r="D77" s="7" t="s">
        <v>469</v>
      </c>
      <c r="E77" s="7" t="s">
        <v>191</v>
      </c>
      <c r="F77" s="7" t="s">
        <v>4316</v>
      </c>
      <c r="G77" s="7" t="s">
        <v>2265</v>
      </c>
      <c r="H77" s="7" t="s">
        <v>11</v>
      </c>
      <c r="I77" s="8">
        <v>8512</v>
      </c>
      <c r="J77" s="10"/>
      <c r="K77" s="8">
        <f>I77*IF(J77="",1,1-J77)</f>
        <v>8512</v>
      </c>
      <c r="L77" s="9">
        <v>1</v>
      </c>
      <c r="N77" s="8"/>
    </row>
    <row r="78" spans="1:14" hidden="1">
      <c r="A78" s="7">
        <v>2026</v>
      </c>
      <c r="B78" s="7">
        <v>2</v>
      </c>
      <c r="C78" s="7" t="s">
        <v>4326</v>
      </c>
      <c r="D78" s="7" t="s">
        <v>501</v>
      </c>
      <c r="E78" s="7" t="s">
        <v>300</v>
      </c>
      <c r="F78" s="7" t="s">
        <v>4318</v>
      </c>
      <c r="H78" s="7" t="s">
        <v>11</v>
      </c>
      <c r="I78" s="8">
        <v>28500</v>
      </c>
      <c r="J78" s="10"/>
      <c r="K78" s="8">
        <f>I78*IF(J78="",1,1-J78)</f>
        <v>28500</v>
      </c>
      <c r="L78" s="9">
        <v>1</v>
      </c>
      <c r="N78" s="8"/>
    </row>
    <row r="79" spans="1:14" hidden="1">
      <c r="A79" s="7">
        <v>2026</v>
      </c>
      <c r="B79" s="7">
        <v>2</v>
      </c>
      <c r="C79" s="7" t="s">
        <v>4341</v>
      </c>
      <c r="D79" s="7" t="s">
        <v>299</v>
      </c>
      <c r="E79" s="7" t="s">
        <v>300</v>
      </c>
      <c r="F79" s="7" t="s">
        <v>4316</v>
      </c>
      <c r="G79" s="7" t="s">
        <v>501</v>
      </c>
      <c r="H79" s="7" t="s">
        <v>11</v>
      </c>
      <c r="I79" s="8">
        <v>9200</v>
      </c>
      <c r="J79" s="10">
        <v>0.5</v>
      </c>
      <c r="K79" s="8">
        <f>I79*IF(J79="",1,1-J79)</f>
        <v>4600</v>
      </c>
      <c r="L79" s="9">
        <v>1</v>
      </c>
      <c r="N79" s="8"/>
    </row>
    <row r="80" spans="1:14" hidden="1">
      <c r="A80" s="7">
        <v>2026</v>
      </c>
      <c r="B80" s="7">
        <v>2</v>
      </c>
      <c r="C80" s="7" t="s">
        <v>4342</v>
      </c>
      <c r="D80" s="7" t="s">
        <v>506</v>
      </c>
      <c r="E80" s="7" t="s">
        <v>300</v>
      </c>
      <c r="F80" s="7" t="s">
        <v>4316</v>
      </c>
      <c r="G80" s="7" t="s">
        <v>501</v>
      </c>
      <c r="H80" s="7" t="s">
        <v>11</v>
      </c>
      <c r="I80" s="8">
        <v>9200</v>
      </c>
      <c r="J80" s="10"/>
      <c r="K80" s="8">
        <f>I80*IF(J80="",1,1-J80)</f>
        <v>9200</v>
      </c>
      <c r="L80" s="9">
        <v>1</v>
      </c>
      <c r="N80" s="8"/>
    </row>
    <row r="81" spans="1:14" hidden="1">
      <c r="A81" s="7">
        <v>2026</v>
      </c>
      <c r="B81" s="7">
        <v>2</v>
      </c>
      <c r="C81" s="7" t="s">
        <v>4343</v>
      </c>
      <c r="D81" s="7" t="s">
        <v>829</v>
      </c>
      <c r="E81" s="7" t="s">
        <v>300</v>
      </c>
      <c r="F81" s="7" t="s">
        <v>4316</v>
      </c>
      <c r="G81" s="7" t="s">
        <v>501</v>
      </c>
      <c r="H81" s="7" t="s">
        <v>11</v>
      </c>
      <c r="I81" s="8">
        <v>9200</v>
      </c>
      <c r="J81" s="10">
        <v>0.5</v>
      </c>
      <c r="K81" s="8">
        <f>I81*IF(J81="",1,1-J81)</f>
        <v>4600</v>
      </c>
      <c r="L81" s="9">
        <v>1</v>
      </c>
      <c r="N81" s="8"/>
    </row>
    <row r="82" spans="1:14" hidden="1">
      <c r="A82" s="7">
        <v>2026</v>
      </c>
      <c r="B82" s="7">
        <v>2</v>
      </c>
      <c r="C82" s="7" t="s">
        <v>4344</v>
      </c>
      <c r="D82" s="7" t="s">
        <v>511</v>
      </c>
      <c r="E82" s="7" t="s">
        <v>300</v>
      </c>
      <c r="F82" s="7" t="s">
        <v>4316</v>
      </c>
      <c r="G82" s="7" t="s">
        <v>501</v>
      </c>
      <c r="H82" s="7" t="s">
        <v>11</v>
      </c>
      <c r="I82" s="8">
        <v>10120</v>
      </c>
      <c r="J82" s="10"/>
      <c r="K82" s="8">
        <f>I82*IF(J82="",1,1-J82)</f>
        <v>10120</v>
      </c>
      <c r="L82" s="9">
        <v>1</v>
      </c>
      <c r="N82" s="8"/>
    </row>
    <row r="83" spans="1:14" hidden="1">
      <c r="A83" s="7">
        <v>2026</v>
      </c>
      <c r="B83" s="7">
        <v>2</v>
      </c>
      <c r="C83" s="7" t="s">
        <v>4345</v>
      </c>
      <c r="D83" s="7" t="s">
        <v>4268</v>
      </c>
      <c r="E83" s="7" t="s">
        <v>4346</v>
      </c>
      <c r="F83" s="7" t="s">
        <v>4316</v>
      </c>
      <c r="G83" s="7" t="s">
        <v>4347</v>
      </c>
      <c r="H83" s="7" t="s">
        <v>4348</v>
      </c>
      <c r="I83" s="8">
        <v>98</v>
      </c>
      <c r="J83" s="10"/>
      <c r="K83" s="8">
        <f>I83*IF(J83="",1,1-J83)</f>
        <v>98</v>
      </c>
      <c r="L83" s="9">
        <v>1</v>
      </c>
      <c r="N83" s="8"/>
    </row>
    <row r="84" spans="1:14" hidden="1">
      <c r="A84" s="7">
        <v>2026</v>
      </c>
      <c r="B84" s="7">
        <v>2</v>
      </c>
      <c r="C84" s="7" t="s">
        <v>4349</v>
      </c>
      <c r="D84" s="7" t="s">
        <v>3446</v>
      </c>
      <c r="E84" s="7" t="s">
        <v>4346</v>
      </c>
      <c r="F84" s="7" t="s">
        <v>4316</v>
      </c>
      <c r="H84" s="7" t="s">
        <v>4348</v>
      </c>
      <c r="I84" s="8">
        <v>40</v>
      </c>
      <c r="J84" s="10"/>
      <c r="K84" s="8">
        <f>I84*IF(J84="",1,1-J84)</f>
        <v>40</v>
      </c>
      <c r="L84" s="9">
        <v>1</v>
      </c>
      <c r="N84" s="8"/>
    </row>
    <row r="85" spans="1:14" hidden="1">
      <c r="A85" s="7">
        <v>2026</v>
      </c>
      <c r="B85" s="7">
        <v>2</v>
      </c>
      <c r="C85" s="7" t="s">
        <v>4350</v>
      </c>
      <c r="D85" s="7" t="s">
        <v>4347</v>
      </c>
      <c r="E85" s="7" t="s">
        <v>4346</v>
      </c>
      <c r="F85" s="7" t="s">
        <v>4318</v>
      </c>
      <c r="H85" s="7" t="s">
        <v>4348</v>
      </c>
      <c r="I85" s="8">
        <v>499</v>
      </c>
      <c r="J85" s="10"/>
      <c r="K85" s="8">
        <f>I85*IF(J85="",1,1-J85)</f>
        <v>499</v>
      </c>
      <c r="L85" s="9">
        <v>1</v>
      </c>
      <c r="N85" s="8"/>
    </row>
    <row r="86" spans="1:14" hidden="1">
      <c r="A86" s="7">
        <v>2026</v>
      </c>
      <c r="B86" s="7">
        <v>2</v>
      </c>
      <c r="C86" s="7" t="s">
        <v>4351</v>
      </c>
      <c r="D86" s="7" t="s">
        <v>4269</v>
      </c>
      <c r="E86" s="7" t="s">
        <v>4346</v>
      </c>
      <c r="F86" s="7" t="s">
        <v>4316</v>
      </c>
      <c r="G86" s="7" t="s">
        <v>4347</v>
      </c>
      <c r="H86" s="7" t="s">
        <v>4348</v>
      </c>
      <c r="I86" s="8">
        <v>98</v>
      </c>
      <c r="J86" s="10"/>
      <c r="K86" s="8">
        <f>I86*IF(J86="",1,1-J86)</f>
        <v>98</v>
      </c>
      <c r="L86" s="9">
        <v>1</v>
      </c>
      <c r="N86" s="8"/>
    </row>
    <row r="87" spans="1:14" hidden="1">
      <c r="A87" s="7">
        <v>2026</v>
      </c>
      <c r="B87" s="7">
        <v>2</v>
      </c>
      <c r="C87" s="7" t="s">
        <v>4352</v>
      </c>
      <c r="D87" s="7" t="s">
        <v>4270</v>
      </c>
      <c r="E87" s="7" t="s">
        <v>4346</v>
      </c>
      <c r="F87" s="7" t="s">
        <v>4316</v>
      </c>
      <c r="G87" s="7" t="s">
        <v>4347</v>
      </c>
      <c r="H87" s="7" t="s">
        <v>4348</v>
      </c>
      <c r="I87" s="8">
        <v>98</v>
      </c>
      <c r="J87" s="10"/>
      <c r="K87" s="8">
        <f>I87*IF(J87="",1,1-J87)</f>
        <v>98</v>
      </c>
      <c r="L87" s="9">
        <v>1</v>
      </c>
      <c r="N87" s="8"/>
    </row>
    <row r="88" spans="1:14" hidden="1">
      <c r="A88" s="7">
        <v>2026</v>
      </c>
      <c r="B88" s="7">
        <v>2</v>
      </c>
      <c r="C88" s="7" t="s">
        <v>4353</v>
      </c>
      <c r="D88" s="7" t="s">
        <v>4271</v>
      </c>
      <c r="E88" s="7" t="s">
        <v>4346</v>
      </c>
      <c r="F88" s="7" t="s">
        <v>4316</v>
      </c>
      <c r="G88" s="7" t="s">
        <v>4347</v>
      </c>
      <c r="H88" s="7" t="s">
        <v>4348</v>
      </c>
      <c r="I88" s="8">
        <v>74</v>
      </c>
      <c r="J88" s="10"/>
      <c r="K88" s="8">
        <f>I88*IF(J88="",1,1-J88)</f>
        <v>74</v>
      </c>
      <c r="L88" s="9">
        <v>1</v>
      </c>
      <c r="N88" s="8"/>
    </row>
    <row r="89" spans="1:14" hidden="1">
      <c r="A89" s="7">
        <v>2026</v>
      </c>
      <c r="B89" s="7">
        <v>2</v>
      </c>
      <c r="C89" s="7" t="s">
        <v>4354</v>
      </c>
      <c r="D89" s="7" t="s">
        <v>4272</v>
      </c>
      <c r="E89" s="7" t="s">
        <v>4346</v>
      </c>
      <c r="F89" s="7" t="s">
        <v>4316</v>
      </c>
      <c r="G89" s="7" t="s">
        <v>4347</v>
      </c>
      <c r="H89" s="7" t="s">
        <v>4348</v>
      </c>
      <c r="I89" s="8">
        <v>100</v>
      </c>
      <c r="J89" s="10">
        <v>0.67</v>
      </c>
      <c r="K89" s="8">
        <f>I89*IF(J89="",1,1-J89)</f>
        <v>32.999999999999993</v>
      </c>
      <c r="L89" s="9">
        <v>1</v>
      </c>
      <c r="N89" s="8"/>
    </row>
    <row r="90" spans="1:14" hidden="1">
      <c r="A90" s="7">
        <v>2026</v>
      </c>
      <c r="B90" s="7">
        <v>2</v>
      </c>
      <c r="C90" s="7" t="s">
        <v>4355</v>
      </c>
      <c r="D90" s="7" t="s">
        <v>4273</v>
      </c>
      <c r="E90" s="7" t="s">
        <v>4346</v>
      </c>
      <c r="F90" s="7" t="s">
        <v>4316</v>
      </c>
      <c r="G90" s="7" t="s">
        <v>4347</v>
      </c>
      <c r="H90" s="7" t="s">
        <v>4348</v>
      </c>
      <c r="I90" s="8">
        <v>98</v>
      </c>
      <c r="J90" s="10"/>
      <c r="K90" s="8">
        <f>I90*IF(J90="",1,1-J90)</f>
        <v>98</v>
      </c>
      <c r="L90" s="9">
        <v>1</v>
      </c>
      <c r="N90" s="8"/>
    </row>
    <row r="91" spans="1:14" hidden="1">
      <c r="A91" s="7">
        <v>2026</v>
      </c>
      <c r="B91" s="7">
        <v>2</v>
      </c>
      <c r="C91" s="7" t="s">
        <v>4356</v>
      </c>
      <c r="D91" s="7" t="s">
        <v>4276</v>
      </c>
      <c r="E91" s="7" t="s">
        <v>4346</v>
      </c>
      <c r="F91" s="7" t="s">
        <v>4316</v>
      </c>
      <c r="J91" s="10"/>
      <c r="K91" s="8">
        <f>I91*IF(J91="",1,1-J91)</f>
        <v>0</v>
      </c>
      <c r="L91" s="9">
        <v>1</v>
      </c>
      <c r="N91" s="8"/>
    </row>
    <row r="92" spans="1:14" hidden="1">
      <c r="A92" s="7">
        <v>2026</v>
      </c>
      <c r="B92" s="7">
        <v>2</v>
      </c>
      <c r="C92" s="7" t="s">
        <v>4357</v>
      </c>
      <c r="D92" s="7" t="s">
        <v>87</v>
      </c>
      <c r="E92" s="7" t="s">
        <v>3558</v>
      </c>
      <c r="F92" s="7" t="s">
        <v>4316</v>
      </c>
      <c r="G92" s="7" t="s">
        <v>4358</v>
      </c>
      <c r="H92" s="7" t="s">
        <v>9</v>
      </c>
      <c r="I92" s="8">
        <v>114309</v>
      </c>
      <c r="J92" s="10"/>
      <c r="K92" s="8">
        <f>I92*IF(J92="",1,1-J92)</f>
        <v>114309</v>
      </c>
      <c r="L92" s="9">
        <v>0.4</v>
      </c>
      <c r="N92" s="8"/>
    </row>
    <row r="93" spans="1:14" hidden="1">
      <c r="A93" s="7">
        <v>2026</v>
      </c>
      <c r="B93" s="7">
        <v>2</v>
      </c>
      <c r="C93" s="7" t="s">
        <v>4357</v>
      </c>
      <c r="D93" s="7" t="s">
        <v>87</v>
      </c>
      <c r="E93" s="7" t="s">
        <v>3558</v>
      </c>
      <c r="F93" s="7" t="s">
        <v>4316</v>
      </c>
      <c r="G93" s="7" t="s">
        <v>4358</v>
      </c>
      <c r="H93" s="7" t="s">
        <v>4359</v>
      </c>
      <c r="I93" s="8">
        <v>228618</v>
      </c>
      <c r="J93" s="10"/>
      <c r="K93" s="8">
        <f>I93*IF(J93="",1,1-J93)</f>
        <v>228618</v>
      </c>
      <c r="L93" s="9">
        <v>0.6</v>
      </c>
      <c r="N93" s="8"/>
    </row>
    <row r="94" spans="1:14" hidden="1">
      <c r="A94" s="7">
        <v>2026</v>
      </c>
      <c r="B94" s="7">
        <v>2</v>
      </c>
      <c r="C94" s="7" t="s">
        <v>4360</v>
      </c>
      <c r="D94" s="7" t="s">
        <v>1165</v>
      </c>
      <c r="E94" s="7" t="s">
        <v>3558</v>
      </c>
      <c r="F94" s="7" t="s">
        <v>4316</v>
      </c>
      <c r="G94" s="7" t="s">
        <v>4358</v>
      </c>
      <c r="H94" s="7" t="s">
        <v>9</v>
      </c>
      <c r="I94" s="8">
        <v>83126</v>
      </c>
      <c r="J94" s="10"/>
      <c r="K94" s="8">
        <f>I94*IF(J94="",1,1-J94)</f>
        <v>83126</v>
      </c>
      <c r="L94" s="9">
        <v>0.4</v>
      </c>
      <c r="N94" s="8"/>
    </row>
    <row r="95" spans="1:14" hidden="1">
      <c r="A95" s="7">
        <v>2026</v>
      </c>
      <c r="B95" s="7">
        <v>2</v>
      </c>
      <c r="C95" s="7" t="s">
        <v>4360</v>
      </c>
      <c r="D95" s="7" t="s">
        <v>1165</v>
      </c>
      <c r="E95" s="7" t="s">
        <v>3558</v>
      </c>
      <c r="F95" s="7" t="s">
        <v>4316</v>
      </c>
      <c r="G95" s="7" t="s">
        <v>4358</v>
      </c>
      <c r="H95" s="7" t="s">
        <v>4359</v>
      </c>
      <c r="I95" s="8">
        <v>166252</v>
      </c>
      <c r="J95" s="10"/>
      <c r="K95" s="8">
        <f>I95*IF(J95="",1,1-J95)</f>
        <v>166252</v>
      </c>
      <c r="L95" s="9">
        <v>0.6</v>
      </c>
      <c r="N95" s="8"/>
    </row>
    <row r="96" spans="1:14" hidden="1">
      <c r="A96" s="7">
        <v>2026</v>
      </c>
      <c r="B96" s="7">
        <v>2</v>
      </c>
      <c r="C96" s="7" t="s">
        <v>4361</v>
      </c>
      <c r="D96" s="7" t="s">
        <v>36</v>
      </c>
      <c r="E96" s="7" t="s">
        <v>3558</v>
      </c>
      <c r="F96" s="7" t="s">
        <v>4316</v>
      </c>
      <c r="G96" s="7" t="s">
        <v>4358</v>
      </c>
      <c r="H96" s="7" t="s">
        <v>9</v>
      </c>
      <c r="I96" s="8">
        <v>92681.244999999995</v>
      </c>
      <c r="J96" s="10"/>
      <c r="K96" s="8">
        <f>I96*IF(J96="",1,1-J96)</f>
        <v>92681.244999999995</v>
      </c>
      <c r="L96" s="9">
        <v>0.4</v>
      </c>
      <c r="N96" s="8"/>
    </row>
    <row r="97" spans="1:14" hidden="1">
      <c r="A97" s="7">
        <v>2026</v>
      </c>
      <c r="B97" s="7">
        <v>2</v>
      </c>
      <c r="C97" s="7" t="s">
        <v>4361</v>
      </c>
      <c r="D97" s="7" t="s">
        <v>36</v>
      </c>
      <c r="E97" s="7" t="s">
        <v>3558</v>
      </c>
      <c r="F97" s="7" t="s">
        <v>4316</v>
      </c>
      <c r="G97" s="7" t="s">
        <v>4358</v>
      </c>
      <c r="H97" s="7" t="s">
        <v>4359</v>
      </c>
      <c r="I97" s="8">
        <v>185362.49</v>
      </c>
      <c r="J97" s="10"/>
      <c r="K97" s="8">
        <f>I97*IF(J97="",1,1-J97)</f>
        <v>185362.49</v>
      </c>
      <c r="L97" s="9">
        <v>0.6</v>
      </c>
      <c r="N97" s="8"/>
    </row>
    <row r="98" spans="1:14" hidden="1">
      <c r="A98" s="7">
        <v>2026</v>
      </c>
      <c r="B98" s="7">
        <v>2</v>
      </c>
      <c r="C98" s="7" t="s">
        <v>4362</v>
      </c>
      <c r="D98" s="7" t="s">
        <v>98</v>
      </c>
      <c r="E98" s="7" t="s">
        <v>3558</v>
      </c>
      <c r="F98" s="7" t="s">
        <v>4316</v>
      </c>
      <c r="G98" s="7" t="s">
        <v>4358</v>
      </c>
      <c r="H98" s="7" t="s">
        <v>9</v>
      </c>
      <c r="I98" s="8">
        <v>92683.7</v>
      </c>
      <c r="J98" s="10"/>
      <c r="K98" s="8">
        <f>I98*IF(J98="",1,1-J98)</f>
        <v>92683.7</v>
      </c>
      <c r="L98" s="9">
        <v>0.4</v>
      </c>
      <c r="N98" s="8"/>
    </row>
    <row r="99" spans="1:14" hidden="1">
      <c r="A99" s="7">
        <v>2026</v>
      </c>
      <c r="B99" s="7">
        <v>2</v>
      </c>
      <c r="C99" s="7" t="s">
        <v>4362</v>
      </c>
      <c r="D99" s="7" t="s">
        <v>98</v>
      </c>
      <c r="E99" s="7" t="s">
        <v>3558</v>
      </c>
      <c r="F99" s="7" t="s">
        <v>4316</v>
      </c>
      <c r="G99" s="7" t="s">
        <v>4358</v>
      </c>
      <c r="H99" s="7" t="s">
        <v>4359</v>
      </c>
      <c r="I99" s="8">
        <v>185367.4</v>
      </c>
      <c r="J99" s="10"/>
      <c r="K99" s="8">
        <f>I99*IF(J99="",1,1-J99)</f>
        <v>185367.4</v>
      </c>
      <c r="L99" s="9">
        <v>0.6</v>
      </c>
      <c r="N99" s="8"/>
    </row>
    <row r="100" spans="1:14" hidden="1">
      <c r="A100" s="7">
        <v>2026</v>
      </c>
      <c r="B100" s="7">
        <v>2</v>
      </c>
      <c r="C100" s="7" t="s">
        <v>4363</v>
      </c>
      <c r="D100" s="7" t="s">
        <v>72</v>
      </c>
      <c r="E100" s="7" t="s">
        <v>3558</v>
      </c>
      <c r="F100" s="7" t="s">
        <v>4316</v>
      </c>
      <c r="G100" s="7" t="s">
        <v>4358</v>
      </c>
      <c r="H100" s="7" t="s">
        <v>9</v>
      </c>
      <c r="I100" s="8">
        <v>198811.3</v>
      </c>
      <c r="J100" s="10"/>
      <c r="K100" s="8">
        <f>I100*IF(J100="",1,1-J100)</f>
        <v>198811.3</v>
      </c>
      <c r="L100" s="9">
        <v>0.4</v>
      </c>
      <c r="N100" s="8"/>
    </row>
    <row r="101" spans="1:14" hidden="1">
      <c r="A101" s="7">
        <v>2026</v>
      </c>
      <c r="B101" s="7">
        <v>2</v>
      </c>
      <c r="C101" s="7" t="s">
        <v>4363</v>
      </c>
      <c r="D101" s="7" t="s">
        <v>72</v>
      </c>
      <c r="E101" s="7" t="s">
        <v>3558</v>
      </c>
      <c r="F101" s="7" t="s">
        <v>4316</v>
      </c>
      <c r="G101" s="7" t="s">
        <v>4358</v>
      </c>
      <c r="H101" s="7" t="s">
        <v>4359</v>
      </c>
      <c r="I101" s="8">
        <v>397622.6</v>
      </c>
      <c r="J101" s="10"/>
      <c r="K101" s="8">
        <f>I101*IF(J101="",1,1-J101)</f>
        <v>397622.6</v>
      </c>
      <c r="L101" s="9">
        <v>0.6</v>
      </c>
      <c r="N101" s="8"/>
    </row>
    <row r="102" spans="1:14" hidden="1">
      <c r="A102" s="7">
        <v>2026</v>
      </c>
      <c r="B102" s="7">
        <v>2</v>
      </c>
      <c r="C102" s="7" t="s">
        <v>4364</v>
      </c>
      <c r="D102" s="7" t="s">
        <v>78</v>
      </c>
      <c r="E102" s="7" t="s">
        <v>3558</v>
      </c>
      <c r="F102" s="7" t="s">
        <v>4316</v>
      </c>
      <c r="G102" s="7" t="s">
        <v>4358</v>
      </c>
      <c r="H102" s="7" t="s">
        <v>9</v>
      </c>
      <c r="I102" s="8">
        <v>72618</v>
      </c>
      <c r="J102" s="10">
        <v>0.368421053</v>
      </c>
      <c r="K102" s="8">
        <f>I102*IF(J102="",1,1-J102)</f>
        <v>45863.999973245998</v>
      </c>
      <c r="L102" s="9">
        <v>0.4</v>
      </c>
      <c r="M102" s="10"/>
      <c r="N102" s="8"/>
    </row>
    <row r="103" spans="1:14" hidden="1">
      <c r="A103" s="7">
        <v>2026</v>
      </c>
      <c r="B103" s="7">
        <v>2</v>
      </c>
      <c r="C103" s="7" t="s">
        <v>4364</v>
      </c>
      <c r="D103" s="7" t="s">
        <v>78</v>
      </c>
      <c r="E103" s="7" t="s">
        <v>3558</v>
      </c>
      <c r="F103" s="7" t="s">
        <v>4316</v>
      </c>
      <c r="G103" s="7" t="s">
        <v>4358</v>
      </c>
      <c r="H103" s="7" t="s">
        <v>4359</v>
      </c>
      <c r="I103" s="8">
        <v>145236</v>
      </c>
      <c r="J103" s="10">
        <v>0.368421053</v>
      </c>
      <c r="K103" s="8">
        <f>I103*IF(J103="",1,1-J103)</f>
        <v>91727.999946491997</v>
      </c>
      <c r="L103" s="9">
        <v>0.6</v>
      </c>
      <c r="M103" s="10"/>
      <c r="N103" s="8"/>
    </row>
    <row r="104" spans="1:14" hidden="1">
      <c r="A104" s="7">
        <v>2026</v>
      </c>
      <c r="B104" s="7">
        <v>2</v>
      </c>
      <c r="C104" s="7" t="s">
        <v>4365</v>
      </c>
      <c r="D104" s="7" t="s">
        <v>69</v>
      </c>
      <c r="E104" s="7" t="s">
        <v>3558</v>
      </c>
      <c r="F104" s="7" t="s">
        <v>4316</v>
      </c>
      <c r="G104" s="7" t="s">
        <v>4358</v>
      </c>
      <c r="H104" s="7" t="s">
        <v>9</v>
      </c>
      <c r="I104" s="8">
        <v>75000</v>
      </c>
      <c r="J104" s="10"/>
      <c r="K104" s="8">
        <f>I104*IF(J104="",1,1-J104)</f>
        <v>75000</v>
      </c>
      <c r="L104" s="9">
        <v>0.4</v>
      </c>
      <c r="N104" s="8"/>
    </row>
    <row r="105" spans="1:14" hidden="1">
      <c r="A105" s="7">
        <v>2026</v>
      </c>
      <c r="B105" s="7">
        <v>2</v>
      </c>
      <c r="C105" s="7" t="s">
        <v>4365</v>
      </c>
      <c r="D105" s="7" t="s">
        <v>69</v>
      </c>
      <c r="E105" s="7" t="s">
        <v>3558</v>
      </c>
      <c r="F105" s="7" t="s">
        <v>4316</v>
      </c>
      <c r="G105" s="7" t="s">
        <v>4358</v>
      </c>
      <c r="H105" s="7" t="s">
        <v>4359</v>
      </c>
      <c r="I105" s="8">
        <v>150000</v>
      </c>
      <c r="J105" s="10"/>
      <c r="K105" s="8">
        <f>I105*IF(J105="",1,1-J105)</f>
        <v>150000</v>
      </c>
      <c r="L105" s="9">
        <v>0.6</v>
      </c>
      <c r="N105" s="8"/>
    </row>
    <row r="106" spans="1:14" hidden="1">
      <c r="A106" s="7">
        <v>2026</v>
      </c>
      <c r="B106" s="7">
        <v>2</v>
      </c>
      <c r="C106" s="7" t="s">
        <v>4366</v>
      </c>
      <c r="D106" s="7" t="s">
        <v>2068</v>
      </c>
      <c r="E106" s="7" t="s">
        <v>3558</v>
      </c>
      <c r="F106" s="7" t="s">
        <v>4316</v>
      </c>
      <c r="G106" s="7" t="s">
        <v>4358</v>
      </c>
      <c r="H106" s="7" t="s">
        <v>9</v>
      </c>
      <c r="I106" s="8">
        <v>165934.85999999999</v>
      </c>
      <c r="J106" s="10"/>
      <c r="K106" s="8">
        <f>I106*IF(J106="",1,1-J106)</f>
        <v>165934.85999999999</v>
      </c>
      <c r="L106" s="9">
        <v>0.4</v>
      </c>
      <c r="N106" s="8"/>
    </row>
    <row r="107" spans="1:14" hidden="1">
      <c r="A107" s="7">
        <v>2026</v>
      </c>
      <c r="B107" s="7">
        <v>2</v>
      </c>
      <c r="C107" s="7" t="s">
        <v>4366</v>
      </c>
      <c r="D107" s="7" t="s">
        <v>2068</v>
      </c>
      <c r="E107" s="7" t="s">
        <v>3558</v>
      </c>
      <c r="F107" s="7" t="s">
        <v>4316</v>
      </c>
      <c r="G107" s="7" t="s">
        <v>4358</v>
      </c>
      <c r="H107" s="7" t="s">
        <v>4359</v>
      </c>
      <c r="I107" s="8">
        <v>331869.71999999997</v>
      </c>
      <c r="J107" s="10"/>
      <c r="K107" s="8">
        <f>I107*IF(J107="",1,1-J107)</f>
        <v>331869.71999999997</v>
      </c>
      <c r="L107" s="9">
        <v>0.6</v>
      </c>
      <c r="N107" s="8"/>
    </row>
    <row r="108" spans="1:14" hidden="1">
      <c r="A108" s="7">
        <v>2026</v>
      </c>
      <c r="B108" s="7">
        <v>2</v>
      </c>
      <c r="C108" s="7" t="s">
        <v>4367</v>
      </c>
      <c r="D108" s="7" t="s">
        <v>4358</v>
      </c>
      <c r="E108" s="7" t="s">
        <v>3558</v>
      </c>
      <c r="F108" s="7" t="s">
        <v>4318</v>
      </c>
      <c r="H108" s="7" t="s">
        <v>4359</v>
      </c>
      <c r="I108" s="8">
        <v>2093758.48</v>
      </c>
      <c r="J108" s="10"/>
      <c r="K108" s="8">
        <f>I108*IF(J108="",1,1-J108)</f>
        <v>2093758.48</v>
      </c>
      <c r="L108" s="9">
        <v>0.8</v>
      </c>
      <c r="N108" s="8"/>
    </row>
    <row r="109" spans="1:14" hidden="1">
      <c r="A109" s="7">
        <v>2026</v>
      </c>
      <c r="B109" s="7">
        <v>2</v>
      </c>
      <c r="C109" s="7" t="s">
        <v>4367</v>
      </c>
      <c r="D109" s="7" t="s">
        <v>4358</v>
      </c>
      <c r="E109" s="7" t="s">
        <v>3558</v>
      </c>
      <c r="F109" s="7" t="s">
        <v>4318</v>
      </c>
      <c r="H109" s="7" t="s">
        <v>4368</v>
      </c>
      <c r="I109" s="8">
        <v>0.8</v>
      </c>
      <c r="J109" s="10"/>
      <c r="K109" s="8">
        <f>I109*IF(J109="",1,1-J109)</f>
        <v>0.8</v>
      </c>
      <c r="L109" s="9">
        <v>0.2</v>
      </c>
      <c r="N109" s="8"/>
    </row>
    <row r="110" spans="1:14" hidden="1">
      <c r="A110" s="7">
        <v>2026</v>
      </c>
      <c r="B110" s="7">
        <v>2</v>
      </c>
      <c r="C110" s="7" t="s">
        <v>4369</v>
      </c>
      <c r="D110" s="7" t="s">
        <v>1243</v>
      </c>
      <c r="E110" s="7" t="s">
        <v>3558</v>
      </c>
      <c r="F110" s="7" t="s">
        <v>4316</v>
      </c>
      <c r="G110" s="7" t="s">
        <v>4358</v>
      </c>
      <c r="H110" s="7" t="s">
        <v>9</v>
      </c>
      <c r="I110" s="8">
        <v>66667.5</v>
      </c>
      <c r="J110" s="10"/>
      <c r="K110" s="8">
        <f>I110*IF(J110="",1,1-J110)</f>
        <v>66667.5</v>
      </c>
      <c r="L110" s="9">
        <v>0.4</v>
      </c>
      <c r="N110" s="8"/>
    </row>
    <row r="111" spans="1:14" hidden="1">
      <c r="A111" s="7">
        <v>2026</v>
      </c>
      <c r="B111" s="7">
        <v>2</v>
      </c>
      <c r="C111" s="7" t="s">
        <v>4369</v>
      </c>
      <c r="D111" s="7" t="s">
        <v>1243</v>
      </c>
      <c r="E111" s="7" t="s">
        <v>3558</v>
      </c>
      <c r="F111" s="7" t="s">
        <v>4316</v>
      </c>
      <c r="G111" s="7" t="s">
        <v>4358</v>
      </c>
      <c r="H111" s="7" t="s">
        <v>4359</v>
      </c>
      <c r="I111" s="8">
        <v>133335</v>
      </c>
      <c r="J111" s="10"/>
      <c r="K111" s="8">
        <f>I111*IF(J111="",1,1-J111)</f>
        <v>133335</v>
      </c>
      <c r="L111" s="9">
        <v>0.6</v>
      </c>
      <c r="N111" s="8"/>
    </row>
    <row r="112" spans="1:14" hidden="1">
      <c r="A112" s="7">
        <v>2026</v>
      </c>
      <c r="B112" s="7">
        <v>2</v>
      </c>
      <c r="C112" s="7" t="s">
        <v>4370</v>
      </c>
      <c r="D112" s="7" t="s">
        <v>66</v>
      </c>
      <c r="E112" s="7" t="s">
        <v>3558</v>
      </c>
      <c r="F112" s="7" t="s">
        <v>4316</v>
      </c>
      <c r="G112" s="7" t="s">
        <v>4358</v>
      </c>
      <c r="H112" s="7" t="s">
        <v>9</v>
      </c>
      <c r="I112" s="8">
        <v>198760</v>
      </c>
      <c r="J112" s="10"/>
      <c r="K112" s="8">
        <f>I112*IF(J112="",1,1-J112)</f>
        <v>198760</v>
      </c>
      <c r="L112" s="9">
        <v>0.4</v>
      </c>
      <c r="N112" s="8"/>
    </row>
    <row r="113" spans="1:14" hidden="1">
      <c r="A113" s="7">
        <v>2026</v>
      </c>
      <c r="B113" s="7">
        <v>2</v>
      </c>
      <c r="C113" s="7" t="s">
        <v>4370</v>
      </c>
      <c r="D113" s="7" t="s">
        <v>66</v>
      </c>
      <c r="E113" s="7" t="s">
        <v>3558</v>
      </c>
      <c r="F113" s="7" t="s">
        <v>4316</v>
      </c>
      <c r="G113" s="7" t="s">
        <v>4358</v>
      </c>
      <c r="H113" s="7" t="s">
        <v>4359</v>
      </c>
      <c r="I113" s="8">
        <v>397520</v>
      </c>
      <c r="J113" s="10"/>
      <c r="K113" s="8">
        <f>I113*IF(J113="",1,1-J113)</f>
        <v>397520</v>
      </c>
      <c r="L113" s="9">
        <v>0.6</v>
      </c>
      <c r="N113" s="8"/>
    </row>
    <row r="114" spans="1:14" hidden="1">
      <c r="A114" s="7">
        <v>2026</v>
      </c>
      <c r="B114" s="7">
        <v>2</v>
      </c>
      <c r="C114" s="7" t="s">
        <v>4371</v>
      </c>
      <c r="D114" s="7" t="s">
        <v>75</v>
      </c>
      <c r="E114" s="7" t="s">
        <v>3558</v>
      </c>
      <c r="F114" s="7" t="s">
        <v>4316</v>
      </c>
      <c r="G114" s="7" t="s">
        <v>4358</v>
      </c>
      <c r="H114" s="7" t="s">
        <v>9</v>
      </c>
      <c r="I114" s="8">
        <v>53442</v>
      </c>
      <c r="J114" s="10"/>
      <c r="K114" s="8">
        <f>I114*IF(J114="",1,1-J114)</f>
        <v>53442</v>
      </c>
      <c r="L114" s="9">
        <v>0.4</v>
      </c>
      <c r="N114" s="8"/>
    </row>
    <row r="115" spans="1:14" hidden="1">
      <c r="A115" s="7">
        <v>2026</v>
      </c>
      <c r="B115" s="7">
        <v>2</v>
      </c>
      <c r="C115" s="7" t="s">
        <v>4371</v>
      </c>
      <c r="D115" s="7" t="s">
        <v>75</v>
      </c>
      <c r="E115" s="7" t="s">
        <v>3558</v>
      </c>
      <c r="F115" s="7" t="s">
        <v>4316</v>
      </c>
      <c r="G115" s="7" t="s">
        <v>4358</v>
      </c>
      <c r="H115" s="7" t="s">
        <v>4359</v>
      </c>
      <c r="I115" s="8">
        <v>106884</v>
      </c>
      <c r="J115" s="10"/>
      <c r="K115" s="8">
        <f>I115*IF(J115="",1,1-J115)</f>
        <v>106884</v>
      </c>
      <c r="L115" s="9">
        <v>0.6</v>
      </c>
      <c r="N115" s="8"/>
    </row>
    <row r="116" spans="1:14" hidden="1">
      <c r="A116" s="7">
        <v>2026</v>
      </c>
      <c r="B116" s="7">
        <v>2</v>
      </c>
      <c r="C116" s="7" t="s">
        <v>4372</v>
      </c>
      <c r="D116" s="7" t="s">
        <v>198</v>
      </c>
      <c r="E116" s="7" t="s">
        <v>111</v>
      </c>
      <c r="F116" s="7" t="s">
        <v>4318</v>
      </c>
      <c r="H116" s="7" t="s">
        <v>11</v>
      </c>
      <c r="I116" s="8">
        <v>92887</v>
      </c>
      <c r="J116" s="10"/>
      <c r="K116" s="8">
        <f>I116*IF(J116="",1,1-J116)</f>
        <v>92887</v>
      </c>
      <c r="L116" s="9">
        <v>1</v>
      </c>
      <c r="N116" s="8"/>
    </row>
    <row r="117" spans="1:14" hidden="1">
      <c r="A117" s="7">
        <v>2026</v>
      </c>
      <c r="B117" s="7">
        <v>2</v>
      </c>
      <c r="C117" s="7" t="s">
        <v>4373</v>
      </c>
      <c r="D117" s="7" t="s">
        <v>162</v>
      </c>
      <c r="E117" s="7" t="s">
        <v>111</v>
      </c>
      <c r="F117" s="7" t="s">
        <v>4316</v>
      </c>
      <c r="G117" s="7" t="s">
        <v>198</v>
      </c>
      <c r="H117" s="7" t="s">
        <v>11</v>
      </c>
      <c r="I117" s="8">
        <v>15289</v>
      </c>
      <c r="J117" s="10"/>
      <c r="K117" s="8">
        <f>I117*IF(J117="",1,1-J117)</f>
        <v>15289</v>
      </c>
      <c r="L117" s="9">
        <v>1</v>
      </c>
      <c r="N117" s="8"/>
    </row>
    <row r="118" spans="1:14" hidden="1">
      <c r="A118" s="7">
        <v>2026</v>
      </c>
      <c r="B118" s="7">
        <v>2</v>
      </c>
      <c r="C118" s="7" t="s">
        <v>4374</v>
      </c>
      <c r="D118" s="7" t="s">
        <v>137</v>
      </c>
      <c r="E118" s="7" t="s">
        <v>111</v>
      </c>
      <c r="F118" s="7" t="s">
        <v>4316</v>
      </c>
      <c r="G118" s="7" t="s">
        <v>198</v>
      </c>
      <c r="H118" s="7" t="s">
        <v>11</v>
      </c>
      <c r="I118" s="8">
        <v>11750</v>
      </c>
      <c r="J118" s="10"/>
      <c r="K118" s="8">
        <f>I118*IF(J118="",1,1-J118)</f>
        <v>11750</v>
      </c>
      <c r="L118" s="9">
        <v>1</v>
      </c>
      <c r="N118" s="8"/>
    </row>
    <row r="119" spans="1:14" hidden="1">
      <c r="A119" s="7">
        <v>2026</v>
      </c>
      <c r="B119" s="7">
        <v>2</v>
      </c>
      <c r="C119" s="7" t="s">
        <v>4375</v>
      </c>
      <c r="D119" s="7" t="s">
        <v>127</v>
      </c>
      <c r="E119" s="7" t="s">
        <v>111</v>
      </c>
      <c r="F119" s="7" t="s">
        <v>4316</v>
      </c>
      <c r="G119" s="7" t="s">
        <v>198</v>
      </c>
      <c r="H119" s="7" t="s">
        <v>11</v>
      </c>
      <c r="I119" s="8">
        <v>11750</v>
      </c>
      <c r="J119" s="10"/>
      <c r="K119" s="8">
        <f>I119*IF(J119="",1,1-J119)</f>
        <v>11750</v>
      </c>
      <c r="L119" s="9">
        <v>1</v>
      </c>
      <c r="N119" s="8"/>
    </row>
    <row r="120" spans="1:14" hidden="1">
      <c r="A120" s="7">
        <v>2026</v>
      </c>
      <c r="B120" s="7">
        <v>2</v>
      </c>
      <c r="C120" s="7" t="s">
        <v>4376</v>
      </c>
      <c r="D120" s="7" t="s">
        <v>116</v>
      </c>
      <c r="E120" s="7" t="s">
        <v>111</v>
      </c>
      <c r="F120" s="7" t="s">
        <v>4316</v>
      </c>
      <c r="G120" s="7" t="s">
        <v>198</v>
      </c>
      <c r="H120" s="7" t="s">
        <v>11</v>
      </c>
      <c r="I120" s="8">
        <v>15289</v>
      </c>
      <c r="J120" s="10"/>
      <c r="K120" s="8">
        <f>I120*IF(J120="",1,1-J120)</f>
        <v>15289</v>
      </c>
      <c r="L120" s="9">
        <v>1</v>
      </c>
      <c r="N120" s="8"/>
    </row>
    <row r="121" spans="1:14" hidden="1">
      <c r="A121" s="7">
        <v>2026</v>
      </c>
      <c r="B121" s="7">
        <v>2</v>
      </c>
      <c r="C121" s="7" t="s">
        <v>4377</v>
      </c>
      <c r="D121" s="7" t="s">
        <v>133</v>
      </c>
      <c r="E121" s="7" t="s">
        <v>111</v>
      </c>
      <c r="F121" s="7" t="s">
        <v>4316</v>
      </c>
      <c r="G121" s="7" t="s">
        <v>198</v>
      </c>
      <c r="H121" s="7" t="s">
        <v>11</v>
      </c>
      <c r="I121" s="8">
        <v>11750</v>
      </c>
      <c r="J121" s="10"/>
      <c r="K121" s="8">
        <f>I121*IF(J121="",1,1-J121)</f>
        <v>11750</v>
      </c>
      <c r="L121" s="9">
        <v>1</v>
      </c>
      <c r="N121" s="8"/>
    </row>
    <row r="122" spans="1:14" hidden="1">
      <c r="A122" s="7">
        <v>2026</v>
      </c>
      <c r="B122" s="7">
        <v>2</v>
      </c>
      <c r="C122" s="7" t="s">
        <v>4378</v>
      </c>
      <c r="D122" s="7" t="s">
        <v>110</v>
      </c>
      <c r="E122" s="7" t="s">
        <v>111</v>
      </c>
      <c r="F122" s="7" t="s">
        <v>4316</v>
      </c>
      <c r="G122" s="7" t="s">
        <v>198</v>
      </c>
      <c r="H122" s="7" t="s">
        <v>11</v>
      </c>
      <c r="I122" s="8">
        <v>15289</v>
      </c>
      <c r="J122" s="10"/>
      <c r="K122" s="8">
        <f>I122*IF(J122="",1,1-J122)</f>
        <v>15289</v>
      </c>
      <c r="L122" s="9">
        <v>1</v>
      </c>
      <c r="N122" s="8"/>
    </row>
    <row r="123" spans="1:14" hidden="1">
      <c r="A123" s="7">
        <v>2026</v>
      </c>
      <c r="B123" s="7">
        <v>2</v>
      </c>
      <c r="C123" s="7" t="s">
        <v>4379</v>
      </c>
      <c r="D123" s="7" t="s">
        <v>121</v>
      </c>
      <c r="E123" s="7" t="s">
        <v>111</v>
      </c>
      <c r="F123" s="7" t="s">
        <v>4316</v>
      </c>
      <c r="G123" s="7" t="s">
        <v>198</v>
      </c>
      <c r="H123" s="7" t="s">
        <v>11</v>
      </c>
      <c r="I123" s="8">
        <v>11750</v>
      </c>
      <c r="J123" s="10"/>
      <c r="K123" s="8">
        <f>I123*IF(J123="",1,1-J123)</f>
        <v>11750</v>
      </c>
      <c r="L123" s="9">
        <v>1</v>
      </c>
      <c r="N123" s="8"/>
    </row>
    <row r="124" spans="1:14" hidden="1">
      <c r="A124" s="7">
        <v>2026</v>
      </c>
      <c r="B124" s="7">
        <v>2</v>
      </c>
      <c r="C124" s="7" t="s">
        <v>4380</v>
      </c>
      <c r="D124" s="7" t="s">
        <v>2265</v>
      </c>
      <c r="E124" s="7" t="s">
        <v>4381</v>
      </c>
      <c r="F124" s="7" t="s">
        <v>4318</v>
      </c>
      <c r="H124" s="7" t="s">
        <v>11</v>
      </c>
      <c r="I124" s="8">
        <v>68322</v>
      </c>
      <c r="J124" s="10"/>
      <c r="K124" s="8">
        <v>96822</v>
      </c>
      <c r="L124" s="9">
        <v>1</v>
      </c>
      <c r="N124" s="8"/>
    </row>
    <row r="125" spans="1:14" hidden="1">
      <c r="A125" s="7">
        <v>2026</v>
      </c>
      <c r="B125" s="7">
        <v>3</v>
      </c>
      <c r="C125" s="7" t="s">
        <v>4327</v>
      </c>
      <c r="D125" s="7" t="s">
        <v>313</v>
      </c>
      <c r="E125" s="7" t="s">
        <v>314</v>
      </c>
      <c r="F125" s="7" t="s">
        <v>4316</v>
      </c>
      <c r="G125" s="7" t="s">
        <v>2265</v>
      </c>
      <c r="H125" s="7" t="s">
        <v>11</v>
      </c>
      <c r="I125" s="8">
        <v>11400</v>
      </c>
      <c r="J125" s="10"/>
      <c r="K125" s="8">
        <f>I125*IF(J125="",1,1-J125)+N125</f>
        <v>11400</v>
      </c>
      <c r="L125" s="9">
        <v>1</v>
      </c>
      <c r="N125" s="8"/>
    </row>
    <row r="126" spans="1:14" hidden="1">
      <c r="A126" s="7">
        <v>2026</v>
      </c>
      <c r="B126" s="7">
        <v>3</v>
      </c>
      <c r="C126" s="7" t="s">
        <v>4328</v>
      </c>
      <c r="D126" s="7" t="s">
        <v>1073</v>
      </c>
      <c r="E126" s="7" t="s">
        <v>314</v>
      </c>
      <c r="F126" s="7" t="s">
        <v>4316</v>
      </c>
      <c r="G126" s="7" t="s">
        <v>2265</v>
      </c>
      <c r="H126" s="7" t="s">
        <v>11</v>
      </c>
      <c r="I126" s="8">
        <v>9500</v>
      </c>
      <c r="J126" s="10"/>
      <c r="K126" s="8">
        <f>I126*IF(J126="",1,1-J126)+N126</f>
        <v>9500</v>
      </c>
      <c r="L126" s="9">
        <v>1</v>
      </c>
      <c r="N126" s="8"/>
    </row>
    <row r="127" spans="1:14" hidden="1">
      <c r="A127" s="7">
        <v>2026</v>
      </c>
      <c r="B127" s="7">
        <v>3</v>
      </c>
      <c r="C127" s="7" t="s">
        <v>4330</v>
      </c>
      <c r="D127" s="7" t="s">
        <v>129</v>
      </c>
      <c r="E127" s="7" t="s">
        <v>91</v>
      </c>
      <c r="F127" s="7" t="s">
        <v>4316</v>
      </c>
      <c r="H127" s="7" t="s">
        <v>11</v>
      </c>
      <c r="I127" s="8">
        <v>7000</v>
      </c>
      <c r="J127" s="10">
        <v>0.5</v>
      </c>
      <c r="K127" s="8">
        <f>I127*IF(J127="",1,1-J127)+N127</f>
        <v>3500</v>
      </c>
      <c r="L127" s="9">
        <v>1</v>
      </c>
      <c r="N127" s="8"/>
    </row>
    <row r="128" spans="1:14" hidden="1">
      <c r="A128" s="7">
        <v>2026</v>
      </c>
      <c r="B128" s="7">
        <v>3</v>
      </c>
      <c r="C128" s="7" t="s">
        <v>4331</v>
      </c>
      <c r="D128" s="7" t="s">
        <v>90</v>
      </c>
      <c r="E128" s="7" t="s">
        <v>91</v>
      </c>
      <c r="F128" s="7" t="s">
        <v>4316</v>
      </c>
      <c r="H128" s="7" t="s">
        <v>11</v>
      </c>
      <c r="I128" s="8">
        <v>7000</v>
      </c>
      <c r="J128" s="10"/>
      <c r="K128" s="8">
        <f>I128*IF(J128="",1,1-J128)+N128</f>
        <v>7000</v>
      </c>
      <c r="L128" s="9">
        <v>1</v>
      </c>
      <c r="N128" s="8"/>
    </row>
    <row r="129" spans="1:14" hidden="1">
      <c r="A129" s="7">
        <v>2026</v>
      </c>
      <c r="B129" s="7">
        <v>3</v>
      </c>
      <c r="C129" s="7" t="s">
        <v>4332</v>
      </c>
      <c r="D129" s="7" t="s">
        <v>668</v>
      </c>
      <c r="E129" s="7" t="s">
        <v>91</v>
      </c>
      <c r="F129" s="7" t="s">
        <v>4316</v>
      </c>
      <c r="H129" s="7" t="s">
        <v>11</v>
      </c>
      <c r="I129" s="8">
        <v>7700</v>
      </c>
      <c r="J129" s="10"/>
      <c r="K129" s="8">
        <f>I129*IF(J129="",1,1-J129)+N129</f>
        <v>7700</v>
      </c>
      <c r="L129" s="9">
        <v>1</v>
      </c>
      <c r="N129" s="8"/>
    </row>
    <row r="130" spans="1:14" hidden="1">
      <c r="A130" s="7">
        <v>2026</v>
      </c>
      <c r="B130" s="7">
        <v>3</v>
      </c>
      <c r="C130" s="7" t="s">
        <v>4333</v>
      </c>
      <c r="D130" s="7" t="s">
        <v>348</v>
      </c>
      <c r="E130" s="7" t="s">
        <v>349</v>
      </c>
      <c r="F130" s="7" t="s">
        <v>4316</v>
      </c>
      <c r="G130" s="7" t="s">
        <v>4382</v>
      </c>
      <c r="H130" s="7" t="s">
        <v>11</v>
      </c>
      <c r="I130" s="8">
        <v>8500</v>
      </c>
      <c r="J130" s="10"/>
      <c r="K130" s="8">
        <f>I130*IF(J130="",1,1-J130)+N130</f>
        <v>8500</v>
      </c>
      <c r="L130" s="9">
        <v>1</v>
      </c>
      <c r="N130" s="8"/>
    </row>
    <row r="131" spans="1:14" hidden="1">
      <c r="A131" s="7">
        <v>2026</v>
      </c>
      <c r="B131" s="7">
        <v>3</v>
      </c>
      <c r="C131" s="7" t="s">
        <v>4383</v>
      </c>
      <c r="D131" s="7" t="s">
        <v>4382</v>
      </c>
      <c r="E131" s="7" t="s">
        <v>349</v>
      </c>
      <c r="F131" s="7" t="s">
        <v>4318</v>
      </c>
      <c r="H131" s="7" t="s">
        <v>11</v>
      </c>
      <c r="I131" s="8">
        <v>16000</v>
      </c>
      <c r="J131" s="10">
        <v>0.22727272727272729</v>
      </c>
      <c r="K131" s="8">
        <v>16000</v>
      </c>
      <c r="L131" s="9">
        <v>1</v>
      </c>
      <c r="N131" s="8"/>
    </row>
    <row r="132" spans="1:14" hidden="1">
      <c r="A132" s="7">
        <v>2026</v>
      </c>
      <c r="B132" s="7">
        <v>3</v>
      </c>
      <c r="C132" s="7" t="s">
        <v>4335</v>
      </c>
      <c r="D132" s="7" t="s">
        <v>190</v>
      </c>
      <c r="E132" s="7" t="s">
        <v>191</v>
      </c>
      <c r="F132" s="7" t="s">
        <v>4316</v>
      </c>
      <c r="G132" s="7" t="s">
        <v>2265</v>
      </c>
      <c r="H132" s="7" t="s">
        <v>11</v>
      </c>
      <c r="I132" s="8">
        <v>8240</v>
      </c>
      <c r="J132" s="10"/>
      <c r="K132" s="8">
        <f>I132*IF(J132="",1,1-J132)+N132</f>
        <v>8240</v>
      </c>
      <c r="L132" s="9">
        <v>1</v>
      </c>
      <c r="N132" s="8"/>
    </row>
    <row r="133" spans="1:14" hidden="1">
      <c r="A133" s="7">
        <v>2026</v>
      </c>
      <c r="B133" s="7">
        <v>3</v>
      </c>
      <c r="C133" s="7" t="s">
        <v>4336</v>
      </c>
      <c r="D133" s="7" t="s">
        <v>323</v>
      </c>
      <c r="E133" s="7" t="s">
        <v>191</v>
      </c>
      <c r="F133" s="7" t="s">
        <v>4316</v>
      </c>
      <c r="G133" s="7" t="s">
        <v>2265</v>
      </c>
      <c r="H133" s="7" t="s">
        <v>11</v>
      </c>
      <c r="I133" s="8">
        <v>8800</v>
      </c>
      <c r="J133" s="10">
        <v>0.142841</v>
      </c>
      <c r="K133" s="8">
        <f>I133*IF(J133="",1,1-J133)+N133</f>
        <v>7851.0392000000002</v>
      </c>
      <c r="L133" s="9">
        <v>1</v>
      </c>
      <c r="N133" s="8">
        <v>308.04000000000002</v>
      </c>
    </row>
    <row r="134" spans="1:14" hidden="1">
      <c r="A134" s="7">
        <v>2026</v>
      </c>
      <c r="B134" s="7">
        <v>3</v>
      </c>
      <c r="C134" s="7" t="s">
        <v>4337</v>
      </c>
      <c r="D134" s="7" t="s">
        <v>804</v>
      </c>
      <c r="E134" s="7" t="s">
        <v>191</v>
      </c>
      <c r="F134" s="7" t="s">
        <v>4316</v>
      </c>
      <c r="G134" s="7" t="s">
        <v>2265</v>
      </c>
      <c r="H134" s="7" t="s">
        <v>11</v>
      </c>
      <c r="I134" s="8">
        <v>8000</v>
      </c>
      <c r="J134" s="10"/>
      <c r="K134" s="8">
        <f>I134*IF(J134="",1,1-J134)+N134</f>
        <v>9020.8240000000005</v>
      </c>
      <c r="L134" s="9">
        <v>1</v>
      </c>
      <c r="N134" s="8">
        <v>1020.824</v>
      </c>
    </row>
    <row r="135" spans="1:14" hidden="1">
      <c r="A135" s="7">
        <v>2026</v>
      </c>
      <c r="B135" s="7">
        <v>3</v>
      </c>
      <c r="C135" s="7" t="s">
        <v>4338</v>
      </c>
      <c r="D135" s="7" t="s">
        <v>367</v>
      </c>
      <c r="E135" s="7" t="s">
        <v>191</v>
      </c>
      <c r="F135" s="7" t="s">
        <v>4316</v>
      </c>
      <c r="G135" s="7" t="s">
        <v>2265</v>
      </c>
      <c r="H135" s="7" t="s">
        <v>11</v>
      </c>
      <c r="I135" s="8">
        <v>12500</v>
      </c>
      <c r="J135" s="10"/>
      <c r="K135" s="8">
        <f>I135*IF(J135="",1,1-J135)+N135</f>
        <v>13845.727999999999</v>
      </c>
      <c r="L135" s="9">
        <v>1</v>
      </c>
      <c r="N135" s="8">
        <v>1345.7280000000001</v>
      </c>
    </row>
    <row r="136" spans="1:14" hidden="1">
      <c r="A136" s="7">
        <v>2026</v>
      </c>
      <c r="B136" s="7">
        <v>3</v>
      </c>
      <c r="C136" s="7" t="s">
        <v>4339</v>
      </c>
      <c r="D136" s="7" t="s">
        <v>520</v>
      </c>
      <c r="E136" s="7" t="s">
        <v>191</v>
      </c>
      <c r="F136" s="7" t="s">
        <v>4316</v>
      </c>
      <c r="G136" s="7" t="s">
        <v>2265</v>
      </c>
      <c r="H136" s="7" t="s">
        <v>11</v>
      </c>
      <c r="I136" s="8">
        <v>11000</v>
      </c>
      <c r="J136" s="10"/>
      <c r="K136" s="8">
        <f>I136*IF(J136="",1,1-J136)+N136</f>
        <v>16472.416000000001</v>
      </c>
      <c r="L136" s="9">
        <v>1</v>
      </c>
      <c r="N136" s="8">
        <v>5472.4160000000002</v>
      </c>
    </row>
    <row r="137" spans="1:14" hidden="1">
      <c r="A137" s="7">
        <v>2026</v>
      </c>
      <c r="B137" s="7">
        <v>3</v>
      </c>
      <c r="C137" s="7" t="s">
        <v>4340</v>
      </c>
      <c r="D137" s="7" t="s">
        <v>469</v>
      </c>
      <c r="E137" s="7" t="s">
        <v>191</v>
      </c>
      <c r="F137" s="7" t="s">
        <v>4316</v>
      </c>
      <c r="G137" s="7" t="s">
        <v>2265</v>
      </c>
      <c r="H137" s="7" t="s">
        <v>11</v>
      </c>
      <c r="I137" s="8">
        <v>8000</v>
      </c>
      <c r="J137" s="10"/>
      <c r="K137" s="8">
        <f>I137*IF(J137="",1,1-J137)+N137</f>
        <v>8320.2880000000005</v>
      </c>
      <c r="L137" s="9">
        <v>1</v>
      </c>
      <c r="N137" s="8">
        <v>320.28800000000001</v>
      </c>
    </row>
    <row r="138" spans="1:14" hidden="1">
      <c r="A138" s="7">
        <v>2026</v>
      </c>
      <c r="B138" s="7">
        <v>3</v>
      </c>
      <c r="C138" s="7" t="s">
        <v>4326</v>
      </c>
      <c r="D138" s="7" t="s">
        <v>501</v>
      </c>
      <c r="E138" s="7" t="s">
        <v>300</v>
      </c>
      <c r="F138" s="7" t="s">
        <v>4318</v>
      </c>
      <c r="H138" s="7" t="s">
        <v>11</v>
      </c>
      <c r="I138" s="8">
        <v>38000</v>
      </c>
      <c r="J138" s="10"/>
      <c r="K138" s="8">
        <f>I138*IF(J138="",1,1-J138)+N138</f>
        <v>38000</v>
      </c>
      <c r="L138" s="9">
        <v>1</v>
      </c>
      <c r="N138" s="8"/>
    </row>
    <row r="139" spans="1:14" hidden="1">
      <c r="A139" s="7">
        <v>2026</v>
      </c>
      <c r="B139" s="7">
        <v>3</v>
      </c>
      <c r="C139" s="7" t="s">
        <v>4341</v>
      </c>
      <c r="D139" s="7" t="s">
        <v>299</v>
      </c>
      <c r="E139" s="7" t="s">
        <v>300</v>
      </c>
      <c r="F139" s="7" t="s">
        <v>4316</v>
      </c>
      <c r="G139" s="7" t="s">
        <v>501</v>
      </c>
      <c r="H139" s="7" t="s">
        <v>11</v>
      </c>
      <c r="I139" s="8">
        <v>9500</v>
      </c>
      <c r="J139" s="10"/>
      <c r="K139" s="8">
        <f>I139*IF(J139="",1,1-J139)+N139</f>
        <v>9500</v>
      </c>
      <c r="L139" s="9">
        <v>1</v>
      </c>
      <c r="N139" s="8"/>
    </row>
    <row r="140" spans="1:14" hidden="1">
      <c r="A140" s="7">
        <v>2026</v>
      </c>
      <c r="B140" s="7">
        <v>3</v>
      </c>
      <c r="C140" s="7" t="s">
        <v>4342</v>
      </c>
      <c r="D140" s="7" t="s">
        <v>506</v>
      </c>
      <c r="E140" s="7" t="s">
        <v>300</v>
      </c>
      <c r="F140" s="7" t="s">
        <v>4316</v>
      </c>
      <c r="G140" s="7" t="s">
        <v>501</v>
      </c>
      <c r="H140" s="7" t="s">
        <v>11</v>
      </c>
      <c r="I140" s="8">
        <v>9500</v>
      </c>
      <c r="J140" s="10">
        <v>0.24</v>
      </c>
      <c r="K140" s="8">
        <f>I140*IF(J140="",1,1-J140)+N140</f>
        <v>7220</v>
      </c>
      <c r="L140" s="9">
        <v>1</v>
      </c>
      <c r="N140" s="8"/>
    </row>
    <row r="141" spans="1:14" hidden="1">
      <c r="A141" s="7">
        <v>2026</v>
      </c>
      <c r="B141" s="7">
        <v>3</v>
      </c>
      <c r="C141" s="7" t="s">
        <v>4384</v>
      </c>
      <c r="D141" s="7" t="s">
        <v>2004</v>
      </c>
      <c r="E141" s="7" t="s">
        <v>300</v>
      </c>
      <c r="F141" s="7" t="s">
        <v>4316</v>
      </c>
      <c r="G141" s="7" t="s">
        <v>501</v>
      </c>
      <c r="H141" s="7" t="s">
        <v>11</v>
      </c>
      <c r="I141" s="8">
        <v>10450</v>
      </c>
      <c r="J141" s="10">
        <v>0.66995199999999999</v>
      </c>
      <c r="K141" s="8">
        <f>I141*IF(J141="",1,1-J141)+N141</f>
        <v>3449.0016000000001</v>
      </c>
      <c r="L141" s="9">
        <v>1</v>
      </c>
      <c r="N141" s="8"/>
    </row>
    <row r="142" spans="1:14" hidden="1">
      <c r="A142" s="7">
        <v>2026</v>
      </c>
      <c r="B142" s="7">
        <v>3</v>
      </c>
      <c r="C142" s="7" t="s">
        <v>4343</v>
      </c>
      <c r="D142" s="7" t="s">
        <v>829</v>
      </c>
      <c r="E142" s="7" t="s">
        <v>300</v>
      </c>
      <c r="F142" s="7" t="s">
        <v>4316</v>
      </c>
      <c r="G142" s="7" t="s">
        <v>501</v>
      </c>
      <c r="H142" s="7" t="s">
        <v>11</v>
      </c>
      <c r="I142" s="8">
        <v>9500</v>
      </c>
      <c r="J142" s="10"/>
      <c r="K142" s="8">
        <f>I142*IF(J142="",1,1-J142)+N142</f>
        <v>9500</v>
      </c>
      <c r="L142" s="9">
        <v>1</v>
      </c>
      <c r="N142" s="8"/>
    </row>
    <row r="143" spans="1:14" hidden="1">
      <c r="A143" s="7">
        <v>2026</v>
      </c>
      <c r="B143" s="7">
        <v>3</v>
      </c>
      <c r="C143" s="7" t="s">
        <v>4344</v>
      </c>
      <c r="D143" s="7" t="s">
        <v>511</v>
      </c>
      <c r="E143" s="7" t="s">
        <v>300</v>
      </c>
      <c r="F143" s="7" t="s">
        <v>4316</v>
      </c>
      <c r="G143" s="7" t="s">
        <v>501</v>
      </c>
      <c r="H143" s="7" t="s">
        <v>11</v>
      </c>
      <c r="I143" s="8">
        <v>10450</v>
      </c>
      <c r="J143" s="10">
        <v>0.24</v>
      </c>
      <c r="K143" s="8">
        <f>I143*IF(J143="",1,1-J143)+N143</f>
        <v>7942</v>
      </c>
      <c r="L143" s="9">
        <v>1</v>
      </c>
      <c r="N143" s="8"/>
    </row>
    <row r="144" spans="1:14" hidden="1">
      <c r="A144" s="7">
        <v>2026</v>
      </c>
      <c r="B144" s="7">
        <v>3</v>
      </c>
      <c r="C144" s="7" t="s">
        <v>4345</v>
      </c>
      <c r="D144" s="7" t="s">
        <v>4268</v>
      </c>
      <c r="E144" s="7" t="s">
        <v>4346</v>
      </c>
      <c r="F144" s="7" t="s">
        <v>4316</v>
      </c>
      <c r="G144" s="7" t="s">
        <v>4347</v>
      </c>
      <c r="H144" s="7" t="s">
        <v>4348</v>
      </c>
      <c r="I144" s="8">
        <v>107</v>
      </c>
      <c r="J144" s="10"/>
      <c r="K144" s="8">
        <f>I144*IF(J144="",1,1-J144)+N144</f>
        <v>107</v>
      </c>
      <c r="L144" s="9">
        <v>1</v>
      </c>
      <c r="N144" s="8"/>
    </row>
    <row r="145" spans="1:14" hidden="1">
      <c r="A145" s="7">
        <v>2026</v>
      </c>
      <c r="B145" s="7">
        <v>3</v>
      </c>
      <c r="C145" s="7" t="s">
        <v>4349</v>
      </c>
      <c r="D145" s="7" t="s">
        <v>3446</v>
      </c>
      <c r="E145" s="7" t="s">
        <v>4346</v>
      </c>
      <c r="F145" s="7" t="s">
        <v>4316</v>
      </c>
      <c r="H145" s="7" t="s">
        <v>4348</v>
      </c>
      <c r="I145" s="8">
        <v>40</v>
      </c>
      <c r="J145" s="10"/>
      <c r="K145" s="8">
        <f>I145*IF(J145="",1,1-J145)+N145</f>
        <v>40</v>
      </c>
      <c r="L145" s="9">
        <v>1</v>
      </c>
      <c r="N145" s="8"/>
    </row>
    <row r="146" spans="1:14" hidden="1">
      <c r="A146" s="7">
        <v>2026</v>
      </c>
      <c r="B146" s="7">
        <v>3</v>
      </c>
      <c r="C146" s="7" t="s">
        <v>4350</v>
      </c>
      <c r="D146" s="7" t="s">
        <v>4347</v>
      </c>
      <c r="E146" s="7" t="s">
        <v>4346</v>
      </c>
      <c r="F146" s="7" t="s">
        <v>4318</v>
      </c>
      <c r="H146" s="7" t="s">
        <v>4348</v>
      </c>
      <c r="I146" s="8">
        <v>620</v>
      </c>
      <c r="J146" s="10"/>
      <c r="K146" s="8">
        <f>I146*IF(J146="",1,1-J146)+N146</f>
        <v>620</v>
      </c>
      <c r="L146" s="9">
        <v>1</v>
      </c>
      <c r="N146" s="8"/>
    </row>
    <row r="147" spans="1:14" hidden="1">
      <c r="A147" s="7">
        <v>2026</v>
      </c>
      <c r="B147" s="7">
        <v>3</v>
      </c>
      <c r="C147" s="7" t="s">
        <v>4351</v>
      </c>
      <c r="D147" s="7" t="s">
        <v>4269</v>
      </c>
      <c r="E147" s="7" t="s">
        <v>4346</v>
      </c>
      <c r="F147" s="7" t="s">
        <v>4316</v>
      </c>
      <c r="G147" s="7" t="s">
        <v>4347</v>
      </c>
      <c r="H147" s="7" t="s">
        <v>4348</v>
      </c>
      <c r="I147" s="8">
        <v>107</v>
      </c>
      <c r="J147" s="10"/>
      <c r="K147" s="8">
        <f>I147*IF(J147="",1,1-J147)+N147</f>
        <v>107</v>
      </c>
      <c r="L147" s="9">
        <v>1</v>
      </c>
      <c r="N147" s="8"/>
    </row>
    <row r="148" spans="1:14" hidden="1">
      <c r="A148" s="7">
        <v>2026</v>
      </c>
      <c r="B148" s="7">
        <v>3</v>
      </c>
      <c r="C148" s="7" t="s">
        <v>4352</v>
      </c>
      <c r="D148" s="7" t="s">
        <v>4270</v>
      </c>
      <c r="E148" s="7" t="s">
        <v>4346</v>
      </c>
      <c r="F148" s="7" t="s">
        <v>4316</v>
      </c>
      <c r="G148" s="7" t="s">
        <v>4347</v>
      </c>
      <c r="H148" s="7" t="s">
        <v>4348</v>
      </c>
      <c r="I148" s="8">
        <v>107</v>
      </c>
      <c r="J148" s="10"/>
      <c r="K148" s="8">
        <f>I148*IF(J148="",1,1-J148)+N148</f>
        <v>107</v>
      </c>
      <c r="L148" s="9">
        <v>1</v>
      </c>
      <c r="N148" s="8"/>
    </row>
    <row r="149" spans="1:14" hidden="1">
      <c r="A149" s="7">
        <v>2026</v>
      </c>
      <c r="B149" s="7">
        <v>3</v>
      </c>
      <c r="C149" s="7" t="s">
        <v>4385</v>
      </c>
      <c r="D149" s="7" t="s">
        <v>4277</v>
      </c>
      <c r="E149" s="7" t="s">
        <v>4346</v>
      </c>
      <c r="F149" s="7" t="s">
        <v>4316</v>
      </c>
      <c r="G149" s="7" t="s">
        <v>4347</v>
      </c>
      <c r="I149" s="8"/>
      <c r="J149" s="10"/>
      <c r="K149" s="8"/>
      <c r="L149" s="9"/>
      <c r="N149" s="8"/>
    </row>
    <row r="150" spans="1:14" hidden="1">
      <c r="A150" s="7">
        <v>2026</v>
      </c>
      <c r="B150" s="7">
        <v>3</v>
      </c>
      <c r="C150" s="7" t="s">
        <v>4353</v>
      </c>
      <c r="D150" s="7" t="s">
        <v>4271</v>
      </c>
      <c r="E150" s="7" t="s">
        <v>4346</v>
      </c>
      <c r="F150" s="7" t="s">
        <v>4316</v>
      </c>
      <c r="G150" s="7" t="s">
        <v>4347</v>
      </c>
      <c r="H150" s="7" t="s">
        <v>4348</v>
      </c>
      <c r="I150" s="8">
        <v>81</v>
      </c>
      <c r="J150" s="10"/>
      <c r="K150" s="8">
        <f>I150*IF(J150="",1,1-J150)+N150</f>
        <v>81</v>
      </c>
      <c r="L150" s="9">
        <v>1</v>
      </c>
      <c r="N150" s="8"/>
    </row>
    <row r="151" spans="1:14" hidden="1">
      <c r="A151" s="7">
        <v>2026</v>
      </c>
      <c r="B151" s="7">
        <v>3</v>
      </c>
      <c r="C151" s="7" t="s">
        <v>4354</v>
      </c>
      <c r="D151" s="7" t="s">
        <v>4272</v>
      </c>
      <c r="E151" s="7" t="s">
        <v>4346</v>
      </c>
      <c r="F151" s="7" t="s">
        <v>4316</v>
      </c>
      <c r="G151" s="7" t="s">
        <v>4347</v>
      </c>
      <c r="H151" s="7" t="s">
        <v>4348</v>
      </c>
      <c r="I151" s="8">
        <v>81</v>
      </c>
      <c r="J151" s="10"/>
      <c r="K151" s="8">
        <f>I151*IF(J151="",1,1-J151)+N151</f>
        <v>81</v>
      </c>
      <c r="L151" s="9">
        <v>1</v>
      </c>
      <c r="N151" s="8"/>
    </row>
    <row r="152" spans="1:14" hidden="1">
      <c r="A152" s="7">
        <v>2026</v>
      </c>
      <c r="B152" s="7">
        <v>3</v>
      </c>
      <c r="C152" s="7" t="s">
        <v>4355</v>
      </c>
      <c r="D152" s="7" t="s">
        <v>4273</v>
      </c>
      <c r="E152" s="7" t="s">
        <v>4346</v>
      </c>
      <c r="F152" s="7" t="s">
        <v>4316</v>
      </c>
      <c r="G152" s="7" t="s">
        <v>4347</v>
      </c>
      <c r="H152" s="7" t="s">
        <v>4348</v>
      </c>
      <c r="I152" s="8">
        <v>107</v>
      </c>
      <c r="J152" s="10"/>
      <c r="K152" s="8">
        <f>I152*IF(J152="",1,1-J152)+N152</f>
        <v>107</v>
      </c>
      <c r="L152" s="9">
        <v>1</v>
      </c>
      <c r="N152" s="8"/>
    </row>
    <row r="153" spans="1:14" hidden="1">
      <c r="A153" s="7">
        <v>2026</v>
      </c>
      <c r="B153" s="7">
        <v>3</v>
      </c>
      <c r="C153" s="7" t="s">
        <v>4356</v>
      </c>
      <c r="D153" s="7" t="s">
        <v>4276</v>
      </c>
      <c r="E153" s="7" t="s">
        <v>4346</v>
      </c>
      <c r="F153" s="7" t="s">
        <v>4316</v>
      </c>
      <c r="J153" s="10"/>
      <c r="K153" s="8">
        <f>I153*IF(J153="",1,1-J153)+N153</f>
        <v>0</v>
      </c>
      <c r="L153" s="9">
        <v>1</v>
      </c>
      <c r="N153" s="8"/>
    </row>
    <row r="154" spans="1:14" hidden="1">
      <c r="A154" s="7">
        <v>2026</v>
      </c>
      <c r="B154" s="7">
        <v>3</v>
      </c>
      <c r="C154" s="7" t="s">
        <v>4386</v>
      </c>
      <c r="D154" s="7" t="s">
        <v>4278</v>
      </c>
      <c r="E154" s="7" t="s">
        <v>4346</v>
      </c>
      <c r="F154" s="7" t="s">
        <v>4316</v>
      </c>
      <c r="G154" s="7" t="s">
        <v>4347</v>
      </c>
      <c r="H154" s="7" t="s">
        <v>4348</v>
      </c>
      <c r="I154" s="8">
        <v>36</v>
      </c>
      <c r="J154" s="10">
        <v>0.67</v>
      </c>
      <c r="K154" s="8">
        <v>36</v>
      </c>
      <c r="L154" s="9">
        <v>1</v>
      </c>
      <c r="N154" s="8"/>
    </row>
    <row r="155" spans="1:14" hidden="1">
      <c r="A155" s="7">
        <v>2026</v>
      </c>
      <c r="B155" s="7">
        <v>3</v>
      </c>
      <c r="C155" s="7" t="s">
        <v>4357</v>
      </c>
      <c r="D155" s="7" t="s">
        <v>87</v>
      </c>
      <c r="E155" s="7" t="s">
        <v>3558</v>
      </c>
      <c r="F155" s="7" t="s">
        <v>4316</v>
      </c>
      <c r="G155" s="7" t="s">
        <v>4358</v>
      </c>
      <c r="H155" s="7" t="s">
        <v>9</v>
      </c>
      <c r="I155" s="8">
        <v>114309</v>
      </c>
      <c r="J155" s="10"/>
      <c r="K155" s="8">
        <f>I155*IF(J155="",1,1-J155)+N155</f>
        <v>114309</v>
      </c>
      <c r="L155" s="9">
        <v>0.4</v>
      </c>
      <c r="N155" s="8"/>
    </row>
    <row r="156" spans="1:14" hidden="1">
      <c r="A156" s="7">
        <v>2026</v>
      </c>
      <c r="B156" s="7">
        <v>3</v>
      </c>
      <c r="C156" s="7" t="s">
        <v>4357</v>
      </c>
      <c r="D156" s="7" t="s">
        <v>87</v>
      </c>
      <c r="E156" s="7" t="s">
        <v>3558</v>
      </c>
      <c r="F156" s="7" t="s">
        <v>4316</v>
      </c>
      <c r="G156" s="7" t="s">
        <v>4358</v>
      </c>
      <c r="H156" s="7" t="s">
        <v>4359</v>
      </c>
      <c r="I156" s="8">
        <v>228618</v>
      </c>
      <c r="J156" s="10"/>
      <c r="K156" s="8">
        <f>I156*IF(J156="",1,1-J156)+N156</f>
        <v>228618</v>
      </c>
      <c r="L156" s="9">
        <v>0.6</v>
      </c>
      <c r="N156" s="8"/>
    </row>
    <row r="157" spans="1:14" hidden="1">
      <c r="A157" s="7">
        <v>2026</v>
      </c>
      <c r="B157" s="7">
        <v>3</v>
      </c>
      <c r="C157" s="7" t="s">
        <v>4360</v>
      </c>
      <c r="D157" s="7" t="s">
        <v>1165</v>
      </c>
      <c r="E157" s="7" t="s">
        <v>3558</v>
      </c>
      <c r="F157" s="7" t="s">
        <v>4316</v>
      </c>
      <c r="G157" s="7" t="s">
        <v>4358</v>
      </c>
      <c r="H157" s="7" t="s">
        <v>9</v>
      </c>
      <c r="I157" s="8">
        <v>83126</v>
      </c>
      <c r="J157" s="10"/>
      <c r="K157" s="8">
        <f>I157*IF(J157="",1,1-J157)+N157</f>
        <v>83126</v>
      </c>
      <c r="L157" s="9">
        <v>0.4</v>
      </c>
      <c r="N157" s="8"/>
    </row>
    <row r="158" spans="1:14" hidden="1">
      <c r="A158" s="7">
        <v>2026</v>
      </c>
      <c r="B158" s="7">
        <v>3</v>
      </c>
      <c r="C158" s="7" t="s">
        <v>4360</v>
      </c>
      <c r="D158" s="7" t="s">
        <v>1165</v>
      </c>
      <c r="E158" s="7" t="s">
        <v>3558</v>
      </c>
      <c r="F158" s="7" t="s">
        <v>4316</v>
      </c>
      <c r="G158" s="7" t="s">
        <v>4358</v>
      </c>
      <c r="H158" s="7" t="s">
        <v>4359</v>
      </c>
      <c r="I158" s="8">
        <v>166252</v>
      </c>
      <c r="J158" s="10"/>
      <c r="K158" s="8">
        <f>I158*IF(J158="",1,1-J158)+N158</f>
        <v>166252</v>
      </c>
      <c r="L158" s="9">
        <v>0.6</v>
      </c>
      <c r="N158" s="8"/>
    </row>
    <row r="159" spans="1:14" hidden="1">
      <c r="A159" s="7">
        <v>2026</v>
      </c>
      <c r="B159" s="7">
        <v>3</v>
      </c>
      <c r="C159" s="7" t="s">
        <v>4361</v>
      </c>
      <c r="D159" s="7" t="s">
        <v>36</v>
      </c>
      <c r="E159" s="7" t="s">
        <v>3558</v>
      </c>
      <c r="F159" s="7" t="s">
        <v>4316</v>
      </c>
      <c r="G159" s="7" t="s">
        <v>4358</v>
      </c>
      <c r="H159" s="7" t="s">
        <v>9</v>
      </c>
      <c r="I159" s="8">
        <v>92681.244999999995</v>
      </c>
      <c r="J159" s="10"/>
      <c r="K159" s="8">
        <f>I159*IF(J159="",1,1-J159)+N159</f>
        <v>92681.244999999995</v>
      </c>
      <c r="L159" s="9">
        <v>0.4</v>
      </c>
      <c r="N159" s="8"/>
    </row>
    <row r="160" spans="1:14" hidden="1">
      <c r="A160" s="7">
        <v>2026</v>
      </c>
      <c r="B160" s="7">
        <v>3</v>
      </c>
      <c r="C160" s="7" t="s">
        <v>4361</v>
      </c>
      <c r="D160" s="7" t="s">
        <v>36</v>
      </c>
      <c r="E160" s="7" t="s">
        <v>3558</v>
      </c>
      <c r="F160" s="7" t="s">
        <v>4316</v>
      </c>
      <c r="G160" s="7" t="s">
        <v>4358</v>
      </c>
      <c r="H160" s="7" t="s">
        <v>4359</v>
      </c>
      <c r="I160" s="8">
        <v>185362.49</v>
      </c>
      <c r="J160" s="10"/>
      <c r="K160" s="8">
        <f>I160*IF(J160="",1,1-J160)+N160</f>
        <v>185362.49</v>
      </c>
      <c r="L160" s="9">
        <v>0.6</v>
      </c>
      <c r="N160" s="8"/>
    </row>
    <row r="161" spans="1:14" hidden="1">
      <c r="A161" s="7">
        <v>2026</v>
      </c>
      <c r="B161" s="7">
        <v>3</v>
      </c>
      <c r="C161" s="7" t="s">
        <v>4362</v>
      </c>
      <c r="D161" s="7" t="s">
        <v>98</v>
      </c>
      <c r="E161" s="7" t="s">
        <v>3558</v>
      </c>
      <c r="F161" s="7" t="s">
        <v>4316</v>
      </c>
      <c r="G161" s="7" t="s">
        <v>4358</v>
      </c>
      <c r="H161" s="7" t="s">
        <v>9</v>
      </c>
      <c r="I161" s="8">
        <v>92683.7</v>
      </c>
      <c r="J161" s="10"/>
      <c r="K161" s="8">
        <f>I161*IF(J161="",1,1-J161)+N161</f>
        <v>92683.7</v>
      </c>
      <c r="L161" s="9">
        <v>0.4</v>
      </c>
      <c r="N161" s="8"/>
    </row>
    <row r="162" spans="1:14" hidden="1">
      <c r="A162" s="7">
        <v>2026</v>
      </c>
      <c r="B162" s="7">
        <v>3</v>
      </c>
      <c r="C162" s="7" t="s">
        <v>4362</v>
      </c>
      <c r="D162" s="7" t="s">
        <v>98</v>
      </c>
      <c r="E162" s="7" t="s">
        <v>3558</v>
      </c>
      <c r="F162" s="7" t="s">
        <v>4316</v>
      </c>
      <c r="G162" s="7" t="s">
        <v>4358</v>
      </c>
      <c r="H162" s="7" t="s">
        <v>4359</v>
      </c>
      <c r="I162" s="8">
        <v>185367.4</v>
      </c>
      <c r="J162" s="10"/>
      <c r="K162" s="8">
        <f>I162*IF(J162="",1,1-J162)+N162</f>
        <v>185367.4</v>
      </c>
      <c r="L162" s="9">
        <v>0.6</v>
      </c>
      <c r="N162" s="8"/>
    </row>
    <row r="163" spans="1:14" hidden="1">
      <c r="A163" s="7">
        <v>2026</v>
      </c>
      <c r="B163" s="7">
        <v>3</v>
      </c>
      <c r="C163" s="7" t="s">
        <v>4363</v>
      </c>
      <c r="D163" s="7" t="s">
        <v>72</v>
      </c>
      <c r="E163" s="7" t="s">
        <v>3558</v>
      </c>
      <c r="F163" s="7" t="s">
        <v>4316</v>
      </c>
      <c r="G163" s="7" t="s">
        <v>4358</v>
      </c>
      <c r="H163" s="7" t="s">
        <v>9</v>
      </c>
      <c r="I163" s="8">
        <v>198811.3</v>
      </c>
      <c r="J163" s="10"/>
      <c r="K163" s="8">
        <f>I163*IF(J163="",1,1-J163)+N163</f>
        <v>198811.3</v>
      </c>
      <c r="L163" s="9">
        <v>0.4</v>
      </c>
      <c r="N163" s="8"/>
    </row>
    <row r="164" spans="1:14" hidden="1">
      <c r="A164" s="7">
        <v>2026</v>
      </c>
      <c r="B164" s="7">
        <v>3</v>
      </c>
      <c r="C164" s="7" t="s">
        <v>4363</v>
      </c>
      <c r="D164" s="7" t="s">
        <v>72</v>
      </c>
      <c r="E164" s="7" t="s">
        <v>3558</v>
      </c>
      <c r="F164" s="7" t="s">
        <v>4316</v>
      </c>
      <c r="G164" s="7" t="s">
        <v>4358</v>
      </c>
      <c r="H164" s="7" t="s">
        <v>4359</v>
      </c>
      <c r="I164" s="8">
        <v>397622.6</v>
      </c>
      <c r="J164" s="10"/>
      <c r="K164" s="8">
        <f>I164*IF(J164="",1,1-J164)+N164</f>
        <v>397622.6</v>
      </c>
      <c r="L164" s="9">
        <v>0.6</v>
      </c>
      <c r="N164" s="8"/>
    </row>
    <row r="165" spans="1:14" hidden="1">
      <c r="A165" s="7">
        <v>2026</v>
      </c>
      <c r="B165" s="7">
        <v>3</v>
      </c>
      <c r="C165" s="7" t="s">
        <v>4365</v>
      </c>
      <c r="D165" s="7" t="s">
        <v>69</v>
      </c>
      <c r="E165" s="7" t="s">
        <v>3558</v>
      </c>
      <c r="F165" s="7" t="s">
        <v>4316</v>
      </c>
      <c r="G165" s="7" t="s">
        <v>4358</v>
      </c>
      <c r="H165" s="7" t="s">
        <v>9</v>
      </c>
      <c r="I165" s="8">
        <v>75000</v>
      </c>
      <c r="J165" s="10"/>
      <c r="K165" s="8">
        <f>I165*IF(J165="",1,1-J165)+N165</f>
        <v>75000</v>
      </c>
      <c r="L165" s="9">
        <v>0.4</v>
      </c>
      <c r="N165" s="8"/>
    </row>
    <row r="166" spans="1:14" hidden="1">
      <c r="A166" s="7">
        <v>2026</v>
      </c>
      <c r="B166" s="7">
        <v>3</v>
      </c>
      <c r="C166" s="7" t="s">
        <v>4365</v>
      </c>
      <c r="D166" s="7" t="s">
        <v>69</v>
      </c>
      <c r="E166" s="7" t="s">
        <v>3558</v>
      </c>
      <c r="F166" s="7" t="s">
        <v>4316</v>
      </c>
      <c r="G166" s="7" t="s">
        <v>4358</v>
      </c>
      <c r="H166" s="7" t="s">
        <v>4359</v>
      </c>
      <c r="I166" s="8">
        <v>150000</v>
      </c>
      <c r="J166" s="10"/>
      <c r="K166" s="8">
        <f>I166*IF(J166="",1,1-J166)+N166</f>
        <v>150000</v>
      </c>
      <c r="L166" s="9">
        <v>0.6</v>
      </c>
      <c r="N166" s="8"/>
    </row>
    <row r="167" spans="1:14" hidden="1">
      <c r="A167" s="7">
        <v>2026</v>
      </c>
      <c r="B167" s="7">
        <v>3</v>
      </c>
      <c r="C167" s="7" t="s">
        <v>4366</v>
      </c>
      <c r="D167" s="7" t="s">
        <v>2068</v>
      </c>
      <c r="E167" s="7" t="s">
        <v>3558</v>
      </c>
      <c r="F167" s="7" t="s">
        <v>4316</v>
      </c>
      <c r="G167" s="7" t="s">
        <v>4358</v>
      </c>
      <c r="H167" s="7" t="s">
        <v>9</v>
      </c>
      <c r="I167" s="8">
        <v>165934.85999999999</v>
      </c>
      <c r="J167" s="10"/>
      <c r="K167" s="8">
        <f>I167*IF(J167="",1,1-J167)+N167</f>
        <v>165934.85999999999</v>
      </c>
      <c r="L167" s="9">
        <v>0.4</v>
      </c>
      <c r="N167" s="8"/>
    </row>
    <row r="168" spans="1:14" hidden="1">
      <c r="A168" s="7">
        <v>2026</v>
      </c>
      <c r="B168" s="7">
        <v>3</v>
      </c>
      <c r="C168" s="7" t="s">
        <v>4366</v>
      </c>
      <c r="D168" s="7" t="s">
        <v>2068</v>
      </c>
      <c r="E168" s="7" t="s">
        <v>3558</v>
      </c>
      <c r="F168" s="7" t="s">
        <v>4316</v>
      </c>
      <c r="G168" s="7" t="s">
        <v>4358</v>
      </c>
      <c r="H168" s="7" t="s">
        <v>4359</v>
      </c>
      <c r="I168" s="8">
        <v>331869.71999999997</v>
      </c>
      <c r="J168" s="10"/>
      <c r="K168" s="8">
        <f>I168*IF(J168="",1,1-J168)+N168</f>
        <v>331869.71999999997</v>
      </c>
      <c r="L168" s="9">
        <v>0.6</v>
      </c>
      <c r="N168" s="8"/>
    </row>
    <row r="169" spans="1:14" hidden="1">
      <c r="A169" s="7">
        <v>2026</v>
      </c>
      <c r="B169" s="7">
        <v>3</v>
      </c>
      <c r="C169" s="7" t="s">
        <v>4367</v>
      </c>
      <c r="D169" s="7" t="s">
        <v>4358</v>
      </c>
      <c r="E169" s="7" t="s">
        <v>3558</v>
      </c>
      <c r="F169" s="7" t="s">
        <v>4318</v>
      </c>
      <c r="H169" s="7" t="s">
        <v>4359</v>
      </c>
      <c r="I169" s="8">
        <v>1566247.76</v>
      </c>
      <c r="J169" s="10"/>
      <c r="K169" s="8">
        <f>I169*IF(J169="",1,1-J169)+N169</f>
        <v>1566247.76</v>
      </c>
      <c r="L169" s="9">
        <v>0.8</v>
      </c>
      <c r="N169" s="8"/>
    </row>
    <row r="170" spans="1:14" hidden="1">
      <c r="A170" s="7">
        <v>2026</v>
      </c>
      <c r="B170" s="7">
        <v>3</v>
      </c>
      <c r="C170" s="7" t="s">
        <v>4367</v>
      </c>
      <c r="D170" s="7" t="s">
        <v>4358</v>
      </c>
      <c r="E170" s="7" t="s">
        <v>3558</v>
      </c>
      <c r="F170" s="7" t="s">
        <v>4318</v>
      </c>
      <c r="H170" s="7" t="s">
        <v>4368</v>
      </c>
      <c r="I170" s="8">
        <v>0.8</v>
      </c>
      <c r="J170" s="10"/>
      <c r="K170" s="8">
        <f>I170*IF(J170="",1,1-J170)+N170</f>
        <v>0.8</v>
      </c>
      <c r="L170" s="9">
        <v>0.2</v>
      </c>
      <c r="N170" s="8"/>
    </row>
    <row r="171" spans="1:14" hidden="1">
      <c r="A171" s="7">
        <v>2026</v>
      </c>
      <c r="B171" s="7">
        <v>3</v>
      </c>
      <c r="C171" s="7" t="s">
        <v>4369</v>
      </c>
      <c r="D171" s="7" t="s">
        <v>1243</v>
      </c>
      <c r="E171" s="7" t="s">
        <v>3558</v>
      </c>
      <c r="F171" s="7" t="s">
        <v>4316</v>
      </c>
      <c r="G171" s="7" t="s">
        <v>4358</v>
      </c>
      <c r="H171" s="7" t="s">
        <v>9</v>
      </c>
      <c r="I171" s="8">
        <v>66667.5</v>
      </c>
      <c r="J171" s="10"/>
      <c r="K171" s="8">
        <f>I171*IF(J171="",1,1-J171)+N171</f>
        <v>66667.5</v>
      </c>
      <c r="L171" s="9">
        <v>0.4</v>
      </c>
      <c r="N171" s="8"/>
    </row>
    <row r="172" spans="1:14" hidden="1">
      <c r="A172" s="7">
        <v>2026</v>
      </c>
      <c r="B172" s="7">
        <v>3</v>
      </c>
      <c r="C172" s="7" t="s">
        <v>4369</v>
      </c>
      <c r="D172" s="7" t="s">
        <v>1243</v>
      </c>
      <c r="E172" s="7" t="s">
        <v>3558</v>
      </c>
      <c r="F172" s="7" t="s">
        <v>4316</v>
      </c>
      <c r="G172" s="7" t="s">
        <v>4358</v>
      </c>
      <c r="H172" s="7" t="s">
        <v>4359</v>
      </c>
      <c r="I172" s="8">
        <v>133335</v>
      </c>
      <c r="J172" s="10"/>
      <c r="K172" s="8">
        <f>I172*IF(J172="",1,1-J172)+N172</f>
        <v>133335</v>
      </c>
      <c r="L172" s="9">
        <v>0.6</v>
      </c>
      <c r="N172" s="8"/>
    </row>
    <row r="173" spans="1:14" hidden="1">
      <c r="A173" s="7">
        <v>2026</v>
      </c>
      <c r="B173" s="7">
        <v>3</v>
      </c>
      <c r="C173" s="7" t="s">
        <v>4370</v>
      </c>
      <c r="D173" s="7" t="s">
        <v>66</v>
      </c>
      <c r="E173" s="7" t="s">
        <v>3558</v>
      </c>
      <c r="F173" s="7" t="s">
        <v>4316</v>
      </c>
      <c r="G173" s="7" t="s">
        <v>4358</v>
      </c>
      <c r="H173" s="7" t="s">
        <v>9</v>
      </c>
      <c r="I173" s="8">
        <v>198760</v>
      </c>
      <c r="J173" s="10"/>
      <c r="K173" s="8">
        <f>I173*IF(J173="",1,1-J173)+N173</f>
        <v>198760</v>
      </c>
      <c r="L173" s="9">
        <v>0.4</v>
      </c>
      <c r="N173" s="8"/>
    </row>
    <row r="174" spans="1:14" hidden="1">
      <c r="A174" s="7">
        <v>2026</v>
      </c>
      <c r="B174" s="7">
        <v>3</v>
      </c>
      <c r="C174" s="7" t="s">
        <v>4370</v>
      </c>
      <c r="D174" s="7" t="s">
        <v>66</v>
      </c>
      <c r="E174" s="7" t="s">
        <v>3558</v>
      </c>
      <c r="F174" s="7" t="s">
        <v>4316</v>
      </c>
      <c r="G174" s="7" t="s">
        <v>4358</v>
      </c>
      <c r="H174" s="7" t="s">
        <v>4359</v>
      </c>
      <c r="I174" s="8">
        <v>397520</v>
      </c>
      <c r="J174" s="10"/>
      <c r="K174" s="8">
        <f>I174*IF(J174="",1,1-J174)+N174</f>
        <v>397520</v>
      </c>
      <c r="L174" s="9">
        <v>0.6</v>
      </c>
      <c r="N174" s="8"/>
    </row>
    <row r="175" spans="1:14" hidden="1">
      <c r="A175" s="7">
        <v>2026</v>
      </c>
      <c r="B175" s="7">
        <v>3</v>
      </c>
      <c r="C175" s="7" t="s">
        <v>4371</v>
      </c>
      <c r="D175" s="7" t="s">
        <v>75</v>
      </c>
      <c r="E175" s="7" t="s">
        <v>3558</v>
      </c>
      <c r="F175" s="7" t="s">
        <v>4316</v>
      </c>
      <c r="G175" s="7" t="s">
        <v>4358</v>
      </c>
      <c r="H175" s="7" t="s">
        <v>9</v>
      </c>
      <c r="I175" s="8">
        <v>53442</v>
      </c>
      <c r="J175" s="10"/>
      <c r="K175" s="8">
        <f>I175*IF(J175="",1,1-J175)+N175</f>
        <v>53442</v>
      </c>
      <c r="L175" s="9">
        <v>0.4</v>
      </c>
      <c r="N175" s="8"/>
    </row>
    <row r="176" spans="1:14" hidden="1">
      <c r="A176" s="7">
        <v>2026</v>
      </c>
      <c r="B176" s="7">
        <v>3</v>
      </c>
      <c r="C176" s="7" t="s">
        <v>4371</v>
      </c>
      <c r="D176" s="7" t="s">
        <v>75</v>
      </c>
      <c r="E176" s="7" t="s">
        <v>3558</v>
      </c>
      <c r="F176" s="7" t="s">
        <v>4316</v>
      </c>
      <c r="G176" s="7" t="s">
        <v>4358</v>
      </c>
      <c r="H176" s="7" t="s">
        <v>4359</v>
      </c>
      <c r="I176" s="8">
        <v>106884</v>
      </c>
      <c r="J176" s="10"/>
      <c r="K176" s="8">
        <f>I176*IF(J176="",1,1-J176)+N176</f>
        <v>106884</v>
      </c>
      <c r="L176" s="9">
        <v>0.6</v>
      </c>
      <c r="N176" s="8"/>
    </row>
    <row r="177" spans="1:14" hidden="1">
      <c r="A177" s="7">
        <v>2026</v>
      </c>
      <c r="B177" s="7">
        <v>3</v>
      </c>
      <c r="C177" s="7" t="s">
        <v>4372</v>
      </c>
      <c r="D177" s="7" t="s">
        <v>198</v>
      </c>
      <c r="E177" s="7" t="s">
        <v>111</v>
      </c>
      <c r="F177" s="7" t="s">
        <v>4318</v>
      </c>
      <c r="H177" s="7" t="s">
        <v>11</v>
      </c>
      <c r="I177" s="8">
        <v>115564</v>
      </c>
      <c r="J177" s="10"/>
      <c r="K177" s="8">
        <f>I177*IF(J177="",1,1-J177)+N177</f>
        <v>115564</v>
      </c>
      <c r="L177" s="9">
        <v>1</v>
      </c>
      <c r="N177" s="8"/>
    </row>
    <row r="178" spans="1:14" hidden="1">
      <c r="A178" s="7">
        <v>2026</v>
      </c>
      <c r="B178" s="7">
        <v>3</v>
      </c>
      <c r="C178" s="7" t="s">
        <v>4373</v>
      </c>
      <c r="D178" s="7" t="s">
        <v>162</v>
      </c>
      <c r="E178" s="7" t="s">
        <v>111</v>
      </c>
      <c r="F178" s="7" t="s">
        <v>4316</v>
      </c>
      <c r="G178" s="7" t="s">
        <v>198</v>
      </c>
      <c r="H178" s="7" t="s">
        <v>11</v>
      </c>
      <c r="I178" s="8">
        <v>19022</v>
      </c>
      <c r="J178" s="10"/>
      <c r="K178" s="8">
        <f>I178*IF(J178="",1,1-J178)+N178</f>
        <v>19022</v>
      </c>
      <c r="L178" s="9">
        <v>1</v>
      </c>
      <c r="N178" s="8"/>
    </row>
    <row r="179" spans="1:14" hidden="1">
      <c r="A179" s="7">
        <v>2026</v>
      </c>
      <c r="B179" s="7">
        <v>3</v>
      </c>
      <c r="C179" s="7" t="s">
        <v>4374</v>
      </c>
      <c r="D179" s="7" t="s">
        <v>137</v>
      </c>
      <c r="E179" s="7" t="s">
        <v>111</v>
      </c>
      <c r="F179" s="7" t="s">
        <v>4316</v>
      </c>
      <c r="G179" s="7" t="s">
        <v>198</v>
      </c>
      <c r="H179" s="7" t="s">
        <v>11</v>
      </c>
      <c r="I179" s="8">
        <v>14619</v>
      </c>
      <c r="J179" s="10"/>
      <c r="K179" s="8">
        <f>I179*IF(J179="",1,1-J179)+N179</f>
        <v>14619</v>
      </c>
      <c r="L179" s="9">
        <v>1</v>
      </c>
      <c r="N179" s="8"/>
    </row>
    <row r="180" spans="1:14" hidden="1">
      <c r="A180" s="7">
        <v>2026</v>
      </c>
      <c r="B180" s="7">
        <v>3</v>
      </c>
      <c r="C180" s="7" t="s">
        <v>4375</v>
      </c>
      <c r="D180" s="7" t="s">
        <v>127</v>
      </c>
      <c r="E180" s="7" t="s">
        <v>111</v>
      </c>
      <c r="F180" s="7" t="s">
        <v>4316</v>
      </c>
      <c r="G180" s="7" t="s">
        <v>198</v>
      </c>
      <c r="H180" s="7" t="s">
        <v>11</v>
      </c>
      <c r="I180" s="8">
        <v>14619</v>
      </c>
      <c r="J180" s="10"/>
      <c r="K180" s="8">
        <f>I180*IF(J180="",1,1-J180)+N180</f>
        <v>14619</v>
      </c>
      <c r="L180" s="9">
        <v>1</v>
      </c>
      <c r="N180" s="8"/>
    </row>
    <row r="181" spans="1:14" hidden="1">
      <c r="A181" s="7">
        <v>2026</v>
      </c>
      <c r="B181" s="7">
        <v>3</v>
      </c>
      <c r="C181" s="7" t="s">
        <v>4376</v>
      </c>
      <c r="D181" s="7" t="s">
        <v>116</v>
      </c>
      <c r="E181" s="7" t="s">
        <v>111</v>
      </c>
      <c r="F181" s="7" t="s">
        <v>4316</v>
      </c>
      <c r="G181" s="7" t="s">
        <v>198</v>
      </c>
      <c r="H181" s="7" t="s">
        <v>11</v>
      </c>
      <c r="I181" s="8">
        <v>19022</v>
      </c>
      <c r="J181" s="10"/>
      <c r="K181" s="8">
        <f>I181*IF(J181="",1,1-J181)+N181</f>
        <v>19022</v>
      </c>
      <c r="L181" s="9">
        <v>1</v>
      </c>
      <c r="N181" s="8"/>
    </row>
    <row r="182" spans="1:14" hidden="1">
      <c r="A182" s="7">
        <v>2026</v>
      </c>
      <c r="B182" s="7">
        <v>3</v>
      </c>
      <c r="C182" s="7" t="s">
        <v>4377</v>
      </c>
      <c r="D182" s="7" t="s">
        <v>133</v>
      </c>
      <c r="E182" s="7" t="s">
        <v>111</v>
      </c>
      <c r="F182" s="7" t="s">
        <v>4316</v>
      </c>
      <c r="G182" s="7" t="s">
        <v>198</v>
      </c>
      <c r="H182" s="7" t="s">
        <v>11</v>
      </c>
      <c r="I182" s="8">
        <v>14619</v>
      </c>
      <c r="J182" s="10"/>
      <c r="K182" s="8">
        <f>I182*IF(J182="",1,1-J182)+N182</f>
        <v>14619</v>
      </c>
      <c r="L182" s="9">
        <v>1</v>
      </c>
      <c r="N182" s="8"/>
    </row>
    <row r="183" spans="1:14" hidden="1">
      <c r="A183" s="7">
        <v>2026</v>
      </c>
      <c r="B183" s="7">
        <v>3</v>
      </c>
      <c r="C183" s="7" t="s">
        <v>4378</v>
      </c>
      <c r="D183" s="7" t="s">
        <v>110</v>
      </c>
      <c r="E183" s="7" t="s">
        <v>111</v>
      </c>
      <c r="F183" s="7" t="s">
        <v>4316</v>
      </c>
      <c r="G183" s="7" t="s">
        <v>198</v>
      </c>
      <c r="H183" s="7" t="s">
        <v>11</v>
      </c>
      <c r="I183" s="8">
        <v>19022</v>
      </c>
      <c r="J183" s="10"/>
      <c r="K183" s="8">
        <f>I183*IF(J183="",1,1-J183)+N183</f>
        <v>19022</v>
      </c>
      <c r="L183" s="9">
        <v>1</v>
      </c>
      <c r="N183" s="8"/>
    </row>
    <row r="184" spans="1:14" hidden="1">
      <c r="A184" s="7">
        <v>2026</v>
      </c>
      <c r="B184" s="7">
        <v>3</v>
      </c>
      <c r="C184" s="7" t="s">
        <v>4379</v>
      </c>
      <c r="D184" s="7" t="s">
        <v>121</v>
      </c>
      <c r="E184" s="7" t="s">
        <v>111</v>
      </c>
      <c r="F184" s="7" t="s">
        <v>4316</v>
      </c>
      <c r="G184" s="7" t="s">
        <v>198</v>
      </c>
      <c r="H184" s="7" t="s">
        <v>11</v>
      </c>
      <c r="I184" s="8">
        <v>14619</v>
      </c>
      <c r="J184" s="10"/>
      <c r="K184" s="8">
        <f>I184*IF(J184="",1,1-J184)+N184</f>
        <v>14619</v>
      </c>
      <c r="L184" s="9">
        <v>1</v>
      </c>
      <c r="N184" s="8"/>
    </row>
    <row r="185" spans="1:14" hidden="1">
      <c r="A185" s="7">
        <v>2026</v>
      </c>
      <c r="B185" s="7">
        <v>3</v>
      </c>
      <c r="C185" s="7" t="s">
        <v>4380</v>
      </c>
      <c r="D185" s="7" t="s">
        <v>2265</v>
      </c>
      <c r="E185" s="7" t="s">
        <v>4381</v>
      </c>
      <c r="F185" s="7" t="s">
        <v>4318</v>
      </c>
      <c r="H185" s="7" t="s">
        <v>11</v>
      </c>
      <c r="I185" s="8">
        <v>125557</v>
      </c>
      <c r="J185" s="10"/>
      <c r="K185" s="8">
        <f>I185*IF(J185="",1,1-J185)+N185</f>
        <v>125557</v>
      </c>
      <c r="L185" s="9">
        <v>1</v>
      </c>
      <c r="N185" s="8"/>
    </row>
    <row r="186" spans="1:14" hidden="1">
      <c r="A186" s="7">
        <v>2026</v>
      </c>
      <c r="B186" s="7">
        <v>4</v>
      </c>
      <c r="C186" s="7" t="s">
        <v>4328</v>
      </c>
      <c r="D186" s="7" t="s">
        <v>1073</v>
      </c>
      <c r="E186" s="7" t="s">
        <v>314</v>
      </c>
      <c r="F186" s="7" t="s">
        <v>4316</v>
      </c>
      <c r="G186" s="7" t="s">
        <v>2265</v>
      </c>
      <c r="H186" s="7" t="s">
        <v>11</v>
      </c>
      <c r="I186" s="8">
        <v>9000</v>
      </c>
      <c r="J186" s="10"/>
      <c r="K186" s="8">
        <f>I186*IF(J186="",1,1-J186)+N186</f>
        <v>9000</v>
      </c>
      <c r="L186" s="9">
        <v>1</v>
      </c>
      <c r="N186" s="8"/>
    </row>
    <row r="187" spans="1:14" hidden="1">
      <c r="A187" s="7">
        <v>2026</v>
      </c>
      <c r="B187" s="7">
        <v>4</v>
      </c>
      <c r="C187" s="7" t="s">
        <v>4330</v>
      </c>
      <c r="D187" s="7" t="s">
        <v>129</v>
      </c>
      <c r="E187" s="7" t="s">
        <v>91</v>
      </c>
      <c r="F187" s="7" t="s">
        <v>4316</v>
      </c>
      <c r="H187" s="7" t="s">
        <v>11</v>
      </c>
      <c r="I187" s="8">
        <v>8000</v>
      </c>
      <c r="J187" s="10"/>
      <c r="K187" s="8">
        <f>I187*IF(J187="",1,1-J187)+N187</f>
        <v>8000</v>
      </c>
      <c r="L187" s="9">
        <v>1</v>
      </c>
      <c r="N187" s="8"/>
    </row>
    <row r="188" spans="1:14" hidden="1">
      <c r="A188" s="7">
        <v>2026</v>
      </c>
      <c r="B188" s="7">
        <v>4</v>
      </c>
      <c r="C188" s="7" t="s">
        <v>4331</v>
      </c>
      <c r="D188" s="7" t="s">
        <v>90</v>
      </c>
      <c r="E188" s="7" t="s">
        <v>91</v>
      </c>
      <c r="F188" s="7" t="s">
        <v>4316</v>
      </c>
      <c r="H188" s="7" t="s">
        <v>11</v>
      </c>
      <c r="I188" s="8">
        <v>8000</v>
      </c>
      <c r="J188" s="10"/>
      <c r="K188" s="8">
        <f>I188*IF(J188="",1,1-J188)+N188</f>
        <v>8000</v>
      </c>
      <c r="L188" s="9">
        <v>1</v>
      </c>
      <c r="N188" s="8"/>
    </row>
    <row r="189" spans="1:14" hidden="1">
      <c r="A189" s="7">
        <v>2026</v>
      </c>
      <c r="B189" s="7">
        <v>4</v>
      </c>
      <c r="C189" s="7" t="s">
        <v>4332</v>
      </c>
      <c r="D189" s="7" t="s">
        <v>668</v>
      </c>
      <c r="E189" s="7" t="s">
        <v>91</v>
      </c>
      <c r="F189" s="7" t="s">
        <v>4316</v>
      </c>
      <c r="H189" s="7" t="s">
        <v>11</v>
      </c>
      <c r="I189" s="8">
        <v>8800</v>
      </c>
      <c r="J189" s="10"/>
      <c r="K189" s="8">
        <f>I189*IF(J189="",1,1-J189)+N189</f>
        <v>8800</v>
      </c>
      <c r="L189" s="9">
        <v>1</v>
      </c>
      <c r="N189" s="8"/>
    </row>
    <row r="190" spans="1:14" hidden="1">
      <c r="A190" s="7">
        <v>2026</v>
      </c>
      <c r="B190" s="7">
        <v>4</v>
      </c>
      <c r="C190" s="7" t="s">
        <v>4333</v>
      </c>
      <c r="D190" s="7" t="s">
        <v>348</v>
      </c>
      <c r="E190" s="7" t="s">
        <v>349</v>
      </c>
      <c r="F190" s="7" t="s">
        <v>4316</v>
      </c>
      <c r="G190" s="7" t="s">
        <v>4382</v>
      </c>
      <c r="H190" s="7" t="s">
        <v>11</v>
      </c>
      <c r="I190" s="8">
        <v>9500</v>
      </c>
      <c r="J190" s="10"/>
      <c r="K190" s="8">
        <f>I190*IF(J190="",1,1-J190)+N190</f>
        <v>9500</v>
      </c>
      <c r="L190" s="9">
        <v>1</v>
      </c>
      <c r="N190" s="8"/>
    </row>
    <row r="191" spans="1:14" hidden="1">
      <c r="A191" s="7">
        <v>2026</v>
      </c>
      <c r="B191" s="7">
        <v>4</v>
      </c>
      <c r="C191" s="7" t="s">
        <v>4327</v>
      </c>
      <c r="D191" s="7" t="s">
        <v>313</v>
      </c>
      <c r="E191" s="7" t="s">
        <v>349</v>
      </c>
      <c r="F191" s="7" t="s">
        <v>4316</v>
      </c>
      <c r="G191" s="7" t="s">
        <v>4382</v>
      </c>
      <c r="H191" s="7" t="s">
        <v>11</v>
      </c>
      <c r="I191" s="8">
        <v>9500</v>
      </c>
      <c r="J191" s="10">
        <v>0.66690000000000005</v>
      </c>
      <c r="K191" s="8">
        <f>I191*IF(J191="",1,1-J191)+N191</f>
        <v>3164.4499999999994</v>
      </c>
      <c r="L191" s="9">
        <v>1</v>
      </c>
      <c r="N191" s="8"/>
    </row>
    <row r="192" spans="1:14" hidden="1">
      <c r="A192" s="7">
        <v>2026</v>
      </c>
      <c r="B192" s="7">
        <v>4</v>
      </c>
      <c r="C192" s="7" t="s">
        <v>4383</v>
      </c>
      <c r="D192" s="7" t="s">
        <v>4382</v>
      </c>
      <c r="E192" s="7" t="s">
        <v>349</v>
      </c>
      <c r="F192" s="7" t="s">
        <v>4318</v>
      </c>
      <c r="H192" s="7" t="s">
        <v>11</v>
      </c>
      <c r="I192" s="8">
        <v>20500</v>
      </c>
      <c r="J192" s="10"/>
      <c r="K192" s="8">
        <f>I192*IF(J192="",1,1-J192)+N192</f>
        <v>20500</v>
      </c>
      <c r="L192" s="9">
        <v>1</v>
      </c>
      <c r="N192" s="8"/>
    </row>
    <row r="193" spans="1:14" hidden="1">
      <c r="A193" s="7">
        <v>2026</v>
      </c>
      <c r="B193" s="7">
        <v>4</v>
      </c>
      <c r="C193" s="7" t="s">
        <v>4335</v>
      </c>
      <c r="D193" s="7" t="s">
        <v>190</v>
      </c>
      <c r="E193" s="7" t="s">
        <v>191</v>
      </c>
      <c r="F193" s="7" t="s">
        <v>4316</v>
      </c>
      <c r="G193" s="7" t="s">
        <v>2265</v>
      </c>
      <c r="H193" s="7" t="s">
        <v>11</v>
      </c>
      <c r="I193" s="8">
        <v>6000</v>
      </c>
      <c r="J193" s="10"/>
      <c r="K193" s="8">
        <f>I193*IF(J193="",1,1-J193)+N193</f>
        <v>6000</v>
      </c>
      <c r="L193" s="9">
        <v>1</v>
      </c>
      <c r="N193" s="8"/>
    </row>
    <row r="194" spans="1:14" hidden="1">
      <c r="A194" s="7">
        <v>2026</v>
      </c>
      <c r="B194" s="7">
        <v>4</v>
      </c>
      <c r="C194" s="7" t="s">
        <v>4336</v>
      </c>
      <c r="D194" s="7" t="s">
        <v>323</v>
      </c>
      <c r="E194" s="7" t="s">
        <v>191</v>
      </c>
      <c r="F194" s="7" t="s">
        <v>4316</v>
      </c>
      <c r="G194" s="7" t="s">
        <v>2265</v>
      </c>
      <c r="H194" s="7" t="s">
        <v>11</v>
      </c>
      <c r="I194" s="8">
        <v>7700</v>
      </c>
      <c r="J194" s="10"/>
      <c r="K194" s="8">
        <f>I194*IF(J194="",1,1-J194)+N194</f>
        <v>7700</v>
      </c>
      <c r="L194" s="9">
        <v>1</v>
      </c>
      <c r="N194" s="8"/>
    </row>
    <row r="195" spans="1:14" hidden="1">
      <c r="A195" s="7">
        <v>2026</v>
      </c>
      <c r="B195" s="7">
        <v>4</v>
      </c>
      <c r="C195" s="7" t="s">
        <v>4337</v>
      </c>
      <c r="D195" s="7" t="s">
        <v>804</v>
      </c>
      <c r="E195" s="7" t="s">
        <v>191</v>
      </c>
      <c r="F195" s="7" t="s">
        <v>4316</v>
      </c>
      <c r="G195" s="7" t="s">
        <v>2265</v>
      </c>
      <c r="H195" s="7" t="s">
        <v>11</v>
      </c>
      <c r="I195" s="8">
        <v>7000</v>
      </c>
      <c r="J195" s="10"/>
      <c r="K195" s="8">
        <f>I195*IF(J195="",1,1-J195)+N195</f>
        <v>7000</v>
      </c>
      <c r="L195" s="9">
        <v>1</v>
      </c>
      <c r="N195" s="8"/>
    </row>
    <row r="196" spans="1:14" hidden="1">
      <c r="A196" s="7">
        <v>2026</v>
      </c>
      <c r="B196" s="7">
        <v>4</v>
      </c>
      <c r="C196" s="7" t="s">
        <v>4338</v>
      </c>
      <c r="D196" s="7" t="s">
        <v>367</v>
      </c>
      <c r="E196" s="7" t="s">
        <v>191</v>
      </c>
      <c r="F196" s="7" t="s">
        <v>4316</v>
      </c>
      <c r="G196" s="7" t="s">
        <v>2265</v>
      </c>
      <c r="H196" s="7" t="s">
        <v>11</v>
      </c>
      <c r="I196" s="8">
        <v>13125</v>
      </c>
      <c r="J196" s="10"/>
      <c r="K196" s="8">
        <f>I196*IF(J196="",1,1-J196)+N196</f>
        <v>13125</v>
      </c>
      <c r="L196" s="9">
        <v>1</v>
      </c>
      <c r="N196" s="8"/>
    </row>
    <row r="197" spans="1:14" hidden="1">
      <c r="A197" s="7">
        <v>2026</v>
      </c>
      <c r="B197" s="7">
        <v>4</v>
      </c>
      <c r="C197" s="7" t="s">
        <v>4339</v>
      </c>
      <c r="D197" s="7" t="s">
        <v>520</v>
      </c>
      <c r="E197" s="7" t="s">
        <v>191</v>
      </c>
      <c r="F197" s="7" t="s">
        <v>4316</v>
      </c>
      <c r="G197" s="7" t="s">
        <v>2265</v>
      </c>
      <c r="H197" s="7" t="s">
        <v>11</v>
      </c>
      <c r="I197" s="8">
        <v>11550</v>
      </c>
      <c r="J197" s="10"/>
      <c r="K197" s="8">
        <f>I197*IF(J197="",1,1-J197)+N197</f>
        <v>11550</v>
      </c>
      <c r="L197" s="9">
        <v>1</v>
      </c>
      <c r="N197" s="8"/>
    </row>
    <row r="198" spans="1:14" hidden="1">
      <c r="A198" s="7">
        <v>2026</v>
      </c>
      <c r="B198" s="7">
        <v>4</v>
      </c>
      <c r="C198" s="7" t="s">
        <v>4340</v>
      </c>
      <c r="D198" s="7" t="s">
        <v>469</v>
      </c>
      <c r="E198" s="7" t="s">
        <v>191</v>
      </c>
      <c r="F198" s="7" t="s">
        <v>4316</v>
      </c>
      <c r="G198" s="7" t="s">
        <v>2265</v>
      </c>
      <c r="H198" s="7" t="s">
        <v>11</v>
      </c>
      <c r="I198" s="8">
        <v>7000</v>
      </c>
      <c r="J198" s="10"/>
      <c r="K198" s="8">
        <f>I198*IF(J198="",1,1-J198)+N198</f>
        <v>7000</v>
      </c>
      <c r="L198" s="9">
        <v>1</v>
      </c>
      <c r="N198" s="8"/>
    </row>
    <row r="199" spans="1:14" hidden="1">
      <c r="A199" s="7">
        <v>2026</v>
      </c>
      <c r="B199" s="7">
        <v>4</v>
      </c>
      <c r="C199" s="7" t="s">
        <v>4326</v>
      </c>
      <c r="D199" s="7" t="s">
        <v>501</v>
      </c>
      <c r="E199" s="7" t="s">
        <v>300</v>
      </c>
      <c r="F199" s="7" t="s">
        <v>4318</v>
      </c>
      <c r="H199" s="7" t="s">
        <v>11</v>
      </c>
      <c r="I199" s="8">
        <v>58570</v>
      </c>
      <c r="J199" s="10"/>
      <c r="K199" s="8">
        <f>I199*IF(J199="",1,1-J199)+N199</f>
        <v>58570</v>
      </c>
      <c r="L199" s="9">
        <v>1</v>
      </c>
      <c r="N199" s="8"/>
    </row>
    <row r="200" spans="1:14" hidden="1">
      <c r="A200" s="7">
        <v>2026</v>
      </c>
      <c r="B200" s="7">
        <v>4</v>
      </c>
      <c r="C200" s="7" t="s">
        <v>4341</v>
      </c>
      <c r="D200" s="7" t="s">
        <v>299</v>
      </c>
      <c r="E200" s="7" t="s">
        <v>300</v>
      </c>
      <c r="F200" s="7" t="s">
        <v>4316</v>
      </c>
      <c r="G200" s="7" t="s">
        <v>501</v>
      </c>
      <c r="H200" s="7" t="s">
        <v>11</v>
      </c>
      <c r="I200" s="8">
        <v>10000</v>
      </c>
      <c r="J200" s="10">
        <v>0</v>
      </c>
      <c r="K200" s="8">
        <f>I200*IF(J200="",1,1-J200)+N200</f>
        <v>10000</v>
      </c>
      <c r="L200" s="9">
        <v>1</v>
      </c>
      <c r="N200" s="8"/>
    </row>
    <row r="201" spans="1:14" hidden="1">
      <c r="A201" s="7">
        <v>2026</v>
      </c>
      <c r="B201" s="7">
        <v>4</v>
      </c>
      <c r="C201" s="7" t="s">
        <v>4342</v>
      </c>
      <c r="D201" s="7" t="s">
        <v>506</v>
      </c>
      <c r="E201" s="7" t="s">
        <v>300</v>
      </c>
      <c r="F201" s="7" t="s">
        <v>4316</v>
      </c>
      <c r="G201" s="7" t="s">
        <v>501</v>
      </c>
      <c r="H201" s="7" t="s">
        <v>11</v>
      </c>
      <c r="I201" s="8">
        <v>10000</v>
      </c>
      <c r="J201" s="10"/>
      <c r="K201" s="8">
        <f>I201*IF(J201="",1,1-J201)+N201</f>
        <v>10000</v>
      </c>
      <c r="L201" s="9">
        <v>1</v>
      </c>
      <c r="N201" s="8"/>
    </row>
    <row r="202" spans="1:14" hidden="1">
      <c r="A202" s="7">
        <v>2026</v>
      </c>
      <c r="B202" s="7">
        <v>4</v>
      </c>
      <c r="C202" s="7" t="s">
        <v>4384</v>
      </c>
      <c r="D202" s="7" t="s">
        <v>2004</v>
      </c>
      <c r="E202" s="7" t="s">
        <v>300</v>
      </c>
      <c r="F202" s="7" t="s">
        <v>4316</v>
      </c>
      <c r="G202" s="7" t="s">
        <v>501</v>
      </c>
      <c r="H202" s="7" t="s">
        <v>11</v>
      </c>
      <c r="I202" s="8">
        <v>11000</v>
      </c>
      <c r="J202" s="10">
        <v>0.25</v>
      </c>
      <c r="K202" s="8">
        <f>I202*IF(J202="",1,1-J202)+N202</f>
        <v>8250</v>
      </c>
      <c r="L202" s="9">
        <v>1</v>
      </c>
      <c r="N202" s="8"/>
    </row>
    <row r="203" spans="1:14">
      <c r="A203" s="7">
        <v>2026</v>
      </c>
      <c r="B203" s="7">
        <v>4</v>
      </c>
      <c r="C203" s="7" t="s">
        <v>4387</v>
      </c>
      <c r="D203" s="7" t="s">
        <v>3179</v>
      </c>
      <c r="E203" s="7" t="s">
        <v>300</v>
      </c>
      <c r="F203" s="7" t="s">
        <v>4316</v>
      </c>
      <c r="G203" s="7" t="s">
        <v>501</v>
      </c>
      <c r="H203" s="7" t="s">
        <v>11</v>
      </c>
      <c r="I203" s="8">
        <v>11000</v>
      </c>
      <c r="J203" s="10">
        <v>0.8</v>
      </c>
      <c r="K203" s="8">
        <f>I203*IF(J203="",1,1-J203)+N203</f>
        <v>2199.9999999999995</v>
      </c>
      <c r="L203" s="9">
        <v>1</v>
      </c>
      <c r="N203" s="8"/>
    </row>
    <row r="204" spans="1:14" hidden="1">
      <c r="A204" s="7">
        <v>2026</v>
      </c>
      <c r="B204" s="7">
        <v>4</v>
      </c>
      <c r="C204" s="7" t="s">
        <v>4343</v>
      </c>
      <c r="D204" s="7" t="s">
        <v>829</v>
      </c>
      <c r="E204" s="7" t="s">
        <v>300</v>
      </c>
      <c r="F204" s="7" t="s">
        <v>4316</v>
      </c>
      <c r="G204" s="7" t="s">
        <v>501</v>
      </c>
      <c r="H204" s="7" t="s">
        <v>11</v>
      </c>
      <c r="I204" s="8">
        <v>10000</v>
      </c>
      <c r="J204" s="10"/>
      <c r="K204" s="8">
        <f>I204*IF(J204="",1,1-J204)+N204</f>
        <v>10000</v>
      </c>
      <c r="L204" s="9">
        <v>1</v>
      </c>
      <c r="N204" s="8"/>
    </row>
    <row r="205" spans="1:14" hidden="1">
      <c r="A205" s="7">
        <v>2026</v>
      </c>
      <c r="B205" s="7">
        <v>4</v>
      </c>
      <c r="C205" s="7" t="s">
        <v>4344</v>
      </c>
      <c r="D205" s="7" t="s">
        <v>511</v>
      </c>
      <c r="E205" s="7" t="s">
        <v>300</v>
      </c>
      <c r="F205" s="7" t="s">
        <v>4316</v>
      </c>
      <c r="G205" s="7" t="s">
        <v>501</v>
      </c>
      <c r="H205" s="7" t="s">
        <v>11</v>
      </c>
      <c r="I205" s="8">
        <v>11000</v>
      </c>
      <c r="J205" s="10"/>
      <c r="K205" s="8">
        <f>I205*IF(J205="",1,1-J205)+N205</f>
        <v>11000</v>
      </c>
      <c r="L205" s="9">
        <v>1</v>
      </c>
      <c r="N205" s="8"/>
    </row>
    <row r="206" spans="1:14" hidden="1">
      <c r="A206" s="7">
        <v>2026</v>
      </c>
      <c r="B206" s="7">
        <v>4</v>
      </c>
      <c r="C206" s="7" t="s">
        <v>4345</v>
      </c>
      <c r="D206" s="7" t="s">
        <v>4268</v>
      </c>
      <c r="E206" s="7" t="s">
        <v>4346</v>
      </c>
      <c r="F206" s="7" t="s">
        <v>4316</v>
      </c>
      <c r="G206" s="7" t="s">
        <v>4347</v>
      </c>
      <c r="H206" s="7" t="s">
        <v>4348</v>
      </c>
      <c r="I206" s="8">
        <v>92</v>
      </c>
      <c r="J206" s="10"/>
      <c r="K206" s="8">
        <f>I206*IF(J206="",1,1-J206)+N206</f>
        <v>92</v>
      </c>
      <c r="L206" s="9">
        <v>1</v>
      </c>
      <c r="N206" s="8"/>
    </row>
    <row r="207" spans="1:14" hidden="1">
      <c r="A207" s="7">
        <v>2026</v>
      </c>
      <c r="B207" s="7">
        <v>4</v>
      </c>
      <c r="C207" s="7" t="s">
        <v>4350</v>
      </c>
      <c r="D207" s="7" t="s">
        <v>4347</v>
      </c>
      <c r="E207" s="7" t="s">
        <v>4346</v>
      </c>
      <c r="F207" s="7" t="s">
        <v>4318</v>
      </c>
      <c r="H207" s="7" t="s">
        <v>4348</v>
      </c>
      <c r="I207" s="8">
        <v>620</v>
      </c>
      <c r="J207" s="10"/>
      <c r="K207" s="8">
        <f>I207*IF(J207="",1,1-J207)+N207</f>
        <v>620</v>
      </c>
      <c r="L207" s="9">
        <v>1</v>
      </c>
      <c r="N207" s="8"/>
    </row>
    <row r="208" spans="1:14" hidden="1">
      <c r="A208" s="7">
        <v>2026</v>
      </c>
      <c r="B208" s="7">
        <v>4</v>
      </c>
      <c r="C208" s="7" t="s">
        <v>4351</v>
      </c>
      <c r="D208" s="7" t="s">
        <v>4269</v>
      </c>
      <c r="E208" s="7" t="s">
        <v>4346</v>
      </c>
      <c r="F208" s="7" t="s">
        <v>4316</v>
      </c>
      <c r="G208" s="7" t="s">
        <v>4347</v>
      </c>
      <c r="H208" s="7" t="s">
        <v>4348</v>
      </c>
      <c r="I208" s="8">
        <v>66.000799999999998</v>
      </c>
      <c r="J208" s="10"/>
      <c r="K208" s="8">
        <f>I208*IF(J208="",1,1-J208)+N208</f>
        <v>66.000799999999998</v>
      </c>
      <c r="L208" s="9">
        <v>1</v>
      </c>
      <c r="N208" s="8"/>
    </row>
    <row r="209" spans="1:14" hidden="1">
      <c r="A209" s="7">
        <v>2026</v>
      </c>
      <c r="B209" s="7">
        <v>4</v>
      </c>
      <c r="C209" s="7" t="s">
        <v>4352</v>
      </c>
      <c r="D209" s="7" t="s">
        <v>4270</v>
      </c>
      <c r="E209" s="7" t="s">
        <v>4346</v>
      </c>
      <c r="F209" s="7" t="s">
        <v>4316</v>
      </c>
      <c r="G209" s="7" t="s">
        <v>4347</v>
      </c>
      <c r="H209" s="7" t="s">
        <v>4348</v>
      </c>
      <c r="I209" s="8">
        <v>27.995600000000003</v>
      </c>
      <c r="J209" s="10"/>
      <c r="K209" s="8">
        <f>I209*IF(J209="",1,1-J209)+N209</f>
        <v>27.995600000000003</v>
      </c>
      <c r="L209" s="9">
        <v>1</v>
      </c>
      <c r="N209" s="8"/>
    </row>
    <row r="210" spans="1:14" hidden="1">
      <c r="A210" s="7">
        <v>2026</v>
      </c>
      <c r="B210" s="7">
        <v>4</v>
      </c>
      <c r="C210" s="7" t="s">
        <v>4385</v>
      </c>
      <c r="D210" s="7" t="s">
        <v>4277</v>
      </c>
      <c r="E210" s="7" t="s">
        <v>4346</v>
      </c>
      <c r="F210" s="7" t="s">
        <v>4316</v>
      </c>
      <c r="G210" s="7" t="s">
        <v>4347</v>
      </c>
      <c r="H210" s="7" t="s">
        <v>4348</v>
      </c>
      <c r="I210" s="8">
        <v>27.995600000000003</v>
      </c>
      <c r="J210" s="10"/>
      <c r="K210" s="8">
        <f>I210*IF(J210="",1,1-J210)+N210</f>
        <v>27.995600000000003</v>
      </c>
      <c r="L210" s="9">
        <v>1</v>
      </c>
      <c r="N210" s="8"/>
    </row>
    <row r="211" spans="1:14" hidden="1">
      <c r="A211" s="7">
        <v>2026</v>
      </c>
      <c r="B211" s="7">
        <v>4</v>
      </c>
      <c r="C211" s="7" t="s">
        <v>4353</v>
      </c>
      <c r="D211" s="7" t="s">
        <v>4271</v>
      </c>
      <c r="E211" s="7" t="s">
        <v>4346</v>
      </c>
      <c r="F211" s="7" t="s">
        <v>4316</v>
      </c>
      <c r="G211" s="7" t="s">
        <v>4347</v>
      </c>
      <c r="H211" s="7" t="s">
        <v>4348</v>
      </c>
      <c r="I211" s="8">
        <v>79</v>
      </c>
      <c r="J211" s="10"/>
      <c r="K211" s="8">
        <f>I211*IF(J211="",1,1-J211)+N211</f>
        <v>79</v>
      </c>
      <c r="L211" s="9">
        <v>1</v>
      </c>
      <c r="N211" s="8"/>
    </row>
    <row r="212" spans="1:14" hidden="1">
      <c r="A212" s="7">
        <v>2026</v>
      </c>
      <c r="B212" s="7">
        <v>4</v>
      </c>
      <c r="C212" s="7" t="s">
        <v>4354</v>
      </c>
      <c r="D212" s="7" t="s">
        <v>4272</v>
      </c>
      <c r="E212" s="7" t="s">
        <v>4346</v>
      </c>
      <c r="F212" s="7" t="s">
        <v>4316</v>
      </c>
      <c r="G212" s="7" t="s">
        <v>4347</v>
      </c>
      <c r="H212" s="7" t="s">
        <v>4348</v>
      </c>
      <c r="I212" s="8">
        <v>92</v>
      </c>
      <c r="J212" s="10"/>
      <c r="K212" s="8">
        <f>I212*IF(J212="",1,1-J212)+N212</f>
        <v>92</v>
      </c>
      <c r="L212" s="9">
        <v>1</v>
      </c>
      <c r="N212" s="8"/>
    </row>
    <row r="213" spans="1:14" hidden="1">
      <c r="A213" s="7">
        <v>2026</v>
      </c>
      <c r="B213" s="7">
        <v>4</v>
      </c>
      <c r="C213" s="7" t="s">
        <v>4355</v>
      </c>
      <c r="D213" s="7" t="s">
        <v>4273</v>
      </c>
      <c r="E213" s="7" t="s">
        <v>4346</v>
      </c>
      <c r="F213" s="7" t="s">
        <v>4316</v>
      </c>
      <c r="G213" s="7" t="s">
        <v>4347</v>
      </c>
      <c r="H213" s="7" t="s">
        <v>4348</v>
      </c>
      <c r="I213" s="8">
        <v>92</v>
      </c>
      <c r="J213" s="10"/>
      <c r="K213" s="8">
        <f>I213*IF(J213="",1,1-J213)+N213</f>
        <v>92</v>
      </c>
      <c r="L213" s="9">
        <v>1</v>
      </c>
      <c r="N213" s="8"/>
    </row>
    <row r="214" spans="1:14" hidden="1">
      <c r="A214" s="7">
        <v>2026</v>
      </c>
      <c r="B214" s="7">
        <v>4</v>
      </c>
      <c r="C214" s="7" t="s">
        <v>4386</v>
      </c>
      <c r="D214" s="7" t="s">
        <v>4278</v>
      </c>
      <c r="E214" s="7" t="s">
        <v>4346</v>
      </c>
      <c r="F214" s="7" t="s">
        <v>4316</v>
      </c>
      <c r="G214" s="7" t="s">
        <v>4347</v>
      </c>
      <c r="H214" s="7" t="s">
        <v>4348</v>
      </c>
      <c r="I214" s="8">
        <v>92</v>
      </c>
      <c r="J214" s="10">
        <v>0.25</v>
      </c>
      <c r="K214" s="8">
        <f>I214*IF(J214="",1,1-J214)+N214</f>
        <v>69</v>
      </c>
      <c r="L214" s="9">
        <v>1</v>
      </c>
      <c r="N214" s="8"/>
    </row>
    <row r="215" spans="1:14" hidden="1">
      <c r="A215" s="7">
        <v>2026</v>
      </c>
      <c r="B215" s="7">
        <v>4</v>
      </c>
      <c r="C215" s="7" t="s">
        <v>4357</v>
      </c>
      <c r="D215" s="7" t="s">
        <v>87</v>
      </c>
      <c r="E215" s="7" t="s">
        <v>3558</v>
      </c>
      <c r="F215" s="7" t="s">
        <v>4316</v>
      </c>
      <c r="G215" s="7" t="s">
        <v>4358</v>
      </c>
      <c r="H215" s="7" t="s">
        <v>9</v>
      </c>
      <c r="I215" s="8">
        <v>146708</v>
      </c>
      <c r="J215" s="10"/>
      <c r="K215" s="8">
        <f>I215*IF(J215="",1,1-J215)+N215</f>
        <v>146708</v>
      </c>
      <c r="L215" s="9">
        <v>0.4</v>
      </c>
      <c r="N215" s="8"/>
    </row>
    <row r="216" spans="1:14" hidden="1">
      <c r="A216" s="7">
        <v>2026</v>
      </c>
      <c r="B216" s="7">
        <v>4</v>
      </c>
      <c r="C216" s="7" t="s">
        <v>4357</v>
      </c>
      <c r="D216" s="7" t="s">
        <v>87</v>
      </c>
      <c r="E216" s="7" t="s">
        <v>3558</v>
      </c>
      <c r="F216" s="7" t="s">
        <v>4316</v>
      </c>
      <c r="G216" s="7" t="s">
        <v>4358</v>
      </c>
      <c r="H216" s="7" t="s">
        <v>4359</v>
      </c>
      <c r="I216" s="8">
        <v>293416</v>
      </c>
      <c r="J216" s="10"/>
      <c r="K216" s="8">
        <f>I216*IF(J216="",1,1-J216)+N216</f>
        <v>293416</v>
      </c>
      <c r="L216" s="9">
        <v>0.6</v>
      </c>
      <c r="N216" s="8"/>
    </row>
    <row r="217" spans="1:14" hidden="1">
      <c r="A217" s="7">
        <v>2026</v>
      </c>
      <c r="B217" s="7">
        <v>4</v>
      </c>
      <c r="C217" s="7" t="s">
        <v>4360</v>
      </c>
      <c r="D217" s="7" t="s">
        <v>1165</v>
      </c>
      <c r="E217" s="7" t="s">
        <v>3558</v>
      </c>
      <c r="F217" s="7" t="s">
        <v>4316</v>
      </c>
      <c r="G217" s="7" t="s">
        <v>4358</v>
      </c>
      <c r="H217" s="7" t="s">
        <v>9</v>
      </c>
      <c r="I217" s="8">
        <v>106602</v>
      </c>
      <c r="J217" s="10"/>
      <c r="K217" s="8">
        <f>I217*IF(J217="",1,1-J217)+N217</f>
        <v>106602</v>
      </c>
      <c r="L217" s="9">
        <v>0.4</v>
      </c>
      <c r="N217" s="8"/>
    </row>
    <row r="218" spans="1:14" hidden="1">
      <c r="A218" s="7">
        <v>2026</v>
      </c>
      <c r="B218" s="7">
        <v>4</v>
      </c>
      <c r="C218" s="7" t="s">
        <v>4360</v>
      </c>
      <c r="D218" s="7" t="s">
        <v>1165</v>
      </c>
      <c r="E218" s="7" t="s">
        <v>3558</v>
      </c>
      <c r="F218" s="7" t="s">
        <v>4316</v>
      </c>
      <c r="G218" s="7" t="s">
        <v>4358</v>
      </c>
      <c r="H218" s="7" t="s">
        <v>4359</v>
      </c>
      <c r="I218" s="8">
        <v>213204</v>
      </c>
      <c r="J218" s="10"/>
      <c r="K218" s="8">
        <f>I218*IF(J218="",1,1-J218)+N218</f>
        <v>213204</v>
      </c>
      <c r="L218" s="9">
        <v>0.6</v>
      </c>
      <c r="N218" s="8"/>
    </row>
    <row r="219" spans="1:14" hidden="1">
      <c r="A219" s="7">
        <v>2026</v>
      </c>
      <c r="B219" s="7">
        <v>4</v>
      </c>
      <c r="C219" s="7" t="s">
        <v>4361</v>
      </c>
      <c r="D219" s="7" t="s">
        <v>36</v>
      </c>
      <c r="E219" s="7" t="s">
        <v>3558</v>
      </c>
      <c r="F219" s="7" t="s">
        <v>4316</v>
      </c>
      <c r="G219" s="7" t="s">
        <v>4358</v>
      </c>
      <c r="H219" s="7" t="s">
        <v>9</v>
      </c>
      <c r="I219" s="8">
        <v>119314.17</v>
      </c>
      <c r="J219" s="10"/>
      <c r="K219" s="8">
        <f>I219*IF(J219="",1,1-J219)+N219</f>
        <v>119314.17</v>
      </c>
      <c r="L219" s="9">
        <v>0.4</v>
      </c>
      <c r="N219" s="8"/>
    </row>
    <row r="220" spans="1:14" hidden="1">
      <c r="A220" s="7">
        <v>2026</v>
      </c>
      <c r="B220" s="7">
        <v>4</v>
      </c>
      <c r="C220" s="7" t="s">
        <v>4361</v>
      </c>
      <c r="D220" s="7" t="s">
        <v>36</v>
      </c>
      <c r="E220" s="7" t="s">
        <v>3558</v>
      </c>
      <c r="F220" s="7" t="s">
        <v>4316</v>
      </c>
      <c r="G220" s="7" t="s">
        <v>4358</v>
      </c>
      <c r="H220" s="7" t="s">
        <v>4359</v>
      </c>
      <c r="I220" s="8">
        <v>238628.33</v>
      </c>
      <c r="J220" s="10"/>
      <c r="K220" s="8">
        <f>I220*IF(J220="",1,1-J220)+N220</f>
        <v>238628.33</v>
      </c>
      <c r="L220" s="9">
        <v>0.6</v>
      </c>
      <c r="N220" s="8"/>
    </row>
    <row r="221" spans="1:14" hidden="1">
      <c r="A221" s="7">
        <v>2026</v>
      </c>
      <c r="B221" s="7">
        <v>4</v>
      </c>
      <c r="C221" s="7" t="s">
        <v>4362</v>
      </c>
      <c r="D221" s="7" t="s">
        <v>98</v>
      </c>
      <c r="E221" s="7" t="s">
        <v>3558</v>
      </c>
      <c r="F221" s="7" t="s">
        <v>4316</v>
      </c>
      <c r="G221" s="7" t="s">
        <v>4358</v>
      </c>
      <c r="H221" s="7" t="s">
        <v>9</v>
      </c>
      <c r="I221" s="8">
        <v>119093.03</v>
      </c>
      <c r="J221" s="10"/>
      <c r="K221" s="8">
        <f>I221*IF(J221="",1,1-J221)+N221</f>
        <v>119093.03</v>
      </c>
      <c r="L221" s="9">
        <v>0.4</v>
      </c>
      <c r="N221" s="8"/>
    </row>
    <row r="222" spans="1:14" hidden="1">
      <c r="A222" s="7">
        <v>2026</v>
      </c>
      <c r="B222" s="7">
        <v>4</v>
      </c>
      <c r="C222" s="7" t="s">
        <v>4362</v>
      </c>
      <c r="D222" s="7" t="s">
        <v>98</v>
      </c>
      <c r="E222" s="7" t="s">
        <v>3558</v>
      </c>
      <c r="F222" s="7" t="s">
        <v>4316</v>
      </c>
      <c r="G222" s="7" t="s">
        <v>4358</v>
      </c>
      <c r="H222" s="7" t="s">
        <v>4359</v>
      </c>
      <c r="I222" s="8">
        <v>238186.05</v>
      </c>
      <c r="J222" s="10"/>
      <c r="K222" s="8">
        <f>I222*IF(J222="",1,1-J222)+N222</f>
        <v>238186.05</v>
      </c>
      <c r="L222" s="9">
        <v>0.6</v>
      </c>
      <c r="N222" s="8"/>
    </row>
    <row r="223" spans="1:14" hidden="1">
      <c r="A223" s="7">
        <v>2026</v>
      </c>
      <c r="B223" s="7">
        <v>4</v>
      </c>
      <c r="C223" s="7" t="s">
        <v>4363</v>
      </c>
      <c r="D223" s="7" t="s">
        <v>72</v>
      </c>
      <c r="E223" s="7" t="s">
        <v>3558</v>
      </c>
      <c r="F223" s="7" t="s">
        <v>4316</v>
      </c>
      <c r="G223" s="7" t="s">
        <v>4358</v>
      </c>
      <c r="H223" s="7" t="s">
        <v>9</v>
      </c>
      <c r="I223" s="8">
        <v>255227</v>
      </c>
      <c r="J223" s="10"/>
      <c r="K223" s="8">
        <f>I223*IF(J223="",1,1-J223)+N223</f>
        <v>255227</v>
      </c>
      <c r="L223" s="9">
        <v>0.4</v>
      </c>
      <c r="N223" s="8"/>
    </row>
    <row r="224" spans="1:14" hidden="1">
      <c r="A224" s="7">
        <v>2026</v>
      </c>
      <c r="B224" s="7">
        <v>4</v>
      </c>
      <c r="C224" s="7" t="s">
        <v>4363</v>
      </c>
      <c r="D224" s="7" t="s">
        <v>72</v>
      </c>
      <c r="E224" s="7" t="s">
        <v>3558</v>
      </c>
      <c r="F224" s="7" t="s">
        <v>4316</v>
      </c>
      <c r="G224" s="7" t="s">
        <v>4358</v>
      </c>
      <c r="H224" s="7" t="s">
        <v>4359</v>
      </c>
      <c r="I224" s="8">
        <v>510454</v>
      </c>
      <c r="J224" s="10"/>
      <c r="K224" s="8">
        <f>I224*IF(J224="",1,1-J224)+N224</f>
        <v>510454</v>
      </c>
      <c r="L224" s="9">
        <v>0.6</v>
      </c>
      <c r="N224" s="8"/>
    </row>
    <row r="225" spans="1:14" hidden="1">
      <c r="A225" s="7">
        <v>2026</v>
      </c>
      <c r="B225" s="7">
        <v>4</v>
      </c>
      <c r="C225" s="7" t="s">
        <v>4365</v>
      </c>
      <c r="D225" s="7" t="s">
        <v>69</v>
      </c>
      <c r="E225" s="7" t="s">
        <v>3558</v>
      </c>
      <c r="F225" s="7" t="s">
        <v>4316</v>
      </c>
      <c r="G225" s="7" t="s">
        <v>4358</v>
      </c>
      <c r="H225" s="7" t="s">
        <v>9</v>
      </c>
      <c r="I225" s="8">
        <v>100000</v>
      </c>
      <c r="J225" s="10"/>
      <c r="K225" s="8">
        <f>I225*IF(J225="",1,1-J225)+N225</f>
        <v>100000</v>
      </c>
      <c r="L225" s="9">
        <v>0.4</v>
      </c>
      <c r="N225" s="8"/>
    </row>
    <row r="226" spans="1:14" hidden="1">
      <c r="A226" s="7">
        <v>2026</v>
      </c>
      <c r="B226" s="7">
        <v>4</v>
      </c>
      <c r="C226" s="7" t="s">
        <v>4365</v>
      </c>
      <c r="D226" s="7" t="s">
        <v>69</v>
      </c>
      <c r="E226" s="7" t="s">
        <v>3558</v>
      </c>
      <c r="F226" s="7" t="s">
        <v>4316</v>
      </c>
      <c r="G226" s="7" t="s">
        <v>4358</v>
      </c>
      <c r="H226" s="7" t="s">
        <v>4359</v>
      </c>
      <c r="I226" s="8">
        <v>200000</v>
      </c>
      <c r="J226" s="10"/>
      <c r="K226" s="8">
        <f>I226*IF(J226="",1,1-J226)+N226</f>
        <v>200000</v>
      </c>
      <c r="L226" s="9">
        <v>0.6</v>
      </c>
      <c r="N226" s="8"/>
    </row>
    <row r="227" spans="1:14" hidden="1">
      <c r="A227" s="7">
        <v>2026</v>
      </c>
      <c r="B227" s="7">
        <v>4</v>
      </c>
      <c r="C227" s="7" t="s">
        <v>4366</v>
      </c>
      <c r="D227" s="7" t="s">
        <v>2068</v>
      </c>
      <c r="E227" s="7" t="s">
        <v>3558</v>
      </c>
      <c r="F227" s="7" t="s">
        <v>4316</v>
      </c>
      <c r="G227" s="7" t="s">
        <v>4358</v>
      </c>
      <c r="H227" s="7" t="s">
        <v>9</v>
      </c>
      <c r="I227" s="8">
        <v>212500</v>
      </c>
      <c r="J227" s="10"/>
      <c r="K227" s="8">
        <f>I227*IF(J227="",1,1-J227)+N227</f>
        <v>212500</v>
      </c>
      <c r="L227" s="9">
        <v>0.4</v>
      </c>
      <c r="N227" s="8"/>
    </row>
    <row r="228" spans="1:14" hidden="1">
      <c r="A228" s="7">
        <v>2026</v>
      </c>
      <c r="B228" s="7">
        <v>4</v>
      </c>
      <c r="C228" s="7" t="s">
        <v>4366</v>
      </c>
      <c r="D228" s="7" t="s">
        <v>2068</v>
      </c>
      <c r="E228" s="7" t="s">
        <v>3558</v>
      </c>
      <c r="F228" s="7" t="s">
        <v>4316</v>
      </c>
      <c r="G228" s="7" t="s">
        <v>4358</v>
      </c>
      <c r="H228" s="7" t="s">
        <v>4359</v>
      </c>
      <c r="I228" s="8">
        <v>425000</v>
      </c>
      <c r="J228" s="10"/>
      <c r="K228" s="8">
        <f>I228*IF(J228="",1,1-J228)+N228</f>
        <v>425000</v>
      </c>
      <c r="L228" s="9">
        <v>0.6</v>
      </c>
      <c r="N228" s="8"/>
    </row>
    <row r="229" spans="1:14" hidden="1">
      <c r="A229" s="7">
        <v>2026</v>
      </c>
      <c r="B229" s="7">
        <v>4</v>
      </c>
      <c r="C229" s="7" t="s">
        <v>4367</v>
      </c>
      <c r="D229" s="7" t="s">
        <v>4358</v>
      </c>
      <c r="E229" s="7" t="s">
        <v>3558</v>
      </c>
      <c r="F229" s="7" t="s">
        <v>4318</v>
      </c>
      <c r="H229" s="7" t="s">
        <v>4359</v>
      </c>
      <c r="I229" s="8">
        <v>1919568.64</v>
      </c>
      <c r="J229" s="10"/>
      <c r="K229" s="8">
        <f>I229*IF(J229="",1,1-J229)+N229</f>
        <v>1919568.64</v>
      </c>
      <c r="L229" s="9">
        <v>0.8</v>
      </c>
      <c r="N229" s="8"/>
    </row>
    <row r="230" spans="1:14" hidden="1">
      <c r="A230" s="7">
        <v>2026</v>
      </c>
      <c r="B230" s="7">
        <v>4</v>
      </c>
      <c r="C230" s="7" t="s">
        <v>4367</v>
      </c>
      <c r="D230" s="7" t="s">
        <v>4358</v>
      </c>
      <c r="E230" s="7" t="s">
        <v>3558</v>
      </c>
      <c r="F230" s="7" t="s">
        <v>4318</v>
      </c>
      <c r="H230" s="7" t="s">
        <v>4368</v>
      </c>
      <c r="I230" s="8">
        <v>0.8</v>
      </c>
      <c r="J230" s="10"/>
      <c r="K230" s="8">
        <f>I230*IF(J230="",1,1-J230)+N230</f>
        <v>0.8</v>
      </c>
      <c r="L230" s="9">
        <v>0.2</v>
      </c>
      <c r="N230" s="8"/>
    </row>
    <row r="231" spans="1:14" hidden="1">
      <c r="A231" s="7">
        <v>2026</v>
      </c>
      <c r="B231" s="7">
        <v>4</v>
      </c>
      <c r="C231" s="7" t="s">
        <v>4369</v>
      </c>
      <c r="D231" s="7" t="s">
        <v>1243</v>
      </c>
      <c r="E231" s="7" t="s">
        <v>3558</v>
      </c>
      <c r="F231" s="7" t="s">
        <v>4316</v>
      </c>
      <c r="G231" s="7" t="s">
        <v>4358</v>
      </c>
      <c r="H231" s="7" t="s">
        <v>9</v>
      </c>
      <c r="I231" s="8">
        <v>85403.34</v>
      </c>
      <c r="J231" s="10"/>
      <c r="K231" s="8">
        <f>I231*IF(J231="",1,1-J231)+N231</f>
        <v>85403.34</v>
      </c>
      <c r="L231" s="9">
        <v>0.4</v>
      </c>
      <c r="N231" s="8"/>
    </row>
    <row r="232" spans="1:14" hidden="1">
      <c r="A232" s="7">
        <v>2026</v>
      </c>
      <c r="B232" s="7">
        <v>4</v>
      </c>
      <c r="C232" s="7" t="s">
        <v>4369</v>
      </c>
      <c r="D232" s="7" t="s">
        <v>1243</v>
      </c>
      <c r="E232" s="7" t="s">
        <v>3558</v>
      </c>
      <c r="F232" s="7" t="s">
        <v>4316</v>
      </c>
      <c r="G232" s="7" t="s">
        <v>4358</v>
      </c>
      <c r="H232" s="7" t="s">
        <v>4359</v>
      </c>
      <c r="I232" s="8">
        <v>170806.68</v>
      </c>
      <c r="J232" s="10"/>
      <c r="K232" s="8">
        <f>I232*IF(J232="",1,1-J232)+N232</f>
        <v>170806.68</v>
      </c>
      <c r="L232" s="9">
        <v>0.6</v>
      </c>
      <c r="N232" s="8"/>
    </row>
    <row r="233" spans="1:14" hidden="1">
      <c r="A233" s="7">
        <v>2026</v>
      </c>
      <c r="B233" s="7">
        <v>4</v>
      </c>
      <c r="C233" s="7" t="s">
        <v>4370</v>
      </c>
      <c r="D233" s="7" t="s">
        <v>66</v>
      </c>
      <c r="E233" s="7" t="s">
        <v>3558</v>
      </c>
      <c r="F233" s="7" t="s">
        <v>4316</v>
      </c>
      <c r="G233" s="7" t="s">
        <v>4358</v>
      </c>
      <c r="H233" s="7" t="s">
        <v>9</v>
      </c>
      <c r="I233" s="8">
        <v>50000</v>
      </c>
      <c r="J233" s="10"/>
      <c r="K233" s="8">
        <f>I233*IF(J233="",1,1-J233)+N233</f>
        <v>50000</v>
      </c>
      <c r="L233" s="9">
        <v>0.4</v>
      </c>
      <c r="N233" s="8"/>
    </row>
    <row r="234" spans="1:14" hidden="1">
      <c r="A234" s="7">
        <v>2026</v>
      </c>
      <c r="B234" s="7">
        <v>4</v>
      </c>
      <c r="C234" s="7" t="s">
        <v>4370</v>
      </c>
      <c r="D234" s="7" t="s">
        <v>66</v>
      </c>
      <c r="E234" s="7" t="s">
        <v>3558</v>
      </c>
      <c r="F234" s="7" t="s">
        <v>4316</v>
      </c>
      <c r="G234" s="7" t="s">
        <v>4358</v>
      </c>
      <c r="H234" s="7" t="s">
        <v>4359</v>
      </c>
      <c r="I234" s="8">
        <v>100000</v>
      </c>
      <c r="J234" s="10"/>
      <c r="K234" s="8">
        <f>I234*IF(J234="",1,1-J234)+N234</f>
        <v>100000</v>
      </c>
      <c r="L234" s="9">
        <v>0.6</v>
      </c>
      <c r="N234" s="8"/>
    </row>
    <row r="235" spans="1:14" hidden="1">
      <c r="A235" s="7">
        <v>2026</v>
      </c>
      <c r="B235" s="7">
        <v>4</v>
      </c>
      <c r="C235" s="7" t="s">
        <v>4371</v>
      </c>
      <c r="D235" s="7" t="s">
        <v>75</v>
      </c>
      <c r="E235" s="7" t="s">
        <v>3558</v>
      </c>
      <c r="F235" s="7" t="s">
        <v>4316</v>
      </c>
      <c r="G235" s="7" t="s">
        <v>4358</v>
      </c>
      <c r="H235" s="7" t="s">
        <v>9</v>
      </c>
      <c r="I235" s="8">
        <v>68389.11</v>
      </c>
      <c r="J235" s="10"/>
      <c r="K235" s="8">
        <f>I235*IF(J235="",1,1-J235)+N235</f>
        <v>68389.11</v>
      </c>
      <c r="L235" s="9">
        <v>0.4</v>
      </c>
      <c r="N235" s="8"/>
    </row>
    <row r="236" spans="1:14" hidden="1">
      <c r="A236" s="7">
        <v>2026</v>
      </c>
      <c r="B236" s="7">
        <v>4</v>
      </c>
      <c r="C236" s="7" t="s">
        <v>4371</v>
      </c>
      <c r="D236" s="7" t="s">
        <v>75</v>
      </c>
      <c r="E236" s="7" t="s">
        <v>3558</v>
      </c>
      <c r="F236" s="7" t="s">
        <v>4316</v>
      </c>
      <c r="G236" s="7" t="s">
        <v>4358</v>
      </c>
      <c r="H236" s="7" t="s">
        <v>4359</v>
      </c>
      <c r="I236" s="8">
        <v>136778.21</v>
      </c>
      <c r="J236" s="10"/>
      <c r="K236" s="8">
        <f>I236*IF(J236="",1,1-J236)+N236</f>
        <v>136778.21</v>
      </c>
      <c r="L236" s="9">
        <v>0.6</v>
      </c>
      <c r="N236" s="8"/>
    </row>
    <row r="237" spans="1:14" hidden="1">
      <c r="A237" s="7">
        <v>2026</v>
      </c>
      <c r="B237" s="7">
        <v>4</v>
      </c>
      <c r="C237" s="7" t="s">
        <v>4372</v>
      </c>
      <c r="D237" s="7" t="s">
        <v>198</v>
      </c>
      <c r="E237" s="7" t="s">
        <v>111</v>
      </c>
      <c r="F237" s="7" t="s">
        <v>4318</v>
      </c>
      <c r="H237" s="7" t="s">
        <v>11</v>
      </c>
      <c r="I237" s="8">
        <v>102138</v>
      </c>
      <c r="J237" s="10"/>
      <c r="K237" s="8">
        <f>I237*IF(J237="",1,1-J237)+N237</f>
        <v>102138</v>
      </c>
      <c r="L237" s="9">
        <v>1</v>
      </c>
      <c r="N237" s="8"/>
    </row>
    <row r="238" spans="1:14" hidden="1">
      <c r="A238" s="7">
        <v>2026</v>
      </c>
      <c r="B238" s="7">
        <v>4</v>
      </c>
      <c r="C238" s="7" t="s">
        <v>4373</v>
      </c>
      <c r="D238" s="7" t="s">
        <v>162</v>
      </c>
      <c r="E238" s="7" t="s">
        <v>111</v>
      </c>
      <c r="F238" s="7" t="s">
        <v>4316</v>
      </c>
      <c r="G238" s="7" t="s">
        <v>198</v>
      </c>
      <c r="H238" s="7" t="s">
        <v>11</v>
      </c>
      <c r="I238" s="8">
        <v>16812</v>
      </c>
      <c r="J238" s="10"/>
      <c r="K238" s="8">
        <f>I238*IF(J238="",1,1-J238)+N238</f>
        <v>16812</v>
      </c>
      <c r="L238" s="9">
        <v>1</v>
      </c>
      <c r="N238" s="8"/>
    </row>
    <row r="239" spans="1:14" hidden="1">
      <c r="A239" s="7">
        <v>2026</v>
      </c>
      <c r="B239" s="7">
        <v>4</v>
      </c>
      <c r="C239" s="7" t="s">
        <v>4374</v>
      </c>
      <c r="D239" s="7" t="s">
        <v>137</v>
      </c>
      <c r="E239" s="7" t="s">
        <v>111</v>
      </c>
      <c r="F239" s="7" t="s">
        <v>4316</v>
      </c>
      <c r="G239" s="7" t="s">
        <v>198</v>
      </c>
      <c r="H239" s="7" t="s">
        <v>11</v>
      </c>
      <c r="I239" s="8">
        <v>12920</v>
      </c>
      <c r="J239" s="10"/>
      <c r="K239" s="8">
        <f>I239*IF(J239="",1,1-J239)+N239</f>
        <v>12920</v>
      </c>
      <c r="L239" s="9">
        <v>1</v>
      </c>
      <c r="N239" s="8"/>
    </row>
    <row r="240" spans="1:14" hidden="1">
      <c r="A240" s="7">
        <v>2026</v>
      </c>
      <c r="B240" s="7">
        <v>4</v>
      </c>
      <c r="C240" s="7" t="s">
        <v>4375</v>
      </c>
      <c r="D240" s="7" t="s">
        <v>127</v>
      </c>
      <c r="E240" s="7" t="s">
        <v>111</v>
      </c>
      <c r="F240" s="7" t="s">
        <v>4316</v>
      </c>
      <c r="G240" s="7" t="s">
        <v>198</v>
      </c>
      <c r="H240" s="7" t="s">
        <v>11</v>
      </c>
      <c r="I240" s="8">
        <v>12920</v>
      </c>
      <c r="J240" s="10"/>
      <c r="K240" s="8">
        <f>I240*IF(J240="",1,1-J240)+N240</f>
        <v>12920</v>
      </c>
      <c r="L240" s="9">
        <v>1</v>
      </c>
      <c r="N240" s="8"/>
    </row>
    <row r="241" spans="1:14" hidden="1">
      <c r="A241" s="7">
        <v>2026</v>
      </c>
      <c r="B241" s="7">
        <v>4</v>
      </c>
      <c r="C241" s="7" t="s">
        <v>4376</v>
      </c>
      <c r="D241" s="7" t="s">
        <v>116</v>
      </c>
      <c r="E241" s="7" t="s">
        <v>111</v>
      </c>
      <c r="F241" s="7" t="s">
        <v>4316</v>
      </c>
      <c r="G241" s="7" t="s">
        <v>198</v>
      </c>
      <c r="H241" s="7" t="s">
        <v>11</v>
      </c>
      <c r="I241" s="8">
        <v>16812</v>
      </c>
      <c r="J241" s="10"/>
      <c r="K241" s="8">
        <f>I241*IF(J241="",1,1-J241)+N241</f>
        <v>16812</v>
      </c>
      <c r="L241" s="9">
        <v>1</v>
      </c>
      <c r="N241" s="8"/>
    </row>
    <row r="242" spans="1:14" hidden="1">
      <c r="A242" s="7">
        <v>2026</v>
      </c>
      <c r="B242" s="7">
        <v>4</v>
      </c>
      <c r="C242" s="7" t="s">
        <v>4377</v>
      </c>
      <c r="D242" s="7" t="s">
        <v>133</v>
      </c>
      <c r="E242" s="7" t="s">
        <v>111</v>
      </c>
      <c r="F242" s="7" t="s">
        <v>4316</v>
      </c>
      <c r="G242" s="7" t="s">
        <v>198</v>
      </c>
      <c r="H242" s="7" t="s">
        <v>11</v>
      </c>
      <c r="I242" s="8">
        <v>12920</v>
      </c>
      <c r="J242" s="10"/>
      <c r="K242" s="8">
        <f>I242*IF(J242="",1,1-J242)+N242</f>
        <v>12920</v>
      </c>
      <c r="L242" s="9">
        <v>1</v>
      </c>
      <c r="N242" s="8"/>
    </row>
    <row r="243" spans="1:14" hidden="1">
      <c r="A243" s="7">
        <v>2026</v>
      </c>
      <c r="B243" s="7">
        <v>4</v>
      </c>
      <c r="C243" s="7" t="s">
        <v>4378</v>
      </c>
      <c r="D243" s="7" t="s">
        <v>110</v>
      </c>
      <c r="E243" s="7" t="s">
        <v>111</v>
      </c>
      <c r="F243" s="7" t="s">
        <v>4316</v>
      </c>
      <c r="G243" s="7" t="s">
        <v>198</v>
      </c>
      <c r="H243" s="7" t="s">
        <v>11</v>
      </c>
      <c r="I243" s="8">
        <v>16812</v>
      </c>
      <c r="J243" s="10"/>
      <c r="K243" s="8">
        <f>I243*IF(J243="",1,1-J243)+N243</f>
        <v>16812</v>
      </c>
      <c r="L243" s="9">
        <v>1</v>
      </c>
      <c r="N243" s="8"/>
    </row>
    <row r="244" spans="1:14" hidden="1">
      <c r="A244" s="7">
        <v>2026</v>
      </c>
      <c r="B244" s="7">
        <v>4</v>
      </c>
      <c r="C244" s="7" t="s">
        <v>4379</v>
      </c>
      <c r="D244" s="7" t="s">
        <v>121</v>
      </c>
      <c r="E244" s="7" t="s">
        <v>111</v>
      </c>
      <c r="F244" s="7" t="s">
        <v>4316</v>
      </c>
      <c r="G244" s="7" t="s">
        <v>198</v>
      </c>
      <c r="H244" s="7" t="s">
        <v>11</v>
      </c>
      <c r="I244" s="8">
        <v>12920</v>
      </c>
      <c r="J244" s="10"/>
      <c r="K244" s="8">
        <f>I244*IF(J244="",1,1-J244)+N244</f>
        <v>12920</v>
      </c>
      <c r="L244" s="9">
        <v>1</v>
      </c>
      <c r="N244" s="8"/>
    </row>
    <row r="245" spans="1:14" hidden="1">
      <c r="A245" s="7">
        <v>2026</v>
      </c>
      <c r="B245" s="7">
        <v>4</v>
      </c>
      <c r="C245" s="7" t="s">
        <v>4380</v>
      </c>
      <c r="D245" s="7" t="s">
        <v>2265</v>
      </c>
      <c r="E245" s="7" t="s">
        <v>4381</v>
      </c>
      <c r="F245" s="7" t="s">
        <v>4318</v>
      </c>
      <c r="H245" s="7" t="s">
        <v>11</v>
      </c>
      <c r="I245" s="8">
        <v>127751</v>
      </c>
      <c r="J245" s="10"/>
      <c r="K245" s="8">
        <f>I245*IF(J245="",1,1-J245)+N245</f>
        <v>127751</v>
      </c>
      <c r="L245" s="9">
        <v>1</v>
      </c>
      <c r="N245" s="8"/>
    </row>
    <row r="246" spans="1:14" hidden="1">
      <c r="A246" s="7">
        <v>2026</v>
      </c>
      <c r="B246" s="7">
        <v>5</v>
      </c>
      <c r="C246" s="7" t="s">
        <v>4330</v>
      </c>
      <c r="D246" s="7" t="s">
        <v>129</v>
      </c>
      <c r="E246" s="7" t="s">
        <v>91</v>
      </c>
      <c r="F246" s="7" t="s">
        <v>4316</v>
      </c>
      <c r="G246" s="7" t="s">
        <v>668</v>
      </c>
      <c r="H246" s="7" t="s">
        <v>11</v>
      </c>
      <c r="I246" s="8">
        <v>8800</v>
      </c>
      <c r="J246" s="10"/>
      <c r="K246" s="8">
        <f>I246*IF(J246="",1,1-J246)+N246</f>
        <v>8800</v>
      </c>
      <c r="L246" s="9">
        <v>1</v>
      </c>
      <c r="N246" s="8"/>
    </row>
    <row r="247" spans="1:14" hidden="1">
      <c r="A247" s="7">
        <v>2026</v>
      </c>
      <c r="B247" s="7">
        <v>5</v>
      </c>
      <c r="C247" s="7" t="s">
        <v>4331</v>
      </c>
      <c r="D247" s="7" t="s">
        <v>90</v>
      </c>
      <c r="E247" s="7" t="s">
        <v>91</v>
      </c>
      <c r="F247" s="7" t="s">
        <v>4316</v>
      </c>
      <c r="G247" s="7" t="s">
        <v>668</v>
      </c>
      <c r="H247" s="7" t="s">
        <v>11</v>
      </c>
      <c r="I247" s="8">
        <v>8800</v>
      </c>
      <c r="J247" s="10"/>
      <c r="K247" s="8">
        <f>I247*IF(J247="",1,1-J247)+N247</f>
        <v>8800</v>
      </c>
      <c r="L247" s="9">
        <v>1</v>
      </c>
      <c r="N247" s="8"/>
    </row>
    <row r="248" spans="1:14" hidden="1">
      <c r="A248" s="7">
        <v>2026</v>
      </c>
      <c r="B248" s="7">
        <v>5</v>
      </c>
      <c r="C248" s="7" t="s">
        <v>4332</v>
      </c>
      <c r="D248" s="7" t="s">
        <v>668</v>
      </c>
      <c r="E248" s="7" t="s">
        <v>91</v>
      </c>
      <c r="F248" s="7" t="s">
        <v>4316</v>
      </c>
      <c r="H248" s="7" t="s">
        <v>11</v>
      </c>
      <c r="I248" s="8">
        <v>10000</v>
      </c>
      <c r="J248" s="10"/>
      <c r="K248" s="8">
        <f>I248*IF(J248="",1,1-J248)+N248</f>
        <v>10000</v>
      </c>
      <c r="L248" s="9">
        <v>1</v>
      </c>
      <c r="N248" s="8"/>
    </row>
    <row r="249" spans="1:14" hidden="1">
      <c r="A249" s="7">
        <v>2026</v>
      </c>
      <c r="B249" s="7">
        <v>5</v>
      </c>
      <c r="C249" s="7" t="s">
        <v>4333</v>
      </c>
      <c r="D249" s="7" t="s">
        <v>348</v>
      </c>
      <c r="E249" s="7" t="s">
        <v>349</v>
      </c>
      <c r="F249" s="7" t="s">
        <v>4316</v>
      </c>
      <c r="G249" s="7" t="s">
        <v>4382</v>
      </c>
      <c r="H249" s="7" t="s">
        <v>11</v>
      </c>
      <c r="I249" s="8">
        <v>9500</v>
      </c>
      <c r="J249" s="10"/>
      <c r="K249" s="8">
        <f>I249*IF(J249="",1,1-J249)+N249</f>
        <v>9500</v>
      </c>
      <c r="L249" s="9">
        <v>1</v>
      </c>
      <c r="N249" s="8"/>
    </row>
    <row r="250" spans="1:14" hidden="1">
      <c r="A250" s="7">
        <v>2026</v>
      </c>
      <c r="B250" s="7">
        <v>5</v>
      </c>
      <c r="C250" s="7" t="s">
        <v>4327</v>
      </c>
      <c r="D250" s="7" t="s">
        <v>313</v>
      </c>
      <c r="E250" s="7" t="s">
        <v>349</v>
      </c>
      <c r="F250" s="7" t="s">
        <v>4316</v>
      </c>
      <c r="G250" s="7" t="s">
        <v>4382</v>
      </c>
      <c r="H250" s="7" t="s">
        <v>11</v>
      </c>
      <c r="I250" s="8">
        <v>9500</v>
      </c>
      <c r="J250" s="10">
        <v>0.33999999999999997</v>
      </c>
      <c r="K250" s="8">
        <f>I250*IF(J250="",1,1-J250)+N250</f>
        <v>6270</v>
      </c>
      <c r="L250" s="9">
        <v>1</v>
      </c>
      <c r="N250" s="8"/>
    </row>
    <row r="251" spans="1:14" hidden="1">
      <c r="A251" s="7">
        <v>2026</v>
      </c>
      <c r="B251" s="7">
        <v>5</v>
      </c>
      <c r="C251" s="7" t="s">
        <v>4383</v>
      </c>
      <c r="D251" s="7" t="s">
        <v>4382</v>
      </c>
      <c r="E251" s="7" t="s">
        <v>349</v>
      </c>
      <c r="F251" s="7" t="s">
        <v>4318</v>
      </c>
      <c r="H251" s="7" t="s">
        <v>11</v>
      </c>
      <c r="I251" s="8">
        <v>16500</v>
      </c>
      <c r="J251" s="10"/>
      <c r="K251" s="8">
        <f>I251*IF(J251="",1,1-J251)+N251</f>
        <v>16500</v>
      </c>
      <c r="L251" s="9">
        <v>1</v>
      </c>
      <c r="N251" s="8"/>
    </row>
    <row r="252" spans="1:14" hidden="1">
      <c r="A252" s="7">
        <v>2026</v>
      </c>
      <c r="B252" s="7">
        <v>5</v>
      </c>
      <c r="C252" s="7" t="s">
        <v>4335</v>
      </c>
      <c r="D252" s="7" t="s">
        <v>190</v>
      </c>
      <c r="E252" s="7" t="s">
        <v>191</v>
      </c>
      <c r="F252" s="7" t="s">
        <v>4316</v>
      </c>
      <c r="G252" s="7" t="s">
        <v>2265</v>
      </c>
      <c r="H252" s="7" t="s">
        <v>11</v>
      </c>
      <c r="I252" s="8">
        <v>6600</v>
      </c>
      <c r="J252" s="10"/>
      <c r="K252" s="8">
        <f>I252*IF(J252="",1,1-J252)+N252</f>
        <v>6600</v>
      </c>
      <c r="L252" s="9">
        <v>1</v>
      </c>
      <c r="N252" s="8"/>
    </row>
    <row r="253" spans="1:14" hidden="1">
      <c r="A253" s="7">
        <v>2026</v>
      </c>
      <c r="B253" s="7">
        <v>5</v>
      </c>
      <c r="C253" s="7" t="s">
        <v>4336</v>
      </c>
      <c r="D253" s="7" t="s">
        <v>323</v>
      </c>
      <c r="E253" s="7" t="s">
        <v>191</v>
      </c>
      <c r="F253" s="7" t="s">
        <v>4316</v>
      </c>
      <c r="G253" s="7" t="s">
        <v>2265</v>
      </c>
      <c r="H253" s="7" t="s">
        <v>11</v>
      </c>
      <c r="I253" s="8">
        <v>6600</v>
      </c>
      <c r="J253" s="10"/>
      <c r="K253" s="8">
        <f>I253*IF(J253="",1,1-J253)+N253</f>
        <v>6600</v>
      </c>
      <c r="L253" s="9">
        <v>1</v>
      </c>
      <c r="N253" s="8"/>
    </row>
    <row r="254" spans="1:14" hidden="1">
      <c r="A254" s="7">
        <v>2026</v>
      </c>
      <c r="B254" s="7">
        <v>5</v>
      </c>
      <c r="C254" s="7" t="s">
        <v>4337</v>
      </c>
      <c r="D254" s="7" t="s">
        <v>804</v>
      </c>
      <c r="E254" s="7" t="s">
        <v>191</v>
      </c>
      <c r="F254" s="7" t="s">
        <v>4316</v>
      </c>
      <c r="G254" s="7" t="s">
        <v>2265</v>
      </c>
      <c r="H254" s="7" t="s">
        <v>11</v>
      </c>
      <c r="I254" s="8">
        <v>6000</v>
      </c>
      <c r="J254" s="10"/>
      <c r="K254" s="8">
        <f>I254*IF(J254="",1,1-J254)+N254</f>
        <v>6000</v>
      </c>
      <c r="L254" s="9">
        <v>1</v>
      </c>
      <c r="N254" s="8"/>
    </row>
    <row r="255" spans="1:14" hidden="1">
      <c r="A255" s="7">
        <v>2026</v>
      </c>
      <c r="B255" s="7">
        <v>5</v>
      </c>
      <c r="C255" s="7" t="s">
        <v>4338</v>
      </c>
      <c r="D255" s="7" t="s">
        <v>367</v>
      </c>
      <c r="E255" s="7" t="s">
        <v>191</v>
      </c>
      <c r="F255" s="7" t="s">
        <v>4316</v>
      </c>
      <c r="G255" s="7" t="s">
        <v>2265</v>
      </c>
      <c r="H255" s="7" t="s">
        <v>11</v>
      </c>
      <c r="I255" s="8">
        <v>12750</v>
      </c>
      <c r="J255" s="10"/>
      <c r="K255" s="8">
        <f>I255*IF(J255="",1,1-J255)+N255</f>
        <v>12750</v>
      </c>
      <c r="L255" s="9">
        <v>1</v>
      </c>
      <c r="N255" s="8"/>
    </row>
    <row r="256" spans="1:14" hidden="1">
      <c r="A256" s="7">
        <v>2026</v>
      </c>
      <c r="B256" s="7">
        <v>5</v>
      </c>
      <c r="C256" s="7" t="s">
        <v>4339</v>
      </c>
      <c r="D256" s="7" t="s">
        <v>520</v>
      </c>
      <c r="E256" s="7" t="s">
        <v>191</v>
      </c>
      <c r="F256" s="7" t="s">
        <v>4316</v>
      </c>
      <c r="G256" s="7" t="s">
        <v>2265</v>
      </c>
      <c r="H256" s="7" t="s">
        <v>11</v>
      </c>
      <c r="I256" s="8">
        <v>12750</v>
      </c>
      <c r="J256" s="10"/>
      <c r="K256" s="8">
        <f>I256*IF(J256="",1,1-J256)+N256</f>
        <v>12750</v>
      </c>
      <c r="L256" s="9">
        <v>1</v>
      </c>
      <c r="N256" s="8"/>
    </row>
    <row r="257" spans="1:14" hidden="1">
      <c r="A257" s="7">
        <v>2026</v>
      </c>
      <c r="B257" s="7">
        <v>5</v>
      </c>
      <c r="C257" s="7" t="s">
        <v>4340</v>
      </c>
      <c r="D257" s="7" t="s">
        <v>469</v>
      </c>
      <c r="E257" s="7" t="s">
        <v>191</v>
      </c>
      <c r="F257" s="7" t="s">
        <v>4316</v>
      </c>
      <c r="G257" s="7" t="s">
        <v>2265</v>
      </c>
      <c r="H257" s="7" t="s">
        <v>11</v>
      </c>
      <c r="I257" s="8">
        <v>6000</v>
      </c>
      <c r="J257" s="10"/>
      <c r="K257" s="8">
        <f>I257*IF(J257="",1,1-J257)+N257</f>
        <v>6000</v>
      </c>
      <c r="L257" s="9">
        <v>1</v>
      </c>
      <c r="N257" s="8"/>
    </row>
    <row r="258" spans="1:14" hidden="1">
      <c r="A258" s="7">
        <v>2026</v>
      </c>
      <c r="B258" s="7">
        <v>5</v>
      </c>
      <c r="C258" s="7" t="s">
        <v>4326</v>
      </c>
      <c r="D258" s="7" t="s">
        <v>501</v>
      </c>
      <c r="E258" s="7" t="s">
        <v>300</v>
      </c>
      <c r="F258" s="7" t="s">
        <v>4318</v>
      </c>
      <c r="H258" s="7" t="s">
        <v>11</v>
      </c>
      <c r="I258" s="8">
        <v>58034</v>
      </c>
      <c r="J258" s="10"/>
      <c r="K258" s="8">
        <f>I258*IF(J258="",1,1-J258)+N258</f>
        <v>58034</v>
      </c>
      <c r="L258" s="9">
        <v>1</v>
      </c>
      <c r="N258" s="8"/>
    </row>
    <row r="259" spans="1:14" hidden="1">
      <c r="A259" s="7">
        <v>2026</v>
      </c>
      <c r="B259" s="7">
        <v>5</v>
      </c>
      <c r="C259" s="7" t="s">
        <v>4388</v>
      </c>
      <c r="D259" s="7" t="s">
        <v>3642</v>
      </c>
      <c r="E259" s="7" t="s">
        <v>300</v>
      </c>
      <c r="F259" s="7" t="s">
        <v>4316</v>
      </c>
      <c r="G259" s="7" t="s">
        <v>501</v>
      </c>
      <c r="H259" s="7" t="s">
        <v>11</v>
      </c>
      <c r="I259" s="8">
        <v>10500</v>
      </c>
      <c r="J259" s="10">
        <v>0.5</v>
      </c>
      <c r="K259" s="8">
        <f>I259*IF(J259="",1,1-J259)+N259</f>
        <v>5250</v>
      </c>
      <c r="L259" s="9">
        <v>1</v>
      </c>
      <c r="N259" s="8"/>
    </row>
    <row r="260" spans="1:14" hidden="1">
      <c r="A260" s="7">
        <v>2026</v>
      </c>
      <c r="B260" s="7">
        <v>5</v>
      </c>
      <c r="C260" s="7" t="s">
        <v>4342</v>
      </c>
      <c r="D260" s="7" t="s">
        <v>506</v>
      </c>
      <c r="E260" s="7" t="s">
        <v>300</v>
      </c>
      <c r="F260" s="7" t="s">
        <v>4316</v>
      </c>
      <c r="G260" s="7" t="s">
        <v>501</v>
      </c>
      <c r="H260" s="7" t="s">
        <v>11</v>
      </c>
      <c r="I260" s="8">
        <v>11550</v>
      </c>
      <c r="J260" s="10"/>
      <c r="K260" s="8">
        <f>I260*IF(J260="",1,1-J260)+N260</f>
        <v>11550</v>
      </c>
      <c r="L260" s="9">
        <v>1</v>
      </c>
      <c r="N260" s="8"/>
    </row>
    <row r="261" spans="1:14" hidden="1">
      <c r="A261" s="7">
        <v>2026</v>
      </c>
      <c r="B261" s="7">
        <v>5</v>
      </c>
      <c r="C261" s="7" t="s">
        <v>4384</v>
      </c>
      <c r="D261" s="7" t="s">
        <v>2004</v>
      </c>
      <c r="E261" s="7" t="s">
        <v>300</v>
      </c>
      <c r="F261" s="7" t="s">
        <v>4316</v>
      </c>
      <c r="G261" s="7" t="s">
        <v>501</v>
      </c>
      <c r="H261" s="7" t="s">
        <v>11</v>
      </c>
      <c r="I261" s="8">
        <v>11550</v>
      </c>
      <c r="J261" s="10"/>
      <c r="K261" s="8">
        <f>I261*IF(J261="",1,1-J261)+N261</f>
        <v>11550</v>
      </c>
      <c r="L261" s="9">
        <v>1</v>
      </c>
      <c r="N261" s="8"/>
    </row>
    <row r="262" spans="1:14">
      <c r="A262" s="7">
        <v>2026</v>
      </c>
      <c r="B262" s="7">
        <v>5</v>
      </c>
      <c r="C262" s="7" t="s">
        <v>4387</v>
      </c>
      <c r="D262" s="7" t="s">
        <v>3179</v>
      </c>
      <c r="E262" s="7" t="s">
        <v>300</v>
      </c>
      <c r="F262" s="7" t="s">
        <v>4316</v>
      </c>
      <c r="G262" s="7" t="s">
        <v>501</v>
      </c>
      <c r="H262" s="7" t="s">
        <v>11</v>
      </c>
      <c r="I262" s="8">
        <v>11550</v>
      </c>
      <c r="J262" s="10">
        <v>0.5</v>
      </c>
      <c r="K262" s="8">
        <f>I262*IF(J262="",1,1-J262)+N262</f>
        <v>5775</v>
      </c>
      <c r="L262" s="9">
        <v>1</v>
      </c>
      <c r="N262" s="8"/>
    </row>
    <row r="263" spans="1:14" hidden="1">
      <c r="A263" s="7">
        <v>2026</v>
      </c>
      <c r="B263" s="7">
        <v>5</v>
      </c>
      <c r="C263" s="7" t="s">
        <v>4343</v>
      </c>
      <c r="D263" s="7" t="s">
        <v>829</v>
      </c>
      <c r="E263" s="7" t="s">
        <v>300</v>
      </c>
      <c r="F263" s="7" t="s">
        <v>4316</v>
      </c>
      <c r="G263" s="7" t="s">
        <v>501</v>
      </c>
      <c r="H263" s="7" t="s">
        <v>11</v>
      </c>
      <c r="I263" s="8">
        <v>10500</v>
      </c>
      <c r="J263" s="10"/>
      <c r="K263" s="8">
        <f>I263*IF(J263="",1,1-J263)+N263</f>
        <v>10500</v>
      </c>
      <c r="L263" s="9">
        <v>1</v>
      </c>
      <c r="N263" s="8"/>
    </row>
    <row r="264" spans="1:14" hidden="1">
      <c r="A264" s="7">
        <v>2026</v>
      </c>
      <c r="B264" s="7">
        <v>5</v>
      </c>
      <c r="C264" s="7" t="s">
        <v>4344</v>
      </c>
      <c r="D264" s="7" t="s">
        <v>511</v>
      </c>
      <c r="E264" s="7" t="s">
        <v>300</v>
      </c>
      <c r="F264" s="7" t="s">
        <v>4316</v>
      </c>
      <c r="G264" s="7" t="s">
        <v>501</v>
      </c>
      <c r="H264" s="7" t="s">
        <v>11</v>
      </c>
      <c r="I264" s="8">
        <v>11550</v>
      </c>
      <c r="J264" s="10"/>
      <c r="K264" s="8">
        <f>I264*IF(J264="",1,1-J264)+N264</f>
        <v>11550</v>
      </c>
      <c r="L264" s="9">
        <v>1</v>
      </c>
      <c r="N264" s="8"/>
    </row>
    <row r="265" spans="1:14" hidden="1">
      <c r="A265" s="7">
        <v>2026</v>
      </c>
      <c r="B265" s="7">
        <v>5</v>
      </c>
      <c r="C265" s="7" t="s">
        <v>4345</v>
      </c>
      <c r="D265" s="7" t="s">
        <v>4268</v>
      </c>
      <c r="E265" s="7" t="s">
        <v>4346</v>
      </c>
      <c r="F265" s="7" t="s">
        <v>4316</v>
      </c>
      <c r="G265" s="7" t="s">
        <v>4347</v>
      </c>
      <c r="H265" s="7" t="s">
        <v>4348</v>
      </c>
      <c r="I265" s="8">
        <v>76</v>
      </c>
      <c r="J265" s="10"/>
      <c r="K265" s="8">
        <f>I265*IF(J265="",1,1-J265)+N265</f>
        <v>76</v>
      </c>
      <c r="L265" s="9">
        <v>1</v>
      </c>
      <c r="N265" s="8"/>
    </row>
    <row r="266" spans="1:14" hidden="1">
      <c r="A266" s="7">
        <v>2026</v>
      </c>
      <c r="B266" s="7">
        <v>5</v>
      </c>
      <c r="C266" s="7" t="s">
        <v>4350</v>
      </c>
      <c r="D266" s="7" t="s">
        <v>4347</v>
      </c>
      <c r="E266" s="7" t="s">
        <v>4346</v>
      </c>
      <c r="F266" s="7" t="s">
        <v>4318</v>
      </c>
      <c r="H266" s="7" t="s">
        <v>4348</v>
      </c>
      <c r="I266" s="8">
        <v>415</v>
      </c>
      <c r="J266" s="10"/>
      <c r="K266" s="8">
        <f>I266*IF(J266="",1,1-J266)+N266</f>
        <v>415</v>
      </c>
      <c r="L266" s="9">
        <v>1</v>
      </c>
      <c r="N266" s="8"/>
    </row>
    <row r="267" spans="1:14" hidden="1">
      <c r="A267" s="7">
        <v>2026</v>
      </c>
      <c r="B267" s="7">
        <v>5</v>
      </c>
      <c r="C267" s="7" t="s">
        <v>4351</v>
      </c>
      <c r="D267" s="7" t="s">
        <v>4269</v>
      </c>
      <c r="E267" s="7" t="s">
        <v>4346</v>
      </c>
      <c r="F267" s="7" t="s">
        <v>4316</v>
      </c>
      <c r="H267" s="7" t="s">
        <v>4348</v>
      </c>
      <c r="I267" s="8">
        <v>4</v>
      </c>
      <c r="J267" s="10"/>
      <c r="K267" s="8">
        <f>I267*IF(J267="",1,1-J267)+N267</f>
        <v>4</v>
      </c>
      <c r="L267" s="9">
        <v>1</v>
      </c>
      <c r="N267" s="8"/>
    </row>
    <row r="268" spans="1:14" hidden="1">
      <c r="A268" s="7">
        <v>2026</v>
      </c>
      <c r="B268" s="7">
        <v>5</v>
      </c>
      <c r="C268" s="7" t="s">
        <v>4352</v>
      </c>
      <c r="D268" s="7" t="s">
        <v>4270</v>
      </c>
      <c r="E268" s="7" t="s">
        <v>4346</v>
      </c>
      <c r="F268" s="7" t="s">
        <v>4316</v>
      </c>
      <c r="G268" s="7" t="s">
        <v>4347</v>
      </c>
      <c r="H268" s="7" t="s">
        <v>4348</v>
      </c>
      <c r="I268" s="8">
        <v>19</v>
      </c>
      <c r="J268" s="10"/>
      <c r="K268" s="8">
        <f>I268*IF(J268="",1,1-J268)+N268</f>
        <v>19</v>
      </c>
      <c r="L268" s="9">
        <v>1</v>
      </c>
      <c r="N268" s="8"/>
    </row>
    <row r="269" spans="1:14" hidden="1">
      <c r="A269" s="7">
        <v>2026</v>
      </c>
      <c r="B269" s="7">
        <v>5</v>
      </c>
      <c r="C269" s="7" t="s">
        <v>4385</v>
      </c>
      <c r="D269" s="7" t="s">
        <v>4277</v>
      </c>
      <c r="E269" s="7" t="s">
        <v>4346</v>
      </c>
      <c r="F269" s="7" t="s">
        <v>4316</v>
      </c>
      <c r="G269" s="7" t="s">
        <v>4347</v>
      </c>
      <c r="H269" s="7" t="s">
        <v>4348</v>
      </c>
      <c r="I269" s="8">
        <v>19</v>
      </c>
      <c r="J269" s="10"/>
      <c r="K269" s="8">
        <f>I269*IF(J269="",1,1-J269)+N269</f>
        <v>19</v>
      </c>
      <c r="L269" s="9">
        <v>1</v>
      </c>
      <c r="N269" s="8"/>
    </row>
    <row r="270" spans="1:14" hidden="1">
      <c r="A270" s="7">
        <v>2026</v>
      </c>
      <c r="B270" s="7">
        <v>5</v>
      </c>
      <c r="C270" s="7" t="s">
        <v>4353</v>
      </c>
      <c r="D270" s="7" t="s">
        <v>4271</v>
      </c>
      <c r="E270" s="7" t="s">
        <v>4346</v>
      </c>
      <c r="F270" s="7" t="s">
        <v>4316</v>
      </c>
      <c r="G270" s="7" t="s">
        <v>4347</v>
      </c>
      <c r="H270" s="7" t="s">
        <v>4348</v>
      </c>
      <c r="I270" s="8">
        <v>76</v>
      </c>
      <c r="J270" s="10"/>
      <c r="K270" s="8">
        <f>I270*IF(J270="",1,1-J270)+N270</f>
        <v>76</v>
      </c>
      <c r="L270" s="9">
        <v>1</v>
      </c>
      <c r="N270" s="8"/>
    </row>
    <row r="271" spans="1:14" hidden="1">
      <c r="A271" s="7">
        <v>2026</v>
      </c>
      <c r="B271" s="7">
        <v>5</v>
      </c>
      <c r="C271" s="7" t="s">
        <v>4354</v>
      </c>
      <c r="D271" s="7" t="s">
        <v>4272</v>
      </c>
      <c r="E271" s="7" t="s">
        <v>4346</v>
      </c>
      <c r="F271" s="7" t="s">
        <v>4316</v>
      </c>
      <c r="G271" s="7" t="s">
        <v>4347</v>
      </c>
      <c r="H271" s="7" t="s">
        <v>4348</v>
      </c>
      <c r="I271" s="8">
        <v>76</v>
      </c>
      <c r="J271" s="10"/>
      <c r="K271" s="8">
        <f>I271*IF(J271="",1,1-J271)+N271</f>
        <v>76</v>
      </c>
      <c r="L271" s="9">
        <v>1</v>
      </c>
      <c r="N271" s="8"/>
    </row>
    <row r="272" spans="1:14" hidden="1">
      <c r="A272" s="7">
        <v>2026</v>
      </c>
      <c r="B272" s="7">
        <v>5</v>
      </c>
      <c r="C272" s="7" t="s">
        <v>4355</v>
      </c>
      <c r="D272" s="7" t="s">
        <v>4273</v>
      </c>
      <c r="E272" s="7" t="s">
        <v>4346</v>
      </c>
      <c r="F272" s="7" t="s">
        <v>4316</v>
      </c>
      <c r="G272" s="7" t="s">
        <v>4347</v>
      </c>
      <c r="H272" s="7" t="s">
        <v>4348</v>
      </c>
      <c r="I272" s="8">
        <v>60</v>
      </c>
      <c r="J272" s="10"/>
      <c r="K272" s="8">
        <f>I272*IF(J272="",1,1-J272)+N272</f>
        <v>60</v>
      </c>
      <c r="L272" s="9">
        <v>1</v>
      </c>
      <c r="N272" s="8"/>
    </row>
    <row r="273" spans="1:14" hidden="1">
      <c r="A273" s="7">
        <v>2026</v>
      </c>
      <c r="B273" s="7">
        <v>5</v>
      </c>
      <c r="C273" s="7" t="s">
        <v>4386</v>
      </c>
      <c r="D273" s="7" t="s">
        <v>4278</v>
      </c>
      <c r="E273" s="7" t="s">
        <v>4346</v>
      </c>
      <c r="F273" s="7" t="s">
        <v>4316</v>
      </c>
      <c r="G273" s="7" t="s">
        <v>4347</v>
      </c>
      <c r="H273" s="7" t="s">
        <v>4348</v>
      </c>
      <c r="I273" s="8">
        <v>76</v>
      </c>
      <c r="J273" s="10"/>
      <c r="K273" s="8">
        <f>I273*IF(J273="",1,1-J273)+N273</f>
        <v>76</v>
      </c>
      <c r="L273" s="9">
        <v>1</v>
      </c>
      <c r="N273" s="8"/>
    </row>
    <row r="274" spans="1:14" hidden="1">
      <c r="A274" s="7">
        <v>2026</v>
      </c>
      <c r="B274" s="7">
        <v>5</v>
      </c>
      <c r="C274" s="7" t="s">
        <v>4357</v>
      </c>
      <c r="D274" s="7" t="s">
        <v>87</v>
      </c>
      <c r="E274" s="7" t="s">
        <v>3558</v>
      </c>
      <c r="F274" s="7" t="s">
        <v>4316</v>
      </c>
      <c r="G274" s="7" t="s">
        <v>4358</v>
      </c>
      <c r="H274" s="7" t="s">
        <v>9</v>
      </c>
      <c r="I274" s="8">
        <f>I275/2</f>
        <v>146708</v>
      </c>
      <c r="J274" s="10"/>
      <c r="K274" s="8">
        <f>I274*IF(J274="",1,1-J274)+N274</f>
        <v>146708</v>
      </c>
      <c r="L274" s="9">
        <v>0.4</v>
      </c>
      <c r="N274" s="8"/>
    </row>
    <row r="275" spans="1:14" hidden="1">
      <c r="A275" s="7">
        <v>2026</v>
      </c>
      <c r="B275" s="7">
        <v>5</v>
      </c>
      <c r="C275" s="7" t="s">
        <v>4357</v>
      </c>
      <c r="D275" s="7" t="s">
        <v>87</v>
      </c>
      <c r="E275" s="7" t="s">
        <v>3558</v>
      </c>
      <c r="F275" s="7" t="s">
        <v>4316</v>
      </c>
      <c r="G275" s="7" t="s">
        <v>4358</v>
      </c>
      <c r="H275" s="7" t="s">
        <v>4359</v>
      </c>
      <c r="I275" s="8">
        <v>293416</v>
      </c>
      <c r="J275" s="10"/>
      <c r="K275" s="8">
        <f>I275*IF(J275="",1,1-J275)+N275</f>
        <v>293416</v>
      </c>
      <c r="L275" s="9">
        <v>0.6</v>
      </c>
      <c r="N275" s="8"/>
    </row>
    <row r="276" spans="1:14" hidden="1">
      <c r="A276" s="7">
        <v>2026</v>
      </c>
      <c r="B276" s="7">
        <v>5</v>
      </c>
      <c r="C276" s="7" t="s">
        <v>4360</v>
      </c>
      <c r="D276" s="7" t="s">
        <v>1165</v>
      </c>
      <c r="E276" s="7" t="s">
        <v>3558</v>
      </c>
      <c r="F276" s="7" t="s">
        <v>4316</v>
      </c>
      <c r="G276" s="7" t="s">
        <v>4358</v>
      </c>
      <c r="H276" s="7" t="s">
        <v>9</v>
      </c>
      <c r="I276" s="8">
        <f>I277/2</f>
        <v>106602</v>
      </c>
      <c r="J276" s="10"/>
      <c r="K276" s="8">
        <f>I276*IF(J276="",1,1-J276)+N276</f>
        <v>106602</v>
      </c>
      <c r="L276" s="9">
        <v>0.4</v>
      </c>
      <c r="N276" s="8"/>
    </row>
    <row r="277" spans="1:14" hidden="1">
      <c r="A277" s="7">
        <v>2026</v>
      </c>
      <c r="B277" s="7">
        <v>5</v>
      </c>
      <c r="C277" s="7" t="s">
        <v>4360</v>
      </c>
      <c r="D277" s="7" t="s">
        <v>1165</v>
      </c>
      <c r="E277" s="7" t="s">
        <v>3558</v>
      </c>
      <c r="F277" s="7" t="s">
        <v>4316</v>
      </c>
      <c r="G277" s="7" t="s">
        <v>4358</v>
      </c>
      <c r="H277" s="7" t="s">
        <v>4359</v>
      </c>
      <c r="I277" s="8">
        <v>213204</v>
      </c>
      <c r="J277" s="10"/>
      <c r="K277" s="8">
        <f>I277*IF(J277="",1,1-J277)+N277</f>
        <v>213204</v>
      </c>
      <c r="L277" s="9">
        <v>0.6</v>
      </c>
      <c r="N277" s="8"/>
    </row>
    <row r="278" spans="1:14" hidden="1">
      <c r="A278" s="7">
        <v>2026</v>
      </c>
      <c r="B278" s="7">
        <v>5</v>
      </c>
      <c r="C278" s="7" t="s">
        <v>4361</v>
      </c>
      <c r="D278" s="7" t="s">
        <v>36</v>
      </c>
      <c r="E278" s="7" t="s">
        <v>3558</v>
      </c>
      <c r="F278" s="7" t="s">
        <v>4316</v>
      </c>
      <c r="G278" s="7" t="s">
        <v>4358</v>
      </c>
      <c r="H278" s="7" t="s">
        <v>9</v>
      </c>
      <c r="I278" s="8">
        <f>I279/2</f>
        <v>119314.16499999999</v>
      </c>
      <c r="J278" s="10"/>
      <c r="K278" s="8">
        <f>I278*IF(J278="",1,1-J278)+N278</f>
        <v>119314.16499999999</v>
      </c>
      <c r="L278" s="9">
        <v>0.4</v>
      </c>
      <c r="N278" s="8"/>
    </row>
    <row r="279" spans="1:14" hidden="1">
      <c r="A279" s="7">
        <v>2026</v>
      </c>
      <c r="B279" s="7">
        <v>5</v>
      </c>
      <c r="C279" s="7" t="s">
        <v>4361</v>
      </c>
      <c r="D279" s="7" t="s">
        <v>36</v>
      </c>
      <c r="E279" s="7" t="s">
        <v>3558</v>
      </c>
      <c r="F279" s="7" t="s">
        <v>4316</v>
      </c>
      <c r="G279" s="7" t="s">
        <v>4358</v>
      </c>
      <c r="H279" s="7" t="s">
        <v>4359</v>
      </c>
      <c r="I279" s="8">
        <v>238628.33</v>
      </c>
      <c r="J279" s="10"/>
      <c r="K279" s="8">
        <f>I279*IF(J279="",1,1-J279)+N279</f>
        <v>238628.33</v>
      </c>
      <c r="L279" s="9">
        <v>0.6</v>
      </c>
      <c r="N279" s="8"/>
    </row>
    <row r="280" spans="1:14" hidden="1">
      <c r="A280" s="7">
        <v>2026</v>
      </c>
      <c r="B280" s="7">
        <v>5</v>
      </c>
      <c r="C280" s="7" t="s">
        <v>4362</v>
      </c>
      <c r="D280" s="7" t="s">
        <v>98</v>
      </c>
      <c r="E280" s="7" t="s">
        <v>3558</v>
      </c>
      <c r="F280" s="7" t="s">
        <v>4316</v>
      </c>
      <c r="G280" s="7" t="s">
        <v>4358</v>
      </c>
      <c r="H280" s="7" t="s">
        <v>9</v>
      </c>
      <c r="I280" s="8">
        <f>I281/2</f>
        <v>119093.02499999999</v>
      </c>
      <c r="J280" s="10"/>
      <c r="K280" s="8">
        <f>I280*IF(J280="",1,1-J280)+N280</f>
        <v>119093.02499999999</v>
      </c>
      <c r="L280" s="9">
        <v>0.4</v>
      </c>
      <c r="N280" s="8"/>
    </row>
    <row r="281" spans="1:14" hidden="1">
      <c r="A281" s="7">
        <v>2026</v>
      </c>
      <c r="B281" s="7">
        <v>5</v>
      </c>
      <c r="C281" s="7" t="s">
        <v>4362</v>
      </c>
      <c r="D281" s="7" t="s">
        <v>98</v>
      </c>
      <c r="E281" s="7" t="s">
        <v>3558</v>
      </c>
      <c r="F281" s="7" t="s">
        <v>4316</v>
      </c>
      <c r="G281" s="7" t="s">
        <v>4358</v>
      </c>
      <c r="H281" s="7" t="s">
        <v>4359</v>
      </c>
      <c r="I281" s="8">
        <v>238186.05</v>
      </c>
      <c r="J281" s="10"/>
      <c r="K281" s="8">
        <f>I281*IF(J281="",1,1-J281)+N281</f>
        <v>238186.05</v>
      </c>
      <c r="L281" s="9">
        <v>0.6</v>
      </c>
      <c r="N281" s="8"/>
    </row>
    <row r="282" spans="1:14" hidden="1">
      <c r="A282" s="7">
        <v>2026</v>
      </c>
      <c r="B282" s="7">
        <v>5</v>
      </c>
      <c r="C282" s="7" t="s">
        <v>4363</v>
      </c>
      <c r="D282" s="7" t="s">
        <v>72</v>
      </c>
      <c r="E282" s="7" t="s">
        <v>3558</v>
      </c>
      <c r="F282" s="7" t="s">
        <v>4316</v>
      </c>
      <c r="G282" s="7" t="s">
        <v>4358</v>
      </c>
      <c r="H282" s="7" t="s">
        <v>9</v>
      </c>
      <c r="I282" s="8">
        <f>I283/2</f>
        <v>255227</v>
      </c>
      <c r="J282" s="10"/>
      <c r="K282" s="8">
        <f>I282*IF(J282="",1,1-J282)+N282</f>
        <v>255227</v>
      </c>
      <c r="L282" s="9">
        <v>0.4</v>
      </c>
      <c r="N282" s="8"/>
    </row>
    <row r="283" spans="1:14" hidden="1">
      <c r="A283" s="7">
        <v>2026</v>
      </c>
      <c r="B283" s="7">
        <v>5</v>
      </c>
      <c r="C283" s="7" t="s">
        <v>4363</v>
      </c>
      <c r="D283" s="7" t="s">
        <v>72</v>
      </c>
      <c r="E283" s="7" t="s">
        <v>3558</v>
      </c>
      <c r="F283" s="7" t="s">
        <v>4316</v>
      </c>
      <c r="G283" s="7" t="s">
        <v>4358</v>
      </c>
      <c r="H283" s="7" t="s">
        <v>4359</v>
      </c>
      <c r="I283" s="8">
        <v>510454</v>
      </c>
      <c r="J283" s="10"/>
      <c r="K283" s="8">
        <f>I283*IF(J283="",1,1-J283)+N283</f>
        <v>510454</v>
      </c>
      <c r="L283" s="9">
        <v>0.6</v>
      </c>
      <c r="N283" s="8"/>
    </row>
    <row r="284" spans="1:14" hidden="1">
      <c r="A284" s="7">
        <v>2026</v>
      </c>
      <c r="B284" s="7">
        <v>5</v>
      </c>
      <c r="C284" s="7" t="s">
        <v>4365</v>
      </c>
      <c r="D284" s="7" t="s">
        <v>69</v>
      </c>
      <c r="E284" s="7" t="s">
        <v>3558</v>
      </c>
      <c r="F284" s="7" t="s">
        <v>4316</v>
      </c>
      <c r="G284" s="7" t="s">
        <v>4358</v>
      </c>
      <c r="H284" s="7" t="s">
        <v>9</v>
      </c>
      <c r="I284" s="8">
        <f>I285/2</f>
        <v>100000</v>
      </c>
      <c r="J284" s="10"/>
      <c r="K284" s="8">
        <f>I284*IF(J284="",1,1-J284)+N284</f>
        <v>100000</v>
      </c>
      <c r="L284" s="9">
        <v>0.4</v>
      </c>
      <c r="N284" s="8"/>
    </row>
    <row r="285" spans="1:14" hidden="1">
      <c r="A285" s="7">
        <v>2026</v>
      </c>
      <c r="B285" s="7">
        <v>5</v>
      </c>
      <c r="C285" s="7" t="s">
        <v>4365</v>
      </c>
      <c r="D285" s="7" t="s">
        <v>69</v>
      </c>
      <c r="E285" s="7" t="s">
        <v>3558</v>
      </c>
      <c r="F285" s="7" t="s">
        <v>4316</v>
      </c>
      <c r="G285" s="7" t="s">
        <v>4358</v>
      </c>
      <c r="H285" s="7" t="s">
        <v>4359</v>
      </c>
      <c r="I285" s="8">
        <v>200000</v>
      </c>
      <c r="J285" s="10"/>
      <c r="K285" s="8">
        <f>I285*IF(J285="",1,1-J285)+N285</f>
        <v>200000</v>
      </c>
      <c r="L285" s="9">
        <v>0.6</v>
      </c>
      <c r="N285" s="8"/>
    </row>
    <row r="286" spans="1:14" hidden="1">
      <c r="A286" s="7">
        <v>2026</v>
      </c>
      <c r="B286" s="7">
        <v>5</v>
      </c>
      <c r="C286" s="7" t="s">
        <v>4366</v>
      </c>
      <c r="D286" s="7" t="s">
        <v>2068</v>
      </c>
      <c r="E286" s="7" t="s">
        <v>3558</v>
      </c>
      <c r="F286" s="7" t="s">
        <v>4316</v>
      </c>
      <c r="G286" s="7" t="s">
        <v>4358</v>
      </c>
      <c r="H286" s="7" t="s">
        <v>9</v>
      </c>
      <c r="I286" s="8">
        <f>I287/2</f>
        <v>212500</v>
      </c>
      <c r="J286" s="10"/>
      <c r="K286" s="8">
        <f>I286*IF(J286="",1,1-J286)+N286</f>
        <v>212500</v>
      </c>
      <c r="L286" s="9">
        <v>0.4</v>
      </c>
      <c r="N286" s="8"/>
    </row>
    <row r="287" spans="1:14" hidden="1">
      <c r="A287" s="7">
        <v>2026</v>
      </c>
      <c r="B287" s="7">
        <v>5</v>
      </c>
      <c r="C287" s="7" t="s">
        <v>4366</v>
      </c>
      <c r="D287" s="7" t="s">
        <v>2068</v>
      </c>
      <c r="E287" s="7" t="s">
        <v>3558</v>
      </c>
      <c r="F287" s="7" t="s">
        <v>4316</v>
      </c>
      <c r="G287" s="7" t="s">
        <v>4358</v>
      </c>
      <c r="H287" s="7" t="s">
        <v>4359</v>
      </c>
      <c r="I287" s="8">
        <v>425000</v>
      </c>
      <c r="J287" s="10"/>
      <c r="K287" s="8">
        <f>I287*IF(J287="",1,1-J287)+N287</f>
        <v>425000</v>
      </c>
      <c r="L287" s="9">
        <v>0.6</v>
      </c>
      <c r="N287" s="8"/>
    </row>
    <row r="288" spans="1:14" hidden="1">
      <c r="A288" s="7">
        <v>2026</v>
      </c>
      <c r="B288" s="7">
        <v>5</v>
      </c>
      <c r="C288" s="7" t="s">
        <v>4367</v>
      </c>
      <c r="D288" s="7" t="s">
        <v>4358</v>
      </c>
      <c r="E288" s="7" t="s">
        <v>3558</v>
      </c>
      <c r="F288" s="7" t="s">
        <v>4318</v>
      </c>
      <c r="H288" s="7" t="s">
        <v>4359</v>
      </c>
      <c r="I288" s="8">
        <v>1919568.94</v>
      </c>
      <c r="J288" s="10"/>
      <c r="K288" s="8">
        <f>I288*IF(J288="",1,1-J288)+N288</f>
        <v>1919568.94</v>
      </c>
      <c r="L288" s="9">
        <v>0.8</v>
      </c>
      <c r="N288" s="8"/>
    </row>
    <row r="289" spans="1:14" hidden="1">
      <c r="A289" s="7">
        <v>2026</v>
      </c>
      <c r="B289" s="7">
        <v>5</v>
      </c>
      <c r="C289" s="7" t="s">
        <v>4367</v>
      </c>
      <c r="D289" s="7" t="s">
        <v>4358</v>
      </c>
      <c r="E289" s="7" t="s">
        <v>3558</v>
      </c>
      <c r="F289" s="7" t="s">
        <v>4318</v>
      </c>
      <c r="H289" s="7" t="s">
        <v>4368</v>
      </c>
      <c r="I289" s="8">
        <v>0.8</v>
      </c>
      <c r="J289" s="10"/>
      <c r="K289" s="8">
        <f>I289*IF(J289="",1,1-J289)+N289</f>
        <v>0.8</v>
      </c>
      <c r="L289" s="9">
        <v>0.2</v>
      </c>
      <c r="N289" s="8"/>
    </row>
    <row r="290" spans="1:14" hidden="1">
      <c r="A290" s="7">
        <v>2026</v>
      </c>
      <c r="B290" s="7">
        <v>5</v>
      </c>
      <c r="C290" s="7" t="s">
        <v>4369</v>
      </c>
      <c r="D290" s="7" t="s">
        <v>1243</v>
      </c>
      <c r="E290" s="7" t="s">
        <v>3558</v>
      </c>
      <c r="F290" s="7" t="s">
        <v>4316</v>
      </c>
      <c r="G290" s="7" t="s">
        <v>4358</v>
      </c>
      <c r="H290" s="7" t="s">
        <v>9</v>
      </c>
      <c r="I290" s="8">
        <f>I291/2</f>
        <v>85403.34</v>
      </c>
      <c r="J290" s="10"/>
      <c r="K290" s="8">
        <f>I290*IF(J290="",1,1-J290)+N290</f>
        <v>85403.34</v>
      </c>
      <c r="L290" s="9">
        <v>0.4</v>
      </c>
      <c r="N290" s="8"/>
    </row>
    <row r="291" spans="1:14" hidden="1">
      <c r="A291" s="7">
        <v>2026</v>
      </c>
      <c r="B291" s="7">
        <v>5</v>
      </c>
      <c r="C291" s="7" t="s">
        <v>4369</v>
      </c>
      <c r="D291" s="7" t="s">
        <v>1243</v>
      </c>
      <c r="E291" s="7" t="s">
        <v>3558</v>
      </c>
      <c r="F291" s="7" t="s">
        <v>4316</v>
      </c>
      <c r="G291" s="7" t="s">
        <v>4358</v>
      </c>
      <c r="H291" s="7" t="s">
        <v>4359</v>
      </c>
      <c r="I291" s="8">
        <v>170806.68</v>
      </c>
      <c r="J291" s="10"/>
      <c r="K291" s="8">
        <f>I291*IF(J291="",1,1-J291)+N291</f>
        <v>170806.68</v>
      </c>
      <c r="L291" s="9">
        <v>0.6</v>
      </c>
      <c r="N291" s="8"/>
    </row>
    <row r="292" spans="1:14" hidden="1">
      <c r="A292" s="7">
        <v>2026</v>
      </c>
      <c r="B292" s="7">
        <v>5</v>
      </c>
      <c r="C292" s="7" t="s">
        <v>4328</v>
      </c>
      <c r="D292" s="7" t="s">
        <v>1073</v>
      </c>
      <c r="E292" s="7" t="s">
        <v>3558</v>
      </c>
      <c r="F292" s="7" t="s">
        <v>4316</v>
      </c>
      <c r="I292" s="8"/>
      <c r="J292" s="10"/>
      <c r="K292" s="8">
        <f>I292*IF(J292="",1,1-J292)+N292</f>
        <v>0</v>
      </c>
      <c r="L292" s="9">
        <v>1</v>
      </c>
      <c r="N292" s="8"/>
    </row>
    <row r="293" spans="1:14" hidden="1">
      <c r="A293" s="7">
        <v>2026</v>
      </c>
      <c r="B293" s="7">
        <v>5</v>
      </c>
      <c r="C293" s="7" t="s">
        <v>4370</v>
      </c>
      <c r="D293" s="7" t="s">
        <v>66</v>
      </c>
      <c r="E293" s="7" t="s">
        <v>3558</v>
      </c>
      <c r="F293" s="7" t="s">
        <v>4316</v>
      </c>
      <c r="G293" s="7" t="s">
        <v>4358</v>
      </c>
      <c r="H293" s="7" t="s">
        <v>9</v>
      </c>
      <c r="I293" s="8">
        <f>I294/2</f>
        <v>739550.58</v>
      </c>
      <c r="J293" s="10"/>
      <c r="K293" s="8">
        <f>I293*IF(J293="",1,1-J293)+N293</f>
        <v>739550.58</v>
      </c>
      <c r="L293" s="9">
        <v>0.4</v>
      </c>
      <c r="N293" s="8"/>
    </row>
    <row r="294" spans="1:14" hidden="1">
      <c r="A294" s="7">
        <v>2026</v>
      </c>
      <c r="B294" s="7">
        <v>5</v>
      </c>
      <c r="C294" s="7" t="s">
        <v>4370</v>
      </c>
      <c r="D294" s="7" t="s">
        <v>66</v>
      </c>
      <c r="E294" s="7" t="s">
        <v>3558</v>
      </c>
      <c r="F294" s="7" t="s">
        <v>4316</v>
      </c>
      <c r="G294" s="7" t="s">
        <v>4358</v>
      </c>
      <c r="H294" s="7" t="s">
        <v>4359</v>
      </c>
      <c r="I294" s="8">
        <v>1479101.16</v>
      </c>
      <c r="J294" s="10"/>
      <c r="K294" s="8">
        <f>I294*IF(J294="",1,1-J294)+N294</f>
        <v>1479101.16</v>
      </c>
      <c r="L294" s="9">
        <v>0.6</v>
      </c>
      <c r="N294" s="8"/>
    </row>
    <row r="295" spans="1:14" hidden="1">
      <c r="A295" s="7">
        <v>2026</v>
      </c>
      <c r="B295" s="7">
        <v>5</v>
      </c>
      <c r="C295" s="7" t="s">
        <v>4371</v>
      </c>
      <c r="D295" s="7" t="s">
        <v>75</v>
      </c>
      <c r="E295" s="7" t="s">
        <v>3558</v>
      </c>
      <c r="F295" s="7" t="s">
        <v>4316</v>
      </c>
      <c r="G295" s="7" t="s">
        <v>4358</v>
      </c>
      <c r="H295" s="7" t="s">
        <v>9</v>
      </c>
      <c r="I295" s="8">
        <f>I296/2</f>
        <v>68389.104999999996</v>
      </c>
      <c r="J295" s="10"/>
      <c r="K295" s="8">
        <f>I295*IF(J295="",1,1-J295)+N295</f>
        <v>68389.104999999996</v>
      </c>
      <c r="L295" s="9">
        <v>0.4</v>
      </c>
      <c r="N295" s="8"/>
    </row>
    <row r="296" spans="1:14" hidden="1">
      <c r="A296" s="7">
        <v>2026</v>
      </c>
      <c r="B296" s="7">
        <v>5</v>
      </c>
      <c r="C296" s="7" t="s">
        <v>4371</v>
      </c>
      <c r="D296" s="7" t="s">
        <v>75</v>
      </c>
      <c r="E296" s="7" t="s">
        <v>3558</v>
      </c>
      <c r="F296" s="7" t="s">
        <v>4316</v>
      </c>
      <c r="G296" s="7" t="s">
        <v>4358</v>
      </c>
      <c r="H296" s="7" t="s">
        <v>4359</v>
      </c>
      <c r="I296" s="8">
        <v>136778.21</v>
      </c>
      <c r="J296" s="10"/>
      <c r="K296" s="8">
        <f>I296*IF(J296="",1,1-J296)+N296</f>
        <v>136778.21</v>
      </c>
      <c r="L296" s="9">
        <v>0.6</v>
      </c>
      <c r="N296" s="8"/>
    </row>
    <row r="297" spans="1:14" hidden="1">
      <c r="A297" s="7">
        <v>2026</v>
      </c>
      <c r="B297" s="7">
        <v>5</v>
      </c>
      <c r="C297" s="7" t="s">
        <v>4372</v>
      </c>
      <c r="D297" s="7" t="s">
        <v>198</v>
      </c>
      <c r="E297" s="7" t="s">
        <v>111</v>
      </c>
      <c r="F297" s="7" t="s">
        <v>4318</v>
      </c>
      <c r="H297" s="7" t="s">
        <v>11</v>
      </c>
      <c r="I297" s="8">
        <v>85801</v>
      </c>
      <c r="J297" s="10"/>
      <c r="K297" s="8">
        <f>I297*IF(J297="",1,1-J297)+N297</f>
        <v>85801</v>
      </c>
      <c r="L297" s="9">
        <v>1</v>
      </c>
      <c r="N297" s="8"/>
    </row>
    <row r="298" spans="1:14" hidden="1">
      <c r="A298" s="7">
        <v>2026</v>
      </c>
      <c r="B298" s="7">
        <v>5</v>
      </c>
      <c r="C298" s="7" t="s">
        <v>4373</v>
      </c>
      <c r="D298" s="7" t="s">
        <v>162</v>
      </c>
      <c r="E298" s="7" t="s">
        <v>111</v>
      </c>
      <c r="F298" s="7" t="s">
        <v>4316</v>
      </c>
      <c r="G298" s="7" t="s">
        <v>198</v>
      </c>
      <c r="H298" s="7" t="s">
        <v>11</v>
      </c>
      <c r="I298" s="8">
        <v>14123</v>
      </c>
      <c r="J298" s="10"/>
      <c r="K298" s="8">
        <f>I298*IF(J298="",1,1-J298)+N298</f>
        <v>14123</v>
      </c>
      <c r="L298" s="9">
        <v>1</v>
      </c>
      <c r="N298" s="8"/>
    </row>
    <row r="299" spans="1:14" hidden="1">
      <c r="A299" s="7">
        <v>2026</v>
      </c>
      <c r="B299" s="7">
        <v>5</v>
      </c>
      <c r="C299" s="7" t="s">
        <v>4374</v>
      </c>
      <c r="D299" s="7" t="s">
        <v>137</v>
      </c>
      <c r="E299" s="7" t="s">
        <v>111</v>
      </c>
      <c r="F299" s="7" t="s">
        <v>4316</v>
      </c>
      <c r="G299" s="7" t="s">
        <v>198</v>
      </c>
      <c r="H299" s="7" t="s">
        <v>11</v>
      </c>
      <c r="I299" s="8">
        <v>10854</v>
      </c>
      <c r="J299" s="10"/>
      <c r="K299" s="8">
        <f>I299*IF(J299="",1,1-J299)+N299</f>
        <v>10854</v>
      </c>
      <c r="L299" s="9">
        <v>1</v>
      </c>
      <c r="N299" s="8"/>
    </row>
    <row r="300" spans="1:14" hidden="1">
      <c r="A300" s="7">
        <v>2026</v>
      </c>
      <c r="B300" s="7">
        <v>5</v>
      </c>
      <c r="C300" s="7" t="s">
        <v>4375</v>
      </c>
      <c r="D300" s="7" t="s">
        <v>127</v>
      </c>
      <c r="E300" s="7" t="s">
        <v>111</v>
      </c>
      <c r="F300" s="7" t="s">
        <v>4316</v>
      </c>
      <c r="G300" s="7" t="s">
        <v>198</v>
      </c>
      <c r="H300" s="7" t="s">
        <v>11</v>
      </c>
      <c r="I300" s="8">
        <v>10854</v>
      </c>
      <c r="J300" s="10"/>
      <c r="K300" s="8">
        <f>I300*IF(J300="",1,1-J300)+N300</f>
        <v>10854</v>
      </c>
      <c r="L300" s="9">
        <v>1</v>
      </c>
      <c r="N300" s="8"/>
    </row>
    <row r="301" spans="1:14" hidden="1">
      <c r="A301" s="7">
        <v>2026</v>
      </c>
      <c r="B301" s="7">
        <v>5</v>
      </c>
      <c r="C301" s="7" t="s">
        <v>4376</v>
      </c>
      <c r="D301" s="7" t="s">
        <v>116</v>
      </c>
      <c r="E301" s="7" t="s">
        <v>111</v>
      </c>
      <c r="F301" s="7" t="s">
        <v>4316</v>
      </c>
      <c r="G301" s="7" t="s">
        <v>198</v>
      </c>
      <c r="H301" s="7" t="s">
        <v>11</v>
      </c>
      <c r="I301" s="8">
        <v>14131</v>
      </c>
      <c r="J301" s="10"/>
      <c r="K301" s="8">
        <f>I301*IF(J301="",1,1-J301)+N301</f>
        <v>14131</v>
      </c>
      <c r="L301" s="9">
        <v>1</v>
      </c>
      <c r="N301" s="8"/>
    </row>
    <row r="302" spans="1:14" hidden="1">
      <c r="A302" s="7">
        <v>2026</v>
      </c>
      <c r="B302" s="7">
        <v>5</v>
      </c>
      <c r="C302" s="7" t="s">
        <v>4377</v>
      </c>
      <c r="D302" s="7" t="s">
        <v>133</v>
      </c>
      <c r="E302" s="7" t="s">
        <v>111</v>
      </c>
      <c r="F302" s="7" t="s">
        <v>4316</v>
      </c>
      <c r="G302" s="7" t="s">
        <v>198</v>
      </c>
      <c r="H302" s="7" t="s">
        <v>11</v>
      </c>
      <c r="I302" s="8">
        <v>10854</v>
      </c>
      <c r="J302" s="10"/>
      <c r="K302" s="8">
        <f>I302*IF(J302="",1,1-J302)+N302</f>
        <v>10854</v>
      </c>
      <c r="L302" s="9">
        <v>1</v>
      </c>
      <c r="N302" s="8"/>
    </row>
    <row r="303" spans="1:14" hidden="1">
      <c r="A303" s="7">
        <v>2026</v>
      </c>
      <c r="B303" s="7">
        <v>5</v>
      </c>
      <c r="C303" s="7" t="s">
        <v>4378</v>
      </c>
      <c r="D303" s="7" t="s">
        <v>110</v>
      </c>
      <c r="E303" s="7" t="s">
        <v>111</v>
      </c>
      <c r="F303" s="7" t="s">
        <v>4316</v>
      </c>
      <c r="G303" s="7" t="s">
        <v>198</v>
      </c>
      <c r="H303" s="7" t="s">
        <v>11</v>
      </c>
      <c r="I303" s="8">
        <v>14131</v>
      </c>
      <c r="J303" s="10"/>
      <c r="K303" s="8">
        <f>I303*IF(J303="",1,1-J303)+N303</f>
        <v>14131</v>
      </c>
      <c r="L303" s="9">
        <v>1</v>
      </c>
      <c r="N303" s="8"/>
    </row>
    <row r="304" spans="1:14" hidden="1">
      <c r="A304" s="7">
        <v>2026</v>
      </c>
      <c r="B304" s="7">
        <v>5</v>
      </c>
      <c r="C304" s="7" t="s">
        <v>4379</v>
      </c>
      <c r="D304" s="7" t="s">
        <v>121</v>
      </c>
      <c r="E304" s="7" t="s">
        <v>111</v>
      </c>
      <c r="F304" s="7" t="s">
        <v>4316</v>
      </c>
      <c r="G304" s="7" t="s">
        <v>198</v>
      </c>
      <c r="H304" s="7" t="s">
        <v>11</v>
      </c>
      <c r="I304" s="8">
        <v>10854</v>
      </c>
      <c r="J304" s="10"/>
      <c r="K304" s="8">
        <f>I304*IF(J304="",1,1-J304)+N304</f>
        <v>10854</v>
      </c>
      <c r="L304" s="9">
        <v>1</v>
      </c>
      <c r="N304" s="8"/>
    </row>
    <row r="305" spans="1:14" hidden="1">
      <c r="A305" s="7">
        <v>2026</v>
      </c>
      <c r="B305" s="7">
        <v>5</v>
      </c>
      <c r="C305" s="7" t="s">
        <v>4380</v>
      </c>
      <c r="D305" s="7" t="s">
        <v>2265</v>
      </c>
      <c r="E305" s="7" t="s">
        <v>4381</v>
      </c>
      <c r="F305" s="7" t="s">
        <v>4318</v>
      </c>
      <c r="H305" s="7" t="s">
        <v>11</v>
      </c>
      <c r="I305" s="8">
        <v>103074</v>
      </c>
      <c r="J305" s="10"/>
      <c r="K305" s="8">
        <f>I305*IF(J305="",1,1-J305)+N305</f>
        <v>103074</v>
      </c>
      <c r="L305" s="9">
        <v>1</v>
      </c>
      <c r="N305" s="8"/>
    </row>
  </sheetData>
  <autoFilter ref="A1:N305" xr:uid="{0F8C2274-D2B3-48E1-BBF9-E78866CB9743}">
    <filterColumn colId="3">
      <filters>
        <filter val="maicon.fentzke@altoqi.com.br"/>
      </filters>
    </filterColumn>
  </autoFilter>
  <hyperlinks>
    <hyperlink ref="D141" r:id="rId1" xr:uid="{6BF61AAB-D42D-4D67-9090-E131D1D21F6F}"/>
    <hyperlink ref="D154" r:id="rId2" xr:uid="{D7A3A7CA-CB4D-45E8-AE35-5AF844AE52EF}"/>
    <hyperlink ref="D131" r:id="rId3" xr:uid="{6526E44A-1A27-47AB-AC8B-A74DA0936A4B}"/>
    <hyperlink ref="D203" r:id="rId4" xr:uid="{E6C78633-C6F6-4A64-AA74-0EBDAB8F7567}"/>
    <hyperlink ref="D214" r:id="rId5" xr:uid="{0A438936-BD53-4924-B147-4EE7CC4B5EAE}"/>
    <hyperlink ref="D192" r:id="rId6" xr:uid="{3303FE2B-6225-4DC9-A581-7535EF9B5A0D}"/>
    <hyperlink ref="D262" r:id="rId7" xr:uid="{A9D11563-5818-43CB-A3F4-88EF753DD617}"/>
    <hyperlink ref="D273" r:id="rId8" xr:uid="{80B594C4-31CB-45C2-99D5-CD98C49AE1F6}"/>
    <hyperlink ref="D251" r:id="rId9" xr:uid="{B8006606-BE10-42FA-88C5-EAD309CC6D31}"/>
  </hyperlinks>
  <pageMargins left="0.7" right="0.7" top="0.75" bottom="0.75" header="0.3" footer="0.3"/>
  <legacyDrawing r:id="rId1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3E5F0-5484-4F90-881F-43885D4D3B04}">
  <dimension ref="A1:W253"/>
  <sheetViews>
    <sheetView workbookViewId="0">
      <pane xSplit="6" ySplit="1" topLeftCell="G215" activePane="bottomRight" state="frozen"/>
      <selection pane="bottomRight" activeCell="E215" sqref="E215"/>
      <selection pane="bottomLeft"/>
      <selection pane="topRight"/>
    </sheetView>
  </sheetViews>
  <sheetFormatPr defaultRowHeight="15"/>
  <cols>
    <col min="1" max="1" width="5.42578125" style="7" bestFit="1" customWidth="1"/>
    <col min="2" max="2" width="4.85546875" style="7" bestFit="1" customWidth="1"/>
    <col min="3" max="4" width="32" style="7" bestFit="1" customWidth="1"/>
    <col min="5" max="5" width="15.5703125" style="7" bestFit="1" customWidth="1"/>
    <col min="6" max="6" width="46.42578125" style="7" customWidth="1"/>
    <col min="7" max="7" width="11.28515625" style="7" bestFit="1" customWidth="1"/>
    <col min="8" max="8" width="12.7109375" style="7" bestFit="1" customWidth="1"/>
    <col min="9" max="9" width="19.28515625" style="7" bestFit="1" customWidth="1"/>
    <col min="10" max="10" width="11.28515625" style="7" bestFit="1" customWidth="1"/>
    <col min="11" max="11" width="12.7109375" style="7" bestFit="1" customWidth="1"/>
    <col min="12" max="12" width="19.28515625" style="7" bestFit="1" customWidth="1"/>
    <col min="13" max="13" width="11.28515625" style="7" bestFit="1" customWidth="1"/>
    <col min="14" max="14" width="12.7109375" style="7" bestFit="1" customWidth="1"/>
    <col min="15" max="15" width="19.28515625" style="7" bestFit="1" customWidth="1"/>
    <col min="16" max="18" width="17.5703125" style="7" bestFit="1" customWidth="1"/>
    <col min="19" max="19" width="20.85546875" style="7" bestFit="1" customWidth="1"/>
    <col min="20" max="21" width="17.5703125" style="7" bestFit="1" customWidth="1"/>
    <col min="22" max="22" width="17.140625" style="7" bestFit="1" customWidth="1"/>
    <col min="23" max="23" width="15.28515625" style="7" bestFit="1" customWidth="1"/>
  </cols>
  <sheetData>
    <row r="1" spans="1:23">
      <c r="A1" s="7" t="s">
        <v>4264</v>
      </c>
      <c r="B1" s="7" t="s">
        <v>4265</v>
      </c>
      <c r="C1" s="7" t="s">
        <v>4316</v>
      </c>
      <c r="D1" s="7" t="s">
        <v>4266</v>
      </c>
      <c r="E1" s="7" t="s">
        <v>4317</v>
      </c>
      <c r="F1" s="7" t="s">
        <v>4279</v>
      </c>
      <c r="G1" s="7" t="s">
        <v>4389</v>
      </c>
      <c r="H1" s="7" t="s">
        <v>4390</v>
      </c>
      <c r="I1" s="7" t="s">
        <v>4391</v>
      </c>
      <c r="J1" s="7" t="s">
        <v>4392</v>
      </c>
      <c r="K1" s="7" t="s">
        <v>4393</v>
      </c>
      <c r="L1" s="7" t="s">
        <v>4394</v>
      </c>
      <c r="M1" s="7" t="s">
        <v>4395</v>
      </c>
      <c r="N1" s="7" t="s">
        <v>4396</v>
      </c>
      <c r="O1" s="7" t="s">
        <v>4397</v>
      </c>
      <c r="P1" s="7" t="s">
        <v>4398</v>
      </c>
      <c r="Q1" s="7" t="s">
        <v>4399</v>
      </c>
      <c r="R1" s="7" t="s">
        <v>4400</v>
      </c>
      <c r="S1" s="7" t="s">
        <v>4401</v>
      </c>
      <c r="T1" s="7" t="s">
        <v>4402</v>
      </c>
      <c r="U1" s="7" t="s">
        <v>4403</v>
      </c>
      <c r="V1" s="7" t="s">
        <v>4404</v>
      </c>
      <c r="W1" s="7" t="s">
        <v>4405</v>
      </c>
    </row>
    <row r="2" spans="1:23">
      <c r="A2" s="7">
        <v>2026</v>
      </c>
      <c r="B2" s="7">
        <v>1</v>
      </c>
      <c r="C2" s="7" t="s">
        <v>4326</v>
      </c>
      <c r="D2" s="7" t="s">
        <v>501</v>
      </c>
      <c r="E2" s="7" t="s">
        <v>314</v>
      </c>
      <c r="F2" s="7" t="s">
        <v>4316</v>
      </c>
      <c r="G2" s="10">
        <v>0.55000000000000004</v>
      </c>
      <c r="H2" s="11">
        <v>3960</v>
      </c>
      <c r="I2" s="11">
        <f>IF(_xlfn.MAXIFS(Metas!J:J,Metas!A:A,A2,Metas!B:B,B2,Metas!D:D,D2) = 0,H2,H2 * (1-_xlfn.MAXIFS(Metas!J:J,Metas!A:A,A2,Metas!B:B,B2,Metas!D:D,D2)))</f>
        <v>1980</v>
      </c>
      <c r="L2" s="11">
        <f>IF(_xlfn.MAXIFS(Metas!J:J,Metas!A:A,A2,Metas!B:B,B2,Metas!D:D,D2) = 0,K2,K2 * (1-_xlfn.MAXIFS(Metas!J:J,Metas!A:A,A2,Metas!B:B,B2,Metas!D:D,D2)))</f>
        <v>0</v>
      </c>
      <c r="O2" s="11">
        <f>IF(_xlfn.MAXIFS(Metas!J:J,Metas!A:A,A2,Metas!B:B,B2,Metas!D:D,D2) = 0,N2,N2 * (1-_xlfn.MAXIFS(Metas!J:J,Metas!A:A,A2,Metas!B:B,B2,Metas!D:D,D2)))</f>
        <v>0</v>
      </c>
      <c r="P2" s="10">
        <v>0.95</v>
      </c>
      <c r="Q2" s="10">
        <v>1.1499999999999999</v>
      </c>
      <c r="R2" s="10">
        <v>1.05</v>
      </c>
      <c r="S2" s="10">
        <v>1.25</v>
      </c>
      <c r="V2" s="10">
        <f>G2</f>
        <v>0.55000000000000004</v>
      </c>
      <c r="W2" s="10">
        <v>0.02</v>
      </c>
    </row>
    <row r="3" spans="1:23">
      <c r="A3" s="7">
        <v>2026</v>
      </c>
      <c r="B3" s="7">
        <v>1</v>
      </c>
      <c r="C3" s="7" t="s">
        <v>4327</v>
      </c>
      <c r="D3" s="7" t="s">
        <v>313</v>
      </c>
      <c r="E3" s="7" t="s">
        <v>314</v>
      </c>
      <c r="F3" s="7" t="s">
        <v>4316</v>
      </c>
      <c r="G3" s="10">
        <v>0.55000000000000004</v>
      </c>
      <c r="H3" s="11">
        <v>4176</v>
      </c>
      <c r="I3" s="11">
        <f>IF(_xlfn.MAXIFS(Metas!J:J,Metas!A:A,A3,Metas!B:B,B3,Metas!D:D,D3) = 0,H3,H3 * (1-_xlfn.MAXIFS(Metas!J:J,Metas!A:A,A3,Metas!B:B,B3,Metas!D:D,D3)))</f>
        <v>4176</v>
      </c>
      <c r="L3" s="11">
        <f>IF(_xlfn.MAXIFS(Metas!J:J,Metas!A:A,A3,Metas!B:B,B3,Metas!D:D,D3) = 0,K3,K3 * (1-_xlfn.MAXIFS(Metas!J:J,Metas!A:A,A3,Metas!B:B,B3,Metas!D:D,D3)))</f>
        <v>0</v>
      </c>
      <c r="O3" s="11">
        <f>IF(_xlfn.MAXIFS(Metas!J:J,Metas!A:A,A3,Metas!B:B,B3,Metas!D:D,D3) = 0,N3,N3 * (1-_xlfn.MAXIFS(Metas!J:J,Metas!A:A,A3,Metas!B:B,B3,Metas!D:D,D3)))</f>
        <v>0</v>
      </c>
      <c r="P3" s="10">
        <v>0.95</v>
      </c>
      <c r="Q3" s="10">
        <v>1.1499999999999999</v>
      </c>
      <c r="R3" s="10">
        <v>1.05</v>
      </c>
      <c r="S3" s="10">
        <v>1.25</v>
      </c>
      <c r="V3" s="10">
        <f>G3</f>
        <v>0.55000000000000004</v>
      </c>
      <c r="W3" s="10">
        <v>0.02</v>
      </c>
    </row>
    <row r="4" spans="1:23">
      <c r="A4" s="7">
        <v>2026</v>
      </c>
      <c r="B4" s="7">
        <v>1</v>
      </c>
      <c r="C4" s="7" t="s">
        <v>4328</v>
      </c>
      <c r="D4" s="7" t="s">
        <v>1073</v>
      </c>
      <c r="E4" s="7" t="s">
        <v>314</v>
      </c>
      <c r="F4" s="7" t="s">
        <v>4316</v>
      </c>
      <c r="G4" s="10">
        <v>0.55000000000000004</v>
      </c>
      <c r="H4" s="11">
        <v>3564</v>
      </c>
      <c r="I4" s="11">
        <f>IF(_xlfn.MAXIFS(Metas!J:J,Metas!A:A,A4,Metas!B:B,B4,Metas!D:D,D4) = 0,H4,H4 * (1-_xlfn.MAXIFS(Metas!J:J,Metas!A:A,A4,Metas!B:B,B4,Metas!D:D,D4)))</f>
        <v>3564</v>
      </c>
      <c r="L4" s="11">
        <f>IF(_xlfn.MAXIFS(Metas!J:J,Metas!A:A,A4,Metas!B:B,B4,Metas!D:D,D4) = 0,K4,K4 * (1-_xlfn.MAXIFS(Metas!J:J,Metas!A:A,A4,Metas!B:B,B4,Metas!D:D,D4)))</f>
        <v>0</v>
      </c>
      <c r="O4" s="11">
        <f>IF(_xlfn.MAXIFS(Metas!J:J,Metas!A:A,A4,Metas!B:B,B4,Metas!D:D,D4) = 0,N4,N4 * (1-_xlfn.MAXIFS(Metas!J:J,Metas!A:A,A4,Metas!B:B,B4,Metas!D:D,D4)))</f>
        <v>0</v>
      </c>
      <c r="P4" s="10">
        <v>0.95</v>
      </c>
      <c r="Q4" s="10">
        <v>1.1499999999999999</v>
      </c>
      <c r="R4" s="10">
        <v>1.05</v>
      </c>
      <c r="S4" s="10">
        <v>1.25</v>
      </c>
      <c r="V4" s="10">
        <f>G4</f>
        <v>0.55000000000000004</v>
      </c>
      <c r="W4" s="10">
        <v>0.02</v>
      </c>
    </row>
    <row r="5" spans="1:23">
      <c r="A5" s="7">
        <v>2026</v>
      </c>
      <c r="B5" s="7">
        <v>1</v>
      </c>
      <c r="C5" s="7" t="s">
        <v>4329</v>
      </c>
      <c r="D5" s="7" t="s">
        <v>1210</v>
      </c>
      <c r="E5" s="7" t="s">
        <v>91</v>
      </c>
      <c r="F5" s="7" t="s">
        <v>4316</v>
      </c>
      <c r="G5" s="10">
        <v>0.55000000000000004</v>
      </c>
      <c r="H5" s="11">
        <v>4176</v>
      </c>
      <c r="I5" s="11">
        <f>IF(_xlfn.MAXIFS(Metas!J:J,Metas!A:A,A5,Metas!B:B,B5,Metas!D:D,D5) = 0,H5,H5 * (1-_xlfn.MAXIFS(Metas!J:J,Metas!A:A,A5,Metas!B:B,B5,Metas!D:D,D5)))</f>
        <v>1044</v>
      </c>
      <c r="L5" s="11">
        <f>IF(_xlfn.MAXIFS(Metas!J:J,Metas!A:A,A5,Metas!B:B,B5,Metas!D:D,D5) = 0,K5,K5 * (1-_xlfn.MAXIFS(Metas!J:J,Metas!A:A,A5,Metas!B:B,B5,Metas!D:D,D5)))</f>
        <v>0</v>
      </c>
      <c r="O5" s="11">
        <f>IF(_xlfn.MAXIFS(Metas!J:J,Metas!A:A,A5,Metas!B:B,B5,Metas!D:D,D5) = 0,N5,N5 * (1-_xlfn.MAXIFS(Metas!J:J,Metas!A:A,A5,Metas!B:B,B5,Metas!D:D,D5)))</f>
        <v>0</v>
      </c>
      <c r="P5" s="10">
        <v>0.95</v>
      </c>
      <c r="Q5" s="10">
        <v>1.1499999999999999</v>
      </c>
      <c r="R5" s="10">
        <v>1.05</v>
      </c>
      <c r="S5" s="10">
        <v>1.25</v>
      </c>
      <c r="V5" s="10">
        <f>G5</f>
        <v>0.55000000000000004</v>
      </c>
      <c r="W5" s="10">
        <v>0.02</v>
      </c>
    </row>
    <row r="6" spans="1:23">
      <c r="A6" s="7">
        <v>2026</v>
      </c>
      <c r="B6" s="7">
        <v>1</v>
      </c>
      <c r="C6" s="7" t="s">
        <v>4330</v>
      </c>
      <c r="D6" s="7" t="s">
        <v>129</v>
      </c>
      <c r="E6" s="7" t="s">
        <v>91</v>
      </c>
      <c r="F6" s="7" t="s">
        <v>4316</v>
      </c>
      <c r="G6" s="10">
        <v>0.55000000000000004</v>
      </c>
      <c r="H6" s="11">
        <v>4176</v>
      </c>
      <c r="I6" s="11">
        <f>IF(_xlfn.MAXIFS(Metas!J:J,Metas!A:A,A6,Metas!B:B,B6,Metas!D:D,D6) = 0,H6,H6 * (1-_xlfn.MAXIFS(Metas!J:J,Metas!A:A,A6,Metas!B:B,B6,Metas!D:D,D6)))</f>
        <v>2088</v>
      </c>
      <c r="L6" s="11">
        <f>IF(_xlfn.MAXIFS(Metas!J:J,Metas!A:A,A6,Metas!B:B,B6,Metas!D:D,D6) = 0,K6,K6 * (1-_xlfn.MAXIFS(Metas!J:J,Metas!A:A,A6,Metas!B:B,B6,Metas!D:D,D6)))</f>
        <v>0</v>
      </c>
      <c r="O6" s="11">
        <f>IF(_xlfn.MAXIFS(Metas!J:J,Metas!A:A,A6,Metas!B:B,B6,Metas!D:D,D6) = 0,N6,N6 * (1-_xlfn.MAXIFS(Metas!J:J,Metas!A:A,A6,Metas!B:B,B6,Metas!D:D,D6)))</f>
        <v>0</v>
      </c>
      <c r="P6" s="10">
        <v>0.95</v>
      </c>
      <c r="Q6" s="10">
        <v>1.1499999999999999</v>
      </c>
      <c r="R6" s="10">
        <v>1.05</v>
      </c>
      <c r="S6" s="10">
        <v>1.25</v>
      </c>
      <c r="V6" s="10">
        <f>G6</f>
        <v>0.55000000000000004</v>
      </c>
      <c r="W6" s="10">
        <v>0.02</v>
      </c>
    </row>
    <row r="7" spans="1:23">
      <c r="A7" s="7">
        <v>2026</v>
      </c>
      <c r="B7" s="7">
        <v>1</v>
      </c>
      <c r="C7" s="7" t="s">
        <v>4331</v>
      </c>
      <c r="D7" s="7" t="s">
        <v>90</v>
      </c>
      <c r="E7" s="7" t="s">
        <v>91</v>
      </c>
      <c r="F7" s="7" t="s">
        <v>4316</v>
      </c>
      <c r="G7" s="10">
        <v>0.55000000000000004</v>
      </c>
      <c r="H7" s="11">
        <v>4176</v>
      </c>
      <c r="I7" s="11">
        <f>IF(_xlfn.MAXIFS(Metas!J:J,Metas!A:A,A7,Metas!B:B,B7,Metas!D:D,D7) = 0,H7,H7 * (1-_xlfn.MAXIFS(Metas!J:J,Metas!A:A,A7,Metas!B:B,B7,Metas!D:D,D7)))</f>
        <v>2797.9199999999996</v>
      </c>
      <c r="L7" s="11">
        <f>IF(_xlfn.MAXIFS(Metas!J:J,Metas!A:A,A7,Metas!B:B,B7,Metas!D:D,D7) = 0,K7,K7 * (1-_xlfn.MAXIFS(Metas!J:J,Metas!A:A,A7,Metas!B:B,B7,Metas!D:D,D7)))</f>
        <v>0</v>
      </c>
      <c r="O7" s="11">
        <f>IF(_xlfn.MAXIFS(Metas!J:J,Metas!A:A,A7,Metas!B:B,B7,Metas!D:D,D7) = 0,N7,N7 * (1-_xlfn.MAXIFS(Metas!J:J,Metas!A:A,A7,Metas!B:B,B7,Metas!D:D,D7)))</f>
        <v>0</v>
      </c>
      <c r="P7" s="10">
        <v>0.95</v>
      </c>
      <c r="Q7" s="10">
        <v>1.1499999999999999</v>
      </c>
      <c r="R7" s="10">
        <v>1.05</v>
      </c>
      <c r="S7" s="10">
        <v>1.25</v>
      </c>
      <c r="V7" s="10">
        <f>G7</f>
        <v>0.55000000000000004</v>
      </c>
      <c r="W7" s="10">
        <v>0.02</v>
      </c>
    </row>
    <row r="8" spans="1:23">
      <c r="A8" s="7">
        <v>2026</v>
      </c>
      <c r="B8" s="7">
        <v>1</v>
      </c>
      <c r="C8" s="7" t="s">
        <v>4332</v>
      </c>
      <c r="D8" s="7" t="s">
        <v>668</v>
      </c>
      <c r="E8" s="7" t="s">
        <v>91</v>
      </c>
      <c r="F8" s="7" t="s">
        <v>4316</v>
      </c>
      <c r="G8" s="10">
        <v>0.55000000000000004</v>
      </c>
      <c r="H8" s="11">
        <v>4176</v>
      </c>
      <c r="I8" s="11">
        <f>IF(_xlfn.MAXIFS(Metas!J:J,Metas!A:A,A8,Metas!B:B,B8,Metas!D:D,D8) = 0,H8,H8 * (1-_xlfn.MAXIFS(Metas!J:J,Metas!A:A,A8,Metas!B:B,B8,Metas!D:D,D8)))</f>
        <v>3778.4448000000002</v>
      </c>
      <c r="L8" s="11">
        <f>IF(_xlfn.MAXIFS(Metas!J:J,Metas!A:A,A8,Metas!B:B,B8,Metas!D:D,D8) = 0,K8,K8 * (1-_xlfn.MAXIFS(Metas!J:J,Metas!A:A,A8,Metas!B:B,B8,Metas!D:D,D8)))</f>
        <v>0</v>
      </c>
      <c r="O8" s="11">
        <f>IF(_xlfn.MAXIFS(Metas!J:J,Metas!A:A,A8,Metas!B:B,B8,Metas!D:D,D8) = 0,N8,N8 * (1-_xlfn.MAXIFS(Metas!J:J,Metas!A:A,A8,Metas!B:B,B8,Metas!D:D,D8)))</f>
        <v>0</v>
      </c>
      <c r="P8" s="10">
        <v>0.95</v>
      </c>
      <c r="Q8" s="10">
        <v>1.1499999999999999</v>
      </c>
      <c r="R8" s="10">
        <v>1.05</v>
      </c>
      <c r="S8" s="10">
        <v>1.25</v>
      </c>
      <c r="V8" s="10">
        <f>G8</f>
        <v>0.55000000000000004</v>
      </c>
      <c r="W8" s="10">
        <v>0.02</v>
      </c>
    </row>
    <row r="9" spans="1:23">
      <c r="A9" s="7">
        <v>2026</v>
      </c>
      <c r="B9" s="7">
        <v>1</v>
      </c>
      <c r="C9" s="7" t="s">
        <v>4333</v>
      </c>
      <c r="D9" s="7" t="s">
        <v>348</v>
      </c>
      <c r="E9" s="7" t="s">
        <v>349</v>
      </c>
      <c r="F9" s="7" t="s">
        <v>4316</v>
      </c>
      <c r="G9" s="10">
        <v>0.55000000000000004</v>
      </c>
      <c r="H9" s="11">
        <v>4176</v>
      </c>
      <c r="I9" s="11">
        <f>IF(_xlfn.MAXIFS(Metas!J:J,Metas!A:A,A9,Metas!B:B,B9,Metas!D:D,D9) = 0,H9,H9 * (1-_xlfn.MAXIFS(Metas!J:J,Metas!A:A,A9,Metas!B:B,B9,Metas!D:D,D9)))</f>
        <v>2088</v>
      </c>
      <c r="L9" s="11">
        <f>IF(_xlfn.MAXIFS(Metas!J:J,Metas!A:A,A9,Metas!B:B,B9,Metas!D:D,D9) = 0,K9,K9 * (1-_xlfn.MAXIFS(Metas!J:J,Metas!A:A,A9,Metas!B:B,B9,Metas!D:D,D9)))</f>
        <v>0</v>
      </c>
      <c r="O9" s="11">
        <f>IF(_xlfn.MAXIFS(Metas!J:J,Metas!A:A,A9,Metas!B:B,B9,Metas!D:D,D9) = 0,N9,N9 * (1-_xlfn.MAXIFS(Metas!J:J,Metas!A:A,A9,Metas!B:B,B9,Metas!D:D,D9)))</f>
        <v>0</v>
      </c>
      <c r="P9" s="10">
        <v>0.95</v>
      </c>
      <c r="Q9" s="10">
        <v>1.1499999999999999</v>
      </c>
      <c r="R9" s="10">
        <v>1.05</v>
      </c>
      <c r="S9" s="10">
        <v>1.25</v>
      </c>
      <c r="V9" s="10">
        <f>G9</f>
        <v>0.55000000000000004</v>
      </c>
      <c r="W9" s="10">
        <v>0.02</v>
      </c>
    </row>
    <row r="10" spans="1:23">
      <c r="A10" s="7">
        <v>2026</v>
      </c>
      <c r="B10" s="7">
        <v>1</v>
      </c>
      <c r="C10" s="7" t="s">
        <v>4334</v>
      </c>
      <c r="D10" s="7" t="s">
        <v>361</v>
      </c>
      <c r="E10" s="7" t="s">
        <v>349</v>
      </c>
      <c r="F10" s="7" t="s">
        <v>4316</v>
      </c>
      <c r="G10" s="10">
        <v>0.55000000000000004</v>
      </c>
      <c r="H10" s="11">
        <v>4176</v>
      </c>
      <c r="I10" s="11">
        <f>IF(_xlfn.MAXIFS(Metas!J:J,Metas!A:A,A10,Metas!B:B,B10,Metas!D:D,D10) = 0,H10,H10 * (1-_xlfn.MAXIFS(Metas!J:J,Metas!A:A,A10,Metas!B:B,B10,Metas!D:D,D10)))</f>
        <v>4176</v>
      </c>
      <c r="L10" s="11">
        <f>IF(_xlfn.MAXIFS(Metas!J:J,Metas!A:A,A10,Metas!B:B,B10,Metas!D:D,D10) = 0,K10,K10 * (1-_xlfn.MAXIFS(Metas!J:J,Metas!A:A,A10,Metas!B:B,B10,Metas!D:D,D10)))</f>
        <v>0</v>
      </c>
      <c r="O10" s="11">
        <f>IF(_xlfn.MAXIFS(Metas!J:J,Metas!A:A,A10,Metas!B:B,B10,Metas!D:D,D10) = 0,N10,N10 * (1-_xlfn.MAXIFS(Metas!J:J,Metas!A:A,A10,Metas!B:B,B10,Metas!D:D,D10)))</f>
        <v>0</v>
      </c>
      <c r="P10" s="10">
        <v>0.95</v>
      </c>
      <c r="Q10" s="10">
        <v>1.1499999999999999</v>
      </c>
      <c r="R10" s="10">
        <v>1.05</v>
      </c>
      <c r="S10" s="10">
        <v>1.25</v>
      </c>
      <c r="V10" s="10">
        <f>G10</f>
        <v>0.55000000000000004</v>
      </c>
      <c r="W10" s="10">
        <v>0.02</v>
      </c>
    </row>
    <row r="11" spans="1:23">
      <c r="A11" s="7">
        <v>2026</v>
      </c>
      <c r="B11" s="7">
        <v>1</v>
      </c>
      <c r="C11" s="7" t="s">
        <v>4335</v>
      </c>
      <c r="D11" s="7" t="s">
        <v>190</v>
      </c>
      <c r="E11" s="7" t="s">
        <v>191</v>
      </c>
      <c r="F11" s="7" t="s">
        <v>4316</v>
      </c>
      <c r="G11" s="10">
        <v>0.55000000000000004</v>
      </c>
      <c r="H11" s="11">
        <v>3240</v>
      </c>
      <c r="I11" s="11">
        <f>IF(_xlfn.MAXIFS(Metas!J:J,Metas!A:A,A11,Metas!B:B,B11,Metas!D:D,D11) = 0,H11,H11 * (1-_xlfn.MAXIFS(Metas!J:J,Metas!A:A,A11,Metas!B:B,B11,Metas!D:D,D11)))</f>
        <v>3240</v>
      </c>
      <c r="L11" s="11">
        <f>IF(_xlfn.MAXIFS(Metas!J:J,Metas!A:A,A11,Metas!B:B,B11,Metas!D:D,D11) = 0,K11,K11 * (1-_xlfn.MAXIFS(Metas!J:J,Metas!A:A,A11,Metas!B:B,B11,Metas!D:D,D11)))</f>
        <v>0</v>
      </c>
      <c r="O11" s="11">
        <f>IF(_xlfn.MAXIFS(Metas!J:J,Metas!A:A,A11,Metas!B:B,B11,Metas!D:D,D11) = 0,N11,N11 * (1-_xlfn.MAXIFS(Metas!J:J,Metas!A:A,A11,Metas!B:B,B11,Metas!D:D,D11)))</f>
        <v>0</v>
      </c>
      <c r="P11" s="10">
        <v>0.95</v>
      </c>
      <c r="Q11" s="10">
        <v>1.1499999999999999</v>
      </c>
      <c r="R11" s="10">
        <v>1.05</v>
      </c>
      <c r="S11" s="10">
        <v>1.25</v>
      </c>
      <c r="V11" s="10">
        <f>G11</f>
        <v>0.55000000000000004</v>
      </c>
      <c r="W11" s="10">
        <v>0.02</v>
      </c>
    </row>
    <row r="12" spans="1:23">
      <c r="A12" s="7">
        <v>2026</v>
      </c>
      <c r="B12" s="7">
        <v>1</v>
      </c>
      <c r="C12" s="7" t="s">
        <v>4336</v>
      </c>
      <c r="D12" s="7" t="s">
        <v>323</v>
      </c>
      <c r="E12" s="7" t="s">
        <v>191</v>
      </c>
      <c r="F12" s="7" t="s">
        <v>4316</v>
      </c>
      <c r="G12" s="10">
        <v>0.55000000000000004</v>
      </c>
      <c r="H12" s="11">
        <v>6480</v>
      </c>
      <c r="I12" s="11">
        <f>IF(_xlfn.MAXIFS(Metas!J:J,Metas!A:A,A12,Metas!B:B,B12,Metas!D:D,D12) = 0,H12,H12 * (1-_xlfn.MAXIFS(Metas!J:J,Metas!A:A,A12,Metas!B:B,B12,Metas!D:D,D12)))</f>
        <v>6480</v>
      </c>
      <c r="J12" s="9">
        <v>1</v>
      </c>
      <c r="K12" s="11">
        <v>8100</v>
      </c>
      <c r="L12" s="11">
        <f>IF(_xlfn.MAXIFS(Metas!J:J,Metas!A:A,A12,Metas!B:B,B12,Metas!D:D,D12) = 0,K12,K12 * (1-_xlfn.MAXIFS(Metas!J:J,Metas!A:A,A12,Metas!B:B,B12,Metas!D:D,D12)))</f>
        <v>8100</v>
      </c>
      <c r="O12" s="11">
        <f>IF(_xlfn.MAXIFS(Metas!J:J,Metas!A:A,A12,Metas!B:B,B12,Metas!D:D,D12) = 0,N12,N12 * (1-_xlfn.MAXIFS(Metas!J:J,Metas!A:A,A12,Metas!B:B,B12,Metas!D:D,D12)))</f>
        <v>0</v>
      </c>
      <c r="P12" s="10">
        <v>0.95</v>
      </c>
      <c r="Q12" s="10">
        <v>1.1499999999999999</v>
      </c>
      <c r="R12" s="10">
        <v>1.05</v>
      </c>
      <c r="S12" s="10">
        <v>1.25</v>
      </c>
      <c r="V12" s="10">
        <f>G12</f>
        <v>0.55000000000000004</v>
      </c>
      <c r="W12" s="10">
        <v>0.02</v>
      </c>
    </row>
    <row r="13" spans="1:23">
      <c r="A13" s="7">
        <v>2026</v>
      </c>
      <c r="B13" s="7">
        <v>1</v>
      </c>
      <c r="C13" s="7" t="s">
        <v>4337</v>
      </c>
      <c r="D13" s="7" t="s">
        <v>804</v>
      </c>
      <c r="E13" s="7" t="s">
        <v>191</v>
      </c>
      <c r="F13" s="7" t="s">
        <v>4316</v>
      </c>
      <c r="G13" s="10">
        <v>0.55000000000000004</v>
      </c>
      <c r="H13" s="11">
        <v>3240</v>
      </c>
      <c r="I13" s="11">
        <f>IF(_xlfn.MAXIFS(Metas!J:J,Metas!A:A,A13,Metas!B:B,B13,Metas!D:D,D13) = 0,H13,H13 * (1-_xlfn.MAXIFS(Metas!J:J,Metas!A:A,A13,Metas!B:B,B13,Metas!D:D,D13)))</f>
        <v>1620</v>
      </c>
      <c r="L13" s="11">
        <f>IF(_xlfn.MAXIFS(Metas!J:J,Metas!A:A,A13,Metas!B:B,B13,Metas!D:D,D13) = 0,K13,K13 * (1-_xlfn.MAXIFS(Metas!J:J,Metas!A:A,A13,Metas!B:B,B13,Metas!D:D,D13)))</f>
        <v>0</v>
      </c>
      <c r="O13" s="11">
        <f>IF(_xlfn.MAXIFS(Metas!J:J,Metas!A:A,A13,Metas!B:B,B13,Metas!D:D,D13) = 0,N13,N13 * (1-_xlfn.MAXIFS(Metas!J:J,Metas!A:A,A13,Metas!B:B,B13,Metas!D:D,D13)))</f>
        <v>0</v>
      </c>
      <c r="P13" s="10">
        <v>0.95</v>
      </c>
      <c r="Q13" s="10">
        <v>1.1499999999999999</v>
      </c>
      <c r="R13" s="10">
        <v>1.05</v>
      </c>
      <c r="S13" s="10">
        <v>1.25</v>
      </c>
      <c r="V13" s="10">
        <f>G13</f>
        <v>0.55000000000000004</v>
      </c>
      <c r="W13" s="10">
        <v>0.02</v>
      </c>
    </row>
    <row r="14" spans="1:23">
      <c r="A14" s="7">
        <v>2026</v>
      </c>
      <c r="B14" s="7">
        <v>1</v>
      </c>
      <c r="C14" s="7" t="s">
        <v>4338</v>
      </c>
      <c r="D14" s="7" t="s">
        <v>367</v>
      </c>
      <c r="E14" s="7" t="s">
        <v>191</v>
      </c>
      <c r="F14" s="7" t="s">
        <v>4316</v>
      </c>
      <c r="G14" s="10">
        <v>0.55000000000000004</v>
      </c>
      <c r="H14" s="11">
        <v>9200</v>
      </c>
      <c r="I14" s="11">
        <f>IF(_xlfn.MAXIFS(Metas!J:J,Metas!A:A,A14,Metas!B:B,B14,Metas!D:D,D14) = 0,H14,H14 * (1-_xlfn.MAXIFS(Metas!J:J,Metas!A:A,A14,Metas!B:B,B14,Metas!D:D,D14)))</f>
        <v>9200</v>
      </c>
      <c r="J14" s="9">
        <v>1</v>
      </c>
      <c r="K14" s="11">
        <v>11500</v>
      </c>
      <c r="L14" s="11">
        <f>IF(_xlfn.MAXIFS(Metas!J:J,Metas!A:A,A14,Metas!B:B,B14,Metas!D:D,D14) = 0,K14,K14 * (1-_xlfn.MAXIFS(Metas!J:J,Metas!A:A,A14,Metas!B:B,B14,Metas!D:D,D14)))</f>
        <v>11500</v>
      </c>
      <c r="O14" s="11">
        <f>IF(_xlfn.MAXIFS(Metas!J:J,Metas!A:A,A14,Metas!B:B,B14,Metas!D:D,D14) = 0,N14,N14 * (1-_xlfn.MAXIFS(Metas!J:J,Metas!A:A,A14,Metas!B:B,B14,Metas!D:D,D14)))</f>
        <v>0</v>
      </c>
      <c r="P14" s="10">
        <v>0.95</v>
      </c>
      <c r="Q14" s="10">
        <v>1.1499999999999999</v>
      </c>
      <c r="R14" s="10">
        <v>1.05</v>
      </c>
      <c r="S14" s="10">
        <v>1.25</v>
      </c>
      <c r="V14" s="10">
        <f>G14</f>
        <v>0.55000000000000004</v>
      </c>
      <c r="W14" s="10">
        <v>0.02</v>
      </c>
    </row>
    <row r="15" spans="1:23">
      <c r="A15" s="7">
        <v>2026</v>
      </c>
      <c r="B15" s="7">
        <v>1</v>
      </c>
      <c r="C15" s="7" t="s">
        <v>4339</v>
      </c>
      <c r="D15" s="7" t="s">
        <v>520</v>
      </c>
      <c r="E15" s="7" t="s">
        <v>191</v>
      </c>
      <c r="F15" s="7" t="s">
        <v>4316</v>
      </c>
      <c r="G15" s="10">
        <v>0.55000000000000004</v>
      </c>
      <c r="H15" s="11">
        <v>4176</v>
      </c>
      <c r="I15" s="11">
        <f>IF(_xlfn.MAXIFS(Metas!J:J,Metas!A:A,A15,Metas!B:B,B15,Metas!D:D,D15) = 0,H15,H15 * (1-_xlfn.MAXIFS(Metas!J:J,Metas!A:A,A15,Metas!B:B,B15,Metas!D:D,D15)))</f>
        <v>4176</v>
      </c>
      <c r="L15" s="11">
        <f>IF(_xlfn.MAXIFS(Metas!J:J,Metas!A:A,A15,Metas!B:B,B15,Metas!D:D,D15) = 0,K15,K15 * (1-_xlfn.MAXIFS(Metas!J:J,Metas!A:A,A15,Metas!B:B,B15,Metas!D:D,D15)))</f>
        <v>0</v>
      </c>
      <c r="O15" s="11">
        <f>IF(_xlfn.MAXIFS(Metas!J:J,Metas!A:A,A15,Metas!B:B,B15,Metas!D:D,D15) = 0,N15,N15 * (1-_xlfn.MAXIFS(Metas!J:J,Metas!A:A,A15,Metas!B:B,B15,Metas!D:D,D15)))</f>
        <v>0</v>
      </c>
      <c r="P15" s="10">
        <v>0.95</v>
      </c>
      <c r="Q15" s="10">
        <v>1.1499999999999999</v>
      </c>
      <c r="R15" s="10">
        <v>1.05</v>
      </c>
      <c r="S15" s="10">
        <v>1.25</v>
      </c>
      <c r="V15" s="10">
        <f>G15</f>
        <v>0.55000000000000004</v>
      </c>
      <c r="W15" s="10">
        <v>0.02</v>
      </c>
    </row>
    <row r="16" spans="1:23">
      <c r="A16" s="7">
        <v>2026</v>
      </c>
      <c r="B16" s="7">
        <v>1</v>
      </c>
      <c r="C16" s="7" t="s">
        <v>4340</v>
      </c>
      <c r="D16" s="7" t="s">
        <v>469</v>
      </c>
      <c r="E16" s="7" t="s">
        <v>191</v>
      </c>
      <c r="F16" s="7" t="s">
        <v>4316</v>
      </c>
      <c r="G16" s="10">
        <v>0.55000000000000004</v>
      </c>
      <c r="H16" s="11">
        <v>3240</v>
      </c>
      <c r="I16" s="11">
        <f>IF(_xlfn.MAXIFS(Metas!J:J,Metas!A:A,A16,Metas!B:B,B16,Metas!D:D,D16) = 0,H16,H16 * (1-_xlfn.MAXIFS(Metas!J:J,Metas!A:A,A16,Metas!B:B,B16,Metas!D:D,D16)))</f>
        <v>3240</v>
      </c>
      <c r="L16" s="11">
        <f>IF(_xlfn.MAXIFS(Metas!J:J,Metas!A:A,A16,Metas!B:B,B16,Metas!D:D,D16) = 0,K16,K16 * (1-_xlfn.MAXIFS(Metas!J:J,Metas!A:A,A16,Metas!B:B,B16,Metas!D:D,D16)))</f>
        <v>0</v>
      </c>
      <c r="O16" s="11">
        <f>IF(_xlfn.MAXIFS(Metas!J:J,Metas!A:A,A16,Metas!B:B,B16,Metas!D:D,D16) = 0,N16,N16 * (1-_xlfn.MAXIFS(Metas!J:J,Metas!A:A,A16,Metas!B:B,B16,Metas!D:D,D16)))</f>
        <v>0</v>
      </c>
      <c r="P16" s="10">
        <v>0.95</v>
      </c>
      <c r="Q16" s="10">
        <v>1.1499999999999999</v>
      </c>
      <c r="R16" s="10">
        <v>1.05</v>
      </c>
      <c r="S16" s="10">
        <v>1.25</v>
      </c>
      <c r="V16" s="10">
        <f>G16</f>
        <v>0.55000000000000004</v>
      </c>
      <c r="W16" s="10">
        <v>0.02</v>
      </c>
    </row>
    <row r="17" spans="1:23">
      <c r="A17" s="7">
        <v>2026</v>
      </c>
      <c r="B17" s="7">
        <v>1</v>
      </c>
      <c r="C17" s="7" t="s">
        <v>4341</v>
      </c>
      <c r="D17" s="7" t="s">
        <v>299</v>
      </c>
      <c r="E17" s="7" t="s">
        <v>300</v>
      </c>
      <c r="F17" s="7" t="s">
        <v>4316</v>
      </c>
      <c r="G17" s="10">
        <v>0.6</v>
      </c>
      <c r="H17" s="11">
        <v>3240</v>
      </c>
      <c r="I17" s="11">
        <f>IF(_xlfn.MAXIFS(Metas!J:J,Metas!A:A,A17,Metas!B:B,B17,Metas!D:D,D17) = 0,H17,H17 * (1-_xlfn.MAXIFS(Metas!J:J,Metas!A:A,A17,Metas!B:B,B17,Metas!D:D,D17)))</f>
        <v>3240</v>
      </c>
      <c r="L17" s="11">
        <f>IF(_xlfn.MAXIFS(Metas!J:J,Metas!A:A,A17,Metas!B:B,B17,Metas!D:D,D17) = 0,K17,K17 * (1-_xlfn.MAXIFS(Metas!J:J,Metas!A:A,A17,Metas!B:B,B17,Metas!D:D,D17)))</f>
        <v>0</v>
      </c>
      <c r="O17" s="11">
        <f>IF(_xlfn.MAXIFS(Metas!J:J,Metas!A:A,A17,Metas!B:B,B17,Metas!D:D,D17) = 0,N17,N17 * (1-_xlfn.MAXIFS(Metas!J:J,Metas!A:A,A17,Metas!B:B,B17,Metas!D:D,D17)))</f>
        <v>0</v>
      </c>
      <c r="P17" s="10">
        <v>0.95</v>
      </c>
      <c r="Q17" s="10">
        <v>1.1499999999999999</v>
      </c>
      <c r="R17" s="10">
        <v>1.05</v>
      </c>
      <c r="S17" s="10">
        <v>1.25</v>
      </c>
      <c r="V17" s="10">
        <f>G17</f>
        <v>0.6</v>
      </c>
      <c r="W17" s="10">
        <v>0.02</v>
      </c>
    </row>
    <row r="18" spans="1:23">
      <c r="A18" s="7">
        <v>2026</v>
      </c>
      <c r="B18" s="7">
        <v>1</v>
      </c>
      <c r="C18" s="7" t="s">
        <v>4342</v>
      </c>
      <c r="D18" s="7" t="s">
        <v>506</v>
      </c>
      <c r="E18" s="7" t="s">
        <v>300</v>
      </c>
      <c r="F18" s="7" t="s">
        <v>4316</v>
      </c>
      <c r="G18" s="10">
        <v>0.6</v>
      </c>
      <c r="H18" s="11">
        <v>3240</v>
      </c>
      <c r="I18" s="11">
        <f>IF(_xlfn.MAXIFS(Metas!J:J,Metas!A:A,A18,Metas!B:B,B18,Metas!D:D,D18) = 0,H18,H18 * (1-_xlfn.MAXIFS(Metas!J:J,Metas!A:A,A18,Metas!B:B,B18,Metas!D:D,D18)))</f>
        <v>3240</v>
      </c>
      <c r="L18" s="11">
        <f>IF(_xlfn.MAXIFS(Metas!J:J,Metas!A:A,A18,Metas!B:B,B18,Metas!D:D,D18) = 0,K18,K18 * (1-_xlfn.MAXIFS(Metas!J:J,Metas!A:A,A18,Metas!B:B,B18,Metas!D:D,D18)))</f>
        <v>0</v>
      </c>
      <c r="O18" s="11">
        <f>IF(_xlfn.MAXIFS(Metas!J:J,Metas!A:A,A18,Metas!B:B,B18,Metas!D:D,D18) = 0,N18,N18 * (1-_xlfn.MAXIFS(Metas!J:J,Metas!A:A,A18,Metas!B:B,B18,Metas!D:D,D18)))</f>
        <v>0</v>
      </c>
      <c r="P18" s="10">
        <v>0.95</v>
      </c>
      <c r="Q18" s="10">
        <v>1.1499999999999999</v>
      </c>
      <c r="R18" s="10">
        <v>1.05</v>
      </c>
      <c r="S18" s="10">
        <v>1.25</v>
      </c>
      <c r="V18" s="10">
        <f>G18</f>
        <v>0.6</v>
      </c>
      <c r="W18" s="10">
        <v>0.02</v>
      </c>
    </row>
    <row r="19" spans="1:23">
      <c r="A19" s="7">
        <v>2026</v>
      </c>
      <c r="B19" s="7">
        <v>1</v>
      </c>
      <c r="C19" s="7" t="s">
        <v>4343</v>
      </c>
      <c r="D19" s="7" t="s">
        <v>829</v>
      </c>
      <c r="E19" s="7" t="s">
        <v>300</v>
      </c>
      <c r="F19" s="7" t="s">
        <v>4316</v>
      </c>
      <c r="G19" s="10">
        <v>0.6</v>
      </c>
      <c r="H19" s="11">
        <v>3240</v>
      </c>
      <c r="I19" s="11">
        <f>IF(_xlfn.MAXIFS(Metas!J:J,Metas!A:A,A19,Metas!B:B,B19,Metas!D:D,D19,Metas!E:E,E19) = 0,H19,H19 * (1-_xlfn.MAXIFS(Metas!J:J,Metas!A:A,A19,Metas!B:B,B19,Metas!D:D,D19,Metas!E:E,E19)))</f>
        <v>2073.6</v>
      </c>
      <c r="L19" s="11">
        <f>IF(_xlfn.MAXIFS(Metas!J:J,Metas!A:A,A19,Metas!B:B,B19,Metas!D:D,D19) = 0,K19,K19 * (1-_xlfn.MAXIFS(Metas!J:J,Metas!A:A,A19,Metas!B:B,B19,Metas!D:D,D19)))</f>
        <v>0</v>
      </c>
      <c r="O19" s="11">
        <f>IF(_xlfn.MAXIFS(Metas!J:J,Metas!A:A,A19,Metas!B:B,B19,Metas!D:D,D19) = 0,N19,N19 * (1-_xlfn.MAXIFS(Metas!J:J,Metas!A:A,A19,Metas!B:B,B19,Metas!D:D,D19)))</f>
        <v>0</v>
      </c>
      <c r="P19" s="10">
        <v>0.95</v>
      </c>
      <c r="Q19" s="10">
        <v>1.1499999999999999</v>
      </c>
      <c r="R19" s="10">
        <v>1.05</v>
      </c>
      <c r="S19" s="10">
        <v>1.25</v>
      </c>
      <c r="V19" s="10">
        <f>G19</f>
        <v>0.6</v>
      </c>
      <c r="W19" s="10">
        <v>0.02</v>
      </c>
    </row>
    <row r="20" spans="1:23">
      <c r="A20" s="7">
        <v>2026</v>
      </c>
      <c r="B20" s="7">
        <v>1</v>
      </c>
      <c r="C20" s="7" t="s">
        <v>4344</v>
      </c>
      <c r="D20" s="7" t="s">
        <v>511</v>
      </c>
      <c r="E20" s="7" t="s">
        <v>300</v>
      </c>
      <c r="F20" s="7" t="s">
        <v>4316</v>
      </c>
      <c r="G20" s="10">
        <v>0.6</v>
      </c>
      <c r="H20" s="11">
        <v>3960</v>
      </c>
      <c r="I20" s="11">
        <f>IF(_xlfn.MAXIFS(Metas!J:J,Metas!A:A,A20,Metas!B:B,B20,Metas!D:D,D20) = 0,H20,H20 * (1-_xlfn.MAXIFS(Metas!J:J,Metas!A:A,A20,Metas!B:B,B20,Metas!D:D,D20)))</f>
        <v>3960</v>
      </c>
      <c r="L20" s="11">
        <f>IF(_xlfn.MAXIFS(Metas!J:J,Metas!A:A,A20,Metas!B:B,B20,Metas!D:D,D20) = 0,K20,K20 * (1-_xlfn.MAXIFS(Metas!J:J,Metas!A:A,A20,Metas!B:B,B20,Metas!D:D,D20)))</f>
        <v>0</v>
      </c>
      <c r="O20" s="11">
        <f>IF(_xlfn.MAXIFS(Metas!J:J,Metas!A:A,A20,Metas!B:B,B20,Metas!D:D,D20) = 0,N20,N20 * (1-_xlfn.MAXIFS(Metas!J:J,Metas!A:A,A20,Metas!B:B,B20,Metas!D:D,D20)))</f>
        <v>0</v>
      </c>
      <c r="P20" s="10">
        <v>0.95</v>
      </c>
      <c r="Q20" s="10">
        <v>1.1499999999999999</v>
      </c>
      <c r="R20" s="10">
        <v>1.05</v>
      </c>
      <c r="S20" s="10">
        <v>1.25</v>
      </c>
      <c r="V20" s="10">
        <f>G20</f>
        <v>0.6</v>
      </c>
      <c r="W20" s="10">
        <v>0.02</v>
      </c>
    </row>
    <row r="21" spans="1:23">
      <c r="A21" s="7">
        <v>2026</v>
      </c>
      <c r="B21" s="7">
        <v>1</v>
      </c>
      <c r="C21" s="7" t="s">
        <v>4345</v>
      </c>
      <c r="D21" s="7" t="s">
        <v>4268</v>
      </c>
      <c r="E21" s="7" t="s">
        <v>4346</v>
      </c>
      <c r="F21" s="7" t="s">
        <v>4316</v>
      </c>
      <c r="G21" s="10">
        <v>0.7</v>
      </c>
      <c r="H21" s="11">
        <v>1500</v>
      </c>
      <c r="I21" s="11">
        <f>IF(_xlfn.MAXIFS(Metas!J:J,Metas!A:A,A21,Metas!B:B,B21,Metas!D:D,D21) = 0,H21,H21 * (1-_xlfn.MAXIFS(Metas!J:J,Metas!A:A,A21,Metas!B:B,B21,Metas!D:D,D21)))</f>
        <v>1125</v>
      </c>
      <c r="L21" s="11">
        <f>IF(_xlfn.MAXIFS(Metas!J:J,Metas!A:A,A21,Metas!B:B,B21,Metas!D:D,D21) = 0,K21,K21 * (1-_xlfn.MAXIFS(Metas!J:J,Metas!A:A,A21,Metas!B:B,B21,Metas!D:D,D21)))</f>
        <v>0</v>
      </c>
      <c r="O21" s="11">
        <f>IF(_xlfn.MAXIFS(Metas!J:J,Metas!A:A,A21,Metas!B:B,B21,Metas!D:D,D21) = 0,N21,N21 * (1-_xlfn.MAXIFS(Metas!J:J,Metas!A:A,A21,Metas!B:B,B21,Metas!D:D,D21)))</f>
        <v>0</v>
      </c>
      <c r="P21" s="10">
        <v>0.9</v>
      </c>
      <c r="Q21" s="10">
        <v>1.1499999999999999</v>
      </c>
      <c r="R21" s="10">
        <v>1</v>
      </c>
      <c r="S21" s="10">
        <v>1.25</v>
      </c>
    </row>
    <row r="22" spans="1:23">
      <c r="A22" s="7">
        <v>2026</v>
      </c>
      <c r="B22" s="7">
        <v>1</v>
      </c>
      <c r="C22" s="7" t="s">
        <v>4349</v>
      </c>
      <c r="D22" s="7" t="s">
        <v>3446</v>
      </c>
      <c r="E22" s="7" t="s">
        <v>4346</v>
      </c>
      <c r="F22" s="7" t="s">
        <v>4316</v>
      </c>
      <c r="G22" s="10">
        <v>0.5</v>
      </c>
      <c r="H22" s="11">
        <v>1800</v>
      </c>
      <c r="I22" s="11">
        <f>IF(_xlfn.MAXIFS(Metas!J:J,Metas!A:A,A22,Metas!B:B,B22,Metas!D:D,D22) = 0,H22,H22 * (1-_xlfn.MAXIFS(Metas!J:J,Metas!A:A,A22,Metas!B:B,B22,Metas!D:D,D22)))</f>
        <v>1800</v>
      </c>
      <c r="L22" s="11">
        <f>IF(_xlfn.MAXIFS(Metas!J:J,Metas!A:A,A22,Metas!B:B,B22,Metas!D:D,D22) = 0,K22,K22 * (1-_xlfn.MAXIFS(Metas!J:J,Metas!A:A,A22,Metas!B:B,B22,Metas!D:D,D22)))</f>
        <v>0</v>
      </c>
      <c r="O22" s="11">
        <f>IF(_xlfn.MAXIFS(Metas!J:J,Metas!A:A,A22,Metas!B:B,B22,Metas!D:D,D22) = 0,N22,N22 * (1-_xlfn.MAXIFS(Metas!J:J,Metas!A:A,A22,Metas!B:B,B22,Metas!D:D,D22)))</f>
        <v>0</v>
      </c>
      <c r="P22" s="10">
        <v>0.75</v>
      </c>
      <c r="Q22" s="10">
        <v>1.1499999999999999</v>
      </c>
      <c r="R22" s="10">
        <v>0.9</v>
      </c>
      <c r="S22" s="10">
        <v>1.25</v>
      </c>
    </row>
    <row r="23" spans="1:23">
      <c r="A23" s="7">
        <v>2026</v>
      </c>
      <c r="B23" s="7">
        <v>1</v>
      </c>
      <c r="C23" s="7" t="s">
        <v>4350</v>
      </c>
      <c r="D23" s="7" t="s">
        <v>4347</v>
      </c>
      <c r="E23" s="7" t="s">
        <v>4346</v>
      </c>
      <c r="F23" s="7" t="s">
        <v>4318</v>
      </c>
      <c r="G23" s="10">
        <v>0.7</v>
      </c>
      <c r="H23" s="11">
        <v>3200</v>
      </c>
      <c r="I23" s="11">
        <f>IF(_xlfn.MAXIFS(Metas!J:J,Metas!A:A,A23,Metas!B:B,B23,Metas!D:D,D23) = 0,H23,H23 * (1-_xlfn.MAXIFS(Metas!J:J,Metas!A:A,A23,Metas!B:B,B23,Metas!D:D,D23)))</f>
        <v>3200</v>
      </c>
      <c r="L23" s="11">
        <f>IF(_xlfn.MAXIFS(Metas!J:J,Metas!A:A,A23,Metas!B:B,B23,Metas!D:D,D23) = 0,K23,K23 * (1-_xlfn.MAXIFS(Metas!J:J,Metas!A:A,A23,Metas!B:B,B23,Metas!D:D,D23)))</f>
        <v>0</v>
      </c>
      <c r="O23" s="11">
        <f>IF(_xlfn.MAXIFS(Metas!J:J,Metas!A:A,A23,Metas!B:B,B23,Metas!D:D,D23) = 0,N23,N23 * (1-_xlfn.MAXIFS(Metas!J:J,Metas!A:A,A23,Metas!B:B,B23,Metas!D:D,D23)))</f>
        <v>0</v>
      </c>
      <c r="P23" s="10">
        <v>0.9</v>
      </c>
      <c r="Q23" s="10">
        <v>1.1499999999999999</v>
      </c>
      <c r="R23" s="10">
        <v>1</v>
      </c>
      <c r="S23" s="10">
        <v>1.25</v>
      </c>
    </row>
    <row r="24" spans="1:23">
      <c r="A24" s="7">
        <v>2026</v>
      </c>
      <c r="B24" s="7">
        <v>1</v>
      </c>
      <c r="C24" s="7" t="s">
        <v>4351</v>
      </c>
      <c r="D24" s="7" t="s">
        <v>4269</v>
      </c>
      <c r="E24" s="7" t="s">
        <v>4346</v>
      </c>
      <c r="F24" s="7" t="s">
        <v>4316</v>
      </c>
      <c r="G24" s="10">
        <v>0.7</v>
      </c>
      <c r="H24" s="11">
        <v>1500</v>
      </c>
      <c r="I24" s="11">
        <f>IF(_xlfn.MAXIFS(Metas!J:J,Metas!A:A,A24,Metas!B:B,B24,Metas!D:D,D24) = 0,H24,H24 * (1-_xlfn.MAXIFS(Metas!J:J,Metas!A:A,A24,Metas!B:B,B24,Metas!D:D,D24)))</f>
        <v>1500</v>
      </c>
      <c r="L24" s="11">
        <f>IF(_xlfn.MAXIFS(Metas!J:J,Metas!A:A,A24,Metas!B:B,B24,Metas!D:D,D24) = 0,K24,K24 * (1-_xlfn.MAXIFS(Metas!J:J,Metas!A:A,A24,Metas!B:B,B24,Metas!D:D,D24)))</f>
        <v>0</v>
      </c>
      <c r="O24" s="11">
        <f>IF(_xlfn.MAXIFS(Metas!J:J,Metas!A:A,A24,Metas!B:B,B24,Metas!D:D,D24) = 0,N24,N24 * (1-_xlfn.MAXIFS(Metas!J:J,Metas!A:A,A24,Metas!B:B,B24,Metas!D:D,D24)))</f>
        <v>0</v>
      </c>
      <c r="P24" s="10">
        <v>0.9</v>
      </c>
      <c r="Q24" s="10">
        <v>1.1499999999999999</v>
      </c>
      <c r="R24" s="10">
        <v>1</v>
      </c>
      <c r="S24" s="10">
        <v>1.25</v>
      </c>
    </row>
    <row r="25" spans="1:23">
      <c r="A25" s="7">
        <v>2026</v>
      </c>
      <c r="B25" s="7">
        <v>1</v>
      </c>
      <c r="C25" s="7" t="s">
        <v>4352</v>
      </c>
      <c r="D25" s="7" t="s">
        <v>4270</v>
      </c>
      <c r="E25" s="7" t="s">
        <v>4346</v>
      </c>
      <c r="F25" s="7" t="s">
        <v>4316</v>
      </c>
      <c r="G25" s="10">
        <v>0.7</v>
      </c>
      <c r="H25" s="11">
        <v>1500</v>
      </c>
      <c r="I25" s="11">
        <f>IF(_xlfn.MAXIFS(Metas!J:J,Metas!A:A,A25,Metas!B:B,B25,Metas!D:D,D25) = 0,H25,H25 * (1-_xlfn.MAXIFS(Metas!J:J,Metas!A:A,A25,Metas!B:B,B25,Metas!D:D,D25)))</f>
        <v>1500</v>
      </c>
      <c r="L25" s="11">
        <f>IF(_xlfn.MAXIFS(Metas!J:J,Metas!A:A,A25,Metas!B:B,B25,Metas!D:D,D25) = 0,K25,K25 * (1-_xlfn.MAXIFS(Metas!J:J,Metas!A:A,A25,Metas!B:B,B25,Metas!D:D,D25)))</f>
        <v>0</v>
      </c>
      <c r="O25" s="11">
        <f>IF(_xlfn.MAXIFS(Metas!J:J,Metas!A:A,A25,Metas!B:B,B25,Metas!D:D,D25) = 0,N25,N25 * (1-_xlfn.MAXIFS(Metas!J:J,Metas!A:A,A25,Metas!B:B,B25,Metas!D:D,D25)))</f>
        <v>0</v>
      </c>
      <c r="P25" s="10">
        <v>0.9</v>
      </c>
      <c r="Q25" s="10">
        <v>1.1499999999999999</v>
      </c>
      <c r="R25" s="10">
        <v>1</v>
      </c>
      <c r="S25" s="10">
        <v>1.25</v>
      </c>
    </row>
    <row r="26" spans="1:23">
      <c r="A26" s="7">
        <v>2026</v>
      </c>
      <c r="B26" s="7">
        <v>1</v>
      </c>
      <c r="C26" s="7" t="s">
        <v>4353</v>
      </c>
      <c r="D26" s="7" t="s">
        <v>4271</v>
      </c>
      <c r="E26" s="7" t="s">
        <v>4346</v>
      </c>
      <c r="F26" s="7" t="s">
        <v>4316</v>
      </c>
      <c r="G26" s="10">
        <v>0.7</v>
      </c>
      <c r="H26" s="11">
        <v>1800</v>
      </c>
      <c r="I26" s="11">
        <f>IF(_xlfn.MAXIFS(Metas!J:J,Metas!A:A,A26,Metas!B:B,B26,Metas!D:D,D26) = 0,H26,H26 * (1-_xlfn.MAXIFS(Metas!J:J,Metas!A:A,A26,Metas!B:B,B26,Metas!D:D,D26)))</f>
        <v>1800</v>
      </c>
      <c r="L26" s="11">
        <f>IF(_xlfn.MAXIFS(Metas!J:J,Metas!A:A,A26,Metas!B:B,B26,Metas!D:D,D26) = 0,K26,K26 * (1-_xlfn.MAXIFS(Metas!J:J,Metas!A:A,A26,Metas!B:B,B26,Metas!D:D,D26)))</f>
        <v>0</v>
      </c>
      <c r="O26" s="11">
        <f>IF(_xlfn.MAXIFS(Metas!J:J,Metas!A:A,A26,Metas!B:B,B26,Metas!D:D,D26) = 0,N26,N26 * (1-_xlfn.MAXIFS(Metas!J:J,Metas!A:A,A26,Metas!B:B,B26,Metas!D:D,D26)))</f>
        <v>0</v>
      </c>
      <c r="P26" s="10">
        <v>0.9</v>
      </c>
      <c r="Q26" s="10">
        <v>1.1499999999999999</v>
      </c>
      <c r="R26" s="10">
        <v>1</v>
      </c>
      <c r="S26" s="10">
        <v>1.25</v>
      </c>
    </row>
    <row r="27" spans="1:23">
      <c r="A27" s="7">
        <v>2026</v>
      </c>
      <c r="B27" s="7">
        <v>1</v>
      </c>
      <c r="C27" s="7" t="s">
        <v>4355</v>
      </c>
      <c r="D27" s="7" t="s">
        <v>4273</v>
      </c>
      <c r="E27" s="7" t="s">
        <v>4346</v>
      </c>
      <c r="F27" s="7" t="s">
        <v>4316</v>
      </c>
      <c r="G27" s="10">
        <v>0.7</v>
      </c>
      <c r="H27" s="11">
        <v>1500</v>
      </c>
      <c r="I27" s="11">
        <f>IF(_xlfn.MAXIFS(Metas!J:J,Metas!A:A,A27,Metas!B:B,B27,Metas!D:D,D27) = 0,H27,H27 * (1-_xlfn.MAXIFS(Metas!J:J,Metas!A:A,A27,Metas!B:B,B27,Metas!D:D,D27)))</f>
        <v>1500</v>
      </c>
      <c r="L27" s="11">
        <f>IF(_xlfn.MAXIFS(Metas!J:J,Metas!A:A,A27,Metas!B:B,B27,Metas!D:D,D27) = 0,K27,K27 * (1-_xlfn.MAXIFS(Metas!J:J,Metas!A:A,A27,Metas!B:B,B27,Metas!D:D,D27)))</f>
        <v>0</v>
      </c>
      <c r="O27" s="11">
        <f>IF(_xlfn.MAXIFS(Metas!J:J,Metas!A:A,A27,Metas!B:B,B27,Metas!D:D,D27) = 0,N27,N27 * (1-_xlfn.MAXIFS(Metas!J:J,Metas!A:A,A27,Metas!B:B,B27,Metas!D:D,D27)))</f>
        <v>0</v>
      </c>
      <c r="P27" s="10">
        <v>0.9</v>
      </c>
      <c r="Q27" s="10">
        <v>1.1499999999999999</v>
      </c>
      <c r="R27" s="10">
        <v>1</v>
      </c>
      <c r="S27" s="10">
        <v>1.25</v>
      </c>
    </row>
    <row r="28" spans="1:23">
      <c r="A28" s="7">
        <v>2026</v>
      </c>
      <c r="B28" s="7">
        <v>1</v>
      </c>
      <c r="C28" s="7" t="s">
        <v>4343</v>
      </c>
      <c r="D28" s="7" t="s">
        <v>829</v>
      </c>
      <c r="E28" s="7" t="s">
        <v>4346</v>
      </c>
      <c r="F28" s="7" t="s">
        <v>4316</v>
      </c>
      <c r="G28" s="10">
        <v>0.7</v>
      </c>
      <c r="H28" s="11">
        <v>1500</v>
      </c>
      <c r="I28" s="11">
        <f>IF(_xlfn.MAXIFS(Metas!J:J,Metas!A:A,A28,Metas!B:B,B28,Metas!D:D,D28,Metas!E:E,E28) = 0,H28,H28 * (1-_xlfn.MAXIFS(Metas!J:J,Metas!A:A,A28,Metas!B:B,B28,Metas!D:D,D28,Metas!E:E,E28)))</f>
        <v>630.00000000000011</v>
      </c>
      <c r="L28" s="11">
        <f>IF(_xlfn.MAXIFS(Metas!J:J,Metas!A:A,A28,Metas!B:B,B28,Metas!D:D,D28) = 0,K28,K28 * (1-_xlfn.MAXIFS(Metas!J:J,Metas!A:A,A28,Metas!B:B,B28,Metas!D:D,D28)))</f>
        <v>0</v>
      </c>
      <c r="O28" s="11">
        <f>IF(_xlfn.MAXIFS(Metas!J:J,Metas!A:A,A28,Metas!B:B,B28,Metas!D:D,D28) = 0,N28,N28 * (1-_xlfn.MAXIFS(Metas!J:J,Metas!A:A,A28,Metas!B:B,B28,Metas!D:D,D28)))</f>
        <v>0</v>
      </c>
      <c r="P28" s="10">
        <v>0.9</v>
      </c>
      <c r="Q28" s="10">
        <v>1.1499999999999999</v>
      </c>
      <c r="R28" s="10">
        <v>1</v>
      </c>
      <c r="S28" s="10">
        <v>1.25</v>
      </c>
    </row>
    <row r="29" spans="1:23">
      <c r="A29" s="7">
        <v>2026</v>
      </c>
      <c r="B29" s="7">
        <v>1</v>
      </c>
      <c r="C29" s="7" t="s">
        <v>4356</v>
      </c>
      <c r="D29" s="7" t="s">
        <v>4276</v>
      </c>
      <c r="E29" s="7" t="s">
        <v>4346</v>
      </c>
      <c r="F29" s="7" t="s">
        <v>4316</v>
      </c>
      <c r="G29" s="10">
        <v>0.5</v>
      </c>
      <c r="H29" s="11">
        <v>1800</v>
      </c>
      <c r="I29" s="11">
        <f>IF(_xlfn.MAXIFS(Metas!J:J,Metas!A:A,A29,Metas!B:B,B29,Metas!D:D,D29) = 0,H29,H29 * (1-_xlfn.MAXIFS(Metas!J:J,Metas!A:A,A29,Metas!B:B,B29,Metas!D:D,D29)))</f>
        <v>1800</v>
      </c>
      <c r="L29" s="11">
        <f>IF(_xlfn.MAXIFS(Metas!J:J,Metas!A:A,A29,Metas!B:B,B29,Metas!D:D,D29) = 0,K29,K29 * (1-_xlfn.MAXIFS(Metas!J:J,Metas!A:A,A29,Metas!B:B,B29,Metas!D:D,D29)))</f>
        <v>0</v>
      </c>
      <c r="O29" s="11">
        <f>IF(_xlfn.MAXIFS(Metas!J:J,Metas!A:A,A29,Metas!B:B,B29,Metas!D:D,D29) = 0,N29,N29 * (1-_xlfn.MAXIFS(Metas!J:J,Metas!A:A,A29,Metas!B:B,B29,Metas!D:D,D29)))</f>
        <v>0</v>
      </c>
      <c r="P29" s="10">
        <v>0.75</v>
      </c>
      <c r="Q29" s="10">
        <v>1.1499999999999999</v>
      </c>
      <c r="R29" s="10">
        <v>0.9</v>
      </c>
      <c r="S29" s="10">
        <v>1.25</v>
      </c>
    </row>
    <row r="30" spans="1:23">
      <c r="A30" s="7">
        <v>2026</v>
      </c>
      <c r="B30" s="7">
        <v>1</v>
      </c>
      <c r="C30" s="7" t="s">
        <v>4357</v>
      </c>
      <c r="D30" s="7" t="s">
        <v>87</v>
      </c>
      <c r="E30" s="7" t="s">
        <v>3558</v>
      </c>
      <c r="F30" s="7" t="s">
        <v>4316</v>
      </c>
      <c r="G30" s="10">
        <v>0.5</v>
      </c>
      <c r="H30" s="11">
        <v>8000</v>
      </c>
      <c r="I30" s="11">
        <f>IF(_xlfn.MAXIFS(Metas!J:J,Metas!A:A,A30,Metas!B:B,B30,Metas!D:D,D30) = 0,H30,H30 * (1-_xlfn.MAXIFS(Metas!J:J,Metas!A:A,A30,Metas!B:B,B30,Metas!D:D,D30)))</f>
        <v>8000</v>
      </c>
      <c r="L30" s="11">
        <f>IF(_xlfn.MAXIFS(Metas!J:J,Metas!A:A,A30,Metas!B:B,B30,Metas!D:D,D30) = 0,K30,K30 * (1-_xlfn.MAXIFS(Metas!J:J,Metas!A:A,A30,Metas!B:B,B30,Metas!D:D,D30)))</f>
        <v>0</v>
      </c>
      <c r="O30" s="11">
        <f>IF(_xlfn.MAXIFS(Metas!J:J,Metas!A:A,A30,Metas!B:B,B30,Metas!D:D,D30) = 0,N30,N30 * (1-_xlfn.MAXIFS(Metas!J:J,Metas!A:A,A30,Metas!B:B,B30,Metas!D:D,D30)))</f>
        <v>0</v>
      </c>
      <c r="P30" s="10">
        <v>0.75</v>
      </c>
      <c r="Q30" s="10">
        <v>1.1499999999999999</v>
      </c>
      <c r="R30" s="10">
        <v>0.9</v>
      </c>
      <c r="S30" s="10">
        <v>1.25</v>
      </c>
    </row>
    <row r="31" spans="1:23">
      <c r="A31" s="7">
        <v>2026</v>
      </c>
      <c r="B31" s="7">
        <v>1</v>
      </c>
      <c r="C31" s="7" t="s">
        <v>4360</v>
      </c>
      <c r="D31" s="7" t="s">
        <v>1165</v>
      </c>
      <c r="E31" s="7" t="s">
        <v>3558</v>
      </c>
      <c r="F31" s="7" t="s">
        <v>4316</v>
      </c>
      <c r="G31" s="10">
        <v>0.5</v>
      </c>
      <c r="H31" s="11">
        <v>6800</v>
      </c>
      <c r="I31" s="11">
        <f>IF(_xlfn.MAXIFS(Metas!J:J,Metas!A:A,A31,Metas!B:B,B31,Metas!D:D,D31) = 0,H31,H31 * (1-_xlfn.MAXIFS(Metas!J:J,Metas!A:A,A31,Metas!B:B,B31,Metas!D:D,D31)))</f>
        <v>6800</v>
      </c>
      <c r="L31" s="11">
        <f>IF(_xlfn.MAXIFS(Metas!J:J,Metas!A:A,A31,Metas!B:B,B31,Metas!D:D,D31) = 0,K31,K31 * (1-_xlfn.MAXIFS(Metas!J:J,Metas!A:A,A31,Metas!B:B,B31,Metas!D:D,D31)))</f>
        <v>0</v>
      </c>
      <c r="O31" s="11">
        <f>IF(_xlfn.MAXIFS(Metas!J:J,Metas!A:A,A31,Metas!B:B,B31,Metas!D:D,D31) = 0,N31,N31 * (1-_xlfn.MAXIFS(Metas!J:J,Metas!A:A,A31,Metas!B:B,B31,Metas!D:D,D31)))</f>
        <v>0</v>
      </c>
      <c r="P31" s="10">
        <v>0.75</v>
      </c>
      <c r="Q31" s="10">
        <v>1.1499999999999999</v>
      </c>
      <c r="R31" s="10">
        <v>0.9</v>
      </c>
      <c r="S31" s="10">
        <v>1.25</v>
      </c>
    </row>
    <row r="32" spans="1:23">
      <c r="A32" s="7">
        <v>2026</v>
      </c>
      <c r="B32" s="7">
        <v>1</v>
      </c>
      <c r="C32" s="7" t="s">
        <v>4361</v>
      </c>
      <c r="D32" s="7" t="s">
        <v>36</v>
      </c>
      <c r="E32" s="7" t="s">
        <v>3558</v>
      </c>
      <c r="F32" s="7" t="s">
        <v>4316</v>
      </c>
      <c r="G32" s="10">
        <v>0.5</v>
      </c>
      <c r="H32" s="11">
        <v>5600</v>
      </c>
      <c r="I32" s="11">
        <f>IF(_xlfn.MAXIFS(Metas!J:J,Metas!A:A,A32,Metas!B:B,B32,Metas!D:D,D32) = 0,H32,H32 * (1-_xlfn.MAXIFS(Metas!J:J,Metas!A:A,A32,Metas!B:B,B32,Metas!D:D,D32)))</f>
        <v>5600</v>
      </c>
      <c r="L32" s="11">
        <f>IF(_xlfn.MAXIFS(Metas!J:J,Metas!A:A,A32,Metas!B:B,B32,Metas!D:D,D32) = 0,K32,K32 * (1-_xlfn.MAXIFS(Metas!J:J,Metas!A:A,A32,Metas!B:B,B32,Metas!D:D,D32)))</f>
        <v>0</v>
      </c>
      <c r="O32" s="11">
        <f>IF(_xlfn.MAXIFS(Metas!J:J,Metas!A:A,A32,Metas!B:B,B32,Metas!D:D,D32) = 0,N32,N32 * (1-_xlfn.MAXIFS(Metas!J:J,Metas!A:A,A32,Metas!B:B,B32,Metas!D:D,D32)))</f>
        <v>0</v>
      </c>
      <c r="P32" s="10">
        <v>0.75</v>
      </c>
      <c r="Q32" s="10">
        <v>1.1499999999999999</v>
      </c>
      <c r="R32" s="10">
        <v>0.9</v>
      </c>
      <c r="S32" s="10">
        <v>1.25</v>
      </c>
    </row>
    <row r="33" spans="1:23">
      <c r="A33" s="7">
        <v>2026</v>
      </c>
      <c r="B33" s="7">
        <v>1</v>
      </c>
      <c r="C33" s="7" t="s">
        <v>4362</v>
      </c>
      <c r="D33" s="7" t="s">
        <v>98</v>
      </c>
      <c r="E33" s="7" t="s">
        <v>3558</v>
      </c>
      <c r="F33" s="7" t="s">
        <v>4316</v>
      </c>
      <c r="G33" s="10">
        <v>0.5</v>
      </c>
      <c r="H33" s="11">
        <v>5600</v>
      </c>
      <c r="I33" s="11">
        <f>IF(_xlfn.MAXIFS(Metas!J:J,Metas!A:A,A33,Metas!B:B,B33,Metas!D:D,D33) = 0,H33,H33 * (1-_xlfn.MAXIFS(Metas!J:J,Metas!A:A,A33,Metas!B:B,B33,Metas!D:D,D33)))</f>
        <v>5600</v>
      </c>
      <c r="L33" s="11">
        <f>IF(_xlfn.MAXIFS(Metas!J:J,Metas!A:A,A33,Metas!B:B,B33,Metas!D:D,D33) = 0,K33,K33 * (1-_xlfn.MAXIFS(Metas!J:J,Metas!A:A,A33,Metas!B:B,B33,Metas!D:D,D33)))</f>
        <v>0</v>
      </c>
      <c r="O33" s="11">
        <f>IF(_xlfn.MAXIFS(Metas!J:J,Metas!A:A,A33,Metas!B:B,B33,Metas!D:D,D33) = 0,N33,N33 * (1-_xlfn.MAXIFS(Metas!J:J,Metas!A:A,A33,Metas!B:B,B33,Metas!D:D,D33)))</f>
        <v>0</v>
      </c>
      <c r="P33" s="10">
        <v>0.75</v>
      </c>
      <c r="Q33" s="10">
        <v>1.1499999999999999</v>
      </c>
      <c r="R33" s="10">
        <v>0.9</v>
      </c>
      <c r="S33" s="10">
        <v>1.25</v>
      </c>
    </row>
    <row r="34" spans="1:23">
      <c r="A34" s="7">
        <v>2026</v>
      </c>
      <c r="B34" s="7">
        <v>1</v>
      </c>
      <c r="C34" s="7" t="s">
        <v>4363</v>
      </c>
      <c r="D34" s="7" t="s">
        <v>72</v>
      </c>
      <c r="E34" s="7" t="s">
        <v>3558</v>
      </c>
      <c r="F34" s="7" t="s">
        <v>4316</v>
      </c>
      <c r="G34" s="10">
        <v>0.5</v>
      </c>
      <c r="H34" s="11">
        <v>10000</v>
      </c>
      <c r="I34" s="11">
        <f>IF(_xlfn.MAXIFS(Metas!J:J,Metas!A:A,A34,Metas!B:B,B34,Metas!D:D,D34) = 0,H34,H34 * (1-_xlfn.MAXIFS(Metas!J:J,Metas!A:A,A34,Metas!B:B,B34,Metas!D:D,D34)))</f>
        <v>10000</v>
      </c>
      <c r="L34" s="11">
        <f>IF(_xlfn.MAXIFS(Metas!J:J,Metas!A:A,A34,Metas!B:B,B34,Metas!D:D,D34) = 0,K34,K34 * (1-_xlfn.MAXIFS(Metas!J:J,Metas!A:A,A34,Metas!B:B,B34,Metas!D:D,D34)))</f>
        <v>0</v>
      </c>
      <c r="O34" s="11">
        <f>IF(_xlfn.MAXIFS(Metas!J:J,Metas!A:A,A34,Metas!B:B,B34,Metas!D:D,D34) = 0,N34,N34 * (1-_xlfn.MAXIFS(Metas!J:J,Metas!A:A,A34,Metas!B:B,B34,Metas!D:D,D34)))</f>
        <v>0</v>
      </c>
      <c r="P34" s="10">
        <v>0.75</v>
      </c>
      <c r="Q34" s="10">
        <v>1.1499999999999999</v>
      </c>
      <c r="R34" s="10">
        <v>0.9</v>
      </c>
      <c r="S34" s="10">
        <v>1.25</v>
      </c>
    </row>
    <row r="35" spans="1:23">
      <c r="A35" s="7">
        <v>2026</v>
      </c>
      <c r="B35" s="7">
        <v>1</v>
      </c>
      <c r="C35" s="7" t="s">
        <v>4364</v>
      </c>
      <c r="D35" s="7" t="s">
        <v>78</v>
      </c>
      <c r="E35" s="7" t="s">
        <v>3558</v>
      </c>
      <c r="F35" s="7" t="s">
        <v>4316</v>
      </c>
      <c r="G35" s="10">
        <v>0.5</v>
      </c>
      <c r="H35" s="11">
        <v>3456</v>
      </c>
      <c r="I35" s="11">
        <f>IF(_xlfn.MAXIFS(Metas!J:J,Metas!A:A,A35,Metas!B:B,B35,Metas!D:D,D35) = 0,H35,H35 * (1-_xlfn.MAXIFS(Metas!J:J,Metas!A:A,A35,Metas!B:B,B35,Metas!D:D,D35)))</f>
        <v>3456</v>
      </c>
      <c r="L35" s="11">
        <f>IF(_xlfn.MAXIFS(Metas!J:J,Metas!A:A,A35,Metas!B:B,B35,Metas!D:D,D35) = 0,K35,K35 * (1-_xlfn.MAXIFS(Metas!J:J,Metas!A:A,A35,Metas!B:B,B35,Metas!D:D,D35)))</f>
        <v>0</v>
      </c>
      <c r="O35" s="11">
        <f>IF(_xlfn.MAXIFS(Metas!J:J,Metas!A:A,A35,Metas!B:B,B35,Metas!D:D,D35) = 0,N35,N35 * (1-_xlfn.MAXIFS(Metas!J:J,Metas!A:A,A35,Metas!B:B,B35,Metas!D:D,D35)))</f>
        <v>0</v>
      </c>
      <c r="P35" s="10">
        <v>0.75</v>
      </c>
      <c r="Q35" s="10">
        <v>1.1499999999999999</v>
      </c>
      <c r="R35" s="10">
        <v>0.9</v>
      </c>
      <c r="S35" s="10">
        <v>1.25</v>
      </c>
    </row>
    <row r="36" spans="1:23">
      <c r="A36" s="7">
        <v>2026</v>
      </c>
      <c r="B36" s="7">
        <v>1</v>
      </c>
      <c r="C36" s="7" t="s">
        <v>4365</v>
      </c>
      <c r="D36" s="7" t="s">
        <v>69</v>
      </c>
      <c r="E36" s="7" t="s">
        <v>3558</v>
      </c>
      <c r="F36" s="7" t="s">
        <v>4316</v>
      </c>
      <c r="G36" s="10">
        <v>0.5</v>
      </c>
      <c r="H36" s="11">
        <v>10000</v>
      </c>
      <c r="I36" s="11">
        <f>IF(_xlfn.MAXIFS(Metas!J:J,Metas!A:A,A36,Metas!B:B,B36,Metas!D:D,D36) = 0,H36,H36 * (1-_xlfn.MAXIFS(Metas!J:J,Metas!A:A,A36,Metas!B:B,B36,Metas!D:D,D36)))</f>
        <v>10000</v>
      </c>
      <c r="L36" s="11">
        <f>IF(_xlfn.MAXIFS(Metas!J:J,Metas!A:A,A36,Metas!B:B,B36,Metas!D:D,D36) = 0,K36,K36 * (1-_xlfn.MAXIFS(Metas!J:J,Metas!A:A,A36,Metas!B:B,B36,Metas!D:D,D36)))</f>
        <v>0</v>
      </c>
      <c r="O36" s="11">
        <f>IF(_xlfn.MAXIFS(Metas!J:J,Metas!A:A,A36,Metas!B:B,B36,Metas!D:D,D36) = 0,N36,N36 * (1-_xlfn.MAXIFS(Metas!J:J,Metas!A:A,A36,Metas!B:B,B36,Metas!D:D,D36)))</f>
        <v>0</v>
      </c>
      <c r="P36" s="10">
        <v>0.75</v>
      </c>
      <c r="Q36" s="10">
        <v>1.1499999999999999</v>
      </c>
      <c r="R36" s="10">
        <v>0.9</v>
      </c>
      <c r="S36" s="10">
        <v>1.25</v>
      </c>
    </row>
    <row r="37" spans="1:23">
      <c r="A37" s="7">
        <v>2026</v>
      </c>
      <c r="B37" s="7">
        <v>1</v>
      </c>
      <c r="C37" s="7" t="s">
        <v>4366</v>
      </c>
      <c r="D37" s="7" t="s">
        <v>2068</v>
      </c>
      <c r="E37" s="7" t="s">
        <v>3558</v>
      </c>
      <c r="F37" s="7" t="s">
        <v>4316</v>
      </c>
      <c r="G37" s="10">
        <v>0.5</v>
      </c>
      <c r="H37" s="11">
        <v>8000</v>
      </c>
      <c r="I37" s="11">
        <f>IF(_xlfn.MAXIFS(Metas!J:J,Metas!A:A,A37,Metas!B:B,B37,Metas!D:D,D37) = 0,H37,H37 * (1-_xlfn.MAXIFS(Metas!J:J,Metas!A:A,A37,Metas!B:B,B37,Metas!D:D,D37)))</f>
        <v>8000</v>
      </c>
      <c r="L37" s="11">
        <f>IF(_xlfn.MAXIFS(Metas!J:J,Metas!A:A,A37,Metas!B:B,B37,Metas!D:D,D37) = 0,K37,K37 * (1-_xlfn.MAXIFS(Metas!J:J,Metas!A:A,A37,Metas!B:B,B37,Metas!D:D,D37)))</f>
        <v>0</v>
      </c>
      <c r="O37" s="11">
        <f>IF(_xlfn.MAXIFS(Metas!J:J,Metas!A:A,A37,Metas!B:B,B37,Metas!D:D,D37) = 0,N37,N37 * (1-_xlfn.MAXIFS(Metas!J:J,Metas!A:A,A37,Metas!B:B,B37,Metas!D:D,D37)))</f>
        <v>0</v>
      </c>
      <c r="P37" s="10">
        <v>0.75</v>
      </c>
      <c r="Q37" s="10">
        <v>1.1499999999999999</v>
      </c>
      <c r="R37" s="10">
        <v>0.9</v>
      </c>
      <c r="S37" s="10">
        <v>1.25</v>
      </c>
    </row>
    <row r="38" spans="1:23">
      <c r="A38" s="7">
        <v>2026</v>
      </c>
      <c r="B38" s="7">
        <v>1</v>
      </c>
      <c r="C38" s="7" t="s">
        <v>4367</v>
      </c>
      <c r="D38" s="7" t="s">
        <v>4358</v>
      </c>
      <c r="E38" s="7" t="s">
        <v>3558</v>
      </c>
      <c r="F38" s="7" t="s">
        <v>4318</v>
      </c>
      <c r="G38" s="10">
        <v>0.39</v>
      </c>
      <c r="H38" s="11">
        <v>11500</v>
      </c>
      <c r="I38" s="11">
        <f>IF(_xlfn.MAXIFS(Metas!J:J,Metas!A:A,A38,Metas!B:B,B38,Metas!D:D,D38) = 0,H38,H38 * (1-_xlfn.MAXIFS(Metas!J:J,Metas!A:A,A38,Metas!B:B,B38,Metas!D:D,D38)))</f>
        <v>11500</v>
      </c>
      <c r="L38" s="11">
        <f>IF(_xlfn.MAXIFS(Metas!J:J,Metas!A:A,A38,Metas!B:B,B38,Metas!D:D,D38) = 0,K38,K38 * (1-_xlfn.MAXIFS(Metas!J:J,Metas!A:A,A38,Metas!B:B,B38,Metas!D:D,D38)))</f>
        <v>0</v>
      </c>
      <c r="O38" s="11">
        <f>IF(_xlfn.MAXIFS(Metas!J:J,Metas!A:A,A38,Metas!B:B,B38,Metas!D:D,D38) = 0,N38,N38 * (1-_xlfn.MAXIFS(Metas!J:J,Metas!A:A,A38,Metas!B:B,B38,Metas!D:D,D38)))</f>
        <v>0</v>
      </c>
      <c r="P38" s="10">
        <v>0.75</v>
      </c>
      <c r="Q38" s="10">
        <v>1.1499999999999999</v>
      </c>
      <c r="R38" s="10">
        <v>0.9</v>
      </c>
      <c r="S38" s="10">
        <v>1.25</v>
      </c>
    </row>
    <row r="39" spans="1:23">
      <c r="A39" s="7">
        <v>2026</v>
      </c>
      <c r="B39" s="7">
        <v>1</v>
      </c>
      <c r="C39" s="7" t="s">
        <v>4369</v>
      </c>
      <c r="D39" s="7" t="s">
        <v>1243</v>
      </c>
      <c r="E39" s="7" t="s">
        <v>3558</v>
      </c>
      <c r="F39" s="7" t="s">
        <v>4316</v>
      </c>
      <c r="G39" s="10">
        <v>0.5</v>
      </c>
      <c r="H39" s="11">
        <v>6800</v>
      </c>
      <c r="I39" s="11">
        <f>IF(_xlfn.MAXIFS(Metas!J:J,Metas!A:A,A39,Metas!B:B,B39,Metas!D:D,D39) = 0,H39,H39 * (1-_xlfn.MAXIFS(Metas!J:J,Metas!A:A,A39,Metas!B:B,B39,Metas!D:D,D39)))</f>
        <v>6800</v>
      </c>
      <c r="L39" s="11">
        <f>IF(_xlfn.MAXIFS(Metas!J:J,Metas!A:A,A39,Metas!B:B,B39,Metas!D:D,D39) = 0,K39,K39 * (1-_xlfn.MAXIFS(Metas!J:J,Metas!A:A,A39,Metas!B:B,B39,Metas!D:D,D39)))</f>
        <v>0</v>
      </c>
      <c r="O39" s="11">
        <f>IF(_xlfn.MAXIFS(Metas!J:J,Metas!A:A,A39,Metas!B:B,B39,Metas!D:D,D39) = 0,N39,N39 * (1-_xlfn.MAXIFS(Metas!J:J,Metas!A:A,A39,Metas!B:B,B39,Metas!D:D,D39)))</f>
        <v>0</v>
      </c>
      <c r="P39" s="10">
        <v>0.75</v>
      </c>
      <c r="Q39" s="10">
        <v>1.1499999999999999</v>
      </c>
      <c r="R39" s="10">
        <v>0.9</v>
      </c>
      <c r="S39" s="10">
        <v>1.25</v>
      </c>
    </row>
    <row r="40" spans="1:23">
      <c r="A40" s="7">
        <v>2026</v>
      </c>
      <c r="B40" s="7">
        <v>1</v>
      </c>
      <c r="C40" s="7" t="s">
        <v>4370</v>
      </c>
      <c r="D40" s="7" t="s">
        <v>66</v>
      </c>
      <c r="E40" s="7" t="s">
        <v>3558</v>
      </c>
      <c r="F40" s="7" t="s">
        <v>4316</v>
      </c>
      <c r="G40" s="10">
        <v>0.5</v>
      </c>
      <c r="H40" s="11">
        <v>9200</v>
      </c>
      <c r="I40" s="11">
        <f>IF(_xlfn.MAXIFS(Metas!J:J,Metas!A:A,A40,Metas!B:B,B40,Metas!D:D,D40) = 0,H40,H40 * (1-_xlfn.MAXIFS(Metas!J:J,Metas!A:A,A40,Metas!B:B,B40,Metas!D:D,D40)))</f>
        <v>9200</v>
      </c>
      <c r="L40" s="11">
        <f>IF(_xlfn.MAXIFS(Metas!J:J,Metas!A:A,A40,Metas!B:B,B40,Metas!D:D,D40) = 0,K40,K40 * (1-_xlfn.MAXIFS(Metas!J:J,Metas!A:A,A40,Metas!B:B,B40,Metas!D:D,D40)))</f>
        <v>0</v>
      </c>
      <c r="O40" s="11">
        <f>IF(_xlfn.MAXIFS(Metas!J:J,Metas!A:A,A40,Metas!B:B,B40,Metas!D:D,D40) = 0,N40,N40 * (1-_xlfn.MAXIFS(Metas!J:J,Metas!A:A,A40,Metas!B:B,B40,Metas!D:D,D40)))</f>
        <v>0</v>
      </c>
      <c r="P40" s="10">
        <v>0.75</v>
      </c>
      <c r="Q40" s="10">
        <v>1.1499999999999999</v>
      </c>
      <c r="R40" s="10">
        <v>0.9</v>
      </c>
      <c r="S40" s="10">
        <v>1.25</v>
      </c>
    </row>
    <row r="41" spans="1:23">
      <c r="A41" s="7">
        <v>2026</v>
      </c>
      <c r="B41" s="7">
        <v>1</v>
      </c>
      <c r="C41" s="7" t="s">
        <v>4371</v>
      </c>
      <c r="D41" s="7" t="s">
        <v>75</v>
      </c>
      <c r="E41" s="7" t="s">
        <v>3558</v>
      </c>
      <c r="F41" s="7" t="s">
        <v>4316</v>
      </c>
      <c r="G41" s="10">
        <v>0.5</v>
      </c>
      <c r="H41" s="11">
        <v>5600</v>
      </c>
      <c r="I41" s="11">
        <f>IF(_xlfn.MAXIFS(Metas!J:J,Metas!A:A,A41,Metas!B:B,B41,Metas!D:D,D41) = 0,H41,H41 * (1-_xlfn.MAXIFS(Metas!J:J,Metas!A:A,A41,Metas!B:B,B41,Metas!D:D,D41)))</f>
        <v>5600</v>
      </c>
      <c r="L41" s="11">
        <f>IF(_xlfn.MAXIFS(Metas!J:J,Metas!A:A,A41,Metas!B:B,B41,Metas!D:D,D41) = 0,K41,K41 * (1-_xlfn.MAXIFS(Metas!J:J,Metas!A:A,A41,Metas!B:B,B41,Metas!D:D,D41)))</f>
        <v>0</v>
      </c>
      <c r="O41" s="11">
        <f>IF(_xlfn.MAXIFS(Metas!J:J,Metas!A:A,A41,Metas!B:B,B41,Metas!D:D,D41) = 0,N41,N41 * (1-_xlfn.MAXIFS(Metas!J:J,Metas!A:A,A41,Metas!B:B,B41,Metas!D:D,D41)))</f>
        <v>0</v>
      </c>
      <c r="P41" s="10">
        <v>0.75</v>
      </c>
      <c r="Q41" s="10">
        <v>1.1499999999999999</v>
      </c>
      <c r="R41" s="10">
        <v>0.9</v>
      </c>
      <c r="S41" s="10">
        <v>1.25</v>
      </c>
    </row>
    <row r="42" spans="1:23">
      <c r="A42" s="7">
        <v>2026</v>
      </c>
      <c r="B42" s="7">
        <v>1</v>
      </c>
      <c r="C42" s="7" t="s">
        <v>4372</v>
      </c>
      <c r="D42" s="7" t="s">
        <v>198</v>
      </c>
      <c r="E42" s="7" t="s">
        <v>111</v>
      </c>
      <c r="F42" s="7" t="s">
        <v>4318</v>
      </c>
      <c r="G42" s="10">
        <v>0.6</v>
      </c>
      <c r="H42" s="11">
        <v>2400</v>
      </c>
      <c r="I42" s="11">
        <f>IF(_xlfn.MAXIFS(Metas!J:J,Metas!A:A,A42,Metas!B:B,B42,Metas!D:D,D42) = 0,H42,H42 * (1-_xlfn.MAXIFS(Metas!J:J,Metas!A:A,A42,Metas!B:B,B42,Metas!D:D,D42)))</f>
        <v>2400</v>
      </c>
      <c r="J42" s="10">
        <v>0.75</v>
      </c>
      <c r="K42" s="11">
        <v>9600</v>
      </c>
      <c r="L42" s="11">
        <f>IF(_xlfn.MAXIFS(Metas!J:J,Metas!A:A,A42,Metas!B:B,B42,Metas!D:D,D42) = 0,K42,K42 * (1-_xlfn.MAXIFS(Metas!J:J,Metas!A:A,A42,Metas!B:B,B42,Metas!D:D,D42)))</f>
        <v>9600</v>
      </c>
      <c r="M42" s="10">
        <v>1</v>
      </c>
      <c r="N42" s="8">
        <v>12000</v>
      </c>
      <c r="O42" s="11">
        <f>IF(_xlfn.MAXIFS(Metas!J:J,Metas!A:A,A42,Metas!B:B,B42,Metas!D:D,D42) = 0,N42,N42 * (1-_xlfn.MAXIFS(Metas!J:J,Metas!A:A,A42,Metas!B:B,B42,Metas!D:D,D42)))</f>
        <v>12000</v>
      </c>
      <c r="P42" s="10">
        <v>1</v>
      </c>
      <c r="Q42" s="10">
        <v>1.05</v>
      </c>
      <c r="R42" s="10">
        <v>1.1000000000000001</v>
      </c>
      <c r="S42" s="10">
        <v>1.1000000000000001</v>
      </c>
      <c r="V42" s="10">
        <f>J42</f>
        <v>0.75</v>
      </c>
      <c r="W42" s="10">
        <v>0.01</v>
      </c>
    </row>
    <row r="43" spans="1:23">
      <c r="A43" s="7">
        <v>2026</v>
      </c>
      <c r="B43" s="7">
        <v>1</v>
      </c>
      <c r="C43" s="7" t="s">
        <v>4373</v>
      </c>
      <c r="D43" s="7" t="s">
        <v>162</v>
      </c>
      <c r="E43" s="7" t="s">
        <v>111</v>
      </c>
      <c r="F43" s="7" t="s">
        <v>4316</v>
      </c>
      <c r="G43" s="10">
        <v>0.6</v>
      </c>
      <c r="H43" s="11">
        <v>1620</v>
      </c>
      <c r="I43" s="11">
        <f>IF(_xlfn.MAXIFS(Metas!J:J,Metas!A:A,A43,Metas!B:B,B43,Metas!D:D,D43) = 0,H43,H43 * (1-_xlfn.MAXIFS(Metas!J:J,Metas!A:A,A43,Metas!B:B,B43,Metas!D:D,D43)))</f>
        <v>1620</v>
      </c>
      <c r="J43" s="10">
        <v>0.75</v>
      </c>
      <c r="K43" s="11">
        <v>6480</v>
      </c>
      <c r="L43" s="11">
        <f>IF(_xlfn.MAXIFS(Metas!J:J,Metas!A:A,A43,Metas!B:B,B43,Metas!D:D,D43) = 0,K43,K43 * (1-_xlfn.MAXIFS(Metas!J:J,Metas!A:A,A43,Metas!B:B,B43,Metas!D:D,D43)))</f>
        <v>6480</v>
      </c>
      <c r="M43" s="10">
        <v>1</v>
      </c>
      <c r="N43" s="8">
        <v>8100</v>
      </c>
      <c r="O43" s="11">
        <f>IF(_xlfn.MAXIFS(Metas!J:J,Metas!A:A,A43,Metas!B:B,B43,Metas!D:D,D43) = 0,N43,N43 * (1-_xlfn.MAXIFS(Metas!J:J,Metas!A:A,A43,Metas!B:B,B43,Metas!D:D,D43)))</f>
        <v>8100</v>
      </c>
      <c r="P43" s="10">
        <v>1</v>
      </c>
      <c r="Q43" s="10">
        <v>1.05</v>
      </c>
      <c r="R43" s="10">
        <v>1.1000000000000001</v>
      </c>
      <c r="S43" s="10">
        <v>1.1000000000000001</v>
      </c>
      <c r="V43" s="10">
        <f>J43</f>
        <v>0.75</v>
      </c>
      <c r="W43" s="10">
        <v>0.01</v>
      </c>
    </row>
    <row r="44" spans="1:23">
      <c r="A44" s="7">
        <v>2026</v>
      </c>
      <c r="B44" s="7">
        <v>1</v>
      </c>
      <c r="C44" s="7" t="s">
        <v>4374</v>
      </c>
      <c r="D44" s="7" t="s">
        <v>137</v>
      </c>
      <c r="E44" s="7" t="s">
        <v>111</v>
      </c>
      <c r="F44" s="7" t="s">
        <v>4316</v>
      </c>
      <c r="G44" s="10">
        <v>0.6</v>
      </c>
      <c r="H44" s="11">
        <v>1080</v>
      </c>
      <c r="I44" s="11">
        <f>IF(_xlfn.MAXIFS(Metas!J:J,Metas!A:A,A44,Metas!B:B,B44,Metas!D:D,D44) = 0,H44,H44 * (1-_xlfn.MAXIFS(Metas!J:J,Metas!A:A,A44,Metas!B:B,B44,Metas!D:D,D44)))</f>
        <v>1080</v>
      </c>
      <c r="J44" s="10">
        <v>0.75</v>
      </c>
      <c r="K44" s="11">
        <v>4320</v>
      </c>
      <c r="L44" s="11">
        <f>IF(_xlfn.MAXIFS(Metas!J:J,Metas!A:A,A44,Metas!B:B,B44,Metas!D:D,D44) = 0,K44,K44 * (1-_xlfn.MAXIFS(Metas!J:J,Metas!A:A,A44,Metas!B:B,B44,Metas!D:D,D44)))</f>
        <v>4320</v>
      </c>
      <c r="M44" s="10">
        <v>1</v>
      </c>
      <c r="N44" s="8">
        <v>5400</v>
      </c>
      <c r="O44" s="11">
        <f>IF(_xlfn.MAXIFS(Metas!J:J,Metas!A:A,A44,Metas!B:B,B44,Metas!D:D,D44) = 0,N44,N44 * (1-_xlfn.MAXIFS(Metas!J:J,Metas!A:A,A44,Metas!B:B,B44,Metas!D:D,D44)))</f>
        <v>5400</v>
      </c>
      <c r="P44" s="10">
        <v>1</v>
      </c>
      <c r="Q44" s="10">
        <v>1.05</v>
      </c>
      <c r="R44" s="10">
        <v>1.1000000000000001</v>
      </c>
      <c r="S44" s="10">
        <v>1.1000000000000001</v>
      </c>
      <c r="V44" s="10">
        <f>J44</f>
        <v>0.75</v>
      </c>
      <c r="W44" s="10">
        <v>0.01</v>
      </c>
    </row>
    <row r="45" spans="1:23">
      <c r="A45" s="7">
        <v>2026</v>
      </c>
      <c r="B45" s="7">
        <v>1</v>
      </c>
      <c r="C45" s="7" t="s">
        <v>4375</v>
      </c>
      <c r="D45" s="7" t="s">
        <v>127</v>
      </c>
      <c r="E45" s="7" t="s">
        <v>111</v>
      </c>
      <c r="F45" s="7" t="s">
        <v>4316</v>
      </c>
      <c r="G45" s="10">
        <v>0.6</v>
      </c>
      <c r="H45" s="11">
        <v>1080</v>
      </c>
      <c r="I45" s="11">
        <f>IF(_xlfn.MAXIFS(Metas!J:J,Metas!A:A,A45,Metas!B:B,B45,Metas!D:D,D45) = 0,H45,H45 * (1-_xlfn.MAXIFS(Metas!J:J,Metas!A:A,A45,Metas!B:B,B45,Metas!D:D,D45)))</f>
        <v>1080</v>
      </c>
      <c r="J45" s="10">
        <v>0.75</v>
      </c>
      <c r="K45" s="11">
        <v>4320</v>
      </c>
      <c r="L45" s="11">
        <f>IF(_xlfn.MAXIFS(Metas!J:J,Metas!A:A,A45,Metas!B:B,B45,Metas!D:D,D45) = 0,K45,K45 * (1-_xlfn.MAXIFS(Metas!J:J,Metas!A:A,A45,Metas!B:B,B45,Metas!D:D,D45)))</f>
        <v>4320</v>
      </c>
      <c r="M45" s="10">
        <v>1</v>
      </c>
      <c r="N45" s="8">
        <v>5400</v>
      </c>
      <c r="O45" s="11">
        <f>IF(_xlfn.MAXIFS(Metas!J:J,Metas!A:A,A45,Metas!B:B,B45,Metas!D:D,D45) = 0,N45,N45 * (1-_xlfn.MAXIFS(Metas!J:J,Metas!A:A,A45,Metas!B:B,B45,Metas!D:D,D45)))</f>
        <v>5400</v>
      </c>
      <c r="P45" s="10">
        <v>1</v>
      </c>
      <c r="Q45" s="10">
        <v>1.05</v>
      </c>
      <c r="R45" s="10">
        <v>1.1000000000000001</v>
      </c>
      <c r="S45" s="10">
        <v>1.1000000000000001</v>
      </c>
      <c r="V45" s="10">
        <f>J45</f>
        <v>0.75</v>
      </c>
      <c r="W45" s="10">
        <v>0.01</v>
      </c>
    </row>
    <row r="46" spans="1:23">
      <c r="A46" s="7">
        <v>2026</v>
      </c>
      <c r="B46" s="7">
        <v>1</v>
      </c>
      <c r="C46" s="7" t="s">
        <v>4376</v>
      </c>
      <c r="D46" s="7" t="s">
        <v>116</v>
      </c>
      <c r="E46" s="7" t="s">
        <v>111</v>
      </c>
      <c r="F46" s="7" t="s">
        <v>4316</v>
      </c>
      <c r="G46" s="10">
        <v>0.6</v>
      </c>
      <c r="H46" s="11">
        <v>1620</v>
      </c>
      <c r="I46" s="11">
        <f>IF(_xlfn.MAXIFS(Metas!J:J,Metas!A:A,A46,Metas!B:B,B46,Metas!D:D,D46) = 0,H46,H46 * (1-_xlfn.MAXIFS(Metas!J:J,Metas!A:A,A46,Metas!B:B,B46,Metas!D:D,D46)))</f>
        <v>1620</v>
      </c>
      <c r="J46" s="10">
        <v>0.75</v>
      </c>
      <c r="K46" s="11">
        <v>6480</v>
      </c>
      <c r="L46" s="11">
        <f>IF(_xlfn.MAXIFS(Metas!J:J,Metas!A:A,A46,Metas!B:B,B46,Metas!D:D,D46) = 0,K46,K46 * (1-_xlfn.MAXIFS(Metas!J:J,Metas!A:A,A46,Metas!B:B,B46,Metas!D:D,D46)))</f>
        <v>6480</v>
      </c>
      <c r="M46" s="10">
        <v>1</v>
      </c>
      <c r="N46" s="8">
        <v>8100</v>
      </c>
      <c r="O46" s="11">
        <f>IF(_xlfn.MAXIFS(Metas!J:J,Metas!A:A,A46,Metas!B:B,B46,Metas!D:D,D46) = 0,N46,N46 * (1-_xlfn.MAXIFS(Metas!J:J,Metas!A:A,A46,Metas!B:B,B46,Metas!D:D,D46)))</f>
        <v>8100</v>
      </c>
      <c r="P46" s="10">
        <v>1</v>
      </c>
      <c r="Q46" s="10">
        <v>1.05</v>
      </c>
      <c r="R46" s="10">
        <v>1.1000000000000001</v>
      </c>
      <c r="S46" s="10">
        <v>1.1000000000000001</v>
      </c>
      <c r="V46" s="10">
        <f>J46</f>
        <v>0.75</v>
      </c>
      <c r="W46" s="10">
        <v>0.01</v>
      </c>
    </row>
    <row r="47" spans="1:23">
      <c r="A47" s="7">
        <v>2026</v>
      </c>
      <c r="B47" s="7">
        <v>1</v>
      </c>
      <c r="C47" s="7" t="s">
        <v>4377</v>
      </c>
      <c r="D47" s="7" t="s">
        <v>133</v>
      </c>
      <c r="E47" s="7" t="s">
        <v>111</v>
      </c>
      <c r="F47" s="7" t="s">
        <v>4316</v>
      </c>
      <c r="G47" s="10">
        <v>0.6</v>
      </c>
      <c r="H47" s="11">
        <v>1080</v>
      </c>
      <c r="I47" s="11">
        <f>IF(_xlfn.MAXIFS(Metas!J:J,Metas!A:A,A47,Metas!B:B,B47,Metas!D:D,D47) = 0,H47,H47 * (1-_xlfn.MAXIFS(Metas!J:J,Metas!A:A,A47,Metas!B:B,B47,Metas!D:D,D47)))</f>
        <v>1080</v>
      </c>
      <c r="J47" s="10">
        <v>0.75</v>
      </c>
      <c r="K47" s="11">
        <v>4320</v>
      </c>
      <c r="L47" s="11">
        <f>IF(_xlfn.MAXIFS(Metas!J:J,Metas!A:A,A47,Metas!B:B,B47,Metas!D:D,D47) = 0,K47,K47 * (1-_xlfn.MAXIFS(Metas!J:J,Metas!A:A,A47,Metas!B:B,B47,Metas!D:D,D47)))</f>
        <v>4320</v>
      </c>
      <c r="M47" s="10">
        <v>1</v>
      </c>
      <c r="N47" s="8">
        <v>5400</v>
      </c>
      <c r="O47" s="11">
        <f>IF(_xlfn.MAXIFS(Metas!J:J,Metas!A:A,A47,Metas!B:B,B47,Metas!D:D,D47) = 0,N47,N47 * (1-_xlfn.MAXIFS(Metas!J:J,Metas!A:A,A47,Metas!B:B,B47,Metas!D:D,D47)))</f>
        <v>5400</v>
      </c>
      <c r="P47" s="10">
        <v>1</v>
      </c>
      <c r="Q47" s="10">
        <v>1.05</v>
      </c>
      <c r="R47" s="10">
        <v>1.1000000000000001</v>
      </c>
      <c r="S47" s="10">
        <v>1.1000000000000001</v>
      </c>
      <c r="V47" s="10">
        <f>J47</f>
        <v>0.75</v>
      </c>
      <c r="W47" s="10">
        <v>0.01</v>
      </c>
    </row>
    <row r="48" spans="1:23">
      <c r="A48" s="7">
        <v>2026</v>
      </c>
      <c r="B48" s="7">
        <v>1</v>
      </c>
      <c r="C48" s="7" t="s">
        <v>4378</v>
      </c>
      <c r="D48" s="7" t="s">
        <v>110</v>
      </c>
      <c r="E48" s="7" t="s">
        <v>111</v>
      </c>
      <c r="F48" s="7" t="s">
        <v>4316</v>
      </c>
      <c r="G48" s="10">
        <v>0.6</v>
      </c>
      <c r="H48" s="11">
        <v>1620</v>
      </c>
      <c r="I48" s="11">
        <f>IF(_xlfn.MAXIFS(Metas!J:J,Metas!A:A,A48,Metas!B:B,B48,Metas!D:D,D48) = 0,H48,H48 * (1-_xlfn.MAXIFS(Metas!J:J,Metas!A:A,A48,Metas!B:B,B48,Metas!D:D,D48)))</f>
        <v>1620</v>
      </c>
      <c r="J48" s="10">
        <v>0.75</v>
      </c>
      <c r="K48" s="11">
        <v>6480</v>
      </c>
      <c r="L48" s="11">
        <f>IF(_xlfn.MAXIFS(Metas!J:J,Metas!A:A,A48,Metas!B:B,B48,Metas!D:D,D48) = 0,K48,K48 * (1-_xlfn.MAXIFS(Metas!J:J,Metas!A:A,A48,Metas!B:B,B48,Metas!D:D,D48)))</f>
        <v>6480</v>
      </c>
      <c r="M48" s="10">
        <v>1</v>
      </c>
      <c r="N48" s="8">
        <v>8100</v>
      </c>
      <c r="O48" s="11">
        <f>IF(_xlfn.MAXIFS(Metas!J:J,Metas!A:A,A48,Metas!B:B,B48,Metas!D:D,D48) = 0,N48,N48 * (1-_xlfn.MAXIFS(Metas!J:J,Metas!A:A,A48,Metas!B:B,B48,Metas!D:D,D48)))</f>
        <v>8100</v>
      </c>
      <c r="P48" s="10">
        <v>1</v>
      </c>
      <c r="Q48" s="10">
        <v>1.05</v>
      </c>
      <c r="R48" s="10">
        <v>1.1000000000000001</v>
      </c>
      <c r="S48" s="10">
        <v>1.1000000000000001</v>
      </c>
      <c r="V48" s="10">
        <f>J48</f>
        <v>0.75</v>
      </c>
      <c r="W48" s="10">
        <v>0.01</v>
      </c>
    </row>
    <row r="49" spans="1:23">
      <c r="A49" s="7">
        <v>2026</v>
      </c>
      <c r="B49" s="7">
        <v>1</v>
      </c>
      <c r="C49" s="7" t="s">
        <v>4379</v>
      </c>
      <c r="D49" s="7" t="s">
        <v>121</v>
      </c>
      <c r="E49" s="7" t="s">
        <v>111</v>
      </c>
      <c r="F49" s="7" t="s">
        <v>4316</v>
      </c>
      <c r="G49" s="10">
        <v>0.6</v>
      </c>
      <c r="H49" s="11">
        <v>1080</v>
      </c>
      <c r="I49" s="11">
        <f>IF(_xlfn.MAXIFS(Metas!J:J,Metas!A:A,A49,Metas!B:B,B49,Metas!D:D,D49) = 0,H49,H49 * (1-_xlfn.MAXIFS(Metas!J:J,Metas!A:A,A49,Metas!B:B,B49,Metas!D:D,D49)))</f>
        <v>1080</v>
      </c>
      <c r="J49" s="10">
        <v>0.75</v>
      </c>
      <c r="K49" s="11">
        <v>4320</v>
      </c>
      <c r="L49" s="11">
        <f>IF(_xlfn.MAXIFS(Metas!J:J,Metas!A:A,A49,Metas!B:B,B49,Metas!D:D,D49) = 0,K49,K49 * (1-_xlfn.MAXIFS(Metas!J:J,Metas!A:A,A49,Metas!B:B,B49,Metas!D:D,D49)))</f>
        <v>4320</v>
      </c>
      <c r="M49" s="10">
        <v>1</v>
      </c>
      <c r="N49" s="8">
        <v>5400</v>
      </c>
      <c r="O49" s="11">
        <f>IF(_xlfn.MAXIFS(Metas!J:J,Metas!A:A,A49,Metas!B:B,B49,Metas!D:D,D49) = 0,N49,N49 * (1-_xlfn.MAXIFS(Metas!J:J,Metas!A:A,A49,Metas!B:B,B49,Metas!D:D,D49)))</f>
        <v>5400</v>
      </c>
      <c r="P49" s="10">
        <v>1</v>
      </c>
      <c r="Q49" s="10">
        <v>1.05</v>
      </c>
      <c r="R49" s="10">
        <v>1.1000000000000001</v>
      </c>
      <c r="S49" s="10">
        <v>1.1000000000000001</v>
      </c>
      <c r="V49" s="10">
        <f>J49</f>
        <v>0.75</v>
      </c>
      <c r="W49" s="10">
        <v>0.01</v>
      </c>
    </row>
    <row r="50" spans="1:23">
      <c r="A50" s="7">
        <v>2026</v>
      </c>
      <c r="B50" s="7">
        <v>1</v>
      </c>
      <c r="C50" s="7" t="s">
        <v>4380</v>
      </c>
      <c r="D50" s="7" t="s">
        <v>2265</v>
      </c>
      <c r="E50" s="7" t="s">
        <v>4381</v>
      </c>
      <c r="F50" s="7" t="s">
        <v>4318</v>
      </c>
      <c r="G50" s="10">
        <v>0.55000000000000004</v>
      </c>
      <c r="H50" s="11">
        <v>8976</v>
      </c>
      <c r="I50" s="11">
        <f>IF(_xlfn.MAXIFS(Metas!J:J,Metas!A:A,A50,Metas!B:B,B50,Metas!D:D,D50) = 0,H50,H50 * (1-_xlfn.MAXIFS(Metas!J:J,Metas!A:A,A50,Metas!B:B,B50,Metas!D:D,D50)))</f>
        <v>8976</v>
      </c>
      <c r="L50" s="11">
        <f>IF(_xlfn.MAXIFS(Metas!J:J,Metas!A:A,A50,Metas!B:B,B50,Metas!D:D,D50) = 0,K50,K50 * (1-_xlfn.MAXIFS(Metas!J:J,Metas!A:A,A50,Metas!B:B,B50,Metas!D:D,D50)))</f>
        <v>0</v>
      </c>
      <c r="O50" s="11">
        <f>IF(_xlfn.MAXIFS(Metas!J:J,Metas!A:A,A50,Metas!B:B,B50,Metas!D:D,D50) = 0,N50,N50 * (1-_xlfn.MAXIFS(Metas!J:J,Metas!A:A,A50,Metas!B:B,B50,Metas!D:D,D50)))</f>
        <v>0</v>
      </c>
      <c r="P50" s="10">
        <v>0.95</v>
      </c>
      <c r="Q50" s="10">
        <v>1.1499999999999999</v>
      </c>
      <c r="R50" s="10">
        <v>1.05</v>
      </c>
      <c r="S50" s="10">
        <v>1.25</v>
      </c>
      <c r="V50" s="10">
        <f>G50</f>
        <v>0.55000000000000004</v>
      </c>
      <c r="W50" s="10">
        <v>5.0000000000000001E-3</v>
      </c>
    </row>
    <row r="51" spans="1:23">
      <c r="A51" s="7">
        <v>2026</v>
      </c>
      <c r="B51" s="7">
        <v>2</v>
      </c>
      <c r="C51" s="7" t="s">
        <v>4326</v>
      </c>
      <c r="D51" s="7" t="s">
        <v>501</v>
      </c>
      <c r="E51" s="7" t="s">
        <v>314</v>
      </c>
      <c r="F51" s="7" t="s">
        <v>4316</v>
      </c>
      <c r="G51" s="10">
        <v>0.55000000000000004</v>
      </c>
      <c r="H51" s="11">
        <v>3960</v>
      </c>
      <c r="I51" s="11">
        <f>IF(_xlfn.MAXIFS(Metas!J:J,Metas!A:A,A51,Metas!B:B,B51,Metas!D:D,D51) = 0,H51,H51 * (1-_xlfn.MAXIFS(Metas!J:J,Metas!A:A,A51,Metas!B:B,B51,Metas!D:D,D51)))</f>
        <v>3960</v>
      </c>
      <c r="L51" s="11">
        <f>IF(_xlfn.MAXIFS(Metas!J:J,Metas!A:A,A51,Metas!B:B,B51,Metas!D:D,D51) = 0,K51,K51 * (1-_xlfn.MAXIFS(Metas!J:J,Metas!A:A,A51,Metas!B:B,B51,Metas!D:D,D51)))</f>
        <v>0</v>
      </c>
      <c r="O51" s="11">
        <f>IF(_xlfn.MAXIFS(Metas!J:J,Metas!A:A,A51,Metas!B:B,B51,Metas!D:D,D51) = 0,N51,N51 * (1-_xlfn.MAXIFS(Metas!J:J,Metas!A:A,A51,Metas!B:B,B51,Metas!D:D,D51)))</f>
        <v>0</v>
      </c>
      <c r="P51" s="10">
        <v>0.95</v>
      </c>
      <c r="Q51" s="10">
        <v>1.1499999999999999</v>
      </c>
      <c r="R51" s="10">
        <v>1.05</v>
      </c>
      <c r="S51" s="10">
        <v>1.25</v>
      </c>
      <c r="V51" s="10">
        <f>G51</f>
        <v>0.55000000000000004</v>
      </c>
      <c r="W51" s="10">
        <v>0.02</v>
      </c>
    </row>
    <row r="52" spans="1:23">
      <c r="A52" s="7">
        <v>2026</v>
      </c>
      <c r="B52" s="7">
        <v>2</v>
      </c>
      <c r="C52" s="7" t="s">
        <v>4327</v>
      </c>
      <c r="D52" s="7" t="s">
        <v>313</v>
      </c>
      <c r="E52" s="7" t="s">
        <v>314</v>
      </c>
      <c r="F52" s="7" t="s">
        <v>4316</v>
      </c>
      <c r="G52" s="10">
        <v>0.55000000000000004</v>
      </c>
      <c r="H52" s="11">
        <v>4176</v>
      </c>
      <c r="I52" s="11">
        <f>IF(_xlfn.MAXIFS(Metas!J:J,Metas!A:A,A52,Metas!B:B,B52,Metas!D:D,D52) = 0,H52,H52 * (1-_xlfn.MAXIFS(Metas!J:J,Metas!A:A,A52,Metas!B:B,B52,Metas!D:D,D52)))</f>
        <v>2088</v>
      </c>
      <c r="L52" s="11">
        <f>IF(_xlfn.MAXIFS(Metas!J:J,Metas!A:A,A52,Metas!B:B,B52,Metas!D:D,D52) = 0,K52,K52 * (1-_xlfn.MAXIFS(Metas!J:J,Metas!A:A,A52,Metas!B:B,B52,Metas!D:D,D52)))</f>
        <v>0</v>
      </c>
      <c r="O52" s="11">
        <f>IF(_xlfn.MAXIFS(Metas!J:J,Metas!A:A,A52,Metas!B:B,B52,Metas!D:D,D52) = 0,N52,N52 * (1-_xlfn.MAXIFS(Metas!J:J,Metas!A:A,A52,Metas!B:B,B52,Metas!D:D,D52)))</f>
        <v>0</v>
      </c>
      <c r="P52" s="10">
        <v>0.95</v>
      </c>
      <c r="Q52" s="10">
        <v>1.1499999999999999</v>
      </c>
      <c r="R52" s="10">
        <v>1.05</v>
      </c>
      <c r="S52" s="10">
        <v>1.25</v>
      </c>
      <c r="V52" s="10">
        <f>G52</f>
        <v>0.55000000000000004</v>
      </c>
      <c r="W52" s="10">
        <v>0.02</v>
      </c>
    </row>
    <row r="53" spans="1:23">
      <c r="A53" s="7">
        <v>2026</v>
      </c>
      <c r="B53" s="7">
        <v>2</v>
      </c>
      <c r="C53" s="7" t="s">
        <v>4328</v>
      </c>
      <c r="D53" s="7" t="s">
        <v>1073</v>
      </c>
      <c r="E53" s="7" t="s">
        <v>314</v>
      </c>
      <c r="F53" s="7" t="s">
        <v>4316</v>
      </c>
      <c r="G53" s="10">
        <v>0.55000000000000004</v>
      </c>
      <c r="H53" s="11">
        <v>3564</v>
      </c>
      <c r="I53" s="11">
        <f>IF(_xlfn.MAXIFS(Metas!J:J,Metas!A:A,A53,Metas!B:B,B53,Metas!D:D,D53) = 0,H53,H53 * (1-_xlfn.MAXIFS(Metas!J:J,Metas!A:A,A53,Metas!B:B,B53,Metas!D:D,D53)))</f>
        <v>3564</v>
      </c>
      <c r="L53" s="11">
        <f>IF(_xlfn.MAXIFS(Metas!J:J,Metas!A:A,A53,Metas!B:B,B53,Metas!D:D,D53) = 0,K53,K53 * (1-_xlfn.MAXIFS(Metas!J:J,Metas!A:A,A53,Metas!B:B,B53,Metas!D:D,D53)))</f>
        <v>0</v>
      </c>
      <c r="O53" s="11">
        <f>IF(_xlfn.MAXIFS(Metas!J:J,Metas!A:A,A53,Metas!B:B,B53,Metas!D:D,D53) = 0,N53,N53 * (1-_xlfn.MAXIFS(Metas!J:J,Metas!A:A,A53,Metas!B:B,B53,Metas!D:D,D53)))</f>
        <v>0</v>
      </c>
      <c r="P53" s="10">
        <v>0.95</v>
      </c>
      <c r="Q53" s="10">
        <v>1.1499999999999999</v>
      </c>
      <c r="R53" s="10">
        <v>1.05</v>
      </c>
      <c r="S53" s="10">
        <v>1.25</v>
      </c>
      <c r="V53" s="10">
        <f>G53</f>
        <v>0.55000000000000004</v>
      </c>
      <c r="W53" s="10">
        <v>0.02</v>
      </c>
    </row>
    <row r="54" spans="1:23">
      <c r="A54" s="7">
        <v>2026</v>
      </c>
      <c r="B54" s="7">
        <v>2</v>
      </c>
      <c r="C54" s="7" t="s">
        <v>4329</v>
      </c>
      <c r="D54" s="7" t="s">
        <v>1210</v>
      </c>
      <c r="E54" s="7" t="s">
        <v>91</v>
      </c>
      <c r="F54" s="7" t="s">
        <v>4316</v>
      </c>
      <c r="G54" s="10">
        <v>0.55000000000000004</v>
      </c>
      <c r="H54" s="11">
        <v>4176</v>
      </c>
      <c r="I54" s="11">
        <f>IF(_xlfn.MAXIFS(Metas!J:J,Metas!A:A,A54,Metas!B:B,B54,Metas!D:D,D54) = 0,H54,H54 * (1-_xlfn.MAXIFS(Metas!J:J,Metas!A:A,A54,Metas!B:B,B54,Metas!D:D,D54)))</f>
        <v>1252.8000000000002</v>
      </c>
      <c r="L54" s="11">
        <f>IF(_xlfn.MAXIFS(Metas!J:J,Metas!A:A,A54,Metas!B:B,B54,Metas!D:D,D54) = 0,K54,K54 * (1-_xlfn.MAXIFS(Metas!J:J,Metas!A:A,A54,Metas!B:B,B54,Metas!D:D,D54)))</f>
        <v>0</v>
      </c>
      <c r="O54" s="11">
        <f>IF(_xlfn.MAXIFS(Metas!J:J,Metas!A:A,A54,Metas!B:B,B54,Metas!D:D,D54) = 0,N54,N54 * (1-_xlfn.MAXIFS(Metas!J:J,Metas!A:A,A54,Metas!B:B,B54,Metas!D:D,D54)))</f>
        <v>0</v>
      </c>
      <c r="P54" s="10">
        <v>0.95</v>
      </c>
      <c r="Q54" s="10">
        <v>1.1499999999999999</v>
      </c>
      <c r="R54" s="10">
        <v>1.05</v>
      </c>
      <c r="S54" s="10">
        <v>1.25</v>
      </c>
      <c r="V54" s="10">
        <f>G54</f>
        <v>0.55000000000000004</v>
      </c>
      <c r="W54" s="10">
        <v>0.02</v>
      </c>
    </row>
    <row r="55" spans="1:23">
      <c r="A55" s="7">
        <v>2026</v>
      </c>
      <c r="B55" s="7">
        <v>2</v>
      </c>
      <c r="C55" s="7" t="s">
        <v>4330</v>
      </c>
      <c r="D55" s="7" t="s">
        <v>129</v>
      </c>
      <c r="E55" s="7" t="s">
        <v>91</v>
      </c>
      <c r="F55" s="7" t="s">
        <v>4316</v>
      </c>
      <c r="G55" s="10">
        <v>0.55000000000000004</v>
      </c>
      <c r="H55" s="11">
        <v>4176</v>
      </c>
      <c r="I55" s="11">
        <f>IF(_xlfn.MAXIFS(Metas!J:J,Metas!A:A,A55,Metas!B:B,B55,Metas!D:D,D55) = 0,H55,H55 * (1-_xlfn.MAXIFS(Metas!J:J,Metas!A:A,A55,Metas!B:B,B55,Metas!D:D,D55)))</f>
        <v>4176</v>
      </c>
      <c r="L55" s="11">
        <f>IF(_xlfn.MAXIFS(Metas!J:J,Metas!A:A,A55,Metas!B:B,B55,Metas!D:D,D55) = 0,K55,K55 * (1-_xlfn.MAXIFS(Metas!J:J,Metas!A:A,A55,Metas!B:B,B55,Metas!D:D,D55)))</f>
        <v>0</v>
      </c>
      <c r="O55" s="11">
        <f>IF(_xlfn.MAXIFS(Metas!J:J,Metas!A:A,A55,Metas!B:B,B55,Metas!D:D,D55) = 0,N55,N55 * (1-_xlfn.MAXIFS(Metas!J:J,Metas!A:A,A55,Metas!B:B,B55,Metas!D:D,D55)))</f>
        <v>0</v>
      </c>
      <c r="P55" s="10">
        <v>0.95</v>
      </c>
      <c r="Q55" s="10">
        <v>1.1499999999999999</v>
      </c>
      <c r="R55" s="10">
        <v>1.05</v>
      </c>
      <c r="S55" s="10">
        <v>1.25</v>
      </c>
      <c r="V55" s="10">
        <f>G55</f>
        <v>0.55000000000000004</v>
      </c>
      <c r="W55" s="10">
        <v>0.02</v>
      </c>
    </row>
    <row r="56" spans="1:23">
      <c r="A56" s="7">
        <v>2026</v>
      </c>
      <c r="B56" s="7">
        <v>2</v>
      </c>
      <c r="C56" s="7" t="s">
        <v>4331</v>
      </c>
      <c r="D56" s="7" t="s">
        <v>90</v>
      </c>
      <c r="E56" s="7" t="s">
        <v>91</v>
      </c>
      <c r="F56" s="7" t="s">
        <v>4316</v>
      </c>
      <c r="G56" s="10">
        <v>0.55000000000000004</v>
      </c>
      <c r="H56" s="11">
        <v>4176</v>
      </c>
      <c r="I56" s="11">
        <f>IF(_xlfn.MAXIFS(Metas!J:J,Metas!A:A,A56,Metas!B:B,B56,Metas!D:D,D56) = 0,H56,H56 * (1-_xlfn.MAXIFS(Metas!J:J,Metas!A:A,A56,Metas!B:B,B56,Metas!D:D,D56)))</f>
        <v>4176</v>
      </c>
      <c r="L56" s="11">
        <f>IF(_xlfn.MAXIFS(Metas!J:J,Metas!A:A,A56,Metas!B:B,B56,Metas!D:D,D56) = 0,K56,K56 * (1-_xlfn.MAXIFS(Metas!J:J,Metas!A:A,A56,Metas!B:B,B56,Metas!D:D,D56)))</f>
        <v>0</v>
      </c>
      <c r="O56" s="11">
        <f>IF(_xlfn.MAXIFS(Metas!J:J,Metas!A:A,A56,Metas!B:B,B56,Metas!D:D,D56) = 0,N56,N56 * (1-_xlfn.MAXIFS(Metas!J:J,Metas!A:A,A56,Metas!B:B,B56,Metas!D:D,D56)))</f>
        <v>0</v>
      </c>
      <c r="P56" s="10">
        <v>0.95</v>
      </c>
      <c r="Q56" s="10">
        <v>1.1499999999999999</v>
      </c>
      <c r="R56" s="10">
        <v>1.05</v>
      </c>
      <c r="S56" s="10">
        <v>1.25</v>
      </c>
      <c r="V56" s="10">
        <f>G56</f>
        <v>0.55000000000000004</v>
      </c>
      <c r="W56" s="10">
        <v>0.02</v>
      </c>
    </row>
    <row r="57" spans="1:23">
      <c r="A57" s="7">
        <v>2026</v>
      </c>
      <c r="B57" s="7">
        <v>2</v>
      </c>
      <c r="C57" s="7" t="s">
        <v>4332</v>
      </c>
      <c r="D57" s="7" t="s">
        <v>668</v>
      </c>
      <c r="E57" s="7" t="s">
        <v>91</v>
      </c>
      <c r="F57" s="7" t="s">
        <v>4316</v>
      </c>
      <c r="G57" s="10">
        <v>0.55000000000000004</v>
      </c>
      <c r="H57" s="11">
        <v>5297</v>
      </c>
      <c r="I57" s="11">
        <f>IF(_xlfn.MAXIFS(Metas!J:J,Metas!A:A,A57,Metas!B:B,B57,Metas!D:D,D57) = 0,H57,H57 * (1-_xlfn.MAXIFS(Metas!J:J,Metas!A:A,A57,Metas!B:B,B57,Metas!D:D,D57)))</f>
        <v>3496.0199999999995</v>
      </c>
      <c r="L57" s="11">
        <f>IF(_xlfn.MAXIFS(Metas!J:J,Metas!A:A,A57,Metas!B:B,B57,Metas!D:D,D57) = 0,K57,K57 * (1-_xlfn.MAXIFS(Metas!J:J,Metas!A:A,A57,Metas!B:B,B57,Metas!D:D,D57)))</f>
        <v>0</v>
      </c>
      <c r="O57" s="11">
        <f>IF(_xlfn.MAXIFS(Metas!J:J,Metas!A:A,A57,Metas!B:B,B57,Metas!D:D,D57) = 0,N57,N57 * (1-_xlfn.MAXIFS(Metas!J:J,Metas!A:A,A57,Metas!B:B,B57,Metas!D:D,D57)))</f>
        <v>0</v>
      </c>
      <c r="P57" s="10">
        <v>0.95</v>
      </c>
      <c r="Q57" s="10">
        <v>1.1499999999999999</v>
      </c>
      <c r="R57" s="10">
        <v>1.05</v>
      </c>
      <c r="S57" s="10">
        <v>1.25</v>
      </c>
      <c r="V57" s="10">
        <f>G57</f>
        <v>0.55000000000000004</v>
      </c>
      <c r="W57" s="10">
        <v>0.02</v>
      </c>
    </row>
    <row r="58" spans="1:23">
      <c r="A58" s="7">
        <v>2026</v>
      </c>
      <c r="B58" s="7">
        <v>2</v>
      </c>
      <c r="C58" s="7" t="s">
        <v>4333</v>
      </c>
      <c r="D58" s="7" t="s">
        <v>348</v>
      </c>
      <c r="E58" s="7" t="s">
        <v>349</v>
      </c>
      <c r="F58" s="7" t="s">
        <v>4316</v>
      </c>
      <c r="G58" s="10">
        <v>0.55000000000000004</v>
      </c>
      <c r="H58" s="11">
        <v>4176</v>
      </c>
      <c r="I58" s="11">
        <f>IF(_xlfn.MAXIFS(Metas!J:J,Metas!A:A,A58,Metas!B:B,B58,Metas!D:D,D58) = 0,H58,H58 * (1-_xlfn.MAXIFS(Metas!J:J,Metas!A:A,A58,Metas!B:B,B58,Metas!D:D,D58)))</f>
        <v>4176</v>
      </c>
      <c r="L58" s="11">
        <f>IF(_xlfn.MAXIFS(Metas!J:J,Metas!A:A,A58,Metas!B:B,B58,Metas!D:D,D58) = 0,K58,K58 * (1-_xlfn.MAXIFS(Metas!J:J,Metas!A:A,A58,Metas!B:B,B58,Metas!D:D,D58)))</f>
        <v>0</v>
      </c>
      <c r="O58" s="11">
        <f>IF(_xlfn.MAXIFS(Metas!J:J,Metas!A:A,A58,Metas!B:B,B58,Metas!D:D,D58) = 0,N58,N58 * (1-_xlfn.MAXIFS(Metas!J:J,Metas!A:A,A58,Metas!B:B,B58,Metas!D:D,D58)))</f>
        <v>0</v>
      </c>
      <c r="P58" s="10">
        <v>0.95</v>
      </c>
      <c r="Q58" s="10">
        <v>1.1499999999999999</v>
      </c>
      <c r="R58" s="10">
        <v>1.05</v>
      </c>
      <c r="S58" s="10">
        <v>1.25</v>
      </c>
      <c r="V58" s="10">
        <f>G58</f>
        <v>0.55000000000000004</v>
      </c>
      <c r="W58" s="10">
        <v>0.02</v>
      </c>
    </row>
    <row r="59" spans="1:23">
      <c r="A59" s="7">
        <v>2026</v>
      </c>
      <c r="B59" s="7">
        <v>2</v>
      </c>
      <c r="C59" s="7" t="s">
        <v>4334</v>
      </c>
      <c r="D59" s="7" t="s">
        <v>361</v>
      </c>
      <c r="E59" s="7" t="s">
        <v>349</v>
      </c>
      <c r="F59" s="7" t="s">
        <v>4316</v>
      </c>
      <c r="G59" s="10">
        <v>0.55000000000000004</v>
      </c>
      <c r="H59" s="11">
        <v>4176</v>
      </c>
      <c r="I59" s="11">
        <f>IF(_xlfn.MAXIFS(Metas!J:J,Metas!A:A,A59,Metas!B:B,B59,Metas!D:D,D59) = 0,H59,H59 * (1-_xlfn.MAXIFS(Metas!J:J,Metas!A:A,A59,Metas!B:B,B59,Metas!D:D,D59)))</f>
        <v>2088</v>
      </c>
      <c r="L59" s="11">
        <f>IF(_xlfn.MAXIFS(Metas!J:J,Metas!A:A,A59,Metas!B:B,B59,Metas!D:D,D59) = 0,K59,K59 * (1-_xlfn.MAXIFS(Metas!J:J,Metas!A:A,A59,Metas!B:B,B59,Metas!D:D,D59)))</f>
        <v>0</v>
      </c>
      <c r="O59" s="11">
        <f>IF(_xlfn.MAXIFS(Metas!J:J,Metas!A:A,A59,Metas!B:B,B59,Metas!D:D,D59) = 0,N59,N59 * (1-_xlfn.MAXIFS(Metas!J:J,Metas!A:A,A59,Metas!B:B,B59,Metas!D:D,D59)))</f>
        <v>0</v>
      </c>
      <c r="P59" s="10">
        <v>0.95</v>
      </c>
      <c r="Q59" s="10">
        <v>1.1499999999999999</v>
      </c>
      <c r="R59" s="10">
        <v>1.05</v>
      </c>
      <c r="S59" s="10">
        <v>1.25</v>
      </c>
      <c r="V59" s="10">
        <f>G59</f>
        <v>0.55000000000000004</v>
      </c>
      <c r="W59" s="10">
        <v>0.02</v>
      </c>
    </row>
    <row r="60" spans="1:23">
      <c r="A60" s="7">
        <v>2026</v>
      </c>
      <c r="B60" s="7">
        <v>2</v>
      </c>
      <c r="C60" s="7" t="s">
        <v>4335</v>
      </c>
      <c r="D60" s="7" t="s">
        <v>190</v>
      </c>
      <c r="E60" s="7" t="s">
        <v>191</v>
      </c>
      <c r="F60" s="7" t="s">
        <v>4316</v>
      </c>
      <c r="G60" s="10">
        <v>0.55000000000000004</v>
      </c>
      <c r="H60" s="11">
        <v>3240</v>
      </c>
      <c r="I60" s="11">
        <f>IF(_xlfn.MAXIFS(Metas!J:J,Metas!A:A,A60,Metas!B:B,B60,Metas!D:D,D60) = 0,H60,H60 * (1-_xlfn.MAXIFS(Metas!J:J,Metas!A:A,A60,Metas!B:B,B60,Metas!D:D,D60)))</f>
        <v>1944</v>
      </c>
      <c r="L60" s="11">
        <f>IF(_xlfn.MAXIFS(Metas!J:J,Metas!A:A,A60,Metas!B:B,B60,Metas!D:D,D60) = 0,K60,K60 * (1-_xlfn.MAXIFS(Metas!J:J,Metas!A:A,A60,Metas!B:B,B60,Metas!D:D,D60)))</f>
        <v>0</v>
      </c>
      <c r="O60" s="11">
        <f>IF(_xlfn.MAXIFS(Metas!J:J,Metas!A:A,A60,Metas!B:B,B60,Metas!D:D,D60) = 0,N60,N60 * (1-_xlfn.MAXIFS(Metas!J:J,Metas!A:A,A60,Metas!B:B,B60,Metas!D:D,D60)))</f>
        <v>0</v>
      </c>
      <c r="P60" s="10">
        <v>0.95</v>
      </c>
      <c r="Q60" s="10">
        <v>1.1499999999999999</v>
      </c>
      <c r="R60" s="10">
        <v>1.05</v>
      </c>
      <c r="S60" s="10">
        <v>1.25</v>
      </c>
      <c r="V60" s="10">
        <f>G60</f>
        <v>0.55000000000000004</v>
      </c>
      <c r="W60" s="10">
        <v>0.02</v>
      </c>
    </row>
    <row r="61" spans="1:23">
      <c r="A61" s="7">
        <v>2026</v>
      </c>
      <c r="B61" s="7">
        <v>2</v>
      </c>
      <c r="C61" s="7" t="s">
        <v>4336</v>
      </c>
      <c r="D61" s="7" t="s">
        <v>323</v>
      </c>
      <c r="E61" s="7" t="s">
        <v>191</v>
      </c>
      <c r="F61" s="7" t="s">
        <v>4316</v>
      </c>
      <c r="G61" s="10">
        <v>0.55000000000000004</v>
      </c>
      <c r="H61" s="11">
        <v>6480</v>
      </c>
      <c r="I61" s="11">
        <f>IF(_xlfn.MAXIFS(Metas!J:J,Metas!A:A,A61,Metas!B:B,B61,Metas!D:D,D61) = 0,H61,H61 * (1-_xlfn.MAXIFS(Metas!J:J,Metas!A:A,A61,Metas!B:B,B61,Metas!D:D,D61)))</f>
        <v>5054.4000000000005</v>
      </c>
      <c r="J61" s="9">
        <v>1</v>
      </c>
      <c r="K61" s="11">
        <v>8100</v>
      </c>
      <c r="L61" s="11">
        <f>IF(_xlfn.MAXIFS(Metas!J:J,Metas!A:A,A61,Metas!B:B,B61,Metas!D:D,D61) = 0,K61,K61 * (1-_xlfn.MAXIFS(Metas!J:J,Metas!A:A,A61,Metas!B:B,B61,Metas!D:D,D61)))</f>
        <v>6318</v>
      </c>
      <c r="O61" s="11">
        <f>IF(_xlfn.MAXIFS(Metas!J:J,Metas!A:A,A61,Metas!B:B,B61,Metas!D:D,D61) = 0,N61,N61 * (1-_xlfn.MAXIFS(Metas!J:J,Metas!A:A,A61,Metas!B:B,B61,Metas!D:D,D61)))</f>
        <v>0</v>
      </c>
      <c r="P61" s="10">
        <v>0.95</v>
      </c>
      <c r="Q61" s="10">
        <v>1.1499999999999999</v>
      </c>
      <c r="R61" s="10">
        <v>1.05</v>
      </c>
      <c r="S61" s="10">
        <v>1.25</v>
      </c>
      <c r="V61" s="10">
        <f>G61</f>
        <v>0.55000000000000004</v>
      </c>
      <c r="W61" s="10">
        <v>0.02</v>
      </c>
    </row>
    <row r="62" spans="1:23">
      <c r="A62" s="7">
        <v>2026</v>
      </c>
      <c r="B62" s="7">
        <v>2</v>
      </c>
      <c r="C62" s="7" t="s">
        <v>4337</v>
      </c>
      <c r="D62" s="7" t="s">
        <v>804</v>
      </c>
      <c r="E62" s="7" t="s">
        <v>191</v>
      </c>
      <c r="F62" s="7" t="s">
        <v>4316</v>
      </c>
      <c r="G62" s="10">
        <v>0.55000000000000004</v>
      </c>
      <c r="H62" s="11">
        <v>3240</v>
      </c>
      <c r="I62" s="11">
        <f>IF(_xlfn.MAXIFS(Metas!J:J,Metas!A:A,A62,Metas!B:B,B62,Metas!D:D,D62) = 0,H62,H62 * (1-_xlfn.MAXIFS(Metas!J:J,Metas!A:A,A62,Metas!B:B,B62,Metas!D:D,D62)))</f>
        <v>3240</v>
      </c>
      <c r="L62" s="11">
        <f>IF(_xlfn.MAXIFS(Metas!J:J,Metas!A:A,A62,Metas!B:B,B62,Metas!D:D,D62) = 0,K62,K62 * (1-_xlfn.MAXIFS(Metas!J:J,Metas!A:A,A62,Metas!B:B,B62,Metas!D:D,D62)))</f>
        <v>0</v>
      </c>
      <c r="O62" s="11">
        <f>IF(_xlfn.MAXIFS(Metas!J:J,Metas!A:A,A62,Metas!B:B,B62,Metas!D:D,D62) = 0,N62,N62 * (1-_xlfn.MAXIFS(Metas!J:J,Metas!A:A,A62,Metas!B:B,B62,Metas!D:D,D62)))</f>
        <v>0</v>
      </c>
      <c r="P62" s="10">
        <v>0.95</v>
      </c>
      <c r="Q62" s="10">
        <v>1.1499999999999999</v>
      </c>
      <c r="R62" s="10">
        <v>1.05</v>
      </c>
      <c r="S62" s="10">
        <v>1.25</v>
      </c>
      <c r="V62" s="10">
        <f>G62</f>
        <v>0.55000000000000004</v>
      </c>
      <c r="W62" s="10">
        <v>0.02</v>
      </c>
    </row>
    <row r="63" spans="1:23">
      <c r="A63" s="7">
        <v>2026</v>
      </c>
      <c r="B63" s="7">
        <v>2</v>
      </c>
      <c r="C63" s="7" t="s">
        <v>4338</v>
      </c>
      <c r="D63" s="7" t="s">
        <v>367</v>
      </c>
      <c r="E63" s="7" t="s">
        <v>191</v>
      </c>
      <c r="F63" s="7" t="s">
        <v>4316</v>
      </c>
      <c r="G63" s="10">
        <v>0.55000000000000004</v>
      </c>
      <c r="H63" s="11">
        <v>9200</v>
      </c>
      <c r="I63" s="11">
        <f>IF(_xlfn.MAXIFS(Metas!J:J,Metas!A:A,A63,Metas!B:B,B63,Metas!D:D,D63) = 0,H63,H63 * (1-_xlfn.MAXIFS(Metas!J:J,Metas!A:A,A63,Metas!B:B,B63,Metas!D:D,D63)))</f>
        <v>5796</v>
      </c>
      <c r="J63" s="9">
        <v>1</v>
      </c>
      <c r="K63" s="11">
        <v>11500</v>
      </c>
      <c r="L63" s="11">
        <f>IF(_xlfn.MAXIFS(Metas!J:J,Metas!A:A,A63,Metas!B:B,B63,Metas!D:D,D63) = 0,K63,K63 * (1-_xlfn.MAXIFS(Metas!J:J,Metas!A:A,A63,Metas!B:B,B63,Metas!D:D,D63)))</f>
        <v>7245</v>
      </c>
      <c r="O63" s="11">
        <f>IF(_xlfn.MAXIFS(Metas!J:J,Metas!A:A,A63,Metas!B:B,B63,Metas!D:D,D63) = 0,N63,N63 * (1-_xlfn.MAXIFS(Metas!J:J,Metas!A:A,A63,Metas!B:B,B63,Metas!D:D,D63)))</f>
        <v>0</v>
      </c>
      <c r="P63" s="10">
        <v>0.95</v>
      </c>
      <c r="Q63" s="10">
        <v>1.1499999999999999</v>
      </c>
      <c r="R63" s="10">
        <v>1.05</v>
      </c>
      <c r="S63" s="10">
        <v>1.25</v>
      </c>
      <c r="V63" s="10">
        <f>G63</f>
        <v>0.55000000000000004</v>
      </c>
      <c r="W63" s="10">
        <v>0.02</v>
      </c>
    </row>
    <row r="64" spans="1:23">
      <c r="A64" s="7">
        <v>2026</v>
      </c>
      <c r="B64" s="7">
        <v>2</v>
      </c>
      <c r="C64" s="7" t="s">
        <v>4339</v>
      </c>
      <c r="D64" s="7" t="s">
        <v>520</v>
      </c>
      <c r="E64" s="7" t="s">
        <v>191</v>
      </c>
      <c r="F64" s="7" t="s">
        <v>4316</v>
      </c>
      <c r="G64" s="10">
        <v>0.55000000000000004</v>
      </c>
      <c r="H64" s="11">
        <v>4176</v>
      </c>
      <c r="I64" s="11">
        <f>IF(_xlfn.MAXIFS(Metas!J:J,Metas!A:A,A64,Metas!B:B,B64,Metas!D:D,D64) = 0,H64,H64 * (1-_xlfn.MAXIFS(Metas!J:J,Metas!A:A,A64,Metas!B:B,B64,Metas!D:D,D64)))</f>
        <v>2046.24</v>
      </c>
      <c r="L64" s="11">
        <f>IF(_xlfn.MAXIFS(Metas!J:J,Metas!A:A,A64,Metas!B:B,B64,Metas!D:D,D64) = 0,K64,K64 * (1-_xlfn.MAXIFS(Metas!J:J,Metas!A:A,A64,Metas!B:B,B64,Metas!D:D,D64)))</f>
        <v>0</v>
      </c>
      <c r="O64" s="11">
        <f>IF(_xlfn.MAXIFS(Metas!J:J,Metas!A:A,A64,Metas!B:B,B64,Metas!D:D,D64) = 0,N64,N64 * (1-_xlfn.MAXIFS(Metas!J:J,Metas!A:A,A64,Metas!B:B,B64,Metas!D:D,D64)))</f>
        <v>0</v>
      </c>
      <c r="P64" s="10">
        <v>0.95</v>
      </c>
      <c r="Q64" s="10">
        <v>1.1499999999999999</v>
      </c>
      <c r="R64" s="10">
        <v>1.05</v>
      </c>
      <c r="S64" s="10">
        <v>1.25</v>
      </c>
      <c r="V64" s="10">
        <f>G64</f>
        <v>0.55000000000000004</v>
      </c>
      <c r="W64" s="10">
        <v>0.02</v>
      </c>
    </row>
    <row r="65" spans="1:23">
      <c r="A65" s="7">
        <v>2026</v>
      </c>
      <c r="B65" s="7">
        <v>2</v>
      </c>
      <c r="C65" s="7" t="s">
        <v>4340</v>
      </c>
      <c r="D65" s="7" t="s">
        <v>469</v>
      </c>
      <c r="E65" s="7" t="s">
        <v>191</v>
      </c>
      <c r="F65" s="7" t="s">
        <v>4316</v>
      </c>
      <c r="G65" s="10">
        <v>0.55000000000000004</v>
      </c>
      <c r="H65" s="11">
        <v>3240</v>
      </c>
      <c r="I65" s="11">
        <f>IF(_xlfn.MAXIFS(Metas!J:J,Metas!A:A,A65,Metas!B:B,B65,Metas!D:D,D65) = 0,H65,H65 * (1-_xlfn.MAXIFS(Metas!J:J,Metas!A:A,A65,Metas!B:B,B65,Metas!D:D,D65)))</f>
        <v>3240</v>
      </c>
      <c r="L65" s="11">
        <f>IF(_xlfn.MAXIFS(Metas!J:J,Metas!A:A,A65,Metas!B:B,B65,Metas!D:D,D65) = 0,K65,K65 * (1-_xlfn.MAXIFS(Metas!J:J,Metas!A:A,A65,Metas!B:B,B65,Metas!D:D,D65)))</f>
        <v>0</v>
      </c>
      <c r="O65" s="11">
        <f>IF(_xlfn.MAXIFS(Metas!J:J,Metas!A:A,A65,Metas!B:B,B65,Metas!D:D,D65) = 0,N65,N65 * (1-_xlfn.MAXIFS(Metas!J:J,Metas!A:A,A65,Metas!B:B,B65,Metas!D:D,D65)))</f>
        <v>0</v>
      </c>
      <c r="P65" s="10">
        <v>0.95</v>
      </c>
      <c r="Q65" s="10">
        <v>1.1499999999999999</v>
      </c>
      <c r="R65" s="10">
        <v>1.05</v>
      </c>
      <c r="S65" s="10">
        <v>1.25</v>
      </c>
      <c r="V65" s="10">
        <f>G65</f>
        <v>0.55000000000000004</v>
      </c>
      <c r="W65" s="10">
        <v>0.02</v>
      </c>
    </row>
    <row r="66" spans="1:23">
      <c r="A66" s="7">
        <v>2026</v>
      </c>
      <c r="B66" s="7">
        <v>2</v>
      </c>
      <c r="C66" s="7" t="s">
        <v>4326</v>
      </c>
      <c r="D66" s="7" t="s">
        <v>501</v>
      </c>
      <c r="E66" s="7" t="s">
        <v>300</v>
      </c>
      <c r="F66" s="7" t="s">
        <v>4318</v>
      </c>
      <c r="G66" s="10">
        <v>0.6</v>
      </c>
      <c r="H66" s="11">
        <v>4879</v>
      </c>
      <c r="I66" s="11">
        <f>IF(_xlfn.MAXIFS(Metas!J:J,Metas!A:A,A66,Metas!B:B,B66,Metas!D:D,D66,Metas!E:E,E66) = 0,H66,H66 * (1-_xlfn.MAXIFS(Metas!J:J,Metas!A:A,A66,Metas!B:B,B66,Metas!D:D,D66,Metas!E:E,E66)))</f>
        <v>4879</v>
      </c>
      <c r="L66" s="11">
        <f>IF(_xlfn.MAXIFS(Metas!J:J,Metas!A:A,A66,Metas!B:B,B66,Metas!D:D,D66) = 0,K66,K66 * (1-_xlfn.MAXIFS(Metas!J:J,Metas!A:A,A66,Metas!B:B,B66,Metas!D:D,D66)))</f>
        <v>0</v>
      </c>
      <c r="O66" s="11">
        <f>IF(_xlfn.MAXIFS(Metas!J:J,Metas!A:A,A66,Metas!B:B,B66,Metas!D:D,D66) = 0,N66,N66 * (1-_xlfn.MAXIFS(Metas!J:J,Metas!A:A,A66,Metas!B:B,B66,Metas!D:D,D66)))</f>
        <v>0</v>
      </c>
      <c r="P66" s="10">
        <v>0.95</v>
      </c>
      <c r="Q66" s="10">
        <v>1.1499999999999999</v>
      </c>
      <c r="R66" s="10">
        <v>1.05</v>
      </c>
      <c r="S66" s="10">
        <v>1.25</v>
      </c>
      <c r="V66" s="10">
        <f>G66</f>
        <v>0.6</v>
      </c>
      <c r="W66" s="10">
        <v>0.02</v>
      </c>
    </row>
    <row r="67" spans="1:23">
      <c r="A67" s="7">
        <v>2026</v>
      </c>
      <c r="B67" s="7">
        <v>2</v>
      </c>
      <c r="C67" s="7" t="s">
        <v>4341</v>
      </c>
      <c r="D67" s="7" t="s">
        <v>299</v>
      </c>
      <c r="E67" s="7" t="s">
        <v>300</v>
      </c>
      <c r="F67" s="7" t="s">
        <v>4316</v>
      </c>
      <c r="G67" s="10">
        <v>0.6</v>
      </c>
      <c r="H67" s="11">
        <v>3240</v>
      </c>
      <c r="I67" s="11">
        <f>IF(_xlfn.MAXIFS(Metas!J:J,Metas!A:A,A67,Metas!B:B,B67,Metas!D:D,D67) = 0,H67,H67 * (1-_xlfn.MAXIFS(Metas!J:J,Metas!A:A,A67,Metas!B:B,B67,Metas!D:D,D67)))</f>
        <v>1620</v>
      </c>
      <c r="L67" s="11">
        <f>IF(_xlfn.MAXIFS(Metas!J:J,Metas!A:A,A67,Metas!B:B,B67,Metas!D:D,D67) = 0,K67,K67 * (1-_xlfn.MAXIFS(Metas!J:J,Metas!A:A,A67,Metas!B:B,B67,Metas!D:D,D67)))</f>
        <v>0</v>
      </c>
      <c r="O67" s="11">
        <f>IF(_xlfn.MAXIFS(Metas!J:J,Metas!A:A,A67,Metas!B:B,B67,Metas!D:D,D67) = 0,N67,N67 * (1-_xlfn.MAXIFS(Metas!J:J,Metas!A:A,A67,Metas!B:B,B67,Metas!D:D,D67)))</f>
        <v>0</v>
      </c>
      <c r="P67" s="10">
        <v>0.95</v>
      </c>
      <c r="Q67" s="10">
        <v>1.1499999999999999</v>
      </c>
      <c r="R67" s="10">
        <v>1.05</v>
      </c>
      <c r="S67" s="10">
        <v>1.25</v>
      </c>
      <c r="V67" s="10">
        <f>G67</f>
        <v>0.6</v>
      </c>
      <c r="W67" s="10">
        <v>0.02</v>
      </c>
    </row>
    <row r="68" spans="1:23">
      <c r="A68" s="7">
        <v>2026</v>
      </c>
      <c r="B68" s="7">
        <v>2</v>
      </c>
      <c r="C68" s="7" t="s">
        <v>4342</v>
      </c>
      <c r="D68" s="7" t="s">
        <v>506</v>
      </c>
      <c r="E68" s="7" t="s">
        <v>300</v>
      </c>
      <c r="F68" s="7" t="s">
        <v>4316</v>
      </c>
      <c r="G68" s="10">
        <v>0.6</v>
      </c>
      <c r="H68" s="11">
        <v>3240</v>
      </c>
      <c r="I68" s="11">
        <f>IF(_xlfn.MAXIFS(Metas!J:J,Metas!A:A,A68,Metas!B:B,B68,Metas!D:D,D68) = 0,H68,H68 * (1-_xlfn.MAXIFS(Metas!J:J,Metas!A:A,A68,Metas!B:B,B68,Metas!D:D,D68)))</f>
        <v>3240</v>
      </c>
      <c r="L68" s="11">
        <f>IF(_xlfn.MAXIFS(Metas!J:J,Metas!A:A,A68,Metas!B:B,B68,Metas!D:D,D68) = 0,K68,K68 * (1-_xlfn.MAXIFS(Metas!J:J,Metas!A:A,A68,Metas!B:B,B68,Metas!D:D,D68)))</f>
        <v>0</v>
      </c>
      <c r="O68" s="11">
        <f>IF(_xlfn.MAXIFS(Metas!J:J,Metas!A:A,A68,Metas!B:B,B68,Metas!D:D,D68) = 0,N68,N68 * (1-_xlfn.MAXIFS(Metas!J:J,Metas!A:A,A68,Metas!B:B,B68,Metas!D:D,D68)))</f>
        <v>0</v>
      </c>
      <c r="P68" s="10">
        <v>0.95</v>
      </c>
      <c r="Q68" s="10">
        <v>1.1499999999999999</v>
      </c>
      <c r="R68" s="10">
        <v>1.05</v>
      </c>
      <c r="S68" s="10">
        <v>1.25</v>
      </c>
      <c r="V68" s="10">
        <f>G68</f>
        <v>0.6</v>
      </c>
      <c r="W68" s="10">
        <v>0.02</v>
      </c>
    </row>
    <row r="69" spans="1:23">
      <c r="A69" s="7">
        <v>2026</v>
      </c>
      <c r="B69" s="7">
        <v>2</v>
      </c>
      <c r="C69" s="7" t="s">
        <v>4343</v>
      </c>
      <c r="D69" s="7" t="s">
        <v>829</v>
      </c>
      <c r="E69" s="7" t="s">
        <v>300</v>
      </c>
      <c r="F69" s="7" t="s">
        <v>4316</v>
      </c>
      <c r="G69" s="10">
        <v>0.6</v>
      </c>
      <c r="H69" s="11">
        <v>3240</v>
      </c>
      <c r="I69" s="11">
        <f>IF(_xlfn.MAXIFS(Metas!J:J,Metas!A:A,A69,Metas!B:B,B69,Metas!D:D,D69,Metas!E:E,E69) = 0,H69,H69 * (1-_xlfn.MAXIFS(Metas!J:J,Metas!A:A,A69,Metas!B:B,B69,Metas!D:D,D69,Metas!E:E,E69)))</f>
        <v>1620</v>
      </c>
      <c r="L69" s="11">
        <f>IF(_xlfn.MAXIFS(Metas!J:J,Metas!A:A,A69,Metas!B:B,B69,Metas!D:D,D69) = 0,K69,K69 * (1-_xlfn.MAXIFS(Metas!J:J,Metas!A:A,A69,Metas!B:B,B69,Metas!D:D,D69)))</f>
        <v>0</v>
      </c>
      <c r="O69" s="11">
        <f>IF(_xlfn.MAXIFS(Metas!J:J,Metas!A:A,A69,Metas!B:B,B69,Metas!D:D,D69) = 0,N69,N69 * (1-_xlfn.MAXIFS(Metas!J:J,Metas!A:A,A69,Metas!B:B,B69,Metas!D:D,D69)))</f>
        <v>0</v>
      </c>
      <c r="P69" s="10">
        <v>0.95</v>
      </c>
      <c r="Q69" s="10">
        <v>1.1499999999999999</v>
      </c>
      <c r="R69" s="10">
        <v>1.05</v>
      </c>
      <c r="S69" s="10">
        <v>1.25</v>
      </c>
      <c r="V69" s="10">
        <f>G69</f>
        <v>0.6</v>
      </c>
      <c r="W69" s="10">
        <v>0.02</v>
      </c>
    </row>
    <row r="70" spans="1:23">
      <c r="A70" s="7">
        <v>2026</v>
      </c>
      <c r="B70" s="7">
        <v>2</v>
      </c>
      <c r="C70" s="7" t="s">
        <v>4344</v>
      </c>
      <c r="D70" s="7" t="s">
        <v>511</v>
      </c>
      <c r="E70" s="7" t="s">
        <v>300</v>
      </c>
      <c r="F70" s="7" t="s">
        <v>4316</v>
      </c>
      <c r="G70" s="10">
        <v>0.6</v>
      </c>
      <c r="H70" s="11">
        <v>3960</v>
      </c>
      <c r="I70" s="11">
        <f>IF(_xlfn.MAXIFS(Metas!J:J,Metas!A:A,A70,Metas!B:B,B70,Metas!D:D,D70) = 0,H70,H70 * (1-_xlfn.MAXIFS(Metas!J:J,Metas!A:A,A70,Metas!B:B,B70,Metas!D:D,D70)))</f>
        <v>3960</v>
      </c>
      <c r="L70" s="11">
        <f>IF(_xlfn.MAXIFS(Metas!J:J,Metas!A:A,A70,Metas!B:B,B70,Metas!D:D,D70) = 0,K70,K70 * (1-_xlfn.MAXIFS(Metas!J:J,Metas!A:A,A70,Metas!B:B,B70,Metas!D:D,D70)))</f>
        <v>0</v>
      </c>
      <c r="O70" s="11">
        <f>IF(_xlfn.MAXIFS(Metas!J:J,Metas!A:A,A70,Metas!B:B,B70,Metas!D:D,D70) = 0,N70,N70 * (1-_xlfn.MAXIFS(Metas!J:J,Metas!A:A,A70,Metas!B:B,B70,Metas!D:D,D70)))</f>
        <v>0</v>
      </c>
      <c r="P70" s="10">
        <v>0.95</v>
      </c>
      <c r="Q70" s="10">
        <v>1.1499999999999999</v>
      </c>
      <c r="R70" s="10">
        <v>1.05</v>
      </c>
      <c r="S70" s="10">
        <v>1.25</v>
      </c>
      <c r="V70" s="10">
        <f>G70</f>
        <v>0.6</v>
      </c>
      <c r="W70" s="10">
        <v>0.02</v>
      </c>
    </row>
    <row r="71" spans="1:23">
      <c r="A71" s="7">
        <v>2026</v>
      </c>
      <c r="B71" s="7">
        <v>2</v>
      </c>
      <c r="C71" s="7" t="s">
        <v>4345</v>
      </c>
      <c r="D71" s="7" t="s">
        <v>4268</v>
      </c>
      <c r="E71" s="7" t="s">
        <v>4346</v>
      </c>
      <c r="F71" s="7" t="s">
        <v>4316</v>
      </c>
      <c r="G71" s="10">
        <v>0.7</v>
      </c>
      <c r="H71" s="11">
        <v>1500</v>
      </c>
      <c r="I71" s="11">
        <f>IF(_xlfn.MAXIFS(Metas!J:J,Metas!A:A,A71,Metas!B:B,B71,Metas!D:D,D71) = 0,H71,H71 * (1-_xlfn.MAXIFS(Metas!J:J,Metas!A:A,A71,Metas!B:B,B71,Metas!D:D,D71)))</f>
        <v>1500</v>
      </c>
      <c r="L71" s="11">
        <f>IF(_xlfn.MAXIFS(Metas!J:J,Metas!A:A,A71,Metas!B:B,B71,Metas!D:D,D71) = 0,K71,K71 * (1-_xlfn.MAXIFS(Metas!J:J,Metas!A:A,A71,Metas!B:B,B71,Metas!D:D,D71)))</f>
        <v>0</v>
      </c>
      <c r="O71" s="11">
        <f>IF(_xlfn.MAXIFS(Metas!J:J,Metas!A:A,A71,Metas!B:B,B71,Metas!D:D,D71) = 0,N71,N71 * (1-_xlfn.MAXIFS(Metas!J:J,Metas!A:A,A71,Metas!B:B,B71,Metas!D:D,D71)))</f>
        <v>0</v>
      </c>
      <c r="P71" s="10">
        <v>0.95</v>
      </c>
      <c r="Q71" s="10">
        <v>1.1499999999999999</v>
      </c>
      <c r="R71" s="10">
        <v>1.05</v>
      </c>
      <c r="S71" s="10">
        <v>1.25</v>
      </c>
    </row>
    <row r="72" spans="1:23">
      <c r="A72" s="7">
        <v>2026</v>
      </c>
      <c r="B72" s="7">
        <v>2</v>
      </c>
      <c r="C72" s="7" t="s">
        <v>4349</v>
      </c>
      <c r="D72" s="7" t="s">
        <v>3446</v>
      </c>
      <c r="E72" s="7" t="s">
        <v>4346</v>
      </c>
      <c r="F72" s="7" t="s">
        <v>4316</v>
      </c>
      <c r="G72" s="10">
        <v>0.5</v>
      </c>
      <c r="H72" s="11">
        <v>1800</v>
      </c>
      <c r="I72" s="11">
        <f>IF(_xlfn.MAXIFS(Metas!J:J,Metas!A:A,A72,Metas!B:B,B72,Metas!D:D,D72) = 0,H72,H72 * (1-_xlfn.MAXIFS(Metas!J:J,Metas!A:A,A72,Metas!B:B,B72,Metas!D:D,D72)))</f>
        <v>1800</v>
      </c>
      <c r="L72" s="11">
        <f>IF(_xlfn.MAXIFS(Metas!J:J,Metas!A:A,A72,Metas!B:B,B72,Metas!D:D,D72) = 0,K72,K72 * (1-_xlfn.MAXIFS(Metas!J:J,Metas!A:A,A72,Metas!B:B,B72,Metas!D:D,D72)))</f>
        <v>0</v>
      </c>
      <c r="O72" s="11">
        <f>IF(_xlfn.MAXIFS(Metas!J:J,Metas!A:A,A72,Metas!B:B,B72,Metas!D:D,D72) = 0,N72,N72 * (1-_xlfn.MAXIFS(Metas!J:J,Metas!A:A,A72,Metas!B:B,B72,Metas!D:D,D72)))</f>
        <v>0</v>
      </c>
      <c r="P72" s="10">
        <v>0.75</v>
      </c>
      <c r="Q72" s="10">
        <v>1.1499999999999999</v>
      </c>
      <c r="R72" s="10">
        <v>0.9</v>
      </c>
      <c r="S72" s="10">
        <v>1.25</v>
      </c>
    </row>
    <row r="73" spans="1:23">
      <c r="A73" s="7">
        <v>2026</v>
      </c>
      <c r="B73" s="7">
        <v>2</v>
      </c>
      <c r="C73" s="7" t="s">
        <v>4350</v>
      </c>
      <c r="D73" s="7" t="s">
        <v>4347</v>
      </c>
      <c r="E73" s="7" t="s">
        <v>4346</v>
      </c>
      <c r="F73" s="7" t="s">
        <v>4318</v>
      </c>
      <c r="G73" s="10">
        <v>0.7</v>
      </c>
      <c r="H73" s="11">
        <v>3200</v>
      </c>
      <c r="I73" s="11">
        <f>IF(_xlfn.MAXIFS(Metas!J:J,Metas!A:A,A73,Metas!B:B,B73,Metas!D:D,D73) = 0,H73,H73 * (1-_xlfn.MAXIFS(Metas!J:J,Metas!A:A,A73,Metas!B:B,B73,Metas!D:D,D73)))</f>
        <v>3200</v>
      </c>
      <c r="L73" s="11">
        <f>IF(_xlfn.MAXIFS(Metas!J:J,Metas!A:A,A73,Metas!B:B,B73,Metas!D:D,D73) = 0,K73,K73 * (1-_xlfn.MAXIFS(Metas!J:J,Metas!A:A,A73,Metas!B:B,B73,Metas!D:D,D73)))</f>
        <v>0</v>
      </c>
      <c r="O73" s="11">
        <f>IF(_xlfn.MAXIFS(Metas!J:J,Metas!A:A,A73,Metas!B:B,B73,Metas!D:D,D73) = 0,N73,N73 * (1-_xlfn.MAXIFS(Metas!J:J,Metas!A:A,A73,Metas!B:B,B73,Metas!D:D,D73)))</f>
        <v>0</v>
      </c>
      <c r="P73" s="10">
        <v>0.95</v>
      </c>
      <c r="Q73" s="10">
        <v>1.1499999999999999</v>
      </c>
      <c r="R73" s="10">
        <v>1.05</v>
      </c>
      <c r="S73" s="10">
        <v>1.25</v>
      </c>
    </row>
    <row r="74" spans="1:23">
      <c r="A74" s="7">
        <v>2026</v>
      </c>
      <c r="B74" s="7">
        <v>2</v>
      </c>
      <c r="C74" s="7" t="s">
        <v>4351</v>
      </c>
      <c r="D74" s="7" t="s">
        <v>4269</v>
      </c>
      <c r="E74" s="7" t="s">
        <v>4346</v>
      </c>
      <c r="F74" s="7" t="s">
        <v>4316</v>
      </c>
      <c r="G74" s="10">
        <v>0.7</v>
      </c>
      <c r="H74" s="11">
        <v>1500</v>
      </c>
      <c r="I74" s="11">
        <f>IF(_xlfn.MAXIFS(Metas!J:J,Metas!A:A,A74,Metas!B:B,B74,Metas!D:D,D74) = 0,H74,H74 * (1-_xlfn.MAXIFS(Metas!J:J,Metas!A:A,A74,Metas!B:B,B74,Metas!D:D,D74)))</f>
        <v>1500</v>
      </c>
      <c r="L74" s="11">
        <f>IF(_xlfn.MAXIFS(Metas!J:J,Metas!A:A,A74,Metas!B:B,B74,Metas!D:D,D74) = 0,K74,K74 * (1-_xlfn.MAXIFS(Metas!J:J,Metas!A:A,A74,Metas!B:B,B74,Metas!D:D,D74)))</f>
        <v>0</v>
      </c>
      <c r="O74" s="11">
        <f>IF(_xlfn.MAXIFS(Metas!J:J,Metas!A:A,A74,Metas!B:B,B74,Metas!D:D,D74) = 0,N74,N74 * (1-_xlfn.MAXIFS(Metas!J:J,Metas!A:A,A74,Metas!B:B,B74,Metas!D:D,D74)))</f>
        <v>0</v>
      </c>
      <c r="P74" s="10">
        <v>0.95</v>
      </c>
      <c r="Q74" s="10">
        <v>1.1499999999999999</v>
      </c>
      <c r="R74" s="10">
        <v>1.05</v>
      </c>
      <c r="S74" s="10">
        <v>1.25</v>
      </c>
    </row>
    <row r="75" spans="1:23">
      <c r="A75" s="7">
        <v>2026</v>
      </c>
      <c r="B75" s="7">
        <v>2</v>
      </c>
      <c r="C75" s="7" t="s">
        <v>4352</v>
      </c>
      <c r="D75" s="7" t="s">
        <v>4270</v>
      </c>
      <c r="E75" s="7" t="s">
        <v>4346</v>
      </c>
      <c r="F75" s="7" t="s">
        <v>4316</v>
      </c>
      <c r="G75" s="10">
        <v>0.7</v>
      </c>
      <c r="H75" s="11">
        <v>1500</v>
      </c>
      <c r="I75" s="11">
        <f>IF(_xlfn.MAXIFS(Metas!J:J,Metas!A:A,A75,Metas!B:B,B75,Metas!D:D,D75) = 0,H75,H75 * (1-_xlfn.MAXIFS(Metas!J:J,Metas!A:A,A75,Metas!B:B,B75,Metas!D:D,D75)))</f>
        <v>1500</v>
      </c>
      <c r="L75" s="11">
        <f>IF(_xlfn.MAXIFS(Metas!J:J,Metas!A:A,A75,Metas!B:B,B75,Metas!D:D,D75) = 0,K75,K75 * (1-_xlfn.MAXIFS(Metas!J:J,Metas!A:A,A75,Metas!B:B,B75,Metas!D:D,D75)))</f>
        <v>0</v>
      </c>
      <c r="O75" s="11">
        <f>IF(_xlfn.MAXIFS(Metas!J:J,Metas!A:A,A75,Metas!B:B,B75,Metas!D:D,D75) = 0,N75,N75 * (1-_xlfn.MAXIFS(Metas!J:J,Metas!A:A,A75,Metas!B:B,B75,Metas!D:D,D75)))</f>
        <v>0</v>
      </c>
      <c r="P75" s="10">
        <v>0.95</v>
      </c>
      <c r="Q75" s="10">
        <v>1.1499999999999999</v>
      </c>
      <c r="R75" s="10">
        <v>1.05</v>
      </c>
      <c r="S75" s="10">
        <v>1.25</v>
      </c>
    </row>
    <row r="76" spans="1:23">
      <c r="A76" s="7">
        <v>2026</v>
      </c>
      <c r="B76" s="7">
        <v>2</v>
      </c>
      <c r="C76" s="7" t="s">
        <v>4353</v>
      </c>
      <c r="D76" s="7" t="s">
        <v>4271</v>
      </c>
      <c r="E76" s="7" t="s">
        <v>4346</v>
      </c>
      <c r="F76" s="7" t="s">
        <v>4316</v>
      </c>
      <c r="G76" s="10">
        <v>0.7</v>
      </c>
      <c r="H76" s="11">
        <v>1800</v>
      </c>
      <c r="I76" s="11">
        <f>IF(_xlfn.MAXIFS(Metas!J:J,Metas!A:A,A76,Metas!B:B,B76,Metas!D:D,D76) = 0,H76,H76 * (1-_xlfn.MAXIFS(Metas!J:J,Metas!A:A,A76,Metas!B:B,B76,Metas!D:D,D76)))</f>
        <v>1800</v>
      </c>
      <c r="L76" s="11">
        <f>IF(_xlfn.MAXIFS(Metas!J:J,Metas!A:A,A76,Metas!B:B,B76,Metas!D:D,D76) = 0,K76,K76 * (1-_xlfn.MAXIFS(Metas!J:J,Metas!A:A,A76,Metas!B:B,B76,Metas!D:D,D76)))</f>
        <v>0</v>
      </c>
      <c r="O76" s="11">
        <f>IF(_xlfn.MAXIFS(Metas!J:J,Metas!A:A,A76,Metas!B:B,B76,Metas!D:D,D76) = 0,N76,N76 * (1-_xlfn.MAXIFS(Metas!J:J,Metas!A:A,A76,Metas!B:B,B76,Metas!D:D,D76)))</f>
        <v>0</v>
      </c>
      <c r="P76" s="10">
        <v>0.95</v>
      </c>
      <c r="Q76" s="10">
        <v>1.1499999999999999</v>
      </c>
      <c r="R76" s="10">
        <v>1.05</v>
      </c>
      <c r="S76" s="10">
        <v>1.25</v>
      </c>
    </row>
    <row r="77" spans="1:23">
      <c r="A77" s="7">
        <v>2026</v>
      </c>
      <c r="B77" s="7">
        <v>2</v>
      </c>
      <c r="C77" s="7" t="s">
        <v>4354</v>
      </c>
      <c r="D77" s="7" t="s">
        <v>4272</v>
      </c>
      <c r="E77" s="7" t="s">
        <v>4346</v>
      </c>
      <c r="F77" s="7" t="s">
        <v>4316</v>
      </c>
      <c r="G77" s="10">
        <v>0.7</v>
      </c>
      <c r="H77" s="11">
        <v>1500</v>
      </c>
      <c r="I77" s="11">
        <f>IF(_xlfn.MAXIFS(Metas!J:J,Metas!A:A,A77,Metas!B:B,B77,Metas!D:D,D77) = 0,H77,H77 * (1-_xlfn.MAXIFS(Metas!J:J,Metas!A:A,A77,Metas!B:B,B77,Metas!D:D,D77)))</f>
        <v>494.99999999999994</v>
      </c>
      <c r="L77" s="11">
        <f>IF(_xlfn.MAXIFS(Metas!J:J,Metas!A:A,A77,Metas!B:B,B77,Metas!D:D,D77) = 0,K77,K77 * (1-_xlfn.MAXIFS(Metas!J:J,Metas!A:A,A77,Metas!B:B,B77,Metas!D:D,D77)))</f>
        <v>0</v>
      </c>
      <c r="O77" s="11">
        <f>IF(_xlfn.MAXIFS(Metas!J:J,Metas!A:A,A77,Metas!B:B,B77,Metas!D:D,D77) = 0,N77,N77 * (1-_xlfn.MAXIFS(Metas!J:J,Metas!A:A,A77,Metas!B:B,B77,Metas!D:D,D77)))</f>
        <v>0</v>
      </c>
      <c r="P77" s="10">
        <v>0.95</v>
      </c>
      <c r="Q77" s="10">
        <v>1.1499999999999999</v>
      </c>
      <c r="R77" s="10">
        <v>1.05</v>
      </c>
      <c r="S77" s="10">
        <v>1.25</v>
      </c>
    </row>
    <row r="78" spans="1:23">
      <c r="A78" s="7">
        <v>2026</v>
      </c>
      <c r="B78" s="7">
        <v>2</v>
      </c>
      <c r="C78" s="7" t="s">
        <v>4355</v>
      </c>
      <c r="D78" s="7" t="s">
        <v>4273</v>
      </c>
      <c r="E78" s="7" t="s">
        <v>4346</v>
      </c>
      <c r="F78" s="7" t="s">
        <v>4316</v>
      </c>
      <c r="G78" s="10">
        <v>0.7</v>
      </c>
      <c r="H78" s="11">
        <v>1500</v>
      </c>
      <c r="I78" s="11">
        <f>IF(_xlfn.MAXIFS(Metas!J:J,Metas!A:A,A78,Metas!B:B,B78,Metas!D:D,D78) = 0,H78,H78 * (1-_xlfn.MAXIFS(Metas!J:J,Metas!A:A,A78,Metas!B:B,B78,Metas!D:D,D78)))</f>
        <v>1500</v>
      </c>
      <c r="L78" s="11">
        <f>IF(_xlfn.MAXIFS(Metas!J:J,Metas!A:A,A78,Metas!B:B,B78,Metas!D:D,D78) = 0,K78,K78 * (1-_xlfn.MAXIFS(Metas!J:J,Metas!A:A,A78,Metas!B:B,B78,Metas!D:D,D78)))</f>
        <v>0</v>
      </c>
      <c r="O78" s="11">
        <f>IF(_xlfn.MAXIFS(Metas!J:J,Metas!A:A,A78,Metas!B:B,B78,Metas!D:D,D78) = 0,N78,N78 * (1-_xlfn.MAXIFS(Metas!J:J,Metas!A:A,A78,Metas!B:B,B78,Metas!D:D,D78)))</f>
        <v>0</v>
      </c>
      <c r="P78" s="10">
        <v>0.95</v>
      </c>
      <c r="Q78" s="10">
        <v>1.1499999999999999</v>
      </c>
      <c r="R78" s="10">
        <v>1.05</v>
      </c>
      <c r="S78" s="10">
        <v>1.25</v>
      </c>
    </row>
    <row r="79" spans="1:23">
      <c r="A79" s="7">
        <v>2026</v>
      </c>
      <c r="B79" s="7">
        <v>2</v>
      </c>
      <c r="C79" s="7" t="s">
        <v>4356</v>
      </c>
      <c r="D79" s="7" t="s">
        <v>4276</v>
      </c>
      <c r="E79" s="7" t="s">
        <v>4346</v>
      </c>
      <c r="F79" s="7" t="s">
        <v>4316</v>
      </c>
      <c r="G79" s="10">
        <v>0.5</v>
      </c>
      <c r="H79" s="11">
        <v>1800</v>
      </c>
      <c r="I79" s="11">
        <f>IF(_xlfn.MAXIFS(Metas!J:J,Metas!A:A,A79,Metas!B:B,B79,Metas!D:D,D79) = 0,H79,H79 * (1-_xlfn.MAXIFS(Metas!J:J,Metas!A:A,A79,Metas!B:B,B79,Metas!D:D,D79)))</f>
        <v>1800</v>
      </c>
      <c r="L79" s="11">
        <f>IF(_xlfn.MAXIFS(Metas!J:J,Metas!A:A,A79,Metas!B:B,B79,Metas!D:D,D79) = 0,K79,K79 * (1-_xlfn.MAXIFS(Metas!J:J,Metas!A:A,A79,Metas!B:B,B79,Metas!D:D,D79)))</f>
        <v>0</v>
      </c>
      <c r="O79" s="11">
        <f>IF(_xlfn.MAXIFS(Metas!J:J,Metas!A:A,A79,Metas!B:B,B79,Metas!D:D,D79) = 0,N79,N79 * (1-_xlfn.MAXIFS(Metas!J:J,Metas!A:A,A79,Metas!B:B,B79,Metas!D:D,D79)))</f>
        <v>0</v>
      </c>
      <c r="P79" s="10">
        <v>0.75</v>
      </c>
      <c r="Q79" s="10">
        <v>1.1499999999999999</v>
      </c>
      <c r="R79" s="10">
        <v>0.9</v>
      </c>
      <c r="S79" s="10">
        <v>1.25</v>
      </c>
    </row>
    <row r="80" spans="1:23">
      <c r="A80" s="7">
        <v>2026</v>
      </c>
      <c r="B80" s="7">
        <v>2</v>
      </c>
      <c r="C80" s="7" t="s">
        <v>4357</v>
      </c>
      <c r="D80" s="7" t="s">
        <v>87</v>
      </c>
      <c r="E80" s="7" t="s">
        <v>3558</v>
      </c>
      <c r="F80" s="7" t="s">
        <v>4316</v>
      </c>
      <c r="G80" s="10">
        <v>0.5</v>
      </c>
      <c r="H80" s="11">
        <v>8000</v>
      </c>
      <c r="I80" s="11">
        <f>IF(_xlfn.MAXIFS(Metas!J:J,Metas!A:A,A80,Metas!B:B,B80,Metas!D:D,D80) = 0,H80,H80 * (1-_xlfn.MAXIFS(Metas!J:J,Metas!A:A,A80,Metas!B:B,B80,Metas!D:D,D80)))</f>
        <v>8000</v>
      </c>
      <c r="L80" s="11">
        <f>IF(_xlfn.MAXIFS(Metas!J:J,Metas!A:A,A80,Metas!B:B,B80,Metas!D:D,D80) = 0,K80,K80 * (1-_xlfn.MAXIFS(Metas!J:J,Metas!A:A,A80,Metas!B:B,B80,Metas!D:D,D80)))</f>
        <v>0</v>
      </c>
      <c r="O80" s="11">
        <f>IF(_xlfn.MAXIFS(Metas!J:J,Metas!A:A,A80,Metas!B:B,B80,Metas!D:D,D80) = 0,N80,N80 * (1-_xlfn.MAXIFS(Metas!J:J,Metas!A:A,A80,Metas!B:B,B80,Metas!D:D,D80)))</f>
        <v>0</v>
      </c>
      <c r="P80" s="10">
        <v>0.75</v>
      </c>
      <c r="Q80" s="10">
        <v>1.1499999999999999</v>
      </c>
      <c r="R80" s="10">
        <v>0.9</v>
      </c>
      <c r="S80" s="10">
        <v>1.25</v>
      </c>
    </row>
    <row r="81" spans="1:23">
      <c r="A81" s="7">
        <v>2026</v>
      </c>
      <c r="B81" s="7">
        <v>2</v>
      </c>
      <c r="C81" s="7" t="s">
        <v>4360</v>
      </c>
      <c r="D81" s="7" t="s">
        <v>1165</v>
      </c>
      <c r="E81" s="7" t="s">
        <v>3558</v>
      </c>
      <c r="F81" s="7" t="s">
        <v>4316</v>
      </c>
      <c r="G81" s="10">
        <v>0.5</v>
      </c>
      <c r="H81" s="11">
        <v>6800</v>
      </c>
      <c r="I81" s="11">
        <f>IF(_xlfn.MAXIFS(Metas!J:J,Metas!A:A,A81,Metas!B:B,B81,Metas!D:D,D81) = 0,H81,H81 * (1-_xlfn.MAXIFS(Metas!J:J,Metas!A:A,A81,Metas!B:B,B81,Metas!D:D,D81)))</f>
        <v>6800</v>
      </c>
      <c r="L81" s="11">
        <f>IF(_xlfn.MAXIFS(Metas!J:J,Metas!A:A,A81,Metas!B:B,B81,Metas!D:D,D81) = 0,K81,K81 * (1-_xlfn.MAXIFS(Metas!J:J,Metas!A:A,A81,Metas!B:B,B81,Metas!D:D,D81)))</f>
        <v>0</v>
      </c>
      <c r="O81" s="11">
        <f>IF(_xlfn.MAXIFS(Metas!J:J,Metas!A:A,A81,Metas!B:B,B81,Metas!D:D,D81) = 0,N81,N81 * (1-_xlfn.MAXIFS(Metas!J:J,Metas!A:A,A81,Metas!B:B,B81,Metas!D:D,D81)))</f>
        <v>0</v>
      </c>
      <c r="P81" s="10">
        <v>0.75</v>
      </c>
      <c r="Q81" s="10">
        <v>1.1499999999999999</v>
      </c>
      <c r="R81" s="10">
        <v>0.9</v>
      </c>
      <c r="S81" s="10">
        <v>1.25</v>
      </c>
    </row>
    <row r="82" spans="1:23">
      <c r="A82" s="7">
        <v>2026</v>
      </c>
      <c r="B82" s="7">
        <v>2</v>
      </c>
      <c r="C82" s="7" t="s">
        <v>4361</v>
      </c>
      <c r="D82" s="7" t="s">
        <v>36</v>
      </c>
      <c r="E82" s="7" t="s">
        <v>3558</v>
      </c>
      <c r="F82" s="7" t="s">
        <v>4316</v>
      </c>
      <c r="G82" s="10">
        <v>0.5</v>
      </c>
      <c r="H82" s="11">
        <v>5600</v>
      </c>
      <c r="I82" s="11">
        <f>IF(_xlfn.MAXIFS(Metas!J:J,Metas!A:A,A82,Metas!B:B,B82,Metas!D:D,D82) = 0,H82,H82 * (1-_xlfn.MAXIFS(Metas!J:J,Metas!A:A,A82,Metas!B:B,B82,Metas!D:D,D82)))</f>
        <v>5600</v>
      </c>
      <c r="L82" s="11">
        <f>IF(_xlfn.MAXIFS(Metas!J:J,Metas!A:A,A82,Metas!B:B,B82,Metas!D:D,D82) = 0,K82,K82 * (1-_xlfn.MAXIFS(Metas!J:J,Metas!A:A,A82,Metas!B:B,B82,Metas!D:D,D82)))</f>
        <v>0</v>
      </c>
      <c r="O82" s="11">
        <f>IF(_xlfn.MAXIFS(Metas!J:J,Metas!A:A,A82,Metas!B:B,B82,Metas!D:D,D82) = 0,N82,N82 * (1-_xlfn.MAXIFS(Metas!J:J,Metas!A:A,A82,Metas!B:B,B82,Metas!D:D,D82)))</f>
        <v>0</v>
      </c>
      <c r="P82" s="10">
        <v>0.75</v>
      </c>
      <c r="Q82" s="10">
        <v>1.1499999999999999</v>
      </c>
      <c r="R82" s="10">
        <v>0.9</v>
      </c>
      <c r="S82" s="10">
        <v>1.25</v>
      </c>
    </row>
    <row r="83" spans="1:23">
      <c r="A83" s="7">
        <v>2026</v>
      </c>
      <c r="B83" s="7">
        <v>2</v>
      </c>
      <c r="C83" s="7" t="s">
        <v>4362</v>
      </c>
      <c r="D83" s="7" t="s">
        <v>98</v>
      </c>
      <c r="E83" s="7" t="s">
        <v>3558</v>
      </c>
      <c r="F83" s="7" t="s">
        <v>4316</v>
      </c>
      <c r="G83" s="10">
        <v>0.5</v>
      </c>
      <c r="H83" s="11">
        <v>5600</v>
      </c>
      <c r="I83" s="11">
        <f>IF(_xlfn.MAXIFS(Metas!J:J,Metas!A:A,A83,Metas!B:B,B83,Metas!D:D,D83) = 0,H83,H83 * (1-_xlfn.MAXIFS(Metas!J:J,Metas!A:A,A83,Metas!B:B,B83,Metas!D:D,D83)))</f>
        <v>5600</v>
      </c>
      <c r="L83" s="11">
        <f>IF(_xlfn.MAXIFS(Metas!J:J,Metas!A:A,A83,Metas!B:B,B83,Metas!D:D,D83) = 0,K83,K83 * (1-_xlfn.MAXIFS(Metas!J:J,Metas!A:A,A83,Metas!B:B,B83,Metas!D:D,D83)))</f>
        <v>0</v>
      </c>
      <c r="O83" s="11">
        <f>IF(_xlfn.MAXIFS(Metas!J:J,Metas!A:A,A83,Metas!B:B,B83,Metas!D:D,D83) = 0,N83,N83 * (1-_xlfn.MAXIFS(Metas!J:J,Metas!A:A,A83,Metas!B:B,B83,Metas!D:D,D83)))</f>
        <v>0</v>
      </c>
      <c r="P83" s="10">
        <v>0.75</v>
      </c>
      <c r="Q83" s="10">
        <v>1.1499999999999999</v>
      </c>
      <c r="R83" s="10">
        <v>0.9</v>
      </c>
      <c r="S83" s="10">
        <v>1.25</v>
      </c>
    </row>
    <row r="84" spans="1:23">
      <c r="A84" s="7">
        <v>2026</v>
      </c>
      <c r="B84" s="7">
        <v>2</v>
      </c>
      <c r="C84" s="7" t="s">
        <v>4363</v>
      </c>
      <c r="D84" s="7" t="s">
        <v>72</v>
      </c>
      <c r="E84" s="7" t="s">
        <v>3558</v>
      </c>
      <c r="F84" s="7" t="s">
        <v>4316</v>
      </c>
      <c r="G84" s="10">
        <v>0.5</v>
      </c>
      <c r="H84" s="11">
        <v>10000</v>
      </c>
      <c r="I84" s="11">
        <f>IF(_xlfn.MAXIFS(Metas!J:J,Metas!A:A,A84,Metas!B:B,B84,Metas!D:D,D84) = 0,H84,H84 * (1-_xlfn.MAXIFS(Metas!J:J,Metas!A:A,A84,Metas!B:B,B84,Metas!D:D,D84)))</f>
        <v>10000</v>
      </c>
      <c r="L84" s="11">
        <f>IF(_xlfn.MAXIFS(Metas!J:J,Metas!A:A,A84,Metas!B:B,B84,Metas!D:D,D84) = 0,K84,K84 * (1-_xlfn.MAXIFS(Metas!J:J,Metas!A:A,A84,Metas!B:B,B84,Metas!D:D,D84)))</f>
        <v>0</v>
      </c>
      <c r="O84" s="11">
        <f>IF(_xlfn.MAXIFS(Metas!J:J,Metas!A:A,A84,Metas!B:B,B84,Metas!D:D,D84) = 0,N84,N84 * (1-_xlfn.MAXIFS(Metas!J:J,Metas!A:A,A84,Metas!B:B,B84,Metas!D:D,D84)))</f>
        <v>0</v>
      </c>
      <c r="P84" s="10">
        <v>0.75</v>
      </c>
      <c r="Q84" s="10">
        <v>1.1499999999999999</v>
      </c>
      <c r="R84" s="10">
        <v>0.9</v>
      </c>
      <c r="S84" s="10">
        <v>1.25</v>
      </c>
    </row>
    <row r="85" spans="1:23">
      <c r="A85" s="7">
        <v>2026</v>
      </c>
      <c r="B85" s="7">
        <v>2</v>
      </c>
      <c r="C85" s="7" t="s">
        <v>4364</v>
      </c>
      <c r="D85" s="7" t="s">
        <v>78</v>
      </c>
      <c r="E85" s="7" t="s">
        <v>3558</v>
      </c>
      <c r="F85" s="7" t="s">
        <v>4316</v>
      </c>
      <c r="G85" s="10">
        <v>0.5</v>
      </c>
      <c r="H85" s="11">
        <v>3456</v>
      </c>
      <c r="I85" s="11">
        <f>IF(_xlfn.MAXIFS(Metas!J:J,Metas!A:A,A85,Metas!B:B,B85,Metas!D:D,D85) = 0,H85,H85 * (1-_xlfn.MAXIFS(Metas!J:J,Metas!A:A,A85,Metas!B:B,B85,Metas!D:D,D85)))</f>
        <v>2182.7368408319999</v>
      </c>
      <c r="L85" s="11">
        <f>IF(_xlfn.MAXIFS(Metas!J:J,Metas!A:A,A85,Metas!B:B,B85,Metas!D:D,D85) = 0,K85,K85 * (1-_xlfn.MAXIFS(Metas!J:J,Metas!A:A,A85,Metas!B:B,B85,Metas!D:D,D85)))</f>
        <v>0</v>
      </c>
      <c r="O85" s="11">
        <f>IF(_xlfn.MAXIFS(Metas!J:J,Metas!A:A,A85,Metas!B:B,B85,Metas!D:D,D85) = 0,N85,N85 * (1-_xlfn.MAXIFS(Metas!J:J,Metas!A:A,A85,Metas!B:B,B85,Metas!D:D,D85)))</f>
        <v>0</v>
      </c>
      <c r="P85" s="10">
        <v>0.75</v>
      </c>
      <c r="Q85" s="10">
        <v>1.1499999999999999</v>
      </c>
      <c r="R85" s="10">
        <v>0.9</v>
      </c>
      <c r="S85" s="10">
        <v>1.25</v>
      </c>
    </row>
    <row r="86" spans="1:23">
      <c r="A86" s="7">
        <v>2026</v>
      </c>
      <c r="B86" s="7">
        <v>2</v>
      </c>
      <c r="C86" s="7" t="s">
        <v>4365</v>
      </c>
      <c r="D86" s="7" t="s">
        <v>69</v>
      </c>
      <c r="E86" s="7" t="s">
        <v>3558</v>
      </c>
      <c r="F86" s="7" t="s">
        <v>4316</v>
      </c>
      <c r="G86" s="10">
        <v>0.5</v>
      </c>
      <c r="H86" s="11">
        <v>10000</v>
      </c>
      <c r="I86" s="11">
        <f>IF(_xlfn.MAXIFS(Metas!J:J,Metas!A:A,A86,Metas!B:B,B86,Metas!D:D,D86) = 0,H86,H86 * (1-_xlfn.MAXIFS(Metas!J:J,Metas!A:A,A86,Metas!B:B,B86,Metas!D:D,D86)))</f>
        <v>10000</v>
      </c>
      <c r="L86" s="11">
        <f>IF(_xlfn.MAXIFS(Metas!J:J,Metas!A:A,A86,Metas!B:B,B86,Metas!D:D,D86) = 0,K86,K86 * (1-_xlfn.MAXIFS(Metas!J:J,Metas!A:A,A86,Metas!B:B,B86,Metas!D:D,D86)))</f>
        <v>0</v>
      </c>
      <c r="O86" s="11">
        <f>IF(_xlfn.MAXIFS(Metas!J:J,Metas!A:A,A86,Metas!B:B,B86,Metas!D:D,D86) = 0,N86,N86 * (1-_xlfn.MAXIFS(Metas!J:J,Metas!A:A,A86,Metas!B:B,B86,Metas!D:D,D86)))</f>
        <v>0</v>
      </c>
      <c r="P86" s="10">
        <v>0.75</v>
      </c>
      <c r="Q86" s="10">
        <v>1.1499999999999999</v>
      </c>
      <c r="R86" s="10">
        <v>0.9</v>
      </c>
      <c r="S86" s="10">
        <v>1.25</v>
      </c>
    </row>
    <row r="87" spans="1:23">
      <c r="A87" s="7">
        <v>2026</v>
      </c>
      <c r="B87" s="7">
        <v>2</v>
      </c>
      <c r="C87" s="7" t="s">
        <v>4366</v>
      </c>
      <c r="D87" s="7" t="s">
        <v>2068</v>
      </c>
      <c r="E87" s="7" t="s">
        <v>3558</v>
      </c>
      <c r="F87" s="7" t="s">
        <v>4316</v>
      </c>
      <c r="G87" s="10">
        <v>0.5</v>
      </c>
      <c r="H87" s="11">
        <v>8000</v>
      </c>
      <c r="I87" s="11">
        <f>IF(_xlfn.MAXIFS(Metas!J:J,Metas!A:A,A87,Metas!B:B,B87,Metas!D:D,D87) = 0,H87,H87 * (1-_xlfn.MAXIFS(Metas!J:J,Metas!A:A,A87,Metas!B:B,B87,Metas!D:D,D87)))</f>
        <v>8000</v>
      </c>
      <c r="L87" s="11">
        <f>IF(_xlfn.MAXIFS(Metas!J:J,Metas!A:A,A87,Metas!B:B,B87,Metas!D:D,D87) = 0,K87,K87 * (1-_xlfn.MAXIFS(Metas!J:J,Metas!A:A,A87,Metas!B:B,B87,Metas!D:D,D87)))</f>
        <v>0</v>
      </c>
      <c r="O87" s="11">
        <f>IF(_xlfn.MAXIFS(Metas!J:J,Metas!A:A,A87,Metas!B:B,B87,Metas!D:D,D87) = 0,N87,N87 * (1-_xlfn.MAXIFS(Metas!J:J,Metas!A:A,A87,Metas!B:B,B87,Metas!D:D,D87)))</f>
        <v>0</v>
      </c>
      <c r="P87" s="10">
        <v>0.75</v>
      </c>
      <c r="Q87" s="10">
        <v>1.1499999999999999</v>
      </c>
      <c r="R87" s="10">
        <v>0.9</v>
      </c>
      <c r="S87" s="10">
        <v>1.25</v>
      </c>
    </row>
    <row r="88" spans="1:23">
      <c r="A88" s="7">
        <v>2026</v>
      </c>
      <c r="B88" s="7">
        <v>2</v>
      </c>
      <c r="C88" s="7" t="s">
        <v>4367</v>
      </c>
      <c r="D88" s="7" t="s">
        <v>4358</v>
      </c>
      <c r="E88" s="7" t="s">
        <v>3558</v>
      </c>
      <c r="F88" s="7" t="s">
        <v>4318</v>
      </c>
      <c r="G88" s="10">
        <v>0.39</v>
      </c>
      <c r="H88" s="11">
        <v>11500</v>
      </c>
      <c r="I88" s="11">
        <f>IF(_xlfn.MAXIFS(Metas!J:J,Metas!A:A,A88,Metas!B:B,B88,Metas!D:D,D88) = 0,H88,H88 * (1-_xlfn.MAXIFS(Metas!J:J,Metas!A:A,A88,Metas!B:B,B88,Metas!D:D,D88)))</f>
        <v>11500</v>
      </c>
      <c r="L88" s="11">
        <f>IF(_xlfn.MAXIFS(Metas!J:J,Metas!A:A,A88,Metas!B:B,B88,Metas!D:D,D88) = 0,K88,K88 * (1-_xlfn.MAXIFS(Metas!J:J,Metas!A:A,A88,Metas!B:B,B88,Metas!D:D,D88)))</f>
        <v>0</v>
      </c>
      <c r="O88" s="11">
        <f>IF(_xlfn.MAXIFS(Metas!J:J,Metas!A:A,A88,Metas!B:B,B88,Metas!D:D,D88) = 0,N88,N88 * (1-_xlfn.MAXIFS(Metas!J:J,Metas!A:A,A88,Metas!B:B,B88,Metas!D:D,D88)))</f>
        <v>0</v>
      </c>
      <c r="P88" s="10">
        <v>0.75</v>
      </c>
      <c r="Q88" s="10">
        <v>1.1499999999999999</v>
      </c>
      <c r="R88" s="10">
        <v>0.9</v>
      </c>
      <c r="S88" s="10">
        <v>1.25</v>
      </c>
    </row>
    <row r="89" spans="1:23">
      <c r="A89" s="7">
        <v>2026</v>
      </c>
      <c r="B89" s="7">
        <v>2</v>
      </c>
      <c r="C89" s="7" t="s">
        <v>4369</v>
      </c>
      <c r="D89" s="7" t="s">
        <v>1243</v>
      </c>
      <c r="E89" s="7" t="s">
        <v>3558</v>
      </c>
      <c r="F89" s="7" t="s">
        <v>4316</v>
      </c>
      <c r="G89" s="10">
        <v>0.5</v>
      </c>
      <c r="H89" s="11">
        <v>6800</v>
      </c>
      <c r="I89" s="11">
        <f>IF(_xlfn.MAXIFS(Metas!J:J,Metas!A:A,A89,Metas!B:B,B89,Metas!D:D,D89) = 0,H89,H89 * (1-_xlfn.MAXIFS(Metas!J:J,Metas!A:A,A89,Metas!B:B,B89,Metas!D:D,D89)))</f>
        <v>6800</v>
      </c>
      <c r="L89" s="11">
        <f>IF(_xlfn.MAXIFS(Metas!J:J,Metas!A:A,A89,Metas!B:B,B89,Metas!D:D,D89) = 0,K89,K89 * (1-_xlfn.MAXIFS(Metas!J:J,Metas!A:A,A89,Metas!B:B,B89,Metas!D:D,D89)))</f>
        <v>0</v>
      </c>
      <c r="O89" s="11">
        <f>IF(_xlfn.MAXIFS(Metas!J:J,Metas!A:A,A89,Metas!B:B,B89,Metas!D:D,D89) = 0,N89,N89 * (1-_xlfn.MAXIFS(Metas!J:J,Metas!A:A,A89,Metas!B:B,B89,Metas!D:D,D89)))</f>
        <v>0</v>
      </c>
      <c r="P89" s="10">
        <v>0.75</v>
      </c>
      <c r="Q89" s="10">
        <v>1.1499999999999999</v>
      </c>
      <c r="R89" s="10">
        <v>0.9</v>
      </c>
      <c r="S89" s="10">
        <v>1.25</v>
      </c>
    </row>
    <row r="90" spans="1:23">
      <c r="A90" s="7">
        <v>2026</v>
      </c>
      <c r="B90" s="7">
        <v>2</v>
      </c>
      <c r="C90" s="7" t="s">
        <v>4370</v>
      </c>
      <c r="D90" s="7" t="s">
        <v>66</v>
      </c>
      <c r="E90" s="7" t="s">
        <v>3558</v>
      </c>
      <c r="F90" s="7" t="s">
        <v>4316</v>
      </c>
      <c r="G90" s="10">
        <v>0.5</v>
      </c>
      <c r="H90" s="11">
        <v>9200</v>
      </c>
      <c r="I90" s="11">
        <f>IF(_xlfn.MAXIFS(Metas!J:J,Metas!A:A,A90,Metas!B:B,B90,Metas!D:D,D90) = 0,H90,H90 * (1-_xlfn.MAXIFS(Metas!J:J,Metas!A:A,A90,Metas!B:B,B90,Metas!D:D,D90)))</f>
        <v>9200</v>
      </c>
      <c r="L90" s="11">
        <f>IF(_xlfn.MAXIFS(Metas!J:J,Metas!A:A,A90,Metas!B:B,B90,Metas!D:D,D90) = 0,K90,K90 * (1-_xlfn.MAXIFS(Metas!J:J,Metas!A:A,A90,Metas!B:B,B90,Metas!D:D,D90)))</f>
        <v>0</v>
      </c>
      <c r="O90" s="11">
        <f>IF(_xlfn.MAXIFS(Metas!J:J,Metas!A:A,A90,Metas!B:B,B90,Metas!D:D,D90) = 0,N90,N90 * (1-_xlfn.MAXIFS(Metas!J:J,Metas!A:A,A90,Metas!B:B,B90,Metas!D:D,D90)))</f>
        <v>0</v>
      </c>
      <c r="P90" s="10">
        <v>0.75</v>
      </c>
      <c r="Q90" s="10">
        <v>1.1499999999999999</v>
      </c>
      <c r="R90" s="10">
        <v>0.9</v>
      </c>
      <c r="S90" s="10">
        <v>1.25</v>
      </c>
    </row>
    <row r="91" spans="1:23">
      <c r="A91" s="7">
        <v>2026</v>
      </c>
      <c r="B91" s="7">
        <v>2</v>
      </c>
      <c r="C91" s="7" t="s">
        <v>4371</v>
      </c>
      <c r="D91" s="7" t="s">
        <v>75</v>
      </c>
      <c r="E91" s="7" t="s">
        <v>3558</v>
      </c>
      <c r="F91" s="7" t="s">
        <v>4316</v>
      </c>
      <c r="G91" s="10">
        <v>0.5</v>
      </c>
      <c r="H91" s="11">
        <v>5600</v>
      </c>
      <c r="I91" s="11">
        <f>IF(_xlfn.MAXIFS(Metas!J:J,Metas!A:A,A91,Metas!B:B,B91,Metas!D:D,D91) = 0,H91,H91 * (1-_xlfn.MAXIFS(Metas!J:J,Metas!A:A,A91,Metas!B:B,B91,Metas!D:D,D91)))</f>
        <v>5600</v>
      </c>
      <c r="L91" s="11">
        <f>IF(_xlfn.MAXIFS(Metas!J:J,Metas!A:A,A91,Metas!B:B,B91,Metas!D:D,D91) = 0,K91,K91 * (1-_xlfn.MAXIFS(Metas!J:J,Metas!A:A,A91,Metas!B:B,B91,Metas!D:D,D91)))</f>
        <v>0</v>
      </c>
      <c r="O91" s="11">
        <f>IF(_xlfn.MAXIFS(Metas!J:J,Metas!A:A,A91,Metas!B:B,B91,Metas!D:D,D91) = 0,N91,N91 * (1-_xlfn.MAXIFS(Metas!J:J,Metas!A:A,A91,Metas!B:B,B91,Metas!D:D,D91)))</f>
        <v>0</v>
      </c>
      <c r="P91" s="10">
        <v>0.75</v>
      </c>
      <c r="Q91" s="10">
        <v>1.1499999999999999</v>
      </c>
      <c r="R91" s="10">
        <v>0.9</v>
      </c>
      <c r="S91" s="10">
        <v>1.25</v>
      </c>
    </row>
    <row r="92" spans="1:23">
      <c r="A92" s="7">
        <v>2026</v>
      </c>
      <c r="B92" s="7">
        <v>2</v>
      </c>
      <c r="C92" s="7" t="s">
        <v>4372</v>
      </c>
      <c r="D92" s="7" t="s">
        <v>198</v>
      </c>
      <c r="E92" s="7" t="s">
        <v>111</v>
      </c>
      <c r="F92" s="7" t="s">
        <v>4318</v>
      </c>
      <c r="G92" s="10">
        <v>0.6</v>
      </c>
      <c r="H92" s="11">
        <v>2400</v>
      </c>
      <c r="I92" s="11">
        <f>IF(_xlfn.MAXIFS(Metas!J:J,Metas!A:A,A92,Metas!B:B,B92,Metas!D:D,D92) = 0,H92,H92 * (1-_xlfn.MAXIFS(Metas!J:J,Metas!A:A,A92,Metas!B:B,B92,Metas!D:D,D92)))</f>
        <v>2400</v>
      </c>
      <c r="J92" s="10">
        <v>0.75</v>
      </c>
      <c r="K92" s="11">
        <v>9600</v>
      </c>
      <c r="L92" s="11">
        <f>IF(_xlfn.MAXIFS(Metas!J:J,Metas!A:A,A92,Metas!B:B,B92,Metas!D:D,D92) = 0,K92,K92 * (1-_xlfn.MAXIFS(Metas!J:J,Metas!A:A,A92,Metas!B:B,B92,Metas!D:D,D92)))</f>
        <v>9600</v>
      </c>
      <c r="M92" s="10">
        <v>1</v>
      </c>
      <c r="N92" s="8">
        <v>12000</v>
      </c>
      <c r="O92" s="11">
        <f>IF(_xlfn.MAXIFS(Metas!J:J,Metas!A:A,A92,Metas!B:B,B92,Metas!D:D,D92) = 0,N92,N92 * (1-_xlfn.MAXIFS(Metas!J:J,Metas!A:A,A92,Metas!B:B,B92,Metas!D:D,D92)))</f>
        <v>12000</v>
      </c>
      <c r="P92" s="10">
        <v>1</v>
      </c>
      <c r="Q92" s="10">
        <v>1.05</v>
      </c>
      <c r="R92" s="10">
        <v>1.1000000000000001</v>
      </c>
      <c r="S92" s="10">
        <v>1.1000000000000001</v>
      </c>
      <c r="V92" s="10">
        <f>J92</f>
        <v>0.75</v>
      </c>
      <c r="W92" s="10">
        <v>0.01</v>
      </c>
    </row>
    <row r="93" spans="1:23">
      <c r="A93" s="7">
        <v>2026</v>
      </c>
      <c r="B93" s="7">
        <v>2</v>
      </c>
      <c r="C93" s="7" t="s">
        <v>4373</v>
      </c>
      <c r="D93" s="7" t="s">
        <v>162</v>
      </c>
      <c r="E93" s="7" t="s">
        <v>111</v>
      </c>
      <c r="F93" s="7" t="s">
        <v>4316</v>
      </c>
      <c r="G93" s="10">
        <v>0.6</v>
      </c>
      <c r="H93" s="11">
        <v>1620</v>
      </c>
      <c r="I93" s="11">
        <f>IF(_xlfn.MAXIFS(Metas!J:J,Metas!A:A,A93,Metas!B:B,B93,Metas!D:D,D93) = 0,H93,H93 * (1-_xlfn.MAXIFS(Metas!J:J,Metas!A:A,A93,Metas!B:B,B93,Metas!D:D,D93)))</f>
        <v>1620</v>
      </c>
      <c r="J93" s="10">
        <v>0.75</v>
      </c>
      <c r="K93" s="11">
        <v>6480</v>
      </c>
      <c r="L93" s="11">
        <f>IF(_xlfn.MAXIFS(Metas!J:J,Metas!A:A,A93,Metas!B:B,B93,Metas!D:D,D93) = 0,K93,K93 * (1-_xlfn.MAXIFS(Metas!J:J,Metas!A:A,A93,Metas!B:B,B93,Metas!D:D,D93)))</f>
        <v>6480</v>
      </c>
      <c r="M93" s="10">
        <v>1</v>
      </c>
      <c r="N93" s="8">
        <v>8100</v>
      </c>
      <c r="O93" s="11">
        <f>IF(_xlfn.MAXIFS(Metas!J:J,Metas!A:A,A93,Metas!B:B,B93,Metas!D:D,D93) = 0,N93,N93 * (1-_xlfn.MAXIFS(Metas!J:J,Metas!A:A,A93,Metas!B:B,B93,Metas!D:D,D93)))</f>
        <v>8100</v>
      </c>
      <c r="P93" s="10">
        <v>1</v>
      </c>
      <c r="Q93" s="10">
        <v>1.05</v>
      </c>
      <c r="R93" s="10">
        <v>1.1000000000000001</v>
      </c>
      <c r="S93" s="10">
        <v>1.1000000000000001</v>
      </c>
      <c r="V93" s="10">
        <f>J93</f>
        <v>0.75</v>
      </c>
      <c r="W93" s="10">
        <v>0.01</v>
      </c>
    </row>
    <row r="94" spans="1:23">
      <c r="A94" s="7">
        <v>2026</v>
      </c>
      <c r="B94" s="7">
        <v>2</v>
      </c>
      <c r="C94" s="7" t="s">
        <v>4374</v>
      </c>
      <c r="D94" s="7" t="s">
        <v>137</v>
      </c>
      <c r="E94" s="7" t="s">
        <v>111</v>
      </c>
      <c r="F94" s="7" t="s">
        <v>4316</v>
      </c>
      <c r="G94" s="10">
        <v>0.6</v>
      </c>
      <c r="H94" s="11">
        <v>1080</v>
      </c>
      <c r="I94" s="11">
        <f>IF(_xlfn.MAXIFS(Metas!J:J,Metas!A:A,A94,Metas!B:B,B94,Metas!D:D,D94) = 0,H94,H94 * (1-_xlfn.MAXIFS(Metas!J:J,Metas!A:A,A94,Metas!B:B,B94,Metas!D:D,D94)))</f>
        <v>1080</v>
      </c>
      <c r="J94" s="10">
        <v>0.75</v>
      </c>
      <c r="K94" s="11">
        <v>4320</v>
      </c>
      <c r="L94" s="11">
        <f>IF(_xlfn.MAXIFS(Metas!J:J,Metas!A:A,A94,Metas!B:B,B94,Metas!D:D,D94) = 0,K94,K94 * (1-_xlfn.MAXIFS(Metas!J:J,Metas!A:A,A94,Metas!B:B,B94,Metas!D:D,D94)))</f>
        <v>4320</v>
      </c>
      <c r="M94" s="10">
        <v>1</v>
      </c>
      <c r="N94" s="8">
        <v>5400</v>
      </c>
      <c r="O94" s="11">
        <f>IF(_xlfn.MAXIFS(Metas!J:J,Metas!A:A,A94,Metas!B:B,B94,Metas!D:D,D94) = 0,N94,N94 * (1-_xlfn.MAXIFS(Metas!J:J,Metas!A:A,A94,Metas!B:B,B94,Metas!D:D,D94)))</f>
        <v>5400</v>
      </c>
      <c r="P94" s="10">
        <v>1</v>
      </c>
      <c r="Q94" s="10">
        <v>1.05</v>
      </c>
      <c r="R94" s="10">
        <v>1.1000000000000001</v>
      </c>
      <c r="S94" s="10">
        <v>1.1000000000000001</v>
      </c>
      <c r="V94" s="10">
        <f>J94</f>
        <v>0.75</v>
      </c>
      <c r="W94" s="10">
        <v>0.01</v>
      </c>
    </row>
    <row r="95" spans="1:23">
      <c r="A95" s="7">
        <v>2026</v>
      </c>
      <c r="B95" s="7">
        <v>2</v>
      </c>
      <c r="C95" s="7" t="s">
        <v>4375</v>
      </c>
      <c r="D95" s="7" t="s">
        <v>127</v>
      </c>
      <c r="E95" s="7" t="s">
        <v>111</v>
      </c>
      <c r="F95" s="7" t="s">
        <v>4316</v>
      </c>
      <c r="G95" s="10">
        <v>0.6</v>
      </c>
      <c r="H95" s="11">
        <v>1080</v>
      </c>
      <c r="I95" s="11">
        <f>IF(_xlfn.MAXIFS(Metas!J:J,Metas!A:A,A95,Metas!B:B,B95,Metas!D:D,D95) = 0,H95,H95 * (1-_xlfn.MAXIFS(Metas!J:J,Metas!A:A,A95,Metas!B:B,B95,Metas!D:D,D95)))</f>
        <v>1080</v>
      </c>
      <c r="J95" s="10">
        <v>0.75</v>
      </c>
      <c r="K95" s="11">
        <v>4320</v>
      </c>
      <c r="L95" s="11">
        <f>IF(_xlfn.MAXIFS(Metas!J:J,Metas!A:A,A95,Metas!B:B,B95,Metas!D:D,D95) = 0,K95,K95 * (1-_xlfn.MAXIFS(Metas!J:J,Metas!A:A,A95,Metas!B:B,B95,Metas!D:D,D95)))</f>
        <v>4320</v>
      </c>
      <c r="M95" s="10">
        <v>1</v>
      </c>
      <c r="N95" s="8">
        <v>5400</v>
      </c>
      <c r="O95" s="11">
        <f>IF(_xlfn.MAXIFS(Metas!J:J,Metas!A:A,A95,Metas!B:B,B95,Metas!D:D,D95) = 0,N95,N95 * (1-_xlfn.MAXIFS(Metas!J:J,Metas!A:A,A95,Metas!B:B,B95,Metas!D:D,D95)))</f>
        <v>5400</v>
      </c>
      <c r="P95" s="10">
        <v>1</v>
      </c>
      <c r="Q95" s="10">
        <v>1.05</v>
      </c>
      <c r="R95" s="10">
        <v>1.1000000000000001</v>
      </c>
      <c r="S95" s="10">
        <v>1.1000000000000001</v>
      </c>
      <c r="V95" s="10">
        <f>J95</f>
        <v>0.75</v>
      </c>
      <c r="W95" s="10">
        <v>0.01</v>
      </c>
    </row>
    <row r="96" spans="1:23">
      <c r="A96" s="7">
        <v>2026</v>
      </c>
      <c r="B96" s="7">
        <v>2</v>
      </c>
      <c r="C96" s="7" t="s">
        <v>4376</v>
      </c>
      <c r="D96" s="7" t="s">
        <v>116</v>
      </c>
      <c r="E96" s="7" t="s">
        <v>111</v>
      </c>
      <c r="F96" s="7" t="s">
        <v>4316</v>
      </c>
      <c r="G96" s="10">
        <v>0.6</v>
      </c>
      <c r="H96" s="11">
        <v>1620</v>
      </c>
      <c r="I96" s="11">
        <f>IF(_xlfn.MAXIFS(Metas!J:J,Metas!A:A,A96,Metas!B:B,B96,Metas!D:D,D96) = 0,H96,H96 * (1-_xlfn.MAXIFS(Metas!J:J,Metas!A:A,A96,Metas!B:B,B96,Metas!D:D,D96)))</f>
        <v>1620</v>
      </c>
      <c r="J96" s="10">
        <v>0.75</v>
      </c>
      <c r="K96" s="11">
        <v>6480</v>
      </c>
      <c r="L96" s="11">
        <f>IF(_xlfn.MAXIFS(Metas!J:J,Metas!A:A,A96,Metas!B:B,B96,Metas!D:D,D96) = 0,K96,K96 * (1-_xlfn.MAXIFS(Metas!J:J,Metas!A:A,A96,Metas!B:B,B96,Metas!D:D,D96)))</f>
        <v>6480</v>
      </c>
      <c r="M96" s="10">
        <v>1</v>
      </c>
      <c r="N96" s="8">
        <v>8100</v>
      </c>
      <c r="O96" s="11">
        <f>IF(_xlfn.MAXIFS(Metas!J:J,Metas!A:A,A96,Metas!B:B,B96,Metas!D:D,D96) = 0,N96,N96 * (1-_xlfn.MAXIFS(Metas!J:J,Metas!A:A,A96,Metas!B:B,B96,Metas!D:D,D96)))</f>
        <v>8100</v>
      </c>
      <c r="P96" s="10">
        <v>1</v>
      </c>
      <c r="Q96" s="10">
        <v>1.05</v>
      </c>
      <c r="R96" s="10">
        <v>1.1000000000000001</v>
      </c>
      <c r="S96" s="10">
        <v>1.1000000000000001</v>
      </c>
      <c r="V96" s="10">
        <f>J96</f>
        <v>0.75</v>
      </c>
      <c r="W96" s="10">
        <v>0.01</v>
      </c>
    </row>
    <row r="97" spans="1:23">
      <c r="A97" s="7">
        <v>2026</v>
      </c>
      <c r="B97" s="7">
        <v>2</v>
      </c>
      <c r="C97" s="7" t="s">
        <v>4377</v>
      </c>
      <c r="D97" s="7" t="s">
        <v>133</v>
      </c>
      <c r="E97" s="7" t="s">
        <v>111</v>
      </c>
      <c r="F97" s="7" t="s">
        <v>4316</v>
      </c>
      <c r="G97" s="10">
        <v>0.6</v>
      </c>
      <c r="H97" s="11">
        <v>1080</v>
      </c>
      <c r="I97" s="11">
        <f>IF(_xlfn.MAXIFS(Metas!J:J,Metas!A:A,A97,Metas!B:B,B97,Metas!D:D,D97) = 0,H97,H97 * (1-_xlfn.MAXIFS(Metas!J:J,Metas!A:A,A97,Metas!B:B,B97,Metas!D:D,D97)))</f>
        <v>1080</v>
      </c>
      <c r="J97" s="10">
        <v>0.75</v>
      </c>
      <c r="K97" s="11">
        <v>4320</v>
      </c>
      <c r="L97" s="11">
        <f>IF(_xlfn.MAXIFS(Metas!J:J,Metas!A:A,A97,Metas!B:B,B97,Metas!D:D,D97) = 0,K97,K97 * (1-_xlfn.MAXIFS(Metas!J:J,Metas!A:A,A97,Metas!B:B,B97,Metas!D:D,D97)))</f>
        <v>4320</v>
      </c>
      <c r="M97" s="10">
        <v>1</v>
      </c>
      <c r="N97" s="8">
        <v>5400</v>
      </c>
      <c r="O97" s="11">
        <f>IF(_xlfn.MAXIFS(Metas!J:J,Metas!A:A,A97,Metas!B:B,B97,Metas!D:D,D97) = 0,N97,N97 * (1-_xlfn.MAXIFS(Metas!J:J,Metas!A:A,A97,Metas!B:B,B97,Metas!D:D,D97)))</f>
        <v>5400</v>
      </c>
      <c r="P97" s="10">
        <v>1</v>
      </c>
      <c r="Q97" s="10">
        <v>1.05</v>
      </c>
      <c r="R97" s="10">
        <v>1.1000000000000001</v>
      </c>
      <c r="S97" s="10">
        <v>1.1000000000000001</v>
      </c>
      <c r="V97" s="10">
        <f>J97</f>
        <v>0.75</v>
      </c>
      <c r="W97" s="10">
        <v>0.01</v>
      </c>
    </row>
    <row r="98" spans="1:23">
      <c r="A98" s="7">
        <v>2026</v>
      </c>
      <c r="B98" s="7">
        <v>2</v>
      </c>
      <c r="C98" s="7" t="s">
        <v>4378</v>
      </c>
      <c r="D98" s="7" t="s">
        <v>110</v>
      </c>
      <c r="E98" s="7" t="s">
        <v>111</v>
      </c>
      <c r="F98" s="7" t="s">
        <v>4316</v>
      </c>
      <c r="G98" s="10">
        <v>0.6</v>
      </c>
      <c r="H98" s="11">
        <v>1620</v>
      </c>
      <c r="I98" s="11">
        <f>IF(_xlfn.MAXIFS(Metas!J:J,Metas!A:A,A98,Metas!B:B,B98,Metas!D:D,D98) = 0,H98,H98 * (1-_xlfn.MAXIFS(Metas!J:J,Metas!A:A,A98,Metas!B:B,B98,Metas!D:D,D98)))</f>
        <v>1620</v>
      </c>
      <c r="J98" s="10">
        <v>0.75</v>
      </c>
      <c r="K98" s="11">
        <v>6480</v>
      </c>
      <c r="L98" s="11">
        <f>IF(_xlfn.MAXIFS(Metas!J:J,Metas!A:A,A98,Metas!B:B,B98,Metas!D:D,D98) = 0,K98,K98 * (1-_xlfn.MAXIFS(Metas!J:J,Metas!A:A,A98,Metas!B:B,B98,Metas!D:D,D98)))</f>
        <v>6480</v>
      </c>
      <c r="M98" s="10">
        <v>1</v>
      </c>
      <c r="N98" s="8">
        <v>8100</v>
      </c>
      <c r="O98" s="11">
        <f>IF(_xlfn.MAXIFS(Metas!J:J,Metas!A:A,A98,Metas!B:B,B98,Metas!D:D,D98) = 0,N98,N98 * (1-_xlfn.MAXIFS(Metas!J:J,Metas!A:A,A98,Metas!B:B,B98,Metas!D:D,D98)))</f>
        <v>8100</v>
      </c>
      <c r="P98" s="10">
        <v>1</v>
      </c>
      <c r="Q98" s="10">
        <v>1.05</v>
      </c>
      <c r="R98" s="10">
        <v>1.1000000000000001</v>
      </c>
      <c r="S98" s="10">
        <v>1.1000000000000001</v>
      </c>
      <c r="V98" s="10">
        <f>J98</f>
        <v>0.75</v>
      </c>
      <c r="W98" s="10">
        <v>0.01</v>
      </c>
    </row>
    <row r="99" spans="1:23">
      <c r="A99" s="7">
        <v>2026</v>
      </c>
      <c r="B99" s="7">
        <v>2</v>
      </c>
      <c r="C99" s="7" t="s">
        <v>4379</v>
      </c>
      <c r="D99" s="7" t="s">
        <v>121</v>
      </c>
      <c r="E99" s="7" t="s">
        <v>111</v>
      </c>
      <c r="F99" s="7" t="s">
        <v>4316</v>
      </c>
      <c r="G99" s="10">
        <v>0.6</v>
      </c>
      <c r="H99" s="11">
        <v>1080</v>
      </c>
      <c r="I99" s="11">
        <f>IF(_xlfn.MAXIFS(Metas!J:J,Metas!A:A,A99,Metas!B:B,B99,Metas!D:D,D99) = 0,H99,H99 * (1-_xlfn.MAXIFS(Metas!J:J,Metas!A:A,A99,Metas!B:B,B99,Metas!D:D,D99)))</f>
        <v>1080</v>
      </c>
      <c r="J99" s="10">
        <v>0.75</v>
      </c>
      <c r="K99" s="11">
        <v>4320</v>
      </c>
      <c r="L99" s="11">
        <f>IF(_xlfn.MAXIFS(Metas!J:J,Metas!A:A,A99,Metas!B:B,B99,Metas!D:D,D99) = 0,K99,K99 * (1-_xlfn.MAXIFS(Metas!J:J,Metas!A:A,A99,Metas!B:B,B99,Metas!D:D,D99)))</f>
        <v>4320</v>
      </c>
      <c r="M99" s="10">
        <v>1</v>
      </c>
      <c r="N99" s="8">
        <v>5400</v>
      </c>
      <c r="O99" s="11">
        <f>IF(_xlfn.MAXIFS(Metas!J:J,Metas!A:A,A99,Metas!B:B,B99,Metas!D:D,D99) = 0,N99,N99 * (1-_xlfn.MAXIFS(Metas!J:J,Metas!A:A,A99,Metas!B:B,B99,Metas!D:D,D99)))</f>
        <v>5400</v>
      </c>
      <c r="P99" s="10">
        <v>1</v>
      </c>
      <c r="Q99" s="10">
        <v>1.05</v>
      </c>
      <c r="R99" s="10">
        <v>1.1000000000000001</v>
      </c>
      <c r="S99" s="10">
        <v>1.1000000000000001</v>
      </c>
      <c r="V99" s="10">
        <f>J99</f>
        <v>0.75</v>
      </c>
      <c r="W99" s="10">
        <v>0.01</v>
      </c>
    </row>
    <row r="100" spans="1:23">
      <c r="A100" s="7">
        <v>2026</v>
      </c>
      <c r="B100" s="7">
        <v>2</v>
      </c>
      <c r="C100" s="7" t="s">
        <v>4380</v>
      </c>
      <c r="D100" s="7" t="s">
        <v>2265</v>
      </c>
      <c r="E100" s="7" t="s">
        <v>4381</v>
      </c>
      <c r="F100" s="7" t="s">
        <v>4318</v>
      </c>
      <c r="G100" s="10">
        <v>0.55000000000000004</v>
      </c>
      <c r="H100" s="11">
        <v>8976</v>
      </c>
      <c r="I100" s="11">
        <f>IF(_xlfn.MAXIFS(Metas!J:J,Metas!A:A,A100,Metas!B:B,B100,Metas!D:D,D100) = 0,H100,H100 * (1-_xlfn.MAXIFS(Metas!J:J,Metas!A:A,A100,Metas!B:B,B100,Metas!D:D,D100)))</f>
        <v>8976</v>
      </c>
      <c r="L100" s="11">
        <f>IF(_xlfn.MAXIFS(Metas!J:J,Metas!A:A,A100,Metas!B:B,B100,Metas!D:D,D100) = 0,K100,K100 * (1-_xlfn.MAXIFS(Metas!J:J,Metas!A:A,A100,Metas!B:B,B100,Metas!D:D,D100)))</f>
        <v>0</v>
      </c>
      <c r="O100" s="11">
        <f>IF(_xlfn.MAXIFS(Metas!J:J,Metas!A:A,A100,Metas!B:B,B100,Metas!D:D,D100) = 0,N100,N100 * (1-_xlfn.MAXIFS(Metas!J:J,Metas!A:A,A100,Metas!B:B,B100,Metas!D:D,D100)))</f>
        <v>0</v>
      </c>
      <c r="P100" s="10">
        <v>0.95</v>
      </c>
      <c r="Q100" s="10">
        <v>1.1499999999999999</v>
      </c>
      <c r="R100" s="10">
        <v>1.05</v>
      </c>
      <c r="S100" s="10">
        <v>1.25</v>
      </c>
      <c r="V100" s="10">
        <f>G100</f>
        <v>0.55000000000000004</v>
      </c>
      <c r="W100" s="10">
        <v>5.0000000000000001E-3</v>
      </c>
    </row>
    <row r="101" spans="1:23">
      <c r="A101" s="7">
        <v>2026</v>
      </c>
      <c r="B101" s="7">
        <v>3</v>
      </c>
      <c r="C101" s="7" t="s">
        <v>4326</v>
      </c>
      <c r="D101" s="7" t="s">
        <v>501</v>
      </c>
      <c r="E101" s="7" t="s">
        <v>314</v>
      </c>
      <c r="F101" s="7" t="s">
        <v>4316</v>
      </c>
      <c r="G101" s="10">
        <v>0.55000000000000004</v>
      </c>
      <c r="H101" s="11">
        <v>3960</v>
      </c>
      <c r="I101" s="11">
        <f>IF(_xlfn.MAXIFS(Metas!J:J,Metas!A:A,A101,Metas!B:B,B101,Metas!D:D,D101) = 0,H101,H101 * (1-_xlfn.MAXIFS(Metas!J:J,Metas!A:A,A101,Metas!B:B,B101,Metas!D:D,D101)))</f>
        <v>3960</v>
      </c>
      <c r="L101" s="11">
        <f>IF(_xlfn.MAXIFS(Metas!J:J,Metas!A:A,A101,Metas!B:B,B101,Metas!D:D,D101) = 0,K101,K101 * (1-_xlfn.MAXIFS(Metas!J:J,Metas!A:A,A101,Metas!B:B,B101,Metas!D:D,D101)))</f>
        <v>0</v>
      </c>
      <c r="O101" s="11">
        <f>IF(_xlfn.MAXIFS(Metas!J:J,Metas!A:A,A101,Metas!B:B,B101,Metas!D:D,D101) = 0,N101,N101 * (1-_xlfn.MAXIFS(Metas!J:J,Metas!A:A,A101,Metas!B:B,B101,Metas!D:D,D101)))</f>
        <v>0</v>
      </c>
      <c r="P101" s="10">
        <v>0.95</v>
      </c>
      <c r="Q101" s="10">
        <v>1.1499999999999999</v>
      </c>
      <c r="R101" s="10">
        <v>1.05</v>
      </c>
      <c r="S101" s="10">
        <v>1.25</v>
      </c>
      <c r="V101" s="10">
        <f>G101</f>
        <v>0.55000000000000004</v>
      </c>
      <c r="W101" s="10">
        <v>0.02</v>
      </c>
    </row>
    <row r="102" spans="1:23">
      <c r="A102" s="7">
        <v>2026</v>
      </c>
      <c r="B102" s="7">
        <v>3</v>
      </c>
      <c r="C102" s="7" t="s">
        <v>4327</v>
      </c>
      <c r="D102" s="7" t="s">
        <v>313</v>
      </c>
      <c r="E102" s="7" t="s">
        <v>314</v>
      </c>
      <c r="F102" s="7" t="s">
        <v>4316</v>
      </c>
      <c r="G102" s="10">
        <v>0.55000000000000004</v>
      </c>
      <c r="H102" s="11">
        <v>4176</v>
      </c>
      <c r="I102" s="11">
        <f>IF(_xlfn.MAXIFS(Metas!J:J,Metas!A:A,A102,Metas!B:B,B102,Metas!D:D,D102) = 0,H102,H102 * (1-_xlfn.MAXIFS(Metas!J:J,Metas!A:A,A102,Metas!B:B,B102,Metas!D:D,D102)))</f>
        <v>4176</v>
      </c>
      <c r="L102" s="11">
        <f>IF(_xlfn.MAXIFS(Metas!J:J,Metas!A:A,A102,Metas!B:B,B102,Metas!D:D,D102) = 0,K102,K102 * (1-_xlfn.MAXIFS(Metas!J:J,Metas!A:A,A102,Metas!B:B,B102,Metas!D:D,D102)))</f>
        <v>0</v>
      </c>
      <c r="O102" s="11">
        <f>IF(_xlfn.MAXIFS(Metas!J:J,Metas!A:A,A102,Metas!B:B,B102,Metas!D:D,D102) = 0,N102,N102 * (1-_xlfn.MAXIFS(Metas!J:J,Metas!A:A,A102,Metas!B:B,B102,Metas!D:D,D102)))</f>
        <v>0</v>
      </c>
      <c r="P102" s="10">
        <v>0.95</v>
      </c>
      <c r="Q102" s="10">
        <v>1.1499999999999999</v>
      </c>
      <c r="R102" s="10">
        <v>1.05</v>
      </c>
      <c r="S102" s="10">
        <v>1.25</v>
      </c>
      <c r="V102" s="10">
        <f>G102</f>
        <v>0.55000000000000004</v>
      </c>
      <c r="W102" s="10">
        <v>0.02</v>
      </c>
    </row>
    <row r="103" spans="1:23">
      <c r="A103" s="7">
        <v>2026</v>
      </c>
      <c r="B103" s="7">
        <v>3</v>
      </c>
      <c r="C103" s="7" t="s">
        <v>4328</v>
      </c>
      <c r="D103" s="7" t="s">
        <v>1073</v>
      </c>
      <c r="E103" s="7" t="s">
        <v>314</v>
      </c>
      <c r="F103" s="7" t="s">
        <v>4316</v>
      </c>
      <c r="G103" s="10">
        <v>0.55000000000000004</v>
      </c>
      <c r="H103" s="11">
        <v>3564</v>
      </c>
      <c r="I103" s="11">
        <f>IF(_xlfn.MAXIFS(Metas!J:J,Metas!A:A,A103,Metas!B:B,B103,Metas!D:D,D103) = 0,H103,H103 * (1-_xlfn.MAXIFS(Metas!J:J,Metas!A:A,A103,Metas!B:B,B103,Metas!D:D,D103)))</f>
        <v>3564</v>
      </c>
      <c r="L103" s="11">
        <f>IF(_xlfn.MAXIFS(Metas!J:J,Metas!A:A,A103,Metas!B:B,B103,Metas!D:D,D103) = 0,K103,K103 * (1-_xlfn.MAXIFS(Metas!J:J,Metas!A:A,A103,Metas!B:B,B103,Metas!D:D,D103)))</f>
        <v>0</v>
      </c>
      <c r="O103" s="11">
        <f>IF(_xlfn.MAXIFS(Metas!J:J,Metas!A:A,A103,Metas!B:B,B103,Metas!D:D,D103) = 0,N103,N103 * (1-_xlfn.MAXIFS(Metas!J:J,Metas!A:A,A103,Metas!B:B,B103,Metas!D:D,D103)))</f>
        <v>0</v>
      </c>
      <c r="P103" s="10">
        <v>0.95</v>
      </c>
      <c r="Q103" s="10">
        <v>1.1499999999999999</v>
      </c>
      <c r="R103" s="10">
        <v>1.05</v>
      </c>
      <c r="S103" s="10">
        <v>1.25</v>
      </c>
      <c r="V103" s="10">
        <f>G103</f>
        <v>0.55000000000000004</v>
      </c>
      <c r="W103" s="10">
        <v>0.02</v>
      </c>
    </row>
    <row r="104" spans="1:23">
      <c r="A104" s="7">
        <v>2026</v>
      </c>
      <c r="B104" s="7">
        <v>3</v>
      </c>
      <c r="C104" s="7" t="s">
        <v>4330</v>
      </c>
      <c r="D104" s="7" t="s">
        <v>129</v>
      </c>
      <c r="E104" s="7" t="s">
        <v>91</v>
      </c>
      <c r="F104" s="7" t="s">
        <v>4316</v>
      </c>
      <c r="G104" s="10">
        <v>0.55000000000000004</v>
      </c>
      <c r="H104" s="11">
        <v>4176</v>
      </c>
      <c r="I104" s="11">
        <f>IF(_xlfn.MAXIFS(Metas!J:J,Metas!A:A,A104,Metas!B:B,B104,Metas!D:D,D104) = 0,H104,H104 * (1-_xlfn.MAXIFS(Metas!J:J,Metas!A:A,A104,Metas!B:B,B104,Metas!D:D,D104)))</f>
        <v>2088</v>
      </c>
      <c r="L104" s="11">
        <f>IF(_xlfn.MAXIFS(Metas!J:J,Metas!A:A,A104,Metas!B:B,B104,Metas!D:D,D104) = 0,K104,K104 * (1-_xlfn.MAXIFS(Metas!J:J,Metas!A:A,A104,Metas!B:B,B104,Metas!D:D,D104)))</f>
        <v>0</v>
      </c>
      <c r="O104" s="11">
        <f>IF(_xlfn.MAXIFS(Metas!J:J,Metas!A:A,A104,Metas!B:B,B104,Metas!D:D,D104) = 0,N104,N104 * (1-_xlfn.MAXIFS(Metas!J:J,Metas!A:A,A104,Metas!B:B,B104,Metas!D:D,D104)))</f>
        <v>0</v>
      </c>
      <c r="P104" s="10">
        <v>0.95</v>
      </c>
      <c r="Q104" s="10">
        <v>1.1499999999999999</v>
      </c>
      <c r="R104" s="10">
        <v>1.05</v>
      </c>
      <c r="S104" s="10">
        <v>1.25</v>
      </c>
      <c r="V104" s="10">
        <f>G104</f>
        <v>0.55000000000000004</v>
      </c>
      <c r="W104" s="10">
        <v>0.02</v>
      </c>
    </row>
    <row r="105" spans="1:23">
      <c r="A105" s="7">
        <v>2026</v>
      </c>
      <c r="B105" s="7">
        <v>3</v>
      </c>
      <c r="C105" s="7" t="s">
        <v>4331</v>
      </c>
      <c r="D105" s="7" t="s">
        <v>90</v>
      </c>
      <c r="E105" s="7" t="s">
        <v>91</v>
      </c>
      <c r="F105" s="7" t="s">
        <v>4316</v>
      </c>
      <c r="G105" s="10">
        <v>0.55000000000000004</v>
      </c>
      <c r="H105" s="11">
        <v>4176</v>
      </c>
      <c r="I105" s="11">
        <f>IF(_xlfn.MAXIFS(Metas!J:J,Metas!A:A,A105,Metas!B:B,B105,Metas!D:D,D105) = 0,H105,H105 * (1-_xlfn.MAXIFS(Metas!J:J,Metas!A:A,A105,Metas!B:B,B105,Metas!D:D,D105)))</f>
        <v>4176</v>
      </c>
      <c r="L105" s="11">
        <f>IF(_xlfn.MAXIFS(Metas!J:J,Metas!A:A,A105,Metas!B:B,B105,Metas!D:D,D105) = 0,K105,K105 * (1-_xlfn.MAXIFS(Metas!J:J,Metas!A:A,A105,Metas!B:B,B105,Metas!D:D,D105)))</f>
        <v>0</v>
      </c>
      <c r="O105" s="11">
        <f>IF(_xlfn.MAXIFS(Metas!J:J,Metas!A:A,A105,Metas!B:B,B105,Metas!D:D,D105) = 0,N105,N105 * (1-_xlfn.MAXIFS(Metas!J:J,Metas!A:A,A105,Metas!B:B,B105,Metas!D:D,D105)))</f>
        <v>0</v>
      </c>
      <c r="P105" s="10">
        <v>0.95</v>
      </c>
      <c r="Q105" s="10">
        <v>1.1499999999999999</v>
      </c>
      <c r="R105" s="10">
        <v>1.05</v>
      </c>
      <c r="S105" s="10">
        <v>1.25</v>
      </c>
      <c r="V105" s="10">
        <f>G105</f>
        <v>0.55000000000000004</v>
      </c>
      <c r="W105" s="10">
        <v>0.02</v>
      </c>
    </row>
    <row r="106" spans="1:23">
      <c r="A106" s="7">
        <v>2026</v>
      </c>
      <c r="B106" s="7">
        <v>3</v>
      </c>
      <c r="C106" s="7" t="s">
        <v>4332</v>
      </c>
      <c r="D106" s="7" t="s">
        <v>668</v>
      </c>
      <c r="E106" s="7" t="s">
        <v>91</v>
      </c>
      <c r="F106" s="7" t="s">
        <v>4316</v>
      </c>
      <c r="G106" s="10">
        <v>0.55000000000000004</v>
      </c>
      <c r="H106" s="11">
        <v>5297</v>
      </c>
      <c r="I106" s="11">
        <f>IF(_xlfn.MAXIFS(Metas!J:J,Metas!A:A,A106,Metas!B:B,B106,Metas!D:D,D106) = 0,H106,H106 * (1-_xlfn.MAXIFS(Metas!J:J,Metas!A:A,A106,Metas!B:B,B106,Metas!D:D,D106)))</f>
        <v>5297</v>
      </c>
      <c r="L106" s="11">
        <f>IF(_xlfn.MAXIFS(Metas!J:J,Metas!A:A,A106,Metas!B:B,B106,Metas!D:D,D106) = 0,K106,K106 * (1-_xlfn.MAXIFS(Metas!J:J,Metas!A:A,A106,Metas!B:B,B106,Metas!D:D,D106)))</f>
        <v>0</v>
      </c>
      <c r="O106" s="11">
        <f>IF(_xlfn.MAXIFS(Metas!J:J,Metas!A:A,A106,Metas!B:B,B106,Metas!D:D,D106) = 0,N106,N106 * (1-_xlfn.MAXIFS(Metas!J:J,Metas!A:A,A106,Metas!B:B,B106,Metas!D:D,D106)))</f>
        <v>0</v>
      </c>
      <c r="P106" s="10">
        <v>0.95</v>
      </c>
      <c r="Q106" s="10">
        <v>1.1499999999999999</v>
      </c>
      <c r="R106" s="10">
        <v>1.05</v>
      </c>
      <c r="S106" s="10">
        <v>1.25</v>
      </c>
      <c r="V106" s="10">
        <f>G106</f>
        <v>0.55000000000000004</v>
      </c>
      <c r="W106" s="10">
        <v>0.02</v>
      </c>
    </row>
    <row r="107" spans="1:23">
      <c r="A107" s="7">
        <v>2026</v>
      </c>
      <c r="B107" s="7">
        <v>3</v>
      </c>
      <c r="C107" s="7" t="s">
        <v>4333</v>
      </c>
      <c r="D107" s="7" t="s">
        <v>348</v>
      </c>
      <c r="E107" s="7" t="s">
        <v>349</v>
      </c>
      <c r="F107" s="7" t="s">
        <v>4316</v>
      </c>
      <c r="G107" s="10">
        <v>0.55000000000000004</v>
      </c>
      <c r="H107" s="11">
        <v>4176</v>
      </c>
      <c r="I107" s="11">
        <f>IF(_xlfn.MAXIFS(Metas!J:J,Metas!A:A,A107,Metas!B:B,B107,Metas!D:D,D107) = 0,H107,H107 * (1-_xlfn.MAXIFS(Metas!J:J,Metas!A:A,A107,Metas!B:B,B107,Metas!D:D,D107)))</f>
        <v>4176</v>
      </c>
      <c r="L107" s="11">
        <f>IF(_xlfn.MAXIFS(Metas!J:J,Metas!A:A,A107,Metas!B:B,B107,Metas!D:D,D107) = 0,K107,K107 * (1-_xlfn.MAXIFS(Metas!J:J,Metas!A:A,A107,Metas!B:B,B107,Metas!D:D,D107)))</f>
        <v>0</v>
      </c>
      <c r="O107" s="11">
        <f>IF(_xlfn.MAXIFS(Metas!J:J,Metas!A:A,A107,Metas!B:B,B107,Metas!D:D,D107) = 0,N107,N107 * (1-_xlfn.MAXIFS(Metas!J:J,Metas!A:A,A107,Metas!B:B,B107,Metas!D:D,D107)))</f>
        <v>0</v>
      </c>
      <c r="P107" s="10">
        <v>0.95</v>
      </c>
      <c r="Q107" s="10">
        <v>1.1499999999999999</v>
      </c>
      <c r="R107" s="10">
        <v>1.05</v>
      </c>
      <c r="S107" s="10">
        <v>1.25</v>
      </c>
      <c r="V107" s="10">
        <f>G107</f>
        <v>0.55000000000000004</v>
      </c>
      <c r="W107" s="10">
        <v>0.02</v>
      </c>
    </row>
    <row r="108" spans="1:23">
      <c r="A108" s="7">
        <v>2026</v>
      </c>
      <c r="B108" s="7">
        <v>3</v>
      </c>
      <c r="C108" s="7" t="s">
        <v>4383</v>
      </c>
      <c r="D108" s="7" t="s">
        <v>4382</v>
      </c>
      <c r="E108" s="7" t="s">
        <v>349</v>
      </c>
      <c r="F108" s="7" t="s">
        <v>4318</v>
      </c>
      <c r="G108" s="10">
        <v>0.55000000000000004</v>
      </c>
      <c r="H108" s="11">
        <v>6600</v>
      </c>
      <c r="I108" s="11">
        <f>IF(_xlfn.MAXIFS(Metas!J:J,Metas!A:A,A108,Metas!B:B,B108,Metas!D:D,D108,Metas!E:E,E108) = 0,H108,H108 * (1-_xlfn.MAXIFS(Metas!J:J,Metas!A:A,A108,Metas!B:B,B108,Metas!D:D,D108,Metas!E:E,E108)))</f>
        <v>5100</v>
      </c>
      <c r="L108" s="11">
        <f>IF(_xlfn.MAXIFS(Metas!J:J,Metas!A:A,A108,Metas!B:B,B108,Metas!D:D,D108) = 0,K108,K108 * (1-_xlfn.MAXIFS(Metas!J:J,Metas!A:A,A108,Metas!B:B,B108,Metas!D:D,D108)))</f>
        <v>0</v>
      </c>
      <c r="O108" s="11">
        <f>IF(_xlfn.MAXIFS(Metas!J:J,Metas!A:A,A108,Metas!B:B,B108,Metas!D:D,D108) = 0,N108,N108 * (1-_xlfn.MAXIFS(Metas!J:J,Metas!A:A,A108,Metas!B:B,B108,Metas!D:D,D108)))</f>
        <v>0</v>
      </c>
      <c r="P108" s="10">
        <v>0.95</v>
      </c>
      <c r="Q108" s="10">
        <v>1.1499999999999999</v>
      </c>
      <c r="R108" s="10">
        <v>1.05</v>
      </c>
      <c r="S108" s="10">
        <v>1.25</v>
      </c>
      <c r="V108" s="10">
        <f>G108</f>
        <v>0.55000000000000004</v>
      </c>
      <c r="W108" s="10">
        <v>0.02</v>
      </c>
    </row>
    <row r="109" spans="1:23">
      <c r="A109" s="7">
        <v>2026</v>
      </c>
      <c r="B109" s="7">
        <v>3</v>
      </c>
      <c r="C109" s="7" t="s">
        <v>4335</v>
      </c>
      <c r="D109" s="7" t="s">
        <v>190</v>
      </c>
      <c r="E109" s="7" t="s">
        <v>191</v>
      </c>
      <c r="F109" s="7" t="s">
        <v>4316</v>
      </c>
      <c r="G109" s="10">
        <v>0.55000000000000004</v>
      </c>
      <c r="H109" s="11">
        <v>3240</v>
      </c>
      <c r="I109" s="11">
        <f>IF(_xlfn.MAXIFS(Metas!J:J,Metas!A:A,A109,Metas!B:B,B109,Metas!D:D,D109) = 0,H109,H109 * (1-_xlfn.MAXIFS(Metas!J:J,Metas!A:A,A109,Metas!B:B,B109,Metas!D:D,D109)))</f>
        <v>3240</v>
      </c>
      <c r="L109" s="11">
        <f>IF(_xlfn.MAXIFS(Metas!J:J,Metas!A:A,A109,Metas!B:B,B109,Metas!D:D,D109) = 0,K109,K109 * (1-_xlfn.MAXIFS(Metas!J:J,Metas!A:A,A109,Metas!B:B,B109,Metas!D:D,D109)))</f>
        <v>0</v>
      </c>
      <c r="O109" s="11">
        <f>IF(_xlfn.MAXIFS(Metas!J:J,Metas!A:A,A109,Metas!B:B,B109,Metas!D:D,D109) = 0,N109,N109 * (1-_xlfn.MAXIFS(Metas!J:J,Metas!A:A,A109,Metas!B:B,B109,Metas!D:D,D109)))</f>
        <v>0</v>
      </c>
      <c r="P109" s="10">
        <v>0.95</v>
      </c>
      <c r="Q109" s="10">
        <v>1.1499999999999999</v>
      </c>
      <c r="R109" s="10">
        <v>1.05</v>
      </c>
      <c r="S109" s="10">
        <v>1.25</v>
      </c>
      <c r="V109" s="10">
        <f>G109</f>
        <v>0.55000000000000004</v>
      </c>
      <c r="W109" s="10">
        <v>0.02</v>
      </c>
    </row>
    <row r="110" spans="1:23">
      <c r="A110" s="7">
        <v>2026</v>
      </c>
      <c r="B110" s="7">
        <v>3</v>
      </c>
      <c r="C110" s="7" t="s">
        <v>4336</v>
      </c>
      <c r="D110" s="7" t="s">
        <v>323</v>
      </c>
      <c r="E110" s="7" t="s">
        <v>191</v>
      </c>
      <c r="F110" s="7" t="s">
        <v>4316</v>
      </c>
      <c r="G110" s="10">
        <v>0.55000000000000004</v>
      </c>
      <c r="H110" s="11">
        <v>6480</v>
      </c>
      <c r="I110" s="11">
        <f>IF(_xlfn.MAXIFS(Metas!J:J,Metas!A:A,A110,Metas!B:B,B110,Metas!D:D,D110) = 0,H110,H110 * (1-_xlfn.MAXIFS(Metas!J:J,Metas!A:A,A110,Metas!B:B,B110,Metas!D:D,D110)))</f>
        <v>5554.3903200000004</v>
      </c>
      <c r="J110" s="9">
        <v>1</v>
      </c>
      <c r="K110" s="11">
        <v>8100</v>
      </c>
      <c r="L110" s="11">
        <f>IF(_xlfn.MAXIFS(Metas!J:J,Metas!A:A,A110,Metas!B:B,B110,Metas!D:D,D110) = 0,K110,K110 * (1-_xlfn.MAXIFS(Metas!J:J,Metas!A:A,A110,Metas!B:B,B110,Metas!D:D,D110)))</f>
        <v>6942.9879000000001</v>
      </c>
      <c r="O110" s="11">
        <f>IF(_xlfn.MAXIFS(Metas!J:J,Metas!A:A,A110,Metas!B:B,B110,Metas!D:D,D110) = 0,N110,N110 * (1-_xlfn.MAXIFS(Metas!J:J,Metas!A:A,A110,Metas!B:B,B110,Metas!D:D,D110)))</f>
        <v>0</v>
      </c>
      <c r="P110" s="10">
        <v>0.95</v>
      </c>
      <c r="Q110" s="10">
        <v>1.1499999999999999</v>
      </c>
      <c r="R110" s="10">
        <v>1.05</v>
      </c>
      <c r="S110" s="10">
        <v>1.25</v>
      </c>
      <c r="V110" s="10">
        <f>G110</f>
        <v>0.55000000000000004</v>
      </c>
      <c r="W110" s="10">
        <v>0.02</v>
      </c>
    </row>
    <row r="111" spans="1:23">
      <c r="A111" s="7">
        <v>2026</v>
      </c>
      <c r="B111" s="7">
        <v>3</v>
      </c>
      <c r="C111" s="7" t="s">
        <v>4337</v>
      </c>
      <c r="D111" s="7" t="s">
        <v>804</v>
      </c>
      <c r="E111" s="7" t="s">
        <v>191</v>
      </c>
      <c r="F111" s="7" t="s">
        <v>4316</v>
      </c>
      <c r="G111" s="10">
        <v>0.55000000000000004</v>
      </c>
      <c r="H111" s="11">
        <v>3240</v>
      </c>
      <c r="I111" s="11">
        <f>IF(_xlfn.MAXIFS(Metas!J:J,Metas!A:A,A111,Metas!B:B,B111,Metas!D:D,D111) = 0,H111,H111 * (1-_xlfn.MAXIFS(Metas!J:J,Metas!A:A,A111,Metas!B:B,B111,Metas!D:D,D111)))</f>
        <v>3240</v>
      </c>
      <c r="L111" s="11">
        <f>IF(_xlfn.MAXIFS(Metas!J:J,Metas!A:A,A111,Metas!B:B,B111,Metas!D:D,D111) = 0,K111,K111 * (1-_xlfn.MAXIFS(Metas!J:J,Metas!A:A,A111,Metas!B:B,B111,Metas!D:D,D111)))</f>
        <v>0</v>
      </c>
      <c r="O111" s="11">
        <f>IF(_xlfn.MAXIFS(Metas!J:J,Metas!A:A,A111,Metas!B:B,B111,Metas!D:D,D111) = 0,N111,N111 * (1-_xlfn.MAXIFS(Metas!J:J,Metas!A:A,A111,Metas!B:B,B111,Metas!D:D,D111)))</f>
        <v>0</v>
      </c>
      <c r="P111" s="10">
        <v>0.95</v>
      </c>
      <c r="Q111" s="10">
        <v>1.1499999999999999</v>
      </c>
      <c r="R111" s="10">
        <v>1.05</v>
      </c>
      <c r="S111" s="10">
        <v>1.25</v>
      </c>
      <c r="V111" s="10">
        <f>G111</f>
        <v>0.55000000000000004</v>
      </c>
      <c r="W111" s="10">
        <v>0.02</v>
      </c>
    </row>
    <row r="112" spans="1:23">
      <c r="A112" s="7">
        <v>2026</v>
      </c>
      <c r="B112" s="7">
        <v>3</v>
      </c>
      <c r="C112" s="7" t="s">
        <v>4338</v>
      </c>
      <c r="D112" s="7" t="s">
        <v>367</v>
      </c>
      <c r="E112" s="7" t="s">
        <v>191</v>
      </c>
      <c r="F112" s="7" t="s">
        <v>4316</v>
      </c>
      <c r="G112" s="10">
        <v>0.55000000000000004</v>
      </c>
      <c r="H112" s="11">
        <v>9200</v>
      </c>
      <c r="I112" s="11">
        <f>IF(_xlfn.MAXIFS(Metas!J:J,Metas!A:A,A112,Metas!B:B,B112,Metas!D:D,D112) = 0,H112,H112 * (1-_xlfn.MAXIFS(Metas!J:J,Metas!A:A,A112,Metas!B:B,B112,Metas!D:D,D112)))</f>
        <v>9200</v>
      </c>
      <c r="J112" s="9">
        <v>1</v>
      </c>
      <c r="K112" s="11">
        <v>11500</v>
      </c>
      <c r="L112" s="11">
        <f>IF(_xlfn.MAXIFS(Metas!J:J,Metas!A:A,A112,Metas!B:B,B112,Metas!D:D,D112) = 0,K112,K112 * (1-_xlfn.MAXIFS(Metas!J:J,Metas!A:A,A112,Metas!B:B,B112,Metas!D:D,D112)))</f>
        <v>11500</v>
      </c>
      <c r="O112" s="11">
        <f>IF(_xlfn.MAXIFS(Metas!J:J,Metas!A:A,A112,Metas!B:B,B112,Metas!D:D,D112) = 0,N112,N112 * (1-_xlfn.MAXIFS(Metas!J:J,Metas!A:A,A112,Metas!B:B,B112,Metas!D:D,D112)))</f>
        <v>0</v>
      </c>
      <c r="P112" s="10">
        <v>0.95</v>
      </c>
      <c r="Q112" s="10">
        <v>1.1499999999999999</v>
      </c>
      <c r="R112" s="10">
        <v>1.05</v>
      </c>
      <c r="S112" s="10">
        <v>1.25</v>
      </c>
      <c r="V112" s="10">
        <f>G112</f>
        <v>0.55000000000000004</v>
      </c>
      <c r="W112" s="10">
        <v>0.02</v>
      </c>
    </row>
    <row r="113" spans="1:23">
      <c r="A113" s="7">
        <v>2026</v>
      </c>
      <c r="B113" s="7">
        <v>3</v>
      </c>
      <c r="C113" s="7" t="s">
        <v>4339</v>
      </c>
      <c r="D113" s="7" t="s">
        <v>520</v>
      </c>
      <c r="E113" s="7" t="s">
        <v>191</v>
      </c>
      <c r="F113" s="7" t="s">
        <v>4316</v>
      </c>
      <c r="G113" s="10">
        <v>0.55000000000000004</v>
      </c>
      <c r="H113" s="11">
        <v>4176</v>
      </c>
      <c r="I113" s="11">
        <f>IF(_xlfn.MAXIFS(Metas!J:J,Metas!A:A,A113,Metas!B:B,B113,Metas!D:D,D113) = 0,H113,H113 * (1-_xlfn.MAXIFS(Metas!J:J,Metas!A:A,A113,Metas!B:B,B113,Metas!D:D,D113)))</f>
        <v>4176</v>
      </c>
      <c r="L113" s="11">
        <f>IF(_xlfn.MAXIFS(Metas!J:J,Metas!A:A,A113,Metas!B:B,B113,Metas!D:D,D113) = 0,K113,K113 * (1-_xlfn.MAXIFS(Metas!J:J,Metas!A:A,A113,Metas!B:B,B113,Metas!D:D,D113)))</f>
        <v>0</v>
      </c>
      <c r="O113" s="11">
        <f>IF(_xlfn.MAXIFS(Metas!J:J,Metas!A:A,A113,Metas!B:B,B113,Metas!D:D,D113) = 0,N113,N113 * (1-_xlfn.MAXIFS(Metas!J:J,Metas!A:A,A113,Metas!B:B,B113,Metas!D:D,D113)))</f>
        <v>0</v>
      </c>
      <c r="P113" s="10">
        <v>0.95</v>
      </c>
      <c r="Q113" s="10">
        <v>1.1499999999999999</v>
      </c>
      <c r="R113" s="10">
        <v>1.05</v>
      </c>
      <c r="S113" s="10">
        <v>1.25</v>
      </c>
      <c r="V113" s="10">
        <f>G113</f>
        <v>0.55000000000000004</v>
      </c>
      <c r="W113" s="10">
        <v>0.02</v>
      </c>
    </row>
    <row r="114" spans="1:23">
      <c r="A114" s="7">
        <v>2026</v>
      </c>
      <c r="B114" s="7">
        <v>3</v>
      </c>
      <c r="C114" s="7" t="s">
        <v>4340</v>
      </c>
      <c r="D114" s="7" t="s">
        <v>469</v>
      </c>
      <c r="E114" s="7" t="s">
        <v>191</v>
      </c>
      <c r="F114" s="7" t="s">
        <v>4316</v>
      </c>
      <c r="G114" s="10">
        <v>0.55000000000000004</v>
      </c>
      <c r="H114" s="11">
        <v>3240</v>
      </c>
      <c r="I114" s="11">
        <f>IF(_xlfn.MAXIFS(Metas!J:J,Metas!A:A,A114,Metas!B:B,B114,Metas!D:D,D114) = 0,H114,H114 * (1-_xlfn.MAXIFS(Metas!J:J,Metas!A:A,A114,Metas!B:B,B114,Metas!D:D,D114)))</f>
        <v>3240</v>
      </c>
      <c r="L114" s="11">
        <f>IF(_xlfn.MAXIFS(Metas!J:J,Metas!A:A,A114,Metas!B:B,B114,Metas!D:D,D114) = 0,K114,K114 * (1-_xlfn.MAXIFS(Metas!J:J,Metas!A:A,A114,Metas!B:B,B114,Metas!D:D,D114)))</f>
        <v>0</v>
      </c>
      <c r="O114" s="11">
        <f>IF(_xlfn.MAXIFS(Metas!J:J,Metas!A:A,A114,Metas!B:B,B114,Metas!D:D,D114) = 0,N114,N114 * (1-_xlfn.MAXIFS(Metas!J:J,Metas!A:A,A114,Metas!B:B,B114,Metas!D:D,D114)))</f>
        <v>0</v>
      </c>
      <c r="P114" s="10">
        <v>0.95</v>
      </c>
      <c r="Q114" s="10">
        <v>1.1499999999999999</v>
      </c>
      <c r="R114" s="10">
        <v>1.05</v>
      </c>
      <c r="S114" s="10">
        <v>1.25</v>
      </c>
      <c r="V114" s="10">
        <f>G114</f>
        <v>0.55000000000000004</v>
      </c>
      <c r="W114" s="10">
        <v>0.02</v>
      </c>
    </row>
    <row r="115" spans="1:23">
      <c r="A115" s="7">
        <v>2026</v>
      </c>
      <c r="B115" s="7">
        <v>3</v>
      </c>
      <c r="C115" s="7" t="s">
        <v>4326</v>
      </c>
      <c r="D115" s="7" t="s">
        <v>501</v>
      </c>
      <c r="E115" s="7" t="s">
        <v>300</v>
      </c>
      <c r="F115" s="7" t="s">
        <v>4318</v>
      </c>
      <c r="G115" s="10">
        <v>0.6</v>
      </c>
      <c r="H115" s="11">
        <v>4879</v>
      </c>
      <c r="I115" s="11">
        <f>IF(_xlfn.MAXIFS(Metas!J:J,Metas!A:A,A115,Metas!B:B,B115,Metas!D:D,D115,Metas!E:E,E115) = 0,H115,H115 * (1-_xlfn.MAXIFS(Metas!J:J,Metas!A:A,A115,Metas!B:B,B115,Metas!D:D,D115,Metas!E:E,E115)))</f>
        <v>4879</v>
      </c>
      <c r="L115" s="11">
        <f>IF(_xlfn.MAXIFS(Metas!J:J,Metas!A:A,A115,Metas!B:B,B115,Metas!D:D,D115) = 0,K115,K115 * (1-_xlfn.MAXIFS(Metas!J:J,Metas!A:A,A115,Metas!B:B,B115,Metas!D:D,D115)))</f>
        <v>0</v>
      </c>
      <c r="O115" s="11">
        <f>IF(_xlfn.MAXIFS(Metas!J:J,Metas!A:A,A115,Metas!B:B,B115,Metas!D:D,D115) = 0,N115,N115 * (1-_xlfn.MAXIFS(Metas!J:J,Metas!A:A,A115,Metas!B:B,B115,Metas!D:D,D115)))</f>
        <v>0</v>
      </c>
      <c r="P115" s="10">
        <v>0.95</v>
      </c>
      <c r="Q115" s="10">
        <v>1.1499999999999999</v>
      </c>
      <c r="R115" s="10">
        <v>1.05</v>
      </c>
      <c r="S115" s="10">
        <v>1.25</v>
      </c>
      <c r="V115" s="10">
        <f>G115</f>
        <v>0.6</v>
      </c>
      <c r="W115" s="10">
        <v>0.02</v>
      </c>
    </row>
    <row r="116" spans="1:23">
      <c r="A116" s="7">
        <v>2026</v>
      </c>
      <c r="B116" s="7">
        <v>3</v>
      </c>
      <c r="C116" s="7" t="s">
        <v>4341</v>
      </c>
      <c r="D116" s="7" t="s">
        <v>299</v>
      </c>
      <c r="E116" s="7" t="s">
        <v>300</v>
      </c>
      <c r="F116" s="7" t="s">
        <v>4316</v>
      </c>
      <c r="G116" s="10">
        <v>0.6</v>
      </c>
      <c r="H116" s="11">
        <v>3240</v>
      </c>
      <c r="I116" s="11">
        <f>IF(_xlfn.MAXIFS(Metas!J:J,Metas!A:A,A116,Metas!B:B,B116,Metas!D:D,D116) = 0,H116,H116 * (1-_xlfn.MAXIFS(Metas!J:J,Metas!A:A,A116,Metas!B:B,B116,Metas!D:D,D116)))</f>
        <v>3240</v>
      </c>
      <c r="L116" s="11">
        <f>IF(_xlfn.MAXIFS(Metas!J:J,Metas!A:A,A116,Metas!B:B,B116,Metas!D:D,D116) = 0,K116,K116 * (1-_xlfn.MAXIFS(Metas!J:J,Metas!A:A,A116,Metas!B:B,B116,Metas!D:D,D116)))</f>
        <v>0</v>
      </c>
      <c r="O116" s="11">
        <f>IF(_xlfn.MAXIFS(Metas!J:J,Metas!A:A,A116,Metas!B:B,B116,Metas!D:D,D116) = 0,N116,N116 * (1-_xlfn.MAXIFS(Metas!J:J,Metas!A:A,A116,Metas!B:B,B116,Metas!D:D,D116)))</f>
        <v>0</v>
      </c>
      <c r="P116" s="10">
        <v>0.95</v>
      </c>
      <c r="Q116" s="10">
        <v>1.1499999999999999</v>
      </c>
      <c r="R116" s="10">
        <v>1.05</v>
      </c>
      <c r="S116" s="10">
        <v>1.25</v>
      </c>
      <c r="V116" s="10">
        <f>G116</f>
        <v>0.6</v>
      </c>
      <c r="W116" s="10">
        <v>0.02</v>
      </c>
    </row>
    <row r="117" spans="1:23">
      <c r="A117" s="7">
        <v>2026</v>
      </c>
      <c r="B117" s="7">
        <v>3</v>
      </c>
      <c r="C117" s="7" t="s">
        <v>4342</v>
      </c>
      <c r="D117" s="7" t="s">
        <v>506</v>
      </c>
      <c r="E117" s="7" t="s">
        <v>300</v>
      </c>
      <c r="F117" s="7" t="s">
        <v>4316</v>
      </c>
      <c r="G117" s="10">
        <v>0.6</v>
      </c>
      <c r="H117" s="11">
        <v>3240</v>
      </c>
      <c r="I117" s="11">
        <f>IF(_xlfn.MAXIFS(Metas!J:J,Metas!A:A,A117,Metas!B:B,B117,Metas!D:D,D117) = 0,H117,H117 * (1-_xlfn.MAXIFS(Metas!J:J,Metas!A:A,A117,Metas!B:B,B117,Metas!D:D,D117)))</f>
        <v>2462.4</v>
      </c>
      <c r="L117" s="11">
        <f>IF(_xlfn.MAXIFS(Metas!J:J,Metas!A:A,A117,Metas!B:B,B117,Metas!D:D,D117) = 0,K117,K117 * (1-_xlfn.MAXIFS(Metas!J:J,Metas!A:A,A117,Metas!B:B,B117,Metas!D:D,D117)))</f>
        <v>0</v>
      </c>
      <c r="O117" s="11">
        <f>IF(_xlfn.MAXIFS(Metas!J:J,Metas!A:A,A117,Metas!B:B,B117,Metas!D:D,D117) = 0,N117,N117 * (1-_xlfn.MAXIFS(Metas!J:J,Metas!A:A,A117,Metas!B:B,B117,Metas!D:D,D117)))</f>
        <v>0</v>
      </c>
      <c r="P117" s="10">
        <v>0.95</v>
      </c>
      <c r="Q117" s="10">
        <v>1.1499999999999999</v>
      </c>
      <c r="R117" s="10">
        <v>1.05</v>
      </c>
      <c r="S117" s="10">
        <v>1.25</v>
      </c>
      <c r="V117" s="10">
        <f>G117</f>
        <v>0.6</v>
      </c>
      <c r="W117" s="10">
        <v>0.02</v>
      </c>
    </row>
    <row r="118" spans="1:23">
      <c r="A118" s="7">
        <v>2026</v>
      </c>
      <c r="B118" s="7">
        <v>3</v>
      </c>
      <c r="C118" s="7" t="s">
        <v>4384</v>
      </c>
      <c r="D118" s="7" t="s">
        <v>2004</v>
      </c>
      <c r="E118" s="7" t="s">
        <v>300</v>
      </c>
      <c r="F118" s="7" t="s">
        <v>4316</v>
      </c>
      <c r="G118" s="10">
        <v>0.6</v>
      </c>
      <c r="H118" s="11">
        <v>3960</v>
      </c>
      <c r="I118" s="11">
        <f>IF(_xlfn.MAXIFS(Metas!J:J,Metas!A:A,A118,Metas!B:B,B118,Metas!D:D,D118) = 0,H118,H118 * (1-_xlfn.MAXIFS(Metas!J:J,Metas!A:A,A118,Metas!B:B,B118,Metas!D:D,D118)))</f>
        <v>1306.99008</v>
      </c>
      <c r="L118" s="11">
        <f>IF(_xlfn.MAXIFS(Metas!J:J,Metas!A:A,A118,Metas!B:B,B118,Metas!D:D,D118) = 0,K118,K118 * (1-_xlfn.MAXIFS(Metas!J:J,Metas!A:A,A118,Metas!B:B,B118,Metas!D:D,D118)))</f>
        <v>0</v>
      </c>
      <c r="O118" s="11">
        <f>IF(_xlfn.MAXIFS(Metas!J:J,Metas!A:A,A118,Metas!B:B,B118,Metas!D:D,D118) = 0,N118,N118 * (1-_xlfn.MAXIFS(Metas!J:J,Metas!A:A,A118,Metas!B:B,B118,Metas!D:D,D118)))</f>
        <v>0</v>
      </c>
      <c r="P118" s="10">
        <v>0.95</v>
      </c>
      <c r="Q118" s="10">
        <v>1.1499999999999999</v>
      </c>
      <c r="R118" s="10">
        <v>1.05</v>
      </c>
      <c r="S118" s="10">
        <v>1.25</v>
      </c>
      <c r="V118" s="10">
        <f>G118</f>
        <v>0.6</v>
      </c>
      <c r="W118" s="10">
        <v>0.02</v>
      </c>
    </row>
    <row r="119" spans="1:23">
      <c r="A119" s="7">
        <v>2026</v>
      </c>
      <c r="B119" s="7">
        <v>3</v>
      </c>
      <c r="C119" s="7" t="s">
        <v>4343</v>
      </c>
      <c r="D119" s="7" t="s">
        <v>829</v>
      </c>
      <c r="E119" s="7" t="s">
        <v>300</v>
      </c>
      <c r="F119" s="7" t="s">
        <v>4316</v>
      </c>
      <c r="G119" s="10">
        <v>0.6</v>
      </c>
      <c r="H119" s="11">
        <v>3240</v>
      </c>
      <c r="I119" s="11">
        <f>IF(_xlfn.MAXIFS(Metas!J:J,Metas!A:A,A119,Metas!B:B,B119,Metas!D:D,D119,Metas!E:E,E119) = 0,H119,H119 * (1-_xlfn.MAXIFS(Metas!J:J,Metas!A:A,A119,Metas!B:B,B119,Metas!D:D,D119,Metas!E:E,E119)))</f>
        <v>3240</v>
      </c>
      <c r="L119" s="11">
        <f>IF(_xlfn.MAXIFS(Metas!J:J,Metas!A:A,A119,Metas!B:B,B119,Metas!D:D,D119) = 0,K119,K119 * (1-_xlfn.MAXIFS(Metas!J:J,Metas!A:A,A119,Metas!B:B,B119,Metas!D:D,D119)))</f>
        <v>0</v>
      </c>
      <c r="O119" s="11">
        <f>IF(_xlfn.MAXIFS(Metas!J:J,Metas!A:A,A119,Metas!B:B,B119,Metas!D:D,D119) = 0,N119,N119 * (1-_xlfn.MAXIFS(Metas!J:J,Metas!A:A,A119,Metas!B:B,B119,Metas!D:D,D119)))</f>
        <v>0</v>
      </c>
      <c r="P119" s="10">
        <v>0.95</v>
      </c>
      <c r="Q119" s="10">
        <v>1.1499999999999999</v>
      </c>
      <c r="R119" s="10">
        <v>1.05</v>
      </c>
      <c r="S119" s="10">
        <v>1.25</v>
      </c>
      <c r="V119" s="10">
        <f>G119</f>
        <v>0.6</v>
      </c>
      <c r="W119" s="10">
        <v>0.02</v>
      </c>
    </row>
    <row r="120" spans="1:23">
      <c r="A120" s="7">
        <v>2026</v>
      </c>
      <c r="B120" s="7">
        <v>3</v>
      </c>
      <c r="C120" s="7" t="s">
        <v>4344</v>
      </c>
      <c r="D120" s="7" t="s">
        <v>511</v>
      </c>
      <c r="E120" s="7" t="s">
        <v>300</v>
      </c>
      <c r="F120" s="7" t="s">
        <v>4316</v>
      </c>
      <c r="G120" s="10">
        <v>0.6</v>
      </c>
      <c r="H120" s="11">
        <v>3960</v>
      </c>
      <c r="I120" s="11">
        <f>IF(_xlfn.MAXIFS(Metas!J:J,Metas!A:A,A120,Metas!B:B,B120,Metas!D:D,D120) = 0,H120,H120 * (1-_xlfn.MAXIFS(Metas!J:J,Metas!A:A,A120,Metas!B:B,B120,Metas!D:D,D120)))</f>
        <v>3009.6</v>
      </c>
      <c r="L120" s="11">
        <f>IF(_xlfn.MAXIFS(Metas!J:J,Metas!A:A,A120,Metas!B:B,B120,Metas!D:D,D120) = 0,K120,K120 * (1-_xlfn.MAXIFS(Metas!J:J,Metas!A:A,A120,Metas!B:B,B120,Metas!D:D,D120)))</f>
        <v>0</v>
      </c>
      <c r="O120" s="11">
        <f>IF(_xlfn.MAXIFS(Metas!J:J,Metas!A:A,A120,Metas!B:B,B120,Metas!D:D,D120) = 0,N120,N120 * (1-_xlfn.MAXIFS(Metas!J:J,Metas!A:A,A120,Metas!B:B,B120,Metas!D:D,D120)))</f>
        <v>0</v>
      </c>
      <c r="P120" s="10">
        <v>0.95</v>
      </c>
      <c r="Q120" s="10">
        <v>1.1499999999999999</v>
      </c>
      <c r="R120" s="10">
        <v>1.05</v>
      </c>
      <c r="S120" s="10">
        <v>1.25</v>
      </c>
      <c r="V120" s="10">
        <f>G120</f>
        <v>0.6</v>
      </c>
      <c r="W120" s="10">
        <v>0.02</v>
      </c>
    </row>
    <row r="121" spans="1:23">
      <c r="A121" s="7">
        <v>2026</v>
      </c>
      <c r="B121" s="7">
        <v>3</v>
      </c>
      <c r="C121" s="7" t="s">
        <v>4345</v>
      </c>
      <c r="D121" s="7" t="s">
        <v>4268</v>
      </c>
      <c r="E121" s="7" t="s">
        <v>4346</v>
      </c>
      <c r="F121" s="7" t="s">
        <v>4316</v>
      </c>
      <c r="G121" s="10">
        <v>0.7</v>
      </c>
      <c r="H121" s="11">
        <v>1500</v>
      </c>
      <c r="I121" s="11">
        <f>IF(_xlfn.MAXIFS(Metas!J:J,Metas!A:A,A121,Metas!B:B,B121,Metas!D:D,D121) = 0,H121,H121 * (1-_xlfn.MAXIFS(Metas!J:J,Metas!A:A,A121,Metas!B:B,B121,Metas!D:D,D121)))</f>
        <v>1500</v>
      </c>
      <c r="L121" s="11">
        <f>IF(_xlfn.MAXIFS(Metas!J:J,Metas!A:A,A121,Metas!B:B,B121,Metas!D:D,D121) = 0,K121,K121 * (1-_xlfn.MAXIFS(Metas!J:J,Metas!A:A,A121,Metas!B:B,B121,Metas!D:D,D121)))</f>
        <v>0</v>
      </c>
      <c r="O121" s="11">
        <f>IF(_xlfn.MAXIFS(Metas!J:J,Metas!A:A,A121,Metas!B:B,B121,Metas!D:D,D121) = 0,N121,N121 * (1-_xlfn.MAXIFS(Metas!J:J,Metas!A:A,A121,Metas!B:B,B121,Metas!D:D,D121)))</f>
        <v>0</v>
      </c>
      <c r="P121" s="10">
        <v>0.95</v>
      </c>
      <c r="Q121" s="10">
        <v>1.1499999999999999</v>
      </c>
      <c r="R121" s="10">
        <v>1.05</v>
      </c>
      <c r="S121" s="10">
        <v>1.25</v>
      </c>
    </row>
    <row r="122" spans="1:23">
      <c r="A122" s="7">
        <v>2026</v>
      </c>
      <c r="B122" s="7">
        <v>3</v>
      </c>
      <c r="C122" s="7" t="s">
        <v>4349</v>
      </c>
      <c r="D122" s="7" t="s">
        <v>3446</v>
      </c>
      <c r="E122" s="7" t="s">
        <v>4346</v>
      </c>
      <c r="F122" s="7" t="s">
        <v>4316</v>
      </c>
      <c r="G122" s="10">
        <v>0.5</v>
      </c>
      <c r="H122" s="11">
        <v>1800</v>
      </c>
      <c r="I122" s="11">
        <f>IF(_xlfn.MAXIFS(Metas!J:J,Metas!A:A,A122,Metas!B:B,B122,Metas!D:D,D122) = 0,H122,H122 * (1-_xlfn.MAXIFS(Metas!J:J,Metas!A:A,A122,Metas!B:B,B122,Metas!D:D,D122)))</f>
        <v>1800</v>
      </c>
      <c r="L122" s="11">
        <f>IF(_xlfn.MAXIFS(Metas!J:J,Metas!A:A,A122,Metas!B:B,B122,Metas!D:D,D122) = 0,K122,K122 * (1-_xlfn.MAXIFS(Metas!J:J,Metas!A:A,A122,Metas!B:B,B122,Metas!D:D,D122)))</f>
        <v>0</v>
      </c>
      <c r="O122" s="11">
        <f>IF(_xlfn.MAXIFS(Metas!J:J,Metas!A:A,A122,Metas!B:B,B122,Metas!D:D,D122) = 0,N122,N122 * (1-_xlfn.MAXIFS(Metas!J:J,Metas!A:A,A122,Metas!B:B,B122,Metas!D:D,D122)))</f>
        <v>0</v>
      </c>
      <c r="P122" s="10">
        <v>0.75</v>
      </c>
      <c r="Q122" s="10">
        <v>1.1499999999999999</v>
      </c>
      <c r="R122" s="10">
        <v>0.9</v>
      </c>
      <c r="S122" s="10">
        <v>1.25</v>
      </c>
    </row>
    <row r="123" spans="1:23">
      <c r="A123" s="7">
        <v>2026</v>
      </c>
      <c r="B123" s="7">
        <v>3</v>
      </c>
      <c r="C123" s="7" t="s">
        <v>4350</v>
      </c>
      <c r="D123" s="7" t="s">
        <v>4347</v>
      </c>
      <c r="E123" s="7" t="s">
        <v>4346</v>
      </c>
      <c r="F123" s="7" t="s">
        <v>4318</v>
      </c>
      <c r="G123" s="10">
        <v>0.7</v>
      </c>
      <c r="H123" s="11">
        <v>3200</v>
      </c>
      <c r="I123" s="11">
        <f>IF(_xlfn.MAXIFS(Metas!J:J,Metas!A:A,A123,Metas!B:B,B123,Metas!D:D,D123) = 0,H123,H123 * (1-_xlfn.MAXIFS(Metas!J:J,Metas!A:A,A123,Metas!B:B,B123,Metas!D:D,D123)))</f>
        <v>3200</v>
      </c>
      <c r="L123" s="11">
        <f>IF(_xlfn.MAXIFS(Metas!J:J,Metas!A:A,A123,Metas!B:B,B123,Metas!D:D,D123) = 0,K123,K123 * (1-_xlfn.MAXIFS(Metas!J:J,Metas!A:A,A123,Metas!B:B,B123,Metas!D:D,D123)))</f>
        <v>0</v>
      </c>
      <c r="O123" s="11">
        <f>IF(_xlfn.MAXIFS(Metas!J:J,Metas!A:A,A123,Metas!B:B,B123,Metas!D:D,D123) = 0,N123,N123 * (1-_xlfn.MAXIFS(Metas!J:J,Metas!A:A,A123,Metas!B:B,B123,Metas!D:D,D123)))</f>
        <v>0</v>
      </c>
      <c r="P123" s="10">
        <v>0.95</v>
      </c>
      <c r="Q123" s="10">
        <v>1.1499999999999999</v>
      </c>
      <c r="R123" s="10">
        <v>1.05</v>
      </c>
      <c r="S123" s="10">
        <v>1.25</v>
      </c>
    </row>
    <row r="124" spans="1:23">
      <c r="A124" s="7">
        <v>2026</v>
      </c>
      <c r="B124" s="7">
        <v>3</v>
      </c>
      <c r="C124" s="7" t="s">
        <v>4351</v>
      </c>
      <c r="D124" s="7" t="s">
        <v>4269</v>
      </c>
      <c r="E124" s="7" t="s">
        <v>4346</v>
      </c>
      <c r="F124" s="7" t="s">
        <v>4316</v>
      </c>
      <c r="G124" s="10">
        <v>0.7</v>
      </c>
      <c r="H124" s="11">
        <v>1500</v>
      </c>
      <c r="I124" s="11">
        <f>IF(_xlfn.MAXIFS(Metas!J:J,Metas!A:A,A124,Metas!B:B,B124,Metas!D:D,D124) = 0,H124,H124 * (1-_xlfn.MAXIFS(Metas!J:J,Metas!A:A,A124,Metas!B:B,B124,Metas!D:D,D124)))</f>
        <v>1500</v>
      </c>
      <c r="L124" s="11">
        <f>IF(_xlfn.MAXIFS(Metas!J:J,Metas!A:A,A124,Metas!B:B,B124,Metas!D:D,D124) = 0,K124,K124 * (1-_xlfn.MAXIFS(Metas!J:J,Metas!A:A,A124,Metas!B:B,B124,Metas!D:D,D124)))</f>
        <v>0</v>
      </c>
      <c r="O124" s="11">
        <f>IF(_xlfn.MAXIFS(Metas!J:J,Metas!A:A,A124,Metas!B:B,B124,Metas!D:D,D124) = 0,N124,N124 * (1-_xlfn.MAXIFS(Metas!J:J,Metas!A:A,A124,Metas!B:B,B124,Metas!D:D,D124)))</f>
        <v>0</v>
      </c>
      <c r="P124" s="10">
        <v>0.95</v>
      </c>
      <c r="Q124" s="10">
        <v>1.1499999999999999</v>
      </c>
      <c r="R124" s="10">
        <v>1.05</v>
      </c>
      <c r="S124" s="10">
        <v>1.25</v>
      </c>
    </row>
    <row r="125" spans="1:23">
      <c r="A125" s="7">
        <v>2026</v>
      </c>
      <c r="B125" s="7">
        <v>3</v>
      </c>
      <c r="C125" s="7" t="s">
        <v>4352</v>
      </c>
      <c r="D125" s="7" t="s">
        <v>4270</v>
      </c>
      <c r="E125" s="7" t="s">
        <v>4346</v>
      </c>
      <c r="F125" s="7" t="s">
        <v>4316</v>
      </c>
      <c r="G125" s="10">
        <v>0.7</v>
      </c>
      <c r="H125" s="11">
        <v>1500</v>
      </c>
      <c r="I125" s="11">
        <f>IF(_xlfn.MAXIFS(Metas!J:J,Metas!A:A,A125,Metas!B:B,B125,Metas!D:D,D125) = 0,H125,H125 * (1-_xlfn.MAXIFS(Metas!J:J,Metas!A:A,A125,Metas!B:B,B125,Metas!D:D,D125)))</f>
        <v>1500</v>
      </c>
      <c r="L125" s="11">
        <f>IF(_xlfn.MAXIFS(Metas!J:J,Metas!A:A,A125,Metas!B:B,B125,Metas!D:D,D125) = 0,K125,K125 * (1-_xlfn.MAXIFS(Metas!J:J,Metas!A:A,A125,Metas!B:B,B125,Metas!D:D,D125)))</f>
        <v>0</v>
      </c>
      <c r="O125" s="11">
        <f>IF(_xlfn.MAXIFS(Metas!J:J,Metas!A:A,A125,Metas!B:B,B125,Metas!D:D,D125) = 0,N125,N125 * (1-_xlfn.MAXIFS(Metas!J:J,Metas!A:A,A125,Metas!B:B,B125,Metas!D:D,D125)))</f>
        <v>0</v>
      </c>
      <c r="P125" s="10">
        <v>0.95</v>
      </c>
      <c r="Q125" s="10">
        <v>1.1499999999999999</v>
      </c>
      <c r="R125" s="10">
        <v>1.05</v>
      </c>
      <c r="S125" s="10">
        <v>1.25</v>
      </c>
    </row>
    <row r="126" spans="1:23">
      <c r="A126" s="7">
        <v>2026</v>
      </c>
      <c r="B126" s="7">
        <v>3</v>
      </c>
      <c r="C126" s="7" t="s">
        <v>4353</v>
      </c>
      <c r="D126" s="7" t="s">
        <v>4271</v>
      </c>
      <c r="E126" s="7" t="s">
        <v>4346</v>
      </c>
      <c r="F126" s="7" t="s">
        <v>4316</v>
      </c>
      <c r="G126" s="10">
        <v>0.7</v>
      </c>
      <c r="H126" s="11">
        <v>1800</v>
      </c>
      <c r="I126" s="11">
        <f>IF(_xlfn.MAXIFS(Metas!J:J,Metas!A:A,A126,Metas!B:B,B126,Metas!D:D,D126) = 0,H126,H126 * (1-_xlfn.MAXIFS(Metas!J:J,Metas!A:A,A126,Metas!B:B,B126,Metas!D:D,D126)))</f>
        <v>1800</v>
      </c>
      <c r="L126" s="11">
        <f>IF(_xlfn.MAXIFS(Metas!J:J,Metas!A:A,A126,Metas!B:B,B126,Metas!D:D,D126) = 0,K126,K126 * (1-_xlfn.MAXIFS(Metas!J:J,Metas!A:A,A126,Metas!B:B,B126,Metas!D:D,D126)))</f>
        <v>0</v>
      </c>
      <c r="O126" s="11">
        <f>IF(_xlfn.MAXIFS(Metas!J:J,Metas!A:A,A126,Metas!B:B,B126,Metas!D:D,D126) = 0,N126,N126 * (1-_xlfn.MAXIFS(Metas!J:J,Metas!A:A,A126,Metas!B:B,B126,Metas!D:D,D126)))</f>
        <v>0</v>
      </c>
      <c r="P126" s="10">
        <v>0.95</v>
      </c>
      <c r="Q126" s="10">
        <v>1.1499999999999999</v>
      </c>
      <c r="R126" s="10">
        <v>1.05</v>
      </c>
      <c r="S126" s="10">
        <v>1.25</v>
      </c>
    </row>
    <row r="127" spans="1:23">
      <c r="A127" s="7">
        <v>2026</v>
      </c>
      <c r="B127" s="7">
        <v>3</v>
      </c>
      <c r="C127" s="7" t="s">
        <v>4354</v>
      </c>
      <c r="D127" s="7" t="s">
        <v>4272</v>
      </c>
      <c r="E127" s="7" t="s">
        <v>4346</v>
      </c>
      <c r="F127" s="7" t="s">
        <v>4316</v>
      </c>
      <c r="G127" s="10">
        <v>0.7</v>
      </c>
      <c r="H127" s="11">
        <v>1500</v>
      </c>
      <c r="I127" s="11">
        <f>IF(_xlfn.MAXIFS(Metas!J:J,Metas!A:A,A127,Metas!B:B,B127,Metas!D:D,D127) = 0,H127,H127 * (1-_xlfn.MAXIFS(Metas!J:J,Metas!A:A,A127,Metas!B:B,B127,Metas!D:D,D127)))</f>
        <v>1500</v>
      </c>
      <c r="L127" s="11">
        <f>IF(_xlfn.MAXIFS(Metas!J:J,Metas!A:A,A127,Metas!B:B,B127,Metas!D:D,D127) = 0,K127,K127 * (1-_xlfn.MAXIFS(Metas!J:J,Metas!A:A,A127,Metas!B:B,B127,Metas!D:D,D127)))</f>
        <v>0</v>
      </c>
      <c r="O127" s="11">
        <f>IF(_xlfn.MAXIFS(Metas!J:J,Metas!A:A,A127,Metas!B:B,B127,Metas!D:D,D127) = 0,N127,N127 * (1-_xlfn.MAXIFS(Metas!J:J,Metas!A:A,A127,Metas!B:B,B127,Metas!D:D,D127)))</f>
        <v>0</v>
      </c>
      <c r="P127" s="10">
        <v>0.95</v>
      </c>
      <c r="Q127" s="10">
        <v>1.1499999999999999</v>
      </c>
      <c r="R127" s="10">
        <v>1.05</v>
      </c>
      <c r="S127" s="10">
        <v>1.25</v>
      </c>
    </row>
    <row r="128" spans="1:23">
      <c r="A128" s="7">
        <v>2026</v>
      </c>
      <c r="B128" s="7">
        <v>3</v>
      </c>
      <c r="C128" s="7" t="s">
        <v>4355</v>
      </c>
      <c r="D128" s="7" t="s">
        <v>4273</v>
      </c>
      <c r="E128" s="7" t="s">
        <v>4346</v>
      </c>
      <c r="F128" s="7" t="s">
        <v>4316</v>
      </c>
      <c r="G128" s="10">
        <v>0.7</v>
      </c>
      <c r="H128" s="11">
        <v>1500</v>
      </c>
      <c r="I128" s="11">
        <f>IF(_xlfn.MAXIFS(Metas!J:J,Metas!A:A,A128,Metas!B:B,B128,Metas!D:D,D128) = 0,H128,H128 * (1-_xlfn.MAXIFS(Metas!J:J,Metas!A:A,A128,Metas!B:B,B128,Metas!D:D,D128)))</f>
        <v>1500</v>
      </c>
      <c r="L128" s="11">
        <f>IF(_xlfn.MAXIFS(Metas!J:J,Metas!A:A,A128,Metas!B:B,B128,Metas!D:D,D128) = 0,K128,K128 * (1-_xlfn.MAXIFS(Metas!J:J,Metas!A:A,A128,Metas!B:B,B128,Metas!D:D,D128)))</f>
        <v>0</v>
      </c>
      <c r="O128" s="11">
        <f>IF(_xlfn.MAXIFS(Metas!J:J,Metas!A:A,A128,Metas!B:B,B128,Metas!D:D,D128) = 0,N128,N128 * (1-_xlfn.MAXIFS(Metas!J:J,Metas!A:A,A128,Metas!B:B,B128,Metas!D:D,D128)))</f>
        <v>0</v>
      </c>
      <c r="P128" s="10">
        <v>0.95</v>
      </c>
      <c r="Q128" s="10">
        <v>1.1499999999999999</v>
      </c>
      <c r="R128" s="10">
        <v>1.05</v>
      </c>
      <c r="S128" s="10">
        <v>1.25</v>
      </c>
    </row>
    <row r="129" spans="1:23">
      <c r="A129" s="7">
        <v>2026</v>
      </c>
      <c r="B129" s="7">
        <v>3</v>
      </c>
      <c r="C129" s="7" t="s">
        <v>4356</v>
      </c>
      <c r="D129" s="7" t="s">
        <v>4276</v>
      </c>
      <c r="E129" s="7" t="s">
        <v>4346</v>
      </c>
      <c r="F129" s="7" t="s">
        <v>4316</v>
      </c>
      <c r="G129" s="10">
        <v>0.5</v>
      </c>
      <c r="H129" s="11">
        <v>1800</v>
      </c>
      <c r="I129" s="11">
        <f>IF(_xlfn.MAXIFS(Metas!J:J,Metas!A:A,A129,Metas!B:B,B129,Metas!D:D,D129) = 0,H129,H129 * (1-_xlfn.MAXIFS(Metas!J:J,Metas!A:A,A129,Metas!B:B,B129,Metas!D:D,D129)))</f>
        <v>1800</v>
      </c>
      <c r="L129" s="11">
        <f>IF(_xlfn.MAXIFS(Metas!J:J,Metas!A:A,A129,Metas!B:B,B129,Metas!D:D,D129) = 0,K129,K129 * (1-_xlfn.MAXIFS(Metas!J:J,Metas!A:A,A129,Metas!B:B,B129,Metas!D:D,D129)))</f>
        <v>0</v>
      </c>
      <c r="O129" s="11">
        <f>IF(_xlfn.MAXIFS(Metas!J:J,Metas!A:A,A129,Metas!B:B,B129,Metas!D:D,D129) = 0,N129,N129 * (1-_xlfn.MAXIFS(Metas!J:J,Metas!A:A,A129,Metas!B:B,B129,Metas!D:D,D129)))</f>
        <v>0</v>
      </c>
      <c r="P129" s="10">
        <v>0.75</v>
      </c>
      <c r="Q129" s="10">
        <v>1.1499999999999999</v>
      </c>
      <c r="R129" s="10">
        <v>0.9</v>
      </c>
      <c r="S129" s="10">
        <v>1.25</v>
      </c>
    </row>
    <row r="130" spans="1:23">
      <c r="A130" s="7">
        <v>2026</v>
      </c>
      <c r="B130" s="7">
        <v>3</v>
      </c>
      <c r="C130" s="7" t="s">
        <v>4386</v>
      </c>
      <c r="D130" s="7" t="s">
        <v>4278</v>
      </c>
      <c r="E130" s="7" t="s">
        <v>4346</v>
      </c>
      <c r="F130" s="7" t="s">
        <v>4316</v>
      </c>
      <c r="G130" s="10">
        <v>0.7</v>
      </c>
      <c r="H130" s="11">
        <v>1500</v>
      </c>
      <c r="I130" s="11">
        <f>IF(_xlfn.MAXIFS(Metas!J:J,Metas!A:A,A130,Metas!B:B,B130,Metas!D:D,D130) = 0,H130,H130 * (1-_xlfn.MAXIFS(Metas!J:J,Metas!A:A,A130,Metas!B:B,B130,Metas!D:D,D130)))</f>
        <v>494.99999999999994</v>
      </c>
      <c r="L130" s="11">
        <f>IF(_xlfn.MAXIFS(Metas!J:J,Metas!A:A,A130,Metas!B:B,B130,Metas!D:D,D130) = 0,K130,K130 * (1-_xlfn.MAXIFS(Metas!J:J,Metas!A:A,A130,Metas!B:B,B130,Metas!D:D,D130)))</f>
        <v>0</v>
      </c>
      <c r="O130" s="11">
        <f>IF(_xlfn.MAXIFS(Metas!J:J,Metas!A:A,A130,Metas!B:B,B130,Metas!D:D,D130) = 0,N130,N130 * (1-_xlfn.MAXIFS(Metas!J:J,Metas!A:A,A130,Metas!B:B,B130,Metas!D:D,D130)))</f>
        <v>0</v>
      </c>
      <c r="P130" s="10">
        <v>0.95</v>
      </c>
      <c r="Q130" s="10">
        <v>1.1499999999999999</v>
      </c>
      <c r="R130" s="10">
        <v>1.05</v>
      </c>
      <c r="S130" s="10">
        <v>1.25</v>
      </c>
    </row>
    <row r="131" spans="1:23">
      <c r="A131" s="7">
        <v>2026</v>
      </c>
      <c r="B131" s="7">
        <v>3</v>
      </c>
      <c r="C131" s="7" t="s">
        <v>4357</v>
      </c>
      <c r="D131" s="7" t="s">
        <v>87</v>
      </c>
      <c r="E131" s="7" t="s">
        <v>3558</v>
      </c>
      <c r="F131" s="7" t="s">
        <v>4316</v>
      </c>
      <c r="G131" s="10">
        <v>0.5</v>
      </c>
      <c r="H131" s="11">
        <v>8000</v>
      </c>
      <c r="I131" s="11">
        <f>IF(_xlfn.MAXIFS(Metas!J:J,Metas!A:A,A131,Metas!B:B,B131,Metas!D:D,D131) = 0,H131,H131 * (1-_xlfn.MAXIFS(Metas!J:J,Metas!A:A,A131,Metas!B:B,B131,Metas!D:D,D131)))</f>
        <v>8000</v>
      </c>
      <c r="L131" s="11">
        <f>IF(_xlfn.MAXIFS(Metas!J:J,Metas!A:A,A131,Metas!B:B,B131,Metas!D:D,D131) = 0,K131,K131 * (1-_xlfn.MAXIFS(Metas!J:J,Metas!A:A,A131,Metas!B:B,B131,Metas!D:D,D131)))</f>
        <v>0</v>
      </c>
      <c r="O131" s="11">
        <f>IF(_xlfn.MAXIFS(Metas!J:J,Metas!A:A,A131,Metas!B:B,B131,Metas!D:D,D131) = 0,N131,N131 * (1-_xlfn.MAXIFS(Metas!J:J,Metas!A:A,A131,Metas!B:B,B131,Metas!D:D,D131)))</f>
        <v>0</v>
      </c>
      <c r="P131" s="10">
        <v>0.75</v>
      </c>
      <c r="Q131" s="10">
        <v>1.1499999999999999</v>
      </c>
      <c r="R131" s="10">
        <v>0.9</v>
      </c>
      <c r="S131" s="10">
        <v>1.25</v>
      </c>
    </row>
    <row r="132" spans="1:23">
      <c r="A132" s="7">
        <v>2026</v>
      </c>
      <c r="B132" s="7">
        <v>3</v>
      </c>
      <c r="C132" s="7" t="s">
        <v>4360</v>
      </c>
      <c r="D132" s="7" t="s">
        <v>1165</v>
      </c>
      <c r="E132" s="7" t="s">
        <v>3558</v>
      </c>
      <c r="F132" s="7" t="s">
        <v>4316</v>
      </c>
      <c r="G132" s="10">
        <v>0.5</v>
      </c>
      <c r="H132" s="11">
        <v>6800</v>
      </c>
      <c r="I132" s="11">
        <f>IF(_xlfn.MAXIFS(Metas!J:J,Metas!A:A,A132,Metas!B:B,B132,Metas!D:D,D132) = 0,H132,H132 * (1-_xlfn.MAXIFS(Metas!J:J,Metas!A:A,A132,Metas!B:B,B132,Metas!D:D,D132)))</f>
        <v>6800</v>
      </c>
      <c r="L132" s="11">
        <f>IF(_xlfn.MAXIFS(Metas!J:J,Metas!A:A,A132,Metas!B:B,B132,Metas!D:D,D132) = 0,K132,K132 * (1-_xlfn.MAXIFS(Metas!J:J,Metas!A:A,A132,Metas!B:B,B132,Metas!D:D,D132)))</f>
        <v>0</v>
      </c>
      <c r="O132" s="11">
        <f>IF(_xlfn.MAXIFS(Metas!J:J,Metas!A:A,A132,Metas!B:B,B132,Metas!D:D,D132) = 0,N132,N132 * (1-_xlfn.MAXIFS(Metas!J:J,Metas!A:A,A132,Metas!B:B,B132,Metas!D:D,D132)))</f>
        <v>0</v>
      </c>
      <c r="P132" s="10">
        <v>0.75</v>
      </c>
      <c r="Q132" s="10">
        <v>1.1499999999999999</v>
      </c>
      <c r="R132" s="10">
        <v>0.9</v>
      </c>
      <c r="S132" s="10">
        <v>1.25</v>
      </c>
    </row>
    <row r="133" spans="1:23">
      <c r="A133" s="7">
        <v>2026</v>
      </c>
      <c r="B133" s="7">
        <v>3</v>
      </c>
      <c r="C133" s="7" t="s">
        <v>4361</v>
      </c>
      <c r="D133" s="7" t="s">
        <v>36</v>
      </c>
      <c r="E133" s="7" t="s">
        <v>3558</v>
      </c>
      <c r="F133" s="7" t="s">
        <v>4316</v>
      </c>
      <c r="G133" s="10">
        <v>0.5</v>
      </c>
      <c r="H133" s="11">
        <v>5600</v>
      </c>
      <c r="I133" s="11">
        <f>IF(_xlfn.MAXIFS(Metas!J:J,Metas!A:A,A133,Metas!B:B,B133,Metas!D:D,D133) = 0,H133,H133 * (1-_xlfn.MAXIFS(Metas!J:J,Metas!A:A,A133,Metas!B:B,B133,Metas!D:D,D133)))</f>
        <v>5600</v>
      </c>
      <c r="L133" s="11">
        <f>IF(_xlfn.MAXIFS(Metas!J:J,Metas!A:A,A133,Metas!B:B,B133,Metas!D:D,D133) = 0,K133,K133 * (1-_xlfn.MAXIFS(Metas!J:J,Metas!A:A,A133,Metas!B:B,B133,Metas!D:D,D133)))</f>
        <v>0</v>
      </c>
      <c r="O133" s="11">
        <f>IF(_xlfn.MAXIFS(Metas!J:J,Metas!A:A,A133,Metas!B:B,B133,Metas!D:D,D133) = 0,N133,N133 * (1-_xlfn.MAXIFS(Metas!J:J,Metas!A:A,A133,Metas!B:B,B133,Metas!D:D,D133)))</f>
        <v>0</v>
      </c>
      <c r="P133" s="10">
        <v>0.75</v>
      </c>
      <c r="Q133" s="10">
        <v>1.1499999999999999</v>
      </c>
      <c r="R133" s="10">
        <v>0.9</v>
      </c>
      <c r="S133" s="10">
        <v>1.25</v>
      </c>
    </row>
    <row r="134" spans="1:23">
      <c r="A134" s="7">
        <v>2026</v>
      </c>
      <c r="B134" s="7">
        <v>3</v>
      </c>
      <c r="C134" s="7" t="s">
        <v>4362</v>
      </c>
      <c r="D134" s="7" t="s">
        <v>98</v>
      </c>
      <c r="E134" s="7" t="s">
        <v>3558</v>
      </c>
      <c r="F134" s="7" t="s">
        <v>4316</v>
      </c>
      <c r="G134" s="10">
        <v>0.5</v>
      </c>
      <c r="H134" s="11">
        <v>5600</v>
      </c>
      <c r="I134" s="11">
        <f>IF(_xlfn.MAXIFS(Metas!J:J,Metas!A:A,A134,Metas!B:B,B134,Metas!D:D,D134) = 0,H134,H134 * (1-_xlfn.MAXIFS(Metas!J:J,Metas!A:A,A134,Metas!B:B,B134,Metas!D:D,D134)))</f>
        <v>5600</v>
      </c>
      <c r="L134" s="11">
        <f>IF(_xlfn.MAXIFS(Metas!J:J,Metas!A:A,A134,Metas!B:B,B134,Metas!D:D,D134) = 0,K134,K134 * (1-_xlfn.MAXIFS(Metas!J:J,Metas!A:A,A134,Metas!B:B,B134,Metas!D:D,D134)))</f>
        <v>0</v>
      </c>
      <c r="O134" s="11">
        <f>IF(_xlfn.MAXIFS(Metas!J:J,Metas!A:A,A134,Metas!B:B,B134,Metas!D:D,D134) = 0,N134,N134 * (1-_xlfn.MAXIFS(Metas!J:J,Metas!A:A,A134,Metas!B:B,B134,Metas!D:D,D134)))</f>
        <v>0</v>
      </c>
      <c r="P134" s="10">
        <v>0.75</v>
      </c>
      <c r="Q134" s="10">
        <v>1.1499999999999999</v>
      </c>
      <c r="R134" s="10">
        <v>0.9</v>
      </c>
      <c r="S134" s="10">
        <v>1.25</v>
      </c>
    </row>
    <row r="135" spans="1:23">
      <c r="A135" s="7">
        <v>2026</v>
      </c>
      <c r="B135" s="7">
        <v>3</v>
      </c>
      <c r="C135" s="7" t="s">
        <v>4363</v>
      </c>
      <c r="D135" s="7" t="s">
        <v>72</v>
      </c>
      <c r="E135" s="7" t="s">
        <v>3558</v>
      </c>
      <c r="F135" s="7" t="s">
        <v>4316</v>
      </c>
      <c r="G135" s="10">
        <v>0.5</v>
      </c>
      <c r="H135" s="11">
        <v>10000</v>
      </c>
      <c r="I135" s="11">
        <f>IF(_xlfn.MAXIFS(Metas!J:J,Metas!A:A,A135,Metas!B:B,B135,Metas!D:D,D135) = 0,H135,H135 * (1-_xlfn.MAXIFS(Metas!J:J,Metas!A:A,A135,Metas!B:B,B135,Metas!D:D,D135)))</f>
        <v>10000</v>
      </c>
      <c r="L135" s="11">
        <f>IF(_xlfn.MAXIFS(Metas!J:J,Metas!A:A,A135,Metas!B:B,B135,Metas!D:D,D135) = 0,K135,K135 * (1-_xlfn.MAXIFS(Metas!J:J,Metas!A:A,A135,Metas!B:B,B135,Metas!D:D,D135)))</f>
        <v>0</v>
      </c>
      <c r="O135" s="11">
        <f>IF(_xlfn.MAXIFS(Metas!J:J,Metas!A:A,A135,Metas!B:B,B135,Metas!D:D,D135) = 0,N135,N135 * (1-_xlfn.MAXIFS(Metas!J:J,Metas!A:A,A135,Metas!B:B,B135,Metas!D:D,D135)))</f>
        <v>0</v>
      </c>
      <c r="P135" s="10">
        <v>0.75</v>
      </c>
      <c r="Q135" s="10">
        <v>1.1499999999999999</v>
      </c>
      <c r="R135" s="10">
        <v>0.9</v>
      </c>
      <c r="S135" s="10">
        <v>1.25</v>
      </c>
    </row>
    <row r="136" spans="1:23">
      <c r="A136" s="7">
        <v>2026</v>
      </c>
      <c r="B136" s="7">
        <v>3</v>
      </c>
      <c r="C136" s="7" t="s">
        <v>4365</v>
      </c>
      <c r="D136" s="7" t="s">
        <v>69</v>
      </c>
      <c r="E136" s="7" t="s">
        <v>3558</v>
      </c>
      <c r="F136" s="7" t="s">
        <v>4316</v>
      </c>
      <c r="G136" s="10">
        <v>0.5</v>
      </c>
      <c r="H136" s="11">
        <v>10000</v>
      </c>
      <c r="I136" s="11">
        <f>IF(_xlfn.MAXIFS(Metas!J:J,Metas!A:A,A136,Metas!B:B,B136,Metas!D:D,D136) = 0,H136,H136 * (1-_xlfn.MAXIFS(Metas!J:J,Metas!A:A,A136,Metas!B:B,B136,Metas!D:D,D136)))</f>
        <v>10000</v>
      </c>
      <c r="L136" s="11">
        <f>IF(_xlfn.MAXIFS(Metas!J:J,Metas!A:A,A136,Metas!B:B,B136,Metas!D:D,D136) = 0,K136,K136 * (1-_xlfn.MAXIFS(Metas!J:J,Metas!A:A,A136,Metas!B:B,B136,Metas!D:D,D136)))</f>
        <v>0</v>
      </c>
      <c r="O136" s="11">
        <f>IF(_xlfn.MAXIFS(Metas!J:J,Metas!A:A,A136,Metas!B:B,B136,Metas!D:D,D136) = 0,N136,N136 * (1-_xlfn.MAXIFS(Metas!J:J,Metas!A:A,A136,Metas!B:B,B136,Metas!D:D,D136)))</f>
        <v>0</v>
      </c>
      <c r="P136" s="10">
        <v>0.75</v>
      </c>
      <c r="Q136" s="10">
        <v>1.1499999999999999</v>
      </c>
      <c r="R136" s="10">
        <v>0.9</v>
      </c>
      <c r="S136" s="10">
        <v>1.25</v>
      </c>
    </row>
    <row r="137" spans="1:23">
      <c r="A137" s="7">
        <v>2026</v>
      </c>
      <c r="B137" s="7">
        <v>3</v>
      </c>
      <c r="C137" s="7" t="s">
        <v>4366</v>
      </c>
      <c r="D137" s="7" t="s">
        <v>2068</v>
      </c>
      <c r="E137" s="7" t="s">
        <v>3558</v>
      </c>
      <c r="F137" s="7" t="s">
        <v>4316</v>
      </c>
      <c r="G137" s="10">
        <v>0.5</v>
      </c>
      <c r="H137" s="11">
        <v>8000</v>
      </c>
      <c r="I137" s="11">
        <f>IF(_xlfn.MAXIFS(Metas!J:J,Metas!A:A,A137,Metas!B:B,B137,Metas!D:D,D137) = 0,H137,H137 * (1-_xlfn.MAXIFS(Metas!J:J,Metas!A:A,A137,Metas!B:B,B137,Metas!D:D,D137)))</f>
        <v>8000</v>
      </c>
      <c r="L137" s="11">
        <f>IF(_xlfn.MAXIFS(Metas!J:J,Metas!A:A,A137,Metas!B:B,B137,Metas!D:D,D137) = 0,K137,K137 * (1-_xlfn.MAXIFS(Metas!J:J,Metas!A:A,A137,Metas!B:B,B137,Metas!D:D,D137)))</f>
        <v>0</v>
      </c>
      <c r="O137" s="11">
        <f>IF(_xlfn.MAXIFS(Metas!J:J,Metas!A:A,A137,Metas!B:B,B137,Metas!D:D,D137) = 0,N137,N137 * (1-_xlfn.MAXIFS(Metas!J:J,Metas!A:A,A137,Metas!B:B,B137,Metas!D:D,D137)))</f>
        <v>0</v>
      </c>
      <c r="P137" s="10">
        <v>0.75</v>
      </c>
      <c r="Q137" s="10">
        <v>1.1499999999999999</v>
      </c>
      <c r="R137" s="10">
        <v>0.9</v>
      </c>
      <c r="S137" s="10">
        <v>1.25</v>
      </c>
    </row>
    <row r="138" spans="1:23">
      <c r="A138" s="7">
        <v>2026</v>
      </c>
      <c r="B138" s="7">
        <v>3</v>
      </c>
      <c r="C138" s="7" t="s">
        <v>4367</v>
      </c>
      <c r="D138" s="7" t="s">
        <v>4358</v>
      </c>
      <c r="E138" s="7" t="s">
        <v>3558</v>
      </c>
      <c r="F138" s="7" t="s">
        <v>4318</v>
      </c>
      <c r="G138" s="10">
        <v>0.39</v>
      </c>
      <c r="H138" s="11">
        <v>11500</v>
      </c>
      <c r="I138" s="11">
        <f>IF(_xlfn.MAXIFS(Metas!J:J,Metas!A:A,A138,Metas!B:B,B138,Metas!D:D,D138) = 0,H138,H138 * (1-_xlfn.MAXIFS(Metas!J:J,Metas!A:A,A138,Metas!B:B,B138,Metas!D:D,D138)))</f>
        <v>11500</v>
      </c>
      <c r="L138" s="11">
        <f>IF(_xlfn.MAXIFS(Metas!J:J,Metas!A:A,A138,Metas!B:B,B138,Metas!D:D,D138) = 0,K138,K138 * (1-_xlfn.MAXIFS(Metas!J:J,Metas!A:A,A138,Metas!B:B,B138,Metas!D:D,D138)))</f>
        <v>0</v>
      </c>
      <c r="O138" s="11">
        <f>IF(_xlfn.MAXIFS(Metas!J:J,Metas!A:A,A138,Metas!B:B,B138,Metas!D:D,D138) = 0,N138,N138 * (1-_xlfn.MAXIFS(Metas!J:J,Metas!A:A,A138,Metas!B:B,B138,Metas!D:D,D138)))</f>
        <v>0</v>
      </c>
      <c r="P138" s="10">
        <v>0.75</v>
      </c>
      <c r="Q138" s="10">
        <v>1.1499999999999999</v>
      </c>
      <c r="R138" s="10">
        <v>0.9</v>
      </c>
      <c r="S138" s="10">
        <v>1.25</v>
      </c>
    </row>
    <row r="139" spans="1:23">
      <c r="A139" s="7">
        <v>2026</v>
      </c>
      <c r="B139" s="7">
        <v>3</v>
      </c>
      <c r="C139" s="7" t="s">
        <v>4369</v>
      </c>
      <c r="D139" s="7" t="s">
        <v>1243</v>
      </c>
      <c r="E139" s="7" t="s">
        <v>3558</v>
      </c>
      <c r="F139" s="7" t="s">
        <v>4316</v>
      </c>
      <c r="G139" s="10">
        <v>0.5</v>
      </c>
      <c r="H139" s="11">
        <v>6800</v>
      </c>
      <c r="I139" s="11">
        <f>IF(_xlfn.MAXIFS(Metas!J:J,Metas!A:A,A139,Metas!B:B,B139,Metas!D:D,D139) = 0,H139,H139 * (1-_xlfn.MAXIFS(Metas!J:J,Metas!A:A,A139,Metas!B:B,B139,Metas!D:D,D139)))</f>
        <v>6800</v>
      </c>
      <c r="L139" s="11">
        <f>IF(_xlfn.MAXIFS(Metas!J:J,Metas!A:A,A139,Metas!B:B,B139,Metas!D:D,D139) = 0,K139,K139 * (1-_xlfn.MAXIFS(Metas!J:J,Metas!A:A,A139,Metas!B:B,B139,Metas!D:D,D139)))</f>
        <v>0</v>
      </c>
      <c r="O139" s="11">
        <f>IF(_xlfn.MAXIFS(Metas!J:J,Metas!A:A,A139,Metas!B:B,B139,Metas!D:D,D139) = 0,N139,N139 * (1-_xlfn.MAXIFS(Metas!J:J,Metas!A:A,A139,Metas!B:B,B139,Metas!D:D,D139)))</f>
        <v>0</v>
      </c>
      <c r="P139" s="10">
        <v>0.75</v>
      </c>
      <c r="Q139" s="10">
        <v>1.1499999999999999</v>
      </c>
      <c r="R139" s="10">
        <v>0.9</v>
      </c>
      <c r="S139" s="10">
        <v>1.25</v>
      </c>
    </row>
    <row r="140" spans="1:23">
      <c r="A140" s="7">
        <v>2026</v>
      </c>
      <c r="B140" s="7">
        <v>3</v>
      </c>
      <c r="C140" s="7" t="s">
        <v>4370</v>
      </c>
      <c r="D140" s="7" t="s">
        <v>66</v>
      </c>
      <c r="E140" s="7" t="s">
        <v>3558</v>
      </c>
      <c r="F140" s="7" t="s">
        <v>4316</v>
      </c>
      <c r="G140" s="10">
        <v>0.5</v>
      </c>
      <c r="H140" s="11">
        <v>9200</v>
      </c>
      <c r="I140" s="11">
        <f>IF(_xlfn.MAXIFS(Metas!J:J,Metas!A:A,A140,Metas!B:B,B140,Metas!D:D,D140) = 0,H140,H140 * (1-_xlfn.MAXIFS(Metas!J:J,Metas!A:A,A140,Metas!B:B,B140,Metas!D:D,D140)))</f>
        <v>9200</v>
      </c>
      <c r="L140" s="11">
        <f>IF(_xlfn.MAXIFS(Metas!J:J,Metas!A:A,A140,Metas!B:B,B140,Metas!D:D,D140) = 0,K140,K140 * (1-_xlfn.MAXIFS(Metas!J:J,Metas!A:A,A140,Metas!B:B,B140,Metas!D:D,D140)))</f>
        <v>0</v>
      </c>
      <c r="O140" s="11">
        <f>IF(_xlfn.MAXIFS(Metas!J:J,Metas!A:A,A140,Metas!B:B,B140,Metas!D:D,D140) = 0,N140,N140 * (1-_xlfn.MAXIFS(Metas!J:J,Metas!A:A,A140,Metas!B:B,B140,Metas!D:D,D140)))</f>
        <v>0</v>
      </c>
      <c r="P140" s="10">
        <v>0.75</v>
      </c>
      <c r="Q140" s="10">
        <v>1.1499999999999999</v>
      </c>
      <c r="R140" s="10">
        <v>0.9</v>
      </c>
      <c r="S140" s="10">
        <v>1.25</v>
      </c>
    </row>
    <row r="141" spans="1:23">
      <c r="A141" s="7">
        <v>2026</v>
      </c>
      <c r="B141" s="7">
        <v>3</v>
      </c>
      <c r="C141" s="7" t="s">
        <v>4371</v>
      </c>
      <c r="D141" s="7" t="s">
        <v>75</v>
      </c>
      <c r="E141" s="7" t="s">
        <v>3558</v>
      </c>
      <c r="F141" s="7" t="s">
        <v>4316</v>
      </c>
      <c r="G141" s="10">
        <v>0.5</v>
      </c>
      <c r="H141" s="11">
        <v>5600</v>
      </c>
      <c r="I141" s="11">
        <f>IF(_xlfn.MAXIFS(Metas!J:J,Metas!A:A,A141,Metas!B:B,B141,Metas!D:D,D141) = 0,H141,H141 * (1-_xlfn.MAXIFS(Metas!J:J,Metas!A:A,A141,Metas!B:B,B141,Metas!D:D,D141)))</f>
        <v>5600</v>
      </c>
      <c r="L141" s="11">
        <f>IF(_xlfn.MAXIFS(Metas!J:J,Metas!A:A,A141,Metas!B:B,B141,Metas!D:D,D141) = 0,K141,K141 * (1-_xlfn.MAXIFS(Metas!J:J,Metas!A:A,A141,Metas!B:B,B141,Metas!D:D,D141)))</f>
        <v>0</v>
      </c>
      <c r="O141" s="11">
        <f>IF(_xlfn.MAXIFS(Metas!J:J,Metas!A:A,A141,Metas!B:B,B141,Metas!D:D,D141) = 0,N141,N141 * (1-_xlfn.MAXIFS(Metas!J:J,Metas!A:A,A141,Metas!B:B,B141,Metas!D:D,D141)))</f>
        <v>0</v>
      </c>
      <c r="P141" s="10">
        <v>0.75</v>
      </c>
      <c r="Q141" s="10">
        <v>1.1499999999999999</v>
      </c>
      <c r="R141" s="10">
        <v>0.9</v>
      </c>
      <c r="S141" s="10">
        <v>1.25</v>
      </c>
    </row>
    <row r="142" spans="1:23">
      <c r="A142" s="7">
        <v>2026</v>
      </c>
      <c r="B142" s="7">
        <v>3</v>
      </c>
      <c r="C142" s="7" t="s">
        <v>4372</v>
      </c>
      <c r="D142" s="7" t="s">
        <v>198</v>
      </c>
      <c r="E142" s="7" t="s">
        <v>111</v>
      </c>
      <c r="F142" s="7" t="s">
        <v>4318</v>
      </c>
      <c r="G142" s="10">
        <v>0.6</v>
      </c>
      <c r="H142" s="11">
        <v>2400</v>
      </c>
      <c r="I142" s="11">
        <f>IF(_xlfn.MAXIFS(Metas!J:J,Metas!A:A,A142,Metas!B:B,B142,Metas!D:D,D142) = 0,H142,H142 * (1-_xlfn.MAXIFS(Metas!J:J,Metas!A:A,A142,Metas!B:B,B142,Metas!D:D,D142)))</f>
        <v>2400</v>
      </c>
      <c r="J142" s="10">
        <v>0.75</v>
      </c>
      <c r="K142" s="11">
        <v>9600</v>
      </c>
      <c r="L142" s="11">
        <f>IF(_xlfn.MAXIFS(Metas!J:J,Metas!A:A,A142,Metas!B:B,B142,Metas!D:D,D142) = 0,K142,K142 * (1-_xlfn.MAXIFS(Metas!J:J,Metas!A:A,A142,Metas!B:B,B142,Metas!D:D,D142)))</f>
        <v>9600</v>
      </c>
      <c r="M142" s="10">
        <v>1</v>
      </c>
      <c r="N142" s="8">
        <v>12000</v>
      </c>
      <c r="O142" s="11">
        <f>IF(_xlfn.MAXIFS(Metas!J:J,Metas!A:A,A142,Metas!B:B,B142,Metas!D:D,D142) = 0,N142,N142 * (1-_xlfn.MAXIFS(Metas!J:J,Metas!A:A,A142,Metas!B:B,B142,Metas!D:D,D142)))</f>
        <v>12000</v>
      </c>
      <c r="P142" s="10">
        <v>1</v>
      </c>
      <c r="Q142" s="10">
        <v>1.05</v>
      </c>
      <c r="R142" s="10">
        <v>1.1000000000000001</v>
      </c>
      <c r="S142" s="10">
        <v>1.1000000000000001</v>
      </c>
      <c r="V142" s="10">
        <f>J142</f>
        <v>0.75</v>
      </c>
      <c r="W142" s="10">
        <v>0.01</v>
      </c>
    </row>
    <row r="143" spans="1:23">
      <c r="A143" s="7">
        <v>2026</v>
      </c>
      <c r="B143" s="7">
        <v>3</v>
      </c>
      <c r="C143" s="7" t="s">
        <v>4373</v>
      </c>
      <c r="D143" s="7" t="s">
        <v>162</v>
      </c>
      <c r="E143" s="7" t="s">
        <v>111</v>
      </c>
      <c r="F143" s="7" t="s">
        <v>4316</v>
      </c>
      <c r="G143" s="10">
        <v>0.6</v>
      </c>
      <c r="H143" s="11">
        <v>1620</v>
      </c>
      <c r="I143" s="11">
        <f>IF(_xlfn.MAXIFS(Metas!J:J,Metas!A:A,A143,Metas!B:B,B143,Metas!D:D,D143) = 0,H143,H143 * (1-_xlfn.MAXIFS(Metas!J:J,Metas!A:A,A143,Metas!B:B,B143,Metas!D:D,D143)))</f>
        <v>1620</v>
      </c>
      <c r="J143" s="10">
        <v>0.75</v>
      </c>
      <c r="K143" s="11">
        <v>6480</v>
      </c>
      <c r="L143" s="11">
        <f>IF(_xlfn.MAXIFS(Metas!J:J,Metas!A:A,A143,Metas!B:B,B143,Metas!D:D,D143) = 0,K143,K143 * (1-_xlfn.MAXIFS(Metas!J:J,Metas!A:A,A143,Metas!B:B,B143,Metas!D:D,D143)))</f>
        <v>6480</v>
      </c>
      <c r="M143" s="10">
        <v>1</v>
      </c>
      <c r="N143" s="8">
        <v>8100</v>
      </c>
      <c r="O143" s="11">
        <f>IF(_xlfn.MAXIFS(Metas!J:J,Metas!A:A,A143,Metas!B:B,B143,Metas!D:D,D143) = 0,N143,N143 * (1-_xlfn.MAXIFS(Metas!J:J,Metas!A:A,A143,Metas!B:B,B143,Metas!D:D,D143)))</f>
        <v>8100</v>
      </c>
      <c r="P143" s="10">
        <v>1</v>
      </c>
      <c r="Q143" s="10">
        <v>1.05</v>
      </c>
      <c r="R143" s="10">
        <v>1.1000000000000001</v>
      </c>
      <c r="S143" s="10">
        <v>1.1000000000000001</v>
      </c>
      <c r="V143" s="10">
        <f>J143</f>
        <v>0.75</v>
      </c>
      <c r="W143" s="10">
        <v>0.01</v>
      </c>
    </row>
    <row r="144" spans="1:23">
      <c r="A144" s="7">
        <v>2026</v>
      </c>
      <c r="B144" s="7">
        <v>3</v>
      </c>
      <c r="C144" s="7" t="s">
        <v>4374</v>
      </c>
      <c r="D144" s="7" t="s">
        <v>137</v>
      </c>
      <c r="E144" s="7" t="s">
        <v>111</v>
      </c>
      <c r="F144" s="7" t="s">
        <v>4316</v>
      </c>
      <c r="G144" s="10">
        <v>0.6</v>
      </c>
      <c r="H144" s="11">
        <v>1080</v>
      </c>
      <c r="I144" s="11">
        <f>IF(_xlfn.MAXIFS(Metas!J:J,Metas!A:A,A144,Metas!B:B,B144,Metas!D:D,D144) = 0,H144,H144 * (1-_xlfn.MAXIFS(Metas!J:J,Metas!A:A,A144,Metas!B:B,B144,Metas!D:D,D144)))</f>
        <v>1080</v>
      </c>
      <c r="J144" s="10">
        <v>0.75</v>
      </c>
      <c r="K144" s="11">
        <v>4320</v>
      </c>
      <c r="L144" s="11">
        <f>IF(_xlfn.MAXIFS(Metas!J:J,Metas!A:A,A144,Metas!B:B,B144,Metas!D:D,D144) = 0,K144,K144 * (1-_xlfn.MAXIFS(Metas!J:J,Metas!A:A,A144,Metas!B:B,B144,Metas!D:D,D144)))</f>
        <v>4320</v>
      </c>
      <c r="M144" s="10">
        <v>1</v>
      </c>
      <c r="N144" s="8">
        <v>5400</v>
      </c>
      <c r="O144" s="11">
        <f>IF(_xlfn.MAXIFS(Metas!J:J,Metas!A:A,A144,Metas!B:B,B144,Metas!D:D,D144) = 0,N144,N144 * (1-_xlfn.MAXIFS(Metas!J:J,Metas!A:A,A144,Metas!B:B,B144,Metas!D:D,D144)))</f>
        <v>5400</v>
      </c>
      <c r="P144" s="10">
        <v>1</v>
      </c>
      <c r="Q144" s="10">
        <v>1.05</v>
      </c>
      <c r="R144" s="10">
        <v>1.1000000000000001</v>
      </c>
      <c r="S144" s="10">
        <v>1.1000000000000001</v>
      </c>
      <c r="V144" s="10">
        <f>J144</f>
        <v>0.75</v>
      </c>
      <c r="W144" s="10">
        <v>0.01</v>
      </c>
    </row>
    <row r="145" spans="1:23">
      <c r="A145" s="7">
        <v>2026</v>
      </c>
      <c r="B145" s="7">
        <v>3</v>
      </c>
      <c r="C145" s="7" t="s">
        <v>4375</v>
      </c>
      <c r="D145" s="7" t="s">
        <v>127</v>
      </c>
      <c r="E145" s="7" t="s">
        <v>111</v>
      </c>
      <c r="F145" s="7" t="s">
        <v>4316</v>
      </c>
      <c r="G145" s="10">
        <v>0.6</v>
      </c>
      <c r="H145" s="11">
        <v>1080</v>
      </c>
      <c r="I145" s="11">
        <f>IF(_xlfn.MAXIFS(Metas!J:J,Metas!A:A,A145,Metas!B:B,B145,Metas!D:D,D145) = 0,H145,H145 * (1-_xlfn.MAXIFS(Metas!J:J,Metas!A:A,A145,Metas!B:B,B145,Metas!D:D,D145)))</f>
        <v>1080</v>
      </c>
      <c r="J145" s="10">
        <v>0.75</v>
      </c>
      <c r="K145" s="11">
        <v>4320</v>
      </c>
      <c r="L145" s="11">
        <f>IF(_xlfn.MAXIFS(Metas!J:J,Metas!A:A,A145,Metas!B:B,B145,Metas!D:D,D145) = 0,K145,K145 * (1-_xlfn.MAXIFS(Metas!J:J,Metas!A:A,A145,Metas!B:B,B145,Metas!D:D,D145)))</f>
        <v>4320</v>
      </c>
      <c r="M145" s="10">
        <v>1</v>
      </c>
      <c r="N145" s="8">
        <v>5400</v>
      </c>
      <c r="O145" s="11">
        <f>IF(_xlfn.MAXIFS(Metas!J:J,Metas!A:A,A145,Metas!B:B,B145,Metas!D:D,D145) = 0,N145,N145 * (1-_xlfn.MAXIFS(Metas!J:J,Metas!A:A,A145,Metas!B:B,B145,Metas!D:D,D145)))</f>
        <v>5400</v>
      </c>
      <c r="P145" s="10">
        <v>1</v>
      </c>
      <c r="Q145" s="10">
        <v>1.05</v>
      </c>
      <c r="R145" s="10">
        <v>1.1000000000000001</v>
      </c>
      <c r="S145" s="10">
        <v>1.1000000000000001</v>
      </c>
      <c r="V145" s="10">
        <f>J145</f>
        <v>0.75</v>
      </c>
      <c r="W145" s="10">
        <v>0.01</v>
      </c>
    </row>
    <row r="146" spans="1:23">
      <c r="A146" s="7">
        <v>2026</v>
      </c>
      <c r="B146" s="7">
        <v>3</v>
      </c>
      <c r="C146" s="7" t="s">
        <v>4376</v>
      </c>
      <c r="D146" s="7" t="s">
        <v>116</v>
      </c>
      <c r="E146" s="7" t="s">
        <v>111</v>
      </c>
      <c r="F146" s="7" t="s">
        <v>4316</v>
      </c>
      <c r="G146" s="10">
        <v>0.6</v>
      </c>
      <c r="H146" s="11">
        <v>1620</v>
      </c>
      <c r="I146" s="11">
        <f>IF(_xlfn.MAXIFS(Metas!J:J,Metas!A:A,A146,Metas!B:B,B146,Metas!D:D,D146) = 0,H146,H146 * (1-_xlfn.MAXIFS(Metas!J:J,Metas!A:A,A146,Metas!B:B,B146,Metas!D:D,D146)))</f>
        <v>1620</v>
      </c>
      <c r="J146" s="10">
        <v>0.75</v>
      </c>
      <c r="K146" s="11">
        <v>6480</v>
      </c>
      <c r="L146" s="11">
        <f>IF(_xlfn.MAXIFS(Metas!J:J,Metas!A:A,A146,Metas!B:B,B146,Metas!D:D,D146) = 0,K146,K146 * (1-_xlfn.MAXIFS(Metas!J:J,Metas!A:A,A146,Metas!B:B,B146,Metas!D:D,D146)))</f>
        <v>6480</v>
      </c>
      <c r="M146" s="10">
        <v>1</v>
      </c>
      <c r="N146" s="8">
        <v>8100</v>
      </c>
      <c r="O146" s="11">
        <f>IF(_xlfn.MAXIFS(Metas!J:J,Metas!A:A,A146,Metas!B:B,B146,Metas!D:D,D146) = 0,N146,N146 * (1-_xlfn.MAXIFS(Metas!J:J,Metas!A:A,A146,Metas!B:B,B146,Metas!D:D,D146)))</f>
        <v>8100</v>
      </c>
      <c r="P146" s="10">
        <v>1</v>
      </c>
      <c r="Q146" s="10">
        <v>1.05</v>
      </c>
      <c r="R146" s="10">
        <v>1.1000000000000001</v>
      </c>
      <c r="S146" s="10">
        <v>1.1000000000000001</v>
      </c>
      <c r="V146" s="10">
        <f>J146</f>
        <v>0.75</v>
      </c>
      <c r="W146" s="10">
        <v>0.01</v>
      </c>
    </row>
    <row r="147" spans="1:23">
      <c r="A147" s="7">
        <v>2026</v>
      </c>
      <c r="B147" s="7">
        <v>3</v>
      </c>
      <c r="C147" s="7" t="s">
        <v>4377</v>
      </c>
      <c r="D147" s="7" t="s">
        <v>133</v>
      </c>
      <c r="E147" s="7" t="s">
        <v>111</v>
      </c>
      <c r="F147" s="7" t="s">
        <v>4316</v>
      </c>
      <c r="G147" s="10">
        <v>0.6</v>
      </c>
      <c r="H147" s="11">
        <v>1080</v>
      </c>
      <c r="I147" s="11">
        <f>IF(_xlfn.MAXIFS(Metas!J:J,Metas!A:A,A147,Metas!B:B,B147,Metas!D:D,D147) = 0,H147,H147 * (1-_xlfn.MAXIFS(Metas!J:J,Metas!A:A,A147,Metas!B:B,B147,Metas!D:D,D147)))</f>
        <v>1080</v>
      </c>
      <c r="J147" s="10">
        <v>0.75</v>
      </c>
      <c r="K147" s="11">
        <v>4320</v>
      </c>
      <c r="L147" s="11">
        <f>IF(_xlfn.MAXIFS(Metas!J:J,Metas!A:A,A147,Metas!B:B,B147,Metas!D:D,D147) = 0,K147,K147 * (1-_xlfn.MAXIFS(Metas!J:J,Metas!A:A,A147,Metas!B:B,B147,Metas!D:D,D147)))</f>
        <v>4320</v>
      </c>
      <c r="M147" s="10">
        <v>1</v>
      </c>
      <c r="N147" s="8">
        <v>5400</v>
      </c>
      <c r="O147" s="11">
        <f>IF(_xlfn.MAXIFS(Metas!J:J,Metas!A:A,A147,Metas!B:B,B147,Metas!D:D,D147) = 0,N147,N147 * (1-_xlfn.MAXIFS(Metas!J:J,Metas!A:A,A147,Metas!B:B,B147,Metas!D:D,D147)))</f>
        <v>5400</v>
      </c>
      <c r="P147" s="10">
        <v>1</v>
      </c>
      <c r="Q147" s="10">
        <v>1.05</v>
      </c>
      <c r="R147" s="10">
        <v>1.1000000000000001</v>
      </c>
      <c r="S147" s="10">
        <v>1.1000000000000001</v>
      </c>
      <c r="V147" s="10">
        <f>J147</f>
        <v>0.75</v>
      </c>
      <c r="W147" s="10">
        <v>0.01</v>
      </c>
    </row>
    <row r="148" spans="1:23">
      <c r="A148" s="7">
        <v>2026</v>
      </c>
      <c r="B148" s="7">
        <v>3</v>
      </c>
      <c r="C148" s="7" t="s">
        <v>4378</v>
      </c>
      <c r="D148" s="7" t="s">
        <v>110</v>
      </c>
      <c r="E148" s="7" t="s">
        <v>111</v>
      </c>
      <c r="F148" s="7" t="s">
        <v>4316</v>
      </c>
      <c r="G148" s="10">
        <v>0.6</v>
      </c>
      <c r="H148" s="11">
        <v>1620</v>
      </c>
      <c r="I148" s="11">
        <f>IF(_xlfn.MAXIFS(Metas!J:J,Metas!A:A,A148,Metas!B:B,B148,Metas!D:D,D148) = 0,H148,H148 * (1-_xlfn.MAXIFS(Metas!J:J,Metas!A:A,A148,Metas!B:B,B148,Metas!D:D,D148)))</f>
        <v>1620</v>
      </c>
      <c r="J148" s="10">
        <v>0.75</v>
      </c>
      <c r="K148" s="11">
        <v>6480</v>
      </c>
      <c r="L148" s="11">
        <f>IF(_xlfn.MAXIFS(Metas!J:J,Metas!A:A,A148,Metas!B:B,B148,Metas!D:D,D148) = 0,K148,K148 * (1-_xlfn.MAXIFS(Metas!J:J,Metas!A:A,A148,Metas!B:B,B148,Metas!D:D,D148)))</f>
        <v>6480</v>
      </c>
      <c r="M148" s="10">
        <v>1</v>
      </c>
      <c r="N148" s="8">
        <v>8100</v>
      </c>
      <c r="O148" s="11">
        <f>IF(_xlfn.MAXIFS(Metas!J:J,Metas!A:A,A148,Metas!B:B,B148,Metas!D:D,D148) = 0,N148,N148 * (1-_xlfn.MAXIFS(Metas!J:J,Metas!A:A,A148,Metas!B:B,B148,Metas!D:D,D148)))</f>
        <v>8100</v>
      </c>
      <c r="P148" s="10">
        <v>1</v>
      </c>
      <c r="Q148" s="10">
        <v>1.05</v>
      </c>
      <c r="R148" s="10">
        <v>1.1000000000000001</v>
      </c>
      <c r="S148" s="10">
        <v>1.1000000000000001</v>
      </c>
      <c r="V148" s="10">
        <f>J148</f>
        <v>0.75</v>
      </c>
      <c r="W148" s="10">
        <v>0.01</v>
      </c>
    </row>
    <row r="149" spans="1:23">
      <c r="A149" s="7">
        <v>2026</v>
      </c>
      <c r="B149" s="7">
        <v>3</v>
      </c>
      <c r="C149" s="7" t="s">
        <v>4379</v>
      </c>
      <c r="D149" s="7" t="s">
        <v>121</v>
      </c>
      <c r="E149" s="7" t="s">
        <v>111</v>
      </c>
      <c r="F149" s="7" t="s">
        <v>4316</v>
      </c>
      <c r="G149" s="10">
        <v>0.6</v>
      </c>
      <c r="H149" s="11">
        <v>1080</v>
      </c>
      <c r="I149" s="11">
        <f>IF(_xlfn.MAXIFS(Metas!J:J,Metas!A:A,A149,Metas!B:B,B149,Metas!D:D,D149) = 0,H149,H149 * (1-_xlfn.MAXIFS(Metas!J:J,Metas!A:A,A149,Metas!B:B,B149,Metas!D:D,D149)))</f>
        <v>1080</v>
      </c>
      <c r="J149" s="10">
        <v>0.75</v>
      </c>
      <c r="K149" s="11">
        <v>4320</v>
      </c>
      <c r="L149" s="11">
        <f>IF(_xlfn.MAXIFS(Metas!J:J,Metas!A:A,A149,Metas!B:B,B149,Metas!D:D,D149) = 0,K149,K149 * (1-_xlfn.MAXIFS(Metas!J:J,Metas!A:A,A149,Metas!B:B,B149,Metas!D:D,D149)))</f>
        <v>4320</v>
      </c>
      <c r="M149" s="10">
        <v>1</v>
      </c>
      <c r="N149" s="8">
        <v>5400</v>
      </c>
      <c r="O149" s="11">
        <f>IF(_xlfn.MAXIFS(Metas!J:J,Metas!A:A,A149,Metas!B:B,B149,Metas!D:D,D149) = 0,N149,N149 * (1-_xlfn.MAXIFS(Metas!J:J,Metas!A:A,A149,Metas!B:B,B149,Metas!D:D,D149)))</f>
        <v>5400</v>
      </c>
      <c r="P149" s="10">
        <v>1</v>
      </c>
      <c r="Q149" s="10">
        <v>1.05</v>
      </c>
      <c r="R149" s="10">
        <v>1.1000000000000001</v>
      </c>
      <c r="S149" s="10">
        <v>1.1000000000000001</v>
      </c>
      <c r="V149" s="10">
        <f>J149</f>
        <v>0.75</v>
      </c>
      <c r="W149" s="10">
        <v>0.01</v>
      </c>
    </row>
    <row r="150" spans="1:23">
      <c r="A150" s="7">
        <v>2026</v>
      </c>
      <c r="B150" s="7">
        <v>3</v>
      </c>
      <c r="C150" s="7" t="s">
        <v>4380</v>
      </c>
      <c r="D150" s="7" t="s">
        <v>2265</v>
      </c>
      <c r="E150" s="7" t="s">
        <v>4381</v>
      </c>
      <c r="F150" s="7" t="s">
        <v>4318</v>
      </c>
      <c r="G150" s="10">
        <v>0.55000000000000004</v>
      </c>
      <c r="H150" s="11">
        <v>8976</v>
      </c>
      <c r="I150" s="11">
        <f>IF(_xlfn.MAXIFS(Metas!J:J,Metas!A:A,A150,Metas!B:B,B150,Metas!D:D,D150) = 0,H150,H150 * (1-_xlfn.MAXIFS(Metas!J:J,Metas!A:A,A150,Metas!B:B,B150,Metas!D:D,D150)))</f>
        <v>8976</v>
      </c>
      <c r="L150" s="11">
        <f>IF(_xlfn.MAXIFS(Metas!J:J,Metas!A:A,A150,Metas!B:B,B150,Metas!D:D,D150) = 0,K150,K150 * (1-_xlfn.MAXIFS(Metas!J:J,Metas!A:A,A150,Metas!B:B,B150,Metas!D:D,D150)))</f>
        <v>0</v>
      </c>
      <c r="O150" s="11">
        <f>IF(_xlfn.MAXIFS(Metas!J:J,Metas!A:A,A150,Metas!B:B,B150,Metas!D:D,D150) = 0,N150,N150 * (1-_xlfn.MAXIFS(Metas!J:J,Metas!A:A,A150,Metas!B:B,B150,Metas!D:D,D150)))</f>
        <v>0</v>
      </c>
      <c r="P150" s="10">
        <v>0.95</v>
      </c>
      <c r="Q150" s="10">
        <v>1.1499999999999999</v>
      </c>
      <c r="R150" s="10">
        <v>1.05</v>
      </c>
      <c r="S150" s="10">
        <v>1.25</v>
      </c>
      <c r="V150" s="10">
        <f>G150</f>
        <v>0.55000000000000004</v>
      </c>
      <c r="W150" s="10">
        <v>5.0000000000000001E-3</v>
      </c>
    </row>
    <row r="151" spans="1:23">
      <c r="A151" s="7">
        <v>2026</v>
      </c>
      <c r="B151" s="7">
        <v>4</v>
      </c>
      <c r="C151" s="7" t="s">
        <v>4328</v>
      </c>
      <c r="D151" s="7" t="s">
        <v>1073</v>
      </c>
      <c r="E151" s="7" t="s">
        <v>314</v>
      </c>
      <c r="F151" s="7" t="s">
        <v>4284</v>
      </c>
      <c r="G151" s="10"/>
      <c r="H151" s="11">
        <f>SUMIFS('Cargos e OTEs'!D:D,'Cargos e OTEs'!A:A,Parâmetros!A151,'Cargos e OTEs'!B:B,Parâmetros!B151,'Cargos e OTEs'!C:C,Parâmetros!F151)</f>
        <v>3742.2</v>
      </c>
      <c r="I151" s="11">
        <f>IF(_xlfn.MAXIFS(Metas!J:J,Metas!A:A,A151,Metas!B:B,B151,Metas!D:D,D151) = 0,H151,H151 * (1-_xlfn.MAXIFS(Metas!J:J,Metas!A:A,A151,Metas!B:B,B151,Metas!D:D,D151)))</f>
        <v>3742.2</v>
      </c>
      <c r="L151" s="11">
        <f>IF(_xlfn.MAXIFS(Metas!J:J,Metas!A:A,A151,Metas!B:B,B151,Metas!D:D,D151) = 0,K151,K151 * (1-_xlfn.MAXIFS(Metas!J:J,Metas!A:A,A151,Metas!B:B,B151,Metas!D:D,D151)))</f>
        <v>0</v>
      </c>
      <c r="O151" s="11">
        <f>IF(_xlfn.MAXIFS(Metas!J:J,Metas!A:A,A151,Metas!B:B,B151,Metas!D:D,D151) = 0,N151,N151 * (1-_xlfn.MAXIFS(Metas!J:J,Metas!A:A,A151,Metas!B:B,B151,Metas!D:D,D151)))</f>
        <v>0</v>
      </c>
      <c r="P151" s="10">
        <v>1</v>
      </c>
      <c r="Q151" s="10">
        <v>1.2</v>
      </c>
      <c r="R151" s="10">
        <v>1.2</v>
      </c>
      <c r="S151" s="10">
        <v>1.3</v>
      </c>
      <c r="V151" s="10">
        <f>G151</f>
        <v>0</v>
      </c>
      <c r="W151" s="10">
        <v>0.02</v>
      </c>
    </row>
    <row r="152" spans="1:23">
      <c r="A152" s="7">
        <v>2026</v>
      </c>
      <c r="B152" s="7">
        <v>4</v>
      </c>
      <c r="C152" s="7" t="s">
        <v>4330</v>
      </c>
      <c r="D152" s="7" t="s">
        <v>129</v>
      </c>
      <c r="E152" s="7" t="s">
        <v>91</v>
      </c>
      <c r="F152" s="7" t="s">
        <v>4282</v>
      </c>
      <c r="G152" s="10"/>
      <c r="H152" s="11">
        <f>SUMIFS('Cargos e OTEs'!D:D,'Cargos e OTEs'!A:A,Parâmetros!A152,'Cargos e OTEs'!B:B,Parâmetros!B152,'Cargos e OTEs'!C:C,Parâmetros!F152)</f>
        <v>4593.6000000000004</v>
      </c>
      <c r="I152" s="11">
        <f>IF(_xlfn.MAXIFS(Metas!J:J,Metas!A:A,A152,Metas!B:B,B152,Metas!D:D,D152) = 0,H152,H152 * (1-_xlfn.MAXIFS(Metas!J:J,Metas!A:A,A152,Metas!B:B,B152,Metas!D:D,D152)))</f>
        <v>4593.6000000000004</v>
      </c>
      <c r="L152" s="11">
        <f>IF(_xlfn.MAXIFS(Metas!J:J,Metas!A:A,A152,Metas!B:B,B152,Metas!D:D,D152) = 0,K152,K152 * (1-_xlfn.MAXIFS(Metas!J:J,Metas!A:A,A152,Metas!B:B,B152,Metas!D:D,D152)))</f>
        <v>0</v>
      </c>
      <c r="O152" s="11">
        <f>IF(_xlfn.MAXIFS(Metas!J:J,Metas!A:A,A152,Metas!B:B,B152,Metas!D:D,D152) = 0,N152,N152 * (1-_xlfn.MAXIFS(Metas!J:J,Metas!A:A,A152,Metas!B:B,B152,Metas!D:D,D152)))</f>
        <v>0</v>
      </c>
      <c r="P152" s="10">
        <v>1</v>
      </c>
      <c r="Q152" s="10">
        <v>1.2</v>
      </c>
      <c r="R152" s="10">
        <v>1.2</v>
      </c>
      <c r="S152" s="10">
        <v>1.3</v>
      </c>
      <c r="V152" s="10">
        <f>G152</f>
        <v>0</v>
      </c>
      <c r="W152" s="10">
        <v>0.02</v>
      </c>
    </row>
    <row r="153" spans="1:23">
      <c r="A153" s="7">
        <v>2026</v>
      </c>
      <c r="B153" s="7">
        <v>4</v>
      </c>
      <c r="C153" s="7" t="s">
        <v>4331</v>
      </c>
      <c r="D153" s="7" t="s">
        <v>90</v>
      </c>
      <c r="E153" s="7" t="s">
        <v>91</v>
      </c>
      <c r="F153" s="7" t="s">
        <v>4282</v>
      </c>
      <c r="G153" s="10"/>
      <c r="H153" s="11">
        <f>SUMIFS('Cargos e OTEs'!D:D,'Cargos e OTEs'!A:A,Parâmetros!A153,'Cargos e OTEs'!B:B,Parâmetros!B153,'Cargos e OTEs'!C:C,Parâmetros!F153)</f>
        <v>4593.6000000000004</v>
      </c>
      <c r="I153" s="11">
        <f>IF(_xlfn.MAXIFS(Metas!J:J,Metas!A:A,A153,Metas!B:B,B153,Metas!D:D,D153) = 0,H153,H153 * (1-_xlfn.MAXIFS(Metas!J:J,Metas!A:A,A153,Metas!B:B,B153,Metas!D:D,D153)))</f>
        <v>4593.6000000000004</v>
      </c>
      <c r="L153" s="11">
        <f>IF(_xlfn.MAXIFS(Metas!J:J,Metas!A:A,A153,Metas!B:B,B153,Metas!D:D,D153) = 0,K153,K153 * (1-_xlfn.MAXIFS(Metas!J:J,Metas!A:A,A153,Metas!B:B,B153,Metas!D:D,D153)))</f>
        <v>0</v>
      </c>
      <c r="O153" s="11">
        <f>IF(_xlfn.MAXIFS(Metas!J:J,Metas!A:A,A153,Metas!B:B,B153,Metas!D:D,D153) = 0,N153,N153 * (1-_xlfn.MAXIFS(Metas!J:J,Metas!A:A,A153,Metas!B:B,B153,Metas!D:D,D153)))</f>
        <v>0</v>
      </c>
      <c r="P153" s="10">
        <v>1</v>
      </c>
      <c r="Q153" s="10">
        <v>1.2</v>
      </c>
      <c r="R153" s="10">
        <v>1.2</v>
      </c>
      <c r="S153" s="10">
        <v>1.3</v>
      </c>
      <c r="V153" s="10">
        <f>G153</f>
        <v>0</v>
      </c>
      <c r="W153" s="10">
        <v>0.02</v>
      </c>
    </row>
    <row r="154" spans="1:23">
      <c r="A154" s="7">
        <v>2026</v>
      </c>
      <c r="B154" s="7">
        <v>4</v>
      </c>
      <c r="C154" s="7" t="s">
        <v>4332</v>
      </c>
      <c r="D154" s="7" t="s">
        <v>668</v>
      </c>
      <c r="E154" s="7" t="s">
        <v>91</v>
      </c>
      <c r="F154" s="7" t="s">
        <v>4406</v>
      </c>
      <c r="G154" s="10"/>
      <c r="H154" s="11">
        <f>SUMIFS('Cargos e OTEs'!D:D,'Cargos e OTEs'!A:A,Parâmetros!A154,'Cargos e OTEs'!B:B,Parâmetros!B154,'Cargos e OTEs'!C:C,Parâmetros!F154)</f>
        <v>5402.94</v>
      </c>
      <c r="I154" s="11">
        <f>IF(_xlfn.MAXIFS(Metas!J:J,Metas!A:A,A154,Metas!B:B,B154,Metas!D:D,D154) = 0,H154,H154 * (1-_xlfn.MAXIFS(Metas!J:J,Metas!A:A,A154,Metas!B:B,B154,Metas!D:D,D154)))</f>
        <v>5402.94</v>
      </c>
      <c r="L154" s="11">
        <f>IF(_xlfn.MAXIFS(Metas!J:J,Metas!A:A,A154,Metas!B:B,B154,Metas!D:D,D154) = 0,K154,K154 * (1-_xlfn.MAXIFS(Metas!J:J,Metas!A:A,A154,Metas!B:B,B154,Metas!D:D,D154)))</f>
        <v>0</v>
      </c>
      <c r="O154" s="11">
        <f>IF(_xlfn.MAXIFS(Metas!J:J,Metas!A:A,A154,Metas!B:B,B154,Metas!D:D,D154) = 0,N154,N154 * (1-_xlfn.MAXIFS(Metas!J:J,Metas!A:A,A154,Metas!B:B,B154,Metas!D:D,D154)))</f>
        <v>0</v>
      </c>
      <c r="P154" s="10">
        <v>1</v>
      </c>
      <c r="Q154" s="10">
        <v>1.2</v>
      </c>
      <c r="R154" s="10">
        <v>1.2</v>
      </c>
      <c r="S154" s="10">
        <v>1.3</v>
      </c>
      <c r="V154" s="10">
        <f>G154</f>
        <v>0</v>
      </c>
      <c r="W154" s="10">
        <v>0.02</v>
      </c>
    </row>
    <row r="155" spans="1:23">
      <c r="A155" s="7">
        <v>2026</v>
      </c>
      <c r="B155" s="7">
        <v>4</v>
      </c>
      <c r="C155" s="7" t="s">
        <v>4333</v>
      </c>
      <c r="D155" s="7" t="s">
        <v>348</v>
      </c>
      <c r="E155" s="7" t="s">
        <v>349</v>
      </c>
      <c r="F155" s="7" t="s">
        <v>4282</v>
      </c>
      <c r="G155" s="10"/>
      <c r="H155" s="11">
        <f>SUMIFS('Cargos e OTEs'!D:D,'Cargos e OTEs'!A:A,Parâmetros!A155,'Cargos e OTEs'!B:B,Parâmetros!B155,'Cargos e OTEs'!C:C,Parâmetros!F155)</f>
        <v>4593.6000000000004</v>
      </c>
      <c r="I155" s="11">
        <f>IF(_xlfn.MAXIFS(Metas!J:J,Metas!A:A,A155,Metas!B:B,B155,Metas!D:D,D155) = 0,H155,H155 * (1-_xlfn.MAXIFS(Metas!J:J,Metas!A:A,A155,Metas!B:B,B155,Metas!D:D,D155)))</f>
        <v>4593.6000000000004</v>
      </c>
      <c r="L155" s="11">
        <f>IF(_xlfn.MAXIFS(Metas!J:J,Metas!A:A,A155,Metas!B:B,B155,Metas!D:D,D155) = 0,K155,K155 * (1-_xlfn.MAXIFS(Metas!J:J,Metas!A:A,A155,Metas!B:B,B155,Metas!D:D,D155)))</f>
        <v>0</v>
      </c>
      <c r="O155" s="11">
        <f>IF(_xlfn.MAXIFS(Metas!J:J,Metas!A:A,A155,Metas!B:B,B155,Metas!D:D,D155) = 0,N155,N155 * (1-_xlfn.MAXIFS(Metas!J:J,Metas!A:A,A155,Metas!B:B,B155,Metas!D:D,D155)))</f>
        <v>0</v>
      </c>
      <c r="P155" s="10">
        <v>1</v>
      </c>
      <c r="Q155" s="10">
        <v>1.2</v>
      </c>
      <c r="R155" s="10">
        <v>1.2</v>
      </c>
      <c r="S155" s="10">
        <v>1.3</v>
      </c>
      <c r="V155" s="10">
        <f>G155</f>
        <v>0</v>
      </c>
      <c r="W155" s="10">
        <v>0.02</v>
      </c>
    </row>
    <row r="156" spans="1:23">
      <c r="A156" s="7">
        <v>2026</v>
      </c>
      <c r="B156" s="7">
        <v>4</v>
      </c>
      <c r="C156" s="7" t="s">
        <v>4327</v>
      </c>
      <c r="D156" s="7" t="s">
        <v>313</v>
      </c>
      <c r="E156" s="7" t="s">
        <v>349</v>
      </c>
      <c r="F156" s="7" t="s">
        <v>4282</v>
      </c>
      <c r="G156" s="10"/>
      <c r="H156" s="11">
        <f>SUMIFS('Cargos e OTEs'!D:D,'Cargos e OTEs'!A:A,Parâmetros!A156,'Cargos e OTEs'!B:B,Parâmetros!B156,'Cargos e OTEs'!C:C,Parâmetros!F156)</f>
        <v>4593.6000000000004</v>
      </c>
      <c r="I156" s="11">
        <f>IF(_xlfn.MAXIFS(Metas!J:J,Metas!A:A,A156,Metas!B:B,B156,Metas!D:D,D156) = 0,H156,H156 * (1-_xlfn.MAXIFS(Metas!J:J,Metas!A:A,A156,Metas!B:B,B156,Metas!D:D,D156)))</f>
        <v>1530.12816</v>
      </c>
      <c r="J156" s="11"/>
      <c r="L156" s="11">
        <f>IF(_xlfn.MAXIFS(Metas!J:J,Metas!A:A,A156,Metas!B:B,B156,Metas!D:D,D156) = 0,K156,K156 * (1-_xlfn.MAXIFS(Metas!J:J,Metas!A:A,A156,Metas!B:B,B156,Metas!D:D,D156)))</f>
        <v>0</v>
      </c>
      <c r="O156" s="11">
        <f>IF(_xlfn.MAXIFS(Metas!J:J,Metas!A:A,A156,Metas!B:B,B156,Metas!D:D,D156) = 0,N156,N156 * (1-_xlfn.MAXIFS(Metas!J:J,Metas!A:A,A156,Metas!B:B,B156,Metas!D:D,D156)))</f>
        <v>0</v>
      </c>
      <c r="P156" s="10">
        <v>1</v>
      </c>
      <c r="Q156" s="10">
        <v>1.2</v>
      </c>
      <c r="R156" s="10">
        <v>1.2</v>
      </c>
      <c r="S156" s="10">
        <v>1.3</v>
      </c>
      <c r="V156" s="10">
        <f>G156</f>
        <v>0</v>
      </c>
      <c r="W156" s="10">
        <v>0.02</v>
      </c>
    </row>
    <row r="157" spans="1:23">
      <c r="A157" s="7">
        <v>2026</v>
      </c>
      <c r="B157" s="7">
        <v>4</v>
      </c>
      <c r="C157" s="7" t="s">
        <v>4383</v>
      </c>
      <c r="D157" s="7" t="s">
        <v>4382</v>
      </c>
      <c r="E157" s="7" t="s">
        <v>349</v>
      </c>
      <c r="F157" s="7" t="s">
        <v>4309</v>
      </c>
      <c r="G157" s="10"/>
      <c r="H157" s="11">
        <f>SUMIFS('Cargos e OTEs'!D:D,'Cargos e OTEs'!A:A,Parâmetros!A157,'Cargos e OTEs'!B:B,Parâmetros!B157,'Cargos e OTEs'!C:C,Parâmetros!F157)</f>
        <v>6600</v>
      </c>
      <c r="I157" s="11">
        <f>IF(_xlfn.MAXIFS(Metas!J:J,Metas!A:A,A157,Metas!B:B,B157,Metas!D:D,D157) = 0,H157,H157 * (1-_xlfn.MAXIFS(Metas!J:J,Metas!A:A,A157,Metas!B:B,B157,Metas!D:D,D157)))</f>
        <v>6600</v>
      </c>
      <c r="L157" s="11">
        <f>IF(_xlfn.MAXIFS(Metas!J:J,Metas!A:A,A157,Metas!B:B,B157,Metas!D:D,D157) = 0,K157,K157 * (1-_xlfn.MAXIFS(Metas!J:J,Metas!A:A,A157,Metas!B:B,B157,Metas!D:D,D157)))</f>
        <v>0</v>
      </c>
      <c r="O157" s="11">
        <f>IF(_xlfn.MAXIFS(Metas!J:J,Metas!A:A,A157,Metas!B:B,B157,Metas!D:D,D157) = 0,N157,N157 * (1-_xlfn.MAXIFS(Metas!J:J,Metas!A:A,A157,Metas!B:B,B157,Metas!D:D,D157)))</f>
        <v>0</v>
      </c>
      <c r="P157" s="10">
        <v>1</v>
      </c>
      <c r="Q157" s="10">
        <v>1.2</v>
      </c>
      <c r="R157" s="10">
        <v>1.2</v>
      </c>
      <c r="S157" s="10">
        <v>1.3</v>
      </c>
      <c r="V157" s="10">
        <f>G157</f>
        <v>0</v>
      </c>
      <c r="W157" s="10">
        <v>0.02</v>
      </c>
    </row>
    <row r="158" spans="1:23">
      <c r="A158" s="7">
        <v>2026</v>
      </c>
      <c r="B158" s="7">
        <v>4</v>
      </c>
      <c r="C158" s="7" t="s">
        <v>4335</v>
      </c>
      <c r="D158" s="7" t="s">
        <v>190</v>
      </c>
      <c r="E158" s="7" t="s">
        <v>191</v>
      </c>
      <c r="F158" s="7" t="s">
        <v>4407</v>
      </c>
      <c r="G158" s="10"/>
      <c r="H158" s="11">
        <f>SUMIFS('Cargos e OTEs'!D:D,'Cargos e OTEs'!A:A,Parâmetros!A158,'Cargos e OTEs'!B:B,Parâmetros!B158,'Cargos e OTEs'!C:C,Parâmetros!F158)</f>
        <v>3746.2</v>
      </c>
      <c r="I158" s="11">
        <f>IF(_xlfn.MAXIFS(Metas!J:J,Metas!A:A,A158,Metas!B:B,B158,Metas!D:D,D158) = 0,H158,H158 * (1-_xlfn.MAXIFS(Metas!J:J,Metas!A:A,A158,Metas!B:B,B158,Metas!D:D,D158)))</f>
        <v>3746.2</v>
      </c>
      <c r="L158" s="11">
        <f>IF(_xlfn.MAXIFS(Metas!J:J,Metas!A:A,A158,Metas!B:B,B158,Metas!D:D,D158) = 0,K158,K158 * (1-_xlfn.MAXIFS(Metas!J:J,Metas!A:A,A158,Metas!B:B,B158,Metas!D:D,D158)))</f>
        <v>0</v>
      </c>
      <c r="O158" s="11">
        <f>IF(_xlfn.MAXIFS(Metas!J:J,Metas!A:A,A158,Metas!B:B,B158,Metas!D:D,D158) = 0,N158,N158 * (1-_xlfn.MAXIFS(Metas!J:J,Metas!A:A,A158,Metas!B:B,B158,Metas!D:D,D158)))</f>
        <v>0</v>
      </c>
      <c r="P158" s="10">
        <v>1</v>
      </c>
      <c r="Q158" s="10">
        <v>1.2</v>
      </c>
      <c r="R158" s="10">
        <v>1.2</v>
      </c>
      <c r="S158" s="10">
        <v>1.3</v>
      </c>
      <c r="V158" s="10">
        <f>G158</f>
        <v>0</v>
      </c>
      <c r="W158" s="10">
        <v>0.02</v>
      </c>
    </row>
    <row r="159" spans="1:23">
      <c r="A159" s="7">
        <v>2026</v>
      </c>
      <c r="B159" s="7">
        <v>4</v>
      </c>
      <c r="C159" s="7" t="s">
        <v>4336</v>
      </c>
      <c r="D159" s="7" t="s">
        <v>323</v>
      </c>
      <c r="E159" s="7" t="s">
        <v>191</v>
      </c>
      <c r="F159" s="7" t="s">
        <v>4316</v>
      </c>
      <c r="G159" s="10"/>
      <c r="H159" s="11">
        <v>6480</v>
      </c>
      <c r="I159" s="11">
        <f>IF(_xlfn.MAXIFS(Metas!J:J,Metas!A:A,A159,Metas!B:B,B159,Metas!D:D,D159) = 0,H159,H159 * (1-_xlfn.MAXIFS(Metas!J:J,Metas!A:A,A159,Metas!B:B,B159,Metas!D:D,D159)))</f>
        <v>6480</v>
      </c>
      <c r="J159" s="9">
        <v>1</v>
      </c>
      <c r="K159" s="11">
        <v>8100</v>
      </c>
      <c r="L159" s="11">
        <f>IF(_xlfn.MAXIFS(Metas!J:J,Metas!A:A,A159,Metas!B:B,B159,Metas!D:D,D159) = 0,K159,K159 * (1-_xlfn.MAXIFS(Metas!J:J,Metas!A:A,A159,Metas!B:B,B159,Metas!D:D,D159)))</f>
        <v>8100</v>
      </c>
      <c r="O159" s="11">
        <f>IF(_xlfn.MAXIFS(Metas!J:J,Metas!A:A,A159,Metas!B:B,B159,Metas!D:D,D159) = 0,N159,N159 * (1-_xlfn.MAXIFS(Metas!J:J,Metas!A:A,A159,Metas!B:B,B159,Metas!D:D,D159)))</f>
        <v>0</v>
      </c>
      <c r="P159" s="10">
        <v>1</v>
      </c>
      <c r="Q159" s="10">
        <v>1.2</v>
      </c>
      <c r="R159" s="10">
        <v>1.2</v>
      </c>
      <c r="S159" s="10">
        <v>1.3</v>
      </c>
      <c r="V159" s="10">
        <f>G159</f>
        <v>0</v>
      </c>
      <c r="W159" s="10">
        <v>0.02</v>
      </c>
    </row>
    <row r="160" spans="1:23">
      <c r="A160" s="7">
        <v>2026</v>
      </c>
      <c r="B160" s="7">
        <v>4</v>
      </c>
      <c r="C160" s="7" t="s">
        <v>4337</v>
      </c>
      <c r="D160" s="7" t="s">
        <v>804</v>
      </c>
      <c r="E160" s="7" t="s">
        <v>191</v>
      </c>
      <c r="F160" s="7" t="s">
        <v>4407</v>
      </c>
      <c r="G160" s="10"/>
      <c r="H160" s="11">
        <f>SUMIFS('Cargos e OTEs'!D:D,'Cargos e OTEs'!A:A,Parâmetros!A160,'Cargos e OTEs'!B:B,Parâmetros!B160,'Cargos e OTEs'!C:C,Parâmetros!F160)</f>
        <v>3746.2</v>
      </c>
      <c r="I160" s="11">
        <f>IF(_xlfn.MAXIFS(Metas!J:J,Metas!A:A,A160,Metas!B:B,B160,Metas!D:D,D160) = 0,H160,H160 * (1-_xlfn.MAXIFS(Metas!J:J,Metas!A:A,A160,Metas!B:B,B160,Metas!D:D,D160)))</f>
        <v>3746.2</v>
      </c>
      <c r="L160" s="11">
        <f>IF(_xlfn.MAXIFS(Metas!J:J,Metas!A:A,A160,Metas!B:B,B160,Metas!D:D,D160) = 0,K160,K160 * (1-_xlfn.MAXIFS(Metas!J:J,Metas!A:A,A160,Metas!B:B,B160,Metas!D:D,D160)))</f>
        <v>0</v>
      </c>
      <c r="O160" s="11">
        <f>IF(_xlfn.MAXIFS(Metas!J:J,Metas!A:A,A160,Metas!B:B,B160,Metas!D:D,D160) = 0,N160,N160 * (1-_xlfn.MAXIFS(Metas!J:J,Metas!A:A,A160,Metas!B:B,B160,Metas!D:D,D160)))</f>
        <v>0</v>
      </c>
      <c r="P160" s="10">
        <v>1</v>
      </c>
      <c r="Q160" s="10">
        <v>1.2</v>
      </c>
      <c r="R160" s="10">
        <v>1.2</v>
      </c>
      <c r="S160" s="10">
        <v>1.3</v>
      </c>
      <c r="V160" s="10">
        <f>G160</f>
        <v>0</v>
      </c>
      <c r="W160" s="10">
        <v>0.02</v>
      </c>
    </row>
    <row r="161" spans="1:23">
      <c r="A161" s="7">
        <v>2026</v>
      </c>
      <c r="B161" s="7">
        <v>4</v>
      </c>
      <c r="C161" s="7" t="s">
        <v>4338</v>
      </c>
      <c r="D161" s="7" t="s">
        <v>367</v>
      </c>
      <c r="E161" s="7" t="s">
        <v>191</v>
      </c>
      <c r="F161" s="7" t="s">
        <v>4316</v>
      </c>
      <c r="G161" s="10"/>
      <c r="H161" s="11">
        <v>9200</v>
      </c>
      <c r="I161" s="11">
        <f>IF(_xlfn.MAXIFS(Metas!J:J,Metas!A:A,A161,Metas!B:B,B161,Metas!D:D,D161) = 0,H161,H161 * (1-_xlfn.MAXIFS(Metas!J:J,Metas!A:A,A161,Metas!B:B,B161,Metas!D:D,D161)))</f>
        <v>9200</v>
      </c>
      <c r="J161" s="9">
        <v>1</v>
      </c>
      <c r="K161" s="11">
        <v>11500</v>
      </c>
      <c r="L161" s="11">
        <f>IF(_xlfn.MAXIFS(Metas!J:J,Metas!A:A,A161,Metas!B:B,B161,Metas!D:D,D161) = 0,K161,K161 * (1-_xlfn.MAXIFS(Metas!J:J,Metas!A:A,A161,Metas!B:B,B161,Metas!D:D,D161)))</f>
        <v>11500</v>
      </c>
      <c r="O161" s="11">
        <f>IF(_xlfn.MAXIFS(Metas!J:J,Metas!A:A,A161,Metas!B:B,B161,Metas!D:D,D161) = 0,N161,N161 * (1-_xlfn.MAXIFS(Metas!J:J,Metas!A:A,A161,Metas!B:B,B161,Metas!D:D,D161)))</f>
        <v>0</v>
      </c>
      <c r="P161" s="10">
        <v>0.95</v>
      </c>
      <c r="Q161" s="10">
        <v>1.1499999999999999</v>
      </c>
      <c r="R161" s="10">
        <v>1.05</v>
      </c>
      <c r="S161" s="10">
        <v>1.25</v>
      </c>
      <c r="V161" s="10">
        <f>G161</f>
        <v>0</v>
      </c>
      <c r="W161" s="10">
        <v>0.02</v>
      </c>
    </row>
    <row r="162" spans="1:23">
      <c r="A162" s="7">
        <v>2026</v>
      </c>
      <c r="B162" s="7">
        <v>4</v>
      </c>
      <c r="C162" s="7" t="s">
        <v>4339</v>
      </c>
      <c r="D162" s="7" t="s">
        <v>520</v>
      </c>
      <c r="E162" s="7" t="s">
        <v>191</v>
      </c>
      <c r="F162" s="7" t="s">
        <v>4288</v>
      </c>
      <c r="G162" s="10"/>
      <c r="H162" s="11">
        <f>SUMIFS('Cargos e OTEs'!D:D,'Cargos e OTEs'!A:A,Parâmetros!A162,'Cargos e OTEs'!B:B,Parâmetros!B162,'Cargos e OTEs'!C:C,Parâmetros!F162)</f>
        <v>4677.12</v>
      </c>
      <c r="I162" s="11">
        <f>IF(_xlfn.MAXIFS(Metas!J:J,Metas!A:A,A162,Metas!B:B,B162,Metas!D:D,D162) = 0,H162,H162 * (1-_xlfn.MAXIFS(Metas!J:J,Metas!A:A,A162,Metas!B:B,B162,Metas!D:D,D162)))</f>
        <v>4677.12</v>
      </c>
      <c r="L162" s="11">
        <f>IF(_xlfn.MAXIFS(Metas!J:J,Metas!A:A,A162,Metas!B:B,B162,Metas!D:D,D162) = 0,K162,K162 * (1-_xlfn.MAXIFS(Metas!J:J,Metas!A:A,A162,Metas!B:B,B162,Metas!D:D,D162)))</f>
        <v>0</v>
      </c>
      <c r="O162" s="11">
        <f>IF(_xlfn.MAXIFS(Metas!J:J,Metas!A:A,A162,Metas!B:B,B162,Metas!D:D,D162) = 0,N162,N162 * (1-_xlfn.MAXIFS(Metas!J:J,Metas!A:A,A162,Metas!B:B,B162,Metas!D:D,D162)))</f>
        <v>0</v>
      </c>
      <c r="P162" s="10">
        <v>1</v>
      </c>
      <c r="Q162" s="10">
        <v>1.2</v>
      </c>
      <c r="R162" s="10">
        <v>1.2</v>
      </c>
      <c r="S162" s="10">
        <v>1.3</v>
      </c>
      <c r="V162" s="10">
        <f>G162</f>
        <v>0</v>
      </c>
      <c r="W162" s="10">
        <v>0.02</v>
      </c>
    </row>
    <row r="163" spans="1:23">
      <c r="A163" s="7">
        <v>2026</v>
      </c>
      <c r="B163" s="7">
        <v>4</v>
      </c>
      <c r="C163" s="7" t="s">
        <v>4340</v>
      </c>
      <c r="D163" s="7" t="s">
        <v>469</v>
      </c>
      <c r="E163" s="7" t="s">
        <v>191</v>
      </c>
      <c r="F163" s="7" t="s">
        <v>4407</v>
      </c>
      <c r="G163" s="10"/>
      <c r="H163" s="11">
        <f>SUMIFS('Cargos e OTEs'!D:D,'Cargos e OTEs'!A:A,Parâmetros!A163,'Cargos e OTEs'!B:B,Parâmetros!B163,'Cargos e OTEs'!C:C,Parâmetros!F163)</f>
        <v>3746.2</v>
      </c>
      <c r="I163" s="11">
        <f>IF(_xlfn.MAXIFS(Metas!J:J,Metas!A:A,A163,Metas!B:B,B163,Metas!D:D,D163) = 0,H163,H163 * (1-_xlfn.MAXIFS(Metas!J:J,Metas!A:A,A163,Metas!B:B,B163,Metas!D:D,D163)))</f>
        <v>3746.2</v>
      </c>
      <c r="L163" s="11">
        <f>IF(_xlfn.MAXIFS(Metas!J:J,Metas!A:A,A163,Metas!B:B,B163,Metas!D:D,D163) = 0,K163,K163 * (1-_xlfn.MAXIFS(Metas!J:J,Metas!A:A,A163,Metas!B:B,B163,Metas!D:D,D163)))</f>
        <v>0</v>
      </c>
      <c r="O163" s="11">
        <f>IF(_xlfn.MAXIFS(Metas!J:J,Metas!A:A,A163,Metas!B:B,B163,Metas!D:D,D163) = 0,N163,N163 * (1-_xlfn.MAXIFS(Metas!J:J,Metas!A:A,A163,Metas!B:B,B163,Metas!D:D,D163)))</f>
        <v>0</v>
      </c>
      <c r="P163" s="10">
        <v>1</v>
      </c>
      <c r="Q163" s="10">
        <v>1.2</v>
      </c>
      <c r="R163" s="10">
        <v>1.2</v>
      </c>
      <c r="S163" s="10">
        <v>1.3</v>
      </c>
      <c r="V163" s="10">
        <f>G163</f>
        <v>0</v>
      </c>
      <c r="W163" s="10">
        <v>0.02</v>
      </c>
    </row>
    <row r="164" spans="1:23">
      <c r="A164" s="7">
        <v>2026</v>
      </c>
      <c r="B164" s="7">
        <v>4</v>
      </c>
      <c r="C164" s="7" t="s">
        <v>4326</v>
      </c>
      <c r="D164" s="7" t="s">
        <v>501</v>
      </c>
      <c r="E164" s="7" t="s">
        <v>300</v>
      </c>
      <c r="F164" s="7" t="s">
        <v>4310</v>
      </c>
      <c r="G164" s="10"/>
      <c r="H164" s="11">
        <f>SUMIFS('Cargos e OTEs'!D:D,'Cargos e OTEs'!A:A,Parâmetros!A164,'Cargos e OTEs'!B:B,Parâmetros!B164,'Cargos e OTEs'!C:C,Parâmetros!F164)</f>
        <v>5122.95</v>
      </c>
      <c r="I164" s="11">
        <f>IF(_xlfn.MAXIFS(Metas!J:J,Metas!A:A,A164,Metas!B:B,B164,Metas!D:D,D164) = 0,H164,H164 * (1-_xlfn.MAXIFS(Metas!J:J,Metas!A:A,A164,Metas!B:B,B164,Metas!D:D,D164)))</f>
        <v>5122.95</v>
      </c>
      <c r="L164" s="11">
        <f>IF(_xlfn.MAXIFS(Metas!J:J,Metas!A:A,A164,Metas!B:B,B164,Metas!D:D,D164) = 0,K164,K164 * (1-_xlfn.MAXIFS(Metas!J:J,Metas!A:A,A164,Metas!B:B,B164,Metas!D:D,D164)))</f>
        <v>0</v>
      </c>
      <c r="O164" s="11">
        <f>IF(_xlfn.MAXIFS(Metas!J:J,Metas!A:A,A164,Metas!B:B,B164,Metas!D:D,D164) = 0,N164,N164 * (1-_xlfn.MAXIFS(Metas!J:J,Metas!A:A,A164,Metas!B:B,B164,Metas!D:D,D164)))</f>
        <v>0</v>
      </c>
      <c r="P164" s="10">
        <v>1</v>
      </c>
      <c r="Q164" s="10">
        <v>1.2</v>
      </c>
      <c r="R164" s="10">
        <v>1.2</v>
      </c>
      <c r="S164" s="10">
        <v>1.3</v>
      </c>
      <c r="V164" s="10">
        <f>G164</f>
        <v>0</v>
      </c>
      <c r="W164" s="10">
        <v>0.02</v>
      </c>
    </row>
    <row r="165" spans="1:23">
      <c r="A165" s="7">
        <v>2026</v>
      </c>
      <c r="B165" s="7">
        <v>4</v>
      </c>
      <c r="C165" s="7" t="s">
        <v>4408</v>
      </c>
      <c r="D165" s="7" t="s">
        <v>3642</v>
      </c>
      <c r="E165" s="7" t="s">
        <v>300</v>
      </c>
      <c r="F165" s="7" t="s">
        <v>4284</v>
      </c>
      <c r="H165" s="11">
        <f>SUMIFS('Cargos e OTEs'!D:D,'Cargos e OTEs'!A:A,Parâmetros!A165,'Cargos e OTEs'!B:B,Parâmetros!B165,'Cargos e OTEs'!C:C,Parâmetros!F165)</f>
        <v>3742.2</v>
      </c>
      <c r="I165" s="11">
        <f>IF(_xlfn.MAXIFS(Metas!J:J,Metas!A:A,A165,Metas!B:B,B165,Metas!D:D,D165) = 0,H165,H165 * (1-_xlfn.MAXIFS(Metas!J:J,Metas!A:A,A165,Metas!B:B,B165,Metas!D:D,D165)))</f>
        <v>3742.2</v>
      </c>
      <c r="L165" s="11">
        <f>IF(_xlfn.MAXIFS(Metas!J:J,Metas!A:A,A165,Metas!B:B,B165,Metas!D:D,D165) = 0,K165,K165 * (1-_xlfn.MAXIFS(Metas!J:J,Metas!A:A,A165,Metas!B:B,B165,Metas!D:D,D165)))</f>
        <v>0</v>
      </c>
      <c r="O165" s="11">
        <f>IF(_xlfn.MAXIFS(Metas!J:J,Metas!A:A,A165,Metas!B:B,B165,Metas!D:D,D165) = 0,N165,N165 * (1-_xlfn.MAXIFS(Metas!J:J,Metas!A:A,A165,Metas!B:B,B165,Metas!D:D,D165)))</f>
        <v>0</v>
      </c>
      <c r="P165" s="10">
        <v>1</v>
      </c>
      <c r="Q165" s="10">
        <v>1.2</v>
      </c>
      <c r="R165" s="10">
        <v>1.2</v>
      </c>
      <c r="S165" s="10">
        <v>1.3</v>
      </c>
    </row>
    <row r="166" spans="1:23">
      <c r="A166" s="7">
        <v>2026</v>
      </c>
      <c r="B166" s="7">
        <v>4</v>
      </c>
      <c r="C166" s="7" t="s">
        <v>4342</v>
      </c>
      <c r="D166" s="7" t="s">
        <v>506</v>
      </c>
      <c r="E166" s="7" t="s">
        <v>300</v>
      </c>
      <c r="F166" s="7" t="s">
        <v>4284</v>
      </c>
      <c r="G166" s="10"/>
      <c r="H166" s="11">
        <f>SUMIFS('Cargos e OTEs'!D:D,'Cargos e OTEs'!A:A,Parâmetros!A166,'Cargos e OTEs'!B:B,Parâmetros!B166,'Cargos e OTEs'!C:C,Parâmetros!F166)</f>
        <v>3742.2</v>
      </c>
      <c r="I166" s="11">
        <f>IF(_xlfn.MAXIFS(Metas!J:J,Metas!A:A,A166,Metas!B:B,B166,Metas!D:D,D166) = 0,H166,H166 * (1-_xlfn.MAXIFS(Metas!J:J,Metas!A:A,A166,Metas!B:B,B166,Metas!D:D,D166)))</f>
        <v>3742.2</v>
      </c>
      <c r="L166" s="11">
        <f>IF(_xlfn.MAXIFS(Metas!J:J,Metas!A:A,A166,Metas!B:B,B166,Metas!D:D,D166) = 0,K166,K166 * (1-_xlfn.MAXIFS(Metas!J:J,Metas!A:A,A166,Metas!B:B,B166,Metas!D:D,D166)))</f>
        <v>0</v>
      </c>
      <c r="O166" s="11">
        <f>IF(_xlfn.MAXIFS(Metas!J:J,Metas!A:A,A166,Metas!B:B,B166,Metas!D:D,D166) = 0,N166,N166 * (1-_xlfn.MAXIFS(Metas!J:J,Metas!A:A,A166,Metas!B:B,B166,Metas!D:D,D166)))</f>
        <v>0</v>
      </c>
      <c r="P166" s="10">
        <v>1</v>
      </c>
      <c r="Q166" s="10">
        <v>1.2</v>
      </c>
      <c r="R166" s="10">
        <v>1.2</v>
      </c>
      <c r="S166" s="10">
        <v>1.3</v>
      </c>
      <c r="V166" s="10">
        <f>G166</f>
        <v>0</v>
      </c>
      <c r="W166" s="10">
        <v>0.02</v>
      </c>
    </row>
    <row r="167" spans="1:23">
      <c r="A167" s="7">
        <v>2026</v>
      </c>
      <c r="B167" s="7">
        <v>4</v>
      </c>
      <c r="C167" s="7" t="s">
        <v>4384</v>
      </c>
      <c r="D167" s="7" t="s">
        <v>2004</v>
      </c>
      <c r="E167" s="7" t="s">
        <v>300</v>
      </c>
      <c r="F167" s="7" t="s">
        <v>4285</v>
      </c>
      <c r="G167" s="10"/>
      <c r="H167" s="11">
        <f>SUMIFS('Cargos e OTEs'!D:D,'Cargos e OTEs'!A:A,Parâmetros!A167,'Cargos e OTEs'!B:B,Parâmetros!B167,'Cargos e OTEs'!C:C,Parâmetros!F167)</f>
        <v>4356</v>
      </c>
      <c r="I167" s="11">
        <f>IF(_xlfn.MAXIFS(Metas!J:J,Metas!A:A,A167,Metas!B:B,B167,Metas!D:D,D167) = 0,H167,H167 * (1-_xlfn.MAXIFS(Metas!J:J,Metas!A:A,A167,Metas!B:B,B167,Metas!D:D,D167)))</f>
        <v>3267</v>
      </c>
      <c r="L167" s="11">
        <f>IF(_xlfn.MAXIFS(Metas!J:J,Metas!A:A,A167,Metas!B:B,B167,Metas!D:D,D167) = 0,K167,K167 * (1-_xlfn.MAXIFS(Metas!J:J,Metas!A:A,A167,Metas!B:B,B167,Metas!D:D,D167)))</f>
        <v>0</v>
      </c>
      <c r="O167" s="11">
        <f>IF(_xlfn.MAXIFS(Metas!J:J,Metas!A:A,A167,Metas!B:B,B167,Metas!D:D,D167) = 0,N167,N167 * (1-_xlfn.MAXIFS(Metas!J:J,Metas!A:A,A167,Metas!B:B,B167,Metas!D:D,D167)))</f>
        <v>0</v>
      </c>
      <c r="P167" s="10">
        <v>1</v>
      </c>
      <c r="Q167" s="10">
        <v>1.2</v>
      </c>
      <c r="R167" s="10">
        <v>1.2</v>
      </c>
      <c r="S167" s="10">
        <v>1.3</v>
      </c>
      <c r="V167" s="10">
        <f>G167</f>
        <v>0</v>
      </c>
      <c r="W167" s="10">
        <v>0.02</v>
      </c>
    </row>
    <row r="168" spans="1:23">
      <c r="A168" s="7">
        <v>2026</v>
      </c>
      <c r="B168" s="7">
        <v>4</v>
      </c>
      <c r="C168" s="7" t="s">
        <v>4387</v>
      </c>
      <c r="D168" s="7" t="s">
        <v>3179</v>
      </c>
      <c r="E168" s="7" t="s">
        <v>300</v>
      </c>
      <c r="F168" s="7" t="s">
        <v>4285</v>
      </c>
      <c r="H168" s="11">
        <f>SUMIFS('Cargos e OTEs'!D:D,'Cargos e OTEs'!A:A,Parâmetros!A168,'Cargos e OTEs'!B:B,Parâmetros!B168,'Cargos e OTEs'!C:C,Parâmetros!F168)</f>
        <v>4356</v>
      </c>
      <c r="I168" s="11">
        <f>IF(_xlfn.MAXIFS(Metas!J:J,Metas!A:A,A168,Metas!B:B,B168,Metas!D:D,D168) = 0,H168,H168 * (1-_xlfn.MAXIFS(Metas!J:J,Metas!A:A,A168,Metas!B:B,B168,Metas!D:D,D168)))</f>
        <v>871.19999999999982</v>
      </c>
      <c r="L168" s="11">
        <f>IF(_xlfn.MAXIFS(Metas!J:J,Metas!A:A,A168,Metas!B:B,B168,Metas!D:D,D168) = 0,K168,K168 * (1-_xlfn.MAXIFS(Metas!J:J,Metas!A:A,A168,Metas!B:B,B168,Metas!D:D,D168)))</f>
        <v>0</v>
      </c>
      <c r="O168" s="11">
        <f>IF(_xlfn.MAXIFS(Metas!J:J,Metas!A:A,A168,Metas!B:B,B168,Metas!D:D,D168) = 0,N168,N168 * (1-_xlfn.MAXIFS(Metas!J:J,Metas!A:A,A168,Metas!B:B,B168,Metas!D:D,D168)))</f>
        <v>0</v>
      </c>
      <c r="P168" s="10">
        <v>1</v>
      </c>
      <c r="Q168" s="10">
        <v>1.2</v>
      </c>
      <c r="R168" s="10">
        <v>1.2</v>
      </c>
      <c r="S168" s="10">
        <v>1.3</v>
      </c>
    </row>
    <row r="169" spans="1:23">
      <c r="A169" s="7">
        <v>2026</v>
      </c>
      <c r="B169" s="7">
        <v>4</v>
      </c>
      <c r="C169" s="7" t="s">
        <v>4343</v>
      </c>
      <c r="D169" s="7" t="s">
        <v>829</v>
      </c>
      <c r="E169" s="7" t="s">
        <v>300</v>
      </c>
      <c r="F169" s="7" t="s">
        <v>4284</v>
      </c>
      <c r="G169" s="10"/>
      <c r="H169" s="11">
        <f>SUMIFS('Cargos e OTEs'!D:D,'Cargos e OTEs'!A:A,Parâmetros!A169,'Cargos e OTEs'!B:B,Parâmetros!B169,'Cargos e OTEs'!C:C,Parâmetros!F169)</f>
        <v>3742.2</v>
      </c>
      <c r="I169" s="11">
        <f>IF(_xlfn.MAXIFS(Metas!J:J,Metas!A:A,A169,Metas!B:B,B169,Metas!D:D,D169) = 0,H169,H169 * (1-_xlfn.MAXIFS(Metas!J:J,Metas!A:A,A169,Metas!B:B,B169,Metas!D:D,D169)))</f>
        <v>3742.2</v>
      </c>
      <c r="L169" s="11">
        <f>IF(_xlfn.MAXIFS(Metas!J:J,Metas!A:A,A169,Metas!B:B,B169,Metas!D:D,D169) = 0,K169,K169 * (1-_xlfn.MAXIFS(Metas!J:J,Metas!A:A,A169,Metas!B:B,B169,Metas!D:D,D169)))</f>
        <v>0</v>
      </c>
      <c r="O169" s="11">
        <f>IF(_xlfn.MAXIFS(Metas!J:J,Metas!A:A,A169,Metas!B:B,B169,Metas!D:D,D169) = 0,N169,N169 * (1-_xlfn.MAXIFS(Metas!J:J,Metas!A:A,A169,Metas!B:B,B169,Metas!D:D,D169)))</f>
        <v>0</v>
      </c>
      <c r="P169" s="10">
        <v>1</v>
      </c>
      <c r="Q169" s="10">
        <v>1.2</v>
      </c>
      <c r="R169" s="10">
        <v>1.2</v>
      </c>
      <c r="S169" s="10">
        <v>1.3</v>
      </c>
      <c r="V169" s="10">
        <f>G169</f>
        <v>0</v>
      </c>
      <c r="W169" s="10">
        <v>0.02</v>
      </c>
    </row>
    <row r="170" spans="1:23">
      <c r="A170" s="7">
        <v>2026</v>
      </c>
      <c r="B170" s="7">
        <v>4</v>
      </c>
      <c r="C170" s="7" t="s">
        <v>4344</v>
      </c>
      <c r="D170" s="7" t="s">
        <v>511</v>
      </c>
      <c r="E170" s="7" t="s">
        <v>300</v>
      </c>
      <c r="F170" s="7" t="s">
        <v>4285</v>
      </c>
      <c r="G170" s="10"/>
      <c r="H170" s="11">
        <f>SUMIFS('Cargos e OTEs'!D:D,'Cargos e OTEs'!A:A,Parâmetros!A170,'Cargos e OTEs'!B:B,Parâmetros!B170,'Cargos e OTEs'!C:C,Parâmetros!F170)</f>
        <v>4356</v>
      </c>
      <c r="I170" s="11">
        <f>IF(_xlfn.MAXIFS(Metas!J:J,Metas!A:A,A170,Metas!B:B,B170,Metas!D:D,D170) = 0,H170,H170 * (1-_xlfn.MAXIFS(Metas!J:J,Metas!A:A,A170,Metas!B:B,B170,Metas!D:D,D170)))</f>
        <v>4356</v>
      </c>
      <c r="L170" s="11">
        <f>IF(_xlfn.MAXIFS(Metas!J:J,Metas!A:A,A170,Metas!B:B,B170,Metas!D:D,D170) = 0,K170,K170 * (1-_xlfn.MAXIFS(Metas!J:J,Metas!A:A,A170,Metas!B:B,B170,Metas!D:D,D170)))</f>
        <v>0</v>
      </c>
      <c r="O170" s="11">
        <f>IF(_xlfn.MAXIFS(Metas!J:J,Metas!A:A,A170,Metas!B:B,B170,Metas!D:D,D170) = 0,N170,N170 * (1-_xlfn.MAXIFS(Metas!J:J,Metas!A:A,A170,Metas!B:B,B170,Metas!D:D,D170)))</f>
        <v>0</v>
      </c>
      <c r="P170" s="10">
        <v>1</v>
      </c>
      <c r="Q170" s="10">
        <v>1.2</v>
      </c>
      <c r="R170" s="10">
        <v>1.2</v>
      </c>
      <c r="S170" s="10">
        <v>1.3</v>
      </c>
      <c r="V170" s="10">
        <f>G170</f>
        <v>0</v>
      </c>
      <c r="W170" s="10">
        <v>0.02</v>
      </c>
    </row>
    <row r="171" spans="1:23">
      <c r="A171" s="7">
        <v>2026</v>
      </c>
      <c r="B171" s="7">
        <v>4</v>
      </c>
      <c r="C171" s="7" t="s">
        <v>4345</v>
      </c>
      <c r="D171" s="7" t="s">
        <v>4268</v>
      </c>
      <c r="E171" s="7" t="s">
        <v>4346</v>
      </c>
      <c r="F171" s="7" t="s">
        <v>4290</v>
      </c>
      <c r="G171" s="10"/>
      <c r="H171" s="11">
        <f>SUMIFS('Cargos e OTEs'!D:D,'Cargos e OTEs'!A:A,Parâmetros!A171,'Cargos e OTEs'!B:B,Parâmetros!B171,'Cargos e OTEs'!C:C,Parâmetros!F171)</f>
        <v>1650</v>
      </c>
      <c r="I171" s="11">
        <f>IF(_xlfn.MAXIFS(Metas!J:J,Metas!A:A,A171,Metas!B:B,B171,Metas!D:D,D171) = 0,H171,H171 * (1-_xlfn.MAXIFS(Metas!J:J,Metas!A:A,A171,Metas!B:B,B171,Metas!D:D,D171)))</f>
        <v>1650</v>
      </c>
      <c r="L171" s="11">
        <f>IF(_xlfn.MAXIFS(Metas!J:J,Metas!A:A,A171,Metas!B:B,B171,Metas!D:D,D171) = 0,K171,K171 * (1-_xlfn.MAXIFS(Metas!J:J,Metas!A:A,A171,Metas!B:B,B171,Metas!D:D,D171)))</f>
        <v>0</v>
      </c>
      <c r="O171" s="11">
        <f>IF(_xlfn.MAXIFS(Metas!J:J,Metas!A:A,A171,Metas!B:B,B171,Metas!D:D,D171) = 0,N171,N171 * (1-_xlfn.MAXIFS(Metas!J:J,Metas!A:A,A171,Metas!B:B,B171,Metas!D:D,D171)))</f>
        <v>0</v>
      </c>
      <c r="P171" s="10">
        <v>1</v>
      </c>
      <c r="Q171" s="10">
        <v>1.2</v>
      </c>
      <c r="R171" s="10">
        <v>1.2</v>
      </c>
      <c r="S171" s="10">
        <v>1.3</v>
      </c>
    </row>
    <row r="172" spans="1:23">
      <c r="A172" s="7">
        <v>2026</v>
      </c>
      <c r="B172" s="7">
        <v>4</v>
      </c>
      <c r="C172" s="7" t="s">
        <v>4350</v>
      </c>
      <c r="D172" s="7" t="s">
        <v>4347</v>
      </c>
      <c r="E172" s="7" t="s">
        <v>4346</v>
      </c>
      <c r="F172" s="7" t="s">
        <v>4308</v>
      </c>
      <c r="G172" s="10"/>
      <c r="H172" s="11">
        <f>SUMIFS('Cargos e OTEs'!D:D,'Cargos e OTEs'!A:A,Parâmetros!A172,'Cargos e OTEs'!B:B,Parâmetros!B172,'Cargos e OTEs'!C:C,Parâmetros!F172)</f>
        <v>3360</v>
      </c>
      <c r="I172" s="11">
        <f>IF(_xlfn.MAXIFS(Metas!J:J,Metas!A:A,A172,Metas!B:B,B172,Metas!D:D,D172) = 0,H172,H172 * (1-_xlfn.MAXIFS(Metas!J:J,Metas!A:A,A172,Metas!B:B,B172,Metas!D:D,D172)))</f>
        <v>3360</v>
      </c>
      <c r="L172" s="11">
        <f>IF(_xlfn.MAXIFS(Metas!J:J,Metas!A:A,A172,Metas!B:B,B172,Metas!D:D,D172) = 0,K172,K172 * (1-_xlfn.MAXIFS(Metas!J:J,Metas!A:A,A172,Metas!B:B,B172,Metas!D:D,D172)))</f>
        <v>0</v>
      </c>
      <c r="O172" s="11">
        <f>IF(_xlfn.MAXIFS(Metas!J:J,Metas!A:A,A172,Metas!B:B,B172,Metas!D:D,D172) = 0,N172,N172 * (1-_xlfn.MAXIFS(Metas!J:J,Metas!A:A,A172,Metas!B:B,B172,Metas!D:D,D172)))</f>
        <v>0</v>
      </c>
      <c r="P172" s="10">
        <v>1</v>
      </c>
      <c r="Q172" s="10">
        <v>1.2</v>
      </c>
      <c r="R172" s="10">
        <v>1.2</v>
      </c>
      <c r="S172" s="10">
        <v>1.3</v>
      </c>
    </row>
    <row r="173" spans="1:23">
      <c r="A173" s="7">
        <v>2026</v>
      </c>
      <c r="B173" s="7">
        <v>4</v>
      </c>
      <c r="C173" s="7" t="s">
        <v>4351</v>
      </c>
      <c r="D173" s="7" t="s">
        <v>4269</v>
      </c>
      <c r="E173" s="7" t="s">
        <v>4346</v>
      </c>
      <c r="F173" s="7" t="s">
        <v>4290</v>
      </c>
      <c r="G173" s="10"/>
      <c r="H173" s="11">
        <f>SUMIFS('Cargos e OTEs'!D:D,'Cargos e OTEs'!A:A,Parâmetros!A173,'Cargos e OTEs'!B:B,Parâmetros!B173,'Cargos e OTEs'!C:C,Parâmetros!F173)</f>
        <v>1650</v>
      </c>
      <c r="I173" s="11">
        <f>IF(_xlfn.MAXIFS(Metas!J:J,Metas!A:A,A173,Metas!B:B,B173,Metas!D:D,D173) = 0,H173,H173 * (1-_xlfn.MAXIFS(Metas!J:J,Metas!A:A,A173,Metas!B:B,B173,Metas!D:D,D173)))</f>
        <v>1650</v>
      </c>
      <c r="L173" s="11">
        <f>IF(_xlfn.MAXIFS(Metas!J:J,Metas!A:A,A173,Metas!B:B,B173,Metas!D:D,D173) = 0,K173,K173 * (1-_xlfn.MAXIFS(Metas!J:J,Metas!A:A,A173,Metas!B:B,B173,Metas!D:D,D173)))</f>
        <v>0</v>
      </c>
      <c r="O173" s="11">
        <f>IF(_xlfn.MAXIFS(Metas!J:J,Metas!A:A,A173,Metas!B:B,B173,Metas!D:D,D173) = 0,N173,N173 * (1-_xlfn.MAXIFS(Metas!J:J,Metas!A:A,A173,Metas!B:B,B173,Metas!D:D,D173)))</f>
        <v>0</v>
      </c>
      <c r="P173" s="10">
        <v>1</v>
      </c>
      <c r="Q173" s="10">
        <v>1.2</v>
      </c>
      <c r="R173" s="10">
        <v>1.2</v>
      </c>
      <c r="S173" s="10">
        <v>1.3</v>
      </c>
    </row>
    <row r="174" spans="1:23">
      <c r="A174" s="7">
        <v>2026</v>
      </c>
      <c r="B174" s="7">
        <v>4</v>
      </c>
      <c r="C174" s="7" t="s">
        <v>4352</v>
      </c>
      <c r="D174" s="7" t="s">
        <v>4270</v>
      </c>
      <c r="E174" s="7" t="s">
        <v>4346</v>
      </c>
      <c r="F174" s="7" t="s">
        <v>4290</v>
      </c>
      <c r="G174" s="10"/>
      <c r="H174" s="11">
        <f>SUMIFS('Cargos e OTEs'!D:D,'Cargos e OTEs'!A:A,Parâmetros!A174,'Cargos e OTEs'!B:B,Parâmetros!B174,'Cargos e OTEs'!C:C,Parâmetros!F174)</f>
        <v>1650</v>
      </c>
      <c r="I174" s="11">
        <f>IF(_xlfn.MAXIFS(Metas!J:J,Metas!A:A,A174,Metas!B:B,B174,Metas!D:D,D174) = 0,H174,H174 * (1-_xlfn.MAXIFS(Metas!J:J,Metas!A:A,A174,Metas!B:B,B174,Metas!D:D,D174)))</f>
        <v>1650</v>
      </c>
      <c r="L174" s="11">
        <f>IF(_xlfn.MAXIFS(Metas!J:J,Metas!A:A,A174,Metas!B:B,B174,Metas!D:D,D174) = 0,K174,K174 * (1-_xlfn.MAXIFS(Metas!J:J,Metas!A:A,A174,Metas!B:B,B174,Metas!D:D,D174)))</f>
        <v>0</v>
      </c>
      <c r="O174" s="11">
        <f>IF(_xlfn.MAXIFS(Metas!J:J,Metas!A:A,A174,Metas!B:B,B174,Metas!D:D,D174) = 0,N174,N174 * (1-_xlfn.MAXIFS(Metas!J:J,Metas!A:A,A174,Metas!B:B,B174,Metas!D:D,D174)))</f>
        <v>0</v>
      </c>
      <c r="P174" s="10">
        <v>1</v>
      </c>
      <c r="Q174" s="10">
        <v>1.2</v>
      </c>
      <c r="R174" s="10">
        <v>1.2</v>
      </c>
      <c r="S174" s="10">
        <v>1.3</v>
      </c>
    </row>
    <row r="175" spans="1:23">
      <c r="A175" s="7">
        <v>2026</v>
      </c>
      <c r="B175" s="7">
        <v>4</v>
      </c>
      <c r="C175" s="7" t="s">
        <v>4385</v>
      </c>
      <c r="D175" s="7" t="s">
        <v>4277</v>
      </c>
      <c r="E175" s="7" t="s">
        <v>4346</v>
      </c>
      <c r="F175" s="7" t="s">
        <v>4291</v>
      </c>
      <c r="G175" s="10"/>
      <c r="H175" s="11">
        <f>SUMIFS('Cargos e OTEs'!D:D,'Cargos e OTEs'!A:A,Parâmetros!A175,'Cargos e OTEs'!B:B,Parâmetros!B175,'Cargos e OTEs'!C:C,Parâmetros!F175)</f>
        <v>1980</v>
      </c>
      <c r="I175" s="11">
        <f>IF(_xlfn.MAXIFS(Metas!J:J,Metas!A:A,A175,Metas!B:B,B175,Metas!D:D,D175) = 0,H175,H175 * (1-_xlfn.MAXIFS(Metas!J:J,Metas!A:A,A175,Metas!B:B,B175,Metas!D:D,D175)))</f>
        <v>1980</v>
      </c>
      <c r="L175" s="11">
        <f>IF(_xlfn.MAXIFS(Metas!J:J,Metas!A:A,A175,Metas!B:B,B175,Metas!D:D,D175) = 0,K175,K175 * (1-_xlfn.MAXIFS(Metas!J:J,Metas!A:A,A175,Metas!B:B,B175,Metas!D:D,D175)))</f>
        <v>0</v>
      </c>
      <c r="O175" s="11">
        <f>IF(_xlfn.MAXIFS(Metas!J:J,Metas!A:A,A175,Metas!B:B,B175,Metas!D:D,D175) = 0,N175,N175 * (1-_xlfn.MAXIFS(Metas!J:J,Metas!A:A,A175,Metas!B:B,B175,Metas!D:D,D175)))</f>
        <v>0</v>
      </c>
      <c r="P175" s="10">
        <v>1</v>
      </c>
      <c r="Q175" s="10">
        <v>1.2</v>
      </c>
      <c r="R175" s="10">
        <v>1.2</v>
      </c>
      <c r="S175" s="10">
        <v>1.3</v>
      </c>
    </row>
    <row r="176" spans="1:23">
      <c r="A176" s="7">
        <v>2026</v>
      </c>
      <c r="B176" s="7">
        <v>4</v>
      </c>
      <c r="C176" s="7" t="s">
        <v>4353</v>
      </c>
      <c r="D176" s="7" t="s">
        <v>4271</v>
      </c>
      <c r="E176" s="7" t="s">
        <v>4346</v>
      </c>
      <c r="F176" s="7" t="s">
        <v>4291</v>
      </c>
      <c r="G176" s="10"/>
      <c r="H176" s="11">
        <f>SUMIFS('Cargos e OTEs'!D:D,'Cargos e OTEs'!A:A,Parâmetros!A176,'Cargos e OTEs'!B:B,Parâmetros!B176,'Cargos e OTEs'!C:C,Parâmetros!F176)</f>
        <v>1980</v>
      </c>
      <c r="I176" s="11">
        <f>IF(_xlfn.MAXIFS(Metas!J:J,Metas!A:A,A176,Metas!B:B,B176,Metas!D:D,D176) = 0,H176,H176 * (1-_xlfn.MAXIFS(Metas!J:J,Metas!A:A,A176,Metas!B:B,B176,Metas!D:D,D176)))</f>
        <v>1980</v>
      </c>
      <c r="L176" s="11">
        <f>IF(_xlfn.MAXIFS(Metas!J:J,Metas!A:A,A176,Metas!B:B,B176,Metas!D:D,D176) = 0,K176,K176 * (1-_xlfn.MAXIFS(Metas!J:J,Metas!A:A,A176,Metas!B:B,B176,Metas!D:D,D176)))</f>
        <v>0</v>
      </c>
      <c r="O176" s="11">
        <f>IF(_xlfn.MAXIFS(Metas!J:J,Metas!A:A,A176,Metas!B:B,B176,Metas!D:D,D176) = 0,N176,N176 * (1-_xlfn.MAXIFS(Metas!J:J,Metas!A:A,A176,Metas!B:B,B176,Metas!D:D,D176)))</f>
        <v>0</v>
      </c>
      <c r="P176" s="10">
        <v>1</v>
      </c>
      <c r="Q176" s="10">
        <v>1.2</v>
      </c>
      <c r="R176" s="10">
        <v>1.2</v>
      </c>
      <c r="S176" s="10">
        <v>1.3</v>
      </c>
    </row>
    <row r="177" spans="1:23">
      <c r="A177" s="7">
        <v>2026</v>
      </c>
      <c r="B177" s="7">
        <v>4</v>
      </c>
      <c r="C177" s="7" t="s">
        <v>4354</v>
      </c>
      <c r="D177" s="7" t="s">
        <v>4272</v>
      </c>
      <c r="E177" s="7" t="s">
        <v>4346</v>
      </c>
      <c r="F177" s="7" t="s">
        <v>4290</v>
      </c>
      <c r="G177" s="10"/>
      <c r="H177" s="11">
        <f>SUMIFS('Cargos e OTEs'!D:D,'Cargos e OTEs'!A:A,Parâmetros!A177,'Cargos e OTEs'!B:B,Parâmetros!B177,'Cargos e OTEs'!C:C,Parâmetros!F177)</f>
        <v>1650</v>
      </c>
      <c r="I177" s="11">
        <f>IF(_xlfn.MAXIFS(Metas!J:J,Metas!A:A,A177,Metas!B:B,B177,Metas!D:D,D177) = 0,H177,H177 * (1-_xlfn.MAXIFS(Metas!J:J,Metas!A:A,A177,Metas!B:B,B177,Metas!D:D,D177)))</f>
        <v>1650</v>
      </c>
      <c r="L177" s="11">
        <f>IF(_xlfn.MAXIFS(Metas!J:J,Metas!A:A,A177,Metas!B:B,B177,Metas!D:D,D177) = 0,K177,K177 * (1-_xlfn.MAXIFS(Metas!J:J,Metas!A:A,A177,Metas!B:B,B177,Metas!D:D,D177)))</f>
        <v>0</v>
      </c>
      <c r="O177" s="11">
        <f>IF(_xlfn.MAXIFS(Metas!J:J,Metas!A:A,A177,Metas!B:B,B177,Metas!D:D,D177) = 0,N177,N177 * (1-_xlfn.MAXIFS(Metas!J:J,Metas!A:A,A177,Metas!B:B,B177,Metas!D:D,D177)))</f>
        <v>0</v>
      </c>
      <c r="P177" s="10">
        <v>1</v>
      </c>
      <c r="Q177" s="10">
        <v>1.2</v>
      </c>
      <c r="R177" s="10">
        <v>1.2</v>
      </c>
      <c r="S177" s="10">
        <v>1.3</v>
      </c>
    </row>
    <row r="178" spans="1:23">
      <c r="A178" s="7">
        <v>2026</v>
      </c>
      <c r="B178" s="7">
        <v>4</v>
      </c>
      <c r="C178" s="7" t="s">
        <v>4355</v>
      </c>
      <c r="D178" s="7" t="s">
        <v>4273</v>
      </c>
      <c r="E178" s="7" t="s">
        <v>4346</v>
      </c>
      <c r="F178" s="7" t="s">
        <v>4290</v>
      </c>
      <c r="G178" s="10"/>
      <c r="H178" s="11">
        <f>SUMIFS('Cargos e OTEs'!D:D,'Cargos e OTEs'!A:A,Parâmetros!A178,'Cargos e OTEs'!B:B,Parâmetros!B178,'Cargos e OTEs'!C:C,Parâmetros!F178)</f>
        <v>1650</v>
      </c>
      <c r="I178" s="11">
        <f>IF(_xlfn.MAXIFS(Metas!J:J,Metas!A:A,A178,Metas!B:B,B178,Metas!D:D,D178) = 0,H178,H178 * (1-_xlfn.MAXIFS(Metas!J:J,Metas!A:A,A178,Metas!B:B,B178,Metas!D:D,D178)))</f>
        <v>1650</v>
      </c>
      <c r="L178" s="11">
        <f>IF(_xlfn.MAXIFS(Metas!J:J,Metas!A:A,A178,Metas!B:B,B178,Metas!D:D,D178) = 0,K178,K178 * (1-_xlfn.MAXIFS(Metas!J:J,Metas!A:A,A178,Metas!B:B,B178,Metas!D:D,D178)))</f>
        <v>0</v>
      </c>
      <c r="O178" s="11">
        <f>IF(_xlfn.MAXIFS(Metas!J:J,Metas!A:A,A178,Metas!B:B,B178,Metas!D:D,D178) = 0,N178,N178 * (1-_xlfn.MAXIFS(Metas!J:J,Metas!A:A,A178,Metas!B:B,B178,Metas!D:D,D178)))</f>
        <v>0</v>
      </c>
      <c r="P178" s="10">
        <v>1</v>
      </c>
      <c r="Q178" s="10">
        <v>1.2</v>
      </c>
      <c r="R178" s="10">
        <v>1.2</v>
      </c>
      <c r="S178" s="10">
        <v>1.3</v>
      </c>
    </row>
    <row r="179" spans="1:23">
      <c r="A179" s="7">
        <v>2026</v>
      </c>
      <c r="B179" s="7">
        <v>4</v>
      </c>
      <c r="C179" s="7" t="s">
        <v>4386</v>
      </c>
      <c r="D179" s="7" t="s">
        <v>4278</v>
      </c>
      <c r="E179" s="7" t="s">
        <v>4346</v>
      </c>
      <c r="F179" s="7" t="s">
        <v>4290</v>
      </c>
      <c r="G179" s="10"/>
      <c r="H179" s="11">
        <f>SUMIFS('Cargos e OTEs'!D:D,'Cargos e OTEs'!A:A,Parâmetros!A179,'Cargos e OTEs'!B:B,Parâmetros!B179,'Cargos e OTEs'!C:C,Parâmetros!F179)</f>
        <v>1650</v>
      </c>
      <c r="I179" s="11">
        <f>IF(_xlfn.MAXIFS(Metas!J:J,Metas!A:A,A179,Metas!B:B,B179,Metas!D:D,D179) = 0,H179,H179 * (1-_xlfn.MAXIFS(Metas!J:J,Metas!A:A,A179,Metas!B:B,B179,Metas!D:D,D179)))</f>
        <v>1237.5</v>
      </c>
      <c r="L179" s="11">
        <f>IF(_xlfn.MAXIFS(Metas!J:J,Metas!A:A,A179,Metas!B:B,B179,Metas!D:D,D179) = 0,K179,K179 * (1-_xlfn.MAXIFS(Metas!J:J,Metas!A:A,A179,Metas!B:B,B179,Metas!D:D,D179)))</f>
        <v>0</v>
      </c>
      <c r="O179" s="11">
        <f>IF(_xlfn.MAXIFS(Metas!J:J,Metas!A:A,A179,Metas!B:B,B179,Metas!D:D,D179) = 0,N179,N179 * (1-_xlfn.MAXIFS(Metas!J:J,Metas!A:A,A179,Metas!B:B,B179,Metas!D:D,D179)))</f>
        <v>0</v>
      </c>
      <c r="P179" s="10">
        <v>1</v>
      </c>
      <c r="Q179" s="10">
        <v>1.2</v>
      </c>
      <c r="R179" s="10">
        <v>1.2</v>
      </c>
      <c r="S179" s="10">
        <v>1.3</v>
      </c>
    </row>
    <row r="180" spans="1:23">
      <c r="A180" s="7">
        <v>2026</v>
      </c>
      <c r="B180" s="7">
        <v>4</v>
      </c>
      <c r="C180" s="7" t="s">
        <v>4349</v>
      </c>
      <c r="D180" s="7" t="s">
        <v>3446</v>
      </c>
      <c r="E180" s="7" t="s">
        <v>3558</v>
      </c>
      <c r="F180" s="7" t="s">
        <v>4409</v>
      </c>
      <c r="G180" s="10"/>
      <c r="H180" s="11">
        <f>SUMIFS('Cargos e OTEs'!D:D,'Cargos e OTEs'!A:A,Parâmetros!A180,'Cargos e OTEs'!B:B,Parâmetros!B180,'Cargos e OTEs'!C:C,Parâmetros!F180)</f>
        <v>5880</v>
      </c>
      <c r="I180" s="11">
        <f>IF(_xlfn.MAXIFS(Metas!J:J,Metas!A:A,A180,Metas!B:B,B180,Metas!D:D,D180) = 0,H180,H180 * (1-_xlfn.MAXIFS(Metas!J:J,Metas!A:A,A180,Metas!B:B,B180,Metas!D:D,D180)))</f>
        <v>5880</v>
      </c>
      <c r="L180" s="11">
        <f>IF(_xlfn.MAXIFS(Metas!J:J,Metas!A:A,A180,Metas!B:B,B180,Metas!D:D,D180) = 0,K180,K180 * (1-_xlfn.MAXIFS(Metas!J:J,Metas!A:A,A180,Metas!B:B,B180,Metas!D:D,D180)))</f>
        <v>0</v>
      </c>
      <c r="O180" s="11">
        <f>IF(_xlfn.MAXIFS(Metas!J:J,Metas!A:A,A180,Metas!B:B,B180,Metas!D:D,D180) = 0,N180,N180 * (1-_xlfn.MAXIFS(Metas!J:J,Metas!A:A,A180,Metas!B:B,B180,Metas!D:D,D180)))</f>
        <v>0</v>
      </c>
      <c r="P180" s="10">
        <v>0.75</v>
      </c>
      <c r="Q180" s="10">
        <v>1.1499999999999999</v>
      </c>
      <c r="R180" s="10">
        <v>0.9</v>
      </c>
      <c r="S180" s="10">
        <v>1.25</v>
      </c>
    </row>
    <row r="181" spans="1:23">
      <c r="A181" s="7">
        <v>2026</v>
      </c>
      <c r="B181" s="7">
        <v>4</v>
      </c>
      <c r="C181" s="7" t="s">
        <v>4357</v>
      </c>
      <c r="D181" s="7" t="s">
        <v>87</v>
      </c>
      <c r="E181" s="7" t="s">
        <v>3558</v>
      </c>
      <c r="F181" s="7" t="s">
        <v>4410</v>
      </c>
      <c r="G181" s="10">
        <v>0.5</v>
      </c>
      <c r="H181" s="11">
        <f>SUMIFS('Cargos e OTEs'!D:D,'Cargos e OTEs'!A:A,Parâmetros!A181,'Cargos e OTEs'!B:B,Parâmetros!B181,'Cargos e OTEs'!C:C,Parâmetros!F181)</f>
        <v>8400</v>
      </c>
      <c r="I181" s="11">
        <f>IF(_xlfn.MAXIFS(Metas!J:J,Metas!A:A,A181,Metas!B:B,B181,Metas!D:D,D181) = 0,H181,H181 * (1-_xlfn.MAXIFS(Metas!J:J,Metas!A:A,A181,Metas!B:B,B181,Metas!D:D,D181)))</f>
        <v>8400</v>
      </c>
      <c r="L181" s="11">
        <f>IF(_xlfn.MAXIFS(Metas!J:J,Metas!A:A,A181,Metas!B:B,B181,Metas!D:D,D181) = 0,K181,K181 * (1-_xlfn.MAXIFS(Metas!J:J,Metas!A:A,A181,Metas!B:B,B181,Metas!D:D,D181)))</f>
        <v>0</v>
      </c>
      <c r="O181" s="11">
        <f>IF(_xlfn.MAXIFS(Metas!J:J,Metas!A:A,A181,Metas!B:B,B181,Metas!D:D,D181) = 0,N181,N181 * (1-_xlfn.MAXIFS(Metas!J:J,Metas!A:A,A181,Metas!B:B,B181,Metas!D:D,D181)))</f>
        <v>0</v>
      </c>
      <c r="P181" s="10">
        <v>0.75</v>
      </c>
      <c r="Q181" s="10">
        <v>1.1499999999999999</v>
      </c>
      <c r="R181" s="10">
        <v>0.9</v>
      </c>
      <c r="S181" s="10">
        <v>1.25</v>
      </c>
    </row>
    <row r="182" spans="1:23">
      <c r="A182" s="7">
        <v>2026</v>
      </c>
      <c r="B182" s="7">
        <v>4</v>
      </c>
      <c r="C182" s="7" t="s">
        <v>4360</v>
      </c>
      <c r="D182" s="7" t="s">
        <v>1165</v>
      </c>
      <c r="E182" s="7" t="s">
        <v>3558</v>
      </c>
      <c r="F182" s="7" t="s">
        <v>4411</v>
      </c>
      <c r="G182" s="10">
        <v>0.5</v>
      </c>
      <c r="H182" s="11">
        <f>SUMIFS('Cargos e OTEs'!D:D,'Cargos e OTEs'!A:A,Parâmetros!A182,'Cargos e OTEs'!B:B,Parâmetros!B182,'Cargos e OTEs'!C:C,Parâmetros!F182)</f>
        <v>7140</v>
      </c>
      <c r="I182" s="11">
        <f>IF(_xlfn.MAXIFS(Metas!J:J,Metas!A:A,A182,Metas!B:B,B182,Metas!D:D,D182) = 0,H182,H182 * (1-_xlfn.MAXIFS(Metas!J:J,Metas!A:A,A182,Metas!B:B,B182,Metas!D:D,D182)))</f>
        <v>7140</v>
      </c>
      <c r="L182" s="11">
        <f>IF(_xlfn.MAXIFS(Metas!J:J,Metas!A:A,A182,Metas!B:B,B182,Metas!D:D,D182) = 0,K182,K182 * (1-_xlfn.MAXIFS(Metas!J:J,Metas!A:A,A182,Metas!B:B,B182,Metas!D:D,D182)))</f>
        <v>0</v>
      </c>
      <c r="O182" s="11">
        <f>IF(_xlfn.MAXIFS(Metas!J:J,Metas!A:A,A182,Metas!B:B,B182,Metas!D:D,D182) = 0,N182,N182 * (1-_xlfn.MAXIFS(Metas!J:J,Metas!A:A,A182,Metas!B:B,B182,Metas!D:D,D182)))</f>
        <v>0</v>
      </c>
      <c r="P182" s="10">
        <v>0.75</v>
      </c>
      <c r="Q182" s="10">
        <v>1.1499999999999999</v>
      </c>
      <c r="R182" s="10">
        <v>0.9</v>
      </c>
      <c r="S182" s="10">
        <v>1.25</v>
      </c>
    </row>
    <row r="183" spans="1:23">
      <c r="A183" s="7">
        <v>2026</v>
      </c>
      <c r="B183" s="7">
        <v>4</v>
      </c>
      <c r="C183" s="7" t="s">
        <v>4361</v>
      </c>
      <c r="D183" s="7" t="s">
        <v>36</v>
      </c>
      <c r="E183" s="7" t="s">
        <v>3558</v>
      </c>
      <c r="F183" s="7" t="s">
        <v>4409</v>
      </c>
      <c r="G183" s="10">
        <v>0.5</v>
      </c>
      <c r="H183" s="11">
        <f>SUMIFS('Cargos e OTEs'!D:D,'Cargos e OTEs'!A:A,Parâmetros!A183,'Cargos e OTEs'!B:B,Parâmetros!B183,'Cargos e OTEs'!C:C,Parâmetros!F183)</f>
        <v>5880</v>
      </c>
      <c r="I183" s="11">
        <f>IF(_xlfn.MAXIFS(Metas!J:J,Metas!A:A,A183,Metas!B:B,B183,Metas!D:D,D183) = 0,H183,H183 * (1-_xlfn.MAXIFS(Metas!J:J,Metas!A:A,A183,Metas!B:B,B183,Metas!D:D,D183)))</f>
        <v>5880</v>
      </c>
      <c r="L183" s="11">
        <f>IF(_xlfn.MAXIFS(Metas!J:J,Metas!A:A,A183,Metas!B:B,B183,Metas!D:D,D183) = 0,K183,K183 * (1-_xlfn.MAXIFS(Metas!J:J,Metas!A:A,A183,Metas!B:B,B183,Metas!D:D,D183)))</f>
        <v>0</v>
      </c>
      <c r="O183" s="11">
        <f>IF(_xlfn.MAXIFS(Metas!J:J,Metas!A:A,A183,Metas!B:B,B183,Metas!D:D,D183) = 0,N183,N183 * (1-_xlfn.MAXIFS(Metas!J:J,Metas!A:A,A183,Metas!B:B,B183,Metas!D:D,D183)))</f>
        <v>0</v>
      </c>
      <c r="P183" s="10">
        <v>0.75</v>
      </c>
      <c r="Q183" s="10">
        <v>1.1499999999999999</v>
      </c>
      <c r="R183" s="10">
        <v>0.9</v>
      </c>
      <c r="S183" s="10">
        <v>1.25</v>
      </c>
    </row>
    <row r="184" spans="1:23">
      <c r="A184" s="7">
        <v>2026</v>
      </c>
      <c r="B184" s="7">
        <v>4</v>
      </c>
      <c r="C184" s="7" t="s">
        <v>4362</v>
      </c>
      <c r="D184" s="7" t="s">
        <v>98</v>
      </c>
      <c r="E184" s="7" t="s">
        <v>3558</v>
      </c>
      <c r="F184" s="7" t="s">
        <v>4409</v>
      </c>
      <c r="G184" s="10">
        <v>0.5</v>
      </c>
      <c r="H184" s="11">
        <f>SUMIFS('Cargos e OTEs'!D:D,'Cargos e OTEs'!A:A,Parâmetros!A184,'Cargos e OTEs'!B:B,Parâmetros!B184,'Cargos e OTEs'!C:C,Parâmetros!F184)</f>
        <v>5880</v>
      </c>
      <c r="I184" s="11">
        <f>IF(_xlfn.MAXIFS(Metas!J:J,Metas!A:A,A184,Metas!B:B,B184,Metas!D:D,D184) = 0,H184,H184 * (1-_xlfn.MAXIFS(Metas!J:J,Metas!A:A,A184,Metas!B:B,B184,Metas!D:D,D184)))</f>
        <v>5880</v>
      </c>
      <c r="L184" s="11">
        <f>IF(_xlfn.MAXIFS(Metas!J:J,Metas!A:A,A184,Metas!B:B,B184,Metas!D:D,D184) = 0,K184,K184 * (1-_xlfn.MAXIFS(Metas!J:J,Metas!A:A,A184,Metas!B:B,B184,Metas!D:D,D184)))</f>
        <v>0</v>
      </c>
      <c r="O184" s="11">
        <f>IF(_xlfn.MAXIFS(Metas!J:J,Metas!A:A,A184,Metas!B:B,B184,Metas!D:D,D184) = 0,N184,N184 * (1-_xlfn.MAXIFS(Metas!J:J,Metas!A:A,A184,Metas!B:B,B184,Metas!D:D,D184)))</f>
        <v>0</v>
      </c>
      <c r="P184" s="10">
        <v>0.75</v>
      </c>
      <c r="Q184" s="10">
        <v>1.1499999999999999</v>
      </c>
      <c r="R184" s="10">
        <v>0.9</v>
      </c>
      <c r="S184" s="10">
        <v>1.25</v>
      </c>
    </row>
    <row r="185" spans="1:23">
      <c r="A185" s="7">
        <v>2026</v>
      </c>
      <c r="B185" s="7">
        <v>4</v>
      </c>
      <c r="C185" s="7" t="s">
        <v>4363</v>
      </c>
      <c r="D185" s="7" t="s">
        <v>72</v>
      </c>
      <c r="E185" s="7" t="s">
        <v>3558</v>
      </c>
      <c r="F185" s="7" t="s">
        <v>4297</v>
      </c>
      <c r="G185" s="10">
        <v>0.5</v>
      </c>
      <c r="H185" s="11">
        <f>SUMIFS('Cargos e OTEs'!D:D,'Cargos e OTEs'!A:A,Parâmetros!A185,'Cargos e OTEs'!B:B,Parâmetros!B185,'Cargos e OTEs'!C:C,Parâmetros!F185)</f>
        <v>10500</v>
      </c>
      <c r="I185" s="11">
        <f>IF(_xlfn.MAXIFS(Metas!J:J,Metas!A:A,A185,Metas!B:B,B185,Metas!D:D,D185) = 0,H185,H185 * (1-_xlfn.MAXIFS(Metas!J:J,Metas!A:A,A185,Metas!B:B,B185,Metas!D:D,D185)))</f>
        <v>10500</v>
      </c>
      <c r="L185" s="11">
        <f>IF(_xlfn.MAXIFS(Metas!J:J,Metas!A:A,A185,Metas!B:B,B185,Metas!D:D,D185) = 0,K185,K185 * (1-_xlfn.MAXIFS(Metas!J:J,Metas!A:A,A185,Metas!B:B,B185,Metas!D:D,D185)))</f>
        <v>0</v>
      </c>
      <c r="O185" s="11">
        <f>IF(_xlfn.MAXIFS(Metas!J:J,Metas!A:A,A185,Metas!B:B,B185,Metas!D:D,D185) = 0,N185,N185 * (1-_xlfn.MAXIFS(Metas!J:J,Metas!A:A,A185,Metas!B:B,B185,Metas!D:D,D185)))</f>
        <v>0</v>
      </c>
      <c r="P185" s="10">
        <v>0.75</v>
      </c>
      <c r="Q185" s="10">
        <v>1.1499999999999999</v>
      </c>
      <c r="R185" s="10">
        <v>0.9</v>
      </c>
      <c r="S185" s="10">
        <v>1.25</v>
      </c>
    </row>
    <row r="186" spans="1:23">
      <c r="A186" s="7">
        <v>2026</v>
      </c>
      <c r="B186" s="7">
        <v>4</v>
      </c>
      <c r="C186" s="7" t="s">
        <v>4365</v>
      </c>
      <c r="D186" s="7" t="s">
        <v>69</v>
      </c>
      <c r="E186" s="7" t="s">
        <v>3558</v>
      </c>
      <c r="F186" s="7" t="s">
        <v>4297</v>
      </c>
      <c r="G186" s="10">
        <v>0.5</v>
      </c>
      <c r="H186" s="11">
        <f>SUMIFS('Cargos e OTEs'!D:D,'Cargos e OTEs'!A:A,Parâmetros!A186,'Cargos e OTEs'!B:B,Parâmetros!B186,'Cargos e OTEs'!C:C,Parâmetros!F186)</f>
        <v>10500</v>
      </c>
      <c r="I186" s="11">
        <f>IF(_xlfn.MAXIFS(Metas!J:J,Metas!A:A,A186,Metas!B:B,B186,Metas!D:D,D186) = 0,H186,H186 * (1-_xlfn.MAXIFS(Metas!J:J,Metas!A:A,A186,Metas!B:B,B186,Metas!D:D,D186)))</f>
        <v>10500</v>
      </c>
      <c r="L186" s="11">
        <f>IF(_xlfn.MAXIFS(Metas!J:J,Metas!A:A,A186,Metas!B:B,B186,Metas!D:D,D186) = 0,K186,K186 * (1-_xlfn.MAXIFS(Metas!J:J,Metas!A:A,A186,Metas!B:B,B186,Metas!D:D,D186)))</f>
        <v>0</v>
      </c>
      <c r="O186" s="11">
        <f>IF(_xlfn.MAXIFS(Metas!J:J,Metas!A:A,A186,Metas!B:B,B186,Metas!D:D,D186) = 0,N186,N186 * (1-_xlfn.MAXIFS(Metas!J:J,Metas!A:A,A186,Metas!B:B,B186,Metas!D:D,D186)))</f>
        <v>0</v>
      </c>
      <c r="P186" s="10">
        <v>0.75</v>
      </c>
      <c r="Q186" s="10">
        <v>1.1499999999999999</v>
      </c>
      <c r="R186" s="10">
        <v>0.9</v>
      </c>
      <c r="S186" s="10">
        <v>1.25</v>
      </c>
    </row>
    <row r="187" spans="1:23">
      <c r="A187" s="7">
        <v>2026</v>
      </c>
      <c r="B187" s="7">
        <v>4</v>
      </c>
      <c r="C187" s="7" t="s">
        <v>4366</v>
      </c>
      <c r="D187" s="7" t="s">
        <v>2068</v>
      </c>
      <c r="E187" s="7" t="s">
        <v>3558</v>
      </c>
      <c r="F187" s="7" t="s">
        <v>4296</v>
      </c>
      <c r="G187" s="10">
        <v>0.5</v>
      </c>
      <c r="H187" s="11">
        <f>SUMIFS('Cargos e OTEs'!D:D,'Cargos e OTEs'!A:A,Parâmetros!A187,'Cargos e OTEs'!B:B,Parâmetros!B187,'Cargos e OTEs'!C:C,Parâmetros!F187)</f>
        <v>9660</v>
      </c>
      <c r="I187" s="11">
        <f>IF(_xlfn.MAXIFS(Metas!J:J,Metas!A:A,A187,Metas!B:B,B187,Metas!D:D,D187) = 0,H187,H187 * (1-_xlfn.MAXIFS(Metas!J:J,Metas!A:A,A187,Metas!B:B,B187,Metas!D:D,D187)))</f>
        <v>9660</v>
      </c>
      <c r="L187" s="11">
        <f>IF(_xlfn.MAXIFS(Metas!J:J,Metas!A:A,A187,Metas!B:B,B187,Metas!D:D,D187) = 0,K187,K187 * (1-_xlfn.MAXIFS(Metas!J:J,Metas!A:A,A187,Metas!B:B,B187,Metas!D:D,D187)))</f>
        <v>0</v>
      </c>
      <c r="O187" s="11">
        <f>IF(_xlfn.MAXIFS(Metas!J:J,Metas!A:A,A187,Metas!B:B,B187,Metas!D:D,D187) = 0,N187,N187 * (1-_xlfn.MAXIFS(Metas!J:J,Metas!A:A,A187,Metas!B:B,B187,Metas!D:D,D187)))</f>
        <v>0</v>
      </c>
      <c r="P187" s="10">
        <v>0.75</v>
      </c>
      <c r="Q187" s="10">
        <v>1.1499999999999999</v>
      </c>
      <c r="R187" s="10">
        <v>0.9</v>
      </c>
      <c r="S187" s="10">
        <v>1.25</v>
      </c>
    </row>
    <row r="188" spans="1:23">
      <c r="A188" s="7">
        <v>2026</v>
      </c>
      <c r="B188" s="7">
        <v>4</v>
      </c>
      <c r="C188" s="7" t="s">
        <v>4367</v>
      </c>
      <c r="D188" s="7" t="s">
        <v>4358</v>
      </c>
      <c r="E188" s="7" t="s">
        <v>3558</v>
      </c>
      <c r="F188" s="7" t="s">
        <v>4307</v>
      </c>
      <c r="G188" s="10">
        <v>0.39</v>
      </c>
      <c r="H188" s="11">
        <f>SUMIFS('Cargos e OTEs'!D:D,'Cargos e OTEs'!A:A,Parâmetros!A188,'Cargos e OTEs'!B:B,Parâmetros!B188,'Cargos e OTEs'!C:C,Parâmetros!F188)</f>
        <v>12075</v>
      </c>
      <c r="I188" s="11">
        <f>IF(_xlfn.MAXIFS(Metas!J:J,Metas!A:A,A188,Metas!B:B,B188,Metas!D:D,D188) = 0,H188,H188 * (1-_xlfn.MAXIFS(Metas!J:J,Metas!A:A,A188,Metas!B:B,B188,Metas!D:D,D188)))</f>
        <v>12075</v>
      </c>
      <c r="L188" s="11">
        <f>IF(_xlfn.MAXIFS(Metas!J:J,Metas!A:A,A188,Metas!B:B,B188,Metas!D:D,D188) = 0,K188,K188 * (1-_xlfn.MAXIFS(Metas!J:J,Metas!A:A,A188,Metas!B:B,B188,Metas!D:D,D188)))</f>
        <v>0</v>
      </c>
      <c r="O188" s="11">
        <f>IF(_xlfn.MAXIFS(Metas!J:J,Metas!A:A,A188,Metas!B:B,B188,Metas!D:D,D188) = 0,N188,N188 * (1-_xlfn.MAXIFS(Metas!J:J,Metas!A:A,A188,Metas!B:B,B188,Metas!D:D,D188)))</f>
        <v>0</v>
      </c>
      <c r="P188" s="10">
        <v>0.75</v>
      </c>
      <c r="Q188" s="10">
        <v>1.1499999999999999</v>
      </c>
      <c r="R188" s="10">
        <v>0.9</v>
      </c>
      <c r="S188" s="10">
        <v>1.25</v>
      </c>
    </row>
    <row r="189" spans="1:23">
      <c r="A189" s="7">
        <v>2026</v>
      </c>
      <c r="B189" s="7">
        <v>4</v>
      </c>
      <c r="C189" s="7" t="s">
        <v>4369</v>
      </c>
      <c r="D189" s="7" t="s">
        <v>1243</v>
      </c>
      <c r="E189" s="7" t="s">
        <v>3558</v>
      </c>
      <c r="F189" s="7" t="s">
        <v>4411</v>
      </c>
      <c r="G189" s="10">
        <v>0.5</v>
      </c>
      <c r="H189" s="11">
        <f>SUMIFS('Cargos e OTEs'!D:D,'Cargos e OTEs'!A:A,Parâmetros!A189,'Cargos e OTEs'!B:B,Parâmetros!B189,'Cargos e OTEs'!C:C,Parâmetros!F189)</f>
        <v>7140</v>
      </c>
      <c r="I189" s="11">
        <f>IF(_xlfn.MAXIFS(Metas!J:J,Metas!A:A,A189,Metas!B:B,B189,Metas!D:D,D189) = 0,H189,H189 * (1-_xlfn.MAXIFS(Metas!J:J,Metas!A:A,A189,Metas!B:B,B189,Metas!D:D,D189)))</f>
        <v>7140</v>
      </c>
      <c r="L189" s="11">
        <f>IF(_xlfn.MAXIFS(Metas!J:J,Metas!A:A,A189,Metas!B:B,B189,Metas!D:D,D189) = 0,K189,K189 * (1-_xlfn.MAXIFS(Metas!J:J,Metas!A:A,A189,Metas!B:B,B189,Metas!D:D,D189)))</f>
        <v>0</v>
      </c>
      <c r="O189" s="11">
        <f>IF(_xlfn.MAXIFS(Metas!J:J,Metas!A:A,A189,Metas!B:B,B189,Metas!D:D,D189) = 0,N189,N189 * (1-_xlfn.MAXIFS(Metas!J:J,Metas!A:A,A189,Metas!B:B,B189,Metas!D:D,D189)))</f>
        <v>0</v>
      </c>
      <c r="P189" s="10">
        <v>0.75</v>
      </c>
      <c r="Q189" s="10">
        <v>1.1499999999999999</v>
      </c>
      <c r="R189" s="10">
        <v>0.9</v>
      </c>
      <c r="S189" s="10">
        <v>1.25</v>
      </c>
    </row>
    <row r="190" spans="1:23">
      <c r="A190" s="7">
        <v>2026</v>
      </c>
      <c r="B190" s="7">
        <v>4</v>
      </c>
      <c r="C190" s="7" t="s">
        <v>4370</v>
      </c>
      <c r="D190" s="7" t="s">
        <v>66</v>
      </c>
      <c r="E190" s="7" t="s">
        <v>3558</v>
      </c>
      <c r="F190" s="7" t="s">
        <v>4296</v>
      </c>
      <c r="G190" s="10">
        <v>0.5</v>
      </c>
      <c r="H190" s="11">
        <f>SUMIFS('Cargos e OTEs'!D:D,'Cargos e OTEs'!A:A,Parâmetros!A190,'Cargos e OTEs'!B:B,Parâmetros!B190,'Cargos e OTEs'!C:C,Parâmetros!F190)</f>
        <v>9660</v>
      </c>
      <c r="I190" s="11">
        <f>IF(_xlfn.MAXIFS(Metas!J:J,Metas!A:A,A190,Metas!B:B,B190,Metas!D:D,D190) = 0,H190,H190 * (1-_xlfn.MAXIFS(Metas!J:J,Metas!A:A,A190,Metas!B:B,B190,Metas!D:D,D190)))</f>
        <v>9660</v>
      </c>
      <c r="L190" s="11">
        <f>IF(_xlfn.MAXIFS(Metas!J:J,Metas!A:A,A190,Metas!B:B,B190,Metas!D:D,D190) = 0,K190,K190 * (1-_xlfn.MAXIFS(Metas!J:J,Metas!A:A,A190,Metas!B:B,B190,Metas!D:D,D190)))</f>
        <v>0</v>
      </c>
      <c r="O190" s="11">
        <f>IF(_xlfn.MAXIFS(Metas!J:J,Metas!A:A,A190,Metas!B:B,B190,Metas!D:D,D190) = 0,N190,N190 * (1-_xlfn.MAXIFS(Metas!J:J,Metas!A:A,A190,Metas!B:B,B190,Metas!D:D,D190)))</f>
        <v>0</v>
      </c>
      <c r="P190" s="10">
        <v>0.75</v>
      </c>
      <c r="Q190" s="10">
        <v>1.1499999999999999</v>
      </c>
      <c r="R190" s="10">
        <v>0.9</v>
      </c>
      <c r="S190" s="10">
        <v>1.25</v>
      </c>
    </row>
    <row r="191" spans="1:23">
      <c r="A191" s="7">
        <v>2026</v>
      </c>
      <c r="B191" s="7">
        <v>4</v>
      </c>
      <c r="C191" s="7" t="s">
        <v>4371</v>
      </c>
      <c r="D191" s="7" t="s">
        <v>75</v>
      </c>
      <c r="E191" s="7" t="s">
        <v>3558</v>
      </c>
      <c r="F191" s="7" t="s">
        <v>4409</v>
      </c>
      <c r="G191" s="10">
        <v>0.5</v>
      </c>
      <c r="H191" s="11">
        <f>SUMIFS('Cargos e OTEs'!D:D,'Cargos e OTEs'!A:A,Parâmetros!A191,'Cargos e OTEs'!B:B,Parâmetros!B191,'Cargos e OTEs'!C:C,Parâmetros!F191)</f>
        <v>5880</v>
      </c>
      <c r="I191" s="11">
        <f>IF(_xlfn.MAXIFS(Metas!J:J,Metas!A:A,A191,Metas!B:B,B191,Metas!D:D,D191) = 0,H191,H191 * (1-_xlfn.MAXIFS(Metas!J:J,Metas!A:A,A191,Metas!B:B,B191,Metas!D:D,D191)))</f>
        <v>5880</v>
      </c>
      <c r="L191" s="11">
        <f>IF(_xlfn.MAXIFS(Metas!J:J,Metas!A:A,A191,Metas!B:B,B191,Metas!D:D,D191) = 0,K191,K191 * (1-_xlfn.MAXIFS(Metas!J:J,Metas!A:A,A191,Metas!B:B,B191,Metas!D:D,D191)))</f>
        <v>0</v>
      </c>
      <c r="O191" s="11">
        <f>IF(_xlfn.MAXIFS(Metas!J:J,Metas!A:A,A191,Metas!B:B,B191,Metas!D:D,D191) = 0,N191,N191 * (1-_xlfn.MAXIFS(Metas!J:J,Metas!A:A,A191,Metas!B:B,B191,Metas!D:D,D191)))</f>
        <v>0</v>
      </c>
      <c r="P191" s="10">
        <v>0.75</v>
      </c>
      <c r="Q191" s="10">
        <v>1.1499999999999999</v>
      </c>
      <c r="R191" s="10">
        <v>0.9</v>
      </c>
      <c r="S191" s="10">
        <v>1.25</v>
      </c>
    </row>
    <row r="192" spans="1:23">
      <c r="A192" s="7">
        <v>2026</v>
      </c>
      <c r="B192" s="7">
        <v>4</v>
      </c>
      <c r="C192" s="7" t="s">
        <v>4372</v>
      </c>
      <c r="D192" s="7" t="s">
        <v>198</v>
      </c>
      <c r="E192" s="7" t="s">
        <v>111</v>
      </c>
      <c r="F192" s="7" t="s">
        <v>4306</v>
      </c>
      <c r="G192" s="10">
        <v>0.6</v>
      </c>
      <c r="H192" s="11">
        <f>SUMIFS('Cargos e OTEs'!D:D,'Cargos e OTEs'!A:A,Parâmetros!A192,'Cargos e OTEs'!B:B,Parâmetros!B192,'Cargos e OTEs'!C:C,Parâmetros!F192)</f>
        <v>12000</v>
      </c>
      <c r="I192" s="11">
        <f>IF(_xlfn.MAXIFS(Metas!J:J,Metas!A:A,A192,Metas!B:B,B192,Metas!D:D,D192) = 0,H192,H192 * (1-_xlfn.MAXIFS(Metas!J:J,Metas!A:A,A192,Metas!B:B,B192,Metas!D:D,D192)))</f>
        <v>12000</v>
      </c>
      <c r="L192" s="11">
        <f>IF(_xlfn.MAXIFS(Metas!J:J,Metas!A:A,A192,Metas!B:B,B192,Metas!D:D,D192) = 0,K192,K192 * (1-_xlfn.MAXIFS(Metas!J:J,Metas!A:A,A192,Metas!B:B,B192,Metas!D:D,D192)))</f>
        <v>0</v>
      </c>
      <c r="O192" s="11">
        <f>IF(_xlfn.MAXIFS(Metas!J:J,Metas!A:A,A192,Metas!B:B,B192,Metas!D:D,D192) = 0,N192,N192 * (1-_xlfn.MAXIFS(Metas!J:J,Metas!A:A,A192,Metas!B:B,B192,Metas!D:D,D192)))</f>
        <v>0</v>
      </c>
      <c r="P192" s="10"/>
      <c r="Q192" s="10"/>
      <c r="R192" s="10"/>
      <c r="S192" s="10"/>
      <c r="V192" s="10">
        <v>0.7</v>
      </c>
      <c r="W192" s="10">
        <v>0.02</v>
      </c>
    </row>
    <row r="193" spans="1:23">
      <c r="A193" s="7">
        <v>2026</v>
      </c>
      <c r="B193" s="7">
        <v>4</v>
      </c>
      <c r="C193" s="7" t="s">
        <v>4373</v>
      </c>
      <c r="D193" s="7" t="s">
        <v>162</v>
      </c>
      <c r="E193" s="7" t="s">
        <v>111</v>
      </c>
      <c r="F193" s="7" t="s">
        <v>4304</v>
      </c>
      <c r="G193" s="10">
        <v>0.6</v>
      </c>
      <c r="H193" s="11">
        <f>SUMIFS('Cargos e OTEs'!D:D,'Cargos e OTEs'!A:A,Parâmetros!A193,'Cargos e OTEs'!B:B,Parâmetros!B193,'Cargos e OTEs'!C:C,Parâmetros!F193)</f>
        <v>8100</v>
      </c>
      <c r="I193" s="11">
        <f>IF(_xlfn.MAXIFS(Metas!J:J,Metas!A:A,A193,Metas!B:B,B193,Metas!D:D,D193) = 0,H193,H193 * (1-_xlfn.MAXIFS(Metas!J:J,Metas!A:A,A193,Metas!B:B,B193,Metas!D:D,D193)))</f>
        <v>8100</v>
      </c>
      <c r="L193" s="11">
        <f>IF(_xlfn.MAXIFS(Metas!J:J,Metas!A:A,A193,Metas!B:B,B193,Metas!D:D,D193) = 0,K193,K193 * (1-_xlfn.MAXIFS(Metas!J:J,Metas!A:A,A193,Metas!B:B,B193,Metas!D:D,D193)))</f>
        <v>0</v>
      </c>
      <c r="O193" s="11">
        <f>IF(_xlfn.MAXIFS(Metas!J:J,Metas!A:A,A193,Metas!B:B,B193,Metas!D:D,D193) = 0,N193,N193 * (1-_xlfn.MAXIFS(Metas!J:J,Metas!A:A,A193,Metas!B:B,B193,Metas!D:D,D193)))</f>
        <v>0</v>
      </c>
      <c r="P193" s="10"/>
      <c r="Q193" s="10"/>
      <c r="R193" s="10"/>
      <c r="S193" s="10"/>
      <c r="V193" s="10">
        <v>0.7</v>
      </c>
      <c r="W193" s="10">
        <v>0.02</v>
      </c>
    </row>
    <row r="194" spans="1:23">
      <c r="A194" s="7">
        <v>2026</v>
      </c>
      <c r="B194" s="7">
        <v>4</v>
      </c>
      <c r="C194" s="7" t="s">
        <v>4374</v>
      </c>
      <c r="D194" s="7" t="s">
        <v>137</v>
      </c>
      <c r="E194" s="7" t="s">
        <v>111</v>
      </c>
      <c r="F194" s="7" t="s">
        <v>4303</v>
      </c>
      <c r="G194" s="10">
        <v>0.6</v>
      </c>
      <c r="H194" s="11">
        <f>SUMIFS('Cargos e OTEs'!D:D,'Cargos e OTEs'!A:A,Parâmetros!A194,'Cargos e OTEs'!B:B,Parâmetros!B194,'Cargos e OTEs'!C:C,Parâmetros!F194)</f>
        <v>5400</v>
      </c>
      <c r="I194" s="11">
        <f>IF(_xlfn.MAXIFS(Metas!J:J,Metas!A:A,A194,Metas!B:B,B194,Metas!D:D,D194) = 0,H194,H194 * (1-_xlfn.MAXIFS(Metas!J:J,Metas!A:A,A194,Metas!B:B,B194,Metas!D:D,D194)))</f>
        <v>5400</v>
      </c>
      <c r="L194" s="11">
        <f>IF(_xlfn.MAXIFS(Metas!J:J,Metas!A:A,A194,Metas!B:B,B194,Metas!D:D,D194) = 0,K194,K194 * (1-_xlfn.MAXIFS(Metas!J:J,Metas!A:A,A194,Metas!B:B,B194,Metas!D:D,D194)))</f>
        <v>0</v>
      </c>
      <c r="O194" s="11">
        <f>IF(_xlfn.MAXIFS(Metas!J:J,Metas!A:A,A194,Metas!B:B,B194,Metas!D:D,D194) = 0,N194,N194 * (1-_xlfn.MAXIFS(Metas!J:J,Metas!A:A,A194,Metas!B:B,B194,Metas!D:D,D194)))</f>
        <v>0</v>
      </c>
      <c r="P194" s="10"/>
      <c r="Q194" s="10"/>
      <c r="R194" s="10"/>
      <c r="S194" s="10"/>
      <c r="V194" s="10">
        <v>0.7</v>
      </c>
      <c r="W194" s="10">
        <v>0.02</v>
      </c>
    </row>
    <row r="195" spans="1:23">
      <c r="A195" s="7">
        <v>2026</v>
      </c>
      <c r="B195" s="7">
        <v>4</v>
      </c>
      <c r="C195" s="7" t="s">
        <v>4375</v>
      </c>
      <c r="D195" s="7" t="s">
        <v>127</v>
      </c>
      <c r="E195" s="7" t="s">
        <v>111</v>
      </c>
      <c r="F195" s="7" t="s">
        <v>4303</v>
      </c>
      <c r="G195" s="10">
        <v>0.6</v>
      </c>
      <c r="H195" s="11">
        <f>SUMIFS('Cargos e OTEs'!D:D,'Cargos e OTEs'!A:A,Parâmetros!A195,'Cargos e OTEs'!B:B,Parâmetros!B195,'Cargos e OTEs'!C:C,Parâmetros!F195)</f>
        <v>5400</v>
      </c>
      <c r="I195" s="11">
        <f>IF(_xlfn.MAXIFS(Metas!J:J,Metas!A:A,A195,Metas!B:B,B195,Metas!D:D,D195) = 0,H195,H195 * (1-_xlfn.MAXIFS(Metas!J:J,Metas!A:A,A195,Metas!B:B,B195,Metas!D:D,D195)))</f>
        <v>5400</v>
      </c>
      <c r="L195" s="11">
        <f>IF(_xlfn.MAXIFS(Metas!J:J,Metas!A:A,A195,Metas!B:B,B195,Metas!D:D,D195) = 0,K195,K195 * (1-_xlfn.MAXIFS(Metas!J:J,Metas!A:A,A195,Metas!B:B,B195,Metas!D:D,D195)))</f>
        <v>0</v>
      </c>
      <c r="O195" s="11">
        <f>IF(_xlfn.MAXIFS(Metas!J:J,Metas!A:A,A195,Metas!B:B,B195,Metas!D:D,D195) = 0,N195,N195 * (1-_xlfn.MAXIFS(Metas!J:J,Metas!A:A,A195,Metas!B:B,B195,Metas!D:D,D195)))</f>
        <v>0</v>
      </c>
      <c r="P195" s="10"/>
      <c r="Q195" s="10"/>
      <c r="R195" s="10"/>
      <c r="S195" s="10"/>
      <c r="V195" s="10">
        <v>0.7</v>
      </c>
      <c r="W195" s="10">
        <v>0.02</v>
      </c>
    </row>
    <row r="196" spans="1:23">
      <c r="A196" s="7">
        <v>2026</v>
      </c>
      <c r="B196" s="7">
        <v>4</v>
      </c>
      <c r="C196" s="7" t="s">
        <v>4376</v>
      </c>
      <c r="D196" s="7" t="s">
        <v>116</v>
      </c>
      <c r="E196" s="7" t="s">
        <v>111</v>
      </c>
      <c r="F196" s="7" t="s">
        <v>4304</v>
      </c>
      <c r="G196" s="10">
        <v>0.6</v>
      </c>
      <c r="H196" s="11">
        <f>SUMIFS('Cargos e OTEs'!D:D,'Cargos e OTEs'!A:A,Parâmetros!A196,'Cargos e OTEs'!B:B,Parâmetros!B196,'Cargos e OTEs'!C:C,Parâmetros!F196)</f>
        <v>8100</v>
      </c>
      <c r="I196" s="11">
        <f>IF(_xlfn.MAXIFS(Metas!J:J,Metas!A:A,A196,Metas!B:B,B196,Metas!D:D,D196) = 0,H196,H196 * (1-_xlfn.MAXIFS(Metas!J:J,Metas!A:A,A196,Metas!B:B,B196,Metas!D:D,D196)))</f>
        <v>8100</v>
      </c>
      <c r="L196" s="11">
        <f>IF(_xlfn.MAXIFS(Metas!J:J,Metas!A:A,A196,Metas!B:B,B196,Metas!D:D,D196) = 0,K196,K196 * (1-_xlfn.MAXIFS(Metas!J:J,Metas!A:A,A196,Metas!B:B,B196,Metas!D:D,D196)))</f>
        <v>0</v>
      </c>
      <c r="O196" s="11">
        <f>IF(_xlfn.MAXIFS(Metas!J:J,Metas!A:A,A196,Metas!B:B,B196,Metas!D:D,D196) = 0,N196,N196 * (1-_xlfn.MAXIFS(Metas!J:J,Metas!A:A,A196,Metas!B:B,B196,Metas!D:D,D196)))</f>
        <v>0</v>
      </c>
      <c r="P196" s="10"/>
      <c r="Q196" s="10"/>
      <c r="R196" s="10"/>
      <c r="S196" s="10"/>
      <c r="V196" s="10">
        <v>0.7</v>
      </c>
      <c r="W196" s="10">
        <v>0.02</v>
      </c>
    </row>
    <row r="197" spans="1:23">
      <c r="A197" s="7">
        <v>2026</v>
      </c>
      <c r="B197" s="7">
        <v>4</v>
      </c>
      <c r="C197" s="7" t="s">
        <v>4412</v>
      </c>
      <c r="D197" s="7" t="s">
        <v>1160</v>
      </c>
      <c r="E197" s="7" t="s">
        <v>111</v>
      </c>
      <c r="F197" s="7" t="s">
        <v>4303</v>
      </c>
      <c r="G197" s="10">
        <v>0.6</v>
      </c>
      <c r="H197" s="11">
        <f>SUMIFS('Cargos e OTEs'!D:D,'Cargos e OTEs'!A:A,Parâmetros!A197,'Cargos e OTEs'!B:B,Parâmetros!B197,'Cargos e OTEs'!C:C,Parâmetros!F197)</f>
        <v>5400</v>
      </c>
      <c r="I197" s="11">
        <f>IF(_xlfn.MAXIFS(Metas!J:J,Metas!A:A,A197,Metas!B:B,B197,Metas!D:D,D197) = 0,H197,H197 * (1-_xlfn.MAXIFS(Metas!J:J,Metas!A:A,A197,Metas!B:B,B197,Metas!D:D,D197)))</f>
        <v>5400</v>
      </c>
      <c r="L197" s="11">
        <f>IF(_xlfn.MAXIFS(Metas!J:J,Metas!A:A,A197,Metas!B:B,B197,Metas!D:D,D197) = 0,K197,K197 * (1-_xlfn.MAXIFS(Metas!J:J,Metas!A:A,A197,Metas!B:B,B197,Metas!D:D,D197)))</f>
        <v>0</v>
      </c>
      <c r="O197" s="11">
        <f>IF(_xlfn.MAXIFS(Metas!J:J,Metas!A:A,A197,Metas!B:B,B197,Metas!D:D,D197) = 0,N197,N197 * (1-_xlfn.MAXIFS(Metas!J:J,Metas!A:A,A197,Metas!B:B,B197,Metas!D:D,D197)))</f>
        <v>0</v>
      </c>
      <c r="P197" s="10"/>
      <c r="Q197" s="10"/>
      <c r="R197" s="10"/>
      <c r="S197" s="10"/>
      <c r="V197" s="10">
        <v>0.7</v>
      </c>
      <c r="W197" s="10">
        <v>0.02</v>
      </c>
    </row>
    <row r="198" spans="1:23">
      <c r="A198" s="7">
        <v>2026</v>
      </c>
      <c r="B198" s="7">
        <v>4</v>
      </c>
      <c r="C198" s="7" t="s">
        <v>4377</v>
      </c>
      <c r="D198" s="7" t="s">
        <v>133</v>
      </c>
      <c r="E198" s="7" t="s">
        <v>111</v>
      </c>
      <c r="F198" s="7" t="s">
        <v>4303</v>
      </c>
      <c r="G198" s="10">
        <v>0.6</v>
      </c>
      <c r="H198" s="11">
        <f>SUMIFS('Cargos e OTEs'!D:D,'Cargos e OTEs'!A:A,Parâmetros!A198,'Cargos e OTEs'!B:B,Parâmetros!B198,'Cargos e OTEs'!C:C,Parâmetros!F198)</f>
        <v>5400</v>
      </c>
      <c r="I198" s="11">
        <f>IF(_xlfn.MAXIFS(Metas!J:J,Metas!A:A,A198,Metas!B:B,B198,Metas!D:D,D198) = 0,H198,H198 * (1-_xlfn.MAXIFS(Metas!J:J,Metas!A:A,A198,Metas!B:B,B198,Metas!D:D,D198)))</f>
        <v>5400</v>
      </c>
      <c r="L198" s="11">
        <f>IF(_xlfn.MAXIFS(Metas!J:J,Metas!A:A,A198,Metas!B:B,B198,Metas!D:D,D198) = 0,K198,K198 * (1-_xlfn.MAXIFS(Metas!J:J,Metas!A:A,A198,Metas!B:B,B198,Metas!D:D,D198)))</f>
        <v>0</v>
      </c>
      <c r="O198" s="11">
        <f>IF(_xlfn.MAXIFS(Metas!J:J,Metas!A:A,A198,Metas!B:B,B198,Metas!D:D,D198) = 0,N198,N198 * (1-_xlfn.MAXIFS(Metas!J:J,Metas!A:A,A198,Metas!B:B,B198,Metas!D:D,D198)))</f>
        <v>0</v>
      </c>
      <c r="P198" s="10"/>
      <c r="Q198" s="10"/>
      <c r="R198" s="10"/>
      <c r="S198" s="10"/>
      <c r="V198" s="10">
        <v>0.7</v>
      </c>
      <c r="W198" s="10">
        <v>0.02</v>
      </c>
    </row>
    <row r="199" spans="1:23">
      <c r="A199" s="7">
        <v>2026</v>
      </c>
      <c r="B199" s="7">
        <v>4</v>
      </c>
      <c r="C199" s="7" t="s">
        <v>4378</v>
      </c>
      <c r="D199" s="7" t="s">
        <v>110</v>
      </c>
      <c r="E199" s="7" t="s">
        <v>111</v>
      </c>
      <c r="F199" s="7" t="s">
        <v>4304</v>
      </c>
      <c r="G199" s="10">
        <v>0.6</v>
      </c>
      <c r="H199" s="11">
        <f>SUMIFS('Cargos e OTEs'!D:D,'Cargos e OTEs'!A:A,Parâmetros!A199,'Cargos e OTEs'!B:B,Parâmetros!B199,'Cargos e OTEs'!C:C,Parâmetros!F199)</f>
        <v>8100</v>
      </c>
      <c r="I199" s="11">
        <f>IF(_xlfn.MAXIFS(Metas!J:J,Metas!A:A,A199,Metas!B:B,B199,Metas!D:D,D199) = 0,H199,H199 * (1-_xlfn.MAXIFS(Metas!J:J,Metas!A:A,A199,Metas!B:B,B199,Metas!D:D,D199)))</f>
        <v>8100</v>
      </c>
      <c r="L199" s="11">
        <f>IF(_xlfn.MAXIFS(Metas!J:J,Metas!A:A,A199,Metas!B:B,B199,Metas!D:D,D199) = 0,K199,K199 * (1-_xlfn.MAXIFS(Metas!J:J,Metas!A:A,A199,Metas!B:B,B199,Metas!D:D,D199)))</f>
        <v>0</v>
      </c>
      <c r="O199" s="11">
        <f>IF(_xlfn.MAXIFS(Metas!J:J,Metas!A:A,A199,Metas!B:B,B199,Metas!D:D,D199) = 0,N199,N199 * (1-_xlfn.MAXIFS(Metas!J:J,Metas!A:A,A199,Metas!B:B,B199,Metas!D:D,D199)))</f>
        <v>0</v>
      </c>
      <c r="P199" s="10"/>
      <c r="Q199" s="10"/>
      <c r="R199" s="10"/>
      <c r="S199" s="10"/>
      <c r="V199" s="10">
        <v>0.7</v>
      </c>
      <c r="W199" s="10">
        <v>0.02</v>
      </c>
    </row>
    <row r="200" spans="1:23">
      <c r="A200" s="7">
        <v>2026</v>
      </c>
      <c r="B200" s="7">
        <v>4</v>
      </c>
      <c r="C200" s="7" t="s">
        <v>4379</v>
      </c>
      <c r="D200" s="7" t="s">
        <v>121</v>
      </c>
      <c r="E200" s="7" t="s">
        <v>111</v>
      </c>
      <c r="F200" s="7" t="s">
        <v>4303</v>
      </c>
      <c r="G200" s="10">
        <v>0.6</v>
      </c>
      <c r="H200" s="11">
        <f>SUMIFS('Cargos e OTEs'!D:D,'Cargos e OTEs'!A:A,Parâmetros!A200,'Cargos e OTEs'!B:B,Parâmetros!B200,'Cargos e OTEs'!C:C,Parâmetros!F200)</f>
        <v>5400</v>
      </c>
      <c r="I200" s="11">
        <f>IF(_xlfn.MAXIFS(Metas!J:J,Metas!A:A,A200,Metas!B:B,B200,Metas!D:D,D200) = 0,H200,H200 * (1-_xlfn.MAXIFS(Metas!J:J,Metas!A:A,A200,Metas!B:B,B200,Metas!D:D,D200)))</f>
        <v>5400</v>
      </c>
      <c r="L200" s="11">
        <f>IF(_xlfn.MAXIFS(Metas!J:J,Metas!A:A,A200,Metas!B:B,B200,Metas!D:D,D200) = 0,K200,K200 * (1-_xlfn.MAXIFS(Metas!J:J,Metas!A:A,A200,Metas!B:B,B200,Metas!D:D,D200)))</f>
        <v>0</v>
      </c>
      <c r="O200" s="11">
        <f>IF(_xlfn.MAXIFS(Metas!J:J,Metas!A:A,A200,Metas!B:B,B200,Metas!D:D,D200) = 0,N200,N200 * (1-_xlfn.MAXIFS(Metas!J:J,Metas!A:A,A200,Metas!B:B,B200,Metas!D:D,D200)))</f>
        <v>0</v>
      </c>
      <c r="P200" s="10"/>
      <c r="Q200" s="10"/>
      <c r="R200" s="10"/>
      <c r="S200" s="10"/>
      <c r="V200" s="10">
        <v>0.7</v>
      </c>
      <c r="W200" s="10">
        <v>0.02</v>
      </c>
    </row>
    <row r="201" spans="1:23">
      <c r="A201" s="7">
        <v>2026</v>
      </c>
      <c r="B201" s="7">
        <v>4</v>
      </c>
      <c r="C201" s="7" t="s">
        <v>4380</v>
      </c>
      <c r="D201" s="7" t="s">
        <v>2265</v>
      </c>
      <c r="E201" s="7" t="s">
        <v>4381</v>
      </c>
      <c r="F201" s="7" t="s">
        <v>4311</v>
      </c>
      <c r="G201" s="10"/>
      <c r="H201" s="11">
        <f>SUMIFS('Cargos e OTEs'!D:D,'Cargos e OTEs'!A:A,Parâmetros!A201,'Cargos e OTEs'!B:B,Parâmetros!B201,'Cargos e OTEs'!C:C,Parâmetros!F201)</f>
        <v>9424.7999999999993</v>
      </c>
      <c r="I201" s="11">
        <f>IF(_xlfn.MAXIFS(Metas!J:J,Metas!A:A,A201,Metas!B:B,B201,Metas!D:D,D201) = 0,H201,H201 * (1-_xlfn.MAXIFS(Metas!J:J,Metas!A:A,A201,Metas!B:B,B201,Metas!D:D,D201)))</f>
        <v>9424.7999999999993</v>
      </c>
      <c r="L201" s="11">
        <f>IF(_xlfn.MAXIFS(Metas!J:J,Metas!A:A,A201,Metas!B:B,B201,Metas!D:D,D201) = 0,K201,K201 * (1-_xlfn.MAXIFS(Metas!J:J,Metas!A:A,A201,Metas!B:B,B201,Metas!D:D,D201)))</f>
        <v>0</v>
      </c>
      <c r="O201" s="11">
        <f>IF(_xlfn.MAXIFS(Metas!J:J,Metas!A:A,A201,Metas!B:B,B201,Metas!D:D,D201) = 0,N201,N201 * (1-_xlfn.MAXIFS(Metas!J:J,Metas!A:A,A201,Metas!B:B,B201,Metas!D:D,D201)))</f>
        <v>0</v>
      </c>
      <c r="P201" s="10">
        <v>1</v>
      </c>
      <c r="Q201" s="10">
        <v>1.2</v>
      </c>
      <c r="R201" s="10">
        <v>1.2</v>
      </c>
      <c r="S201" s="10">
        <v>1.3</v>
      </c>
      <c r="V201" s="10">
        <f>G201</f>
        <v>0</v>
      </c>
      <c r="W201" s="10">
        <v>5.0000000000000001E-3</v>
      </c>
    </row>
    <row r="202" spans="1:23">
      <c r="A202" s="7">
        <v>2026</v>
      </c>
      <c r="B202" s="7">
        <v>5</v>
      </c>
      <c r="C202" s="7" t="s">
        <v>4330</v>
      </c>
      <c r="D202" s="7" t="s">
        <v>129</v>
      </c>
      <c r="E202" s="7" t="s">
        <v>91</v>
      </c>
      <c r="F202" s="7" t="s">
        <v>4282</v>
      </c>
      <c r="G202" s="10"/>
      <c r="H202" s="11">
        <f>SUMIFS('Cargos e OTEs'!D:D,'Cargos e OTEs'!A:A,Parâmetros!A202,'Cargos e OTEs'!B:B,Parâmetros!B202,'Cargos e OTEs'!C:C,Parâmetros!F202)</f>
        <v>4593.6000000000004</v>
      </c>
      <c r="I202" s="11">
        <f>IF(_xlfn.MAXIFS(Metas!J:J,Metas!A:A,A202,Metas!B:B,B202,Metas!D:D,D202) = 0,H202,H202 * (1-_xlfn.MAXIFS(Metas!J:J,Metas!A:A,A202,Metas!B:B,B202,Metas!D:D,D202)))</f>
        <v>4593.6000000000004</v>
      </c>
      <c r="L202" s="11">
        <f>IF(_xlfn.MAXIFS(Metas!J:J,Metas!A:A,A202,Metas!B:B,B202,Metas!D:D,D202) = 0,K202,K202 * (1-_xlfn.MAXIFS(Metas!J:J,Metas!A:A,A202,Metas!B:B,B202,Metas!D:D,D202)))</f>
        <v>0</v>
      </c>
      <c r="O202" s="11">
        <f>IF(_xlfn.MAXIFS(Metas!J:J,Metas!A:A,A202,Metas!B:B,B202,Metas!D:D,D202) = 0,N202,N202 * (1-_xlfn.MAXIFS(Metas!J:J,Metas!A:A,A202,Metas!B:B,B202,Metas!D:D,D202)))</f>
        <v>0</v>
      </c>
      <c r="P202" s="10">
        <v>1</v>
      </c>
      <c r="Q202" s="10">
        <v>1.2</v>
      </c>
      <c r="R202" s="10">
        <v>1.2</v>
      </c>
      <c r="S202" s="10">
        <v>1.3</v>
      </c>
      <c r="V202" s="10">
        <f>G202</f>
        <v>0</v>
      </c>
      <c r="W202" s="10">
        <v>0.02</v>
      </c>
    </row>
    <row r="203" spans="1:23">
      <c r="A203" s="7">
        <v>2026</v>
      </c>
      <c r="B203" s="7">
        <v>5</v>
      </c>
      <c r="C203" s="7" t="s">
        <v>4331</v>
      </c>
      <c r="D203" s="7" t="s">
        <v>90</v>
      </c>
      <c r="E203" s="7" t="s">
        <v>91</v>
      </c>
      <c r="F203" s="7" t="s">
        <v>4282</v>
      </c>
      <c r="G203" s="10"/>
      <c r="H203" s="11">
        <f>SUMIFS('Cargos e OTEs'!D:D,'Cargos e OTEs'!A:A,Parâmetros!A203,'Cargos e OTEs'!B:B,Parâmetros!B203,'Cargos e OTEs'!C:C,Parâmetros!F203)</f>
        <v>4593.6000000000004</v>
      </c>
      <c r="I203" s="11">
        <f>IF(_xlfn.MAXIFS(Metas!J:J,Metas!A:A,A203,Metas!B:B,B203,Metas!D:D,D203) = 0,H203,H203 * (1-_xlfn.MAXIFS(Metas!J:J,Metas!A:A,A203,Metas!B:B,B203,Metas!D:D,D203)))</f>
        <v>4593.6000000000004</v>
      </c>
      <c r="L203" s="11">
        <f>IF(_xlfn.MAXIFS(Metas!J:J,Metas!A:A,A203,Metas!B:B,B203,Metas!D:D,D203) = 0,K203,K203 * (1-_xlfn.MAXIFS(Metas!J:J,Metas!A:A,A203,Metas!B:B,B203,Metas!D:D,D203)))</f>
        <v>0</v>
      </c>
      <c r="O203" s="11">
        <f>IF(_xlfn.MAXIFS(Metas!J:J,Metas!A:A,A203,Metas!B:B,B203,Metas!D:D,D203) = 0,N203,N203 * (1-_xlfn.MAXIFS(Metas!J:J,Metas!A:A,A203,Metas!B:B,B203,Metas!D:D,D203)))</f>
        <v>0</v>
      </c>
      <c r="P203" s="10">
        <v>1</v>
      </c>
      <c r="Q203" s="10">
        <v>1.2</v>
      </c>
      <c r="R203" s="10">
        <v>1.2</v>
      </c>
      <c r="S203" s="10">
        <v>1.3</v>
      </c>
      <c r="V203" s="10">
        <f>G203</f>
        <v>0</v>
      </c>
      <c r="W203" s="10">
        <v>0.02</v>
      </c>
    </row>
    <row r="204" spans="1:23">
      <c r="A204" s="7">
        <v>2026</v>
      </c>
      <c r="B204" s="7">
        <v>5</v>
      </c>
      <c r="C204" s="7" t="s">
        <v>4332</v>
      </c>
      <c r="D204" s="7" t="s">
        <v>668</v>
      </c>
      <c r="E204" s="7" t="s">
        <v>91</v>
      </c>
      <c r="F204" s="7" t="s">
        <v>4313</v>
      </c>
      <c r="G204" s="10"/>
      <c r="H204" s="11">
        <f>SUMIFS('Cargos e OTEs'!D:D,'Cargos e OTEs'!A:A,Parâmetros!A204,'Cargos e OTEs'!B:B,Parâmetros!B204,'Cargos e OTEs'!C:C,Parâmetros!F204)</f>
        <v>5402.94</v>
      </c>
      <c r="I204" s="11">
        <f>IF(_xlfn.MAXIFS(Metas!J:J,Metas!A:A,A204,Metas!B:B,B204,Metas!D:D,D204) = 0,H204,H204 * (1-_xlfn.MAXIFS(Metas!J:J,Metas!A:A,A204,Metas!B:B,B204,Metas!D:D,D204)))</f>
        <v>5402.94</v>
      </c>
      <c r="L204" s="11">
        <f>IF(_xlfn.MAXIFS(Metas!J:J,Metas!A:A,A204,Metas!B:B,B204,Metas!D:D,D204) = 0,K204,K204 * (1-_xlfn.MAXIFS(Metas!J:J,Metas!A:A,A204,Metas!B:B,B204,Metas!D:D,D204)))</f>
        <v>0</v>
      </c>
      <c r="O204" s="11">
        <f>IF(_xlfn.MAXIFS(Metas!J:J,Metas!A:A,A204,Metas!B:B,B204,Metas!D:D,D204) = 0,N204,N204 * (1-_xlfn.MAXIFS(Metas!J:J,Metas!A:A,A204,Metas!B:B,B204,Metas!D:D,D204)))</f>
        <v>0</v>
      </c>
      <c r="P204" s="10">
        <v>1</v>
      </c>
      <c r="Q204" s="10">
        <v>1.2</v>
      </c>
      <c r="R204" s="10">
        <v>1.2</v>
      </c>
      <c r="S204" s="10">
        <v>1.3</v>
      </c>
      <c r="V204" s="10">
        <f>G204</f>
        <v>0</v>
      </c>
      <c r="W204" s="10">
        <v>0.02</v>
      </c>
    </row>
    <row r="205" spans="1:23">
      <c r="A205" s="7">
        <v>2026</v>
      </c>
      <c r="B205" s="7">
        <v>5</v>
      </c>
      <c r="C205" s="7" t="s">
        <v>4333</v>
      </c>
      <c r="D205" s="7" t="s">
        <v>348</v>
      </c>
      <c r="E205" s="7" t="s">
        <v>349</v>
      </c>
      <c r="F205" s="7" t="s">
        <v>4282</v>
      </c>
      <c r="G205" s="10"/>
      <c r="H205" s="11">
        <f>SUMIFS('Cargos e OTEs'!D:D,'Cargos e OTEs'!A:A,Parâmetros!A205,'Cargos e OTEs'!B:B,Parâmetros!B205,'Cargos e OTEs'!C:C,Parâmetros!F205)</f>
        <v>4593.6000000000004</v>
      </c>
      <c r="I205" s="11">
        <f>IF(_xlfn.MAXIFS(Metas!J:J,Metas!A:A,A205,Metas!B:B,B205,Metas!D:D,D205) = 0,H205,H205 * (1-_xlfn.MAXIFS(Metas!J:J,Metas!A:A,A205,Metas!B:B,B205,Metas!D:D,D205)))</f>
        <v>4593.6000000000004</v>
      </c>
      <c r="L205" s="11">
        <f>IF(_xlfn.MAXIFS(Metas!J:J,Metas!A:A,A205,Metas!B:B,B205,Metas!D:D,D205) = 0,K205,K205 * (1-_xlfn.MAXIFS(Metas!J:J,Metas!A:A,A205,Metas!B:B,B205,Metas!D:D,D205)))</f>
        <v>0</v>
      </c>
      <c r="O205" s="11">
        <f>IF(_xlfn.MAXIFS(Metas!J:J,Metas!A:A,A205,Metas!B:B,B205,Metas!D:D,D205) = 0,N205,N205 * (1-_xlfn.MAXIFS(Metas!J:J,Metas!A:A,A205,Metas!B:B,B205,Metas!D:D,D205)))</f>
        <v>0</v>
      </c>
      <c r="P205" s="10">
        <v>1</v>
      </c>
      <c r="Q205" s="10">
        <v>1.2</v>
      </c>
      <c r="R205" s="10">
        <v>1.2</v>
      </c>
      <c r="S205" s="10">
        <v>1.3</v>
      </c>
      <c r="V205" s="10">
        <f>G205</f>
        <v>0</v>
      </c>
      <c r="W205" s="10">
        <v>0.02</v>
      </c>
    </row>
    <row r="206" spans="1:23">
      <c r="A206" s="7">
        <v>2026</v>
      </c>
      <c r="B206" s="7">
        <v>5</v>
      </c>
      <c r="C206" s="7" t="s">
        <v>4327</v>
      </c>
      <c r="D206" s="7" t="s">
        <v>313</v>
      </c>
      <c r="E206" s="7" t="s">
        <v>349</v>
      </c>
      <c r="F206" s="7" t="s">
        <v>4282</v>
      </c>
      <c r="G206" s="10"/>
      <c r="H206" s="11">
        <f>SUMIFS('Cargos e OTEs'!D:D,'Cargos e OTEs'!A:A,Parâmetros!A206,'Cargos e OTEs'!B:B,Parâmetros!B206,'Cargos e OTEs'!C:C,Parâmetros!F206)</f>
        <v>4593.6000000000004</v>
      </c>
      <c r="I206" s="11">
        <f>IF(_xlfn.MAXIFS(Metas!J:J,Metas!A:A,A206,Metas!B:B,B206,Metas!D:D,D206) = 0,H206,H206 * (1-_xlfn.MAXIFS(Metas!J:J,Metas!A:A,A206,Metas!B:B,B206,Metas!D:D,D206)))</f>
        <v>3031.7760000000003</v>
      </c>
      <c r="L206" s="11">
        <f>IF(_xlfn.MAXIFS(Metas!J:J,Metas!A:A,A206,Metas!B:B,B206,Metas!D:D,D206) = 0,K206,K206 * (1-_xlfn.MAXIFS(Metas!J:J,Metas!A:A,A206,Metas!B:B,B206,Metas!D:D,D206)))</f>
        <v>0</v>
      </c>
      <c r="O206" s="11">
        <f>IF(_xlfn.MAXIFS(Metas!J:J,Metas!A:A,A206,Metas!B:B,B206,Metas!D:D,D206) = 0,N206,N206 * (1-_xlfn.MAXIFS(Metas!J:J,Metas!A:A,A206,Metas!B:B,B206,Metas!D:D,D206)))</f>
        <v>0</v>
      </c>
      <c r="P206" s="10">
        <v>1</v>
      </c>
      <c r="Q206" s="10">
        <v>1.2</v>
      </c>
      <c r="R206" s="10">
        <v>1.2</v>
      </c>
      <c r="S206" s="10">
        <v>1.3</v>
      </c>
      <c r="V206" s="10">
        <f>G206</f>
        <v>0</v>
      </c>
      <c r="W206" s="10">
        <v>0.02</v>
      </c>
    </row>
    <row r="207" spans="1:23">
      <c r="A207" s="7">
        <v>2026</v>
      </c>
      <c r="B207" s="7">
        <v>5</v>
      </c>
      <c r="C207" s="7" t="s">
        <v>4383</v>
      </c>
      <c r="D207" s="7" t="s">
        <v>4382</v>
      </c>
      <c r="E207" s="7" t="s">
        <v>349</v>
      </c>
      <c r="F207" s="7" t="s">
        <v>4312</v>
      </c>
      <c r="G207" s="10"/>
      <c r="H207" s="11">
        <f>SUMIFS('Cargos e OTEs'!D:D,'Cargos e OTEs'!A:A,Parâmetros!A207,'Cargos e OTEs'!B:B,Parâmetros!B207,'Cargos e OTEs'!C:C,Parâmetros!F207)</f>
        <v>6600</v>
      </c>
      <c r="I207" s="11">
        <f>IF(_xlfn.MAXIFS(Metas!J:J,Metas!A:A,A207,Metas!B:B,B207,Metas!D:D,D207) = 0,H207,H207 * (1-_xlfn.MAXIFS(Metas!J:J,Metas!A:A,A207,Metas!B:B,B207,Metas!D:D,D207)))</f>
        <v>6600</v>
      </c>
      <c r="L207" s="11">
        <f>IF(_xlfn.MAXIFS(Metas!J:J,Metas!A:A,A207,Metas!B:B,B207,Metas!D:D,D207) = 0,K207,K207 * (1-_xlfn.MAXIFS(Metas!J:J,Metas!A:A,A207,Metas!B:B,B207,Metas!D:D,D207)))</f>
        <v>0</v>
      </c>
      <c r="O207" s="11">
        <f>IF(_xlfn.MAXIFS(Metas!J:J,Metas!A:A,A207,Metas!B:B,B207,Metas!D:D,D207) = 0,N207,N207 * (1-_xlfn.MAXIFS(Metas!J:J,Metas!A:A,A207,Metas!B:B,B207,Metas!D:D,D207)))</f>
        <v>0</v>
      </c>
      <c r="P207" s="10">
        <v>1</v>
      </c>
      <c r="Q207" s="10">
        <v>1.2</v>
      </c>
      <c r="R207" s="10">
        <v>1.2</v>
      </c>
      <c r="S207" s="10">
        <v>1.3</v>
      </c>
      <c r="V207" s="10">
        <f>G207</f>
        <v>0</v>
      </c>
      <c r="W207" s="10">
        <v>0.02</v>
      </c>
    </row>
    <row r="208" spans="1:23">
      <c r="A208" s="7">
        <v>2026</v>
      </c>
      <c r="B208" s="7">
        <v>5</v>
      </c>
      <c r="C208" s="7" t="s">
        <v>4335</v>
      </c>
      <c r="D208" s="7" t="s">
        <v>190</v>
      </c>
      <c r="E208" s="7" t="s">
        <v>191</v>
      </c>
      <c r="F208" s="7" t="s">
        <v>4288</v>
      </c>
      <c r="G208" s="10"/>
      <c r="H208" s="11">
        <f>SUMIFS('Cargos e OTEs'!D:D,'Cargos e OTEs'!A:A,Parâmetros!A208,'Cargos e OTEs'!B:B,Parâmetros!B208,'Cargos e OTEs'!C:C,Parâmetros!F208)</f>
        <v>4677.12</v>
      </c>
      <c r="I208" s="11">
        <f>IF(_xlfn.MAXIFS(Metas!J:J,Metas!A:A,A208,Metas!B:B,B208,Metas!D:D,D208) = 0,H208,H208 * (1-_xlfn.MAXIFS(Metas!J:J,Metas!A:A,A208,Metas!B:B,B208,Metas!D:D,D208)))</f>
        <v>4677.12</v>
      </c>
      <c r="L208" s="11">
        <f>IF(_xlfn.MAXIFS(Metas!J:J,Metas!A:A,A208,Metas!B:B,B208,Metas!D:D,D208) = 0,K208,K208 * (1-_xlfn.MAXIFS(Metas!J:J,Metas!A:A,A208,Metas!B:B,B208,Metas!D:D,D208)))</f>
        <v>0</v>
      </c>
      <c r="O208" s="11">
        <f>IF(_xlfn.MAXIFS(Metas!J:J,Metas!A:A,A208,Metas!B:B,B208,Metas!D:D,D208) = 0,N208,N208 * (1-_xlfn.MAXIFS(Metas!J:J,Metas!A:A,A208,Metas!B:B,B208,Metas!D:D,D208)))</f>
        <v>0</v>
      </c>
      <c r="P208" s="10">
        <v>1</v>
      </c>
      <c r="Q208" s="10">
        <v>1.2</v>
      </c>
      <c r="R208" s="10">
        <v>1.2</v>
      </c>
      <c r="S208" s="10">
        <v>1.3</v>
      </c>
      <c r="V208" s="10">
        <f>G208</f>
        <v>0</v>
      </c>
      <c r="W208" s="10">
        <v>0.02</v>
      </c>
    </row>
    <row r="209" spans="1:23">
      <c r="A209" s="7">
        <v>2026</v>
      </c>
      <c r="B209" s="7">
        <v>5</v>
      </c>
      <c r="C209" s="7" t="s">
        <v>4336</v>
      </c>
      <c r="D209" s="7" t="s">
        <v>323</v>
      </c>
      <c r="E209" s="7" t="s">
        <v>191</v>
      </c>
      <c r="F209" s="7" t="s">
        <v>4316</v>
      </c>
      <c r="G209" s="10"/>
      <c r="H209" s="11">
        <v>6480</v>
      </c>
      <c r="I209" s="11">
        <f>IF(_xlfn.MAXIFS(Metas!J:J,Metas!A:A,A209,Metas!B:B,B209,Metas!D:D,D209) = 0,H209,H209 * (1-_xlfn.MAXIFS(Metas!J:J,Metas!A:A,A209,Metas!B:B,B209,Metas!D:D,D209)))</f>
        <v>6480</v>
      </c>
      <c r="J209" s="9">
        <v>1</v>
      </c>
      <c r="K209" s="11">
        <v>8100</v>
      </c>
      <c r="L209" s="11">
        <f>IF(_xlfn.MAXIFS(Metas!J:J,Metas!A:A,A209,Metas!B:B,B209,Metas!D:D,D209) = 0,K209,K209 * (1-_xlfn.MAXIFS(Metas!J:J,Metas!A:A,A209,Metas!B:B,B209,Metas!D:D,D209)))</f>
        <v>8100</v>
      </c>
      <c r="O209" s="11">
        <f>IF(_xlfn.MAXIFS(Metas!J:J,Metas!A:A,A209,Metas!B:B,B209,Metas!D:D,D209) = 0,N209,N209 * (1-_xlfn.MAXIFS(Metas!J:J,Metas!A:A,A209,Metas!B:B,B209,Metas!D:D,D209)))</f>
        <v>0</v>
      </c>
      <c r="P209" s="10">
        <v>1</v>
      </c>
      <c r="Q209" s="10">
        <v>1.2</v>
      </c>
      <c r="R209" s="10">
        <v>1.2</v>
      </c>
      <c r="S209" s="10">
        <v>1.3</v>
      </c>
      <c r="V209" s="10">
        <f>G209</f>
        <v>0</v>
      </c>
      <c r="W209" s="10">
        <v>0.02</v>
      </c>
    </row>
    <row r="210" spans="1:23">
      <c r="A210" s="7">
        <v>2026</v>
      </c>
      <c r="B210" s="7">
        <v>5</v>
      </c>
      <c r="C210" s="7" t="s">
        <v>4337</v>
      </c>
      <c r="D210" s="7" t="s">
        <v>804</v>
      </c>
      <c r="E210" s="7" t="s">
        <v>191</v>
      </c>
      <c r="F210" s="7" t="s">
        <v>4407</v>
      </c>
      <c r="G210" s="10"/>
      <c r="H210" s="11">
        <f>SUMIFS('Cargos e OTEs'!D:D,'Cargos e OTEs'!A:A,Parâmetros!A210,'Cargos e OTEs'!B:B,Parâmetros!B210,'Cargos e OTEs'!C:C,Parâmetros!F210)</f>
        <v>3746.2</v>
      </c>
      <c r="I210" s="11">
        <f>IF(_xlfn.MAXIFS(Metas!J:J,Metas!A:A,A210,Metas!B:B,B210,Metas!D:D,D210) = 0,H210,H210 * (1-_xlfn.MAXIFS(Metas!J:J,Metas!A:A,A210,Metas!B:B,B210,Metas!D:D,D210)))</f>
        <v>3746.2</v>
      </c>
      <c r="L210" s="11">
        <f>IF(_xlfn.MAXIFS(Metas!J:J,Metas!A:A,A210,Metas!B:B,B210,Metas!D:D,D210) = 0,K210,K210 * (1-_xlfn.MAXIFS(Metas!J:J,Metas!A:A,A210,Metas!B:B,B210,Metas!D:D,D210)))</f>
        <v>0</v>
      </c>
      <c r="O210" s="11">
        <f>IF(_xlfn.MAXIFS(Metas!J:J,Metas!A:A,A210,Metas!B:B,B210,Metas!D:D,D210) = 0,N210,N210 * (1-_xlfn.MAXIFS(Metas!J:J,Metas!A:A,A210,Metas!B:B,B210,Metas!D:D,D210)))</f>
        <v>0</v>
      </c>
      <c r="P210" s="10">
        <v>1</v>
      </c>
      <c r="Q210" s="10">
        <v>1.2</v>
      </c>
      <c r="R210" s="10">
        <v>1.2</v>
      </c>
      <c r="S210" s="10">
        <v>1.3</v>
      </c>
      <c r="V210" s="10">
        <f>G210</f>
        <v>0</v>
      </c>
      <c r="W210" s="10">
        <v>0.02</v>
      </c>
    </row>
    <row r="211" spans="1:23">
      <c r="A211" s="7">
        <v>2026</v>
      </c>
      <c r="B211" s="7">
        <v>5</v>
      </c>
      <c r="C211" s="7" t="s">
        <v>4338</v>
      </c>
      <c r="D211" s="7" t="s">
        <v>367</v>
      </c>
      <c r="E211" s="7" t="s">
        <v>191</v>
      </c>
      <c r="F211" s="7" t="s">
        <v>4316</v>
      </c>
      <c r="G211" s="10"/>
      <c r="H211" s="11">
        <v>9200</v>
      </c>
      <c r="I211" s="11">
        <f>IF(_xlfn.MAXIFS(Metas!J:J,Metas!A:A,A211,Metas!B:B,B211,Metas!D:D,D211) = 0,H211,H211 * (1-_xlfn.MAXIFS(Metas!J:J,Metas!A:A,A211,Metas!B:B,B211,Metas!D:D,D211)))</f>
        <v>9200</v>
      </c>
      <c r="J211" s="9">
        <v>1</v>
      </c>
      <c r="K211" s="11">
        <v>11500</v>
      </c>
      <c r="L211" s="11">
        <f>IF(_xlfn.MAXIFS(Metas!J:J,Metas!A:A,A211,Metas!B:B,B211,Metas!D:D,D211) = 0,K211,K211 * (1-_xlfn.MAXIFS(Metas!J:J,Metas!A:A,A211,Metas!B:B,B211,Metas!D:D,D211)))</f>
        <v>11500</v>
      </c>
      <c r="O211" s="11">
        <f>IF(_xlfn.MAXIFS(Metas!J:J,Metas!A:A,A211,Metas!B:B,B211,Metas!D:D,D211) = 0,N211,N211 * (1-_xlfn.MAXIFS(Metas!J:J,Metas!A:A,A211,Metas!B:B,B211,Metas!D:D,D211)))</f>
        <v>0</v>
      </c>
      <c r="P211" s="10">
        <v>0.95</v>
      </c>
      <c r="Q211" s="10">
        <v>1.1499999999999999</v>
      </c>
      <c r="R211" s="10">
        <v>1.05</v>
      </c>
      <c r="S211" s="10">
        <v>1.25</v>
      </c>
      <c r="V211" s="10">
        <f>G211</f>
        <v>0</v>
      </c>
      <c r="W211" s="10">
        <v>0.02</v>
      </c>
    </row>
    <row r="212" spans="1:23">
      <c r="A212" s="7">
        <v>2026</v>
      </c>
      <c r="B212" s="7">
        <v>5</v>
      </c>
      <c r="C212" s="7" t="s">
        <v>4339</v>
      </c>
      <c r="D212" s="7" t="s">
        <v>520</v>
      </c>
      <c r="E212" s="7" t="s">
        <v>191</v>
      </c>
      <c r="F212" s="7" t="s">
        <v>4413</v>
      </c>
      <c r="G212" s="10"/>
      <c r="H212" s="11">
        <f>SUMIFS('Cargos e OTEs'!D:D,'Cargos e OTEs'!A:A,Parâmetros!A212,'Cargos e OTEs'!B:B,Parâmetros!B212,'Cargos e OTEs'!C:C,Parâmetros!F212)</f>
        <v>6011.88</v>
      </c>
      <c r="I212" s="11">
        <f>IF(_xlfn.MAXIFS(Metas!J:J,Metas!A:A,A212,Metas!B:B,B212,Metas!D:D,D212) = 0,H212,H212 * (1-_xlfn.MAXIFS(Metas!J:J,Metas!A:A,A212,Metas!B:B,B212,Metas!D:D,D212)))</f>
        <v>6011.88</v>
      </c>
      <c r="L212" s="11">
        <f>IF(_xlfn.MAXIFS(Metas!J:J,Metas!A:A,A212,Metas!B:B,B212,Metas!D:D,D212) = 0,K212,K212 * (1-_xlfn.MAXIFS(Metas!J:J,Metas!A:A,A212,Metas!B:B,B212,Metas!D:D,D212)))</f>
        <v>0</v>
      </c>
      <c r="O212" s="11">
        <f>IF(_xlfn.MAXIFS(Metas!J:J,Metas!A:A,A212,Metas!B:B,B212,Metas!D:D,D212) = 0,N212,N212 * (1-_xlfn.MAXIFS(Metas!J:J,Metas!A:A,A212,Metas!B:B,B212,Metas!D:D,D212)))</f>
        <v>0</v>
      </c>
      <c r="P212" s="10">
        <v>1</v>
      </c>
      <c r="Q212" s="10">
        <v>1.2</v>
      </c>
      <c r="R212" s="10">
        <v>1.2</v>
      </c>
      <c r="S212" s="10">
        <v>1.3</v>
      </c>
      <c r="V212" s="10">
        <f>G212</f>
        <v>0</v>
      </c>
      <c r="W212" s="10">
        <v>0.02</v>
      </c>
    </row>
    <row r="213" spans="1:23">
      <c r="A213" s="7">
        <v>2026</v>
      </c>
      <c r="B213" s="7">
        <v>5</v>
      </c>
      <c r="C213" s="7" t="s">
        <v>4340</v>
      </c>
      <c r="D213" s="7" t="s">
        <v>469</v>
      </c>
      <c r="E213" s="7" t="s">
        <v>191</v>
      </c>
      <c r="F213" s="7" t="s">
        <v>4407</v>
      </c>
      <c r="G213" s="10"/>
      <c r="H213" s="11">
        <f>SUMIFS('Cargos e OTEs'!D:D,'Cargos e OTEs'!A:A,Parâmetros!A213,'Cargos e OTEs'!B:B,Parâmetros!B213,'Cargos e OTEs'!C:C,Parâmetros!F213)</f>
        <v>3746.2</v>
      </c>
      <c r="I213" s="11">
        <f>IF(_xlfn.MAXIFS(Metas!J:J,Metas!A:A,A213,Metas!B:B,B213,Metas!D:D,D213) = 0,H213,H213 * (1-_xlfn.MAXIFS(Metas!J:J,Metas!A:A,A213,Metas!B:B,B213,Metas!D:D,D213)))</f>
        <v>3746.2</v>
      </c>
      <c r="L213" s="11">
        <f>IF(_xlfn.MAXIFS(Metas!J:J,Metas!A:A,A213,Metas!B:B,B213,Metas!D:D,D213) = 0,K213,K213 * (1-_xlfn.MAXIFS(Metas!J:J,Metas!A:A,A213,Metas!B:B,B213,Metas!D:D,D213)))</f>
        <v>0</v>
      </c>
      <c r="O213" s="11">
        <f>IF(_xlfn.MAXIFS(Metas!J:J,Metas!A:A,A213,Metas!B:B,B213,Metas!D:D,D213) = 0,N213,N213 * (1-_xlfn.MAXIFS(Metas!J:J,Metas!A:A,A213,Metas!B:B,B213,Metas!D:D,D213)))</f>
        <v>0</v>
      </c>
      <c r="P213" s="10">
        <v>1</v>
      </c>
      <c r="Q213" s="10">
        <v>1.2</v>
      </c>
      <c r="R213" s="10">
        <v>1.2</v>
      </c>
      <c r="S213" s="10">
        <v>1.3</v>
      </c>
      <c r="V213" s="10">
        <f>G213</f>
        <v>0</v>
      </c>
      <c r="W213" s="10">
        <v>0.02</v>
      </c>
    </row>
    <row r="214" spans="1:23">
      <c r="A214" s="7">
        <v>2026</v>
      </c>
      <c r="B214" s="7">
        <v>5</v>
      </c>
      <c r="C214" s="7" t="s">
        <v>4326</v>
      </c>
      <c r="D214" s="7" t="s">
        <v>501</v>
      </c>
      <c r="E214" s="7" t="s">
        <v>300</v>
      </c>
      <c r="F214" s="7" t="s">
        <v>4310</v>
      </c>
      <c r="G214" s="10"/>
      <c r="H214" s="11">
        <f>SUMIFS('Cargos e OTEs'!D:D,'Cargos e OTEs'!A:A,Parâmetros!A214,'Cargos e OTEs'!B:B,Parâmetros!B214,'Cargos e OTEs'!C:C,Parâmetros!F214)</f>
        <v>5122.95</v>
      </c>
      <c r="I214" s="11">
        <f>IF(_xlfn.MAXIFS(Metas!J:J,Metas!A:A,A214,Metas!B:B,B214,Metas!D:D,D214) = 0,H214,H214 * (1-_xlfn.MAXIFS(Metas!J:J,Metas!A:A,A214,Metas!B:B,B214,Metas!D:D,D214)))</f>
        <v>5122.95</v>
      </c>
      <c r="L214" s="11">
        <f>IF(_xlfn.MAXIFS(Metas!J:J,Metas!A:A,A214,Metas!B:B,B214,Metas!D:D,D214) = 0,K214,K214 * (1-_xlfn.MAXIFS(Metas!J:J,Metas!A:A,A214,Metas!B:B,B214,Metas!D:D,D214)))</f>
        <v>0</v>
      </c>
      <c r="O214" s="11">
        <f>IF(_xlfn.MAXIFS(Metas!J:J,Metas!A:A,A214,Metas!B:B,B214,Metas!D:D,D214) = 0,N214,N214 * (1-_xlfn.MAXIFS(Metas!J:J,Metas!A:A,A214,Metas!B:B,B214,Metas!D:D,D214)))</f>
        <v>0</v>
      </c>
      <c r="P214" s="10">
        <v>1</v>
      </c>
      <c r="Q214" s="10">
        <v>1.2</v>
      </c>
      <c r="R214" s="10">
        <v>1.2</v>
      </c>
      <c r="S214" s="10">
        <v>1.3</v>
      </c>
      <c r="V214" s="10">
        <f>G214</f>
        <v>0</v>
      </c>
      <c r="W214" s="10">
        <v>0.02</v>
      </c>
    </row>
    <row r="215" spans="1:23">
      <c r="A215" s="7">
        <v>2026</v>
      </c>
      <c r="B215" s="7">
        <v>5</v>
      </c>
      <c r="C215" s="7" t="s">
        <v>4408</v>
      </c>
      <c r="D215" s="7" t="s">
        <v>3642</v>
      </c>
      <c r="E215" s="7" t="s">
        <v>300</v>
      </c>
      <c r="F215" s="7" t="s">
        <v>4284</v>
      </c>
      <c r="H215" s="11">
        <f>SUMIFS('Cargos e OTEs'!D:D,'Cargos e OTEs'!A:A,Parâmetros!A215,'Cargos e OTEs'!B:B,Parâmetros!B215,'Cargos e OTEs'!C:C,Parâmetros!F215)</f>
        <v>3742.2</v>
      </c>
      <c r="I215" s="11">
        <f>IF(_xlfn.MAXIFS(Metas!J:J,Metas!A:A,A215,Metas!B:B,B215,Metas!D:D,D215) = 0,H215,H215 * (1-_xlfn.MAXIFS(Metas!J:J,Metas!A:A,A215,Metas!B:B,B215,Metas!D:D,D215)))</f>
        <v>1871.1</v>
      </c>
      <c r="L215" s="11">
        <f>IF(_xlfn.MAXIFS(Metas!J:J,Metas!A:A,A215,Metas!B:B,B215,Metas!D:D,D215) = 0,K215,K215 * (1-_xlfn.MAXIFS(Metas!J:J,Metas!A:A,A215,Metas!B:B,B215,Metas!D:D,D215)))</f>
        <v>0</v>
      </c>
      <c r="O215" s="11">
        <f>IF(_xlfn.MAXIFS(Metas!J:J,Metas!A:A,A215,Metas!B:B,B215,Metas!D:D,D215) = 0,N215,N215 * (1-_xlfn.MAXIFS(Metas!J:J,Metas!A:A,A215,Metas!B:B,B215,Metas!D:D,D215)))</f>
        <v>0</v>
      </c>
      <c r="P215" s="10">
        <v>1</v>
      </c>
      <c r="Q215" s="10">
        <v>1.2</v>
      </c>
      <c r="R215" s="10">
        <v>1.2</v>
      </c>
      <c r="S215" s="10">
        <v>1.3</v>
      </c>
    </row>
    <row r="216" spans="1:23">
      <c r="A216" s="7">
        <v>2026</v>
      </c>
      <c r="B216" s="7">
        <v>5</v>
      </c>
      <c r="C216" s="7" t="s">
        <v>4342</v>
      </c>
      <c r="D216" s="7" t="s">
        <v>506</v>
      </c>
      <c r="E216" s="7" t="s">
        <v>300</v>
      </c>
      <c r="F216" s="7" t="s">
        <v>4285</v>
      </c>
      <c r="G216" s="10"/>
      <c r="H216" s="11">
        <f>SUMIFS('Cargos e OTEs'!D:D,'Cargos e OTEs'!A:A,Parâmetros!A216,'Cargos e OTEs'!B:B,Parâmetros!B216,'Cargos e OTEs'!C:C,Parâmetros!F216)</f>
        <v>4356</v>
      </c>
      <c r="I216" s="11">
        <f>IF(_xlfn.MAXIFS(Metas!J:J,Metas!A:A,A216,Metas!B:B,B216,Metas!D:D,D216) = 0,H216,H216 * (1-_xlfn.MAXIFS(Metas!J:J,Metas!A:A,A216,Metas!B:B,B216,Metas!D:D,D216)))</f>
        <v>4356</v>
      </c>
      <c r="L216" s="11">
        <f>IF(_xlfn.MAXIFS(Metas!J:J,Metas!A:A,A216,Metas!B:B,B216,Metas!D:D,D216) = 0,K216,K216 * (1-_xlfn.MAXIFS(Metas!J:J,Metas!A:A,A216,Metas!B:B,B216,Metas!D:D,D216)))</f>
        <v>0</v>
      </c>
      <c r="O216" s="11">
        <f>IF(_xlfn.MAXIFS(Metas!J:J,Metas!A:A,A216,Metas!B:B,B216,Metas!D:D,D216) = 0,N216,N216 * (1-_xlfn.MAXIFS(Metas!J:J,Metas!A:A,A216,Metas!B:B,B216,Metas!D:D,D216)))</f>
        <v>0</v>
      </c>
      <c r="P216" s="10">
        <v>1</v>
      </c>
      <c r="Q216" s="10">
        <v>1.2</v>
      </c>
      <c r="R216" s="10">
        <v>1.2</v>
      </c>
      <c r="S216" s="10">
        <v>1.3</v>
      </c>
      <c r="V216" s="10">
        <f>G216</f>
        <v>0</v>
      </c>
      <c r="W216" s="10">
        <v>0.02</v>
      </c>
    </row>
    <row r="217" spans="1:23">
      <c r="A217" s="7">
        <v>2026</v>
      </c>
      <c r="B217" s="7">
        <v>5</v>
      </c>
      <c r="C217" s="7" t="s">
        <v>4384</v>
      </c>
      <c r="D217" s="7" t="s">
        <v>2004</v>
      </c>
      <c r="E217" s="7" t="s">
        <v>300</v>
      </c>
      <c r="F217" s="7" t="s">
        <v>4285</v>
      </c>
      <c r="G217" s="10"/>
      <c r="H217" s="11">
        <f>SUMIFS('Cargos e OTEs'!D:D,'Cargos e OTEs'!A:A,Parâmetros!A217,'Cargos e OTEs'!B:B,Parâmetros!B217,'Cargos e OTEs'!C:C,Parâmetros!F217)</f>
        <v>4356</v>
      </c>
      <c r="I217" s="11">
        <f>IF(_xlfn.MAXIFS(Metas!J:J,Metas!A:A,A217,Metas!B:B,B217,Metas!D:D,D217) = 0,H217,H217 * (1-_xlfn.MAXIFS(Metas!J:J,Metas!A:A,A217,Metas!B:B,B217,Metas!D:D,D217)))</f>
        <v>4356</v>
      </c>
      <c r="L217" s="11">
        <f>IF(_xlfn.MAXIFS(Metas!J:J,Metas!A:A,A217,Metas!B:B,B217,Metas!D:D,D217) = 0,K217,K217 * (1-_xlfn.MAXIFS(Metas!J:J,Metas!A:A,A217,Metas!B:B,B217,Metas!D:D,D217)))</f>
        <v>0</v>
      </c>
      <c r="O217" s="11">
        <f>IF(_xlfn.MAXIFS(Metas!J:J,Metas!A:A,A217,Metas!B:B,B217,Metas!D:D,D217) = 0,N217,N217 * (1-_xlfn.MAXIFS(Metas!J:J,Metas!A:A,A217,Metas!B:B,B217,Metas!D:D,D217)))</f>
        <v>0</v>
      </c>
      <c r="P217" s="10">
        <v>1</v>
      </c>
      <c r="Q217" s="10">
        <v>1.2</v>
      </c>
      <c r="R217" s="10">
        <v>1.2</v>
      </c>
      <c r="S217" s="10">
        <v>1.3</v>
      </c>
      <c r="V217" s="10">
        <f>G217</f>
        <v>0</v>
      </c>
      <c r="W217" s="10">
        <v>0.02</v>
      </c>
    </row>
    <row r="218" spans="1:23">
      <c r="A218" s="7">
        <v>2026</v>
      </c>
      <c r="B218" s="7">
        <v>5</v>
      </c>
      <c r="C218" s="7" t="s">
        <v>4387</v>
      </c>
      <c r="D218" s="7" t="s">
        <v>3179</v>
      </c>
      <c r="E218" s="7" t="s">
        <v>300</v>
      </c>
      <c r="F218" s="7" t="s">
        <v>4285</v>
      </c>
      <c r="H218" s="11">
        <f>SUMIFS('Cargos e OTEs'!D:D,'Cargos e OTEs'!A:A,Parâmetros!A218,'Cargos e OTEs'!B:B,Parâmetros!B218,'Cargos e OTEs'!C:C,Parâmetros!F218)</f>
        <v>4356</v>
      </c>
      <c r="I218" s="11">
        <f>IF(_xlfn.MAXIFS(Metas!J:J,Metas!A:A,A218,Metas!B:B,B218,Metas!D:D,D218) = 0,H218,H218 * (1-_xlfn.MAXIFS(Metas!J:J,Metas!A:A,A218,Metas!B:B,B218,Metas!D:D,D218)))</f>
        <v>2178</v>
      </c>
      <c r="L218" s="11">
        <f>IF(_xlfn.MAXIFS(Metas!J:J,Metas!A:A,A218,Metas!B:B,B218,Metas!D:D,D218) = 0,K218,K218 * (1-_xlfn.MAXIFS(Metas!J:J,Metas!A:A,A218,Metas!B:B,B218,Metas!D:D,D218)))</f>
        <v>0</v>
      </c>
      <c r="O218" s="11">
        <f>IF(_xlfn.MAXIFS(Metas!J:J,Metas!A:A,A218,Metas!B:B,B218,Metas!D:D,D218) = 0,N218,N218 * (1-_xlfn.MAXIFS(Metas!J:J,Metas!A:A,A218,Metas!B:B,B218,Metas!D:D,D218)))</f>
        <v>0</v>
      </c>
      <c r="P218" s="10">
        <v>1</v>
      </c>
      <c r="Q218" s="10">
        <v>1.2</v>
      </c>
      <c r="R218" s="10">
        <v>1.2</v>
      </c>
      <c r="S218" s="10">
        <v>1.3</v>
      </c>
    </row>
    <row r="219" spans="1:23">
      <c r="A219" s="7">
        <v>2026</v>
      </c>
      <c r="B219" s="7">
        <v>5</v>
      </c>
      <c r="C219" s="7" t="s">
        <v>4343</v>
      </c>
      <c r="D219" s="7" t="s">
        <v>829</v>
      </c>
      <c r="E219" s="7" t="s">
        <v>300</v>
      </c>
      <c r="F219" s="7" t="s">
        <v>4284</v>
      </c>
      <c r="G219" s="10"/>
      <c r="H219" s="11">
        <f>SUMIFS('Cargos e OTEs'!D:D,'Cargos e OTEs'!A:A,Parâmetros!A219,'Cargos e OTEs'!B:B,Parâmetros!B219,'Cargos e OTEs'!C:C,Parâmetros!F219)</f>
        <v>3742.2</v>
      </c>
      <c r="I219" s="11">
        <f>IF(_xlfn.MAXIFS(Metas!J:J,Metas!A:A,A219,Metas!B:B,B219,Metas!D:D,D219) = 0,H219,H219 * (1-_xlfn.MAXIFS(Metas!J:J,Metas!A:A,A219,Metas!B:B,B219,Metas!D:D,D219)))</f>
        <v>3742.2</v>
      </c>
      <c r="L219" s="11">
        <f>IF(_xlfn.MAXIFS(Metas!J:J,Metas!A:A,A219,Metas!B:B,B219,Metas!D:D,D219) = 0,K219,K219 * (1-_xlfn.MAXIFS(Metas!J:J,Metas!A:A,A219,Metas!B:B,B219,Metas!D:D,D219)))</f>
        <v>0</v>
      </c>
      <c r="O219" s="11">
        <f>IF(_xlfn.MAXIFS(Metas!J:J,Metas!A:A,A219,Metas!B:B,B219,Metas!D:D,D219) = 0,N219,N219 * (1-_xlfn.MAXIFS(Metas!J:J,Metas!A:A,A219,Metas!B:B,B219,Metas!D:D,D219)))</f>
        <v>0</v>
      </c>
      <c r="P219" s="10">
        <v>1</v>
      </c>
      <c r="Q219" s="10">
        <v>1.2</v>
      </c>
      <c r="R219" s="10">
        <v>1.2</v>
      </c>
      <c r="S219" s="10">
        <v>1.3</v>
      </c>
      <c r="V219" s="10">
        <f>G219</f>
        <v>0</v>
      </c>
      <c r="W219" s="10">
        <v>0.02</v>
      </c>
    </row>
    <row r="220" spans="1:23">
      <c r="A220" s="7">
        <v>2026</v>
      </c>
      <c r="B220" s="7">
        <v>5</v>
      </c>
      <c r="C220" s="7" t="s">
        <v>4344</v>
      </c>
      <c r="D220" s="7" t="s">
        <v>511</v>
      </c>
      <c r="E220" s="7" t="s">
        <v>300</v>
      </c>
      <c r="F220" s="7" t="s">
        <v>4285</v>
      </c>
      <c r="G220" s="10"/>
      <c r="H220" s="11">
        <f>SUMIFS('Cargos e OTEs'!D:D,'Cargos e OTEs'!A:A,Parâmetros!A220,'Cargos e OTEs'!B:B,Parâmetros!B220,'Cargos e OTEs'!C:C,Parâmetros!F220)</f>
        <v>4356</v>
      </c>
      <c r="I220" s="11">
        <f>IF(_xlfn.MAXIFS(Metas!J:J,Metas!A:A,A220,Metas!B:B,B220,Metas!D:D,D220) = 0,H220,H220 * (1-_xlfn.MAXIFS(Metas!J:J,Metas!A:A,A220,Metas!B:B,B220,Metas!D:D,D220)))</f>
        <v>4356</v>
      </c>
      <c r="L220" s="11">
        <f>IF(_xlfn.MAXIFS(Metas!J:J,Metas!A:A,A220,Metas!B:B,B220,Metas!D:D,D220) = 0,K220,K220 * (1-_xlfn.MAXIFS(Metas!J:J,Metas!A:A,A220,Metas!B:B,B220,Metas!D:D,D220)))</f>
        <v>0</v>
      </c>
      <c r="O220" s="11">
        <f>IF(_xlfn.MAXIFS(Metas!J:J,Metas!A:A,A220,Metas!B:B,B220,Metas!D:D,D220) = 0,N220,N220 * (1-_xlfn.MAXIFS(Metas!J:J,Metas!A:A,A220,Metas!B:B,B220,Metas!D:D,D220)))</f>
        <v>0</v>
      </c>
      <c r="P220" s="10">
        <v>1</v>
      </c>
      <c r="Q220" s="10">
        <v>1.2</v>
      </c>
      <c r="R220" s="10">
        <v>1.2</v>
      </c>
      <c r="S220" s="10">
        <v>1.3</v>
      </c>
      <c r="V220" s="10">
        <f>G220</f>
        <v>0</v>
      </c>
      <c r="W220" s="10">
        <v>0.02</v>
      </c>
    </row>
    <row r="221" spans="1:23">
      <c r="A221" s="7">
        <v>2026</v>
      </c>
      <c r="B221" s="7">
        <v>5</v>
      </c>
      <c r="C221" s="7" t="s">
        <v>4345</v>
      </c>
      <c r="D221" s="7" t="s">
        <v>4268</v>
      </c>
      <c r="E221" s="7" t="s">
        <v>4346</v>
      </c>
      <c r="F221" s="7" t="s">
        <v>4290</v>
      </c>
      <c r="G221" s="10"/>
      <c r="H221" s="11">
        <f>SUMIFS('Cargos e OTEs'!D:D,'Cargos e OTEs'!A:A,Parâmetros!A221,'Cargos e OTEs'!B:B,Parâmetros!B221,'Cargos e OTEs'!C:C,Parâmetros!F221)</f>
        <v>1650</v>
      </c>
      <c r="I221" s="11">
        <f>IF(_xlfn.MAXIFS(Metas!J:J,Metas!A:A,A221,Metas!B:B,B221,Metas!D:D,D221) = 0,H221,H221 * (1-_xlfn.MAXIFS(Metas!J:J,Metas!A:A,A221,Metas!B:B,B221,Metas!D:D,D221)))</f>
        <v>1650</v>
      </c>
      <c r="L221" s="11">
        <f>IF(_xlfn.MAXIFS(Metas!J:J,Metas!A:A,A221,Metas!B:B,B221,Metas!D:D,D221) = 0,K221,K221 * (1-_xlfn.MAXIFS(Metas!J:J,Metas!A:A,A221,Metas!B:B,B221,Metas!D:D,D221)))</f>
        <v>0</v>
      </c>
      <c r="O221" s="11">
        <f>IF(_xlfn.MAXIFS(Metas!J:J,Metas!A:A,A221,Metas!B:B,B221,Metas!D:D,D221) = 0,N221,N221 * (1-_xlfn.MAXIFS(Metas!J:J,Metas!A:A,A221,Metas!B:B,B221,Metas!D:D,D221)))</f>
        <v>0</v>
      </c>
      <c r="P221" s="10">
        <v>1</v>
      </c>
      <c r="Q221" s="10">
        <v>1.2</v>
      </c>
      <c r="R221" s="10">
        <v>1.2</v>
      </c>
      <c r="S221" s="10">
        <v>1.3</v>
      </c>
    </row>
    <row r="222" spans="1:23">
      <c r="A222" s="7">
        <v>2026</v>
      </c>
      <c r="B222" s="7">
        <v>5</v>
      </c>
      <c r="C222" s="7" t="s">
        <v>4350</v>
      </c>
      <c r="D222" s="7" t="s">
        <v>4347</v>
      </c>
      <c r="E222" s="7" t="s">
        <v>4346</v>
      </c>
      <c r="F222" s="7" t="s">
        <v>4308</v>
      </c>
      <c r="G222" s="10"/>
      <c r="H222" s="11">
        <f>SUMIFS('Cargos e OTEs'!D:D,'Cargos e OTEs'!A:A,Parâmetros!A222,'Cargos e OTEs'!B:B,Parâmetros!B222,'Cargos e OTEs'!C:C,Parâmetros!F222)</f>
        <v>3360</v>
      </c>
      <c r="I222" s="11">
        <f>IF(_xlfn.MAXIFS(Metas!J:J,Metas!A:A,A222,Metas!B:B,B222,Metas!D:D,D222) = 0,H222,H222 * (1-_xlfn.MAXIFS(Metas!J:J,Metas!A:A,A222,Metas!B:B,B222,Metas!D:D,D222)))</f>
        <v>3360</v>
      </c>
      <c r="L222" s="11">
        <f>IF(_xlfn.MAXIFS(Metas!J:J,Metas!A:A,A222,Metas!B:B,B222,Metas!D:D,D222) = 0,K222,K222 * (1-_xlfn.MAXIFS(Metas!J:J,Metas!A:A,A222,Metas!B:B,B222,Metas!D:D,D222)))</f>
        <v>0</v>
      </c>
      <c r="O222" s="11">
        <f>IF(_xlfn.MAXIFS(Metas!J:J,Metas!A:A,A222,Metas!B:B,B222,Metas!D:D,D222) = 0,N222,N222 * (1-_xlfn.MAXIFS(Metas!J:J,Metas!A:A,A222,Metas!B:B,B222,Metas!D:D,D222)))</f>
        <v>0</v>
      </c>
      <c r="P222" s="10">
        <v>1</v>
      </c>
      <c r="Q222" s="10">
        <v>1.2</v>
      </c>
      <c r="R222" s="10">
        <v>1.2</v>
      </c>
      <c r="S222" s="10">
        <v>1.3</v>
      </c>
    </row>
    <row r="223" spans="1:23">
      <c r="A223" s="7">
        <v>2026</v>
      </c>
      <c r="B223" s="7">
        <v>5</v>
      </c>
      <c r="C223" s="7" t="s">
        <v>4351</v>
      </c>
      <c r="D223" s="7" t="s">
        <v>4269</v>
      </c>
      <c r="E223" s="7" t="s">
        <v>4346</v>
      </c>
      <c r="F223" s="7" t="s">
        <v>4291</v>
      </c>
      <c r="G223" s="10"/>
      <c r="H223" s="11">
        <f>SUMIFS('Cargos e OTEs'!D:D,'Cargos e OTEs'!A:A,Parâmetros!A223,'Cargos e OTEs'!B:B,Parâmetros!B223,'Cargos e OTEs'!C:C,Parâmetros!F223)</f>
        <v>1980</v>
      </c>
      <c r="I223" s="11">
        <f>IF(_xlfn.MAXIFS(Metas!J:J,Metas!A:A,A223,Metas!B:B,B223,Metas!D:D,D223) = 0,H223,H223 * (1-_xlfn.MAXIFS(Metas!J:J,Metas!A:A,A223,Metas!B:B,B223,Metas!D:D,D223)))</f>
        <v>1980</v>
      </c>
      <c r="L223" s="11">
        <f>IF(_xlfn.MAXIFS(Metas!J:J,Metas!A:A,A223,Metas!B:B,B223,Metas!D:D,D223) = 0,K223,K223 * (1-_xlfn.MAXIFS(Metas!J:J,Metas!A:A,A223,Metas!B:B,B223,Metas!D:D,D223)))</f>
        <v>0</v>
      </c>
      <c r="O223" s="11">
        <f>IF(_xlfn.MAXIFS(Metas!J:J,Metas!A:A,A223,Metas!B:B,B223,Metas!D:D,D223) = 0,N223,N223 * (1-_xlfn.MAXIFS(Metas!J:J,Metas!A:A,A223,Metas!B:B,B223,Metas!D:D,D223)))</f>
        <v>0</v>
      </c>
      <c r="P223" s="10">
        <v>1</v>
      </c>
      <c r="Q223" s="10">
        <v>1.2</v>
      </c>
      <c r="R223" s="10">
        <v>1.2</v>
      </c>
      <c r="S223" s="10">
        <v>1.3</v>
      </c>
    </row>
    <row r="224" spans="1:23">
      <c r="A224" s="7">
        <v>2026</v>
      </c>
      <c r="B224" s="7">
        <v>5</v>
      </c>
      <c r="C224" s="7" t="s">
        <v>4352</v>
      </c>
      <c r="D224" s="7" t="s">
        <v>4270</v>
      </c>
      <c r="E224" s="7" t="s">
        <v>4346</v>
      </c>
      <c r="F224" s="7" t="s">
        <v>4291</v>
      </c>
      <c r="G224" s="10"/>
      <c r="H224" s="11">
        <f>SUMIFS('Cargos e OTEs'!D:D,'Cargos e OTEs'!A:A,Parâmetros!A224,'Cargos e OTEs'!B:B,Parâmetros!B224,'Cargos e OTEs'!C:C,Parâmetros!F224)</f>
        <v>1980</v>
      </c>
      <c r="I224" s="11">
        <f>IF(_xlfn.MAXIFS(Metas!J:J,Metas!A:A,A224,Metas!B:B,B224,Metas!D:D,D224) = 0,H224,H224 * (1-_xlfn.MAXIFS(Metas!J:J,Metas!A:A,A224,Metas!B:B,B224,Metas!D:D,D224)))</f>
        <v>1980</v>
      </c>
      <c r="L224" s="11">
        <f>IF(_xlfn.MAXIFS(Metas!J:J,Metas!A:A,A224,Metas!B:B,B224,Metas!D:D,D224) = 0,K224,K224 * (1-_xlfn.MAXIFS(Metas!J:J,Metas!A:A,A224,Metas!B:B,B224,Metas!D:D,D224)))</f>
        <v>0</v>
      </c>
      <c r="O224" s="11">
        <f>IF(_xlfn.MAXIFS(Metas!J:J,Metas!A:A,A224,Metas!B:B,B224,Metas!D:D,D224) = 0,N224,N224 * (1-_xlfn.MAXIFS(Metas!J:J,Metas!A:A,A224,Metas!B:B,B224,Metas!D:D,D224)))</f>
        <v>0</v>
      </c>
      <c r="P224" s="10">
        <v>1</v>
      </c>
      <c r="Q224" s="10">
        <v>1.2</v>
      </c>
      <c r="R224" s="10">
        <v>1.2</v>
      </c>
      <c r="S224" s="10">
        <v>1.3</v>
      </c>
    </row>
    <row r="225" spans="1:19">
      <c r="A225" s="7">
        <v>2026</v>
      </c>
      <c r="B225" s="7">
        <v>5</v>
      </c>
      <c r="C225" s="7" t="s">
        <v>4385</v>
      </c>
      <c r="D225" s="7" t="s">
        <v>4277</v>
      </c>
      <c r="E225" s="7" t="s">
        <v>4346</v>
      </c>
      <c r="F225" s="7" t="s">
        <v>4291</v>
      </c>
      <c r="G225" s="10"/>
      <c r="H225" s="11">
        <f>SUMIFS('Cargos e OTEs'!D:D,'Cargos e OTEs'!A:A,Parâmetros!A225,'Cargos e OTEs'!B:B,Parâmetros!B225,'Cargos e OTEs'!C:C,Parâmetros!F225)</f>
        <v>1980</v>
      </c>
      <c r="I225" s="11">
        <f>IF(_xlfn.MAXIFS(Metas!J:J,Metas!A:A,A225,Metas!B:B,B225,Metas!D:D,D225) = 0,H225,H225 * (1-_xlfn.MAXIFS(Metas!J:J,Metas!A:A,A225,Metas!B:B,B225,Metas!D:D,D225)))</f>
        <v>1980</v>
      </c>
      <c r="L225" s="11">
        <f>IF(_xlfn.MAXIFS(Metas!J:J,Metas!A:A,A225,Metas!B:B,B225,Metas!D:D,D225) = 0,K225,K225 * (1-_xlfn.MAXIFS(Metas!J:J,Metas!A:A,A225,Metas!B:B,B225,Metas!D:D,D225)))</f>
        <v>0</v>
      </c>
      <c r="O225" s="11">
        <f>IF(_xlfn.MAXIFS(Metas!J:J,Metas!A:A,A225,Metas!B:B,B225,Metas!D:D,D225) = 0,N225,N225 * (1-_xlfn.MAXIFS(Metas!J:J,Metas!A:A,A225,Metas!B:B,B225,Metas!D:D,D225)))</f>
        <v>0</v>
      </c>
      <c r="P225" s="10">
        <v>1</v>
      </c>
      <c r="Q225" s="10">
        <v>1.2</v>
      </c>
      <c r="R225" s="10">
        <v>1.2</v>
      </c>
      <c r="S225" s="10">
        <v>1.3</v>
      </c>
    </row>
    <row r="226" spans="1:19">
      <c r="A226" s="7">
        <v>2026</v>
      </c>
      <c r="B226" s="7">
        <v>5</v>
      </c>
      <c r="C226" s="7" t="s">
        <v>4353</v>
      </c>
      <c r="D226" s="7" t="s">
        <v>4271</v>
      </c>
      <c r="E226" s="7" t="s">
        <v>4346</v>
      </c>
      <c r="F226" s="7" t="s">
        <v>4291</v>
      </c>
      <c r="G226" s="10"/>
      <c r="H226" s="11">
        <f>SUMIFS('Cargos e OTEs'!D:D,'Cargos e OTEs'!A:A,Parâmetros!A226,'Cargos e OTEs'!B:B,Parâmetros!B226,'Cargos e OTEs'!C:C,Parâmetros!F226)</f>
        <v>1980</v>
      </c>
      <c r="I226" s="11">
        <f>IF(_xlfn.MAXIFS(Metas!J:J,Metas!A:A,A226,Metas!B:B,B226,Metas!D:D,D226) = 0,H226,H226 * (1-_xlfn.MAXIFS(Metas!J:J,Metas!A:A,A226,Metas!B:B,B226,Metas!D:D,D226)))</f>
        <v>1980</v>
      </c>
      <c r="L226" s="11">
        <f>IF(_xlfn.MAXIFS(Metas!J:J,Metas!A:A,A226,Metas!B:B,B226,Metas!D:D,D226) = 0,K226,K226 * (1-_xlfn.MAXIFS(Metas!J:J,Metas!A:A,A226,Metas!B:B,B226,Metas!D:D,D226)))</f>
        <v>0</v>
      </c>
      <c r="O226" s="11">
        <f>IF(_xlfn.MAXIFS(Metas!J:J,Metas!A:A,A226,Metas!B:B,B226,Metas!D:D,D226) = 0,N226,N226 * (1-_xlfn.MAXIFS(Metas!J:J,Metas!A:A,A226,Metas!B:B,B226,Metas!D:D,D226)))</f>
        <v>0</v>
      </c>
      <c r="P226" s="10">
        <v>1</v>
      </c>
      <c r="Q226" s="10">
        <v>1.2</v>
      </c>
      <c r="R226" s="10">
        <v>1.2</v>
      </c>
      <c r="S226" s="10">
        <v>1.3</v>
      </c>
    </row>
    <row r="227" spans="1:19">
      <c r="A227" s="7">
        <v>2026</v>
      </c>
      <c r="B227" s="7">
        <v>5</v>
      </c>
      <c r="C227" s="7" t="s">
        <v>4354</v>
      </c>
      <c r="D227" s="7" t="s">
        <v>4272</v>
      </c>
      <c r="E227" s="7" t="s">
        <v>4346</v>
      </c>
      <c r="F227" s="7" t="s">
        <v>4290</v>
      </c>
      <c r="G227" s="10"/>
      <c r="H227" s="11">
        <f>SUMIFS('Cargos e OTEs'!D:D,'Cargos e OTEs'!A:A,Parâmetros!A227,'Cargos e OTEs'!B:B,Parâmetros!B227,'Cargos e OTEs'!C:C,Parâmetros!F227)</f>
        <v>1650</v>
      </c>
      <c r="I227" s="11">
        <f>IF(_xlfn.MAXIFS(Metas!J:J,Metas!A:A,A227,Metas!B:B,B227,Metas!D:D,D227) = 0,H227,H227 * (1-_xlfn.MAXIFS(Metas!J:J,Metas!A:A,A227,Metas!B:B,B227,Metas!D:D,D227)))</f>
        <v>1650</v>
      </c>
      <c r="L227" s="11">
        <f>IF(_xlfn.MAXIFS(Metas!J:J,Metas!A:A,A227,Metas!B:B,B227,Metas!D:D,D227) = 0,K227,K227 * (1-_xlfn.MAXIFS(Metas!J:J,Metas!A:A,A227,Metas!B:B,B227,Metas!D:D,D227)))</f>
        <v>0</v>
      </c>
      <c r="O227" s="11">
        <f>IF(_xlfn.MAXIFS(Metas!J:J,Metas!A:A,A227,Metas!B:B,B227,Metas!D:D,D227) = 0,N227,N227 * (1-_xlfn.MAXIFS(Metas!J:J,Metas!A:A,A227,Metas!B:B,B227,Metas!D:D,D227)))</f>
        <v>0</v>
      </c>
      <c r="P227" s="10">
        <v>1</v>
      </c>
      <c r="Q227" s="10">
        <v>1.2</v>
      </c>
      <c r="R227" s="10">
        <v>1.2</v>
      </c>
      <c r="S227" s="10">
        <v>1.3</v>
      </c>
    </row>
    <row r="228" spans="1:19">
      <c r="A228" s="7">
        <v>2026</v>
      </c>
      <c r="B228" s="7">
        <v>5</v>
      </c>
      <c r="C228" s="7" t="s">
        <v>4355</v>
      </c>
      <c r="D228" s="7" t="s">
        <v>4273</v>
      </c>
      <c r="E228" s="7" t="s">
        <v>4346</v>
      </c>
      <c r="F228" s="7" t="s">
        <v>4290</v>
      </c>
      <c r="G228" s="10"/>
      <c r="H228" s="11">
        <f>SUMIFS('Cargos e OTEs'!D:D,'Cargos e OTEs'!A:A,Parâmetros!A228,'Cargos e OTEs'!B:B,Parâmetros!B228,'Cargos e OTEs'!C:C,Parâmetros!F228)</f>
        <v>1650</v>
      </c>
      <c r="I228" s="11">
        <f>IF(_xlfn.MAXIFS(Metas!J:J,Metas!A:A,A228,Metas!B:B,B228,Metas!D:D,D228) = 0,H228,H228 * (1-_xlfn.MAXIFS(Metas!J:J,Metas!A:A,A228,Metas!B:B,B228,Metas!D:D,D228)))</f>
        <v>1650</v>
      </c>
      <c r="L228" s="11">
        <f>IF(_xlfn.MAXIFS(Metas!J:J,Metas!A:A,A228,Metas!B:B,B228,Metas!D:D,D228) = 0,K228,K228 * (1-_xlfn.MAXIFS(Metas!J:J,Metas!A:A,A228,Metas!B:B,B228,Metas!D:D,D228)))</f>
        <v>0</v>
      </c>
      <c r="O228" s="11">
        <f>IF(_xlfn.MAXIFS(Metas!J:J,Metas!A:A,A228,Metas!B:B,B228,Metas!D:D,D228) = 0,N228,N228 * (1-_xlfn.MAXIFS(Metas!J:J,Metas!A:A,A228,Metas!B:B,B228,Metas!D:D,D228)))</f>
        <v>0</v>
      </c>
      <c r="P228" s="10">
        <v>1</v>
      </c>
      <c r="Q228" s="10">
        <v>1.2</v>
      </c>
      <c r="R228" s="10">
        <v>1.2</v>
      </c>
      <c r="S228" s="10">
        <v>1.3</v>
      </c>
    </row>
    <row r="229" spans="1:19">
      <c r="A229" s="7">
        <v>2026</v>
      </c>
      <c r="B229" s="7">
        <v>5</v>
      </c>
      <c r="C229" s="7" t="s">
        <v>4386</v>
      </c>
      <c r="D229" s="7" t="s">
        <v>4278</v>
      </c>
      <c r="E229" s="7" t="s">
        <v>4346</v>
      </c>
      <c r="F229" s="7" t="s">
        <v>4290</v>
      </c>
      <c r="G229" s="10"/>
      <c r="H229" s="11">
        <f>SUMIFS('Cargos e OTEs'!D:D,'Cargos e OTEs'!A:A,Parâmetros!A229,'Cargos e OTEs'!B:B,Parâmetros!B229,'Cargos e OTEs'!C:C,Parâmetros!F229)</f>
        <v>1650</v>
      </c>
      <c r="I229" s="11">
        <f>IF(_xlfn.MAXIFS(Metas!J:J,Metas!A:A,A229,Metas!B:B,B229,Metas!D:D,D229) = 0,H229,H229 * (1-_xlfn.MAXIFS(Metas!J:J,Metas!A:A,A229,Metas!B:B,B229,Metas!D:D,D229)))</f>
        <v>1650</v>
      </c>
      <c r="L229" s="11">
        <f>IF(_xlfn.MAXIFS(Metas!J:J,Metas!A:A,A229,Metas!B:B,B229,Metas!D:D,D229) = 0,K229,K229 * (1-_xlfn.MAXIFS(Metas!J:J,Metas!A:A,A229,Metas!B:B,B229,Metas!D:D,D229)))</f>
        <v>0</v>
      </c>
      <c r="O229" s="11">
        <f>IF(_xlfn.MAXIFS(Metas!J:J,Metas!A:A,A229,Metas!B:B,B229,Metas!D:D,D229) = 0,N229,N229 * (1-_xlfn.MAXIFS(Metas!J:J,Metas!A:A,A229,Metas!B:B,B229,Metas!D:D,D229)))</f>
        <v>0</v>
      </c>
      <c r="P229" s="10">
        <v>1</v>
      </c>
      <c r="Q229" s="10">
        <v>1.2</v>
      </c>
      <c r="R229" s="10">
        <v>1.2</v>
      </c>
      <c r="S229" s="10">
        <v>1.3</v>
      </c>
    </row>
    <row r="230" spans="1:19">
      <c r="A230" s="7">
        <v>2026</v>
      </c>
      <c r="B230" s="7">
        <v>5</v>
      </c>
      <c r="C230" s="7" t="s">
        <v>4349</v>
      </c>
      <c r="D230" s="7" t="s">
        <v>3446</v>
      </c>
      <c r="E230" s="7" t="s">
        <v>3558</v>
      </c>
      <c r="F230" s="7" t="s">
        <v>4409</v>
      </c>
      <c r="G230" s="10"/>
      <c r="H230" s="11">
        <f>SUMIFS('Cargos e OTEs'!D:D,'Cargos e OTEs'!A:A,Parâmetros!A230,'Cargos e OTEs'!B:B,Parâmetros!B230,'Cargos e OTEs'!C:C,Parâmetros!F230)</f>
        <v>5880</v>
      </c>
      <c r="I230" s="11">
        <f>IF(_xlfn.MAXIFS(Metas!J:J,Metas!A:A,A230,Metas!B:B,B230,Metas!D:D,D230) = 0,H230,H230 * (1-_xlfn.MAXIFS(Metas!J:J,Metas!A:A,A230,Metas!B:B,B230,Metas!D:D,D230)))</f>
        <v>5880</v>
      </c>
      <c r="L230" s="11">
        <f>IF(_xlfn.MAXIFS(Metas!J:J,Metas!A:A,A230,Metas!B:B,B230,Metas!D:D,D230) = 0,K230,K230 * (1-_xlfn.MAXIFS(Metas!J:J,Metas!A:A,A230,Metas!B:B,B230,Metas!D:D,D230)))</f>
        <v>0</v>
      </c>
      <c r="O230" s="11">
        <f>IF(_xlfn.MAXIFS(Metas!J:J,Metas!A:A,A230,Metas!B:B,B230,Metas!D:D,D230) = 0,N230,N230 * (1-_xlfn.MAXIFS(Metas!J:J,Metas!A:A,A230,Metas!B:B,B230,Metas!D:D,D230)))</f>
        <v>0</v>
      </c>
      <c r="P230" s="10">
        <v>0.75</v>
      </c>
      <c r="Q230" s="10">
        <v>1.1499999999999999</v>
      </c>
      <c r="R230" s="10">
        <v>0.9</v>
      </c>
      <c r="S230" s="10">
        <v>1.25</v>
      </c>
    </row>
    <row r="231" spans="1:19">
      <c r="A231" s="7">
        <v>2026</v>
      </c>
      <c r="B231" s="7">
        <v>5</v>
      </c>
      <c r="C231" s="7" t="s">
        <v>4357</v>
      </c>
      <c r="D231" s="7" t="s">
        <v>87</v>
      </c>
      <c r="E231" s="7" t="s">
        <v>3558</v>
      </c>
      <c r="F231" s="7" t="s">
        <v>4410</v>
      </c>
      <c r="G231" s="10">
        <v>0.5</v>
      </c>
      <c r="H231" s="11">
        <f>SUMIFS('Cargos e OTEs'!D:D,'Cargos e OTEs'!A:A,Parâmetros!A231,'Cargos e OTEs'!B:B,Parâmetros!B231,'Cargos e OTEs'!C:C,Parâmetros!F231)</f>
        <v>8400</v>
      </c>
      <c r="I231" s="11">
        <f>IF(_xlfn.MAXIFS(Metas!J:J,Metas!A:A,A231,Metas!B:B,B231,Metas!D:D,D231) = 0,H231,H231 * (1-_xlfn.MAXIFS(Metas!J:J,Metas!A:A,A231,Metas!B:B,B231,Metas!D:D,D231)))</f>
        <v>8400</v>
      </c>
      <c r="L231" s="11">
        <f>IF(_xlfn.MAXIFS(Metas!J:J,Metas!A:A,A231,Metas!B:B,B231,Metas!D:D,D231) = 0,K231,K231 * (1-_xlfn.MAXIFS(Metas!J:J,Metas!A:A,A231,Metas!B:B,B231,Metas!D:D,D231)))</f>
        <v>0</v>
      </c>
      <c r="O231" s="11">
        <f>IF(_xlfn.MAXIFS(Metas!J:J,Metas!A:A,A231,Metas!B:B,B231,Metas!D:D,D231) = 0,N231,N231 * (1-_xlfn.MAXIFS(Metas!J:J,Metas!A:A,A231,Metas!B:B,B231,Metas!D:D,D231)))</f>
        <v>0</v>
      </c>
      <c r="P231" s="10">
        <v>0.75</v>
      </c>
      <c r="Q231" s="10">
        <v>1.1499999999999999</v>
      </c>
      <c r="R231" s="10">
        <v>0.9</v>
      </c>
      <c r="S231" s="10">
        <v>1.25</v>
      </c>
    </row>
    <row r="232" spans="1:19">
      <c r="A232" s="7">
        <v>2026</v>
      </c>
      <c r="B232" s="7">
        <v>5</v>
      </c>
      <c r="C232" s="7" t="s">
        <v>4360</v>
      </c>
      <c r="D232" s="7" t="s">
        <v>1165</v>
      </c>
      <c r="E232" s="7" t="s">
        <v>3558</v>
      </c>
      <c r="F232" s="7" t="s">
        <v>4411</v>
      </c>
      <c r="G232" s="10">
        <v>0.5</v>
      </c>
      <c r="H232" s="11">
        <f>SUMIFS('Cargos e OTEs'!D:D,'Cargos e OTEs'!A:A,Parâmetros!A232,'Cargos e OTEs'!B:B,Parâmetros!B232,'Cargos e OTEs'!C:C,Parâmetros!F232)</f>
        <v>7140</v>
      </c>
      <c r="I232" s="11">
        <f>IF(_xlfn.MAXIFS(Metas!J:J,Metas!A:A,A232,Metas!B:B,B232,Metas!D:D,D232) = 0,H232,H232 * (1-_xlfn.MAXIFS(Metas!J:J,Metas!A:A,A232,Metas!B:B,B232,Metas!D:D,D232)))</f>
        <v>7140</v>
      </c>
      <c r="L232" s="11">
        <f>IF(_xlfn.MAXIFS(Metas!J:J,Metas!A:A,A232,Metas!B:B,B232,Metas!D:D,D232) = 0,K232,K232 * (1-_xlfn.MAXIFS(Metas!J:J,Metas!A:A,A232,Metas!B:B,B232,Metas!D:D,D232)))</f>
        <v>0</v>
      </c>
      <c r="O232" s="11">
        <f>IF(_xlfn.MAXIFS(Metas!J:J,Metas!A:A,A232,Metas!B:B,B232,Metas!D:D,D232) = 0,N232,N232 * (1-_xlfn.MAXIFS(Metas!J:J,Metas!A:A,A232,Metas!B:B,B232,Metas!D:D,D232)))</f>
        <v>0</v>
      </c>
      <c r="P232" s="10">
        <v>0.75</v>
      </c>
      <c r="Q232" s="10">
        <v>1.1499999999999999</v>
      </c>
      <c r="R232" s="10">
        <v>0.9</v>
      </c>
      <c r="S232" s="10">
        <v>1.25</v>
      </c>
    </row>
    <row r="233" spans="1:19">
      <c r="A233" s="7">
        <v>2026</v>
      </c>
      <c r="B233" s="7">
        <v>5</v>
      </c>
      <c r="C233" s="7" t="s">
        <v>4361</v>
      </c>
      <c r="D233" s="7" t="s">
        <v>36</v>
      </c>
      <c r="E233" s="7" t="s">
        <v>3558</v>
      </c>
      <c r="F233" s="7" t="s">
        <v>4411</v>
      </c>
      <c r="G233" s="10">
        <v>0.5</v>
      </c>
      <c r="H233" s="11">
        <f>SUMIFS('Cargos e OTEs'!D:D,'Cargos e OTEs'!A:A,Parâmetros!A233,'Cargos e OTEs'!B:B,Parâmetros!B233,'Cargos e OTEs'!C:C,Parâmetros!F233)</f>
        <v>7140</v>
      </c>
      <c r="I233" s="11">
        <f>IF(_xlfn.MAXIFS(Metas!J:J,Metas!A:A,A233,Metas!B:B,B233,Metas!D:D,D233) = 0,H233,H233 * (1-_xlfn.MAXIFS(Metas!J:J,Metas!A:A,A233,Metas!B:B,B233,Metas!D:D,D233)))</f>
        <v>7140</v>
      </c>
      <c r="L233" s="11">
        <f>IF(_xlfn.MAXIFS(Metas!J:J,Metas!A:A,A233,Metas!B:B,B233,Metas!D:D,D233) = 0,K233,K233 * (1-_xlfn.MAXIFS(Metas!J:J,Metas!A:A,A233,Metas!B:B,B233,Metas!D:D,D233)))</f>
        <v>0</v>
      </c>
      <c r="O233" s="11">
        <f>IF(_xlfn.MAXIFS(Metas!J:J,Metas!A:A,A233,Metas!B:B,B233,Metas!D:D,D233) = 0,N233,N233 * (1-_xlfn.MAXIFS(Metas!J:J,Metas!A:A,A233,Metas!B:B,B233,Metas!D:D,D233)))</f>
        <v>0</v>
      </c>
      <c r="P233" s="10">
        <v>0.75</v>
      </c>
      <c r="Q233" s="10">
        <v>1.1499999999999999</v>
      </c>
      <c r="R233" s="10">
        <v>0.9</v>
      </c>
      <c r="S233" s="10">
        <v>1.25</v>
      </c>
    </row>
    <row r="234" spans="1:19">
      <c r="A234" s="7">
        <v>2026</v>
      </c>
      <c r="B234" s="7">
        <v>5</v>
      </c>
      <c r="C234" s="7" t="s">
        <v>4362</v>
      </c>
      <c r="D234" s="7" t="s">
        <v>98</v>
      </c>
      <c r="E234" s="7" t="s">
        <v>3558</v>
      </c>
      <c r="F234" s="7" t="s">
        <v>4409</v>
      </c>
      <c r="G234" s="10">
        <v>0.5</v>
      </c>
      <c r="H234" s="11">
        <f>SUMIFS('Cargos e OTEs'!D:D,'Cargos e OTEs'!A:A,Parâmetros!A234,'Cargos e OTEs'!B:B,Parâmetros!B234,'Cargos e OTEs'!C:C,Parâmetros!F234)</f>
        <v>5880</v>
      </c>
      <c r="I234" s="11">
        <f>IF(_xlfn.MAXIFS(Metas!J:J,Metas!A:A,A234,Metas!B:B,B234,Metas!D:D,D234) = 0,H234,H234 * (1-_xlfn.MAXIFS(Metas!J:J,Metas!A:A,A234,Metas!B:B,B234,Metas!D:D,D234)))</f>
        <v>5880</v>
      </c>
      <c r="L234" s="11">
        <f>IF(_xlfn.MAXIFS(Metas!J:J,Metas!A:A,A234,Metas!B:B,B234,Metas!D:D,D234) = 0,K234,K234 * (1-_xlfn.MAXIFS(Metas!J:J,Metas!A:A,A234,Metas!B:B,B234,Metas!D:D,D234)))</f>
        <v>0</v>
      </c>
      <c r="O234" s="11">
        <f>IF(_xlfn.MAXIFS(Metas!J:J,Metas!A:A,A234,Metas!B:B,B234,Metas!D:D,D234) = 0,N234,N234 * (1-_xlfn.MAXIFS(Metas!J:J,Metas!A:A,A234,Metas!B:B,B234,Metas!D:D,D234)))</f>
        <v>0</v>
      </c>
      <c r="P234" s="10">
        <v>0.75</v>
      </c>
      <c r="Q234" s="10">
        <v>1.1499999999999999</v>
      </c>
      <c r="R234" s="10">
        <v>0.9</v>
      </c>
      <c r="S234" s="10">
        <v>1.25</v>
      </c>
    </row>
    <row r="235" spans="1:19">
      <c r="A235" s="7">
        <v>2026</v>
      </c>
      <c r="B235" s="7">
        <v>5</v>
      </c>
      <c r="C235" s="7" t="s">
        <v>4363</v>
      </c>
      <c r="D235" s="7" t="s">
        <v>72</v>
      </c>
      <c r="E235" s="7" t="s">
        <v>3558</v>
      </c>
      <c r="F235" s="7" t="s">
        <v>4314</v>
      </c>
      <c r="G235" s="10">
        <v>0.5</v>
      </c>
      <c r="H235" s="11">
        <f>SUMIFS('Cargos e OTEs'!D:D,'Cargos e OTEs'!A:A,Parâmetros!A235,'Cargos e OTEs'!B:B,Parâmetros!B235,'Cargos e OTEs'!C:C,Parâmetros!F235)</f>
        <v>10500</v>
      </c>
      <c r="I235" s="11">
        <f>IF(_xlfn.MAXIFS(Metas!J:J,Metas!A:A,A235,Metas!B:B,B235,Metas!D:D,D235) = 0,H235,H235 * (1-_xlfn.MAXIFS(Metas!J:J,Metas!A:A,A235,Metas!B:B,B235,Metas!D:D,D235)))</f>
        <v>10500</v>
      </c>
      <c r="L235" s="11">
        <f>IF(_xlfn.MAXIFS(Metas!J:J,Metas!A:A,A235,Metas!B:B,B235,Metas!D:D,D235) = 0,K235,K235 * (1-_xlfn.MAXIFS(Metas!J:J,Metas!A:A,A235,Metas!B:B,B235,Metas!D:D,D235)))</f>
        <v>0</v>
      </c>
      <c r="O235" s="11">
        <f>IF(_xlfn.MAXIFS(Metas!J:J,Metas!A:A,A235,Metas!B:B,B235,Metas!D:D,D235) = 0,N235,N235 * (1-_xlfn.MAXIFS(Metas!J:J,Metas!A:A,A235,Metas!B:B,B235,Metas!D:D,D235)))</f>
        <v>0</v>
      </c>
      <c r="P235" s="10">
        <v>0.75</v>
      </c>
      <c r="Q235" s="10">
        <v>1.1499999999999999</v>
      </c>
      <c r="R235" s="10">
        <v>0.9</v>
      </c>
      <c r="S235" s="10">
        <v>1.25</v>
      </c>
    </row>
    <row r="236" spans="1:19">
      <c r="A236" s="7">
        <v>2026</v>
      </c>
      <c r="B236" s="7">
        <v>5</v>
      </c>
      <c r="C236" s="7" t="s">
        <v>4365</v>
      </c>
      <c r="D236" s="7" t="s">
        <v>69</v>
      </c>
      <c r="E236" s="7" t="s">
        <v>3558</v>
      </c>
      <c r="F236" s="7" t="s">
        <v>4314</v>
      </c>
      <c r="G236" s="10">
        <v>0.5</v>
      </c>
      <c r="H236" s="11">
        <f>SUMIFS('Cargos e OTEs'!D:D,'Cargos e OTEs'!A:A,Parâmetros!A236,'Cargos e OTEs'!B:B,Parâmetros!B236,'Cargos e OTEs'!C:C,Parâmetros!F236)</f>
        <v>10500</v>
      </c>
      <c r="I236" s="11">
        <f>IF(_xlfn.MAXIFS(Metas!J:J,Metas!A:A,A236,Metas!B:B,B236,Metas!D:D,D236) = 0,H236,H236 * (1-_xlfn.MAXIFS(Metas!J:J,Metas!A:A,A236,Metas!B:B,B236,Metas!D:D,D236)))</f>
        <v>10500</v>
      </c>
      <c r="L236" s="11">
        <f>IF(_xlfn.MAXIFS(Metas!J:J,Metas!A:A,A236,Metas!B:B,B236,Metas!D:D,D236) = 0,K236,K236 * (1-_xlfn.MAXIFS(Metas!J:J,Metas!A:A,A236,Metas!B:B,B236,Metas!D:D,D236)))</f>
        <v>0</v>
      </c>
      <c r="O236" s="11">
        <f>IF(_xlfn.MAXIFS(Metas!J:J,Metas!A:A,A236,Metas!B:B,B236,Metas!D:D,D236) = 0,N236,N236 * (1-_xlfn.MAXIFS(Metas!J:J,Metas!A:A,A236,Metas!B:B,B236,Metas!D:D,D236)))</f>
        <v>0</v>
      </c>
      <c r="P236" s="10">
        <v>0.75</v>
      </c>
      <c r="Q236" s="10">
        <v>1.1499999999999999</v>
      </c>
      <c r="R236" s="10">
        <v>0.9</v>
      </c>
      <c r="S236" s="10">
        <v>1.25</v>
      </c>
    </row>
    <row r="237" spans="1:19">
      <c r="A237" s="7">
        <v>2026</v>
      </c>
      <c r="B237" s="7">
        <v>5</v>
      </c>
      <c r="C237" s="7" t="s">
        <v>4366</v>
      </c>
      <c r="D237" s="7" t="s">
        <v>2068</v>
      </c>
      <c r="E237" s="7" t="s">
        <v>3558</v>
      </c>
      <c r="F237" s="7" t="s">
        <v>4315</v>
      </c>
      <c r="G237" s="10">
        <v>0.5</v>
      </c>
      <c r="H237" s="11">
        <f>SUMIFS('Cargos e OTEs'!D:D,'Cargos e OTEs'!A:A,Parâmetros!A237,'Cargos e OTEs'!B:B,Parâmetros!B237,'Cargos e OTEs'!C:C,Parâmetros!F237)</f>
        <v>9660</v>
      </c>
      <c r="I237" s="11">
        <f>IF(_xlfn.MAXIFS(Metas!J:J,Metas!A:A,A237,Metas!B:B,B237,Metas!D:D,D237) = 0,H237,H237 * (1-_xlfn.MAXIFS(Metas!J:J,Metas!A:A,A237,Metas!B:B,B237,Metas!D:D,D237)))</f>
        <v>9660</v>
      </c>
      <c r="L237" s="11">
        <f>IF(_xlfn.MAXIFS(Metas!J:J,Metas!A:A,A237,Metas!B:B,B237,Metas!D:D,D237) = 0,K237,K237 * (1-_xlfn.MAXIFS(Metas!J:J,Metas!A:A,A237,Metas!B:B,B237,Metas!D:D,D237)))</f>
        <v>0</v>
      </c>
      <c r="O237" s="11">
        <f>IF(_xlfn.MAXIFS(Metas!J:J,Metas!A:A,A237,Metas!B:B,B237,Metas!D:D,D237) = 0,N237,N237 * (1-_xlfn.MAXIFS(Metas!J:J,Metas!A:A,A237,Metas!B:B,B237,Metas!D:D,D237)))</f>
        <v>0</v>
      </c>
      <c r="P237" s="10">
        <v>0.75</v>
      </c>
      <c r="Q237" s="10">
        <v>1.1499999999999999</v>
      </c>
      <c r="R237" s="10">
        <v>0.9</v>
      </c>
      <c r="S237" s="10">
        <v>1.25</v>
      </c>
    </row>
    <row r="238" spans="1:19">
      <c r="A238" s="7">
        <v>2026</v>
      </c>
      <c r="B238" s="7">
        <v>5</v>
      </c>
      <c r="C238" s="7" t="s">
        <v>4414</v>
      </c>
      <c r="D238" s="7" t="s">
        <v>4415</v>
      </c>
      <c r="E238" s="7" t="s">
        <v>3558</v>
      </c>
      <c r="F238" s="7" t="s">
        <v>4409</v>
      </c>
      <c r="G238" s="10">
        <v>0.5</v>
      </c>
      <c r="H238" s="11">
        <f>SUMIFS('Cargos e OTEs'!D:D,'Cargos e OTEs'!A:A,Parâmetros!A238,'Cargos e OTEs'!B:B,Parâmetros!B238,'Cargos e OTEs'!C:C,Parâmetros!F238)</f>
        <v>5880</v>
      </c>
      <c r="I238" s="11">
        <f>IF(_xlfn.MAXIFS(Metas!J:J,Metas!A:A,A238,Metas!B:B,B238,Metas!D:D,D238) = 0,H238,H238 * (1-_xlfn.MAXIFS(Metas!J:J,Metas!A:A,A238,Metas!B:B,B238,Metas!D:D,D238)))</f>
        <v>5880</v>
      </c>
      <c r="L238" s="11">
        <f>IF(_xlfn.MAXIFS(Metas!J:J,Metas!A:A,A238,Metas!B:B,B238,Metas!D:D,D238) = 0,K238,K238 * (1-_xlfn.MAXIFS(Metas!J:J,Metas!A:A,A238,Metas!B:B,B238,Metas!D:D,D238)))</f>
        <v>0</v>
      </c>
      <c r="O238" s="11">
        <f>IF(_xlfn.MAXIFS(Metas!J:J,Metas!A:A,A238,Metas!B:B,B238,Metas!D:D,D238) = 0,N238,N238 * (1-_xlfn.MAXIFS(Metas!J:J,Metas!A:A,A238,Metas!B:B,B238,Metas!D:D,D238)))</f>
        <v>0</v>
      </c>
      <c r="P238" s="10">
        <v>0.75</v>
      </c>
      <c r="Q238" s="10">
        <v>1.1499999999999999</v>
      </c>
      <c r="R238" s="10">
        <v>0.9</v>
      </c>
      <c r="S238" s="10">
        <v>1.25</v>
      </c>
    </row>
    <row r="239" spans="1:19">
      <c r="A239" s="7">
        <v>2026</v>
      </c>
      <c r="B239" s="7">
        <v>5</v>
      </c>
      <c r="C239" s="7" t="s">
        <v>4367</v>
      </c>
      <c r="D239" s="7" t="s">
        <v>4358</v>
      </c>
      <c r="E239" s="7" t="s">
        <v>3558</v>
      </c>
      <c r="F239" s="7" t="s">
        <v>4307</v>
      </c>
      <c r="G239" s="10">
        <v>0.39</v>
      </c>
      <c r="H239" s="11">
        <f>SUMIFS('Cargos e OTEs'!D:D,'Cargos e OTEs'!A:A,Parâmetros!A239,'Cargos e OTEs'!B:B,Parâmetros!B239,'Cargos e OTEs'!C:C,Parâmetros!F239)</f>
        <v>12075</v>
      </c>
      <c r="I239" s="11">
        <f>IF(_xlfn.MAXIFS(Metas!J:J,Metas!A:A,A239,Metas!B:B,B239,Metas!D:D,D239) = 0,H239,H239 * (1-_xlfn.MAXIFS(Metas!J:J,Metas!A:A,A239,Metas!B:B,B239,Metas!D:D,D239)))</f>
        <v>12075</v>
      </c>
      <c r="L239" s="11">
        <f>IF(_xlfn.MAXIFS(Metas!J:J,Metas!A:A,A239,Metas!B:B,B239,Metas!D:D,D239) = 0,K239,K239 * (1-_xlfn.MAXIFS(Metas!J:J,Metas!A:A,A239,Metas!B:B,B239,Metas!D:D,D239)))</f>
        <v>0</v>
      </c>
      <c r="O239" s="11">
        <f>IF(_xlfn.MAXIFS(Metas!J:J,Metas!A:A,A239,Metas!B:B,B239,Metas!D:D,D239) = 0,N239,N239 * (1-_xlfn.MAXIFS(Metas!J:J,Metas!A:A,A239,Metas!B:B,B239,Metas!D:D,D239)))</f>
        <v>0</v>
      </c>
      <c r="P239" s="10">
        <v>0.75</v>
      </c>
      <c r="Q239" s="10">
        <v>1.1499999999999999</v>
      </c>
      <c r="R239" s="10">
        <v>0.9</v>
      </c>
      <c r="S239" s="10">
        <v>1.25</v>
      </c>
    </row>
    <row r="240" spans="1:19">
      <c r="A240" s="7">
        <v>2026</v>
      </c>
      <c r="B240" s="7">
        <v>5</v>
      </c>
      <c r="C240" s="7" t="s">
        <v>4369</v>
      </c>
      <c r="D240" s="7" t="s">
        <v>1243</v>
      </c>
      <c r="E240" s="7" t="s">
        <v>3558</v>
      </c>
      <c r="F240" s="7" t="s">
        <v>4411</v>
      </c>
      <c r="G240" s="10">
        <v>0.5</v>
      </c>
      <c r="H240" s="11">
        <f>SUMIFS('Cargos e OTEs'!D:D,'Cargos e OTEs'!A:A,Parâmetros!A240,'Cargos e OTEs'!B:B,Parâmetros!B240,'Cargos e OTEs'!C:C,Parâmetros!F240)</f>
        <v>7140</v>
      </c>
      <c r="I240" s="11">
        <f>IF(_xlfn.MAXIFS(Metas!J:J,Metas!A:A,A240,Metas!B:B,B240,Metas!D:D,D240) = 0,H240,H240 * (1-_xlfn.MAXIFS(Metas!J:J,Metas!A:A,A240,Metas!B:B,B240,Metas!D:D,D240)))</f>
        <v>7140</v>
      </c>
      <c r="L240" s="11">
        <f>IF(_xlfn.MAXIFS(Metas!J:J,Metas!A:A,A240,Metas!B:B,B240,Metas!D:D,D240) = 0,K240,K240 * (1-_xlfn.MAXIFS(Metas!J:J,Metas!A:A,A240,Metas!B:B,B240,Metas!D:D,D240)))</f>
        <v>0</v>
      </c>
      <c r="O240" s="11">
        <f>IF(_xlfn.MAXIFS(Metas!J:J,Metas!A:A,A240,Metas!B:B,B240,Metas!D:D,D240) = 0,N240,N240 * (1-_xlfn.MAXIFS(Metas!J:J,Metas!A:A,A240,Metas!B:B,B240,Metas!D:D,D240)))</f>
        <v>0</v>
      </c>
      <c r="P240" s="10">
        <v>0.75</v>
      </c>
      <c r="Q240" s="10">
        <v>1.1499999999999999</v>
      </c>
      <c r="R240" s="10">
        <v>0.9</v>
      </c>
      <c r="S240" s="10">
        <v>1.25</v>
      </c>
    </row>
    <row r="241" spans="1:23">
      <c r="A241" s="7">
        <v>2026</v>
      </c>
      <c r="B241" s="7">
        <v>5</v>
      </c>
      <c r="C241" s="7" t="s">
        <v>4328</v>
      </c>
      <c r="D241" s="7" t="s">
        <v>1073</v>
      </c>
      <c r="E241" s="7" t="s">
        <v>3558</v>
      </c>
      <c r="F241" s="7" t="s">
        <v>4409</v>
      </c>
      <c r="G241" s="10"/>
      <c r="H241" s="11">
        <f>SUMIFS('Cargos e OTEs'!D:D,'Cargos e OTEs'!A:A,Parâmetros!A241,'Cargos e OTEs'!B:B,Parâmetros!B241,'Cargos e OTEs'!C:C,Parâmetros!F241)</f>
        <v>5880</v>
      </c>
      <c r="I241" s="11">
        <f>IF(_xlfn.MAXIFS(Metas!J:J,Metas!A:A,A241,Metas!B:B,B241,Metas!D:D,D241) = 0,H241,H241 * (1-_xlfn.MAXIFS(Metas!J:J,Metas!A:A,A241,Metas!B:B,B241,Metas!D:D,D241)))</f>
        <v>5880</v>
      </c>
      <c r="L241" s="11">
        <f>IF(_xlfn.MAXIFS(Metas!J:J,Metas!A:A,A241,Metas!B:B,B241,Metas!D:D,D241) = 0,K241,K241 * (1-_xlfn.MAXIFS(Metas!J:J,Metas!A:A,A241,Metas!B:B,B241,Metas!D:D,D241)))</f>
        <v>0</v>
      </c>
      <c r="O241" s="11">
        <f>IF(_xlfn.MAXIFS(Metas!J:J,Metas!A:A,A241,Metas!B:B,B241,Metas!D:D,D241) = 0,N241,N241 * (1-_xlfn.MAXIFS(Metas!J:J,Metas!A:A,A241,Metas!B:B,B241,Metas!D:D,D241)))</f>
        <v>0</v>
      </c>
      <c r="P241" s="10">
        <v>1</v>
      </c>
      <c r="Q241" s="10">
        <v>1.2</v>
      </c>
      <c r="R241" s="10">
        <v>1.2</v>
      </c>
      <c r="S241" s="10">
        <v>1.3</v>
      </c>
      <c r="V241" s="10">
        <f>G241</f>
        <v>0</v>
      </c>
      <c r="W241" s="10">
        <v>0.02</v>
      </c>
    </row>
    <row r="242" spans="1:23">
      <c r="A242" s="7">
        <v>2026</v>
      </c>
      <c r="B242" s="7">
        <v>5</v>
      </c>
      <c r="C242" s="7" t="s">
        <v>4370</v>
      </c>
      <c r="D242" s="7" t="s">
        <v>66</v>
      </c>
      <c r="E242" s="7" t="s">
        <v>3558</v>
      </c>
      <c r="F242" s="7" t="s">
        <v>4300</v>
      </c>
      <c r="G242" s="10">
        <v>0.5</v>
      </c>
      <c r="H242" s="11">
        <f>SUMIFS('Cargos e OTEs'!D:D,'Cargos e OTEs'!A:A,Parâmetros!A242,'Cargos e OTEs'!B:B,Parâmetros!B242,'Cargos e OTEs'!C:C,Parâmetros!F242)</f>
        <v>9660</v>
      </c>
      <c r="I242" s="11">
        <f>IF(_xlfn.MAXIFS(Metas!J:J,Metas!A:A,A242,Metas!B:B,B242,Metas!D:D,D242) = 0,H242,H242 * (1-_xlfn.MAXIFS(Metas!J:J,Metas!A:A,A242,Metas!B:B,B242,Metas!D:D,D242)))</f>
        <v>9660</v>
      </c>
      <c r="L242" s="11">
        <f>IF(_xlfn.MAXIFS(Metas!J:J,Metas!A:A,A242,Metas!B:B,B242,Metas!D:D,D242) = 0,K242,K242 * (1-_xlfn.MAXIFS(Metas!J:J,Metas!A:A,A242,Metas!B:B,B242,Metas!D:D,D242)))</f>
        <v>0</v>
      </c>
      <c r="O242" s="11">
        <f>IF(_xlfn.MAXIFS(Metas!J:J,Metas!A:A,A242,Metas!B:B,B242,Metas!D:D,D242) = 0,N242,N242 * (1-_xlfn.MAXIFS(Metas!J:J,Metas!A:A,A242,Metas!B:B,B242,Metas!D:D,D242)))</f>
        <v>0</v>
      </c>
      <c r="P242" s="10">
        <v>0.75</v>
      </c>
      <c r="Q242" s="10">
        <v>1.1499999999999999</v>
      </c>
      <c r="R242" s="10">
        <v>0.9</v>
      </c>
      <c r="S242" s="10">
        <v>1.25</v>
      </c>
    </row>
    <row r="243" spans="1:23">
      <c r="A243" s="7">
        <v>2026</v>
      </c>
      <c r="B243" s="7">
        <v>5</v>
      </c>
      <c r="C243" s="7" t="s">
        <v>4371</v>
      </c>
      <c r="D243" s="7" t="s">
        <v>75</v>
      </c>
      <c r="E243" s="7" t="s">
        <v>3558</v>
      </c>
      <c r="F243" s="7" t="s">
        <v>4409</v>
      </c>
      <c r="G243" s="10">
        <v>0.5</v>
      </c>
      <c r="H243" s="11">
        <f>SUMIFS('Cargos e OTEs'!D:D,'Cargos e OTEs'!A:A,Parâmetros!A243,'Cargos e OTEs'!B:B,Parâmetros!B243,'Cargos e OTEs'!C:C,Parâmetros!F243)</f>
        <v>5880</v>
      </c>
      <c r="I243" s="11">
        <f>IF(_xlfn.MAXIFS(Metas!J:J,Metas!A:A,A243,Metas!B:B,B243,Metas!D:D,D243) = 0,H243,H243 * (1-_xlfn.MAXIFS(Metas!J:J,Metas!A:A,A243,Metas!B:B,B243,Metas!D:D,D243)))</f>
        <v>5880</v>
      </c>
      <c r="L243" s="11">
        <f>IF(_xlfn.MAXIFS(Metas!J:J,Metas!A:A,A243,Metas!B:B,B243,Metas!D:D,D243) = 0,K243,K243 * (1-_xlfn.MAXIFS(Metas!J:J,Metas!A:A,A243,Metas!B:B,B243,Metas!D:D,D243)))</f>
        <v>0</v>
      </c>
      <c r="O243" s="11">
        <f>IF(_xlfn.MAXIFS(Metas!J:J,Metas!A:A,A243,Metas!B:B,B243,Metas!D:D,D243) = 0,N243,N243 * (1-_xlfn.MAXIFS(Metas!J:J,Metas!A:A,A243,Metas!B:B,B243,Metas!D:D,D243)))</f>
        <v>0</v>
      </c>
      <c r="P243" s="10">
        <v>0.75</v>
      </c>
      <c r="Q243" s="10">
        <v>1.1499999999999999</v>
      </c>
      <c r="R243" s="10">
        <v>0.9</v>
      </c>
      <c r="S243" s="10">
        <v>1.25</v>
      </c>
    </row>
    <row r="244" spans="1:23">
      <c r="A244" s="7">
        <v>2026</v>
      </c>
      <c r="B244" s="7">
        <v>5</v>
      </c>
      <c r="C244" s="7" t="s">
        <v>4372</v>
      </c>
      <c r="D244" s="7" t="s">
        <v>198</v>
      </c>
      <c r="E244" s="7" t="s">
        <v>111</v>
      </c>
      <c r="F244" s="7" t="s">
        <v>4306</v>
      </c>
      <c r="G244" s="10">
        <v>0.6</v>
      </c>
      <c r="H244" s="11">
        <f>SUMIFS('Cargos e OTEs'!D:D,'Cargos e OTEs'!A:A,Parâmetros!A244,'Cargos e OTEs'!B:B,Parâmetros!B244,'Cargos e OTEs'!C:C,Parâmetros!F244)</f>
        <v>12000</v>
      </c>
      <c r="I244" s="11">
        <f>IF(_xlfn.MAXIFS(Metas!J:J,Metas!A:A,A244,Metas!B:B,B244,Metas!D:D,D244) = 0,H244,H244 * (1-_xlfn.MAXIFS(Metas!J:J,Metas!A:A,A244,Metas!B:B,B244,Metas!D:D,D244)))</f>
        <v>12000</v>
      </c>
      <c r="L244" s="11">
        <f>IF(_xlfn.MAXIFS(Metas!J:J,Metas!A:A,A244,Metas!B:B,B244,Metas!D:D,D244) = 0,K244,K244 * (1-_xlfn.MAXIFS(Metas!J:J,Metas!A:A,A244,Metas!B:B,B244,Metas!D:D,D244)))</f>
        <v>0</v>
      </c>
      <c r="O244" s="11">
        <f>IF(_xlfn.MAXIFS(Metas!J:J,Metas!A:A,A244,Metas!B:B,B244,Metas!D:D,D244) = 0,N244,N244 * (1-_xlfn.MAXIFS(Metas!J:J,Metas!A:A,A244,Metas!B:B,B244,Metas!D:D,D244)))</f>
        <v>0</v>
      </c>
      <c r="P244" s="10"/>
      <c r="Q244" s="10"/>
      <c r="R244" s="10"/>
      <c r="S244" s="10"/>
      <c r="V244" s="10">
        <v>0.7</v>
      </c>
      <c r="W244" s="10">
        <v>0.02</v>
      </c>
    </row>
    <row r="245" spans="1:23">
      <c r="A245" s="7">
        <v>2026</v>
      </c>
      <c r="B245" s="7">
        <v>5</v>
      </c>
      <c r="C245" s="7" t="s">
        <v>4373</v>
      </c>
      <c r="D245" s="7" t="s">
        <v>162</v>
      </c>
      <c r="E245" s="7" t="s">
        <v>111</v>
      </c>
      <c r="F245" s="7" t="s">
        <v>4304</v>
      </c>
      <c r="G245" s="10">
        <v>0.6</v>
      </c>
      <c r="H245" s="11">
        <f>SUMIFS('Cargos e OTEs'!D:D,'Cargos e OTEs'!A:A,Parâmetros!A245,'Cargos e OTEs'!B:B,Parâmetros!B245,'Cargos e OTEs'!C:C,Parâmetros!F245)</f>
        <v>8100</v>
      </c>
      <c r="I245" s="11">
        <f>IF(_xlfn.MAXIFS(Metas!J:J,Metas!A:A,A245,Metas!B:B,B245,Metas!D:D,D245) = 0,H245,H245 * (1-_xlfn.MAXIFS(Metas!J:J,Metas!A:A,A245,Metas!B:B,B245,Metas!D:D,D245)))</f>
        <v>8100</v>
      </c>
      <c r="L245" s="11">
        <f>IF(_xlfn.MAXIFS(Metas!J:J,Metas!A:A,A245,Metas!B:B,B245,Metas!D:D,D245) = 0,K245,K245 * (1-_xlfn.MAXIFS(Metas!J:J,Metas!A:A,A245,Metas!B:B,B245,Metas!D:D,D245)))</f>
        <v>0</v>
      </c>
      <c r="O245" s="11">
        <f>IF(_xlfn.MAXIFS(Metas!J:J,Metas!A:A,A245,Metas!B:B,B245,Metas!D:D,D245) = 0,N245,N245 * (1-_xlfn.MAXIFS(Metas!J:J,Metas!A:A,A245,Metas!B:B,B245,Metas!D:D,D245)))</f>
        <v>0</v>
      </c>
      <c r="P245" s="10"/>
      <c r="Q245" s="10"/>
      <c r="R245" s="10"/>
      <c r="S245" s="10"/>
      <c r="V245" s="10">
        <v>0.7</v>
      </c>
      <c r="W245" s="10">
        <v>0.02</v>
      </c>
    </row>
    <row r="246" spans="1:23">
      <c r="A246" s="7">
        <v>2026</v>
      </c>
      <c r="B246" s="7">
        <v>5</v>
      </c>
      <c r="C246" s="7" t="s">
        <v>4374</v>
      </c>
      <c r="D246" s="7" t="s">
        <v>137</v>
      </c>
      <c r="E246" s="7" t="s">
        <v>111</v>
      </c>
      <c r="F246" s="7" t="s">
        <v>4303</v>
      </c>
      <c r="G246" s="10">
        <v>0.6</v>
      </c>
      <c r="H246" s="11">
        <f>SUMIFS('Cargos e OTEs'!D:D,'Cargos e OTEs'!A:A,Parâmetros!A246,'Cargos e OTEs'!B:B,Parâmetros!B246,'Cargos e OTEs'!C:C,Parâmetros!F246)</f>
        <v>5400</v>
      </c>
      <c r="I246" s="11">
        <f>IF(_xlfn.MAXIFS(Metas!J:J,Metas!A:A,A246,Metas!B:B,B246,Metas!D:D,D246) = 0,H246,H246 * (1-_xlfn.MAXIFS(Metas!J:J,Metas!A:A,A246,Metas!B:B,B246,Metas!D:D,D246)))</f>
        <v>5400</v>
      </c>
      <c r="L246" s="11">
        <f>IF(_xlfn.MAXIFS(Metas!J:J,Metas!A:A,A246,Metas!B:B,B246,Metas!D:D,D246) = 0,K246,K246 * (1-_xlfn.MAXIFS(Metas!J:J,Metas!A:A,A246,Metas!B:B,B246,Metas!D:D,D246)))</f>
        <v>0</v>
      </c>
      <c r="O246" s="11">
        <f>IF(_xlfn.MAXIFS(Metas!J:J,Metas!A:A,A246,Metas!B:B,B246,Metas!D:D,D246) = 0,N246,N246 * (1-_xlfn.MAXIFS(Metas!J:J,Metas!A:A,A246,Metas!B:B,B246,Metas!D:D,D246)))</f>
        <v>0</v>
      </c>
      <c r="P246" s="10"/>
      <c r="Q246" s="10"/>
      <c r="R246" s="10"/>
      <c r="S246" s="10"/>
      <c r="V246" s="10">
        <v>0.7</v>
      </c>
      <c r="W246" s="10">
        <v>0.02</v>
      </c>
    </row>
    <row r="247" spans="1:23">
      <c r="A247" s="7">
        <v>2026</v>
      </c>
      <c r="B247" s="7">
        <v>5</v>
      </c>
      <c r="C247" s="7" t="s">
        <v>4375</v>
      </c>
      <c r="D247" s="7" t="s">
        <v>127</v>
      </c>
      <c r="E247" s="7" t="s">
        <v>111</v>
      </c>
      <c r="F247" s="7" t="s">
        <v>4303</v>
      </c>
      <c r="G247" s="10">
        <v>0.6</v>
      </c>
      <c r="H247" s="11">
        <f>SUMIFS('Cargos e OTEs'!D:D,'Cargos e OTEs'!A:A,Parâmetros!A247,'Cargos e OTEs'!B:B,Parâmetros!B247,'Cargos e OTEs'!C:C,Parâmetros!F247)</f>
        <v>5400</v>
      </c>
      <c r="I247" s="11">
        <f>IF(_xlfn.MAXIFS(Metas!J:J,Metas!A:A,A247,Metas!B:B,B247,Metas!D:D,D247) = 0,H247,H247 * (1-_xlfn.MAXIFS(Metas!J:J,Metas!A:A,A247,Metas!B:B,B247,Metas!D:D,D247)))</f>
        <v>5400</v>
      </c>
      <c r="L247" s="11">
        <f>IF(_xlfn.MAXIFS(Metas!J:J,Metas!A:A,A247,Metas!B:B,B247,Metas!D:D,D247) = 0,K247,K247 * (1-_xlfn.MAXIFS(Metas!J:J,Metas!A:A,A247,Metas!B:B,B247,Metas!D:D,D247)))</f>
        <v>0</v>
      </c>
      <c r="O247" s="11">
        <f>IF(_xlfn.MAXIFS(Metas!J:J,Metas!A:A,A247,Metas!B:B,B247,Metas!D:D,D247) = 0,N247,N247 * (1-_xlfn.MAXIFS(Metas!J:J,Metas!A:A,A247,Metas!B:B,B247,Metas!D:D,D247)))</f>
        <v>0</v>
      </c>
      <c r="P247" s="10"/>
      <c r="Q247" s="10"/>
      <c r="R247" s="10"/>
      <c r="S247" s="10"/>
      <c r="V247" s="10">
        <v>0.7</v>
      </c>
      <c r="W247" s="10">
        <v>0.02</v>
      </c>
    </row>
    <row r="248" spans="1:23">
      <c r="A248" s="7">
        <v>2026</v>
      </c>
      <c r="B248" s="7">
        <v>5</v>
      </c>
      <c r="C248" s="7" t="s">
        <v>4376</v>
      </c>
      <c r="D248" s="7" t="s">
        <v>116</v>
      </c>
      <c r="E248" s="7" t="s">
        <v>111</v>
      </c>
      <c r="F248" s="7" t="s">
        <v>4304</v>
      </c>
      <c r="G248" s="10">
        <v>0.6</v>
      </c>
      <c r="H248" s="11">
        <f>SUMIFS('Cargos e OTEs'!D:D,'Cargos e OTEs'!A:A,Parâmetros!A248,'Cargos e OTEs'!B:B,Parâmetros!B248,'Cargos e OTEs'!C:C,Parâmetros!F248)</f>
        <v>8100</v>
      </c>
      <c r="I248" s="11">
        <f>IF(_xlfn.MAXIFS(Metas!J:J,Metas!A:A,A248,Metas!B:B,B248,Metas!D:D,D248) = 0,H248,H248 * (1-_xlfn.MAXIFS(Metas!J:J,Metas!A:A,A248,Metas!B:B,B248,Metas!D:D,D248)))</f>
        <v>8100</v>
      </c>
      <c r="L248" s="11">
        <f>IF(_xlfn.MAXIFS(Metas!J:J,Metas!A:A,A248,Metas!B:B,B248,Metas!D:D,D248) = 0,K248,K248 * (1-_xlfn.MAXIFS(Metas!J:J,Metas!A:A,A248,Metas!B:B,B248,Metas!D:D,D248)))</f>
        <v>0</v>
      </c>
      <c r="O248" s="11">
        <f>IF(_xlfn.MAXIFS(Metas!J:J,Metas!A:A,A248,Metas!B:B,B248,Metas!D:D,D248) = 0,N248,N248 * (1-_xlfn.MAXIFS(Metas!J:J,Metas!A:A,A248,Metas!B:B,B248,Metas!D:D,D248)))</f>
        <v>0</v>
      </c>
      <c r="P248" s="10"/>
      <c r="Q248" s="10"/>
      <c r="R248" s="10"/>
      <c r="S248" s="10"/>
      <c r="V248" s="10">
        <v>0.7</v>
      </c>
      <c r="W248" s="10">
        <v>0.02</v>
      </c>
    </row>
    <row r="249" spans="1:23">
      <c r="A249" s="7">
        <v>2026</v>
      </c>
      <c r="B249" s="7">
        <v>5</v>
      </c>
      <c r="C249" s="7" t="s">
        <v>4412</v>
      </c>
      <c r="D249" s="7" t="s">
        <v>1160</v>
      </c>
      <c r="E249" s="7" t="s">
        <v>111</v>
      </c>
      <c r="F249" s="7" t="s">
        <v>4303</v>
      </c>
      <c r="G249" s="10">
        <v>0.6</v>
      </c>
      <c r="H249" s="11">
        <f>SUMIFS('Cargos e OTEs'!D:D,'Cargos e OTEs'!A:A,Parâmetros!A249,'Cargos e OTEs'!B:B,Parâmetros!B249,'Cargos e OTEs'!C:C,Parâmetros!F249)</f>
        <v>5400</v>
      </c>
      <c r="I249" s="11">
        <f>IF(_xlfn.MAXIFS(Metas!J:J,Metas!A:A,A249,Metas!B:B,B249,Metas!D:D,D249) = 0,H249,H249 * (1-_xlfn.MAXIFS(Metas!J:J,Metas!A:A,A249,Metas!B:B,B249,Metas!D:D,D249)))</f>
        <v>5400</v>
      </c>
      <c r="L249" s="11">
        <f>IF(_xlfn.MAXIFS(Metas!J:J,Metas!A:A,A249,Metas!B:B,B249,Metas!D:D,D249) = 0,K249,K249 * (1-_xlfn.MAXIFS(Metas!J:J,Metas!A:A,A249,Metas!B:B,B249,Metas!D:D,D249)))</f>
        <v>0</v>
      </c>
      <c r="O249" s="11">
        <f>IF(_xlfn.MAXIFS(Metas!J:J,Metas!A:A,A249,Metas!B:B,B249,Metas!D:D,D249) = 0,N249,N249 * (1-_xlfn.MAXIFS(Metas!J:J,Metas!A:A,A249,Metas!B:B,B249,Metas!D:D,D249)))</f>
        <v>0</v>
      </c>
      <c r="P249" s="10"/>
      <c r="Q249" s="10"/>
      <c r="R249" s="10"/>
      <c r="S249" s="10"/>
      <c r="V249" s="10">
        <v>0.7</v>
      </c>
      <c r="W249" s="10">
        <v>0.02</v>
      </c>
    </row>
    <row r="250" spans="1:23">
      <c r="A250" s="7">
        <v>2026</v>
      </c>
      <c r="B250" s="7">
        <v>5</v>
      </c>
      <c r="C250" s="7" t="s">
        <v>4377</v>
      </c>
      <c r="D250" s="7" t="s">
        <v>133</v>
      </c>
      <c r="E250" s="7" t="s">
        <v>111</v>
      </c>
      <c r="F250" s="7" t="s">
        <v>4303</v>
      </c>
      <c r="G250" s="10">
        <v>0.6</v>
      </c>
      <c r="H250" s="11">
        <f>SUMIFS('Cargos e OTEs'!D:D,'Cargos e OTEs'!A:A,Parâmetros!A250,'Cargos e OTEs'!B:B,Parâmetros!B250,'Cargos e OTEs'!C:C,Parâmetros!F250)</f>
        <v>5400</v>
      </c>
      <c r="I250" s="11">
        <f>IF(_xlfn.MAXIFS(Metas!J:J,Metas!A:A,A250,Metas!B:B,B250,Metas!D:D,D250) = 0,H250,H250 * (1-_xlfn.MAXIFS(Metas!J:J,Metas!A:A,A250,Metas!B:B,B250,Metas!D:D,D250)))</f>
        <v>5400</v>
      </c>
      <c r="L250" s="11">
        <f>IF(_xlfn.MAXIFS(Metas!J:J,Metas!A:A,A250,Metas!B:B,B250,Metas!D:D,D250) = 0,K250,K250 * (1-_xlfn.MAXIFS(Metas!J:J,Metas!A:A,A250,Metas!B:B,B250,Metas!D:D,D250)))</f>
        <v>0</v>
      </c>
      <c r="O250" s="11">
        <f>IF(_xlfn.MAXIFS(Metas!J:J,Metas!A:A,A250,Metas!B:B,B250,Metas!D:D,D250) = 0,N250,N250 * (1-_xlfn.MAXIFS(Metas!J:J,Metas!A:A,A250,Metas!B:B,B250,Metas!D:D,D250)))</f>
        <v>0</v>
      </c>
      <c r="P250" s="10"/>
      <c r="Q250" s="10"/>
      <c r="R250" s="10"/>
      <c r="S250" s="10"/>
      <c r="V250" s="10">
        <v>0.7</v>
      </c>
      <c r="W250" s="10">
        <v>0.02</v>
      </c>
    </row>
    <row r="251" spans="1:23">
      <c r="A251" s="7">
        <v>2026</v>
      </c>
      <c r="B251" s="7">
        <v>5</v>
      </c>
      <c r="C251" s="7" t="s">
        <v>4378</v>
      </c>
      <c r="D251" s="7" t="s">
        <v>110</v>
      </c>
      <c r="E251" s="7" t="s">
        <v>111</v>
      </c>
      <c r="F251" s="7" t="s">
        <v>4304</v>
      </c>
      <c r="G251" s="10">
        <v>0.6</v>
      </c>
      <c r="H251" s="11">
        <f>SUMIFS('Cargos e OTEs'!D:D,'Cargos e OTEs'!A:A,Parâmetros!A251,'Cargos e OTEs'!B:B,Parâmetros!B251,'Cargos e OTEs'!C:C,Parâmetros!F251)</f>
        <v>8100</v>
      </c>
      <c r="I251" s="11">
        <f>IF(_xlfn.MAXIFS(Metas!J:J,Metas!A:A,A251,Metas!B:B,B251,Metas!D:D,D251) = 0,H251,H251 * (1-_xlfn.MAXIFS(Metas!J:J,Metas!A:A,A251,Metas!B:B,B251,Metas!D:D,D251)))</f>
        <v>8100</v>
      </c>
      <c r="L251" s="11">
        <f>IF(_xlfn.MAXIFS(Metas!J:J,Metas!A:A,A251,Metas!B:B,B251,Metas!D:D,D251) = 0,K251,K251 * (1-_xlfn.MAXIFS(Metas!J:J,Metas!A:A,A251,Metas!B:B,B251,Metas!D:D,D251)))</f>
        <v>0</v>
      </c>
      <c r="O251" s="11">
        <f>IF(_xlfn.MAXIFS(Metas!J:J,Metas!A:A,A251,Metas!B:B,B251,Metas!D:D,D251) = 0,N251,N251 * (1-_xlfn.MAXIFS(Metas!J:J,Metas!A:A,A251,Metas!B:B,B251,Metas!D:D,D251)))</f>
        <v>0</v>
      </c>
      <c r="P251" s="10"/>
      <c r="Q251" s="10"/>
      <c r="R251" s="10"/>
      <c r="S251" s="10"/>
      <c r="V251" s="10">
        <v>0.7</v>
      </c>
      <c r="W251" s="10">
        <v>0.02</v>
      </c>
    </row>
    <row r="252" spans="1:23">
      <c r="A252" s="7">
        <v>2026</v>
      </c>
      <c r="B252" s="7">
        <v>5</v>
      </c>
      <c r="C252" s="7" t="s">
        <v>4379</v>
      </c>
      <c r="D252" s="7" t="s">
        <v>121</v>
      </c>
      <c r="E252" s="7" t="s">
        <v>111</v>
      </c>
      <c r="F252" s="7" t="s">
        <v>4303</v>
      </c>
      <c r="G252" s="10">
        <v>0.6</v>
      </c>
      <c r="H252" s="11">
        <f>SUMIFS('Cargos e OTEs'!D:D,'Cargos e OTEs'!A:A,Parâmetros!A252,'Cargos e OTEs'!B:B,Parâmetros!B252,'Cargos e OTEs'!C:C,Parâmetros!F252)</f>
        <v>5400</v>
      </c>
      <c r="I252" s="11">
        <f>IF(_xlfn.MAXIFS(Metas!J:J,Metas!A:A,A252,Metas!B:B,B252,Metas!D:D,D252) = 0,H252,H252 * (1-_xlfn.MAXIFS(Metas!J:J,Metas!A:A,A252,Metas!B:B,B252,Metas!D:D,D252)))</f>
        <v>5400</v>
      </c>
      <c r="L252" s="11">
        <f>IF(_xlfn.MAXIFS(Metas!J:J,Metas!A:A,A252,Metas!B:B,B252,Metas!D:D,D252) = 0,K252,K252 * (1-_xlfn.MAXIFS(Metas!J:J,Metas!A:A,A252,Metas!B:B,B252,Metas!D:D,D252)))</f>
        <v>0</v>
      </c>
      <c r="O252" s="11">
        <f>IF(_xlfn.MAXIFS(Metas!J:J,Metas!A:A,A252,Metas!B:B,B252,Metas!D:D,D252) = 0,N252,N252 * (1-_xlfn.MAXIFS(Metas!J:J,Metas!A:A,A252,Metas!B:B,B252,Metas!D:D,D252)))</f>
        <v>0</v>
      </c>
      <c r="P252" s="10"/>
      <c r="Q252" s="10"/>
      <c r="R252" s="10"/>
      <c r="S252" s="10"/>
      <c r="V252" s="10">
        <v>0.7</v>
      </c>
      <c r="W252" s="10">
        <v>0.02</v>
      </c>
    </row>
    <row r="253" spans="1:23">
      <c r="A253" s="7">
        <v>2026</v>
      </c>
      <c r="B253" s="7">
        <v>5</v>
      </c>
      <c r="C253" s="7" t="s">
        <v>4380</v>
      </c>
      <c r="D253" s="7" t="s">
        <v>2265</v>
      </c>
      <c r="E253" s="7" t="s">
        <v>4381</v>
      </c>
      <c r="F253" s="7" t="s">
        <v>4311</v>
      </c>
      <c r="G253" s="10"/>
      <c r="H253" s="11">
        <f>SUMIFS('Cargos e OTEs'!D:D,'Cargos e OTEs'!A:A,Parâmetros!A253,'Cargos e OTEs'!B:B,Parâmetros!B253,'Cargos e OTEs'!C:C,Parâmetros!F253)</f>
        <v>9424.7999999999993</v>
      </c>
      <c r="I253" s="11">
        <f>IF(_xlfn.MAXIFS(Metas!J:J,Metas!A:A,A253,Metas!B:B,B253,Metas!D:D,D253) = 0,H253,H253 * (1-_xlfn.MAXIFS(Metas!J:J,Metas!A:A,A253,Metas!B:B,B253,Metas!D:D,D253)))</f>
        <v>9424.7999999999993</v>
      </c>
      <c r="L253" s="11">
        <f>IF(_xlfn.MAXIFS(Metas!J:J,Metas!A:A,A253,Metas!B:B,B253,Metas!D:D,D253) = 0,K253,K253 * (1-_xlfn.MAXIFS(Metas!J:J,Metas!A:A,A253,Metas!B:B,B253,Metas!D:D,D253)))</f>
        <v>0</v>
      </c>
      <c r="O253" s="11">
        <f>IF(_xlfn.MAXIFS(Metas!J:J,Metas!A:A,A253,Metas!B:B,B253,Metas!D:D,D253) = 0,N253,N253 * (1-_xlfn.MAXIFS(Metas!J:J,Metas!A:A,A253,Metas!B:B,B253,Metas!D:D,D253)))</f>
        <v>0</v>
      </c>
      <c r="P253" s="10">
        <v>1</v>
      </c>
      <c r="Q253" s="10">
        <v>1.2</v>
      </c>
      <c r="R253" s="10">
        <v>1.2</v>
      </c>
      <c r="S253" s="10">
        <v>1.3</v>
      </c>
      <c r="V253" s="10">
        <f>G253</f>
        <v>0</v>
      </c>
      <c r="W253" s="10">
        <v>5.0000000000000001E-3</v>
      </c>
    </row>
  </sheetData>
  <autoFilter ref="A1:W253" xr:uid="{F833E5F0-5484-4F90-881F-43885D4D3B04}"/>
  <hyperlinks>
    <hyperlink ref="D130" r:id="rId1" xr:uid="{F0CE58D5-CCE6-47B6-9A50-E8B907A50C60}"/>
    <hyperlink ref="D108" r:id="rId2" xr:uid="{D16BDE51-5777-473F-964C-77C1FD7A13E7}"/>
    <hyperlink ref="D179" r:id="rId3" xr:uid="{AD878BC9-3154-41C1-99C2-385C22A25230}"/>
    <hyperlink ref="D157" r:id="rId4" xr:uid="{7AFF1581-B8E5-4656-AAC0-149BB958117B}"/>
    <hyperlink ref="D165" r:id="rId5" xr:uid="{3F2EB343-F774-46A4-9FC0-B5784A21053C}"/>
    <hyperlink ref="D168" r:id="rId6" xr:uid="{804FEC6A-F342-4647-9CA8-E233736011B2}"/>
    <hyperlink ref="D197" r:id="rId7" xr:uid="{74DB4A9C-1771-4D30-92B4-82CDBFDC450C}"/>
    <hyperlink ref="D229" r:id="rId8" xr:uid="{15F6EEEA-912F-4540-A654-99E4C064D531}"/>
    <hyperlink ref="D207" r:id="rId9" xr:uid="{A4A56E52-1CB2-4911-90E6-5A4E9F189627}"/>
    <hyperlink ref="D215" r:id="rId10" xr:uid="{AB490C7F-52A6-4979-949B-8BC025FDEEB5}"/>
    <hyperlink ref="D218" r:id="rId11" xr:uid="{E517A9E2-FCC0-499D-9A7A-2707D7CB5912}"/>
    <hyperlink ref="D249" r:id="rId12" xr:uid="{2C87640B-15B8-4B56-9E04-C0AAD0BD8B64}"/>
    <hyperlink ref="D238" r:id="rId13" xr:uid="{A6EA0BEC-D7C6-4C2E-9566-BD0C3B4E1BC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4E828-4684-4481-A3F9-740ACAA0C277}">
  <dimension ref="A1:G45"/>
  <sheetViews>
    <sheetView workbookViewId="0">
      <pane ySplit="1" topLeftCell="A23" activePane="bottomLeft" state="frozen"/>
      <selection pane="bottomLeft" activeCell="B39" sqref="B39:B45"/>
    </sheetView>
  </sheetViews>
  <sheetFormatPr defaultRowHeight="15"/>
  <cols>
    <col min="1" max="1" width="5.42578125" style="7" bestFit="1" customWidth="1"/>
    <col min="2" max="2" width="4.85546875" style="7" bestFit="1" customWidth="1"/>
    <col min="3" max="3" width="15.5703125" style="7" bestFit="1" customWidth="1"/>
    <col min="4" max="4" width="7.140625" style="7" bestFit="1" customWidth="1"/>
    <col min="5" max="5" width="9.42578125" style="7" bestFit="1" customWidth="1"/>
    <col min="6" max="6" width="10.42578125" style="7" bestFit="1" customWidth="1"/>
    <col min="7" max="7" width="10.85546875" style="7" bestFit="1" customWidth="1"/>
  </cols>
  <sheetData>
    <row r="1" spans="1:7">
      <c r="A1" s="7" t="s">
        <v>4264</v>
      </c>
      <c r="B1" s="7" t="s">
        <v>4265</v>
      </c>
      <c r="C1" s="7" t="s">
        <v>4416</v>
      </c>
      <c r="D1" s="7" t="s">
        <v>4417</v>
      </c>
      <c r="E1" s="7" t="s">
        <v>4418</v>
      </c>
      <c r="F1" s="7" t="s">
        <v>4419</v>
      </c>
      <c r="G1" s="7" t="s">
        <v>4420</v>
      </c>
    </row>
    <row r="2" spans="1:7">
      <c r="A2" s="7">
        <v>2026</v>
      </c>
      <c r="B2" s="7">
        <v>1</v>
      </c>
      <c r="C2" s="7" t="s">
        <v>314</v>
      </c>
      <c r="D2" s="7">
        <v>1.3</v>
      </c>
      <c r="E2" s="7">
        <v>1.2</v>
      </c>
      <c r="F2" s="7">
        <v>1.1499999999999999</v>
      </c>
      <c r="G2" s="7">
        <v>1</v>
      </c>
    </row>
    <row r="3" spans="1:7">
      <c r="A3" s="7">
        <v>2026</v>
      </c>
      <c r="B3" s="7">
        <v>1</v>
      </c>
      <c r="C3" s="7" t="s">
        <v>4421</v>
      </c>
      <c r="D3" s="7">
        <v>1.3</v>
      </c>
      <c r="E3" s="7">
        <v>1.2</v>
      </c>
      <c r="F3" s="7">
        <v>1.1499999999999999</v>
      </c>
      <c r="G3" s="7">
        <v>1</v>
      </c>
    </row>
    <row r="4" spans="1:7">
      <c r="A4" s="7">
        <v>2026</v>
      </c>
      <c r="B4" s="7">
        <v>1</v>
      </c>
      <c r="C4" s="7" t="s">
        <v>91</v>
      </c>
      <c r="D4" s="7">
        <v>1.3</v>
      </c>
      <c r="E4" s="7">
        <v>1.2</v>
      </c>
      <c r="F4" s="7">
        <v>1.1499999999999999</v>
      </c>
      <c r="G4" s="7">
        <v>1</v>
      </c>
    </row>
    <row r="5" spans="1:7">
      <c r="A5" s="7">
        <v>2026</v>
      </c>
      <c r="B5" s="7">
        <v>1</v>
      </c>
      <c r="C5" s="7" t="s">
        <v>349</v>
      </c>
      <c r="D5" s="7">
        <v>1.3</v>
      </c>
      <c r="E5" s="7">
        <v>1.2</v>
      </c>
      <c r="F5" s="7">
        <v>1.1499999999999999</v>
      </c>
      <c r="G5" s="7">
        <v>1</v>
      </c>
    </row>
    <row r="6" spans="1:7">
      <c r="A6" s="7">
        <v>2026</v>
      </c>
      <c r="B6" s="7">
        <v>1</v>
      </c>
      <c r="C6" s="7" t="s">
        <v>80</v>
      </c>
      <c r="D6" s="7">
        <v>1.3</v>
      </c>
      <c r="E6" s="7">
        <v>1.2</v>
      </c>
      <c r="F6" s="7">
        <v>1.1499999999999999</v>
      </c>
      <c r="G6" s="7">
        <v>1</v>
      </c>
    </row>
    <row r="7" spans="1:7">
      <c r="A7" s="7">
        <v>2026</v>
      </c>
      <c r="B7" s="7">
        <v>1</v>
      </c>
      <c r="C7" s="7" t="s">
        <v>191</v>
      </c>
      <c r="D7" s="7">
        <v>1.5</v>
      </c>
      <c r="E7" s="7">
        <v>1.4</v>
      </c>
      <c r="F7" s="7">
        <v>1.25</v>
      </c>
      <c r="G7" s="7">
        <v>1</v>
      </c>
    </row>
    <row r="8" spans="1:7">
      <c r="A8" s="7">
        <v>2026</v>
      </c>
      <c r="B8" s="7">
        <v>1</v>
      </c>
      <c r="C8" s="7" t="s">
        <v>300</v>
      </c>
      <c r="D8" s="7">
        <v>1.3</v>
      </c>
      <c r="E8" s="7">
        <v>1.2</v>
      </c>
      <c r="F8" s="7">
        <v>1.1499999999999999</v>
      </c>
      <c r="G8" s="7">
        <v>0.9</v>
      </c>
    </row>
    <row r="9" spans="1:7">
      <c r="A9" s="7">
        <v>2026</v>
      </c>
      <c r="B9" s="7">
        <v>1</v>
      </c>
      <c r="C9" s="7" t="s">
        <v>81</v>
      </c>
      <c r="D9" s="7">
        <v>1.3</v>
      </c>
      <c r="E9" s="7">
        <v>1.2</v>
      </c>
      <c r="F9" s="7">
        <v>1.1499999999999999</v>
      </c>
      <c r="G9" s="7">
        <v>0.9</v>
      </c>
    </row>
    <row r="10" spans="1:7">
      <c r="A10" s="7">
        <v>2026</v>
      </c>
      <c r="B10" s="7">
        <v>1</v>
      </c>
      <c r="C10" s="7" t="s">
        <v>111</v>
      </c>
      <c r="D10" s="7">
        <v>1.2</v>
      </c>
      <c r="E10" s="7">
        <v>1.1499999999999999</v>
      </c>
      <c r="F10" s="7">
        <v>1.1000000000000001</v>
      </c>
      <c r="G10" s="7">
        <v>1</v>
      </c>
    </row>
    <row r="11" spans="1:7">
      <c r="A11" s="7">
        <v>2026</v>
      </c>
      <c r="B11" s="7">
        <v>1</v>
      </c>
      <c r="C11" s="7" t="s">
        <v>4381</v>
      </c>
      <c r="D11" s="7">
        <v>1.4</v>
      </c>
      <c r="E11" s="7">
        <v>1.3</v>
      </c>
      <c r="F11" s="7">
        <v>1.2</v>
      </c>
      <c r="G11" s="7">
        <v>1</v>
      </c>
    </row>
    <row r="12" spans="1:7">
      <c r="A12" s="7">
        <v>2026</v>
      </c>
      <c r="B12" s="7">
        <v>2</v>
      </c>
      <c r="C12" s="7" t="s">
        <v>314</v>
      </c>
      <c r="D12" s="7">
        <v>1.3</v>
      </c>
      <c r="E12" s="7">
        <v>1.2</v>
      </c>
      <c r="F12" s="7">
        <v>1.1499999999999999</v>
      </c>
      <c r="G12" s="7">
        <v>1</v>
      </c>
    </row>
    <row r="13" spans="1:7">
      <c r="A13" s="7">
        <v>2026</v>
      </c>
      <c r="B13" s="7">
        <v>2</v>
      </c>
      <c r="C13" s="7" t="s">
        <v>4421</v>
      </c>
      <c r="D13" s="7">
        <v>1.3</v>
      </c>
      <c r="E13" s="7">
        <v>1.2</v>
      </c>
      <c r="F13" s="7">
        <v>1.1499999999999999</v>
      </c>
      <c r="G13" s="7">
        <v>1</v>
      </c>
    </row>
    <row r="14" spans="1:7">
      <c r="A14" s="7">
        <v>2026</v>
      </c>
      <c r="B14" s="7">
        <v>2</v>
      </c>
      <c r="C14" s="7" t="s">
        <v>91</v>
      </c>
      <c r="D14" s="7">
        <v>1.3</v>
      </c>
      <c r="E14" s="7">
        <v>1.2</v>
      </c>
      <c r="F14" s="7">
        <v>1.1499999999999999</v>
      </c>
      <c r="G14" s="7">
        <v>1</v>
      </c>
    </row>
    <row r="15" spans="1:7">
      <c r="A15" s="7">
        <v>2026</v>
      </c>
      <c r="B15" s="7">
        <v>2</v>
      </c>
      <c r="C15" s="7" t="s">
        <v>349</v>
      </c>
      <c r="D15" s="7">
        <v>1.3</v>
      </c>
      <c r="E15" s="7">
        <v>1.2</v>
      </c>
      <c r="F15" s="7">
        <v>1.1499999999999999</v>
      </c>
      <c r="G15" s="7">
        <v>1</v>
      </c>
    </row>
    <row r="16" spans="1:7">
      <c r="A16" s="7">
        <v>2026</v>
      </c>
      <c r="B16" s="7">
        <v>2</v>
      </c>
      <c r="C16" s="7" t="s">
        <v>80</v>
      </c>
      <c r="D16" s="7">
        <v>1.3</v>
      </c>
      <c r="E16" s="7">
        <v>1.2</v>
      </c>
      <c r="F16" s="7">
        <v>1.1499999999999999</v>
      </c>
      <c r="G16" s="7">
        <v>1</v>
      </c>
    </row>
    <row r="17" spans="1:7">
      <c r="A17" s="7">
        <v>2026</v>
      </c>
      <c r="B17" s="7">
        <v>2</v>
      </c>
      <c r="C17" s="7" t="s">
        <v>191</v>
      </c>
      <c r="D17" s="7">
        <v>1.5</v>
      </c>
      <c r="E17" s="7">
        <v>1.4</v>
      </c>
      <c r="F17" s="7">
        <v>1.25</v>
      </c>
      <c r="G17" s="7">
        <v>1</v>
      </c>
    </row>
    <row r="18" spans="1:7">
      <c r="A18" s="7">
        <v>2026</v>
      </c>
      <c r="B18" s="7">
        <v>2</v>
      </c>
      <c r="C18" s="7" t="s">
        <v>300</v>
      </c>
      <c r="D18" s="7">
        <v>1.3</v>
      </c>
      <c r="E18" s="7">
        <v>1.2</v>
      </c>
      <c r="F18" s="7">
        <v>1.1499999999999999</v>
      </c>
      <c r="G18" s="7">
        <v>0.9</v>
      </c>
    </row>
    <row r="19" spans="1:7">
      <c r="A19" s="7">
        <v>2026</v>
      </c>
      <c r="B19" s="7">
        <v>2</v>
      </c>
      <c r="C19" s="7" t="s">
        <v>81</v>
      </c>
      <c r="D19" s="7">
        <v>1.3</v>
      </c>
      <c r="E19" s="7">
        <v>1.2</v>
      </c>
      <c r="F19" s="7">
        <v>1.1499999999999999</v>
      </c>
      <c r="G19" s="7">
        <v>0.9</v>
      </c>
    </row>
    <row r="20" spans="1:7">
      <c r="A20" s="7">
        <v>2026</v>
      </c>
      <c r="B20" s="7">
        <v>2</v>
      </c>
      <c r="C20" s="7" t="s">
        <v>111</v>
      </c>
      <c r="D20" s="7">
        <v>1.2</v>
      </c>
      <c r="E20" s="7">
        <v>1.1499999999999999</v>
      </c>
      <c r="F20" s="7">
        <v>1.1000000000000001</v>
      </c>
      <c r="G20" s="7">
        <v>1</v>
      </c>
    </row>
    <row r="21" spans="1:7">
      <c r="A21" s="7">
        <v>2026</v>
      </c>
      <c r="B21" s="7">
        <v>2</v>
      </c>
      <c r="C21" s="7" t="s">
        <v>4381</v>
      </c>
      <c r="D21" s="7">
        <v>1.4</v>
      </c>
      <c r="E21" s="7">
        <v>1.3</v>
      </c>
      <c r="F21" s="7">
        <v>1.2</v>
      </c>
      <c r="G21" s="7">
        <v>1</v>
      </c>
    </row>
    <row r="22" spans="1:7">
      <c r="A22" s="7">
        <v>2026</v>
      </c>
      <c r="B22" s="7">
        <v>3</v>
      </c>
      <c r="C22" s="7" t="s">
        <v>314</v>
      </c>
      <c r="D22" s="7">
        <v>1.3</v>
      </c>
      <c r="E22" s="7">
        <v>1.2</v>
      </c>
      <c r="F22" s="7">
        <v>1.1499999999999999</v>
      </c>
      <c r="G22" s="7">
        <v>1</v>
      </c>
    </row>
    <row r="23" spans="1:7">
      <c r="A23" s="7">
        <v>2026</v>
      </c>
      <c r="B23" s="7">
        <v>3</v>
      </c>
      <c r="C23" s="7" t="s">
        <v>4421</v>
      </c>
      <c r="D23" s="7">
        <v>1.3</v>
      </c>
      <c r="E23" s="7">
        <v>1.2</v>
      </c>
      <c r="F23" s="7">
        <v>1.1499999999999999</v>
      </c>
      <c r="G23" s="7">
        <v>1</v>
      </c>
    </row>
    <row r="24" spans="1:7">
      <c r="A24" s="7">
        <v>2026</v>
      </c>
      <c r="B24" s="7">
        <v>3</v>
      </c>
      <c r="C24" s="7" t="s">
        <v>91</v>
      </c>
      <c r="D24" s="7">
        <v>1.3</v>
      </c>
      <c r="E24" s="7">
        <v>1.2</v>
      </c>
      <c r="F24" s="7">
        <v>1.1499999999999999</v>
      </c>
      <c r="G24" s="7">
        <v>1</v>
      </c>
    </row>
    <row r="25" spans="1:7">
      <c r="A25" s="7">
        <v>2026</v>
      </c>
      <c r="B25" s="7">
        <v>3</v>
      </c>
      <c r="C25" s="7" t="s">
        <v>349</v>
      </c>
      <c r="D25" s="7">
        <v>1.3</v>
      </c>
      <c r="E25" s="7">
        <v>1.2</v>
      </c>
      <c r="F25" s="7">
        <v>1.1499999999999999</v>
      </c>
      <c r="G25" s="7">
        <v>1</v>
      </c>
    </row>
    <row r="26" spans="1:7">
      <c r="A26" s="7">
        <v>2026</v>
      </c>
      <c r="B26" s="7">
        <v>3</v>
      </c>
      <c r="C26" s="7" t="s">
        <v>80</v>
      </c>
      <c r="D26" s="7">
        <v>1.3</v>
      </c>
      <c r="E26" s="7">
        <v>1.2</v>
      </c>
      <c r="F26" s="7">
        <v>1.1499999999999999</v>
      </c>
      <c r="G26" s="7">
        <v>1</v>
      </c>
    </row>
    <row r="27" spans="1:7">
      <c r="A27" s="7">
        <v>2026</v>
      </c>
      <c r="B27" s="7">
        <v>3</v>
      </c>
      <c r="C27" s="7" t="s">
        <v>191</v>
      </c>
      <c r="D27" s="7">
        <v>1.5</v>
      </c>
      <c r="E27" s="7">
        <v>1.4</v>
      </c>
      <c r="F27" s="7">
        <v>1.25</v>
      </c>
      <c r="G27" s="7">
        <v>1</v>
      </c>
    </row>
    <row r="28" spans="1:7">
      <c r="A28" s="7">
        <v>2026</v>
      </c>
      <c r="B28" s="7">
        <v>3</v>
      </c>
      <c r="C28" s="7" t="s">
        <v>300</v>
      </c>
      <c r="D28" s="7">
        <v>1.3</v>
      </c>
      <c r="E28" s="7">
        <v>1.2</v>
      </c>
      <c r="F28" s="7">
        <v>1.1499999999999999</v>
      </c>
      <c r="G28" s="7">
        <v>0.9</v>
      </c>
    </row>
    <row r="29" spans="1:7">
      <c r="A29" s="7">
        <v>2026</v>
      </c>
      <c r="B29" s="7">
        <v>3</v>
      </c>
      <c r="C29" s="7" t="s">
        <v>81</v>
      </c>
      <c r="D29" s="7">
        <v>1.3</v>
      </c>
      <c r="E29" s="7">
        <v>1.2</v>
      </c>
      <c r="F29" s="7">
        <v>1.1499999999999999</v>
      </c>
      <c r="G29" s="7">
        <v>0.9</v>
      </c>
    </row>
    <row r="30" spans="1:7">
      <c r="A30" s="7">
        <v>2026</v>
      </c>
      <c r="B30" s="7">
        <v>3</v>
      </c>
      <c r="C30" s="7" t="s">
        <v>111</v>
      </c>
      <c r="D30" s="7">
        <v>1.2</v>
      </c>
      <c r="E30" s="7">
        <v>1.1499999999999999</v>
      </c>
      <c r="F30" s="7">
        <v>1.1000000000000001</v>
      </c>
      <c r="G30" s="7">
        <v>1</v>
      </c>
    </row>
    <row r="31" spans="1:7">
      <c r="A31" s="7">
        <v>2026</v>
      </c>
      <c r="B31" s="7">
        <v>3</v>
      </c>
      <c r="C31" s="7" t="s">
        <v>4381</v>
      </c>
      <c r="D31" s="7">
        <v>1.4</v>
      </c>
      <c r="E31" s="7">
        <v>1.3</v>
      </c>
      <c r="F31" s="7">
        <v>1.2</v>
      </c>
      <c r="G31" s="7">
        <v>1</v>
      </c>
    </row>
    <row r="32" spans="1:7">
      <c r="A32" s="7">
        <v>2026</v>
      </c>
      <c r="B32" s="7">
        <v>4</v>
      </c>
      <c r="C32" s="7" t="s">
        <v>314</v>
      </c>
      <c r="D32" s="7">
        <v>1.3</v>
      </c>
      <c r="E32" s="7">
        <v>1.1499999999999999</v>
      </c>
      <c r="F32" s="7">
        <v>1.1499999999999999</v>
      </c>
      <c r="G32" s="7">
        <v>1</v>
      </c>
    </row>
    <row r="33" spans="1:7">
      <c r="A33" s="7">
        <v>2026</v>
      </c>
      <c r="B33" s="7">
        <v>4</v>
      </c>
      <c r="C33" s="7" t="s">
        <v>91</v>
      </c>
      <c r="D33" s="7">
        <v>1.3</v>
      </c>
      <c r="E33" s="7">
        <v>1.1499999999999999</v>
      </c>
      <c r="F33" s="7">
        <v>1.1499999999999999</v>
      </c>
      <c r="G33" s="7">
        <v>1</v>
      </c>
    </row>
    <row r="34" spans="1:7">
      <c r="A34" s="7">
        <v>2026</v>
      </c>
      <c r="B34" s="7">
        <v>4</v>
      </c>
      <c r="C34" s="7" t="s">
        <v>349</v>
      </c>
      <c r="D34" s="7">
        <v>1.3</v>
      </c>
      <c r="E34" s="7">
        <v>1.1499999999999999</v>
      </c>
      <c r="F34" s="7">
        <v>1.1499999999999999</v>
      </c>
      <c r="G34" s="7">
        <v>1</v>
      </c>
    </row>
    <row r="35" spans="1:7">
      <c r="A35" s="7">
        <v>2026</v>
      </c>
      <c r="B35" s="7">
        <v>4</v>
      </c>
      <c r="C35" s="7" t="s">
        <v>191</v>
      </c>
      <c r="D35" s="7">
        <v>1.5</v>
      </c>
      <c r="E35" s="7">
        <v>1.25</v>
      </c>
      <c r="F35" s="7">
        <v>1.25</v>
      </c>
      <c r="G35" s="7">
        <v>1</v>
      </c>
    </row>
    <row r="36" spans="1:7">
      <c r="A36" s="7">
        <v>2026</v>
      </c>
      <c r="B36" s="7">
        <v>4</v>
      </c>
      <c r="C36" s="7" t="s">
        <v>300</v>
      </c>
      <c r="D36" s="7">
        <v>1.3</v>
      </c>
      <c r="E36" s="7">
        <v>1.1499999999999999</v>
      </c>
      <c r="F36" s="7">
        <v>1.1499999999999999</v>
      </c>
      <c r="G36" s="7">
        <v>1</v>
      </c>
    </row>
    <row r="37" spans="1:7">
      <c r="A37" s="7">
        <v>2026</v>
      </c>
      <c r="B37" s="7">
        <v>4</v>
      </c>
      <c r="C37" s="7" t="s">
        <v>111</v>
      </c>
    </row>
    <row r="38" spans="1:7">
      <c r="A38" s="7">
        <v>2026</v>
      </c>
      <c r="B38" s="7">
        <v>4</v>
      </c>
      <c r="C38" s="7" t="s">
        <v>4381</v>
      </c>
      <c r="D38" s="7">
        <v>1.4</v>
      </c>
      <c r="E38" s="7">
        <v>1.3</v>
      </c>
      <c r="F38" s="7">
        <v>1.2</v>
      </c>
      <c r="G38" s="7">
        <v>1</v>
      </c>
    </row>
    <row r="39" spans="1:7">
      <c r="A39" s="7">
        <v>2026</v>
      </c>
      <c r="B39" s="7">
        <v>5</v>
      </c>
      <c r="C39" s="7" t="s">
        <v>314</v>
      </c>
      <c r="D39" s="7">
        <v>1.3</v>
      </c>
      <c r="E39" s="7">
        <v>1.1499999999999999</v>
      </c>
      <c r="F39" s="7">
        <v>1.1499999999999999</v>
      </c>
      <c r="G39" s="7">
        <v>1</v>
      </c>
    </row>
    <row r="40" spans="1:7">
      <c r="A40" s="7">
        <v>2026</v>
      </c>
      <c r="B40" s="7">
        <v>5</v>
      </c>
      <c r="C40" s="7" t="s">
        <v>91</v>
      </c>
      <c r="D40" s="7">
        <v>1.3</v>
      </c>
      <c r="E40" s="7">
        <v>1.1499999999999999</v>
      </c>
      <c r="F40" s="7">
        <v>1.1499999999999999</v>
      </c>
      <c r="G40" s="7">
        <v>1</v>
      </c>
    </row>
    <row r="41" spans="1:7">
      <c r="A41" s="7">
        <v>2026</v>
      </c>
      <c r="B41" s="7">
        <v>5</v>
      </c>
      <c r="C41" s="7" t="s">
        <v>349</v>
      </c>
      <c r="D41" s="7">
        <v>1.3</v>
      </c>
      <c r="E41" s="7">
        <v>1.1499999999999999</v>
      </c>
      <c r="F41" s="7">
        <v>1.1499999999999999</v>
      </c>
      <c r="G41" s="7">
        <v>1</v>
      </c>
    </row>
    <row r="42" spans="1:7">
      <c r="A42" s="7">
        <v>2026</v>
      </c>
      <c r="B42" s="7">
        <v>5</v>
      </c>
      <c r="C42" s="7" t="s">
        <v>191</v>
      </c>
      <c r="D42" s="7">
        <v>1.5</v>
      </c>
      <c r="E42" s="7">
        <v>1.25</v>
      </c>
      <c r="F42" s="7">
        <v>1.25</v>
      </c>
      <c r="G42" s="7">
        <v>1</v>
      </c>
    </row>
    <row r="43" spans="1:7">
      <c r="A43" s="7">
        <v>2026</v>
      </c>
      <c r="B43" s="7">
        <v>5</v>
      </c>
      <c r="C43" s="7" t="s">
        <v>300</v>
      </c>
      <c r="D43" s="7">
        <v>1.3</v>
      </c>
      <c r="E43" s="7">
        <v>1.1499999999999999</v>
      </c>
      <c r="F43" s="7">
        <v>1.1499999999999999</v>
      </c>
      <c r="G43" s="7">
        <v>1</v>
      </c>
    </row>
    <row r="44" spans="1:7">
      <c r="A44" s="7">
        <v>2026</v>
      </c>
      <c r="B44" s="7">
        <v>5</v>
      </c>
      <c r="C44" s="7" t="s">
        <v>111</v>
      </c>
    </row>
    <row r="45" spans="1:7">
      <c r="A45" s="7">
        <v>2026</v>
      </c>
      <c r="B45" s="7">
        <v>5</v>
      </c>
      <c r="C45" s="7" t="s">
        <v>4381</v>
      </c>
      <c r="D45" s="7">
        <v>1.4</v>
      </c>
      <c r="E45" s="7">
        <v>1.3</v>
      </c>
      <c r="F45" s="7">
        <v>1.2</v>
      </c>
      <c r="G45" s="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1237F-BD57-4532-A95D-D78EE667689F}">
  <dimension ref="A1:D13"/>
  <sheetViews>
    <sheetView workbookViewId="0">
      <selection activeCell="B8" sqref="B8:B13"/>
    </sheetView>
  </sheetViews>
  <sheetFormatPr defaultRowHeight="15"/>
  <cols>
    <col min="1" max="4" width="9.140625" style="7"/>
  </cols>
  <sheetData>
    <row r="1" spans="1:4">
      <c r="A1" s="7" t="s">
        <v>4264</v>
      </c>
      <c r="B1" s="7" t="s">
        <v>4265</v>
      </c>
      <c r="C1" s="7" t="s">
        <v>4422</v>
      </c>
      <c r="D1" s="7" t="s">
        <v>4423</v>
      </c>
    </row>
    <row r="2" spans="1:4">
      <c r="A2" s="7">
        <v>2026</v>
      </c>
      <c r="B2" s="7">
        <v>4</v>
      </c>
      <c r="C2" s="7">
        <v>0.6</v>
      </c>
      <c r="D2" s="7">
        <v>0.55000000000000004</v>
      </c>
    </row>
    <row r="3" spans="1:4">
      <c r="A3" s="7">
        <v>2026</v>
      </c>
      <c r="B3" s="7">
        <v>4</v>
      </c>
      <c r="C3" s="7">
        <v>0.7</v>
      </c>
      <c r="D3" s="7">
        <v>0.7</v>
      </c>
    </row>
    <row r="4" spans="1:4">
      <c r="A4" s="7">
        <v>2026</v>
      </c>
      <c r="B4" s="7">
        <v>4</v>
      </c>
      <c r="C4" s="7">
        <v>0.8</v>
      </c>
      <c r="D4" s="7">
        <v>0.85</v>
      </c>
    </row>
    <row r="5" spans="1:4">
      <c r="A5" s="7">
        <v>2026</v>
      </c>
      <c r="B5" s="7">
        <v>4</v>
      </c>
      <c r="C5" s="7">
        <v>0.9</v>
      </c>
      <c r="D5" s="7">
        <v>0.95</v>
      </c>
    </row>
    <row r="6" spans="1:4">
      <c r="A6" s="7">
        <v>2026</v>
      </c>
      <c r="B6" s="7">
        <v>4</v>
      </c>
      <c r="C6" s="7">
        <v>1</v>
      </c>
      <c r="D6" s="7">
        <v>1.05</v>
      </c>
    </row>
    <row r="7" spans="1:4">
      <c r="A7" s="7">
        <v>2026</v>
      </c>
      <c r="B7" s="7">
        <v>4</v>
      </c>
      <c r="C7" s="7">
        <v>1.1000000000000001</v>
      </c>
      <c r="D7" s="7">
        <v>1.1000000000000001</v>
      </c>
    </row>
    <row r="8" spans="1:4">
      <c r="A8" s="7">
        <v>2026</v>
      </c>
      <c r="B8" s="7">
        <v>5</v>
      </c>
      <c r="C8" s="7">
        <v>0.6</v>
      </c>
      <c r="D8" s="7">
        <v>0.55000000000000004</v>
      </c>
    </row>
    <row r="9" spans="1:4">
      <c r="A9" s="7">
        <v>2026</v>
      </c>
      <c r="B9" s="7">
        <v>5</v>
      </c>
      <c r="C9" s="7">
        <v>0.7</v>
      </c>
      <c r="D9" s="7">
        <v>0.7</v>
      </c>
    </row>
    <row r="10" spans="1:4">
      <c r="A10" s="7">
        <v>2026</v>
      </c>
      <c r="B10" s="7">
        <v>5</v>
      </c>
      <c r="C10" s="7">
        <v>0.8</v>
      </c>
      <c r="D10" s="7">
        <v>0.85</v>
      </c>
    </row>
    <row r="11" spans="1:4">
      <c r="A11" s="7">
        <v>2026</v>
      </c>
      <c r="B11" s="7">
        <v>5</v>
      </c>
      <c r="C11" s="7">
        <v>0.9</v>
      </c>
      <c r="D11" s="7">
        <v>0.95</v>
      </c>
    </row>
    <row r="12" spans="1:4">
      <c r="A12" s="7">
        <v>2026</v>
      </c>
      <c r="B12" s="7">
        <v>5</v>
      </c>
      <c r="C12" s="7">
        <v>1</v>
      </c>
      <c r="D12" s="7">
        <v>1.05</v>
      </c>
    </row>
    <row r="13" spans="1:4">
      <c r="A13" s="7">
        <v>2026</v>
      </c>
      <c r="B13" s="7">
        <v>5</v>
      </c>
      <c r="C13" s="7">
        <v>1.1000000000000001</v>
      </c>
      <c r="D13" s="7">
        <v>1.1000000000000001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FCE89-C81C-40B2-9288-6F5BC0CCFDC4}">
  <dimension ref="A1:R89"/>
  <sheetViews>
    <sheetView workbookViewId="0">
      <pane ySplit="2" topLeftCell="A3" activePane="bottomLeft" state="frozen"/>
      <selection pane="bottomLeft" activeCell="P75" sqref="P75"/>
    </sheetView>
  </sheetViews>
  <sheetFormatPr defaultRowHeight="15"/>
  <cols>
    <col min="1" max="1" width="5.42578125" style="7" bestFit="1" customWidth="1"/>
    <col min="2" max="2" width="4.85546875" style="7" bestFit="1" customWidth="1"/>
    <col min="3" max="3" width="29.5703125" style="7" bestFit="1" customWidth="1"/>
    <col min="4" max="4" width="12.5703125" style="7" bestFit="1" customWidth="1"/>
    <col min="6" max="6" width="5.42578125" style="7" bestFit="1" customWidth="1"/>
    <col min="7" max="7" width="4.85546875" style="7" bestFit="1" customWidth="1"/>
    <col min="8" max="8" width="29.140625" style="7" bestFit="1" customWidth="1"/>
    <col min="9" max="9" width="66.5703125" style="7" bestFit="1" customWidth="1"/>
    <col min="10" max="10" width="8.85546875" style="7" bestFit="1" customWidth="1"/>
    <col min="11" max="11" width="17" style="7" bestFit="1" customWidth="1"/>
    <col min="12" max="12" width="13" style="7" bestFit="1" customWidth="1"/>
    <col min="13" max="13" width="18.140625" style="7" bestFit="1" customWidth="1"/>
    <col min="14" max="14" width="13" style="7" bestFit="1" customWidth="1"/>
    <col min="15" max="15" width="14.140625" style="7" bestFit="1" customWidth="1"/>
    <col min="16" max="16" width="11.42578125" style="7" bestFit="1" customWidth="1"/>
    <col min="18" max="18" width="11.42578125" bestFit="1" customWidth="1"/>
  </cols>
  <sheetData>
    <row r="1" spans="1:18">
      <c r="A1" s="113" t="s">
        <v>4424</v>
      </c>
      <c r="B1" s="113"/>
      <c r="C1" s="113"/>
      <c r="D1" s="113"/>
      <c r="F1" s="113" t="s">
        <v>4425</v>
      </c>
      <c r="G1" s="113"/>
      <c r="H1" s="113"/>
      <c r="I1" s="113"/>
      <c r="J1" s="113"/>
      <c r="K1" s="113"/>
      <c r="L1" s="113"/>
      <c r="M1" s="113"/>
      <c r="N1" s="113"/>
      <c r="O1" s="113"/>
      <c r="P1" s="113"/>
    </row>
    <row r="2" spans="1:18">
      <c r="A2" s="7" t="s">
        <v>4264</v>
      </c>
      <c r="B2" s="7" t="s">
        <v>4265</v>
      </c>
      <c r="C2" s="7" t="s">
        <v>4426</v>
      </c>
      <c r="D2" s="7" t="s">
        <v>4427</v>
      </c>
      <c r="F2" s="7" t="s">
        <v>4264</v>
      </c>
      <c r="G2" s="7" t="s">
        <v>4265</v>
      </c>
      <c r="H2" s="7" t="s">
        <v>4426</v>
      </c>
      <c r="I2" s="7" t="s">
        <v>4428</v>
      </c>
      <c r="J2" s="7" t="s">
        <v>4429</v>
      </c>
      <c r="K2" s="12" t="s">
        <v>4430</v>
      </c>
      <c r="L2" s="12" t="s">
        <v>4431</v>
      </c>
      <c r="M2" s="12" t="s">
        <v>4432</v>
      </c>
      <c r="N2" s="11" t="s">
        <v>4433</v>
      </c>
      <c r="O2" s="11" t="s">
        <v>4434</v>
      </c>
      <c r="P2" s="11" t="s">
        <v>4435</v>
      </c>
    </row>
    <row r="3" spans="1:18">
      <c r="A3" s="7">
        <v>2026</v>
      </c>
      <c r="B3" s="7">
        <v>1</v>
      </c>
      <c r="C3" s="7" t="s">
        <v>162</v>
      </c>
      <c r="D3" s="11">
        <v>0</v>
      </c>
      <c r="F3" s="7">
        <v>2026</v>
      </c>
      <c r="G3" s="7">
        <v>1</v>
      </c>
      <c r="H3" s="7" t="s">
        <v>1160</v>
      </c>
      <c r="I3" s="7" t="s">
        <v>4436</v>
      </c>
      <c r="J3" s="7">
        <v>317770</v>
      </c>
      <c r="K3" s="12">
        <v>46030</v>
      </c>
      <c r="L3" s="12">
        <v>45455</v>
      </c>
      <c r="M3" s="12">
        <v>46558</v>
      </c>
      <c r="N3" s="11">
        <v>10161.15</v>
      </c>
      <c r="O3" s="11">
        <f>(M3-K3) * N3 / (M3-L3)</f>
        <v>4864.0863100634633</v>
      </c>
      <c r="P3" s="11">
        <f>O3*0.02</f>
        <v>97.281726201269265</v>
      </c>
      <c r="Q3">
        <f>(M3-K3)/30.44</f>
        <v>17.345597897503286</v>
      </c>
      <c r="R3" s="111">
        <f>O3/Q3</f>
        <v>280.42194560290119</v>
      </c>
    </row>
    <row r="4" spans="1:18">
      <c r="A4" s="7">
        <v>2026</v>
      </c>
      <c r="B4" s="7">
        <v>1</v>
      </c>
      <c r="C4" s="7" t="s">
        <v>137</v>
      </c>
      <c r="D4" s="11">
        <v>2661.2</v>
      </c>
      <c r="F4" s="7">
        <v>2026</v>
      </c>
      <c r="G4" s="7">
        <v>1</v>
      </c>
      <c r="H4" s="7" t="s">
        <v>1160</v>
      </c>
      <c r="I4" s="7" t="s">
        <v>4437</v>
      </c>
      <c r="J4" s="7">
        <v>326499</v>
      </c>
      <c r="K4" s="12">
        <v>46051</v>
      </c>
      <c r="L4" s="12">
        <v>46019</v>
      </c>
      <c r="M4" s="12">
        <v>46384</v>
      </c>
      <c r="N4" s="11">
        <v>9354</v>
      </c>
      <c r="O4" s="11">
        <f t="shared" ref="O4:O15" si="0">(M4-K4) * N4 / (M4-L4)</f>
        <v>8533.9232876712322</v>
      </c>
      <c r="P4" s="11">
        <f t="shared" ref="P4:P15" si="1">O4*0.02</f>
        <v>170.67846575342466</v>
      </c>
      <c r="Q4">
        <f t="shared" ref="Q4:Q55" si="2">(M4-K4)/30.44</f>
        <v>10.939553219448094</v>
      </c>
      <c r="R4" s="111">
        <f t="shared" ref="R4:R55" si="3">O4/Q4</f>
        <v>780.09797260273979</v>
      </c>
    </row>
    <row r="5" spans="1:18">
      <c r="A5" s="7">
        <v>2026</v>
      </c>
      <c r="B5" s="7">
        <v>1</v>
      </c>
      <c r="C5" s="7" t="s">
        <v>127</v>
      </c>
      <c r="D5" s="11">
        <v>7393.31</v>
      </c>
      <c r="F5" s="7">
        <v>2026</v>
      </c>
      <c r="G5" s="7">
        <v>1</v>
      </c>
      <c r="H5" s="7" t="s">
        <v>1160</v>
      </c>
      <c r="I5" s="7" t="s">
        <v>4438</v>
      </c>
      <c r="J5" s="7">
        <v>327694</v>
      </c>
      <c r="K5" s="12">
        <v>46050</v>
      </c>
      <c r="L5" s="12">
        <v>46008</v>
      </c>
      <c r="M5" s="12">
        <v>46373</v>
      </c>
      <c r="N5" s="11">
        <v>9354</v>
      </c>
      <c r="O5" s="11">
        <f t="shared" si="0"/>
        <v>8277.6493150684928</v>
      </c>
      <c r="P5" s="11">
        <f t="shared" si="1"/>
        <v>165.55298630136986</v>
      </c>
      <c r="Q5">
        <f t="shared" si="2"/>
        <v>10.611038107752956</v>
      </c>
      <c r="R5" s="111">
        <f t="shared" si="3"/>
        <v>780.09797260273979</v>
      </c>
    </row>
    <row r="6" spans="1:18">
      <c r="A6" s="7">
        <v>2026</v>
      </c>
      <c r="B6" s="7">
        <v>1</v>
      </c>
      <c r="C6" s="7" t="s">
        <v>116</v>
      </c>
      <c r="D6" s="11">
        <v>2102.2800000000002</v>
      </c>
      <c r="F6" s="7">
        <v>2026</v>
      </c>
      <c r="G6" s="7">
        <v>1</v>
      </c>
      <c r="H6" s="7" t="s">
        <v>1160</v>
      </c>
      <c r="I6" s="7" t="s">
        <v>4439</v>
      </c>
      <c r="J6" s="7">
        <v>502829</v>
      </c>
      <c r="K6" s="12">
        <v>46030</v>
      </c>
      <c r="L6" s="12">
        <v>45983</v>
      </c>
      <c r="M6" s="12">
        <v>46348</v>
      </c>
      <c r="N6" s="11">
        <v>8418.6</v>
      </c>
      <c r="O6" s="11">
        <f t="shared" si="0"/>
        <v>7334.5610958904117</v>
      </c>
      <c r="P6" s="11">
        <f t="shared" si="1"/>
        <v>146.69122191780824</v>
      </c>
      <c r="Q6">
        <f t="shared" si="2"/>
        <v>10.446780551905388</v>
      </c>
      <c r="R6" s="111">
        <f t="shared" si="3"/>
        <v>702.08817534246577</v>
      </c>
    </row>
    <row r="7" spans="1:18">
      <c r="A7" s="7">
        <v>2026</v>
      </c>
      <c r="B7" s="7">
        <v>1</v>
      </c>
      <c r="C7" s="7" t="s">
        <v>133</v>
      </c>
      <c r="D7" s="11">
        <v>3626.1</v>
      </c>
      <c r="F7" s="7">
        <v>2026</v>
      </c>
      <c r="G7" s="7">
        <v>1</v>
      </c>
      <c r="H7" s="7" t="s">
        <v>1160</v>
      </c>
      <c r="I7" s="7" t="s">
        <v>4440</v>
      </c>
      <c r="J7" s="7">
        <v>520856</v>
      </c>
      <c r="K7" s="12">
        <v>46043</v>
      </c>
      <c r="L7" s="12">
        <v>45586</v>
      </c>
      <c r="M7" s="12">
        <v>46681</v>
      </c>
      <c r="N7" s="11">
        <v>17751.599999999999</v>
      </c>
      <c r="O7" s="11">
        <f>(M7-K7) * N7 / (M7-L7)</f>
        <v>10342.941369863012</v>
      </c>
      <c r="P7" s="11">
        <f>O7*0.02</f>
        <v>206.85882739726026</v>
      </c>
      <c r="Q7">
        <f t="shared" si="2"/>
        <v>20.959264126149801</v>
      </c>
      <c r="R7" s="111">
        <f t="shared" si="3"/>
        <v>493.47826849315067</v>
      </c>
    </row>
    <row r="8" spans="1:18">
      <c r="A8" s="7">
        <v>2026</v>
      </c>
      <c r="B8" s="7">
        <v>2</v>
      </c>
      <c r="C8" s="7" t="s">
        <v>190</v>
      </c>
      <c r="D8" s="11">
        <v>1228.6500000000001</v>
      </c>
      <c r="F8" s="7">
        <v>2026</v>
      </c>
      <c r="G8" s="7">
        <v>1</v>
      </c>
      <c r="H8" s="7" t="s">
        <v>4441</v>
      </c>
      <c r="I8" s="7" t="s">
        <v>4442</v>
      </c>
      <c r="J8" s="7">
        <v>539718</v>
      </c>
      <c r="K8" s="12">
        <v>46035</v>
      </c>
      <c r="L8" s="12">
        <v>45481</v>
      </c>
      <c r="M8" s="12">
        <v>46941</v>
      </c>
      <c r="N8" s="11">
        <v>18956.830000000002</v>
      </c>
      <c r="O8" s="11">
        <f t="shared" si="0"/>
        <v>11763.62190410959</v>
      </c>
      <c r="P8" s="11">
        <f t="shared" si="1"/>
        <v>235.2724380821918</v>
      </c>
      <c r="Q8">
        <f t="shared" si="2"/>
        <v>29.763469119579501</v>
      </c>
      <c r="R8" s="111">
        <f t="shared" si="3"/>
        <v>395.23692136986307</v>
      </c>
    </row>
    <row r="9" spans="1:18">
      <c r="A9" s="7">
        <v>2026</v>
      </c>
      <c r="B9" s="7">
        <v>2</v>
      </c>
      <c r="C9" s="7" t="s">
        <v>162</v>
      </c>
      <c r="D9" s="11">
        <v>3072.03</v>
      </c>
      <c r="F9" s="7">
        <v>2026</v>
      </c>
      <c r="G9" s="7">
        <v>1</v>
      </c>
      <c r="H9" s="7" t="s">
        <v>4441</v>
      </c>
      <c r="I9" s="7" t="s">
        <v>4443</v>
      </c>
      <c r="J9" s="7">
        <v>547738</v>
      </c>
      <c r="K9" s="12">
        <v>46045</v>
      </c>
      <c r="L9" s="12">
        <v>45936</v>
      </c>
      <c r="M9" s="12">
        <v>46301</v>
      </c>
      <c r="N9" s="11">
        <v>2294.4</v>
      </c>
      <c r="O9" s="11">
        <f t="shared" si="0"/>
        <v>1609.2230136986302</v>
      </c>
      <c r="P9" s="11">
        <f t="shared" si="1"/>
        <v>32.184460273972604</v>
      </c>
      <c r="Q9">
        <f t="shared" si="2"/>
        <v>8.4099868593955325</v>
      </c>
      <c r="R9" s="111">
        <f t="shared" si="3"/>
        <v>191.34667397260273</v>
      </c>
    </row>
    <row r="10" spans="1:18">
      <c r="A10" s="7">
        <v>2026</v>
      </c>
      <c r="B10" s="7">
        <v>2</v>
      </c>
      <c r="C10" s="7" t="s">
        <v>137</v>
      </c>
      <c r="D10" s="11">
        <v>12113.1</v>
      </c>
      <c r="F10" s="7">
        <v>2026</v>
      </c>
      <c r="G10" s="7">
        <v>1</v>
      </c>
      <c r="H10" s="7" t="s">
        <v>1160</v>
      </c>
      <c r="I10" s="7" t="s">
        <v>4444</v>
      </c>
      <c r="J10" s="7">
        <v>620833</v>
      </c>
      <c r="K10" s="12">
        <v>46042</v>
      </c>
      <c r="L10" s="12">
        <v>45913</v>
      </c>
      <c r="M10" s="12">
        <v>46278</v>
      </c>
      <c r="N10" s="11">
        <v>4892.3999999999996</v>
      </c>
      <c r="O10" s="11">
        <f t="shared" si="0"/>
        <v>3163.3052054794516</v>
      </c>
      <c r="P10" s="11">
        <f t="shared" si="1"/>
        <v>63.266104109589037</v>
      </c>
      <c r="Q10">
        <f t="shared" si="2"/>
        <v>7.7529566360052558</v>
      </c>
      <c r="R10" s="111">
        <f t="shared" si="3"/>
        <v>408.01275616438352</v>
      </c>
    </row>
    <row r="11" spans="1:18">
      <c r="A11" s="7">
        <v>2026</v>
      </c>
      <c r="B11" s="7">
        <v>2</v>
      </c>
      <c r="C11" s="7" t="s">
        <v>127</v>
      </c>
      <c r="D11" s="11">
        <v>1502.19</v>
      </c>
      <c r="F11" s="7">
        <v>2026</v>
      </c>
      <c r="G11" s="7">
        <v>1</v>
      </c>
      <c r="H11" s="7" t="s">
        <v>1160</v>
      </c>
      <c r="I11" s="7" t="s">
        <v>4445</v>
      </c>
      <c r="J11" s="7">
        <v>623478</v>
      </c>
      <c r="K11" s="12">
        <v>46031</v>
      </c>
      <c r="L11" s="12">
        <v>45968</v>
      </c>
      <c r="M11" s="12">
        <v>46333</v>
      </c>
      <c r="N11" s="11">
        <v>5627.16</v>
      </c>
      <c r="O11" s="11">
        <f t="shared" si="0"/>
        <v>4655.8967671232876</v>
      </c>
      <c r="P11" s="11">
        <f t="shared" si="1"/>
        <v>93.117935342465756</v>
      </c>
      <c r="Q11">
        <f t="shared" si="2"/>
        <v>9.9211563731931669</v>
      </c>
      <c r="R11" s="111">
        <f t="shared" si="3"/>
        <v>469.28972712328766</v>
      </c>
    </row>
    <row r="12" spans="1:18">
      <c r="A12" s="7">
        <v>2026</v>
      </c>
      <c r="B12" s="7">
        <v>2</v>
      </c>
      <c r="C12" s="7" t="s">
        <v>116</v>
      </c>
      <c r="D12" s="11">
        <v>14394.09</v>
      </c>
      <c r="F12" s="7">
        <v>2026</v>
      </c>
      <c r="G12" s="7">
        <v>1</v>
      </c>
      <c r="H12" s="7" t="s">
        <v>4441</v>
      </c>
      <c r="I12" s="7" t="s">
        <v>4446</v>
      </c>
      <c r="J12" s="7">
        <v>624022</v>
      </c>
      <c r="K12" s="12">
        <v>46053</v>
      </c>
      <c r="L12" s="12">
        <v>45618</v>
      </c>
      <c r="M12" s="12">
        <v>46713</v>
      </c>
      <c r="N12" s="11">
        <v>10506.6</v>
      </c>
      <c r="O12" s="11">
        <f t="shared" si="0"/>
        <v>6332.7452054794521</v>
      </c>
      <c r="P12" s="11">
        <f t="shared" si="1"/>
        <v>126.65490410958904</v>
      </c>
      <c r="Q12">
        <f t="shared" si="2"/>
        <v>21.681997371879106</v>
      </c>
      <c r="R12" s="111">
        <f t="shared" si="3"/>
        <v>292.07388493150688</v>
      </c>
    </row>
    <row r="13" spans="1:18">
      <c r="A13" s="7">
        <v>2026</v>
      </c>
      <c r="B13" s="7">
        <v>2</v>
      </c>
      <c r="C13" s="7" t="s">
        <v>133</v>
      </c>
      <c r="D13" s="11">
        <v>6187.98</v>
      </c>
      <c r="F13" s="7">
        <v>2026</v>
      </c>
      <c r="G13" s="7">
        <v>1</v>
      </c>
      <c r="H13" s="7" t="s">
        <v>1160</v>
      </c>
      <c r="I13" s="7" t="s">
        <v>4447</v>
      </c>
      <c r="J13" s="7">
        <v>628533</v>
      </c>
      <c r="K13" s="12">
        <v>46030</v>
      </c>
      <c r="L13" s="12">
        <v>45758</v>
      </c>
      <c r="M13" s="12">
        <v>46854</v>
      </c>
      <c r="N13" s="11">
        <v>11145.6</v>
      </c>
      <c r="O13" s="11">
        <f t="shared" si="0"/>
        <v>8379.5386861313873</v>
      </c>
      <c r="P13" s="11">
        <f t="shared" si="1"/>
        <v>167.59077372262774</v>
      </c>
      <c r="Q13">
        <f t="shared" si="2"/>
        <v>27.069645203679368</v>
      </c>
      <c r="R13" s="111">
        <f t="shared" si="3"/>
        <v>309.55480291970804</v>
      </c>
    </row>
    <row r="14" spans="1:18">
      <c r="A14" s="7">
        <v>2026</v>
      </c>
      <c r="B14" s="7">
        <v>2</v>
      </c>
      <c r="C14" s="7" t="s">
        <v>110</v>
      </c>
      <c r="D14" s="11">
        <v>0</v>
      </c>
      <c r="F14" s="7">
        <v>2026</v>
      </c>
      <c r="G14" s="7">
        <v>1</v>
      </c>
      <c r="H14" s="7" t="s">
        <v>1160</v>
      </c>
      <c r="I14" s="7" t="s">
        <v>4448</v>
      </c>
      <c r="J14" s="7">
        <v>633657</v>
      </c>
      <c r="K14" s="12">
        <v>46030</v>
      </c>
      <c r="L14" s="12">
        <v>45957</v>
      </c>
      <c r="M14" s="12">
        <v>46322</v>
      </c>
      <c r="N14" s="11">
        <v>10166.4</v>
      </c>
      <c r="O14" s="11">
        <f t="shared" si="0"/>
        <v>8133.12</v>
      </c>
      <c r="P14" s="11">
        <f>O14*0.02</f>
        <v>162.66239999999999</v>
      </c>
      <c r="Q14">
        <f t="shared" si="2"/>
        <v>9.592641261498029</v>
      </c>
      <c r="R14" s="111">
        <f t="shared" si="3"/>
        <v>847.84990684931506</v>
      </c>
    </row>
    <row r="15" spans="1:18">
      <c r="A15" s="7">
        <v>2026</v>
      </c>
      <c r="B15" s="7">
        <v>2</v>
      </c>
      <c r="C15" s="7" t="s">
        <v>121</v>
      </c>
      <c r="D15" s="11">
        <v>8462.32</v>
      </c>
      <c r="F15" s="7">
        <v>2026</v>
      </c>
      <c r="G15" s="7">
        <v>1</v>
      </c>
      <c r="H15" s="7" t="s">
        <v>1160</v>
      </c>
      <c r="I15" s="7" t="s">
        <v>4449</v>
      </c>
      <c r="J15" s="7">
        <v>634258</v>
      </c>
      <c r="K15" s="12">
        <v>46049</v>
      </c>
      <c r="L15" s="12">
        <v>45961</v>
      </c>
      <c r="M15" s="12">
        <v>46326</v>
      </c>
      <c r="N15" s="11">
        <v>5183.16</v>
      </c>
      <c r="O15" s="11">
        <f t="shared" si="0"/>
        <v>3933.5214246575342</v>
      </c>
      <c r="P15" s="11">
        <f t="shared" si="1"/>
        <v>78.670428493150681</v>
      </c>
      <c r="Q15">
        <f t="shared" si="2"/>
        <v>9.0998685939553212</v>
      </c>
      <c r="R15" s="111">
        <f t="shared" si="3"/>
        <v>432.26134356164386</v>
      </c>
    </row>
    <row r="16" spans="1:18">
      <c r="A16" s="7">
        <v>2026</v>
      </c>
      <c r="B16" s="7">
        <v>3</v>
      </c>
      <c r="C16" s="7" t="s">
        <v>162</v>
      </c>
      <c r="D16" s="11">
        <v>3973.23</v>
      </c>
      <c r="F16" s="7">
        <v>2026</v>
      </c>
      <c r="G16" s="7">
        <v>2</v>
      </c>
      <c r="H16" s="7" t="s">
        <v>1160</v>
      </c>
      <c r="I16" s="7" t="s">
        <v>4450</v>
      </c>
      <c r="J16" s="7">
        <v>327722</v>
      </c>
      <c r="K16" s="12">
        <v>46062.506944444445</v>
      </c>
      <c r="L16" s="12">
        <v>46004</v>
      </c>
      <c r="M16" s="12">
        <v>46369</v>
      </c>
      <c r="N16" s="11">
        <v>2730.24</v>
      </c>
      <c r="O16" s="11">
        <f t="shared" ref="O16:O22" si="4">(M16-K16) * N16 / (M16-L16)</f>
        <v>2292.6016438356105</v>
      </c>
      <c r="P16" s="11">
        <f t="shared" ref="P16:P22" si="5">O16*0.02</f>
        <v>45.852032876712208</v>
      </c>
      <c r="Q16">
        <f t="shared" si="2"/>
        <v>10.06876003796172</v>
      </c>
      <c r="R16" s="111">
        <f t="shared" si="3"/>
        <v>227.69453589041095</v>
      </c>
    </row>
    <row r="17" spans="1:18">
      <c r="A17" s="7">
        <v>2026</v>
      </c>
      <c r="B17" s="7">
        <v>3</v>
      </c>
      <c r="C17" s="7" t="s">
        <v>137</v>
      </c>
      <c r="D17" s="11">
        <v>2366.1</v>
      </c>
      <c r="F17" s="7">
        <v>2026</v>
      </c>
      <c r="G17" s="7">
        <v>2</v>
      </c>
      <c r="H17" s="7" t="s">
        <v>1160</v>
      </c>
      <c r="I17" s="7" t="s">
        <v>4451</v>
      </c>
      <c r="J17" s="7">
        <v>514576</v>
      </c>
      <c r="K17" s="12">
        <v>46078.652777777781</v>
      </c>
      <c r="L17" s="12">
        <v>45553</v>
      </c>
      <c r="M17" s="12">
        <v>46648</v>
      </c>
      <c r="N17" s="11">
        <v>12915</v>
      </c>
      <c r="O17" s="11">
        <f t="shared" si="4"/>
        <v>6715.1775114154871</v>
      </c>
      <c r="P17" s="11">
        <f t="shared" si="5"/>
        <v>134.30355022830975</v>
      </c>
      <c r="Q17">
        <f t="shared" si="2"/>
        <v>18.70391663016488</v>
      </c>
      <c r="R17" s="111">
        <f t="shared" si="3"/>
        <v>359.0252054794521</v>
      </c>
    </row>
    <row r="18" spans="1:18">
      <c r="A18" s="7">
        <v>2026</v>
      </c>
      <c r="B18" s="7">
        <v>3</v>
      </c>
      <c r="C18" s="7" t="s">
        <v>127</v>
      </c>
      <c r="D18" s="11">
        <v>14254.1</v>
      </c>
      <c r="F18" s="7">
        <v>2026</v>
      </c>
      <c r="G18" s="7">
        <v>2</v>
      </c>
      <c r="H18" s="7" t="s">
        <v>1160</v>
      </c>
      <c r="I18" s="7" t="s">
        <v>4452</v>
      </c>
      <c r="J18" s="7">
        <v>624231</v>
      </c>
      <c r="K18" s="12">
        <v>46079.406944444447</v>
      </c>
      <c r="L18" s="12">
        <v>45623</v>
      </c>
      <c r="M18" s="12">
        <v>46718</v>
      </c>
      <c r="N18" s="11">
        <v>15186.6</v>
      </c>
      <c r="O18" s="11">
        <f t="shared" si="4"/>
        <v>8856.6733310501968</v>
      </c>
      <c r="P18" s="11">
        <f t="shared" si="5"/>
        <v>177.13346662100395</v>
      </c>
      <c r="Q18">
        <f t="shared" si="2"/>
        <v>20.978746897357205</v>
      </c>
      <c r="R18" s="111">
        <f t="shared" si="3"/>
        <v>422.17361095890408</v>
      </c>
    </row>
    <row r="19" spans="1:18">
      <c r="A19" s="7">
        <v>2026</v>
      </c>
      <c r="B19" s="7">
        <v>3</v>
      </c>
      <c r="C19" s="7" t="s">
        <v>116</v>
      </c>
      <c r="D19" s="11">
        <v>19952.52</v>
      </c>
      <c r="F19" s="7">
        <v>2026</v>
      </c>
      <c r="G19" s="7">
        <v>2</v>
      </c>
      <c r="H19" s="7" t="s">
        <v>1160</v>
      </c>
      <c r="I19" s="7" t="s">
        <v>4453</v>
      </c>
      <c r="J19" s="7">
        <v>624669</v>
      </c>
      <c r="K19" s="12">
        <v>46062.50277777778</v>
      </c>
      <c r="L19" s="12">
        <v>45632</v>
      </c>
      <c r="M19" s="12">
        <v>46727</v>
      </c>
      <c r="N19" s="11">
        <v>17886.599999999999</v>
      </c>
      <c r="O19" s="11">
        <f t="shared" si="4"/>
        <v>10854.425584474855</v>
      </c>
      <c r="P19" s="11">
        <f t="shared" si="5"/>
        <v>217.0885116894971</v>
      </c>
      <c r="Q19">
        <f t="shared" si="2"/>
        <v>21.829737917944165</v>
      </c>
      <c r="R19" s="111">
        <f t="shared" si="3"/>
        <v>497.23114520547944</v>
      </c>
    </row>
    <row r="20" spans="1:18">
      <c r="A20" s="7">
        <v>2026</v>
      </c>
      <c r="B20" s="7">
        <v>3</v>
      </c>
      <c r="C20" s="7" t="s">
        <v>133</v>
      </c>
      <c r="D20" s="11">
        <v>49550.03</v>
      </c>
      <c r="F20" s="7">
        <v>2026</v>
      </c>
      <c r="G20" s="7">
        <v>2</v>
      </c>
      <c r="H20" s="7" t="s">
        <v>1160</v>
      </c>
      <c r="I20" s="7" t="s">
        <v>4454</v>
      </c>
      <c r="J20" s="7">
        <v>630943</v>
      </c>
      <c r="K20" s="12">
        <v>46065.566666666666</v>
      </c>
      <c r="L20" s="12">
        <v>45852</v>
      </c>
      <c r="M20" s="12">
        <v>46948</v>
      </c>
      <c r="N20" s="11">
        <v>19830.599999999999</v>
      </c>
      <c r="O20" s="11">
        <f t="shared" si="4"/>
        <v>15966.407354014616</v>
      </c>
      <c r="P20" s="11">
        <f t="shared" si="5"/>
        <v>319.32814708029235</v>
      </c>
      <c r="Q20">
        <f t="shared" si="2"/>
        <v>28.989268506351323</v>
      </c>
      <c r="R20" s="111">
        <f t="shared" si="3"/>
        <v>550.7695839416059</v>
      </c>
    </row>
    <row r="21" spans="1:18">
      <c r="A21" s="7">
        <v>2026</v>
      </c>
      <c r="B21" s="7">
        <v>3</v>
      </c>
      <c r="C21" s="7" t="s">
        <v>110</v>
      </c>
      <c r="D21" s="11">
        <v>14739.3</v>
      </c>
      <c r="F21" s="7">
        <v>2026</v>
      </c>
      <c r="G21" s="7">
        <v>2</v>
      </c>
      <c r="H21" s="7" t="s">
        <v>1160</v>
      </c>
      <c r="I21" s="7" t="s">
        <v>4455</v>
      </c>
      <c r="J21" s="7">
        <v>635212</v>
      </c>
      <c r="K21" s="12">
        <v>46072.350694444445</v>
      </c>
      <c r="L21" s="12">
        <v>46001</v>
      </c>
      <c r="M21" s="12">
        <v>46366</v>
      </c>
      <c r="N21" s="11">
        <v>2299.1999999999998</v>
      </c>
      <c r="O21" s="11">
        <f t="shared" si="4"/>
        <v>1849.7492694063874</v>
      </c>
      <c r="P21" s="11">
        <f t="shared" si="5"/>
        <v>36.994985388127752</v>
      </c>
      <c r="Q21">
        <f t="shared" si="2"/>
        <v>9.6468234413782756</v>
      </c>
      <c r="R21" s="111">
        <f t="shared" si="3"/>
        <v>191.74698082191782</v>
      </c>
    </row>
    <row r="22" spans="1:18">
      <c r="A22" s="7">
        <v>2026</v>
      </c>
      <c r="B22" s="7">
        <v>3</v>
      </c>
      <c r="C22" s="7" t="s">
        <v>121</v>
      </c>
      <c r="D22" s="11">
        <v>2856.84</v>
      </c>
      <c r="F22" s="7">
        <v>2026</v>
      </c>
      <c r="G22" s="7">
        <v>2</v>
      </c>
      <c r="H22" s="7" t="s">
        <v>1160</v>
      </c>
      <c r="I22" s="7" t="s">
        <v>4456</v>
      </c>
      <c r="J22" s="7">
        <v>636183</v>
      </c>
      <c r="K22" s="12">
        <v>46073.672222222223</v>
      </c>
      <c r="L22" s="12">
        <v>46073</v>
      </c>
      <c r="M22" s="12">
        <v>46438</v>
      </c>
      <c r="N22" s="11">
        <v>3607.8</v>
      </c>
      <c r="O22" s="11">
        <f t="shared" si="4"/>
        <v>3601.1554977168839</v>
      </c>
      <c r="P22" s="11">
        <f t="shared" si="5"/>
        <v>72.023109954337684</v>
      </c>
      <c r="Q22">
        <f t="shared" si="2"/>
        <v>11.968718061030769</v>
      </c>
      <c r="R22" s="111">
        <f t="shared" si="3"/>
        <v>300.88063561643838</v>
      </c>
    </row>
    <row r="23" spans="1:18">
      <c r="A23" s="7">
        <v>2026</v>
      </c>
      <c r="B23" s="7">
        <v>4</v>
      </c>
      <c r="C23" s="7" t="s">
        <v>162</v>
      </c>
      <c r="D23" s="11">
        <v>9426.4</v>
      </c>
      <c r="F23" s="7">
        <v>2026</v>
      </c>
      <c r="G23" s="7">
        <v>2</v>
      </c>
      <c r="H23" s="7" t="s">
        <v>1160</v>
      </c>
      <c r="I23" s="7" t="s">
        <v>4457</v>
      </c>
      <c r="J23" s="7">
        <v>632641</v>
      </c>
      <c r="K23" s="12">
        <v>46079</v>
      </c>
      <c r="L23" s="12">
        <v>45915</v>
      </c>
      <c r="M23" s="12">
        <v>46280</v>
      </c>
      <c r="N23" s="11">
        <v>2868</v>
      </c>
      <c r="O23" s="11">
        <f t="shared" ref="O23" si="6">(M23-K23) * N23 / (M23-L23)</f>
        <v>1579.3643835616438</v>
      </c>
      <c r="P23" s="11">
        <f t="shared" ref="P23" si="7">O23*0.02</f>
        <v>31.587287671232875</v>
      </c>
      <c r="Q23">
        <f t="shared" si="2"/>
        <v>6.603153745072273</v>
      </c>
      <c r="R23" s="111">
        <f t="shared" si="3"/>
        <v>239.18334246575341</v>
      </c>
    </row>
    <row r="24" spans="1:18">
      <c r="A24" s="7">
        <v>2026</v>
      </c>
      <c r="B24" s="7">
        <v>4</v>
      </c>
      <c r="C24" s="7" t="s">
        <v>137</v>
      </c>
      <c r="D24" s="11">
        <v>1053.08</v>
      </c>
      <c r="F24" s="7">
        <v>2026</v>
      </c>
      <c r="G24" s="7">
        <v>3</v>
      </c>
      <c r="H24" s="7" t="s">
        <v>1160</v>
      </c>
      <c r="I24" s="7" t="s">
        <v>4458</v>
      </c>
      <c r="J24" s="7">
        <v>304040</v>
      </c>
      <c r="K24" s="12">
        <v>46104</v>
      </c>
      <c r="L24" s="12">
        <v>45683</v>
      </c>
      <c r="M24" s="12">
        <v>46778</v>
      </c>
      <c r="N24" s="11">
        <v>16354.8</v>
      </c>
      <c r="O24" s="11">
        <f t="shared" ref="O24:O48" si="8">(M24-K24) * N24 / (M24-L24)</f>
        <v>10066.790136986301</v>
      </c>
      <c r="P24" s="11">
        <f t="shared" ref="P24:P48" si="9">O24*0.02</f>
        <v>201.33580273972603</v>
      </c>
      <c r="Q24">
        <f t="shared" si="2"/>
        <v>22.141918528252297</v>
      </c>
      <c r="R24" s="111">
        <f t="shared" si="3"/>
        <v>454.64850410958906</v>
      </c>
    </row>
    <row r="25" spans="1:18">
      <c r="A25" s="7">
        <v>2026</v>
      </c>
      <c r="B25" s="7">
        <v>4</v>
      </c>
      <c r="C25" s="7" t="s">
        <v>127</v>
      </c>
      <c r="D25" s="11">
        <v>7440.95</v>
      </c>
      <c r="F25" s="7">
        <v>2026</v>
      </c>
      <c r="G25" s="7">
        <v>3</v>
      </c>
      <c r="H25" s="7" t="s">
        <v>1160</v>
      </c>
      <c r="I25" s="7" t="s">
        <v>4459</v>
      </c>
      <c r="J25" s="7">
        <v>318205</v>
      </c>
      <c r="K25" s="12">
        <v>46097</v>
      </c>
      <c r="L25" s="12">
        <v>45457</v>
      </c>
      <c r="M25" s="12">
        <v>46557</v>
      </c>
      <c r="N25" s="11">
        <v>9393.57</v>
      </c>
      <c r="O25" s="11">
        <f t="shared" si="8"/>
        <v>3928.220181818182</v>
      </c>
      <c r="P25" s="11">
        <f t="shared" si="9"/>
        <v>78.564403636363636</v>
      </c>
      <c r="Q25">
        <f t="shared" si="2"/>
        <v>15.111695137976346</v>
      </c>
      <c r="R25" s="111">
        <f t="shared" si="3"/>
        <v>259.94570072727277</v>
      </c>
    </row>
    <row r="26" spans="1:18">
      <c r="A26" s="7">
        <v>2026</v>
      </c>
      <c r="B26" s="7">
        <v>4</v>
      </c>
      <c r="C26" s="7" t="s">
        <v>116</v>
      </c>
      <c r="D26" s="11">
        <v>3136.2</v>
      </c>
      <c r="F26" s="7">
        <v>2026</v>
      </c>
      <c r="G26" s="7">
        <v>3</v>
      </c>
      <c r="H26" s="7" t="s">
        <v>1160</v>
      </c>
      <c r="I26" s="7" t="s">
        <v>4460</v>
      </c>
      <c r="J26" s="7">
        <v>319942</v>
      </c>
      <c r="K26" s="12">
        <v>46101</v>
      </c>
      <c r="L26" s="12">
        <v>46100</v>
      </c>
      <c r="M26" s="12">
        <v>46465</v>
      </c>
      <c r="N26" s="11">
        <v>2730.24</v>
      </c>
      <c r="O26" s="11">
        <f t="shared" si="8"/>
        <v>2722.7598904109586</v>
      </c>
      <c r="P26" s="11">
        <f t="shared" si="9"/>
        <v>54.455197808219175</v>
      </c>
      <c r="Q26">
        <f t="shared" si="2"/>
        <v>11.957950065703022</v>
      </c>
      <c r="R26" s="111">
        <f t="shared" si="3"/>
        <v>227.69453589041095</v>
      </c>
    </row>
    <row r="27" spans="1:18">
      <c r="A27" s="7">
        <v>2026</v>
      </c>
      <c r="B27" s="7">
        <v>4</v>
      </c>
      <c r="C27" s="7" t="s">
        <v>133</v>
      </c>
      <c r="D27" s="11">
        <v>21057.37</v>
      </c>
      <c r="F27" s="7">
        <v>2026</v>
      </c>
      <c r="G27" s="7">
        <v>3</v>
      </c>
      <c r="H27" s="7" t="s">
        <v>1160</v>
      </c>
      <c r="I27" s="7" t="s">
        <v>4461</v>
      </c>
      <c r="J27" s="7">
        <v>321993</v>
      </c>
      <c r="K27" s="12">
        <v>46101</v>
      </c>
      <c r="L27" s="12">
        <v>45525</v>
      </c>
      <c r="M27" s="12">
        <v>46255</v>
      </c>
      <c r="N27" s="11">
        <v>13741.68</v>
      </c>
      <c r="O27" s="11">
        <f t="shared" si="8"/>
        <v>2898.929753424658</v>
      </c>
      <c r="P27" s="11">
        <f t="shared" si="9"/>
        <v>57.978595068493163</v>
      </c>
      <c r="Q27">
        <f t="shared" si="2"/>
        <v>5.0591327201051248</v>
      </c>
      <c r="R27" s="111">
        <f t="shared" si="3"/>
        <v>573.00923178082201</v>
      </c>
    </row>
    <row r="28" spans="1:18">
      <c r="A28" s="7">
        <v>2026</v>
      </c>
      <c r="B28" s="7">
        <v>4</v>
      </c>
      <c r="C28" s="7" t="s">
        <v>110</v>
      </c>
      <c r="D28" s="11">
        <v>1371.23</v>
      </c>
      <c r="F28" s="7">
        <v>2026</v>
      </c>
      <c r="G28" s="7">
        <v>3</v>
      </c>
      <c r="H28" s="7" t="s">
        <v>1160</v>
      </c>
      <c r="I28" s="7" t="s">
        <v>4462</v>
      </c>
      <c r="J28" s="7">
        <v>324833</v>
      </c>
      <c r="K28" s="12">
        <v>46107</v>
      </c>
      <c r="L28" s="12">
        <v>45932</v>
      </c>
      <c r="M28" s="12">
        <v>46297</v>
      </c>
      <c r="N28" s="11">
        <v>4411.8</v>
      </c>
      <c r="O28" s="11">
        <f t="shared" si="8"/>
        <v>2296.5534246575344</v>
      </c>
      <c r="P28" s="11">
        <f t="shared" si="9"/>
        <v>45.93106849315069</v>
      </c>
      <c r="Q28">
        <f t="shared" si="2"/>
        <v>6.2417871222076213</v>
      </c>
      <c r="R28" s="111">
        <f t="shared" si="3"/>
        <v>367.93203287671236</v>
      </c>
    </row>
    <row r="29" spans="1:18">
      <c r="A29" s="7">
        <v>2026</v>
      </c>
      <c r="B29" s="7">
        <v>4</v>
      </c>
      <c r="C29" s="7" t="s">
        <v>121</v>
      </c>
      <c r="D29" s="11">
        <v>4053.18</v>
      </c>
      <c r="F29" s="7">
        <v>2026</v>
      </c>
      <c r="G29" s="7">
        <v>3</v>
      </c>
      <c r="H29" s="7" t="s">
        <v>1160</v>
      </c>
      <c r="I29" s="7" t="s">
        <v>4463</v>
      </c>
      <c r="J29" s="7">
        <v>524409</v>
      </c>
      <c r="K29" s="12">
        <v>46090</v>
      </c>
      <c r="L29" s="12">
        <v>46087</v>
      </c>
      <c r="M29" s="12">
        <v>46452</v>
      </c>
      <c r="N29" s="11">
        <v>10801.68</v>
      </c>
      <c r="O29" s="11">
        <f t="shared" si="8"/>
        <v>10712.89906849315</v>
      </c>
      <c r="P29" s="11">
        <f t="shared" si="9"/>
        <v>214.25798136986302</v>
      </c>
      <c r="Q29">
        <f t="shared" si="2"/>
        <v>11.892247043363994</v>
      </c>
      <c r="R29" s="111">
        <f t="shared" si="3"/>
        <v>900.83051835616436</v>
      </c>
    </row>
    <row r="30" spans="1:18">
      <c r="A30" s="7">
        <v>2026</v>
      </c>
      <c r="B30" s="7">
        <v>5</v>
      </c>
      <c r="C30" s="7" t="s">
        <v>162</v>
      </c>
      <c r="D30" s="11">
        <v>5926.92</v>
      </c>
      <c r="F30" s="7">
        <v>2026</v>
      </c>
      <c r="G30" s="7">
        <v>3</v>
      </c>
      <c r="H30" s="7" t="s">
        <v>1160</v>
      </c>
      <c r="I30" s="7" t="s">
        <v>4464</v>
      </c>
      <c r="J30" s="7">
        <v>528630</v>
      </c>
      <c r="K30" s="12">
        <v>46098</v>
      </c>
      <c r="L30" s="12">
        <v>46097</v>
      </c>
      <c r="M30" s="12">
        <v>46462</v>
      </c>
      <c r="N30" s="11">
        <v>4530.6000000000004</v>
      </c>
      <c r="O30" s="11">
        <f t="shared" si="8"/>
        <v>4518.1873972602743</v>
      </c>
      <c r="P30" s="11">
        <f t="shared" si="9"/>
        <v>90.363747945205489</v>
      </c>
      <c r="Q30">
        <f t="shared" si="2"/>
        <v>11.957950065703022</v>
      </c>
      <c r="R30" s="111">
        <f t="shared" si="3"/>
        <v>377.8396273972603</v>
      </c>
    </row>
    <row r="31" spans="1:18">
      <c r="A31" s="7">
        <v>2026</v>
      </c>
      <c r="B31" s="7">
        <v>5</v>
      </c>
      <c r="C31" s="7" t="s">
        <v>137</v>
      </c>
      <c r="D31" s="11">
        <v>8677.4500000000007</v>
      </c>
      <c r="F31" s="7">
        <v>2026</v>
      </c>
      <c r="G31" s="7">
        <v>3</v>
      </c>
      <c r="H31" s="7" t="s">
        <v>1160</v>
      </c>
      <c r="I31" s="7" t="s">
        <v>4465</v>
      </c>
      <c r="J31" s="7">
        <v>602222</v>
      </c>
      <c r="K31" s="12">
        <v>46100</v>
      </c>
      <c r="L31" s="12">
        <v>45596</v>
      </c>
      <c r="M31" s="12">
        <v>46691</v>
      </c>
      <c r="N31" s="11">
        <v>6299.28</v>
      </c>
      <c r="O31" s="11">
        <f t="shared" si="8"/>
        <v>3399.8853698630137</v>
      </c>
      <c r="P31" s="11">
        <f t="shared" si="9"/>
        <v>67.997707397260271</v>
      </c>
      <c r="Q31">
        <f t="shared" si="2"/>
        <v>19.415243101182654</v>
      </c>
      <c r="R31" s="111">
        <f t="shared" si="3"/>
        <v>175.11423123287673</v>
      </c>
    </row>
    <row r="32" spans="1:18">
      <c r="A32" s="7">
        <v>2026</v>
      </c>
      <c r="B32" s="7">
        <v>5</v>
      </c>
      <c r="C32" s="7" t="s">
        <v>127</v>
      </c>
      <c r="D32" s="11">
        <v>20182.04</v>
      </c>
      <c r="F32" s="7">
        <v>2026</v>
      </c>
      <c r="G32" s="7">
        <v>3</v>
      </c>
      <c r="H32" s="7" t="s">
        <v>1160</v>
      </c>
      <c r="I32" s="7" t="s">
        <v>4466</v>
      </c>
      <c r="J32" s="7">
        <v>617335</v>
      </c>
      <c r="K32" s="12">
        <v>46099</v>
      </c>
      <c r="L32" s="12">
        <v>45828</v>
      </c>
      <c r="M32" s="12">
        <v>46193</v>
      </c>
      <c r="N32" s="11">
        <v>5436</v>
      </c>
      <c r="O32" s="11">
        <f t="shared" si="8"/>
        <v>1399.9561643835616</v>
      </c>
      <c r="P32" s="11">
        <f t="shared" si="9"/>
        <v>27.999123287671232</v>
      </c>
      <c r="Q32">
        <f t="shared" si="2"/>
        <v>3.0880420499342969</v>
      </c>
      <c r="R32" s="111">
        <f t="shared" si="3"/>
        <v>453.3475068493151</v>
      </c>
    </row>
    <row r="33" spans="1:18">
      <c r="A33" s="7">
        <v>2026</v>
      </c>
      <c r="B33" s="7">
        <v>5</v>
      </c>
      <c r="C33" s="7" t="s">
        <v>116</v>
      </c>
      <c r="D33" s="11">
        <v>20024.419999999998</v>
      </c>
      <c r="F33" s="7">
        <v>2026</v>
      </c>
      <c r="G33" s="7">
        <v>3</v>
      </c>
      <c r="H33" s="7" t="s">
        <v>1160</v>
      </c>
      <c r="I33" s="7" t="s">
        <v>4458</v>
      </c>
      <c r="J33" s="7">
        <v>618396</v>
      </c>
      <c r="K33" s="12">
        <v>46104</v>
      </c>
      <c r="L33" s="12">
        <v>45484</v>
      </c>
      <c r="M33" s="12">
        <v>46579</v>
      </c>
      <c r="N33" s="11">
        <v>11593.8</v>
      </c>
      <c r="O33" s="11">
        <f t="shared" si="8"/>
        <v>5029.2739726027394</v>
      </c>
      <c r="P33" s="11">
        <f t="shared" si="9"/>
        <v>100.58547945205478</v>
      </c>
      <c r="Q33">
        <f t="shared" si="2"/>
        <v>15.604467805519054</v>
      </c>
      <c r="R33" s="111">
        <f t="shared" si="3"/>
        <v>322.29705205479451</v>
      </c>
    </row>
    <row r="34" spans="1:18">
      <c r="A34" s="7">
        <v>2026</v>
      </c>
      <c r="B34" s="7">
        <v>5</v>
      </c>
      <c r="C34" s="7" t="s">
        <v>133</v>
      </c>
      <c r="D34" s="11">
        <v>20629.52</v>
      </c>
      <c r="F34" s="7">
        <v>2026</v>
      </c>
      <c r="G34" s="7">
        <v>3</v>
      </c>
      <c r="H34" s="7" t="s">
        <v>1160</v>
      </c>
      <c r="I34" s="7" t="s">
        <v>4467</v>
      </c>
      <c r="J34" s="7">
        <v>619854</v>
      </c>
      <c r="K34" s="12">
        <v>46101</v>
      </c>
      <c r="L34" s="12">
        <v>45513</v>
      </c>
      <c r="M34" s="12">
        <v>46608</v>
      </c>
      <c r="N34" s="11">
        <v>5592.6</v>
      </c>
      <c r="O34" s="11">
        <f t="shared" si="8"/>
        <v>2589.4504109589043</v>
      </c>
      <c r="P34" s="11">
        <f t="shared" si="9"/>
        <v>51.789008219178086</v>
      </c>
      <c r="Q34">
        <f t="shared" si="2"/>
        <v>16.655716162943495</v>
      </c>
      <c r="R34" s="111">
        <f t="shared" si="3"/>
        <v>155.46917260273975</v>
      </c>
    </row>
    <row r="35" spans="1:18">
      <c r="A35" s="7">
        <v>2026</v>
      </c>
      <c r="B35" s="7">
        <v>5</v>
      </c>
      <c r="C35" s="7" t="s">
        <v>110</v>
      </c>
      <c r="D35" s="11">
        <v>6837</v>
      </c>
      <c r="F35" s="7">
        <v>2026</v>
      </c>
      <c r="G35" s="7">
        <v>3</v>
      </c>
      <c r="H35" s="7" t="s">
        <v>1160</v>
      </c>
      <c r="I35" s="7" t="s">
        <v>4468</v>
      </c>
      <c r="J35" s="7">
        <v>620620</v>
      </c>
      <c r="K35" s="12">
        <v>46099</v>
      </c>
      <c r="L35" s="12">
        <v>45931</v>
      </c>
      <c r="M35" s="12">
        <v>46296</v>
      </c>
      <c r="N35" s="11">
        <v>3337.2</v>
      </c>
      <c r="O35" s="11">
        <f t="shared" si="8"/>
        <v>1801.1736986301366</v>
      </c>
      <c r="P35" s="11">
        <f t="shared" si="9"/>
        <v>36.023473972602737</v>
      </c>
      <c r="Q35">
        <f t="shared" si="2"/>
        <v>6.4717477003942179</v>
      </c>
      <c r="R35" s="111">
        <f t="shared" si="3"/>
        <v>278.31333698630135</v>
      </c>
    </row>
    <row r="36" spans="1:18">
      <c r="A36" s="7">
        <v>2026</v>
      </c>
      <c r="B36" s="7">
        <v>5</v>
      </c>
      <c r="C36" s="7" t="s">
        <v>121</v>
      </c>
      <c r="D36" s="11">
        <v>7830.6</v>
      </c>
      <c r="F36" s="7">
        <v>2026</v>
      </c>
      <c r="G36" s="7">
        <v>3</v>
      </c>
      <c r="H36" s="7" t="s">
        <v>1160</v>
      </c>
      <c r="I36" s="7" t="s">
        <v>4469</v>
      </c>
      <c r="J36" s="7">
        <v>620950</v>
      </c>
      <c r="K36" s="12">
        <v>46097</v>
      </c>
      <c r="L36" s="12">
        <v>45918</v>
      </c>
      <c r="M36" s="12">
        <v>46283</v>
      </c>
      <c r="N36" s="11">
        <v>5436</v>
      </c>
      <c r="O36" s="11">
        <f t="shared" si="8"/>
        <v>2770.1260273972603</v>
      </c>
      <c r="P36" s="11">
        <f t="shared" si="9"/>
        <v>55.402520547945208</v>
      </c>
      <c r="Q36">
        <f t="shared" si="2"/>
        <v>6.1103810775295662</v>
      </c>
      <c r="R36" s="111">
        <f t="shared" si="3"/>
        <v>453.3475068493151</v>
      </c>
    </row>
    <row r="37" spans="1:18">
      <c r="F37" s="7">
        <v>2026</v>
      </c>
      <c r="G37" s="7">
        <v>3</v>
      </c>
      <c r="H37" s="7" t="s">
        <v>1160</v>
      </c>
      <c r="I37" s="7" t="s">
        <v>4470</v>
      </c>
      <c r="J37" s="7">
        <v>624990</v>
      </c>
      <c r="K37" s="12">
        <v>46097</v>
      </c>
      <c r="L37" s="12">
        <v>45643</v>
      </c>
      <c r="M37" s="12">
        <v>46738</v>
      </c>
      <c r="N37" s="11">
        <v>5592.6</v>
      </c>
      <c r="O37" s="11">
        <f t="shared" si="8"/>
        <v>3273.8416438356167</v>
      </c>
      <c r="P37" s="11">
        <f t="shared" si="9"/>
        <v>65.476832876712336</v>
      </c>
      <c r="Q37">
        <f t="shared" si="2"/>
        <v>21.057818659658345</v>
      </c>
      <c r="R37" s="111">
        <f t="shared" si="3"/>
        <v>155.46917260273972</v>
      </c>
    </row>
    <row r="38" spans="1:18">
      <c r="F38" s="7">
        <v>2026</v>
      </c>
      <c r="G38" s="7">
        <v>3</v>
      </c>
      <c r="H38" s="7" t="s">
        <v>1160</v>
      </c>
      <c r="I38" s="7" t="s">
        <v>4471</v>
      </c>
      <c r="J38" s="7">
        <v>625119</v>
      </c>
      <c r="K38" s="12">
        <v>46084</v>
      </c>
      <c r="L38" s="12">
        <v>45649</v>
      </c>
      <c r="M38" s="12">
        <v>46744</v>
      </c>
      <c r="N38" s="11">
        <v>16502.400000000001</v>
      </c>
      <c r="O38" s="11">
        <f t="shared" si="8"/>
        <v>9946.652054794522</v>
      </c>
      <c r="P38" s="11">
        <f t="shared" si="9"/>
        <v>198.93304109589045</v>
      </c>
      <c r="Q38">
        <f t="shared" si="2"/>
        <v>21.681997371879106</v>
      </c>
      <c r="R38" s="111">
        <f t="shared" si="3"/>
        <v>458.75164931506856</v>
      </c>
    </row>
    <row r="39" spans="1:18">
      <c r="F39" s="7">
        <v>2026</v>
      </c>
      <c r="G39" s="7">
        <v>3</v>
      </c>
      <c r="H39" s="7" t="s">
        <v>1160</v>
      </c>
      <c r="I39" s="7" t="s">
        <v>4472</v>
      </c>
      <c r="J39" s="7">
        <v>626540</v>
      </c>
      <c r="K39" s="12">
        <v>46107</v>
      </c>
      <c r="L39" s="12">
        <v>46066</v>
      </c>
      <c r="M39" s="12">
        <v>46431</v>
      </c>
      <c r="N39" s="11">
        <v>4074</v>
      </c>
      <c r="O39" s="11">
        <f t="shared" si="8"/>
        <v>3616.3726027397261</v>
      </c>
      <c r="P39" s="11">
        <f t="shared" si="9"/>
        <v>72.32745205479452</v>
      </c>
      <c r="Q39">
        <f t="shared" si="2"/>
        <v>10.64388961892247</v>
      </c>
      <c r="R39" s="111">
        <f t="shared" si="3"/>
        <v>339.7604383561644</v>
      </c>
    </row>
    <row r="40" spans="1:18">
      <c r="F40" s="7">
        <v>2026</v>
      </c>
      <c r="G40" s="7">
        <v>3</v>
      </c>
      <c r="H40" s="7" t="s">
        <v>1160</v>
      </c>
      <c r="I40" s="7" t="s">
        <v>4466</v>
      </c>
      <c r="J40" s="7">
        <v>627943</v>
      </c>
      <c r="K40" s="12">
        <v>46099</v>
      </c>
      <c r="L40" s="12">
        <v>46108</v>
      </c>
      <c r="M40" s="12">
        <v>46473</v>
      </c>
      <c r="N40" s="11">
        <v>4530.6000000000004</v>
      </c>
      <c r="O40" s="11">
        <f t="shared" si="8"/>
        <v>4642.3134246575346</v>
      </c>
      <c r="P40" s="11">
        <f t="shared" si="9"/>
        <v>92.846268493150689</v>
      </c>
      <c r="Q40">
        <f t="shared" si="2"/>
        <v>12.28646517739816</v>
      </c>
      <c r="R40" s="111">
        <f t="shared" si="3"/>
        <v>377.8396273972603</v>
      </c>
    </row>
    <row r="41" spans="1:18">
      <c r="F41" s="7">
        <v>2026</v>
      </c>
      <c r="G41" s="7">
        <v>3</v>
      </c>
      <c r="H41" s="7" t="s">
        <v>1160</v>
      </c>
      <c r="I41" s="7" t="s">
        <v>4470</v>
      </c>
      <c r="J41" s="7">
        <v>628474</v>
      </c>
      <c r="K41" s="12">
        <v>46097</v>
      </c>
      <c r="L41" s="12">
        <v>45757</v>
      </c>
      <c r="M41" s="12">
        <v>46122</v>
      </c>
      <c r="N41" s="11">
        <v>2682</v>
      </c>
      <c r="O41" s="11">
        <f t="shared" si="8"/>
        <v>183.69863013698631</v>
      </c>
      <c r="P41" s="11">
        <f t="shared" si="9"/>
        <v>3.6739726027397261</v>
      </c>
      <c r="Q41">
        <f t="shared" si="2"/>
        <v>0.82128777923784491</v>
      </c>
      <c r="R41" s="111">
        <f t="shared" si="3"/>
        <v>223.67145205479454</v>
      </c>
    </row>
    <row r="42" spans="1:18">
      <c r="F42" s="7">
        <v>2026</v>
      </c>
      <c r="G42" s="7">
        <v>3</v>
      </c>
      <c r="H42" s="7" t="s">
        <v>1160</v>
      </c>
      <c r="I42" s="7" t="s">
        <v>4473</v>
      </c>
      <c r="J42" s="7">
        <v>629046</v>
      </c>
      <c r="K42" s="12">
        <v>46094</v>
      </c>
      <c r="L42" s="12">
        <v>45776</v>
      </c>
      <c r="M42" s="12">
        <v>46141</v>
      </c>
      <c r="N42" s="11">
        <v>11976</v>
      </c>
      <c r="O42" s="11">
        <f t="shared" si="8"/>
        <v>1542.1150684931506</v>
      </c>
      <c r="P42" s="11">
        <f t="shared" si="9"/>
        <v>30.842301369863012</v>
      </c>
      <c r="Q42">
        <f t="shared" si="2"/>
        <v>1.5440210249671484</v>
      </c>
      <c r="R42" s="111">
        <f t="shared" si="3"/>
        <v>998.76558904109584</v>
      </c>
    </row>
    <row r="43" spans="1:18">
      <c r="F43" s="7">
        <v>2026</v>
      </c>
      <c r="G43" s="7">
        <v>3</v>
      </c>
      <c r="H43" s="7" t="s">
        <v>1160</v>
      </c>
      <c r="I43" s="7" t="s">
        <v>4474</v>
      </c>
      <c r="J43" s="7">
        <v>630551</v>
      </c>
      <c r="K43" s="12">
        <v>46097</v>
      </c>
      <c r="L43" s="12">
        <v>45838</v>
      </c>
      <c r="M43" s="12">
        <v>46203</v>
      </c>
      <c r="N43" s="11">
        <v>2638.56</v>
      </c>
      <c r="O43" s="11">
        <f t="shared" si="8"/>
        <v>766.26673972602737</v>
      </c>
      <c r="P43" s="11">
        <f t="shared" si="9"/>
        <v>15.325334794520547</v>
      </c>
      <c r="Q43">
        <f t="shared" si="2"/>
        <v>3.4822601839684624</v>
      </c>
      <c r="R43" s="111">
        <f t="shared" si="3"/>
        <v>220.04867506849314</v>
      </c>
    </row>
    <row r="44" spans="1:18">
      <c r="F44" s="7">
        <v>2026</v>
      </c>
      <c r="G44" s="7">
        <v>3</v>
      </c>
      <c r="H44" s="7" t="s">
        <v>1160</v>
      </c>
      <c r="I44" s="7" t="s">
        <v>4475</v>
      </c>
      <c r="J44" s="7">
        <v>630846</v>
      </c>
      <c r="K44" s="12">
        <v>46087</v>
      </c>
      <c r="L44" s="12">
        <v>45847</v>
      </c>
      <c r="M44" s="12">
        <v>46212</v>
      </c>
      <c r="N44" s="11">
        <v>4983.24</v>
      </c>
      <c r="O44" s="11">
        <f t="shared" si="8"/>
        <v>1706.5890410958905</v>
      </c>
      <c r="P44" s="11">
        <f t="shared" si="9"/>
        <v>34.131780821917808</v>
      </c>
      <c r="Q44">
        <f t="shared" si="2"/>
        <v>4.1064388961892249</v>
      </c>
      <c r="R44" s="111">
        <f t="shared" si="3"/>
        <v>415.58856328767121</v>
      </c>
    </row>
    <row r="45" spans="1:18">
      <c r="F45" s="7">
        <v>2026</v>
      </c>
      <c r="G45" s="7">
        <v>3</v>
      </c>
      <c r="H45" s="7" t="s">
        <v>1160</v>
      </c>
      <c r="I45" s="7" t="s">
        <v>4469</v>
      </c>
      <c r="J45" s="7">
        <v>631377</v>
      </c>
      <c r="K45" s="12">
        <v>46097</v>
      </c>
      <c r="L45" s="12">
        <v>45866</v>
      </c>
      <c r="M45" s="12">
        <v>46231</v>
      </c>
      <c r="N45" s="11">
        <v>3483</v>
      </c>
      <c r="O45" s="11">
        <f t="shared" si="8"/>
        <v>1278.6904109589041</v>
      </c>
      <c r="P45" s="11">
        <f t="shared" si="9"/>
        <v>25.573808219178083</v>
      </c>
      <c r="Q45">
        <f t="shared" si="2"/>
        <v>4.402102496714849</v>
      </c>
      <c r="R45" s="111">
        <f t="shared" si="3"/>
        <v>290.47265753424654</v>
      </c>
    </row>
    <row r="46" spans="1:18">
      <c r="F46" s="7">
        <v>2026</v>
      </c>
      <c r="G46" s="7">
        <v>3</v>
      </c>
      <c r="H46" s="7" t="s">
        <v>1160</v>
      </c>
      <c r="I46" s="7" t="s">
        <v>4476</v>
      </c>
      <c r="J46" s="7">
        <v>633093</v>
      </c>
      <c r="K46" s="12">
        <v>46097</v>
      </c>
      <c r="L46" s="12">
        <v>45930</v>
      </c>
      <c r="M46" s="12">
        <v>46295</v>
      </c>
      <c r="N46" s="11">
        <v>2868</v>
      </c>
      <c r="O46" s="11">
        <f t="shared" si="8"/>
        <v>1555.7917808219179</v>
      </c>
      <c r="P46" s="11">
        <f t="shared" si="9"/>
        <v>31.115835616438357</v>
      </c>
      <c r="Q46">
        <f t="shared" si="2"/>
        <v>6.5045992115637317</v>
      </c>
      <c r="R46" s="111">
        <f t="shared" si="3"/>
        <v>239.18334246575344</v>
      </c>
    </row>
    <row r="47" spans="1:18">
      <c r="F47" s="7">
        <v>2026</v>
      </c>
      <c r="G47" s="7">
        <v>3</v>
      </c>
      <c r="H47" s="7" t="s">
        <v>1160</v>
      </c>
      <c r="I47" s="7" t="s">
        <v>4477</v>
      </c>
      <c r="J47" s="7">
        <v>633147</v>
      </c>
      <c r="K47" s="12">
        <v>46097</v>
      </c>
      <c r="L47" s="12">
        <v>45932</v>
      </c>
      <c r="M47" s="12">
        <v>46297</v>
      </c>
      <c r="N47" s="11">
        <v>2868</v>
      </c>
      <c r="O47" s="11">
        <f t="shared" si="8"/>
        <v>1571.5068493150684</v>
      </c>
      <c r="P47" s="11">
        <f t="shared" si="9"/>
        <v>31.430136986301367</v>
      </c>
      <c r="Q47">
        <f t="shared" si="2"/>
        <v>6.5703022339027592</v>
      </c>
      <c r="R47" s="111">
        <f t="shared" si="3"/>
        <v>239.18334246575341</v>
      </c>
    </row>
    <row r="48" spans="1:18">
      <c r="F48" s="7">
        <v>2026</v>
      </c>
      <c r="G48" s="7">
        <v>3</v>
      </c>
      <c r="H48" s="7" t="s">
        <v>1160</v>
      </c>
      <c r="I48" s="7" t="s">
        <v>4478</v>
      </c>
      <c r="J48" s="7">
        <v>636080</v>
      </c>
      <c r="K48" s="12">
        <v>46107</v>
      </c>
      <c r="L48" s="12">
        <v>46065</v>
      </c>
      <c r="M48" s="12">
        <v>46430</v>
      </c>
      <c r="N48" s="11">
        <v>2874</v>
      </c>
      <c r="O48" s="11">
        <f t="shared" si="8"/>
        <v>2543.2931506849313</v>
      </c>
      <c r="P48" s="11">
        <f t="shared" si="9"/>
        <v>50.865863013698629</v>
      </c>
      <c r="Q48">
        <f t="shared" si="2"/>
        <v>10.611038107752956</v>
      </c>
      <c r="R48" s="111">
        <f t="shared" si="3"/>
        <v>239.68372602739726</v>
      </c>
    </row>
    <row r="49" spans="6:18">
      <c r="F49" s="7">
        <v>2026</v>
      </c>
      <c r="G49" s="7">
        <v>3</v>
      </c>
      <c r="H49" s="7" t="s">
        <v>1160</v>
      </c>
      <c r="I49" s="7" t="s">
        <v>4479</v>
      </c>
      <c r="J49" s="7">
        <v>316836</v>
      </c>
      <c r="K49" s="12">
        <v>46093</v>
      </c>
      <c r="L49" s="12">
        <v>45979</v>
      </c>
      <c r="M49" s="12">
        <v>46184</v>
      </c>
      <c r="N49" s="11">
        <v>6552.71</v>
      </c>
      <c r="O49" s="11">
        <f t="shared" ref="O49:O55" si="10">(M49-K49) * N49 / (M49-L49)</f>
        <v>2908.7639512195119</v>
      </c>
      <c r="P49" s="11">
        <f t="shared" ref="P49:P55" si="11">O49*0.02</f>
        <v>58.175279024390242</v>
      </c>
      <c r="Q49">
        <f t="shared" si="2"/>
        <v>2.9894875164257555</v>
      </c>
      <c r="R49" s="111">
        <f t="shared" si="3"/>
        <v>972.99752390243896</v>
      </c>
    </row>
    <row r="50" spans="6:18">
      <c r="F50" s="7">
        <v>2026</v>
      </c>
      <c r="G50" s="7">
        <v>3</v>
      </c>
      <c r="H50" s="7" t="s">
        <v>1160</v>
      </c>
      <c r="I50" s="7" t="s">
        <v>4480</v>
      </c>
      <c r="J50" s="7">
        <v>325947</v>
      </c>
      <c r="K50" s="12">
        <v>46100</v>
      </c>
      <c r="L50" s="12">
        <v>45582</v>
      </c>
      <c r="M50" s="12">
        <v>47043</v>
      </c>
      <c r="N50" s="11">
        <v>24778.560000000001</v>
      </c>
      <c r="O50" s="11">
        <f t="shared" si="10"/>
        <v>15993.28</v>
      </c>
      <c r="P50" s="11">
        <f t="shared" si="11"/>
        <v>319.86560000000003</v>
      </c>
      <c r="Q50">
        <f t="shared" si="2"/>
        <v>30.978975032851508</v>
      </c>
      <c r="R50" s="111">
        <f t="shared" si="3"/>
        <v>516.26240000000007</v>
      </c>
    </row>
    <row r="51" spans="6:18">
      <c r="F51" s="7">
        <v>2026</v>
      </c>
      <c r="G51" s="7">
        <v>3</v>
      </c>
      <c r="H51" s="7" t="s">
        <v>1160</v>
      </c>
      <c r="I51" s="7" t="s">
        <v>4481</v>
      </c>
      <c r="J51" s="7">
        <v>617122</v>
      </c>
      <c r="K51" s="12">
        <v>46097</v>
      </c>
      <c r="L51" s="12">
        <v>45825</v>
      </c>
      <c r="M51" s="12">
        <v>46190</v>
      </c>
      <c r="N51" s="11">
        <v>16396.68</v>
      </c>
      <c r="O51" s="11">
        <f t="shared" si="10"/>
        <v>4177.7842191780819</v>
      </c>
      <c r="P51" s="11">
        <f t="shared" si="11"/>
        <v>83.555684383561641</v>
      </c>
      <c r="Q51">
        <f t="shared" si="2"/>
        <v>3.0551905387647831</v>
      </c>
      <c r="R51" s="111">
        <f t="shared" si="3"/>
        <v>1367.438189589041</v>
      </c>
    </row>
    <row r="52" spans="6:18">
      <c r="F52" s="7">
        <v>2026</v>
      </c>
      <c r="G52" s="7">
        <v>3</v>
      </c>
      <c r="H52" s="7" t="s">
        <v>1160</v>
      </c>
      <c r="I52" s="7" t="s">
        <v>4482</v>
      </c>
      <c r="J52" s="7">
        <v>625092</v>
      </c>
      <c r="K52" s="12">
        <v>46107</v>
      </c>
      <c r="L52" s="12">
        <v>45646</v>
      </c>
      <c r="M52" s="12">
        <v>46741</v>
      </c>
      <c r="N52" s="11">
        <v>15850.8</v>
      </c>
      <c r="O52" s="11">
        <f t="shared" si="10"/>
        <v>9177.540821917808</v>
      </c>
      <c r="P52" s="11">
        <f t="shared" si="11"/>
        <v>183.55081643835615</v>
      </c>
      <c r="Q52">
        <f t="shared" si="2"/>
        <v>20.827858081471746</v>
      </c>
      <c r="R52" s="111">
        <f t="shared" si="3"/>
        <v>440.63776438356166</v>
      </c>
    </row>
    <row r="53" spans="6:18">
      <c r="F53" s="7">
        <v>2026</v>
      </c>
      <c r="G53" s="7">
        <v>3</v>
      </c>
      <c r="H53" s="7" t="s">
        <v>1160</v>
      </c>
      <c r="I53" s="7" t="s">
        <v>4483</v>
      </c>
      <c r="J53" s="7">
        <v>629025</v>
      </c>
      <c r="K53" s="12">
        <v>46101</v>
      </c>
      <c r="L53" s="12">
        <v>45775</v>
      </c>
      <c r="M53" s="12">
        <v>46871</v>
      </c>
      <c r="N53" s="11">
        <v>164404.44</v>
      </c>
      <c r="O53" s="11">
        <f t="shared" si="10"/>
        <v>115503.11934306569</v>
      </c>
      <c r="P53" s="11">
        <f t="shared" si="11"/>
        <v>2310.0623868613138</v>
      </c>
      <c r="Q53">
        <f t="shared" si="2"/>
        <v>25.295663600525621</v>
      </c>
      <c r="R53" s="111">
        <f t="shared" si="3"/>
        <v>4566.1233153284675</v>
      </c>
    </row>
    <row r="54" spans="6:18">
      <c r="F54" s="7">
        <v>2026</v>
      </c>
      <c r="G54" s="7">
        <v>3</v>
      </c>
      <c r="H54" s="7" t="s">
        <v>1160</v>
      </c>
      <c r="I54" s="7" t="s">
        <v>4484</v>
      </c>
      <c r="J54" s="7">
        <v>629904</v>
      </c>
      <c r="K54" s="12">
        <v>46084</v>
      </c>
      <c r="L54" s="12">
        <v>45806</v>
      </c>
      <c r="M54" s="12">
        <v>46902</v>
      </c>
      <c r="N54" s="11">
        <v>72671.399999999994</v>
      </c>
      <c r="O54" s="11">
        <f t="shared" si="10"/>
        <v>54238.325912408756</v>
      </c>
      <c r="P54" s="11">
        <f t="shared" si="11"/>
        <v>1084.7665182481751</v>
      </c>
      <c r="Q54">
        <f t="shared" si="2"/>
        <v>26.872536136662287</v>
      </c>
      <c r="R54" s="111">
        <f t="shared" si="3"/>
        <v>2018.3553065693429</v>
      </c>
    </row>
    <row r="55" spans="6:18">
      <c r="F55" s="7">
        <v>2026</v>
      </c>
      <c r="G55" s="7">
        <v>3</v>
      </c>
      <c r="H55" s="7" t="s">
        <v>1160</v>
      </c>
      <c r="I55" s="7" t="s">
        <v>4485</v>
      </c>
      <c r="J55" s="7">
        <v>630730</v>
      </c>
      <c r="K55" s="12">
        <v>46100</v>
      </c>
      <c r="L55" s="12">
        <v>46002</v>
      </c>
      <c r="M55" s="12">
        <v>46204</v>
      </c>
      <c r="N55" s="11">
        <v>9774.24</v>
      </c>
      <c r="O55" s="11">
        <f t="shared" si="10"/>
        <v>5032.2819801980195</v>
      </c>
      <c r="P55" s="11">
        <f t="shared" si="11"/>
        <v>100.64563960396039</v>
      </c>
      <c r="Q55">
        <f t="shared" si="2"/>
        <v>3.4165571616294348</v>
      </c>
      <c r="R55" s="111">
        <f t="shared" si="3"/>
        <v>1472.9102257425743</v>
      </c>
    </row>
    <row r="56" spans="6:18">
      <c r="F56" s="7">
        <v>2026</v>
      </c>
      <c r="G56" s="7">
        <v>4</v>
      </c>
      <c r="H56" s="7" t="s">
        <v>1160</v>
      </c>
      <c r="I56" s="7" t="s">
        <v>4486</v>
      </c>
      <c r="J56" s="7">
        <v>327945</v>
      </c>
      <c r="K56" s="12">
        <v>46141</v>
      </c>
      <c r="L56" s="12">
        <v>45648</v>
      </c>
      <c r="M56" s="12">
        <v>47109</v>
      </c>
      <c r="N56" s="11">
        <v>23089.439999999999</v>
      </c>
      <c r="O56" s="11">
        <f t="shared" ref="O56:O59" si="12">(M56-K56) * N56 / (M56-L56)</f>
        <v>15298.13683778234</v>
      </c>
      <c r="P56" s="11">
        <f t="shared" ref="P56:P59" si="13">O56*0.02</f>
        <v>305.9627367556468</v>
      </c>
      <c r="Q56">
        <f t="shared" ref="Q56:Q59" si="14">(M56-K56)/30.44</f>
        <v>31.800262812089354</v>
      </c>
      <c r="R56" s="111">
        <f t="shared" ref="R56:R59" si="15">O56/Q56</f>
        <v>481.06950965092403</v>
      </c>
    </row>
    <row r="57" spans="6:18">
      <c r="F57" s="7">
        <v>2026</v>
      </c>
      <c r="G57" s="7">
        <v>4</v>
      </c>
      <c r="H57" s="7" t="s">
        <v>1160</v>
      </c>
      <c r="I57" s="7" t="s">
        <v>4487</v>
      </c>
      <c r="J57" s="7">
        <v>328282</v>
      </c>
      <c r="K57" s="12">
        <v>46114</v>
      </c>
      <c r="L57" s="12">
        <v>46046</v>
      </c>
      <c r="M57" s="12">
        <v>46411</v>
      </c>
      <c r="N57" s="11">
        <v>5754</v>
      </c>
      <c r="O57" s="11">
        <f t="shared" si="12"/>
        <v>4682.0219178082189</v>
      </c>
      <c r="P57" s="11">
        <f t="shared" si="13"/>
        <v>93.640438356164381</v>
      </c>
      <c r="Q57">
        <f t="shared" si="14"/>
        <v>9.7568988173455971</v>
      </c>
      <c r="R57" s="111">
        <f t="shared" si="15"/>
        <v>479.86783561643836</v>
      </c>
    </row>
    <row r="58" spans="6:18">
      <c r="F58" s="7">
        <v>2026</v>
      </c>
      <c r="G58" s="7">
        <v>4</v>
      </c>
      <c r="H58" s="7" t="s">
        <v>1160</v>
      </c>
      <c r="I58" s="7" t="s">
        <v>4488</v>
      </c>
      <c r="J58" s="7">
        <v>521166</v>
      </c>
      <c r="K58" s="12">
        <v>46118</v>
      </c>
      <c r="L58" s="12">
        <v>45977</v>
      </c>
      <c r="M58" s="12">
        <v>46342</v>
      </c>
      <c r="N58" s="11">
        <v>4169.88</v>
      </c>
      <c r="O58" s="11">
        <f t="shared" si="12"/>
        <v>2559.0496438356163</v>
      </c>
      <c r="P58" s="11">
        <f t="shared" si="13"/>
        <v>51.180992876712324</v>
      </c>
      <c r="Q58">
        <f t="shared" si="14"/>
        <v>7.3587385019710903</v>
      </c>
      <c r="R58" s="111">
        <f t="shared" si="15"/>
        <v>347.75656767123286</v>
      </c>
    </row>
    <row r="59" spans="6:18">
      <c r="F59" s="7">
        <v>2026</v>
      </c>
      <c r="G59" s="7">
        <v>4</v>
      </c>
      <c r="H59" s="7" t="s">
        <v>1160</v>
      </c>
      <c r="I59" s="7" t="s">
        <v>4489</v>
      </c>
      <c r="J59" s="7">
        <v>523818</v>
      </c>
      <c r="K59" s="12">
        <v>46140</v>
      </c>
      <c r="L59" s="12">
        <v>46012</v>
      </c>
      <c r="M59" s="12">
        <v>46377</v>
      </c>
      <c r="N59" s="11">
        <v>4890.84</v>
      </c>
      <c r="O59" s="11">
        <f t="shared" si="12"/>
        <v>3175.6961095890415</v>
      </c>
      <c r="P59" s="11">
        <f t="shared" si="13"/>
        <v>63.513922191780829</v>
      </c>
      <c r="Q59">
        <f t="shared" si="14"/>
        <v>7.7858081471747695</v>
      </c>
      <c r="R59" s="111">
        <f t="shared" si="15"/>
        <v>407.88265643835626</v>
      </c>
    </row>
    <row r="60" spans="6:18">
      <c r="F60" s="7">
        <v>2026</v>
      </c>
      <c r="G60" s="7">
        <v>4</v>
      </c>
      <c r="H60" s="7" t="s">
        <v>1160</v>
      </c>
      <c r="I60" s="7" t="s">
        <v>4490</v>
      </c>
      <c r="J60" s="7">
        <v>538180</v>
      </c>
      <c r="K60" s="12">
        <v>46132</v>
      </c>
      <c r="L60" s="12">
        <v>45461</v>
      </c>
      <c r="M60" s="12">
        <v>46921</v>
      </c>
      <c r="N60" s="11">
        <v>21600.799999999999</v>
      </c>
      <c r="O60" s="11">
        <f>(M60-K60) * N60 / (M60-L60)</f>
        <v>11673.30904109589</v>
      </c>
      <c r="P60" s="11">
        <f>O60*0.02</f>
        <v>233.46618082191782</v>
      </c>
      <c r="Q60">
        <f>(M60-K60)/30.44</f>
        <v>25.919842312746386</v>
      </c>
      <c r="R60" s="111">
        <f>O60/Q60</f>
        <v>450.36188493150684</v>
      </c>
    </row>
    <row r="61" spans="6:18">
      <c r="F61" s="7">
        <v>2026</v>
      </c>
      <c r="G61" s="7">
        <v>4</v>
      </c>
      <c r="H61" s="7" t="s">
        <v>1160</v>
      </c>
      <c r="I61" s="7" t="s">
        <v>4491</v>
      </c>
      <c r="J61" s="7">
        <v>606164</v>
      </c>
      <c r="K61" s="12">
        <v>46127</v>
      </c>
      <c r="L61" s="12">
        <v>46087</v>
      </c>
      <c r="M61" s="12">
        <v>46452</v>
      </c>
      <c r="N61" s="11">
        <v>7404.24</v>
      </c>
      <c r="O61" s="11">
        <f>(M61-K61) * N61 / (M61-L61)</f>
        <v>6592.8164383561643</v>
      </c>
      <c r="P61" s="11">
        <f>O61*0.02</f>
        <v>131.8563287671233</v>
      </c>
      <c r="Q61">
        <f>(M61-K61)/30.44</f>
        <v>10.676741130091983</v>
      </c>
      <c r="R61" s="111">
        <f>O61/Q61</f>
        <v>617.49333041095895</v>
      </c>
    </row>
    <row r="62" spans="6:18">
      <c r="F62" s="7">
        <v>2026</v>
      </c>
      <c r="G62" s="7">
        <v>4</v>
      </c>
      <c r="H62" s="7" t="s">
        <v>1160</v>
      </c>
      <c r="I62" s="7" t="s">
        <v>4492</v>
      </c>
      <c r="J62" s="7">
        <v>607203</v>
      </c>
      <c r="K62" s="12">
        <v>46140</v>
      </c>
      <c r="L62" s="12">
        <v>46140</v>
      </c>
      <c r="M62" s="12">
        <v>46399</v>
      </c>
      <c r="N62" s="11">
        <v>11525.16</v>
      </c>
      <c r="O62" s="11">
        <f>(M62-K62) * N62 / (M62-L62)</f>
        <v>11525.16</v>
      </c>
      <c r="P62" s="11">
        <f>O62*0.02</f>
        <v>230.50319999999999</v>
      </c>
      <c r="Q62">
        <f>(M62-K62)/30.44</f>
        <v>8.508541392904073</v>
      </c>
      <c r="R62" s="111">
        <f>O62/Q62</f>
        <v>1354.5400401544402</v>
      </c>
    </row>
    <row r="63" spans="6:18">
      <c r="F63" s="7">
        <v>2026</v>
      </c>
      <c r="G63" s="7">
        <v>4</v>
      </c>
      <c r="H63" s="7" t="s">
        <v>1160</v>
      </c>
      <c r="I63" s="7" t="s">
        <v>4493</v>
      </c>
      <c r="J63" s="7">
        <v>618253</v>
      </c>
      <c r="K63" s="12">
        <v>46125</v>
      </c>
      <c r="L63" s="12">
        <v>45847</v>
      </c>
      <c r="M63" s="12">
        <v>46212</v>
      </c>
      <c r="N63" s="11">
        <v>5389.2</v>
      </c>
      <c r="O63" s="11">
        <f>(M63-K63) * N63 / (M63-L63)</f>
        <v>1284.5490410958903</v>
      </c>
      <c r="P63" s="11">
        <f>O63*0.02</f>
        <v>25.690980821917805</v>
      </c>
      <c r="Q63">
        <f>(M63-K63)/30.44</f>
        <v>2.8580814717477003</v>
      </c>
      <c r="R63" s="111">
        <f>O63/Q63</f>
        <v>449.4445150684931</v>
      </c>
    </row>
    <row r="64" spans="6:18">
      <c r="F64" s="7">
        <v>2026</v>
      </c>
      <c r="G64" s="7">
        <v>4</v>
      </c>
      <c r="H64" s="7" t="s">
        <v>1160</v>
      </c>
      <c r="I64" s="7" t="s">
        <v>4494</v>
      </c>
      <c r="J64" s="7">
        <v>620569</v>
      </c>
      <c r="K64" s="12">
        <v>46142</v>
      </c>
      <c r="L64" s="12">
        <v>45540</v>
      </c>
      <c r="M64" s="12">
        <v>46270</v>
      </c>
      <c r="N64" s="11">
        <v>19860</v>
      </c>
      <c r="O64" s="11">
        <f>(M64-K64) * N64 / (M64-L64)</f>
        <v>3482.3013698630139</v>
      </c>
      <c r="P64" s="11">
        <f>O64*0.02</f>
        <v>69.646027397260283</v>
      </c>
      <c r="Q64">
        <f>(M64-K64)/30.44</f>
        <v>4.2049934296977662</v>
      </c>
      <c r="R64" s="111">
        <f>O64/Q64</f>
        <v>828.13479452054798</v>
      </c>
    </row>
    <row r="65" spans="6:18">
      <c r="F65" s="7">
        <v>2026</v>
      </c>
      <c r="G65" s="7">
        <v>4</v>
      </c>
      <c r="H65" s="7" t="s">
        <v>1160</v>
      </c>
      <c r="I65" s="7" t="s">
        <v>4495</v>
      </c>
      <c r="J65" s="7">
        <v>625216</v>
      </c>
      <c r="K65" s="12">
        <v>46125</v>
      </c>
      <c r="L65" s="12">
        <v>45656</v>
      </c>
      <c r="M65" s="12">
        <v>46751</v>
      </c>
      <c r="N65" s="11">
        <v>8604</v>
      </c>
      <c r="O65" s="11">
        <f>(M65-K65) * N65 / (M65-L65)</f>
        <v>4918.8164383561643</v>
      </c>
      <c r="P65" s="11">
        <f>O65*0.02</f>
        <v>98.376328767123283</v>
      </c>
      <c r="Q65">
        <f>(M65-K65)/30.44</f>
        <v>20.565045992115635</v>
      </c>
      <c r="R65" s="111">
        <f>O65/Q65</f>
        <v>239.18334246575344</v>
      </c>
    </row>
    <row r="66" spans="6:18">
      <c r="F66" s="7">
        <v>2026</v>
      </c>
      <c r="G66" s="7">
        <v>4</v>
      </c>
      <c r="H66" s="7" t="s">
        <v>1160</v>
      </c>
      <c r="I66" s="7" t="s">
        <v>4496</v>
      </c>
      <c r="J66" s="7">
        <v>628478</v>
      </c>
      <c r="K66" s="12">
        <v>46132</v>
      </c>
      <c r="L66" s="12">
        <v>45757</v>
      </c>
      <c r="M66" s="12">
        <v>46853</v>
      </c>
      <c r="N66" s="11">
        <v>39032.28</v>
      </c>
      <c r="O66" s="11">
        <f>(M66-K66) * N66 / (M66-L66)</f>
        <v>25677.257189781019</v>
      </c>
      <c r="P66" s="11">
        <f>O66*0.02</f>
        <v>513.54514379562045</v>
      </c>
      <c r="Q66">
        <f>(M66-K66)/30.44</f>
        <v>23.685939553219448</v>
      </c>
      <c r="R66" s="111">
        <f>O66/Q66</f>
        <v>1084.0717182481751</v>
      </c>
    </row>
    <row r="67" spans="6:18">
      <c r="F67" s="7">
        <v>2026</v>
      </c>
      <c r="G67" s="7">
        <v>4</v>
      </c>
      <c r="H67" s="7" t="s">
        <v>1160</v>
      </c>
      <c r="I67" s="7" t="s">
        <v>4497</v>
      </c>
      <c r="J67" s="7">
        <v>631432</v>
      </c>
      <c r="K67" s="12">
        <v>46129</v>
      </c>
      <c r="L67" s="12">
        <v>45868</v>
      </c>
      <c r="M67" s="12">
        <v>46233</v>
      </c>
      <c r="N67" s="11">
        <v>2629.08</v>
      </c>
      <c r="O67" s="11">
        <f>(M67-K67) * N67 / (M67-L67)</f>
        <v>749.10772602739723</v>
      </c>
      <c r="P67" s="11">
        <f>O67*0.02</f>
        <v>14.982154520547946</v>
      </c>
      <c r="Q67">
        <f>(M67-K67)/30.44</f>
        <v>3.4165571616294348</v>
      </c>
      <c r="R67" s="111">
        <f>O67/Q67</f>
        <v>219.25806904109589</v>
      </c>
    </row>
    <row r="68" spans="6:18">
      <c r="F68" s="7">
        <v>2026</v>
      </c>
      <c r="G68" s="7">
        <v>4</v>
      </c>
      <c r="H68" s="7" t="s">
        <v>1160</v>
      </c>
      <c r="I68" s="7" t="s">
        <v>4498</v>
      </c>
      <c r="J68" s="7">
        <v>632856</v>
      </c>
      <c r="K68" s="12">
        <v>46119</v>
      </c>
      <c r="L68" s="12">
        <v>45922</v>
      </c>
      <c r="M68" s="12">
        <v>47018</v>
      </c>
      <c r="N68" s="11">
        <v>16824.599999999999</v>
      </c>
      <c r="O68" s="11">
        <f>(M68-K68) * N68 / (M68-L68)</f>
        <v>13800.470255474451</v>
      </c>
      <c r="P68" s="11">
        <f>O68*0.02</f>
        <v>276.00940510948902</v>
      </c>
      <c r="Q68">
        <f>(M68-K68)/30.44</f>
        <v>29.533508541392901</v>
      </c>
      <c r="R68" s="111">
        <f>O68/Q68</f>
        <v>467.28177372262775</v>
      </c>
    </row>
    <row r="69" spans="6:18">
      <c r="F69" s="7">
        <v>2026</v>
      </c>
      <c r="G69" s="7">
        <v>4</v>
      </c>
      <c r="H69" s="7" t="s">
        <v>1160</v>
      </c>
      <c r="I69" s="7" t="s">
        <v>4499</v>
      </c>
      <c r="J69" s="7">
        <v>632981</v>
      </c>
      <c r="K69" s="12">
        <v>46128</v>
      </c>
      <c r="L69" s="12">
        <v>45925</v>
      </c>
      <c r="M69" s="12">
        <v>46290</v>
      </c>
      <c r="N69" s="11">
        <v>5148</v>
      </c>
      <c r="O69" s="11">
        <f>(M69-K69) * N69 / (M69-L69)</f>
        <v>2284.8657534246577</v>
      </c>
      <c r="P69" s="11">
        <f>O69*0.02</f>
        <v>45.697315068493154</v>
      </c>
      <c r="Q69">
        <f>(M69-K69)/30.44</f>
        <v>5.3219448094612352</v>
      </c>
      <c r="R69" s="111">
        <f>O69/Q69</f>
        <v>429.329095890411</v>
      </c>
    </row>
    <row r="70" spans="6:18">
      <c r="F70" s="7">
        <v>2026</v>
      </c>
      <c r="G70" s="7">
        <v>4</v>
      </c>
      <c r="H70" s="7" t="s">
        <v>1160</v>
      </c>
      <c r="I70" s="7" t="s">
        <v>4500</v>
      </c>
      <c r="J70" s="7">
        <v>637086</v>
      </c>
      <c r="K70" s="12">
        <v>46126</v>
      </c>
      <c r="L70" s="12">
        <v>46126</v>
      </c>
      <c r="M70" s="12">
        <v>46491</v>
      </c>
      <c r="N70" s="11">
        <v>4411.2</v>
      </c>
      <c r="O70" s="11">
        <f t="shared" ref="O70:O71" si="16">(M70-K70) * N70 / (M70-L70)</f>
        <v>4411.2</v>
      </c>
      <c r="P70" s="11">
        <f t="shared" ref="P70:P71" si="17">O70*0.02</f>
        <v>88.224000000000004</v>
      </c>
      <c r="Q70">
        <f t="shared" ref="Q70:Q71" si="18">(M70-K70)/30.44</f>
        <v>11.990801576872535</v>
      </c>
      <c r="R70" s="111">
        <f t="shared" ref="R70:R71" si="19">O70/Q70</f>
        <v>367.88199452054795</v>
      </c>
    </row>
    <row r="71" spans="6:18">
      <c r="F71" s="7">
        <v>2026</v>
      </c>
      <c r="G71" s="7">
        <v>4</v>
      </c>
      <c r="H71" s="7" t="s">
        <v>1160</v>
      </c>
      <c r="I71" s="7" t="s">
        <v>4501</v>
      </c>
      <c r="J71" s="7">
        <v>637211</v>
      </c>
      <c r="K71" s="12">
        <v>46132</v>
      </c>
      <c r="L71" s="12">
        <v>46132</v>
      </c>
      <c r="M71" s="12">
        <v>46497</v>
      </c>
      <c r="N71" s="11">
        <v>7950.84</v>
      </c>
      <c r="O71" s="11">
        <f t="shared" si="16"/>
        <v>7950.84</v>
      </c>
      <c r="P71" s="11">
        <f t="shared" si="17"/>
        <v>159.01680000000002</v>
      </c>
      <c r="Q71">
        <f t="shared" si="18"/>
        <v>11.990801576872535</v>
      </c>
      <c r="R71" s="111">
        <f t="shared" si="19"/>
        <v>663.07827287671239</v>
      </c>
    </row>
    <row r="72" spans="6:18">
      <c r="F72" s="7">
        <v>2026</v>
      </c>
      <c r="G72" s="7">
        <v>4</v>
      </c>
      <c r="H72" s="7" t="s">
        <v>4441</v>
      </c>
      <c r="I72" s="7" t="s">
        <v>4502</v>
      </c>
      <c r="J72" s="7">
        <v>626944</v>
      </c>
      <c r="K72" s="12">
        <v>46142</v>
      </c>
      <c r="L72" s="12">
        <v>45714</v>
      </c>
      <c r="M72" s="12">
        <v>46809</v>
      </c>
      <c r="N72" s="11">
        <v>76680.72</v>
      </c>
      <c r="O72" s="11">
        <f t="shared" ref="O72:O74" si="20">(M72-K72) * N72 / (M72-L72)</f>
        <v>46708.712547945208</v>
      </c>
      <c r="P72" s="11">
        <f t="shared" ref="P72:P74" si="21">O72*0.02</f>
        <v>934.17425095890417</v>
      </c>
      <c r="Q72">
        <f t="shared" ref="Q72:Q74" si="22">(M72-K72)/30.44</f>
        <v>21.911957950065702</v>
      </c>
      <c r="R72" s="111">
        <f t="shared" ref="R72:R74" si="23">O72/Q72</f>
        <v>2131.6539879452057</v>
      </c>
    </row>
    <row r="73" spans="6:18">
      <c r="F73" s="7">
        <v>2026</v>
      </c>
      <c r="G73" s="7">
        <v>4</v>
      </c>
      <c r="H73" s="7" t="s">
        <v>4441</v>
      </c>
      <c r="I73" s="7" t="s">
        <v>4503</v>
      </c>
      <c r="J73" s="7">
        <v>622072</v>
      </c>
      <c r="K73" s="12">
        <v>46129</v>
      </c>
      <c r="L73" s="12">
        <v>45945</v>
      </c>
      <c r="M73" s="12">
        <v>46310</v>
      </c>
      <c r="N73" s="11">
        <v>9777.24</v>
      </c>
      <c r="O73" s="11">
        <f t="shared" si="20"/>
        <v>4848.4395616438351</v>
      </c>
      <c r="P73" s="11">
        <f t="shared" si="21"/>
        <v>96.968791232876697</v>
      </c>
      <c r="Q73">
        <f t="shared" si="22"/>
        <v>5.9461235216819972</v>
      </c>
      <c r="R73" s="111">
        <f t="shared" si="23"/>
        <v>815.39502904109577</v>
      </c>
    </row>
    <row r="74" spans="6:18">
      <c r="F74" s="7">
        <v>2026</v>
      </c>
      <c r="G74" s="7">
        <v>4</v>
      </c>
      <c r="H74" s="7" t="s">
        <v>4441</v>
      </c>
      <c r="I74" s="7" t="s">
        <v>4504</v>
      </c>
      <c r="J74" s="7">
        <v>635568</v>
      </c>
      <c r="K74" s="12">
        <v>46129</v>
      </c>
      <c r="L74" s="12">
        <v>46036</v>
      </c>
      <c r="M74" s="12">
        <v>46766</v>
      </c>
      <c r="N74" s="11">
        <v>52140.480000000003</v>
      </c>
      <c r="O74" s="11">
        <f t="shared" si="20"/>
        <v>45497.925698630141</v>
      </c>
      <c r="P74" s="11">
        <f t="shared" si="21"/>
        <v>909.95851397260287</v>
      </c>
      <c r="Q74">
        <f t="shared" si="22"/>
        <v>20.92641261498029</v>
      </c>
      <c r="R74" s="111">
        <f t="shared" si="23"/>
        <v>2174.1865906849316</v>
      </c>
    </row>
    <row r="75" spans="6:18">
      <c r="F75" s="7">
        <v>2026</v>
      </c>
      <c r="G75" s="7">
        <v>5</v>
      </c>
      <c r="H75" s="7" t="s">
        <v>4505</v>
      </c>
      <c r="I75" s="7" t="s">
        <v>4506</v>
      </c>
      <c r="J75" s="7">
        <v>315064</v>
      </c>
      <c r="K75" s="12">
        <v>46167.572916666664</v>
      </c>
      <c r="L75" s="12">
        <v>45425</v>
      </c>
      <c r="M75" s="12">
        <v>46519</v>
      </c>
      <c r="N75" s="11">
        <v>10983.6</v>
      </c>
      <c r="O75" s="11">
        <f t="shared" ref="O75:O89" si="24">(M75-K75) * N75 / (M75-L75)</f>
        <v>3528.2765196526752</v>
      </c>
      <c r="P75" s="11">
        <f t="shared" ref="P75:P89" si="25">O75*0.02</f>
        <v>70.565530393053507</v>
      </c>
    </row>
    <row r="76" spans="6:18">
      <c r="F76" s="7">
        <v>2026</v>
      </c>
      <c r="G76" s="7">
        <v>5</v>
      </c>
      <c r="H76" s="7" t="s">
        <v>1160</v>
      </c>
      <c r="I76" s="7" t="s">
        <v>4507</v>
      </c>
      <c r="J76" s="7">
        <v>318311</v>
      </c>
      <c r="K76" s="12">
        <v>46167.643055555556</v>
      </c>
      <c r="L76" s="12">
        <v>45839</v>
      </c>
      <c r="M76" s="12">
        <v>46204</v>
      </c>
      <c r="N76" s="11">
        <v>18590.27</v>
      </c>
      <c r="O76" s="11">
        <f t="shared" si="24"/>
        <v>1851.7408591704389</v>
      </c>
      <c r="P76" s="11">
        <f t="shared" si="25"/>
        <v>37.034817183408776</v>
      </c>
    </row>
    <row r="77" spans="6:18">
      <c r="F77" s="7">
        <v>2026</v>
      </c>
      <c r="G77" s="7">
        <v>5</v>
      </c>
      <c r="H77" s="7" t="s">
        <v>1160</v>
      </c>
      <c r="I77" s="7" t="s">
        <v>4508</v>
      </c>
      <c r="J77" s="7">
        <v>522488</v>
      </c>
      <c r="K77" s="12">
        <v>46164.709027777775</v>
      </c>
      <c r="L77" s="12">
        <v>45626</v>
      </c>
      <c r="M77" s="12">
        <v>46356</v>
      </c>
      <c r="N77" s="11">
        <v>22128.240000000002</v>
      </c>
      <c r="O77" s="11">
        <f t="shared" si="24"/>
        <v>5798.537730365375</v>
      </c>
      <c r="P77" s="11">
        <f t="shared" si="25"/>
        <v>115.9707546073075</v>
      </c>
    </row>
    <row r="78" spans="6:18">
      <c r="F78" s="7">
        <v>2026</v>
      </c>
      <c r="G78" s="7">
        <v>5</v>
      </c>
      <c r="H78" s="7" t="s">
        <v>1160</v>
      </c>
      <c r="I78" s="7" t="s">
        <v>4509</v>
      </c>
      <c r="J78" s="7">
        <v>540971</v>
      </c>
      <c r="K78" s="12">
        <v>46167.506944444445</v>
      </c>
      <c r="L78" s="12">
        <v>45866</v>
      </c>
      <c r="M78" s="12">
        <v>46231</v>
      </c>
      <c r="N78" s="11">
        <v>4375.8</v>
      </c>
      <c r="O78" s="11">
        <f t="shared" si="24"/>
        <v>761.18606164382595</v>
      </c>
      <c r="P78" s="11">
        <f t="shared" si="25"/>
        <v>15.223721232876519</v>
      </c>
    </row>
    <row r="79" spans="6:18">
      <c r="F79" s="7">
        <v>2026</v>
      </c>
      <c r="G79" s="7">
        <v>5</v>
      </c>
      <c r="H79" s="7" t="s">
        <v>1160</v>
      </c>
      <c r="I79" s="7" t="s">
        <v>4510</v>
      </c>
      <c r="J79" s="7">
        <v>541570</v>
      </c>
      <c r="K79" s="12">
        <v>46168.523611111108</v>
      </c>
      <c r="L79" s="12">
        <v>45492</v>
      </c>
      <c r="M79" s="12">
        <v>46595</v>
      </c>
      <c r="N79" s="11">
        <v>46951.8</v>
      </c>
      <c r="O79" s="11">
        <f t="shared" si="24"/>
        <v>18153.974719703972</v>
      </c>
      <c r="P79" s="11">
        <f t="shared" si="25"/>
        <v>363.07949439407946</v>
      </c>
    </row>
    <row r="80" spans="6:18">
      <c r="F80" s="7">
        <v>2026</v>
      </c>
      <c r="G80" s="7">
        <v>5</v>
      </c>
      <c r="H80" s="7" t="s">
        <v>1160</v>
      </c>
      <c r="I80" s="7" t="s">
        <v>4511</v>
      </c>
      <c r="J80" s="7">
        <v>546856</v>
      </c>
      <c r="K80" s="12">
        <v>46154.654861111114</v>
      </c>
      <c r="L80" s="12">
        <v>45928</v>
      </c>
      <c r="M80" s="12">
        <v>46293</v>
      </c>
      <c r="N80" s="11">
        <v>13338.48</v>
      </c>
      <c r="O80" s="11">
        <f t="shared" si="24"/>
        <v>5055.6544333332331</v>
      </c>
      <c r="P80" s="11">
        <f t="shared" si="25"/>
        <v>101.11308866666467</v>
      </c>
    </row>
    <row r="81" spans="6:16">
      <c r="F81" s="7">
        <v>2026</v>
      </c>
      <c r="G81" s="7">
        <v>5</v>
      </c>
      <c r="H81" s="7" t="s">
        <v>1160</v>
      </c>
      <c r="I81" s="7" t="s">
        <v>4512</v>
      </c>
      <c r="J81" s="7">
        <v>608259</v>
      </c>
      <c r="K81" s="12">
        <v>46146.60833333333</v>
      </c>
      <c r="L81" s="12">
        <v>46053</v>
      </c>
      <c r="M81" s="12">
        <v>46418</v>
      </c>
      <c r="N81" s="11">
        <v>2874</v>
      </c>
      <c r="O81" s="11">
        <f t="shared" si="24"/>
        <v>2136.9305479452323</v>
      </c>
      <c r="P81" s="11">
        <f t="shared" si="25"/>
        <v>42.738610958904644</v>
      </c>
    </row>
    <row r="82" spans="6:16">
      <c r="F82" s="7">
        <v>2026</v>
      </c>
      <c r="G82" s="7">
        <v>5</v>
      </c>
      <c r="H82" s="7" t="s">
        <v>1160</v>
      </c>
      <c r="I82" s="7" t="s">
        <v>4513</v>
      </c>
      <c r="J82" s="7">
        <v>620533</v>
      </c>
      <c r="K82" s="12">
        <v>46162.743750000001</v>
      </c>
      <c r="L82" s="12">
        <v>45905</v>
      </c>
      <c r="M82" s="12">
        <v>46270</v>
      </c>
      <c r="N82" s="11">
        <v>22441.200000000001</v>
      </c>
      <c r="O82" s="11">
        <f t="shared" si="24"/>
        <v>6594.4081027396369</v>
      </c>
      <c r="P82" s="11">
        <f t="shared" si="25"/>
        <v>131.88816205479273</v>
      </c>
    </row>
    <row r="83" spans="6:16">
      <c r="F83" s="7">
        <v>2026</v>
      </c>
      <c r="G83" s="7">
        <v>5</v>
      </c>
      <c r="H83" s="7" t="s">
        <v>1160</v>
      </c>
      <c r="I83" s="7" t="s">
        <v>4514</v>
      </c>
      <c r="J83" s="7">
        <v>621611</v>
      </c>
      <c r="K83" s="12">
        <v>46163.741666666669</v>
      </c>
      <c r="L83" s="12">
        <v>45565</v>
      </c>
      <c r="M83" s="12">
        <v>46295</v>
      </c>
      <c r="N83" s="11">
        <v>14400</v>
      </c>
      <c r="O83" s="11">
        <f t="shared" si="24"/>
        <v>2589.2054794520163</v>
      </c>
      <c r="P83" s="11">
        <f t="shared" si="25"/>
        <v>51.784109589040327</v>
      </c>
    </row>
    <row r="84" spans="6:16">
      <c r="F84" s="7">
        <v>2026</v>
      </c>
      <c r="G84" s="7">
        <v>5</v>
      </c>
      <c r="H84" s="7" t="s">
        <v>1160</v>
      </c>
      <c r="I84" s="7" t="s">
        <v>4515</v>
      </c>
      <c r="J84" s="7">
        <v>624847</v>
      </c>
      <c r="K84" s="12">
        <v>46163.736111111109</v>
      </c>
      <c r="L84" s="12">
        <v>45638</v>
      </c>
      <c r="M84" s="12">
        <v>46368</v>
      </c>
      <c r="N84" s="11">
        <v>5736</v>
      </c>
      <c r="O84" s="11">
        <f t="shared" si="24"/>
        <v>1605.0105022831176</v>
      </c>
      <c r="P84" s="11">
        <f t="shared" si="25"/>
        <v>32.100210045662351</v>
      </c>
    </row>
    <row r="85" spans="6:16">
      <c r="F85" s="7">
        <v>2026</v>
      </c>
      <c r="G85" s="7">
        <v>5</v>
      </c>
      <c r="H85" s="7" t="s">
        <v>1160</v>
      </c>
      <c r="I85" s="7" t="s">
        <v>4516</v>
      </c>
      <c r="J85" s="7">
        <v>625343</v>
      </c>
      <c r="K85" s="12">
        <v>46169.482638888891</v>
      </c>
      <c r="L85" s="12">
        <v>45666</v>
      </c>
      <c r="M85" s="12">
        <v>46761</v>
      </c>
      <c r="N85" s="11">
        <v>16354.8</v>
      </c>
      <c r="O85" s="11">
        <f t="shared" si="24"/>
        <v>8834.8384817351362</v>
      </c>
      <c r="P85" s="11">
        <f t="shared" si="25"/>
        <v>176.69676963470272</v>
      </c>
    </row>
    <row r="86" spans="6:16">
      <c r="F86" s="7">
        <v>2026</v>
      </c>
      <c r="G86" s="7">
        <v>5</v>
      </c>
      <c r="H86" s="7" t="s">
        <v>1160</v>
      </c>
      <c r="I86" s="7" t="s">
        <v>4517</v>
      </c>
      <c r="J86" s="7">
        <v>631056</v>
      </c>
      <c r="K86" s="12">
        <v>46168.373611111114</v>
      </c>
      <c r="L86" s="12">
        <v>45855</v>
      </c>
      <c r="M86" s="12">
        <v>46220</v>
      </c>
      <c r="N86" s="11">
        <v>4785.24</v>
      </c>
      <c r="O86" s="11">
        <f t="shared" si="24"/>
        <v>676.8346881278178</v>
      </c>
      <c r="P86" s="11">
        <f t="shared" si="25"/>
        <v>13.536693762556355</v>
      </c>
    </row>
    <row r="87" spans="6:16">
      <c r="F87" s="7">
        <v>2026</v>
      </c>
      <c r="G87" s="7">
        <v>5</v>
      </c>
      <c r="H87" s="7" t="s">
        <v>1160</v>
      </c>
      <c r="I87" s="7" t="s">
        <v>4518</v>
      </c>
      <c r="J87" s="7">
        <v>636532</v>
      </c>
      <c r="K87" s="12">
        <v>46168.377083333333</v>
      </c>
      <c r="L87" s="12">
        <v>46097</v>
      </c>
      <c r="M87" s="12">
        <v>46462</v>
      </c>
      <c r="N87" s="11">
        <v>4127.88</v>
      </c>
      <c r="O87" s="11">
        <f t="shared" si="24"/>
        <v>3320.6579869863067</v>
      </c>
      <c r="P87" s="11">
        <f t="shared" si="25"/>
        <v>66.41315973972614</v>
      </c>
    </row>
    <row r="88" spans="6:16">
      <c r="F88" s="7">
        <v>2026</v>
      </c>
      <c r="G88" s="7">
        <v>5</v>
      </c>
      <c r="H88" s="7" t="s">
        <v>1160</v>
      </c>
      <c r="I88" s="7" t="s">
        <v>4519</v>
      </c>
      <c r="J88" s="7">
        <v>636842</v>
      </c>
      <c r="K88" s="12">
        <v>46154.68472222222</v>
      </c>
      <c r="L88" s="12">
        <v>46113</v>
      </c>
      <c r="M88" s="12">
        <v>46478</v>
      </c>
      <c r="N88" s="11">
        <v>2874</v>
      </c>
      <c r="O88" s="11">
        <f t="shared" si="24"/>
        <v>2545.7756392694205</v>
      </c>
      <c r="P88" s="11">
        <f t="shared" si="25"/>
        <v>50.915512785388408</v>
      </c>
    </row>
    <row r="89" spans="6:16">
      <c r="F89" s="7">
        <v>2026</v>
      </c>
      <c r="G89" s="7">
        <v>5</v>
      </c>
      <c r="H89" s="7" t="s">
        <v>1160</v>
      </c>
      <c r="I89" s="7" t="s">
        <v>4520</v>
      </c>
      <c r="J89" s="7">
        <v>637033</v>
      </c>
      <c r="K89" s="12">
        <v>46169.42291666667</v>
      </c>
      <c r="L89" s="12">
        <v>46122</v>
      </c>
      <c r="M89" s="12">
        <v>46487</v>
      </c>
      <c r="N89" s="11">
        <v>4411.2</v>
      </c>
      <c r="O89" s="11">
        <f t="shared" si="24"/>
        <v>3838.0713150684519</v>
      </c>
      <c r="P89" s="11">
        <f t="shared" si="25"/>
        <v>76.761426301369042</v>
      </c>
    </row>
  </sheetData>
  <mergeCells count="2">
    <mergeCell ref="A1:D1"/>
    <mergeCell ref="F1:P1"/>
  </mergeCells>
  <hyperlinks>
    <hyperlink ref="I3" r:id="rId1" xr:uid="{2BEC141B-92F7-4E2C-876F-916F40F1748C}"/>
    <hyperlink ref="I23" r:id="rId2" xr:uid="{98867580-17FC-4E37-8869-18042D7E9576}"/>
    <hyperlink ref="I22" r:id="rId3" xr:uid="{65AABDC0-CB29-4151-8475-E3A71197BC9D}"/>
    <hyperlink ref="I52" r:id="rId4" xr:uid="{88823E00-2DB1-4C29-A6B5-F2D1CFD709DF}"/>
    <hyperlink ref="I53" r:id="rId5" xr:uid="{2B250241-2F09-46FD-B94A-B90C03BAB14D}"/>
    <hyperlink ref="I54" r:id="rId6" xr:uid="{B8BAE7F6-ED94-42B5-8395-FED294EC03EF}"/>
    <hyperlink ref="I55" r:id="rId7" xr:uid="{C7750F27-71AF-4D44-98F2-9A1D43004BB9}"/>
    <hyperlink ref="I50" r:id="rId8" xr:uid="{6A578210-9267-446E-A233-D30397A36DB0}"/>
    <hyperlink ref="I51" r:id="rId9" xr:uid="{894B4169-84F8-4236-848E-1763875EC0DB}"/>
    <hyperlink ref="I49" r:id="rId10" xr:uid="{F4F4ABE1-532E-4DB3-A0B3-09B358478657}"/>
    <hyperlink ref="I70" r:id="rId11" xr:uid="{07D134A3-FCCD-4943-9190-056B022D13B5}"/>
    <hyperlink ref="I71" r:id="rId12" xr:uid="{EA6D67F8-1DDB-4E7B-8869-292688EBA47D}"/>
    <hyperlink ref="I72" r:id="rId13" xr:uid="{CADC0081-CF80-445A-832B-87981E401916}"/>
    <hyperlink ref="I73" r:id="rId14" xr:uid="{42DDE9DB-F66E-4928-A980-50DC16141B7C}"/>
    <hyperlink ref="I74" r:id="rId15" xr:uid="{49C5B38B-6C9A-4B7C-A29B-37E045367A81}"/>
    <hyperlink ref="H75" r:id="rId16" xr:uid="{F671D7A1-1D90-4D54-BB66-6D5CA5DBDA2D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BDD51-BBD4-4237-B7AA-ABCCDFF19EE5}">
  <sheetPr filterMode="1"/>
  <dimension ref="A1:AP142"/>
  <sheetViews>
    <sheetView workbookViewId="0">
      <pane xSplit="6" ySplit="1" topLeftCell="M128" activePane="bottomRight" state="frozen"/>
      <selection pane="bottomRight" activeCell="D128" sqref="D128"/>
      <selection pane="bottomLeft"/>
      <selection pane="topRight"/>
    </sheetView>
  </sheetViews>
  <sheetFormatPr defaultRowHeight="15"/>
  <cols>
    <col min="1" max="1" width="5.42578125" style="7" bestFit="1" customWidth="1"/>
    <col min="2" max="2" width="4.85546875" style="7" bestFit="1" customWidth="1"/>
    <col min="3" max="4" width="32" style="7" bestFit="1" customWidth="1"/>
    <col min="5" max="5" width="15.5703125" style="7" bestFit="1" customWidth="1"/>
    <col min="6" max="6" width="9.5703125" style="7" bestFit="1" customWidth="1"/>
    <col min="7" max="7" width="27.28515625" style="7" hidden="1" customWidth="1"/>
    <col min="8" max="8" width="5.28515625" style="7" bestFit="1" customWidth="1"/>
    <col min="9" max="9" width="14.7109375" style="15" bestFit="1" customWidth="1"/>
    <col min="10" max="10" width="13.7109375" style="16" bestFit="1" customWidth="1"/>
    <col min="11" max="11" width="12.5703125" style="10" bestFit="1" customWidth="1"/>
    <col min="12" max="12" width="26" style="26" bestFit="1" customWidth="1"/>
    <col min="13" max="13" width="14" style="28" bestFit="1" customWidth="1"/>
    <col min="14" max="14" width="12.5703125" style="10" bestFit="1" customWidth="1"/>
    <col min="15" max="15" width="6" style="30" bestFit="1" customWidth="1"/>
    <col min="16" max="16" width="14" style="32" bestFit="1" customWidth="1"/>
    <col min="17" max="17" width="12.5703125" style="10" bestFit="1" customWidth="1"/>
    <col min="18" max="18" width="6" style="30" bestFit="1" customWidth="1"/>
    <col min="19" max="19" width="14" style="32" bestFit="1" customWidth="1"/>
    <col min="20" max="20" width="12.5703125" style="10" bestFit="1" customWidth="1"/>
    <col min="21" max="21" width="6" style="30" bestFit="1" customWidth="1"/>
    <col min="22" max="22" width="14" style="32" bestFit="1" customWidth="1"/>
    <col min="23" max="23" width="12.85546875" style="10" bestFit="1" customWidth="1"/>
    <col min="24" max="24" width="5.28515625" style="34" bestFit="1" customWidth="1"/>
    <col min="25" max="25" width="13.7109375" style="24" bestFit="1" customWidth="1"/>
    <col min="26" max="26" width="14.85546875" style="9" bestFit="1" customWidth="1"/>
    <col min="27" max="27" width="12.85546875" style="16" bestFit="1" customWidth="1"/>
    <col min="28" max="28" width="12.5703125" style="16" bestFit="1" customWidth="1"/>
    <col min="29" max="29" width="15" style="15" bestFit="1" customWidth="1"/>
    <col min="30" max="30" width="24" style="16" bestFit="1" customWidth="1"/>
    <col min="31" max="31" width="12.85546875" style="15" bestFit="1" customWidth="1"/>
    <col min="32" max="32" width="27.7109375" style="16" bestFit="1" customWidth="1"/>
    <col min="33" max="33" width="28.42578125" style="15" bestFit="1" customWidth="1"/>
    <col min="34" max="34" width="24.5703125" style="16" bestFit="1" customWidth="1"/>
    <col min="35" max="35" width="21.28515625" style="90" bestFit="1" customWidth="1"/>
    <col min="36" max="36" width="25.85546875" style="16" bestFit="1" customWidth="1"/>
    <col min="37" max="37" width="22" style="16" bestFit="1" customWidth="1"/>
    <col min="38" max="38" width="18.85546875" style="89" bestFit="1" customWidth="1"/>
    <col min="39" max="39" width="28.140625" style="95" bestFit="1" customWidth="1"/>
    <col min="40" max="40" width="25.42578125" style="94" bestFit="1" customWidth="1"/>
    <col min="41" max="41" width="27.140625" style="7" bestFit="1" customWidth="1"/>
  </cols>
  <sheetData>
    <row r="1" spans="1:40">
      <c r="A1" s="93" t="str" cm="1">
        <f t="array" ref="A1:H134">_xlfn._xlws.FILTER(Metas!A:H,(Metas!A:A&gt;2025)*(Metas!E:E&lt;&gt;"Governo")*(Metas!E:E&lt;&gt;"GD")*(((Metas!E:E&lt;&gt;"Saving")+(Metas!A:A&lt;2026)+(Metas!B:B&lt;5))&gt;0))</f>
        <v>Ano</v>
      </c>
      <c r="B1" s="7" t="str">
        <v>Mês</v>
      </c>
      <c r="C1" s="7" t="str">
        <v>Consultor</v>
      </c>
      <c r="D1" s="7" t="str">
        <v>Email</v>
      </c>
      <c r="E1" s="7" t="str">
        <v>Equipe</v>
      </c>
      <c r="F1" s="7" t="str">
        <v>Cargo</v>
      </c>
      <c r="G1" s="7" t="str">
        <v>Gestor</v>
      </c>
      <c r="H1" s="7" t="str">
        <v>Tipo</v>
      </c>
      <c r="I1" s="13" t="s">
        <v>4267</v>
      </c>
      <c r="J1" s="14" t="s">
        <v>4521</v>
      </c>
      <c r="K1" s="17" t="s">
        <v>4522</v>
      </c>
      <c r="L1" s="25" t="s">
        <v>4523</v>
      </c>
      <c r="M1" s="27" t="s">
        <v>4524</v>
      </c>
      <c r="N1" s="17" t="s">
        <v>4525</v>
      </c>
      <c r="O1" s="29" t="s">
        <v>4526</v>
      </c>
      <c r="P1" s="31" t="s">
        <v>4524</v>
      </c>
      <c r="Q1" s="17" t="s">
        <v>4527</v>
      </c>
      <c r="R1" s="29" t="s">
        <v>4526</v>
      </c>
      <c r="S1" s="31" t="s">
        <v>4524</v>
      </c>
      <c r="T1" s="17" t="s">
        <v>4528</v>
      </c>
      <c r="U1" s="29" t="s">
        <v>4526</v>
      </c>
      <c r="V1" s="31" t="s">
        <v>4524</v>
      </c>
      <c r="W1" s="17" t="s">
        <v>4529</v>
      </c>
      <c r="X1" s="33" t="s">
        <v>4526</v>
      </c>
      <c r="Y1" s="23" t="s">
        <v>4530</v>
      </c>
      <c r="Z1" s="18" t="s">
        <v>4531</v>
      </c>
      <c r="AA1" s="14" t="s">
        <v>4532</v>
      </c>
      <c r="AB1" s="14" t="s">
        <v>4533</v>
      </c>
      <c r="AC1" s="13" t="s">
        <v>4534</v>
      </c>
      <c r="AD1" s="14" t="s">
        <v>4535</v>
      </c>
      <c r="AE1" s="13" t="s">
        <v>4536</v>
      </c>
      <c r="AF1" s="14" t="s">
        <v>4537</v>
      </c>
      <c r="AG1" s="13" t="s">
        <v>4538</v>
      </c>
      <c r="AH1" s="14" t="s">
        <v>4539</v>
      </c>
      <c r="AI1" s="98" t="s">
        <v>4540</v>
      </c>
      <c r="AJ1" s="14" t="s">
        <v>4541</v>
      </c>
      <c r="AK1" s="14" t="s">
        <v>4542</v>
      </c>
      <c r="AL1" s="97" t="s">
        <v>4543</v>
      </c>
      <c r="AM1" s="91" t="s">
        <v>4544</v>
      </c>
      <c r="AN1" s="92" t="s">
        <v>4545</v>
      </c>
    </row>
    <row r="2" spans="1:40" hidden="1">
      <c r="A2" s="7">
        <v>2026</v>
      </c>
      <c r="B2" s="7">
        <v>1</v>
      </c>
      <c r="C2" s="7" t="str">
        <v>Anderson Ortiz</v>
      </c>
      <c r="D2" s="7" t="str">
        <v>anderson.ortiz@altoqi.com.br</v>
      </c>
      <c r="E2" s="7" t="str">
        <v>Ares</v>
      </c>
      <c r="F2" s="7" t="str">
        <v>Consultor</v>
      </c>
      <c r="G2" s="7" t="str">
        <v>sonia.zielinski@altoqi.com.br</v>
      </c>
      <c r="H2" s="7" t="str">
        <v>MRR</v>
      </c>
      <c r="I2" s="15">
        <f>IF(AND(F2="Consultor",H2="MRR"),SUMIFS(Negócios!L:L,Negócios!A:A,A2,Negócios!B:B,B2,Negócios!P:P,D2),
IF(AND(F2="Consultor",H2="Opps"),SUMIFS('Realizado GD'!D:D,'Realizado GD'!A:A,A2,'Realizado GD'!B:B,B2,'Realizado GD'!C:C,D2),
IF(AND(F2="Gestor",H2="MRR"),SUMIFS(I:I,A:A,A2,B:B,B2,G:G,D2))))</f>
        <v>2260.0500000000002</v>
      </c>
      <c r="J2" s="16">
        <f>SUMIFS(Metas!K:K,Metas!A:A,A2,Metas!B:B,B2,Metas!D:D,D2,Metas!H:H,H2)</f>
        <v>5000</v>
      </c>
      <c r="K2" s="10">
        <f>IFERROR(I2/J2,0)</f>
        <v>0.45201000000000002</v>
      </c>
      <c r="L2" s="26" t="str" cm="1">
        <f t="array" ref="L2">_xlfn.LET(
 _xlpm.g,_xlfn.MAXIFS(Parâmetros!G:G,Parâmetros!A:A,A2,Parâmetros!B:B,B2,Parâmetros!D:D,D2,Parâmetros!E:E,E2),
 _xlpm.j,_xlfn.MAXIFS(Parâmetros!J:J,Parâmetros!A:A,A2,Parâmetros!B:B,B2,Parâmetros!D:D,D2,Parâmetros!E:E,E2),
 _xlpm.m,_xlfn.MAXIFS(Parâmetros!M:M,Parâmetros!A:A,A2,Parâmetros!B:B,B2,Parâmetros!D:D,D2,Parâmetros!E:E,E2),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55,00%</v>
      </c>
      <c r="M2" s="28">
        <f>IF(AND(F2="Gestor",H2="MRR"),SUMIFS(M:M,A:A,A2,B:B,B2,G:G,D2),
SUMIFS(Negócios!L:L,Negócios!A:A,A2,Negócios!B:B,B2,Negócios!P:P,D2,Negócios!AG:AG,"À Vista",Negócios!Q:Q,E2))</f>
        <v>1059.21</v>
      </c>
      <c r="N2" s="10">
        <f>IFERROR(M2/$I2,0)</f>
        <v>0.46866662241985796</v>
      </c>
      <c r="O2" s="30">
        <f>SUMIFS('Acel Form Pag'!D:D,'Acel Form Pag'!A:A,A2,'Acel Form Pag'!B:B,B2,'Acel Form Pag'!C:C,E2)</f>
        <v>1.3</v>
      </c>
      <c r="P2" s="32">
        <f>IF(AND(F2="Gestor",H2="MRR"),SUMIFS(P:P,A:A,A2,B:B,B2,G:G,D2),
SUMIFS(Negócios!L:L,Negócios!A:A,A2,Negócios!B:B,B2,Negócios!P:P,D2,Negócios!AG:AG,"CC 3x",Negócios!Q:Q,E2))</f>
        <v>0</v>
      </c>
      <c r="Q2" s="10">
        <f>IFERROR(P2/$I2,0)</f>
        <v>0</v>
      </c>
      <c r="R2" s="30">
        <f>SUMIFS('Acel Form Pag'!E:E,'Acel Form Pag'!A:A,A2,'Acel Form Pag'!B:B,B2,'Acel Form Pag'!C:C,E2)</f>
        <v>1.2</v>
      </c>
      <c r="S2" s="32">
        <f>IF(AND(F2="Gestor",H2="MRR"),SUMIFS(S:S,A:A,A2,B:B,B2,G:G,D2),
SUMIFS(Negócios!L:L,Negócios!A:A,A2,Negócios!B:B,B2,Negócios!P:P,D2,Negócios!AG:AG,"CC 12x",Negócios!Q:Q,E2))</f>
        <v>929.24</v>
      </c>
      <c r="T2" s="10">
        <f>IFERROR(S2/$I2,0)</f>
        <v>0.41115904515386825</v>
      </c>
      <c r="U2" s="30">
        <f>SUMIFS('Acel Form Pag'!F:F,'Acel Form Pag'!A:A,A2,'Acel Form Pag'!B:B,B2,'Acel Form Pag'!C:C,E2)</f>
        <v>1.1499999999999999</v>
      </c>
      <c r="V2" s="32">
        <f>IF(AND(F2="Gestor",H2="MRR"),SUMIFS(V:V,A:A,A2,B:B,B2,G:G,D2),
SUMIFS(Negócios!L:L,Negócios!A:A,A2,Negócios!B:B,B2,Negócios!P:P,D2,Negócios!AG:AG,"Recorrente",Negócios!Q:Q,E2))</f>
        <v>271.60000000000002</v>
      </c>
      <c r="W2" s="10">
        <f>IFERROR(V2/$I2,0)</f>
        <v>0.12017433242627376</v>
      </c>
      <c r="X2" s="34">
        <f>SUMIFS('Acel Form Pag'!G:G,'Acel Form Pag'!A:A,A2,'Acel Form Pag'!B:B,B2,'Acel Form Pag'!C:C,E2)</f>
        <v>1</v>
      </c>
      <c r="Y2" s="24">
        <f>MAX(_xlfn.MAXIFS(Parâmetros!O:O,Parâmetros!A:A,A2,Parâmetros!B:B,B2,Parâmetros!D:D,D2,Parâmetros!M:M,"&lt;="&amp;K2),_xlfn.MAXIFS(Parâmetros!L:L,Parâmetros!A:A,A2,Parâmetros!B:B,B2,Parâmetros!D:D,D2,Parâmetros!J:J,"&lt;="&amp;K2),_xlfn.MAXIFS(Parâmetros!I:I,Parâmetros!A:A,A2,Parâmetros!B:B,B2,Parâmetros!D:D,D2))</f>
        <v>1980</v>
      </c>
      <c r="Z2" s="9">
        <f>MAX(_xlfn.MAXIFS(Parâmetros!Q:Q,Parâmetros!A:A,A2,Parâmetros!B:B,B2,Parâmetros!D:D,D2,Parâmetros!E:E,E2,Parâmetros!P:P,"&lt;="&amp;K2),
_xlfn.MAXIFS(Parâmetros!S:S,Parâmetros!A:A,A2,Parâmetros!B:B,B2,Parâmetros!D:D,D2,Parâmetros!E:E,E2,Parâmetros!R:R,"&lt;="&amp;K2),
_xlfn.MAXIFS(Parâmetros!U:U,Parâmetros!A:A,A2,Parâmetros!B:B,B2,Parâmetros!D:D,D2,Parâmetros!E:E,E2,Parâmetros!T:T,"&lt;="&amp;K2),1) * IF(K2 &gt;= SUMIFS(Parâmetros!G:G,Parâmetros!A:A,A2,Parâmetros!B:B,B2,Parâmetros!D:D,D2,Parâmetros!E:E,E2),1,0)</f>
        <v>0</v>
      </c>
      <c r="AA2" s="16">
        <f>Y2*Z2*K2</f>
        <v>0</v>
      </c>
      <c r="AB2" s="16">
        <f>(AA2*N2*O2) + (AA2*Q2*R2) + (AA2*T2*U2) + (AA2*W2*X2)</f>
        <v>0</v>
      </c>
      <c r="AC2" s="15">
        <f>IF(F2="Gestor",SUMIFS(AC:AC,A:A,A2,B:B,B2,G:G,D2),
IF(E2="Saving",SUMIFS(Negócios!I:I,Negócios!A:A,A2,Negócios!B:B,B2,Negócios!P:P,D2,Negócios!H:H,"Curso") + SUMIFS(Negócios!I:I,Negócios!A:A,A2,Negócios!B:B,B2,Negócios!P:P,D2,Negócios!H:H,"Serviço") + SUMIFS(Negócios!I:I,Negócios!A:A,A2,Negócios!B:B,B2,Negócios!P:P,D2,Negócios!H:H,"Implementação"),SUMIFS(Negócios!I:I,Negócios!A:A,A2,Negócios!B:B,B2,Negócios!P:P,D2,Negócios!H:H,"Implementação")))</f>
        <v>0</v>
      </c>
      <c r="AD2" s="16">
        <f>SUMIFS(Parâmetros!W:W,Parâmetros!A:A,A2,Parâmetros!B:B,B2,Parâmetros!D:D,D2) * AC2 * IF(K2 &gt;= SUMIFS(Parâmetros!V:V,Parâmetros!A:A,A2,Parâmetros!B:B,B2,Parâmetros!D:D,D2),1,0)</f>
        <v>0</v>
      </c>
      <c r="AE2" s="15">
        <f>SUMIFS('Recuperação de Canc e Divs'!D:D,'Recuperação de Canc e Divs'!A:A,A2,'Recuperação de Canc e Divs'!B:B,B2,'Recuperação de Canc e Divs'!C:C,D2)</f>
        <v>0</v>
      </c>
      <c r="AF2" s="16">
        <f>IF(K2&gt;=SUMIFS(Parâmetros!J:J,Parâmetros!A:A,A2,Parâmetros!B:B,B2,Parâmetros!D:D,D2),AE2*0.025,0)</f>
        <v>0</v>
      </c>
      <c r="AG2" s="15" t="str">
        <f t="shared" ref="AG2:AG56" si="0">IF(OR(B2=3,B2=6,B2=9,B2=12),
SUMIFS(I:I,$A:$A,$A2,$B:$B,"&gt;="&amp;(B2-2),$B:$B,"&lt;="&amp;B2,$D:$D,$D2),"")</f>
        <v/>
      </c>
      <c r="AH2" s="16" t="str">
        <f t="shared" ref="AH2:AH56" si="1">IF(OR(B2=3,B2=6,B2=9,B2=12),
SUMIFS(J:J,$A:$A,$A2,$B:$B,"&gt;="&amp;(B2-2),$B:$B,"&lt;="&amp;B2,$D:$D,$D2),"")</f>
        <v/>
      </c>
      <c r="AI2" s="90">
        <f t="shared" ref="AI2:AI56" si="2">IFERROR(AG2/AH2,0)</f>
        <v>0</v>
      </c>
      <c r="AJ2" s="16" t="str">
        <f t="shared" ref="AJ2:AJ56" si="3">IF(F2="Gestor","",
IF(OR(B2=3,B2=6,B2=9,B2=12),
SUMIFS(I:I,$A:$A,$A2,$B:$B,"&gt;="&amp;(B2-2),$B:$B,"&lt;="&amp;B2,$E:$E,$E2,$F:$F,"&lt;&gt;Gestor"),
""))</f>
        <v/>
      </c>
      <c r="AK2" s="16" t="str">
        <f t="shared" ref="AK2:AK56" si="4">IF(F2="Gestor","",
IF(OR(B2=3,B2=6,B2=9,B2=12),
SUMIFS(J:J,$A:$A,$A2,$B:$B,"&gt;="&amp;(B2-2),$B:$B,"&lt;="&amp;B2,$E:$E,$E2,$F:$F,"&lt;&gt;Gestor"),
""))</f>
        <v/>
      </c>
      <c r="AL2" s="90">
        <f t="shared" ref="AL2:AL56" si="5">IFERROR(AJ2/AK2,0)</f>
        <v>0</v>
      </c>
      <c r="AM2" s="93" t="str">
        <f>IF(AND(OR(B2=3,B2=6,B2=9,B2=12),AI2&gt;=1),
IF(F2="Gestor",AI2*0.6,AI2*0.3),"")</f>
        <v/>
      </c>
      <c r="AN2" s="94" t="str">
        <f>IF(OR(B2=3,B2=6,B2=9,B2=12),
IF(AND(AK2&gt;=1,AI2&gt;=SUMIFS(Parâmetros!G:G,Parâmetros!A:A,Comissões!A2,Parâmetros!B:B,Comissões!B2,Parâmetros!D:D,Comissões!D2,Parâmetros!E:E,Comissões!E2)),AI2*0.3,""),"")</f>
        <v/>
      </c>
    </row>
    <row r="3" spans="1:40" hidden="1">
      <c r="A3" s="7">
        <v>2026</v>
      </c>
      <c r="B3" s="7">
        <v>1</v>
      </c>
      <c r="C3" s="7" t="str">
        <v>Francisco Guilherme Junior</v>
      </c>
      <c r="D3" s="7" t="str">
        <v>francisco.junior@altoqi.com.br</v>
      </c>
      <c r="E3" s="7" t="str">
        <v>Ares</v>
      </c>
      <c r="F3" s="7" t="str">
        <v>Consultor</v>
      </c>
      <c r="G3" s="7" t="str">
        <v>sonia.zielinski@altoqi.com.br</v>
      </c>
      <c r="H3" s="7" t="str">
        <v>MRR</v>
      </c>
      <c r="I3" s="15">
        <f>IF(AND(F3="Consultor",H3="MRR"),SUMIFS(Negócios!L:L,Negócios!A:A,A3,Negócios!B:B,B3,Negócios!P:P,D3),
IF(AND(F3="Consultor",H3="Opps"),SUMIFS('Realizado GD'!D:D,'Realizado GD'!A:A,A3,'Realizado GD'!B:B,B3,'Realizado GD'!C:C,D3),
IF(AND(F3="Gestor",H3="MRR"),SUMIFS(I:I,A:A,A3,B:B,B3,G:G,D3))))</f>
        <v>12571.529999999997</v>
      </c>
      <c r="J3" s="16">
        <f>SUMIFS(Metas!K:K,Metas!A:A,A3,Metas!B:B,B3,Metas!D:D,D3,Metas!H:H,H3)</f>
        <v>10000</v>
      </c>
      <c r="K3" s="10">
        <f t="shared" ref="K3:K29" si="6">IFERROR(I3/J3,0)</f>
        <v>1.2571529999999997</v>
      </c>
      <c r="L3" s="26" t="str" cm="1">
        <f t="array" ref="L3">_xlfn.LET(
 _xlpm.g,_xlfn.MAXIFS(Parâmetros!G:G,Parâmetros!A:A,A3,Parâmetros!B:B,B3,Parâmetros!D:D,D3,Parâmetros!E:E,E3),
 _xlpm.j,_xlfn.MAXIFS(Parâmetros!J:J,Parâmetros!A:A,A3,Parâmetros!B:B,B3,Parâmetros!D:D,D3,Parâmetros!E:E,E3),
 _xlpm.m,_xlfn.MAXIFS(Parâmetros!M:M,Parâmetros!A:A,A3,Parâmetros!B:B,B3,Parâmetros!D:D,D3,Parâmetros!E:E,E3),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55,00%</v>
      </c>
      <c r="M3" s="28">
        <f>IF(AND(F3="Gestor",H3="MRR"),SUMIFS(M:M,A:A,A3,B:B,B3,G:G,D3),
SUMIFS(Negócios!L:L,Negócios!A:A,A3,Negócios!B:B,B3,Negócios!P:P,D3,Negócios!AG:AG,"À Vista",Negócios!Q:Q,E3))</f>
        <v>1143.83</v>
      </c>
      <c r="N3" s="10">
        <f t="shared" ref="N3:N38" si="7">IFERROR(M3/$I3,0)</f>
        <v>9.0985743183208428E-2</v>
      </c>
      <c r="O3" s="30">
        <f>SUMIFS('Acel Form Pag'!D:D,'Acel Form Pag'!A:A,A3,'Acel Form Pag'!B:B,B3,'Acel Form Pag'!C:C,E3)</f>
        <v>1.3</v>
      </c>
      <c r="P3" s="32">
        <f>IF(AND(F3="Gestor",H3="MRR"),SUMIFS(P:P,A:A,A3,B:B,B3,G:G,D3),
SUMIFS(Negócios!L:L,Negócios!A:A,A3,Negócios!B:B,B3,Negócios!P:P,D3,Negócios!AG:AG,"CC 3x",Negócios!Q:Q,E3))</f>
        <v>586.17000000000007</v>
      </c>
      <c r="Q3" s="10">
        <f t="shared" ref="Q3:Q38" si="8">IFERROR(P3/$I3,0)</f>
        <v>4.6626782897547091E-2</v>
      </c>
      <c r="R3" s="30">
        <f>SUMIFS('Acel Form Pag'!E:E,'Acel Form Pag'!A:A,A3,'Acel Form Pag'!B:B,B3,'Acel Form Pag'!C:C,E3)</f>
        <v>1.2</v>
      </c>
      <c r="S3" s="32">
        <f>IF(AND(F3="Gestor",H3="MRR"),SUMIFS(S:S,A:A,A3,B:B,B3,G:G,D3),
SUMIFS(Negócios!L:L,Negócios!A:A,A3,Negócios!B:B,B3,Negócios!P:P,D3,Negócios!AG:AG,"CC 12x",Negócios!Q:Q,E3))</f>
        <v>2724.18</v>
      </c>
      <c r="T3" s="10">
        <f t="shared" ref="T3:T38" si="9">IFERROR(S3/$I3,0)</f>
        <v>0.21669438803391478</v>
      </c>
      <c r="U3" s="30">
        <f>SUMIFS('Acel Form Pag'!F:F,'Acel Form Pag'!A:A,A3,'Acel Form Pag'!B:B,B3,'Acel Form Pag'!C:C,E3)</f>
        <v>1.1499999999999999</v>
      </c>
      <c r="V3" s="32">
        <f>IF(AND(F3="Gestor",H3="MRR"),SUMIFS(V:V,A:A,A3,B:B,B3,G:G,D3),
SUMIFS(Negócios!L:L,Negócios!A:A,A3,Negócios!B:B,B3,Negócios!P:P,D3,Negócios!AG:AG,"Recorrente",Negócios!Q:Q,E3))</f>
        <v>8117.3500000000013</v>
      </c>
      <c r="W3" s="10">
        <f t="shared" ref="W3:W38" si="10">IFERROR(V3/$I3,0)</f>
        <v>0.64569308588533003</v>
      </c>
      <c r="X3" s="34">
        <f>SUMIFS('Acel Form Pag'!G:G,'Acel Form Pag'!A:A,A3,'Acel Form Pag'!B:B,B3,'Acel Form Pag'!C:C,E3)</f>
        <v>1</v>
      </c>
      <c r="Y3" s="24">
        <f>MAX(_xlfn.MAXIFS(Parâmetros!O:O,Parâmetros!A:A,A3,Parâmetros!B:B,B3,Parâmetros!D:D,D3,Parâmetros!M:M,"&lt;="&amp;K3),_xlfn.MAXIFS(Parâmetros!L:L,Parâmetros!A:A,A3,Parâmetros!B:B,B3,Parâmetros!D:D,D3,Parâmetros!J:J,"&lt;="&amp;K3),_xlfn.MAXIFS(Parâmetros!I:I,Parâmetros!A:A,A3,Parâmetros!B:B,B3,Parâmetros!D:D,D3))</f>
        <v>4176</v>
      </c>
      <c r="Z3" s="9">
        <f>MAX(_xlfn.MAXIFS(Parâmetros!Q:Q,Parâmetros!A:A,A3,Parâmetros!B:B,B3,Parâmetros!D:D,D3,Parâmetros!E:E,E3,Parâmetros!P:P,"&lt;="&amp;K3),
_xlfn.MAXIFS(Parâmetros!S:S,Parâmetros!A:A,A3,Parâmetros!B:B,B3,Parâmetros!D:D,D3,Parâmetros!E:E,E3,Parâmetros!R:R,"&lt;="&amp;K3),
_xlfn.MAXIFS(Parâmetros!U:U,Parâmetros!A:A,A3,Parâmetros!B:B,B3,Parâmetros!D:D,D3,Parâmetros!E:E,E3,Parâmetros!T:T,"&lt;="&amp;K3),1) * IF(K3 &gt;= SUMIFS(Parâmetros!G:G,Parâmetros!A:A,A3,Parâmetros!B:B,B3,Parâmetros!D:D,D3,Parâmetros!E:E,E3),1,0)</f>
        <v>1.25</v>
      </c>
      <c r="AA3" s="16">
        <f>Y3*Z3*K3</f>
        <v>6562.3386599999985</v>
      </c>
      <c r="AB3" s="16">
        <f>(AA3*N3*O3) + (AA3*Q3*R3) + (AA3*T3*U3) + (AA3*W3*X3)</f>
        <v>7015.9618800000007</v>
      </c>
      <c r="AC3" s="15">
        <f>IF(F3="Gestor",SUMIFS(AC:AC,A:A,A3,B:B,B3,G:G,D3),
IF(E3="Saving",SUMIFS(Negócios!I:I,Negócios!A:A,A3,Negócios!B:B,B3,Negócios!P:P,D3,Negócios!H:H,"Curso") + SUMIFS(Negócios!I:I,Negócios!A:A,A3,Negócios!B:B,B3,Negócios!P:P,D3,Negócios!H:H,"Serviço") + SUMIFS(Negócios!I:I,Negócios!A:A,A3,Negócios!B:B,B3,Negócios!P:P,D3,Negócios!H:H,"Implementação"),SUMIFS(Negócios!I:I,Negócios!A:A,A3,Negócios!B:B,B3,Negócios!P:P,D3,Negócios!H:H,"Implementação")))</f>
        <v>0</v>
      </c>
      <c r="AD3" s="16">
        <f>SUMIFS(Parâmetros!W:W,Parâmetros!A:A,A3,Parâmetros!B:B,B3,Parâmetros!D:D,D3) * AC3 * IF(K3 &gt;= SUMIFS(Parâmetros!V:V,Parâmetros!A:A,A3,Parâmetros!B:B,B3,Parâmetros!D:D,D3),1,0)</f>
        <v>0</v>
      </c>
      <c r="AE3" s="15">
        <f>SUMIFS('Recuperação de Canc e Divs'!D:D,'Recuperação de Canc e Divs'!A:A,A3,'Recuperação de Canc e Divs'!B:B,B3,'Recuperação de Canc e Divs'!C:C,D3)</f>
        <v>0</v>
      </c>
      <c r="AF3" s="16">
        <f>IF(K3&gt;=SUMIFS(Parâmetros!J:J,Parâmetros!A:A,A3,Parâmetros!B:B,B3,Parâmetros!D:D,D3),AE3*0.025,0)</f>
        <v>0</v>
      </c>
      <c r="AG3" s="15" t="str">
        <f t="shared" si="0"/>
        <v/>
      </c>
      <c r="AH3" s="16" t="str">
        <f t="shared" si="1"/>
        <v/>
      </c>
      <c r="AI3" s="90">
        <f t="shared" si="2"/>
        <v>0</v>
      </c>
      <c r="AJ3" s="16" t="str">
        <f t="shared" si="3"/>
        <v/>
      </c>
      <c r="AK3" s="16" t="str">
        <f t="shared" si="4"/>
        <v/>
      </c>
      <c r="AL3" s="90">
        <f t="shared" si="5"/>
        <v>0</v>
      </c>
      <c r="AM3" s="93" t="str">
        <f>IF(AND(OR(B3=3,B3=6,B3=9,B3=12),AI3&gt;=1),
IF(F3="Gestor",AI3*0.6,AI3*0.3),"")</f>
        <v/>
      </c>
      <c r="AN3" s="94" t="str">
        <f>IF(OR(B3=3,B3=6,B3=9,B3=12),
IF(AND(AK3&gt;=1,AI3&gt;=SUMIFS(Parâmetros!G:G,Parâmetros!A:A,Comissões!A3,Parâmetros!B:B,Comissões!B3,Parâmetros!D:D,Comissões!D3,Parâmetros!E:E,Comissões!E3)),AI3*0.3,""),"")</f>
        <v/>
      </c>
    </row>
    <row r="4" spans="1:40" hidden="1">
      <c r="A4" s="7">
        <v>2026</v>
      </c>
      <c r="B4" s="7">
        <v>1</v>
      </c>
      <c r="C4" s="7" t="str">
        <v>Rodrigo da Rosa Lima</v>
      </c>
      <c r="D4" s="7" t="str">
        <v>rodrigo.lima@altoqi.com.br</v>
      </c>
      <c r="E4" s="7" t="str">
        <v>Ares</v>
      </c>
      <c r="F4" s="7" t="str">
        <v>Consultor</v>
      </c>
      <c r="G4" s="7" t="str">
        <v>sonia.zielinski@altoqi.com.br</v>
      </c>
      <c r="H4" s="7" t="str">
        <v>MRR</v>
      </c>
      <c r="I4" s="15">
        <f>IF(AND(F4="Consultor",H4="MRR"),SUMIFS(Negócios!L:L,Negócios!A:A,A4,Negócios!B:B,B4,Negócios!P:P,D4),
IF(AND(F4="Consultor",H4="Opps"),SUMIFS('Realizado GD'!D:D,'Realizado GD'!A:A,A4,'Realizado GD'!B:B,B4,'Realizado GD'!C:C,D4),
IF(AND(F4="Gestor",H4="MRR"),SUMIFS(I:I,A:A,A4,B:B,B4,G:G,D4))))</f>
        <v>0</v>
      </c>
      <c r="J4" s="16">
        <f>SUMIFS(Metas!K:K,Metas!A:A,A4,Metas!B:B,B4,Metas!D:D,D4,Metas!H:H,H4)</f>
        <v>0</v>
      </c>
      <c r="K4" s="10">
        <f t="shared" si="6"/>
        <v>0</v>
      </c>
      <c r="L4" s="26" t="str" cm="1">
        <f t="array" ref="L4">_xlfn.LET(
 _xlpm.g,_xlfn.MAXIFS(Parâmetros!G:G,Parâmetros!A:A,A4,Parâmetros!B:B,B4,Parâmetros!D:D,D4,Parâmetros!E:E,E4),
 _xlpm.j,_xlfn.MAXIFS(Parâmetros!J:J,Parâmetros!A:A,A4,Parâmetros!B:B,B4,Parâmetros!D:D,D4,Parâmetros!E:E,E4),
 _xlpm.m,_xlfn.MAXIFS(Parâmetros!M:M,Parâmetros!A:A,A4,Parâmetros!B:B,B4,Parâmetros!D:D,D4,Parâmetros!E:E,E4),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55,00%</v>
      </c>
      <c r="M4" s="28">
        <f>IF(AND(F4="Gestor",H4="MRR"),SUMIFS(M:M,A:A,A4,B:B,B4,G:G,D4),
SUMIFS(Negócios!L:L,Negócios!A:A,A4,Negócios!B:B,B4,Negócios!P:P,D4,Negócios!AG:AG,"À Vista",Negócios!Q:Q,E4))</f>
        <v>0</v>
      </c>
      <c r="N4" s="10">
        <f t="shared" si="7"/>
        <v>0</v>
      </c>
      <c r="O4" s="30">
        <f>SUMIFS('Acel Form Pag'!D:D,'Acel Form Pag'!A:A,A4,'Acel Form Pag'!B:B,B4,'Acel Form Pag'!C:C,E4)</f>
        <v>1.3</v>
      </c>
      <c r="P4" s="32">
        <f>IF(AND(F4="Gestor",H4="MRR"),SUMIFS(P:P,A:A,A4,B:B,B4,G:G,D4),
SUMIFS(Negócios!L:L,Negócios!A:A,A4,Negócios!B:B,B4,Negócios!P:P,D4,Negócios!AG:AG,"CC 3x",Negócios!Q:Q,E4))</f>
        <v>0</v>
      </c>
      <c r="Q4" s="10">
        <f t="shared" si="8"/>
        <v>0</v>
      </c>
      <c r="R4" s="30">
        <f>SUMIFS('Acel Form Pag'!E:E,'Acel Form Pag'!A:A,A4,'Acel Form Pag'!B:B,B4,'Acel Form Pag'!C:C,E4)</f>
        <v>1.2</v>
      </c>
      <c r="S4" s="32">
        <f>IF(AND(F4="Gestor",H4="MRR"),SUMIFS(S:S,A:A,A4,B:B,B4,G:G,D4),
SUMIFS(Negócios!L:L,Negócios!A:A,A4,Negócios!B:B,B4,Negócios!P:P,D4,Negócios!AG:AG,"CC 12x",Negócios!Q:Q,E4))</f>
        <v>0</v>
      </c>
      <c r="T4" s="10">
        <f t="shared" si="9"/>
        <v>0</v>
      </c>
      <c r="U4" s="30">
        <f>SUMIFS('Acel Form Pag'!F:F,'Acel Form Pag'!A:A,A4,'Acel Form Pag'!B:B,B4,'Acel Form Pag'!C:C,E4)</f>
        <v>1.1499999999999999</v>
      </c>
      <c r="V4" s="32">
        <f>IF(AND(F4="Gestor",H4="MRR"),SUMIFS(V:V,A:A,A4,B:B,B4,G:G,D4),
SUMIFS(Negócios!L:L,Negócios!A:A,A4,Negócios!B:B,B4,Negócios!P:P,D4,Negócios!AG:AG,"Recorrente",Negócios!Q:Q,E4))</f>
        <v>0</v>
      </c>
      <c r="W4" s="10">
        <f t="shared" si="10"/>
        <v>0</v>
      </c>
      <c r="X4" s="34">
        <f>SUMIFS('Acel Form Pag'!G:G,'Acel Form Pag'!A:A,A4,'Acel Form Pag'!B:B,B4,'Acel Form Pag'!C:C,E4)</f>
        <v>1</v>
      </c>
      <c r="Y4" s="24">
        <f>MAX(_xlfn.MAXIFS(Parâmetros!O:O,Parâmetros!A:A,A4,Parâmetros!B:B,B4,Parâmetros!D:D,D4,Parâmetros!M:M,"&lt;="&amp;K4),_xlfn.MAXIFS(Parâmetros!L:L,Parâmetros!A:A,A4,Parâmetros!B:B,B4,Parâmetros!D:D,D4,Parâmetros!J:J,"&lt;="&amp;K4),_xlfn.MAXIFS(Parâmetros!I:I,Parâmetros!A:A,A4,Parâmetros!B:B,B4,Parâmetros!D:D,D4))</f>
        <v>3564</v>
      </c>
      <c r="Z4" s="9">
        <f>MAX(_xlfn.MAXIFS(Parâmetros!Q:Q,Parâmetros!A:A,A4,Parâmetros!B:B,B4,Parâmetros!D:D,D4,Parâmetros!E:E,E4,Parâmetros!P:P,"&lt;="&amp;K4),
_xlfn.MAXIFS(Parâmetros!S:S,Parâmetros!A:A,A4,Parâmetros!B:B,B4,Parâmetros!D:D,D4,Parâmetros!E:E,E4,Parâmetros!R:R,"&lt;="&amp;K4),
_xlfn.MAXIFS(Parâmetros!U:U,Parâmetros!A:A,A4,Parâmetros!B:B,B4,Parâmetros!D:D,D4,Parâmetros!E:E,E4,Parâmetros!T:T,"&lt;="&amp;K4),1) * IF(K4 &gt;= SUMIFS(Parâmetros!G:G,Parâmetros!A:A,A4,Parâmetros!B:B,B4,Parâmetros!D:D,D4,Parâmetros!E:E,E4),1,0)</f>
        <v>0</v>
      </c>
      <c r="AA4" s="16">
        <f>Y4*Z4*K4</f>
        <v>0</v>
      </c>
      <c r="AB4" s="16">
        <f>(AA4*N4*O4) + (AA4*Q4*R4) + (AA4*T4*U4) + (AA4*W4*X4)</f>
        <v>0</v>
      </c>
      <c r="AC4" s="15">
        <f>IF(F4="Gestor",SUMIFS(AC:AC,A:A,A4,B:B,B4,G:G,D4),
IF(E4="Saving",SUMIFS(Negócios!I:I,Negócios!A:A,A4,Negócios!B:B,B4,Negócios!P:P,D4,Negócios!H:H,"Curso") + SUMIFS(Negócios!I:I,Negócios!A:A,A4,Negócios!B:B,B4,Negócios!P:P,D4,Negócios!H:H,"Serviço") + SUMIFS(Negócios!I:I,Negócios!A:A,A4,Negócios!B:B,B4,Negócios!P:P,D4,Negócios!H:H,"Implementação"),SUMIFS(Negócios!I:I,Negócios!A:A,A4,Negócios!B:B,B4,Negócios!P:P,D4,Negócios!H:H,"Implementação")))</f>
        <v>0</v>
      </c>
      <c r="AD4" s="16">
        <f>SUMIFS(Parâmetros!W:W,Parâmetros!A:A,A4,Parâmetros!B:B,B4,Parâmetros!D:D,D4) * AC4 * IF(K4 &gt;= SUMIFS(Parâmetros!V:V,Parâmetros!A:A,A4,Parâmetros!B:B,B4,Parâmetros!D:D,D4),1,0)</f>
        <v>0</v>
      </c>
      <c r="AE4" s="15">
        <f>SUMIFS('Recuperação de Canc e Divs'!D:D,'Recuperação de Canc e Divs'!A:A,A4,'Recuperação de Canc e Divs'!B:B,B4,'Recuperação de Canc e Divs'!C:C,D4)</f>
        <v>0</v>
      </c>
      <c r="AF4" s="16">
        <f>IF(K4&gt;=SUMIFS(Parâmetros!J:J,Parâmetros!A:A,A4,Parâmetros!B:B,B4,Parâmetros!D:D,D4),AE4*0.025,0)</f>
        <v>0</v>
      </c>
      <c r="AG4" s="15" t="str">
        <f t="shared" si="0"/>
        <v/>
      </c>
      <c r="AH4" s="16" t="str">
        <f t="shared" si="1"/>
        <v/>
      </c>
      <c r="AI4" s="90">
        <f t="shared" si="2"/>
        <v>0</v>
      </c>
      <c r="AJ4" s="16" t="str">
        <f t="shared" si="3"/>
        <v/>
      </c>
      <c r="AK4" s="16" t="str">
        <f t="shared" si="4"/>
        <v/>
      </c>
      <c r="AL4" s="90">
        <f t="shared" si="5"/>
        <v>0</v>
      </c>
      <c r="AM4" s="93" t="str">
        <f>IF(AND(OR(B4=3,B4=6,B4=9,B4=12),AI4&gt;=1),
IF(F4="Gestor",AI4*0.6,AI4*0.3),"")</f>
        <v/>
      </c>
      <c r="AN4" s="94" t="str">
        <f>IF(OR(B4=3,B4=6,B4=9,B4=12),
IF(AND(AK4&gt;=1,AI4&gt;=SUMIFS(Parâmetros!G:G,Parâmetros!A:A,Comissões!A4,Parâmetros!B:B,Comissões!B4,Parâmetros!D:D,Comissões!D4,Parâmetros!E:E,Comissões!E4)),AI4*0.3,""),"")</f>
        <v/>
      </c>
    </row>
    <row r="5" spans="1:40" hidden="1">
      <c r="A5" s="7">
        <v>2026</v>
      </c>
      <c r="B5" s="7">
        <v>1</v>
      </c>
      <c r="C5" s="7" t="str">
        <v>Denis Melo Silva</v>
      </c>
      <c r="D5" s="7" t="str">
        <v>denis.silva@altoqi.com.br</v>
      </c>
      <c r="E5" s="7" t="str">
        <v>B2B Construtora</v>
      </c>
      <c r="F5" s="7" t="str">
        <v>Consultor</v>
      </c>
      <c r="G5" s="7">
        <v>0</v>
      </c>
      <c r="H5" s="7" t="str">
        <v>MRR</v>
      </c>
      <c r="I5" s="15">
        <f>IF(AND(F5="Consultor",H5="MRR"),SUMIFS(Negócios!L:L,Negócios!A:A,A5,Negócios!B:B,B5,Negócios!P:P,D5),
IF(AND(F5="Consultor",H5="Opps"),SUMIFS('Realizado GD'!D:D,'Realizado GD'!A:A,A5,'Realizado GD'!B:B,B5,'Realizado GD'!C:C,D5),
IF(AND(F5="Gestor",H5="MRR"),SUMIFS(I:I,A:A,A5,B:B,B5,G:G,D5))))</f>
        <v>0</v>
      </c>
      <c r="J5" s="16">
        <f>SUMIFS(Metas!K:K,Metas!A:A,A5,Metas!B:B,B5,Metas!D:D,D5,Metas!H:H,H5)</f>
        <v>1875</v>
      </c>
      <c r="K5" s="10">
        <f t="shared" si="6"/>
        <v>0</v>
      </c>
      <c r="L5" s="26" t="str" cm="1">
        <f t="array" ref="L5">_xlfn.LET(
 _xlpm.g,_xlfn.MAXIFS(Parâmetros!G:G,Parâmetros!A:A,A5,Parâmetros!B:B,B5,Parâmetros!D:D,D5,Parâmetros!E:E,E5),
 _xlpm.j,_xlfn.MAXIFS(Parâmetros!J:J,Parâmetros!A:A,A5,Parâmetros!B:B,B5,Parâmetros!D:D,D5,Parâmetros!E:E,E5),
 _xlpm.m,_xlfn.MAXIFS(Parâmetros!M:M,Parâmetros!A:A,A5,Parâmetros!B:B,B5,Parâmetros!D:D,D5,Parâmetros!E:E,E5),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55,00%</v>
      </c>
      <c r="M5" s="28">
        <f>IF(AND(F5="Gestor",H5="MRR"),SUMIFS(M:M,A:A,A5,B:B,B5,G:G,D5),
SUMIFS(Negócios!L:L,Negócios!A:A,A5,Negócios!B:B,B5,Negócios!P:P,D5,Negócios!AG:AG,"À Vista",Negócios!Q:Q,E5))</f>
        <v>0</v>
      </c>
      <c r="N5" s="10">
        <f t="shared" si="7"/>
        <v>0</v>
      </c>
      <c r="O5" s="30">
        <f>SUMIFS('Acel Form Pag'!D:D,'Acel Form Pag'!A:A,A5,'Acel Form Pag'!B:B,B5,'Acel Form Pag'!C:C,E5)</f>
        <v>1.3</v>
      </c>
      <c r="P5" s="32">
        <f>IF(AND(F5="Gestor",H5="MRR"),SUMIFS(P:P,A:A,A5,B:B,B5,G:G,D5),
SUMIFS(Negócios!L:L,Negócios!A:A,A5,Negócios!B:B,B5,Negócios!P:P,D5,Negócios!AG:AG,"CC 3x",Negócios!Q:Q,E5))</f>
        <v>0</v>
      </c>
      <c r="Q5" s="10">
        <f t="shared" si="8"/>
        <v>0</v>
      </c>
      <c r="R5" s="30">
        <f>SUMIFS('Acel Form Pag'!E:E,'Acel Form Pag'!A:A,A5,'Acel Form Pag'!B:B,B5,'Acel Form Pag'!C:C,E5)</f>
        <v>1.2</v>
      </c>
      <c r="S5" s="32">
        <f>IF(AND(F5="Gestor",H5="MRR"),SUMIFS(S:S,A:A,A5,B:B,B5,G:G,D5),
SUMIFS(Negócios!L:L,Negócios!A:A,A5,Negócios!B:B,B5,Negócios!P:P,D5,Negócios!AG:AG,"CC 12x",Negócios!Q:Q,E5))</f>
        <v>0</v>
      </c>
      <c r="T5" s="10">
        <f t="shared" si="9"/>
        <v>0</v>
      </c>
      <c r="U5" s="30">
        <f>SUMIFS('Acel Form Pag'!F:F,'Acel Form Pag'!A:A,A5,'Acel Form Pag'!B:B,B5,'Acel Form Pag'!C:C,E5)</f>
        <v>1.1499999999999999</v>
      </c>
      <c r="V5" s="32">
        <f>IF(AND(F5="Gestor",H5="MRR"),SUMIFS(V:V,A:A,A5,B:B,B5,G:G,D5),
SUMIFS(Negócios!L:L,Negócios!A:A,A5,Negócios!B:B,B5,Negócios!P:P,D5,Negócios!AG:AG,"Recorrente",Negócios!Q:Q,E5))</f>
        <v>0</v>
      </c>
      <c r="W5" s="10">
        <f t="shared" si="10"/>
        <v>0</v>
      </c>
      <c r="X5" s="34">
        <f>SUMIFS('Acel Form Pag'!G:G,'Acel Form Pag'!A:A,A5,'Acel Form Pag'!B:B,B5,'Acel Form Pag'!C:C,E5)</f>
        <v>1</v>
      </c>
      <c r="Y5" s="24">
        <f>MAX(_xlfn.MAXIFS(Parâmetros!O:O,Parâmetros!A:A,A5,Parâmetros!B:B,B5,Parâmetros!D:D,D5,Parâmetros!M:M,"&lt;="&amp;K5),_xlfn.MAXIFS(Parâmetros!L:L,Parâmetros!A:A,A5,Parâmetros!B:B,B5,Parâmetros!D:D,D5,Parâmetros!J:J,"&lt;="&amp;K5),_xlfn.MAXIFS(Parâmetros!I:I,Parâmetros!A:A,A5,Parâmetros!B:B,B5,Parâmetros!D:D,D5))</f>
        <v>1044</v>
      </c>
      <c r="Z5" s="9">
        <f>MAX(_xlfn.MAXIFS(Parâmetros!Q:Q,Parâmetros!A:A,A5,Parâmetros!B:B,B5,Parâmetros!D:D,D5,Parâmetros!E:E,E5,Parâmetros!P:P,"&lt;="&amp;K5),
_xlfn.MAXIFS(Parâmetros!S:S,Parâmetros!A:A,A5,Parâmetros!B:B,B5,Parâmetros!D:D,D5,Parâmetros!E:E,E5,Parâmetros!R:R,"&lt;="&amp;K5),
_xlfn.MAXIFS(Parâmetros!U:U,Parâmetros!A:A,A5,Parâmetros!B:B,B5,Parâmetros!D:D,D5,Parâmetros!E:E,E5,Parâmetros!T:T,"&lt;="&amp;K5),1) * IF(K5 &gt;= SUMIFS(Parâmetros!G:G,Parâmetros!A:A,A5,Parâmetros!B:B,B5,Parâmetros!D:D,D5,Parâmetros!E:E,E5),1,0)</f>
        <v>0</v>
      </c>
      <c r="AA5" s="16">
        <f>Y5*Z5*K5</f>
        <v>0</v>
      </c>
      <c r="AB5" s="16">
        <f>(AA5*N5*O5) + (AA5*Q5*R5) + (AA5*T5*U5) + (AA5*W5*X5)</f>
        <v>0</v>
      </c>
      <c r="AC5" s="15">
        <f>IF(F5="Gestor",SUMIFS(AC:AC,A:A,A5,B:B,B5,G:G,D5),
IF(E5="Saving",SUMIFS(Negócios!I:I,Negócios!A:A,A5,Negócios!B:B,B5,Negócios!P:P,D5,Negócios!H:H,"Curso") + SUMIFS(Negócios!I:I,Negócios!A:A,A5,Negócios!B:B,B5,Negócios!P:P,D5,Negócios!H:H,"Serviço") + SUMIFS(Negócios!I:I,Negócios!A:A,A5,Negócios!B:B,B5,Negócios!P:P,D5,Negócios!H:H,"Implementação"),SUMIFS(Negócios!I:I,Negócios!A:A,A5,Negócios!B:B,B5,Negócios!P:P,D5,Negócios!H:H,"Implementação")))</f>
        <v>0</v>
      </c>
      <c r="AD5" s="16">
        <f>SUMIFS(Parâmetros!W:W,Parâmetros!A:A,A5,Parâmetros!B:B,B5,Parâmetros!D:D,D5) * AC5 * IF(K5 &gt;= SUMIFS(Parâmetros!V:V,Parâmetros!A:A,A5,Parâmetros!B:B,B5,Parâmetros!D:D,D5),1,0)</f>
        <v>0</v>
      </c>
      <c r="AE5" s="15">
        <f>SUMIFS('Recuperação de Canc e Divs'!D:D,'Recuperação de Canc e Divs'!A:A,A5,'Recuperação de Canc e Divs'!B:B,B5,'Recuperação de Canc e Divs'!C:C,D5)</f>
        <v>0</v>
      </c>
      <c r="AF5" s="16">
        <f>IF(K5&gt;=SUMIFS(Parâmetros!J:J,Parâmetros!A:A,A5,Parâmetros!B:B,B5,Parâmetros!D:D,D5),AE5*0.025,0)</f>
        <v>0</v>
      </c>
      <c r="AG5" s="15" t="str">
        <f t="shared" si="0"/>
        <v/>
      </c>
      <c r="AH5" s="16" t="str">
        <f t="shared" si="1"/>
        <v/>
      </c>
      <c r="AI5" s="90">
        <f t="shared" si="2"/>
        <v>0</v>
      </c>
      <c r="AJ5" s="16" t="str">
        <f t="shared" si="3"/>
        <v/>
      </c>
      <c r="AK5" s="16" t="str">
        <f t="shared" si="4"/>
        <v/>
      </c>
      <c r="AL5" s="90">
        <f t="shared" si="5"/>
        <v>0</v>
      </c>
      <c r="AM5" s="93" t="str">
        <f>IF(AND(OR(B5=3,B5=6,B5=9,B5=12),AI5&gt;=1),
IF(F5="Gestor",AI5*0.6,AI5*0.3),"")</f>
        <v/>
      </c>
      <c r="AN5" s="94" t="str">
        <f>IF(OR(B5=3,B5=6,B5=9,B5=12),
IF(AND(AK5&gt;=1,AI5&gt;=SUMIFS(Parâmetros!G:G,Parâmetros!A:A,Comissões!A5,Parâmetros!B:B,Comissões!B5,Parâmetros!D:D,Comissões!D5,Parâmetros!E:E,Comissões!E5)),AI5*0.3,""),"")</f>
        <v/>
      </c>
    </row>
    <row r="6" spans="1:40" hidden="1">
      <c r="A6" s="7">
        <v>2026</v>
      </c>
      <c r="B6" s="7">
        <v>1</v>
      </c>
      <c r="C6" s="7" t="str">
        <v>Eloyse Silveira</v>
      </c>
      <c r="D6" s="7" t="str">
        <v>eloyse.silveira@altoqi.com.br</v>
      </c>
      <c r="E6" s="7" t="str">
        <v>B2B Construtora</v>
      </c>
      <c r="F6" s="7" t="str">
        <v>Consultor</v>
      </c>
      <c r="G6" s="7">
        <v>0</v>
      </c>
      <c r="H6" s="7" t="str">
        <v>MRR</v>
      </c>
      <c r="I6" s="15">
        <f>IF(AND(F6="Consultor",H6="MRR"),SUMIFS(Negócios!L:L,Negócios!A:A,A6,Negócios!B:B,B6,Negócios!P:P,D6),
IF(AND(F6="Consultor",H6="Opps"),SUMIFS('Realizado GD'!D:D,'Realizado GD'!A:A,A6,'Realizado GD'!B:B,B6,'Realizado GD'!C:C,D6),
IF(AND(F6="Gestor",H6="MRR"),SUMIFS(I:I,A:A,A6,B:B,B6,G:G,D6))))</f>
        <v>2829.6400000000003</v>
      </c>
      <c r="J6" s="16">
        <f>SUMIFS(Metas!K:K,Metas!A:A,A6,Metas!B:B,B6,Metas!D:D,D6,Metas!H:H,H6)</f>
        <v>3750</v>
      </c>
      <c r="K6" s="10">
        <f t="shared" si="6"/>
        <v>0.75457066666666672</v>
      </c>
      <c r="L6" s="26" t="str" cm="1">
        <f t="array" ref="L6">_xlfn.LET(
 _xlpm.g,_xlfn.MAXIFS(Parâmetros!G:G,Parâmetros!A:A,A6,Parâmetros!B:B,B6,Parâmetros!D:D,D6,Parâmetros!E:E,E6),
 _xlpm.j,_xlfn.MAXIFS(Parâmetros!J:J,Parâmetros!A:A,A6,Parâmetros!B:B,B6,Parâmetros!D:D,D6,Parâmetros!E:E,E6),
 _xlpm.m,_xlfn.MAXIFS(Parâmetros!M:M,Parâmetros!A:A,A6,Parâmetros!B:B,B6,Parâmetros!D:D,D6,Parâmetros!E:E,E6),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55,00%</v>
      </c>
      <c r="M6" s="28">
        <f>IF(AND(F6="Gestor",H6="MRR"),SUMIFS(M:M,A:A,A6,B:B,B6,G:G,D6),
SUMIFS(Negócios!L:L,Negócios!A:A,A6,Negócios!B:B,B6,Negócios!P:P,D6,Negócios!AG:AG,"À Vista",Negócios!Q:Q,E6))</f>
        <v>1285.2</v>
      </c>
      <c r="N6" s="10">
        <f t="shared" si="7"/>
        <v>0.45419205269928326</v>
      </c>
      <c r="O6" s="30">
        <f>SUMIFS('Acel Form Pag'!D:D,'Acel Form Pag'!A:A,A6,'Acel Form Pag'!B:B,B6,'Acel Form Pag'!C:C,E6)</f>
        <v>1.3</v>
      </c>
      <c r="P6" s="32">
        <f>IF(AND(F6="Gestor",H6="MRR"),SUMIFS(P:P,A:A,A6,B:B,B6,G:G,D6),
SUMIFS(Negócios!L:L,Negócios!A:A,A6,Negócios!B:B,B6,Negócios!P:P,D6,Negócios!AG:AG,"CC 3x",Negócios!Q:Q,E6))</f>
        <v>0</v>
      </c>
      <c r="Q6" s="10">
        <f t="shared" si="8"/>
        <v>0</v>
      </c>
      <c r="R6" s="30">
        <f>SUMIFS('Acel Form Pag'!E:E,'Acel Form Pag'!A:A,A6,'Acel Form Pag'!B:B,B6,'Acel Form Pag'!C:C,E6)</f>
        <v>1.2</v>
      </c>
      <c r="S6" s="32">
        <f>IF(AND(F6="Gestor",H6="MRR"),SUMIFS(S:S,A:A,A6,B:B,B6,G:G,D6),
SUMIFS(Negócios!L:L,Negócios!A:A,A6,Negócios!B:B,B6,Negócios!P:P,D6,Negócios!AG:AG,"CC 12x",Negócios!Q:Q,E6))</f>
        <v>385.94</v>
      </c>
      <c r="T6" s="10">
        <f t="shared" si="9"/>
        <v>0.13639190851133004</v>
      </c>
      <c r="U6" s="30">
        <f>SUMIFS('Acel Form Pag'!F:F,'Acel Form Pag'!A:A,A6,'Acel Form Pag'!B:B,B6,'Acel Form Pag'!C:C,E6)</f>
        <v>1.1499999999999999</v>
      </c>
      <c r="V6" s="32">
        <f>IF(AND(F6="Gestor",H6="MRR"),SUMIFS(V:V,A:A,A6,B:B,B6,G:G,D6),
SUMIFS(Negócios!L:L,Negócios!A:A,A6,Negócios!B:B,B6,Negócios!P:P,D6,Negócios!AG:AG,"Recorrente",Negócios!Q:Q,E6))</f>
        <v>1158.5</v>
      </c>
      <c r="W6" s="10">
        <f t="shared" si="10"/>
        <v>0.40941603878938659</v>
      </c>
      <c r="X6" s="34">
        <f>SUMIFS('Acel Form Pag'!G:G,'Acel Form Pag'!A:A,A6,'Acel Form Pag'!B:B,B6,'Acel Form Pag'!C:C,E6)</f>
        <v>1</v>
      </c>
      <c r="Y6" s="24">
        <f>MAX(_xlfn.MAXIFS(Parâmetros!O:O,Parâmetros!A:A,A6,Parâmetros!B:B,B6,Parâmetros!D:D,D6,Parâmetros!M:M,"&lt;="&amp;K6),_xlfn.MAXIFS(Parâmetros!L:L,Parâmetros!A:A,A6,Parâmetros!B:B,B6,Parâmetros!D:D,D6,Parâmetros!J:J,"&lt;="&amp;K6),_xlfn.MAXIFS(Parâmetros!I:I,Parâmetros!A:A,A6,Parâmetros!B:B,B6,Parâmetros!D:D,D6))</f>
        <v>2088</v>
      </c>
      <c r="Z6" s="9">
        <f>MAX(_xlfn.MAXIFS(Parâmetros!Q:Q,Parâmetros!A:A,A6,Parâmetros!B:B,B6,Parâmetros!D:D,D6,Parâmetros!E:E,E6,Parâmetros!P:P,"&lt;="&amp;K6),
_xlfn.MAXIFS(Parâmetros!S:S,Parâmetros!A:A,A6,Parâmetros!B:B,B6,Parâmetros!D:D,D6,Parâmetros!E:E,E6,Parâmetros!R:R,"&lt;="&amp;K6),
_xlfn.MAXIFS(Parâmetros!U:U,Parâmetros!A:A,A6,Parâmetros!B:B,B6,Parâmetros!D:D,D6,Parâmetros!E:E,E6,Parâmetros!T:T,"&lt;="&amp;K6),1) * IF(K6 &gt;= SUMIFS(Parâmetros!G:G,Parâmetros!A:A,A6,Parâmetros!B:B,B6,Parâmetros!D:D,D6,Parâmetros!E:E,E6),1,0)</f>
        <v>1</v>
      </c>
      <c r="AA6" s="16">
        <f>Y6*Z6*K6</f>
        <v>1575.5435520000001</v>
      </c>
      <c r="AB6" s="16">
        <f>(AA6*N6*O6) + (AA6*Q6*R6) + (AA6*T6*U6) + (AA6*W6*X6)</f>
        <v>1822.4570687999999</v>
      </c>
      <c r="AC6" s="15">
        <f>IF(F6="Gestor",SUMIFS(AC:AC,A:A,A6,B:B,B6,G:G,D6),
IF(E6="Saving",SUMIFS(Negócios!I:I,Negócios!A:A,A6,Negócios!B:B,B6,Negócios!P:P,D6,Negócios!H:H,"Curso") + SUMIFS(Negócios!I:I,Negócios!A:A,A6,Negócios!B:B,B6,Negócios!P:P,D6,Negócios!H:H,"Serviço") + SUMIFS(Negócios!I:I,Negócios!A:A,A6,Negócios!B:B,B6,Negócios!P:P,D6,Negócios!H:H,"Implementação"),SUMIFS(Negócios!I:I,Negócios!A:A,A6,Negócios!B:B,B6,Negócios!P:P,D6,Negócios!H:H,"Implementação")))</f>
        <v>0</v>
      </c>
      <c r="AD6" s="16">
        <f>SUMIFS(Parâmetros!W:W,Parâmetros!A:A,A6,Parâmetros!B:B,B6,Parâmetros!D:D,D6) * AC6 * IF(K6 &gt;= SUMIFS(Parâmetros!V:V,Parâmetros!A:A,A6,Parâmetros!B:B,B6,Parâmetros!D:D,D6),1,0)</f>
        <v>0</v>
      </c>
      <c r="AE6" s="15">
        <f>SUMIFS('Recuperação de Canc e Divs'!D:D,'Recuperação de Canc e Divs'!A:A,A6,'Recuperação de Canc e Divs'!B:B,B6,'Recuperação de Canc e Divs'!C:C,D6)</f>
        <v>0</v>
      </c>
      <c r="AF6" s="16">
        <f>IF(K6&gt;=SUMIFS(Parâmetros!J:J,Parâmetros!A:A,A6,Parâmetros!B:B,B6,Parâmetros!D:D,D6),AE6*0.025,0)</f>
        <v>0</v>
      </c>
      <c r="AG6" s="15" t="str">
        <f t="shared" si="0"/>
        <v/>
      </c>
      <c r="AH6" s="16" t="str">
        <f t="shared" si="1"/>
        <v/>
      </c>
      <c r="AI6" s="90">
        <f t="shared" si="2"/>
        <v>0</v>
      </c>
      <c r="AJ6" s="16" t="str">
        <f t="shared" si="3"/>
        <v/>
      </c>
      <c r="AK6" s="16" t="str">
        <f t="shared" si="4"/>
        <v/>
      </c>
      <c r="AL6" s="90">
        <f t="shared" si="5"/>
        <v>0</v>
      </c>
      <c r="AM6" s="93" t="str">
        <f>IF(AND(OR(B6=3,B6=6,B6=9,B6=12),AI6&gt;=1),
IF(F6="Gestor",AI6*0.6,AI6*0.3),"")</f>
        <v/>
      </c>
      <c r="AN6" s="94" t="str">
        <f>IF(OR(B6=3,B6=6,B6=9,B6=12),
IF(AND(AK6&gt;=1,AI6&gt;=SUMIFS(Parâmetros!G:G,Parâmetros!A:A,Comissões!A6,Parâmetros!B:B,Comissões!B6,Parâmetros!D:D,Comissões!D6,Parâmetros!E:E,Comissões!E6)),AI6*0.3,""),"")</f>
        <v/>
      </c>
    </row>
    <row r="7" spans="1:40" hidden="1">
      <c r="A7" s="7">
        <v>2026</v>
      </c>
      <c r="B7" s="7">
        <v>1</v>
      </c>
      <c r="C7" s="7" t="str">
        <v>Henrique Teixeira Silva</v>
      </c>
      <c r="D7" s="7" t="str">
        <v>henrique.silva@altoqi.com.br</v>
      </c>
      <c r="E7" s="7" t="str">
        <v>B2B Construtora</v>
      </c>
      <c r="F7" s="7" t="str">
        <v>Consultor</v>
      </c>
      <c r="G7" s="7">
        <v>0</v>
      </c>
      <c r="H7" s="7" t="str">
        <v>MRR</v>
      </c>
      <c r="I7" s="15">
        <f>IF(AND(F7="Consultor",H7="MRR"),SUMIFS(Negócios!L:L,Negócios!A:A,A7,Negócios!B:B,B7,Negócios!P:P,D7),
IF(AND(F7="Consultor",H7="Opps"),SUMIFS('Realizado GD'!D:D,'Realizado GD'!A:A,A7,'Realizado GD'!B:B,B7,'Realizado GD'!C:C,D7),
IF(AND(F7="Gestor",H7="MRR"),SUMIFS(I:I,A:A,A7,B:B,B7,G:G,D7))))</f>
        <v>1694</v>
      </c>
      <c r="J7" s="16">
        <f>SUMIFS(Metas!K:K,Metas!A:A,A7,Metas!B:B,B7,Metas!D:D,D7,Metas!H:H,H7)</f>
        <v>5024.9999999999991</v>
      </c>
      <c r="K7" s="10">
        <f t="shared" si="6"/>
        <v>0.33711442786069656</v>
      </c>
      <c r="L7" s="26" t="str" cm="1">
        <f t="array" ref="L7">_xlfn.LET(
 _xlpm.g,_xlfn.MAXIFS(Parâmetros!G:G,Parâmetros!A:A,A7,Parâmetros!B:B,B7,Parâmetros!D:D,D7,Parâmetros!E:E,E7),
 _xlpm.j,_xlfn.MAXIFS(Parâmetros!J:J,Parâmetros!A:A,A7,Parâmetros!B:B,B7,Parâmetros!D:D,D7,Parâmetros!E:E,E7),
 _xlpm.m,_xlfn.MAXIFS(Parâmetros!M:M,Parâmetros!A:A,A7,Parâmetros!B:B,B7,Parâmetros!D:D,D7,Parâmetros!E:E,E7),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55,00%</v>
      </c>
      <c r="M7" s="28">
        <f>IF(AND(F7="Gestor",H7="MRR"),SUMIFS(M:M,A:A,A7,B:B,B7,G:G,D7),
SUMIFS(Negócios!L:L,Negócios!A:A,A7,Negócios!B:B,B7,Negócios!P:P,D7,Negócios!AG:AG,"À Vista",Negócios!Q:Q,E7))</f>
        <v>419.5</v>
      </c>
      <c r="N7" s="10">
        <f t="shared" si="7"/>
        <v>0.2476387249114522</v>
      </c>
      <c r="O7" s="30">
        <f>SUMIFS('Acel Form Pag'!D:D,'Acel Form Pag'!A:A,A7,'Acel Form Pag'!B:B,B7,'Acel Form Pag'!C:C,E7)</f>
        <v>1.3</v>
      </c>
      <c r="P7" s="32">
        <f>IF(AND(F7="Gestor",H7="MRR"),SUMIFS(P:P,A:A,A7,B:B,B7,G:G,D7),
SUMIFS(Negócios!L:L,Negócios!A:A,A7,Negócios!B:B,B7,Negócios!P:P,D7,Negócios!AG:AG,"CC 3x",Negócios!Q:Q,E7))</f>
        <v>0</v>
      </c>
      <c r="Q7" s="10">
        <f t="shared" si="8"/>
        <v>0</v>
      </c>
      <c r="R7" s="30">
        <f>SUMIFS('Acel Form Pag'!E:E,'Acel Form Pag'!A:A,A7,'Acel Form Pag'!B:B,B7,'Acel Form Pag'!C:C,E7)</f>
        <v>1.2</v>
      </c>
      <c r="S7" s="32">
        <f>IF(AND(F7="Gestor",H7="MRR"),SUMIFS(S:S,A:A,A7,B:B,B7,G:G,D7),
SUMIFS(Negócios!L:L,Negócios!A:A,A7,Negócios!B:B,B7,Negócios!P:P,D7,Negócios!AG:AG,"CC 12x",Negócios!Q:Q,E7))</f>
        <v>575</v>
      </c>
      <c r="T7" s="10">
        <f t="shared" si="9"/>
        <v>0.33943329397874855</v>
      </c>
      <c r="U7" s="30">
        <f>SUMIFS('Acel Form Pag'!F:F,'Acel Form Pag'!A:A,A7,'Acel Form Pag'!B:B,B7,'Acel Form Pag'!C:C,E7)</f>
        <v>1.1499999999999999</v>
      </c>
      <c r="V7" s="32">
        <f>IF(AND(F7="Gestor",H7="MRR"),SUMIFS(V:V,A:A,A7,B:B,B7,G:G,D7),
SUMIFS(Negócios!L:L,Negócios!A:A,A7,Negócios!B:B,B7,Negócios!P:P,D7,Negócios!AG:AG,"Recorrente",Negócios!Q:Q,E7))</f>
        <v>699.5</v>
      </c>
      <c r="W7" s="10">
        <f t="shared" si="10"/>
        <v>0.41292798110979928</v>
      </c>
      <c r="X7" s="34">
        <f>SUMIFS('Acel Form Pag'!G:G,'Acel Form Pag'!A:A,A7,'Acel Form Pag'!B:B,B7,'Acel Form Pag'!C:C,E7)</f>
        <v>1</v>
      </c>
      <c r="Y7" s="24">
        <f>MAX(_xlfn.MAXIFS(Parâmetros!O:O,Parâmetros!A:A,A7,Parâmetros!B:B,B7,Parâmetros!D:D,D7,Parâmetros!M:M,"&lt;="&amp;K7),_xlfn.MAXIFS(Parâmetros!L:L,Parâmetros!A:A,A7,Parâmetros!B:B,B7,Parâmetros!D:D,D7,Parâmetros!J:J,"&lt;="&amp;K7),_xlfn.MAXIFS(Parâmetros!I:I,Parâmetros!A:A,A7,Parâmetros!B:B,B7,Parâmetros!D:D,D7))</f>
        <v>2797.9199999999996</v>
      </c>
      <c r="Z7" s="9">
        <f>MAX(_xlfn.MAXIFS(Parâmetros!Q:Q,Parâmetros!A:A,A7,Parâmetros!B:B,B7,Parâmetros!D:D,D7,Parâmetros!E:E,E7,Parâmetros!P:P,"&lt;="&amp;K7),
_xlfn.MAXIFS(Parâmetros!S:S,Parâmetros!A:A,A7,Parâmetros!B:B,B7,Parâmetros!D:D,D7,Parâmetros!E:E,E7,Parâmetros!R:R,"&lt;="&amp;K7),
_xlfn.MAXIFS(Parâmetros!U:U,Parâmetros!A:A,A7,Parâmetros!B:B,B7,Parâmetros!D:D,D7,Parâmetros!E:E,E7,Parâmetros!T:T,"&lt;="&amp;K7),1) * IF(K7 &gt;= SUMIFS(Parâmetros!G:G,Parâmetros!A:A,A7,Parâmetros!B:B,B7,Parâmetros!D:D,D7,Parâmetros!E:E,E7),1,0)</f>
        <v>0</v>
      </c>
      <c r="AA7" s="16">
        <f>Y7*Z7*K7</f>
        <v>0</v>
      </c>
      <c r="AB7" s="16">
        <f>(AA7*N7*O7) + (AA7*Q7*R7) + (AA7*T7*U7) + (AA7*W7*X7)</f>
        <v>0</v>
      </c>
      <c r="AC7" s="15">
        <f>IF(F7="Gestor",SUMIFS(AC:AC,A:A,A7,B:B,B7,G:G,D7),
IF(E7="Saving",SUMIFS(Negócios!I:I,Negócios!A:A,A7,Negócios!B:B,B7,Negócios!P:P,D7,Negócios!H:H,"Curso") + SUMIFS(Negócios!I:I,Negócios!A:A,A7,Negócios!B:B,B7,Negócios!P:P,D7,Negócios!H:H,"Serviço") + SUMIFS(Negócios!I:I,Negócios!A:A,A7,Negócios!B:B,B7,Negócios!P:P,D7,Negócios!H:H,"Implementação"),SUMIFS(Negócios!I:I,Negócios!A:A,A7,Negócios!B:B,B7,Negócios!P:P,D7,Negócios!H:H,"Implementação")))</f>
        <v>0</v>
      </c>
      <c r="AD7" s="16">
        <f>SUMIFS(Parâmetros!W:W,Parâmetros!A:A,A7,Parâmetros!B:B,B7,Parâmetros!D:D,D7) * AC7 * IF(K7 &gt;= SUMIFS(Parâmetros!V:V,Parâmetros!A:A,A7,Parâmetros!B:B,B7,Parâmetros!D:D,D7),1,0)</f>
        <v>0</v>
      </c>
      <c r="AE7" s="15">
        <f>SUMIFS('Recuperação de Canc e Divs'!D:D,'Recuperação de Canc e Divs'!A:A,A7,'Recuperação de Canc e Divs'!B:B,B7,'Recuperação de Canc e Divs'!C:C,D7)</f>
        <v>0</v>
      </c>
      <c r="AF7" s="16">
        <f>IF(K7&gt;=SUMIFS(Parâmetros!J:J,Parâmetros!A:A,A7,Parâmetros!B:B,B7,Parâmetros!D:D,D7),AE7*0.025,0)</f>
        <v>0</v>
      </c>
      <c r="AG7" s="15" t="str">
        <f t="shared" si="0"/>
        <v/>
      </c>
      <c r="AH7" s="16" t="str">
        <f t="shared" si="1"/>
        <v/>
      </c>
      <c r="AI7" s="90">
        <f t="shared" si="2"/>
        <v>0</v>
      </c>
      <c r="AJ7" s="16" t="str">
        <f t="shared" si="3"/>
        <v/>
      </c>
      <c r="AK7" s="16" t="str">
        <f t="shared" si="4"/>
        <v/>
      </c>
      <c r="AL7" s="90">
        <f t="shared" si="5"/>
        <v>0</v>
      </c>
      <c r="AM7" s="93" t="str">
        <f>IF(AND(OR(B7=3,B7=6,B7=9,B7=12),AI7&gt;=1),
IF(F7="Gestor",AI7*0.6,AI7*0.3),"")</f>
        <v/>
      </c>
      <c r="AN7" s="94" t="str">
        <f>IF(OR(B7=3,B7=6,B7=9,B7=12),
IF(AND(AK7&gt;=1,AI7&gt;=SUMIFS(Parâmetros!G:G,Parâmetros!A:A,Comissões!A7,Parâmetros!B:B,Comissões!B7,Parâmetros!D:D,Comissões!D7,Parâmetros!E:E,Comissões!E7)),AI7*0.3,""),"")</f>
        <v/>
      </c>
    </row>
    <row r="8" spans="1:40" hidden="1">
      <c r="A8" s="7">
        <v>2026</v>
      </c>
      <c r="B8" s="7">
        <v>1</v>
      </c>
      <c r="C8" s="7" t="str">
        <v>Rafael Acencio</v>
      </c>
      <c r="D8" s="7" t="str">
        <v>rafael.acencio@altoqi.com.br</v>
      </c>
      <c r="E8" s="7" t="str">
        <v>B2B Construtora</v>
      </c>
      <c r="F8" s="7" t="str">
        <v>Consultor</v>
      </c>
      <c r="G8" s="7">
        <v>0</v>
      </c>
      <c r="H8" s="7" t="str">
        <v>MRR</v>
      </c>
      <c r="I8" s="15">
        <f>IF(AND(F8="Consultor",H8="MRR"),SUMIFS(Negócios!L:L,Negócios!A:A,A8,Negócios!B:B,B8,Negócios!P:P,D8),
IF(AND(F8="Consultor",H8="Opps"),SUMIFS('Realizado GD'!D:D,'Realizado GD'!A:A,A8,'Realizado GD'!B:B,B8,'Realizado GD'!C:C,D8),
IF(AND(F8="Gestor",H8="MRR"),SUMIFS(I:I,A:A,A8,B:B,B8,G:G,D8))))</f>
        <v>2189.2800000000002</v>
      </c>
      <c r="J8" s="16">
        <f>SUMIFS(Metas!K:K,Metas!A:A,A8,Metas!B:B,B8,Metas!D:D,D8,Metas!H:H,H8)</f>
        <v>6786</v>
      </c>
      <c r="K8" s="10">
        <f t="shared" si="6"/>
        <v>0.32261715296198057</v>
      </c>
      <c r="L8" s="26" t="str" cm="1">
        <f t="array" ref="L8">_xlfn.LET(
 _xlpm.g,_xlfn.MAXIFS(Parâmetros!G:G,Parâmetros!A:A,A8,Parâmetros!B:B,B8,Parâmetros!D:D,D8,Parâmetros!E:E,E8),
 _xlpm.j,_xlfn.MAXIFS(Parâmetros!J:J,Parâmetros!A:A,A8,Parâmetros!B:B,B8,Parâmetros!D:D,D8,Parâmetros!E:E,E8),
 _xlpm.m,_xlfn.MAXIFS(Parâmetros!M:M,Parâmetros!A:A,A8,Parâmetros!B:B,B8,Parâmetros!D:D,D8,Parâmetros!E:E,E8),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55,00%</v>
      </c>
      <c r="M8" s="28">
        <f>IF(AND(F8="Gestor",H8="MRR"),SUMIFS(M:M,A:A,A8,B:B,B8,G:G,D8),
SUMIFS(Negócios!L:L,Negócios!A:A,A8,Negócios!B:B,B8,Negócios!P:P,D8,Negócios!AG:AG,"À Vista",Negócios!Q:Q,E8))</f>
        <v>0</v>
      </c>
      <c r="N8" s="10">
        <f t="shared" si="7"/>
        <v>0</v>
      </c>
      <c r="O8" s="30">
        <f>SUMIFS('Acel Form Pag'!D:D,'Acel Form Pag'!A:A,A8,'Acel Form Pag'!B:B,B8,'Acel Form Pag'!C:C,E8)</f>
        <v>1.3</v>
      </c>
      <c r="P8" s="32">
        <f>IF(AND(F8="Gestor",H8="MRR"),SUMIFS(P:P,A:A,A8,B:B,B8,G:G,D8),
SUMIFS(Negócios!L:L,Negócios!A:A,A8,Negócios!B:B,B8,Negócios!P:P,D8,Negócios!AG:AG,"CC 3x",Negócios!Q:Q,E8))</f>
        <v>0</v>
      </c>
      <c r="Q8" s="10">
        <f t="shared" si="8"/>
        <v>0</v>
      </c>
      <c r="R8" s="30">
        <f>SUMIFS('Acel Form Pag'!E:E,'Acel Form Pag'!A:A,A8,'Acel Form Pag'!B:B,B8,'Acel Form Pag'!C:C,E8)</f>
        <v>1.2</v>
      </c>
      <c r="S8" s="32">
        <f>IF(AND(F8="Gestor",H8="MRR"),SUMIFS(S:S,A:A,A8,B:B,B8,G:G,D8),
SUMIFS(Negócios!L:L,Negócios!A:A,A8,Negócios!B:B,B8,Negócios!P:P,D8,Negócios!AG:AG,"CC 12x",Negócios!Q:Q,E8))</f>
        <v>0</v>
      </c>
      <c r="T8" s="10">
        <f t="shared" si="9"/>
        <v>0</v>
      </c>
      <c r="U8" s="30">
        <f>SUMIFS('Acel Form Pag'!F:F,'Acel Form Pag'!A:A,A8,'Acel Form Pag'!B:B,B8,'Acel Form Pag'!C:C,E8)</f>
        <v>1.1499999999999999</v>
      </c>
      <c r="V8" s="32">
        <f>IF(AND(F8="Gestor",H8="MRR"),SUMIFS(V:V,A:A,A8,B:B,B8,G:G,D8),
SUMIFS(Negócios!L:L,Negócios!A:A,A8,Negócios!B:B,B8,Negócios!P:P,D8,Negócios!AG:AG,"Recorrente",Negócios!Q:Q,E8))</f>
        <v>0</v>
      </c>
      <c r="W8" s="10">
        <f t="shared" si="10"/>
        <v>0</v>
      </c>
      <c r="X8" s="34">
        <f>SUMIFS('Acel Form Pag'!G:G,'Acel Form Pag'!A:A,A8,'Acel Form Pag'!B:B,B8,'Acel Form Pag'!C:C,E8)</f>
        <v>1</v>
      </c>
      <c r="Y8" s="24">
        <f>MAX(_xlfn.MAXIFS(Parâmetros!O:O,Parâmetros!A:A,A8,Parâmetros!B:B,B8,Parâmetros!D:D,D8,Parâmetros!M:M,"&lt;="&amp;K8),_xlfn.MAXIFS(Parâmetros!L:L,Parâmetros!A:A,A8,Parâmetros!B:B,B8,Parâmetros!D:D,D8,Parâmetros!J:J,"&lt;="&amp;K8),_xlfn.MAXIFS(Parâmetros!I:I,Parâmetros!A:A,A8,Parâmetros!B:B,B8,Parâmetros!D:D,D8))</f>
        <v>3778.4448000000002</v>
      </c>
      <c r="Z8" s="9">
        <f>MAX(_xlfn.MAXIFS(Parâmetros!Q:Q,Parâmetros!A:A,A8,Parâmetros!B:B,B8,Parâmetros!D:D,D8,Parâmetros!E:E,E8,Parâmetros!P:P,"&lt;="&amp;K8),
_xlfn.MAXIFS(Parâmetros!S:S,Parâmetros!A:A,A8,Parâmetros!B:B,B8,Parâmetros!D:D,D8,Parâmetros!E:E,E8,Parâmetros!R:R,"&lt;="&amp;K8),
_xlfn.MAXIFS(Parâmetros!U:U,Parâmetros!A:A,A8,Parâmetros!B:B,B8,Parâmetros!D:D,D8,Parâmetros!E:E,E8,Parâmetros!T:T,"&lt;="&amp;K8),1) * IF(K8 &gt;= SUMIFS(Parâmetros!G:G,Parâmetros!A:A,A8,Parâmetros!B:B,B8,Parâmetros!D:D,D8,Parâmetros!E:E,E8),1,0)</f>
        <v>0</v>
      </c>
      <c r="AA8" s="16">
        <f>Y8*Z8*K8</f>
        <v>0</v>
      </c>
      <c r="AB8" s="16">
        <f>(AA8*N8*O8) + (AA8*Q8*R8) + (AA8*T8*U8) + (AA8*W8*X8)</f>
        <v>0</v>
      </c>
      <c r="AC8" s="15">
        <f>IF(F8="Gestor",SUMIFS(AC:AC,A:A,A8,B:B,B8,G:G,D8),
IF(E8="Saving",SUMIFS(Negócios!I:I,Negócios!A:A,A8,Negócios!B:B,B8,Negócios!P:P,D8,Negócios!H:H,"Curso") + SUMIFS(Negócios!I:I,Negócios!A:A,A8,Negócios!B:B,B8,Negócios!P:P,D8,Negócios!H:H,"Serviço") + SUMIFS(Negócios!I:I,Negócios!A:A,A8,Negócios!B:B,B8,Negócios!P:P,D8,Negócios!H:H,"Implementação"),SUMIFS(Negócios!I:I,Negócios!A:A,A8,Negócios!B:B,B8,Negócios!P:P,D8,Negócios!H:H,"Implementação")))</f>
        <v>0</v>
      </c>
      <c r="AD8" s="16">
        <f>SUMIFS(Parâmetros!W:W,Parâmetros!A:A,A8,Parâmetros!B:B,B8,Parâmetros!D:D,D8) * AC8 * IF(K8 &gt;= SUMIFS(Parâmetros!V:V,Parâmetros!A:A,A8,Parâmetros!B:B,B8,Parâmetros!D:D,D8),1,0)</f>
        <v>0</v>
      </c>
      <c r="AE8" s="15">
        <f>SUMIFS('Recuperação de Canc e Divs'!D:D,'Recuperação de Canc e Divs'!A:A,A8,'Recuperação de Canc e Divs'!B:B,B8,'Recuperação de Canc e Divs'!C:C,D8)</f>
        <v>0</v>
      </c>
      <c r="AF8" s="16">
        <f>IF(K8&gt;=SUMIFS(Parâmetros!J:J,Parâmetros!A:A,A8,Parâmetros!B:B,B8,Parâmetros!D:D,D8),AE8*0.025,0)</f>
        <v>0</v>
      </c>
      <c r="AG8" s="15" t="str">
        <f t="shared" si="0"/>
        <v/>
      </c>
      <c r="AH8" s="16" t="str">
        <f t="shared" si="1"/>
        <v/>
      </c>
      <c r="AI8" s="90">
        <f t="shared" si="2"/>
        <v>0</v>
      </c>
      <c r="AJ8" s="16" t="str">
        <f t="shared" si="3"/>
        <v/>
      </c>
      <c r="AK8" s="16" t="str">
        <f t="shared" si="4"/>
        <v/>
      </c>
      <c r="AL8" s="90">
        <f t="shared" si="5"/>
        <v>0</v>
      </c>
      <c r="AM8" s="93" t="str">
        <f>IF(AND(OR(B8=3,B8=6,B8=9,B8=12),AI8&gt;=1),
IF(F8="Gestor",AI8*0.6,AI8*0.3),"")</f>
        <v/>
      </c>
      <c r="AN8" s="94" t="str">
        <f>IF(OR(B8=3,B8=6,B8=9,B8=12),
IF(AND(AK8&gt;=1,AI8&gt;=SUMIFS(Parâmetros!G:G,Parâmetros!A:A,Comissões!A8,Parâmetros!B:B,Comissões!B8,Parâmetros!D:D,Comissões!D8,Parâmetros!E:E,Comissões!E8)),AI8*0.3,""),"")</f>
        <v/>
      </c>
    </row>
    <row r="9" spans="1:40" hidden="1">
      <c r="A9" s="7">
        <v>2026</v>
      </c>
      <c r="B9" s="7">
        <v>1</v>
      </c>
      <c r="C9" s="7" t="str">
        <v>Fernanda da Silva Fertonani</v>
      </c>
      <c r="D9" s="7" t="str">
        <v>fernanda.fertonani@altoqi.com.br</v>
      </c>
      <c r="E9" s="7" t="str">
        <v>B2B Escritório</v>
      </c>
      <c r="F9" s="7" t="str">
        <v>Consultor</v>
      </c>
      <c r="G9" s="7">
        <v>0</v>
      </c>
      <c r="H9" s="7" t="str">
        <v>MRR</v>
      </c>
      <c r="I9" s="15">
        <f>IF(AND(F9="Consultor",H9="MRR"),SUMIFS(Negócios!L:L,Negócios!A:A,A9,Negócios!B:B,B9,Negócios!P:P,D9),
IF(AND(F9="Consultor",H9="Opps"),SUMIFS('Realizado GD'!D:D,'Realizado GD'!A:A,A9,'Realizado GD'!B:B,B9,'Realizado GD'!C:C,D9),
IF(AND(F9="Gestor",H9="MRR"),SUMIFS(I:I,A:A,A9,B:B,B9,G:G,D9))))</f>
        <v>6721.5</v>
      </c>
      <c r="J9" s="16">
        <f>SUMIFS(Metas!K:K,Metas!A:A,A9,Metas!B:B,B9,Metas!D:D,D9,Metas!H:H,H9)</f>
        <v>4250</v>
      </c>
      <c r="K9" s="10">
        <f t="shared" si="6"/>
        <v>1.5815294117647059</v>
      </c>
      <c r="L9" s="26" t="str" cm="1">
        <f t="array" ref="L9">_xlfn.LET(
 _xlpm.g,_xlfn.MAXIFS(Parâmetros!G:G,Parâmetros!A:A,A9,Parâmetros!B:B,B9,Parâmetros!D:D,D9,Parâmetros!E:E,E9),
 _xlpm.j,_xlfn.MAXIFS(Parâmetros!J:J,Parâmetros!A:A,A9,Parâmetros!B:B,B9,Parâmetros!D:D,D9,Parâmetros!E:E,E9),
 _xlpm.m,_xlfn.MAXIFS(Parâmetros!M:M,Parâmetros!A:A,A9,Parâmetros!B:B,B9,Parâmetros!D:D,D9,Parâmetros!E:E,E9),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55,00%</v>
      </c>
      <c r="M9" s="28">
        <f>IF(AND(F9="Gestor",H9="MRR"),SUMIFS(M:M,A:A,A9,B:B,B9,G:G,D9),
SUMIFS(Negócios!L:L,Negócios!A:A,A9,Negócios!B:B,B9,Negócios!P:P,D9,Negócios!AG:AG,"À Vista",Negócios!Q:Q,E9))</f>
        <v>0</v>
      </c>
      <c r="N9" s="10">
        <f t="shared" si="7"/>
        <v>0</v>
      </c>
      <c r="O9" s="30">
        <f>SUMIFS('Acel Form Pag'!D:D,'Acel Form Pag'!A:A,A9,'Acel Form Pag'!B:B,B9,'Acel Form Pag'!C:C,E9)</f>
        <v>1.3</v>
      </c>
      <c r="P9" s="32">
        <f>IF(AND(F9="Gestor",H9="MRR"),SUMIFS(P:P,A:A,A9,B:B,B9,G:G,D9),
SUMIFS(Negócios!L:L,Negócios!A:A,A9,Negócios!B:B,B9,Negócios!P:P,D9,Negócios!AG:AG,"CC 3x",Negócios!Q:Q,E9))</f>
        <v>0</v>
      </c>
      <c r="Q9" s="10">
        <f t="shared" si="8"/>
        <v>0</v>
      </c>
      <c r="R9" s="30">
        <f>SUMIFS('Acel Form Pag'!E:E,'Acel Form Pag'!A:A,A9,'Acel Form Pag'!B:B,B9,'Acel Form Pag'!C:C,E9)</f>
        <v>1.2</v>
      </c>
      <c r="S9" s="32">
        <f>IF(AND(F9="Gestor",H9="MRR"),SUMIFS(S:S,A:A,A9,B:B,B9,G:G,D9),
SUMIFS(Negócios!L:L,Negócios!A:A,A9,Negócios!B:B,B9,Negócios!P:P,D9,Negócios!AG:AG,"CC 12x",Negócios!Q:Q,E9))</f>
        <v>4773</v>
      </c>
      <c r="T9" s="10">
        <f t="shared" si="9"/>
        <v>0.7101093505913858</v>
      </c>
      <c r="U9" s="30">
        <f>SUMIFS('Acel Form Pag'!F:F,'Acel Form Pag'!A:A,A9,'Acel Form Pag'!B:B,B9,'Acel Form Pag'!C:C,E9)</f>
        <v>1.1499999999999999</v>
      </c>
      <c r="V9" s="32">
        <f>IF(AND(F9="Gestor",H9="MRR"),SUMIFS(V:V,A:A,A9,B:B,B9,G:G,D9),
SUMIFS(Negócios!L:L,Negócios!A:A,A9,Negócios!B:B,B9,Negócios!P:P,D9,Negócios!AG:AG,"Recorrente",Negócios!Q:Q,E9))</f>
        <v>1948.5</v>
      </c>
      <c r="W9" s="10">
        <f t="shared" si="10"/>
        <v>0.28989064940861414</v>
      </c>
      <c r="X9" s="34">
        <f>SUMIFS('Acel Form Pag'!G:G,'Acel Form Pag'!A:A,A9,'Acel Form Pag'!B:B,B9,'Acel Form Pag'!C:C,E9)</f>
        <v>1</v>
      </c>
      <c r="Y9" s="24">
        <f>MAX(_xlfn.MAXIFS(Parâmetros!O:O,Parâmetros!A:A,A9,Parâmetros!B:B,B9,Parâmetros!D:D,D9,Parâmetros!M:M,"&lt;="&amp;K9),_xlfn.MAXIFS(Parâmetros!L:L,Parâmetros!A:A,A9,Parâmetros!B:B,B9,Parâmetros!D:D,D9,Parâmetros!J:J,"&lt;="&amp;K9),_xlfn.MAXIFS(Parâmetros!I:I,Parâmetros!A:A,A9,Parâmetros!B:B,B9,Parâmetros!D:D,D9))</f>
        <v>2088</v>
      </c>
      <c r="Z9" s="9">
        <f>MAX(_xlfn.MAXIFS(Parâmetros!Q:Q,Parâmetros!A:A,A9,Parâmetros!B:B,B9,Parâmetros!D:D,D9,Parâmetros!E:E,E9,Parâmetros!P:P,"&lt;="&amp;K9),
_xlfn.MAXIFS(Parâmetros!S:S,Parâmetros!A:A,A9,Parâmetros!B:B,B9,Parâmetros!D:D,D9,Parâmetros!E:E,E9,Parâmetros!R:R,"&lt;="&amp;K9),
_xlfn.MAXIFS(Parâmetros!U:U,Parâmetros!A:A,A9,Parâmetros!B:B,B9,Parâmetros!D:D,D9,Parâmetros!E:E,E9,Parâmetros!T:T,"&lt;="&amp;K9),1) * IF(K9 &gt;= SUMIFS(Parâmetros!G:G,Parâmetros!A:A,A9,Parâmetros!B:B,B9,Parâmetros!D:D,D9,Parâmetros!E:E,E9),1,0)</f>
        <v>1.25</v>
      </c>
      <c r="AA9" s="16">
        <f>Y9*Z9*K9</f>
        <v>4127.7917647058821</v>
      </c>
      <c r="AB9" s="16">
        <f>(AA9*N9*O9) + (AA9*Q9*R9) + (AA9*T9*U9) + (AA9*W9*X9)</f>
        <v>4567.4692941176463</v>
      </c>
      <c r="AC9" s="15">
        <f>IF(F9="Gestor",SUMIFS(AC:AC,A:A,A9,B:B,B9,G:G,D9),
IF(E9="Saving",SUMIFS(Negócios!I:I,Negócios!A:A,A9,Negócios!B:B,B9,Negócios!P:P,D9,Negócios!H:H,"Curso") + SUMIFS(Negócios!I:I,Negócios!A:A,A9,Negócios!B:B,B9,Negócios!P:P,D9,Negócios!H:H,"Serviço") + SUMIFS(Negócios!I:I,Negócios!A:A,A9,Negócios!B:B,B9,Negócios!P:P,D9,Negócios!H:H,"Implementação"),SUMIFS(Negócios!I:I,Negócios!A:A,A9,Negócios!B:B,B9,Negócios!P:P,D9,Negócios!H:H,"Implementação")))</f>
        <v>0</v>
      </c>
      <c r="AD9" s="16">
        <f>SUMIFS(Parâmetros!W:W,Parâmetros!A:A,A9,Parâmetros!B:B,B9,Parâmetros!D:D,D9) * AC9 * IF(K9 &gt;= SUMIFS(Parâmetros!V:V,Parâmetros!A:A,A9,Parâmetros!B:B,B9,Parâmetros!D:D,D9),1,0)</f>
        <v>0</v>
      </c>
      <c r="AE9" s="15">
        <f>SUMIFS('Recuperação de Canc e Divs'!D:D,'Recuperação de Canc e Divs'!A:A,A9,'Recuperação de Canc e Divs'!B:B,B9,'Recuperação de Canc e Divs'!C:C,D9)</f>
        <v>0</v>
      </c>
      <c r="AF9" s="16">
        <f>IF(K9&gt;=SUMIFS(Parâmetros!J:J,Parâmetros!A:A,A9,Parâmetros!B:B,B9,Parâmetros!D:D,D9),AE9*0.025,0)</f>
        <v>0</v>
      </c>
      <c r="AG9" s="15" t="str">
        <f t="shared" si="0"/>
        <v/>
      </c>
      <c r="AH9" s="16" t="str">
        <f t="shared" si="1"/>
        <v/>
      </c>
      <c r="AI9" s="90">
        <f t="shared" si="2"/>
        <v>0</v>
      </c>
      <c r="AJ9" s="16" t="str">
        <f t="shared" si="3"/>
        <v/>
      </c>
      <c r="AK9" s="16" t="str">
        <f t="shared" si="4"/>
        <v/>
      </c>
      <c r="AL9" s="90">
        <f t="shared" si="5"/>
        <v>0</v>
      </c>
      <c r="AM9" s="93" t="str">
        <f>IF(AND(OR(B9=3,B9=6,B9=9,B9=12),AI9&gt;=1),
IF(F9="Gestor",AI9*0.6,AI9*0.3),"")</f>
        <v/>
      </c>
      <c r="AN9" s="94" t="str">
        <f>IF(OR(B9=3,B9=6,B9=9,B9=12),
IF(AND(AK9&gt;=1,AI9&gt;=SUMIFS(Parâmetros!G:G,Parâmetros!A:A,Comissões!A9,Parâmetros!B:B,Comissões!B9,Parâmetros!D:D,Comissões!D9,Parâmetros!E:E,Comissões!E9)),AI9*0.3,""),"")</f>
        <v/>
      </c>
    </row>
    <row r="10" spans="1:40" hidden="1">
      <c r="A10" s="7">
        <v>2026</v>
      </c>
      <c r="B10" s="7">
        <v>1</v>
      </c>
      <c r="C10" s="7" t="str">
        <v>Paola Oliveira</v>
      </c>
      <c r="D10" s="7" t="str">
        <v>paola.oliveira@altoqi.com.br</v>
      </c>
      <c r="E10" s="7" t="str">
        <v>B2B Escritório</v>
      </c>
      <c r="F10" s="7" t="str">
        <v>Consultor</v>
      </c>
      <c r="G10" s="7">
        <v>0</v>
      </c>
      <c r="H10" s="7" t="str">
        <v>MRR</v>
      </c>
      <c r="I10" s="15">
        <f>IF(AND(F10="Consultor",H10="MRR"),SUMIFS(Negócios!L:L,Negócios!A:A,A10,Negócios!B:B,B10,Negócios!P:P,D10),
IF(AND(F10="Consultor",H10="Opps"),SUMIFS('Realizado GD'!D:D,'Realizado GD'!A:A,A10,'Realizado GD'!B:B,B10,'Realizado GD'!C:C,D10),
IF(AND(F10="Gestor",H10="MRR"),SUMIFS(I:I,A:A,A10,B:B,B10,G:G,D10))))</f>
        <v>7389.369999999999</v>
      </c>
      <c r="J10" s="16">
        <f>SUMIFS(Metas!K:K,Metas!A:A,A10,Metas!B:B,B10,Metas!D:D,D10,Metas!H:H,H10)</f>
        <v>8500</v>
      </c>
      <c r="K10" s="10">
        <f t="shared" si="6"/>
        <v>0.86933764705882344</v>
      </c>
      <c r="L10" s="26" t="str" cm="1">
        <f t="array" ref="L10">_xlfn.LET(
 _xlpm.g,_xlfn.MAXIFS(Parâmetros!G:G,Parâmetros!A:A,A10,Parâmetros!B:B,B10,Parâmetros!D:D,D10,Parâmetros!E:E,E10),
 _xlpm.j,_xlfn.MAXIFS(Parâmetros!J:J,Parâmetros!A:A,A10,Parâmetros!B:B,B10,Parâmetros!D:D,D10,Parâmetros!E:E,E10),
 _xlpm.m,_xlfn.MAXIFS(Parâmetros!M:M,Parâmetros!A:A,A10,Parâmetros!B:B,B10,Parâmetros!D:D,D10,Parâmetros!E:E,E10),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55,00%</v>
      </c>
      <c r="M10" s="28">
        <f>IF(AND(F10="Gestor",H10="MRR"),SUMIFS(M:M,A:A,A10,B:B,B10,G:G,D10),
SUMIFS(Negócios!L:L,Negócios!A:A,A10,Negócios!B:B,B10,Negócios!P:P,D10,Negócios!AG:AG,"À Vista",Negócios!Q:Q,E10))</f>
        <v>1003.52</v>
      </c>
      <c r="N10" s="10">
        <f t="shared" si="7"/>
        <v>0.13580589414253177</v>
      </c>
      <c r="O10" s="30">
        <f>SUMIFS('Acel Form Pag'!D:D,'Acel Form Pag'!A:A,A10,'Acel Form Pag'!B:B,B10,'Acel Form Pag'!C:C,E10)</f>
        <v>1.3</v>
      </c>
      <c r="P10" s="32">
        <f>IF(AND(F10="Gestor",H10="MRR"),SUMIFS(P:P,A:A,A10,B:B,B10,G:G,D10),
SUMIFS(Negócios!L:L,Negócios!A:A,A10,Negócios!B:B,B10,Negócios!P:P,D10,Negócios!AG:AG,"CC 3x",Negócios!Q:Q,E10))</f>
        <v>0</v>
      </c>
      <c r="Q10" s="10">
        <f t="shared" si="8"/>
        <v>0</v>
      </c>
      <c r="R10" s="30">
        <f>SUMIFS('Acel Form Pag'!E:E,'Acel Form Pag'!A:A,A10,'Acel Form Pag'!B:B,B10,'Acel Form Pag'!C:C,E10)</f>
        <v>1.2</v>
      </c>
      <c r="S10" s="32">
        <f>IF(AND(F10="Gestor",H10="MRR"),SUMIFS(S:S,A:A,A10,B:B,B10,G:G,D10),
SUMIFS(Negócios!L:L,Negócios!A:A,A10,Negócios!B:B,B10,Negócios!P:P,D10,Negócios!AG:AG,"CC 12x",Negócios!Q:Q,E10))</f>
        <v>2032.1999999999998</v>
      </c>
      <c r="T10" s="10">
        <f t="shared" si="9"/>
        <v>0.27501667936508795</v>
      </c>
      <c r="U10" s="30">
        <f>SUMIFS('Acel Form Pag'!F:F,'Acel Form Pag'!A:A,A10,'Acel Form Pag'!B:B,B10,'Acel Form Pag'!C:C,E10)</f>
        <v>1.1499999999999999</v>
      </c>
      <c r="V10" s="32">
        <f>IF(AND(F10="Gestor",H10="MRR"),SUMIFS(V:V,A:A,A10,B:B,B10,G:G,D10),
SUMIFS(Negócios!L:L,Negócios!A:A,A10,Negócios!B:B,B10,Negócios!P:P,D10,Negócios!AG:AG,"Recorrente",Negócios!Q:Q,E10))</f>
        <v>2724.32</v>
      </c>
      <c r="W10" s="10">
        <f t="shared" si="10"/>
        <v>0.36868095656327948</v>
      </c>
      <c r="X10" s="34">
        <f>SUMIFS('Acel Form Pag'!G:G,'Acel Form Pag'!A:A,A10,'Acel Form Pag'!B:B,B10,'Acel Form Pag'!C:C,E10)</f>
        <v>1</v>
      </c>
      <c r="Y10" s="24">
        <f>MAX(_xlfn.MAXIFS(Parâmetros!O:O,Parâmetros!A:A,A10,Parâmetros!B:B,B10,Parâmetros!D:D,D10,Parâmetros!M:M,"&lt;="&amp;K10),_xlfn.MAXIFS(Parâmetros!L:L,Parâmetros!A:A,A10,Parâmetros!B:B,B10,Parâmetros!D:D,D10,Parâmetros!J:J,"&lt;="&amp;K10),_xlfn.MAXIFS(Parâmetros!I:I,Parâmetros!A:A,A10,Parâmetros!B:B,B10,Parâmetros!D:D,D10))</f>
        <v>4176</v>
      </c>
      <c r="Z10" s="9">
        <f>MAX(_xlfn.MAXIFS(Parâmetros!Q:Q,Parâmetros!A:A,A10,Parâmetros!B:B,B10,Parâmetros!D:D,D10,Parâmetros!E:E,E10,Parâmetros!P:P,"&lt;="&amp;K10),
_xlfn.MAXIFS(Parâmetros!S:S,Parâmetros!A:A,A10,Parâmetros!B:B,B10,Parâmetros!D:D,D10,Parâmetros!E:E,E10,Parâmetros!R:R,"&lt;="&amp;K10),
_xlfn.MAXIFS(Parâmetros!U:U,Parâmetros!A:A,A10,Parâmetros!B:B,B10,Parâmetros!D:D,D10,Parâmetros!E:E,E10,Parâmetros!T:T,"&lt;="&amp;K10),1) * IF(K10 &gt;= SUMIFS(Parâmetros!G:G,Parâmetros!A:A,A10,Parâmetros!B:B,B10,Parâmetros!D:D,D10,Parâmetros!E:E,E10),1,0)</f>
        <v>1</v>
      </c>
      <c r="AA10" s="16">
        <f>Y10*Z10*K10</f>
        <v>3630.3540141176468</v>
      </c>
      <c r="AB10" s="16">
        <f>(AA10*N10*O10) + (AA10*Q10*R10) + (AA10*T10*U10) + (AA10*W10*X10)</f>
        <v>3127.5419971764704</v>
      </c>
      <c r="AC10" s="15">
        <f>IF(F10="Gestor",SUMIFS(AC:AC,A:A,A10,B:B,B10,G:G,D10),
IF(E10="Saving",SUMIFS(Negócios!I:I,Negócios!A:A,A10,Negócios!B:B,B10,Negócios!P:P,D10,Negócios!H:H,"Curso") + SUMIFS(Negócios!I:I,Negócios!A:A,A10,Negócios!B:B,B10,Negócios!P:P,D10,Negócios!H:H,"Serviço") + SUMIFS(Negócios!I:I,Negócios!A:A,A10,Negócios!B:B,B10,Negócios!P:P,D10,Negócios!H:H,"Implementação"),SUMIFS(Negócios!I:I,Negócios!A:A,A10,Negócios!B:B,B10,Negócios!P:P,D10,Negócios!H:H,"Implementação")))</f>
        <v>0</v>
      </c>
      <c r="AD10" s="16">
        <f>SUMIFS(Parâmetros!W:W,Parâmetros!A:A,A10,Parâmetros!B:B,B10,Parâmetros!D:D,D10) * AC10 * IF(K10 &gt;= SUMIFS(Parâmetros!V:V,Parâmetros!A:A,A10,Parâmetros!B:B,B10,Parâmetros!D:D,D10),1,0)</f>
        <v>0</v>
      </c>
      <c r="AE10" s="15">
        <f>SUMIFS('Recuperação de Canc e Divs'!D:D,'Recuperação de Canc e Divs'!A:A,A10,'Recuperação de Canc e Divs'!B:B,B10,'Recuperação de Canc e Divs'!C:C,D10)</f>
        <v>0</v>
      </c>
      <c r="AF10" s="16">
        <f>IF(K10&gt;=SUMIFS(Parâmetros!J:J,Parâmetros!A:A,A10,Parâmetros!B:B,B10,Parâmetros!D:D,D10),AE10*0.025,0)</f>
        <v>0</v>
      </c>
      <c r="AG10" s="15" t="str">
        <f t="shared" si="0"/>
        <v/>
      </c>
      <c r="AH10" s="16" t="str">
        <f t="shared" si="1"/>
        <v/>
      </c>
      <c r="AI10" s="90">
        <f t="shared" si="2"/>
        <v>0</v>
      </c>
      <c r="AJ10" s="16" t="str">
        <f t="shared" si="3"/>
        <v/>
      </c>
      <c r="AK10" s="16" t="str">
        <f t="shared" si="4"/>
        <v/>
      </c>
      <c r="AL10" s="90">
        <f t="shared" si="5"/>
        <v>0</v>
      </c>
      <c r="AM10" s="93" t="str">
        <f>IF(AND(OR(B10=3,B10=6,B10=9,B10=12),AI10&gt;=1),
IF(F10="Gestor",AI10*0.6,AI10*0.3),"")</f>
        <v/>
      </c>
      <c r="AN10" s="94" t="str">
        <f>IF(OR(B10=3,B10=6,B10=9,B10=12),
IF(AND(AK10&gt;=1,AI10&gt;=SUMIFS(Parâmetros!G:G,Parâmetros!A:A,Comissões!A10,Parâmetros!B:B,Comissões!B10,Parâmetros!D:D,Comissões!D10,Parâmetros!E:E,Comissões!E10)),AI10*0.3,""),"")</f>
        <v/>
      </c>
    </row>
    <row r="11" spans="1:40" hidden="1">
      <c r="A11" s="7">
        <v>2026</v>
      </c>
      <c r="B11" s="7">
        <v>1</v>
      </c>
      <c r="C11" s="7" t="str">
        <v>Aline Castilho Pureza</v>
      </c>
      <c r="D11" s="7" t="str">
        <v>aline.pureza@altoqi.com.br</v>
      </c>
      <c r="E11" s="7" t="str">
        <v>Farmer</v>
      </c>
      <c r="F11" s="7" t="str">
        <v>Consultor</v>
      </c>
      <c r="G11" s="7" t="str">
        <v>sonia.zielinski@altoqi.com.br</v>
      </c>
      <c r="H11" s="7" t="str">
        <v>MRR</v>
      </c>
      <c r="I11" s="15">
        <f>IF(AND(F11="Consultor",H11="MRR"),SUMIFS(Negócios!L:L,Negócios!A:A,A11,Negócios!B:B,B11,Negócios!P:P,D11),
IF(AND(F11="Consultor",H11="Opps"),SUMIFS('Realizado GD'!D:D,'Realizado GD'!A:A,A11,'Realizado GD'!B:B,B11,'Realizado GD'!C:C,D11),
IF(AND(F11="Gestor",H11="MRR"),SUMIFS(I:I,A:A,A11,B:B,B11,G:G,D11))))</f>
        <v>5693.0199999999995</v>
      </c>
      <c r="J11" s="16">
        <f>SUMIFS(Metas!K:K,Metas!A:A,A11,Metas!B:B,B11,Metas!D:D,D11,Metas!H:H,H11)</f>
        <v>5000</v>
      </c>
      <c r="K11" s="10">
        <f t="shared" si="6"/>
        <v>1.1386039999999999</v>
      </c>
      <c r="L11" s="26" t="str" cm="1">
        <f t="array" ref="L11">_xlfn.LET(
 _xlpm.g,_xlfn.MAXIFS(Parâmetros!G:G,Parâmetros!A:A,A11,Parâmetros!B:B,B11,Parâmetros!D:D,D11,Parâmetros!E:E,E11),
 _xlpm.j,_xlfn.MAXIFS(Parâmetros!J:J,Parâmetros!A:A,A11,Parâmetros!B:B,B11,Parâmetros!D:D,D11,Parâmetros!E:E,E11),
 _xlpm.m,_xlfn.MAXIFS(Parâmetros!M:M,Parâmetros!A:A,A11,Parâmetros!B:B,B11,Parâmetros!D:D,D11,Parâmetros!E:E,E11),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55,00%</v>
      </c>
      <c r="M11" s="28">
        <f>IF(AND(F11="Gestor",H11="MRR"),SUMIFS(M:M,A:A,A11,B:B,B11,G:G,D11),
SUMIFS(Negócios!L:L,Negócios!A:A,A11,Negócios!B:B,B11,Negócios!P:P,D11,Negócios!AG:AG,"À Vista",Negócios!Q:Q,E11))</f>
        <v>0</v>
      </c>
      <c r="N11" s="10">
        <f t="shared" si="7"/>
        <v>0</v>
      </c>
      <c r="O11" s="30">
        <f>SUMIFS('Acel Form Pag'!D:D,'Acel Form Pag'!A:A,A11,'Acel Form Pag'!B:B,B11,'Acel Form Pag'!C:C,E11)</f>
        <v>1.5</v>
      </c>
      <c r="P11" s="32">
        <f>IF(AND(F11="Gestor",H11="MRR"),SUMIFS(P:P,A:A,A11,B:B,B11,G:G,D11),
SUMIFS(Negócios!L:L,Negócios!A:A,A11,Negócios!B:B,B11,Negócios!P:P,D11,Negócios!AG:AG,"CC 3x",Negócios!Q:Q,E11))</f>
        <v>0</v>
      </c>
      <c r="Q11" s="10">
        <f t="shared" si="8"/>
        <v>0</v>
      </c>
      <c r="R11" s="30">
        <f>SUMIFS('Acel Form Pag'!E:E,'Acel Form Pag'!A:A,A11,'Acel Form Pag'!B:B,B11,'Acel Form Pag'!C:C,E11)</f>
        <v>1.4</v>
      </c>
      <c r="S11" s="32">
        <f>IF(AND(F11="Gestor",H11="MRR"),SUMIFS(S:S,A:A,A11,B:B,B11,G:G,D11),
SUMIFS(Negócios!L:L,Negócios!A:A,A11,Negócios!B:B,B11,Negócios!P:P,D11,Negócios!AG:AG,"CC 12x",Negócios!Q:Q,E11))</f>
        <v>2099.0499999999997</v>
      </c>
      <c r="T11" s="10">
        <f t="shared" si="9"/>
        <v>0.36870588896578615</v>
      </c>
      <c r="U11" s="30">
        <f>SUMIFS('Acel Form Pag'!F:F,'Acel Form Pag'!A:A,A11,'Acel Form Pag'!B:B,B11,'Acel Form Pag'!C:C,E11)</f>
        <v>1.25</v>
      </c>
      <c r="V11" s="32">
        <f>IF(AND(F11="Gestor",H11="MRR"),SUMIFS(V:V,A:A,A11,B:B,B11,G:G,D11),
SUMIFS(Negócios!L:L,Negócios!A:A,A11,Negócios!B:B,B11,Negócios!P:P,D11,Negócios!AG:AG,"Recorrente",Negócios!Q:Q,E11))</f>
        <v>3593.9700000000003</v>
      </c>
      <c r="W11" s="10">
        <f t="shared" si="10"/>
        <v>0.63129411103421396</v>
      </c>
      <c r="X11" s="34">
        <f>SUMIFS('Acel Form Pag'!G:G,'Acel Form Pag'!A:A,A11,'Acel Form Pag'!B:B,B11,'Acel Form Pag'!C:C,E11)</f>
        <v>1</v>
      </c>
      <c r="Y11" s="24">
        <f>MAX(_xlfn.MAXIFS(Parâmetros!O:O,Parâmetros!A:A,A11,Parâmetros!B:B,B11,Parâmetros!D:D,D11,Parâmetros!M:M,"&lt;="&amp;K11),_xlfn.MAXIFS(Parâmetros!L:L,Parâmetros!A:A,A11,Parâmetros!B:B,B11,Parâmetros!D:D,D11,Parâmetros!J:J,"&lt;="&amp;K11),_xlfn.MAXIFS(Parâmetros!I:I,Parâmetros!A:A,A11,Parâmetros!B:B,B11,Parâmetros!D:D,D11))</f>
        <v>3240</v>
      </c>
      <c r="Z11" s="9">
        <f>MAX(_xlfn.MAXIFS(Parâmetros!Q:Q,Parâmetros!A:A,A11,Parâmetros!B:B,B11,Parâmetros!D:D,D11,Parâmetros!E:E,E11,Parâmetros!P:P,"&lt;="&amp;K11),
_xlfn.MAXIFS(Parâmetros!S:S,Parâmetros!A:A,A11,Parâmetros!B:B,B11,Parâmetros!D:D,D11,Parâmetros!E:E,E11,Parâmetros!R:R,"&lt;="&amp;K11),
_xlfn.MAXIFS(Parâmetros!U:U,Parâmetros!A:A,A11,Parâmetros!B:B,B11,Parâmetros!D:D,D11,Parâmetros!E:E,E11,Parâmetros!T:T,"&lt;="&amp;K11),1) * IF(K11 &gt;= SUMIFS(Parâmetros!G:G,Parâmetros!A:A,A11,Parâmetros!B:B,B11,Parâmetros!D:D,D11,Parâmetros!E:E,E11),1,0)</f>
        <v>1.25</v>
      </c>
      <c r="AA11" s="16">
        <f>Y11*Z11*K11</f>
        <v>4611.3462</v>
      </c>
      <c r="AB11" s="16">
        <f>(AA11*N11*O11) + (AA11*Q11*R11) + (AA11*T11*U11) + (AA11*W11*X11)</f>
        <v>5036.4038250000012</v>
      </c>
      <c r="AC11" s="15">
        <f>IF(F11="Gestor",SUMIFS(AC:AC,A:A,A11,B:B,B11,G:G,D11),
IF(E11="Saving",SUMIFS(Negócios!I:I,Negócios!A:A,A11,Negócios!B:B,B11,Negócios!P:P,D11,Negócios!H:H,"Curso") + SUMIFS(Negócios!I:I,Negócios!A:A,A11,Negócios!B:B,B11,Negócios!P:P,D11,Negócios!H:H,"Serviço") + SUMIFS(Negócios!I:I,Negócios!A:A,A11,Negócios!B:B,B11,Negócios!P:P,D11,Negócios!H:H,"Implementação"),SUMIFS(Negócios!I:I,Negócios!A:A,A11,Negócios!B:B,B11,Negócios!P:P,D11,Negócios!H:H,"Implementação")))</f>
        <v>0</v>
      </c>
      <c r="AD11" s="16">
        <f>SUMIFS(Parâmetros!W:W,Parâmetros!A:A,A11,Parâmetros!B:B,B11,Parâmetros!D:D,D11) * AC11 * IF(K11 &gt;= SUMIFS(Parâmetros!V:V,Parâmetros!A:A,A11,Parâmetros!B:B,B11,Parâmetros!D:D,D11),1,0)</f>
        <v>0</v>
      </c>
      <c r="AE11" s="15">
        <f>SUMIFS('Recuperação de Canc e Divs'!D:D,'Recuperação de Canc e Divs'!A:A,A11,'Recuperação de Canc e Divs'!B:B,B11,'Recuperação de Canc e Divs'!C:C,D11)</f>
        <v>0</v>
      </c>
      <c r="AF11" s="16">
        <f>IF(K11&gt;=SUMIFS(Parâmetros!J:J,Parâmetros!A:A,A11,Parâmetros!B:B,B11,Parâmetros!D:D,D11),AE11*0.025,0)</f>
        <v>0</v>
      </c>
      <c r="AG11" s="15" t="str">
        <f t="shared" si="0"/>
        <v/>
      </c>
      <c r="AH11" s="16" t="str">
        <f t="shared" si="1"/>
        <v/>
      </c>
      <c r="AI11" s="90">
        <f t="shared" si="2"/>
        <v>0</v>
      </c>
      <c r="AJ11" s="16" t="str">
        <f t="shared" si="3"/>
        <v/>
      </c>
      <c r="AK11" s="16" t="str">
        <f t="shared" si="4"/>
        <v/>
      </c>
      <c r="AL11" s="90">
        <f t="shared" si="5"/>
        <v>0</v>
      </c>
      <c r="AM11" s="93" t="str">
        <f>IF(AND(OR(B11=3,B11=6,B11=9,B11=12),AI11&gt;=1),
IF(F11="Gestor",AI11*0.6,AI11*0.3),"")</f>
        <v/>
      </c>
      <c r="AN11" s="94" t="str">
        <f>IF(OR(B11=3,B11=6,B11=9,B11=12),
IF(AND(AK11&gt;=1,AI11&gt;=SUMIFS(Parâmetros!G:G,Parâmetros!A:A,Comissões!A11,Parâmetros!B:B,Comissões!B11,Parâmetros!D:D,Comissões!D11,Parâmetros!E:E,Comissões!E11)),AI11*0.3,""),"")</f>
        <v/>
      </c>
    </row>
    <row r="12" spans="1:40" hidden="1">
      <c r="A12" s="7">
        <v>2026</v>
      </c>
      <c r="B12" s="7">
        <v>1</v>
      </c>
      <c r="C12" s="7" t="str">
        <v>Clidiani Costa</v>
      </c>
      <c r="D12" s="7" t="str">
        <v>clidiani@altoqi.com.br</v>
      </c>
      <c r="E12" s="7" t="str">
        <v>Farmer</v>
      </c>
      <c r="F12" s="7" t="str">
        <v>Consultor</v>
      </c>
      <c r="G12" s="7" t="str">
        <v>sonia.zielinski@altoqi.com.br</v>
      </c>
      <c r="H12" s="7" t="str">
        <v>MRR</v>
      </c>
      <c r="I12" s="15">
        <f>IF(AND(F12="Consultor",H12="MRR"),SUMIFS(Negócios!L:L,Negócios!A:A,A12,Negócios!B:B,B12,Negócios!P:P,D12),
IF(AND(F12="Consultor",H12="Opps"),SUMIFS('Realizado GD'!D:D,'Realizado GD'!A:A,A12,'Realizado GD'!B:B,B12,'Realizado GD'!C:C,D12),
IF(AND(F12="Gestor",H12="MRR"),SUMIFS(I:I,A:A,A12,B:B,B12,G:G,D12))))</f>
        <v>9581.399999999996</v>
      </c>
      <c r="J12" s="16">
        <f>SUMIFS(Metas!K:K,Metas!A:A,A12,Metas!B:B,B12,Metas!D:D,D12,Metas!H:H,H12)</f>
        <v>8325</v>
      </c>
      <c r="K12" s="10">
        <f t="shared" si="6"/>
        <v>1.1509189189189184</v>
      </c>
      <c r="L12" s="26" t="str" cm="1">
        <f t="array" ref="L12">_xlfn.LET(
 _xlpm.g,_xlfn.MAXIFS(Parâmetros!G:G,Parâmetros!A:A,A12,Parâmetros!B:B,B12,Parâmetros!D:D,D12,Parâmetros!E:E,E12),
 _xlpm.j,_xlfn.MAXIFS(Parâmetros!J:J,Parâmetros!A:A,A12,Parâmetros!B:B,B12,Parâmetros!D:D,D12,Parâmetros!E:E,E12),
 _xlpm.m,_xlfn.MAXIFS(Parâmetros!M:M,Parâmetros!A:A,A12,Parâmetros!B:B,B12,Parâmetros!D:D,D12,Parâmetros!E:E,E12),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55,00% | 100,00%</v>
      </c>
      <c r="M12" s="28">
        <f>IF(AND(F12="Gestor",H12="MRR"),SUMIFS(M:M,A:A,A12,B:B,B12,G:G,D12),
SUMIFS(Negócios!L:L,Negócios!A:A,A12,Negócios!B:B,B12,Negócios!P:P,D12,Negócios!AG:AG,"À Vista",Negócios!Q:Q,E12))</f>
        <v>318.82</v>
      </c>
      <c r="N12" s="10">
        <f t="shared" si="7"/>
        <v>3.3274886759763721E-2</v>
      </c>
      <c r="O12" s="30">
        <f>SUMIFS('Acel Form Pag'!D:D,'Acel Form Pag'!A:A,A12,'Acel Form Pag'!B:B,B12,'Acel Form Pag'!C:C,E12)</f>
        <v>1.5</v>
      </c>
      <c r="P12" s="32">
        <f>IF(AND(F12="Gestor",H12="MRR"),SUMIFS(P:P,A:A,A12,B:B,B12,G:G,D12),
SUMIFS(Negócios!L:L,Negócios!A:A,A12,Negócios!B:B,B12,Negócios!P:P,D12,Negócios!AG:AG,"CC 3x",Negócios!Q:Q,E12))</f>
        <v>0</v>
      </c>
      <c r="Q12" s="10">
        <f t="shared" si="8"/>
        <v>0</v>
      </c>
      <c r="R12" s="30">
        <f>SUMIFS('Acel Form Pag'!E:E,'Acel Form Pag'!A:A,A12,'Acel Form Pag'!B:B,B12,'Acel Form Pag'!C:C,E12)</f>
        <v>1.4</v>
      </c>
      <c r="S12" s="32">
        <f>IF(AND(F12="Gestor",H12="MRR"),SUMIFS(S:S,A:A,A12,B:B,B12,G:G,D12),
SUMIFS(Negócios!L:L,Negócios!A:A,A12,Negócios!B:B,B12,Negócios!P:P,D12,Negócios!AG:AG,"CC 12x",Negócios!Q:Q,E12))</f>
        <v>1662.8300000000002</v>
      </c>
      <c r="T12" s="10">
        <f t="shared" si="9"/>
        <v>0.17354770701567629</v>
      </c>
      <c r="U12" s="30">
        <f>SUMIFS('Acel Form Pag'!F:F,'Acel Form Pag'!A:A,A12,'Acel Form Pag'!B:B,B12,'Acel Form Pag'!C:C,E12)</f>
        <v>1.25</v>
      </c>
      <c r="V12" s="32">
        <f>IF(AND(F12="Gestor",H12="MRR"),SUMIFS(V:V,A:A,A12,B:B,B12,G:G,D12),
SUMIFS(Negócios!L:L,Negócios!A:A,A12,Negócios!B:B,B12,Negócios!P:P,D12,Negócios!AG:AG,"Recorrente",Negócios!Q:Q,E12))</f>
        <v>7599.7500000000018</v>
      </c>
      <c r="W12" s="10">
        <f t="shared" si="10"/>
        <v>0.79317740622456057</v>
      </c>
      <c r="X12" s="34">
        <f>SUMIFS('Acel Form Pag'!G:G,'Acel Form Pag'!A:A,A12,'Acel Form Pag'!B:B,B12,'Acel Form Pag'!C:C,E12)</f>
        <v>1</v>
      </c>
      <c r="Y12" s="24">
        <f>MAX(_xlfn.MAXIFS(Parâmetros!O:O,Parâmetros!A:A,A12,Parâmetros!B:B,B12,Parâmetros!D:D,D12,Parâmetros!M:M,"&lt;="&amp;K12),_xlfn.MAXIFS(Parâmetros!L:L,Parâmetros!A:A,A12,Parâmetros!B:B,B12,Parâmetros!D:D,D12,Parâmetros!J:J,"&lt;="&amp;K12),_xlfn.MAXIFS(Parâmetros!I:I,Parâmetros!A:A,A12,Parâmetros!B:B,B12,Parâmetros!D:D,D12))</f>
        <v>8100</v>
      </c>
      <c r="Z12" s="9">
        <f>MAX(_xlfn.MAXIFS(Parâmetros!Q:Q,Parâmetros!A:A,A12,Parâmetros!B:B,B12,Parâmetros!D:D,D12,Parâmetros!E:E,E12,Parâmetros!P:P,"&lt;="&amp;K12),
_xlfn.MAXIFS(Parâmetros!S:S,Parâmetros!A:A,A12,Parâmetros!B:B,B12,Parâmetros!D:D,D12,Parâmetros!E:E,E12,Parâmetros!R:R,"&lt;="&amp;K12),
_xlfn.MAXIFS(Parâmetros!U:U,Parâmetros!A:A,A12,Parâmetros!B:B,B12,Parâmetros!D:D,D12,Parâmetros!E:E,E12,Parâmetros!T:T,"&lt;="&amp;K12),1) * IF(K12 &gt;= SUMIFS(Parâmetros!G:G,Parâmetros!A:A,A12,Parâmetros!B:B,B12,Parâmetros!D:D,D12,Parâmetros!E:E,E12),1,0)</f>
        <v>1.25</v>
      </c>
      <c r="AA12" s="16">
        <f>Y12*Z12*K12</f>
        <v>11653.05405405405</v>
      </c>
      <c r="AB12" s="16">
        <f>(AA12*N12*O12) + (AA12*Q12*R12) + (AA12*T12*U12) + (AA12*W12*X12)</f>
        <v>12352.521283783786</v>
      </c>
      <c r="AC12" s="15">
        <f>IF(F12="Gestor",SUMIFS(AC:AC,A:A,A12,B:B,B12,G:G,D12),
IF(E12="Saving",SUMIFS(Negócios!I:I,Negócios!A:A,A12,Negócios!B:B,B12,Negócios!P:P,D12,Negócios!H:H,"Curso") + SUMIFS(Negócios!I:I,Negócios!A:A,A12,Negócios!B:B,B12,Negócios!P:P,D12,Negócios!H:H,"Serviço") + SUMIFS(Negócios!I:I,Negócios!A:A,A12,Negócios!B:B,B12,Negócios!P:P,D12,Negócios!H:H,"Implementação"),SUMIFS(Negócios!I:I,Negócios!A:A,A12,Negócios!B:B,B12,Negócios!P:P,D12,Negócios!H:H,"Implementação")))</f>
        <v>0</v>
      </c>
      <c r="AD12" s="16">
        <f>SUMIFS(Parâmetros!W:W,Parâmetros!A:A,A12,Parâmetros!B:B,B12,Parâmetros!D:D,D12) * AC12 * IF(K12 &gt;= SUMIFS(Parâmetros!V:V,Parâmetros!A:A,A12,Parâmetros!B:B,B12,Parâmetros!D:D,D12),1,0)</f>
        <v>0</v>
      </c>
      <c r="AE12" s="15">
        <f>SUMIFS('Recuperação de Canc e Divs'!D:D,'Recuperação de Canc e Divs'!A:A,A12,'Recuperação de Canc e Divs'!B:B,B12,'Recuperação de Canc e Divs'!C:C,D12)</f>
        <v>0</v>
      </c>
      <c r="AF12" s="16">
        <f>IF(K12&gt;=SUMIFS(Parâmetros!J:J,Parâmetros!A:A,A12,Parâmetros!B:B,B12,Parâmetros!D:D,D12),AE12*0.025,0)</f>
        <v>0</v>
      </c>
      <c r="AG12" s="15" t="str">
        <f t="shared" si="0"/>
        <v/>
      </c>
      <c r="AH12" s="16" t="str">
        <f t="shared" si="1"/>
        <v/>
      </c>
      <c r="AI12" s="90">
        <f t="shared" si="2"/>
        <v>0</v>
      </c>
      <c r="AJ12" s="16" t="str">
        <f t="shared" si="3"/>
        <v/>
      </c>
      <c r="AK12" s="16" t="str">
        <f t="shared" si="4"/>
        <v/>
      </c>
      <c r="AL12" s="90">
        <f t="shared" si="5"/>
        <v>0</v>
      </c>
      <c r="AM12" s="93" t="str">
        <f>IF(AND(OR(B12=3,B12=6,B12=9,B12=12),AI12&gt;=1),
IF(F12="Gestor",AI12*0.6,AI12*0.3),"")</f>
        <v/>
      </c>
      <c r="AN12" s="94" t="str">
        <f>IF(OR(B12=3,B12=6,B12=9,B12=12),
IF(AND(AK12&gt;=1,AI12&gt;=SUMIFS(Parâmetros!G:G,Parâmetros!A:A,Comissões!A12,Parâmetros!B:B,Comissões!B12,Parâmetros!D:D,Comissões!D12,Parâmetros!E:E,Comissões!E12)),AI12*0.3,""),"")</f>
        <v/>
      </c>
    </row>
    <row r="13" spans="1:40" hidden="1">
      <c r="A13" s="7">
        <v>2026</v>
      </c>
      <c r="B13" s="7">
        <v>1</v>
      </c>
      <c r="C13" s="7" t="str">
        <v>Debora Vieira</v>
      </c>
      <c r="D13" s="7" t="str">
        <v>debora.vieira@altoqi.com.br</v>
      </c>
      <c r="E13" s="7" t="str">
        <v>Farmer</v>
      </c>
      <c r="F13" s="7" t="str">
        <v>Consultor</v>
      </c>
      <c r="G13" s="7" t="str">
        <v>sonia.zielinski@altoqi.com.br</v>
      </c>
      <c r="H13" s="7" t="str">
        <v>MRR</v>
      </c>
      <c r="I13" s="15">
        <f>IF(AND(F13="Consultor",H13="MRR"),SUMIFS(Negócios!L:L,Negócios!A:A,A13,Negócios!B:B,B13,Negócios!P:P,D13),
IF(AND(F13="Consultor",H13="Opps"),SUMIFS('Realizado GD'!D:D,'Realizado GD'!A:A,A13,'Realizado GD'!B:B,B13,'Realizado GD'!C:C,D13),
IF(AND(F13="Gestor",H13="MRR"),SUMIFS(I:I,A:A,A13,B:B,B13,G:G,D13))))</f>
        <v>2376.7399999999998</v>
      </c>
      <c r="J13" s="16">
        <f>SUMIFS(Metas!K:K,Metas!A:A,A13,Metas!B:B,B13,Metas!D:D,D13,Metas!H:H,H13)</f>
        <v>3560</v>
      </c>
      <c r="K13" s="10">
        <f t="shared" si="6"/>
        <v>0.6676235955056179</v>
      </c>
      <c r="L13" s="26" t="str" cm="1">
        <f t="array" ref="L13">_xlfn.LET(
 _xlpm.g,_xlfn.MAXIFS(Parâmetros!G:G,Parâmetros!A:A,A13,Parâmetros!B:B,B13,Parâmetros!D:D,D13,Parâmetros!E:E,E13),
 _xlpm.j,_xlfn.MAXIFS(Parâmetros!J:J,Parâmetros!A:A,A13,Parâmetros!B:B,B13,Parâmetros!D:D,D13,Parâmetros!E:E,E13),
 _xlpm.m,_xlfn.MAXIFS(Parâmetros!M:M,Parâmetros!A:A,A13,Parâmetros!B:B,B13,Parâmetros!D:D,D13,Parâmetros!E:E,E13),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55,00%</v>
      </c>
      <c r="M13" s="28">
        <f>IF(AND(F13="Gestor",H13="MRR"),SUMIFS(M:M,A:A,A13,B:B,B13,G:G,D13),
SUMIFS(Negócios!L:L,Negócios!A:A,A13,Negócios!B:B,B13,Negócios!P:P,D13,Negócios!AG:AG,"À Vista",Negócios!Q:Q,E13))</f>
        <v>240.17</v>
      </c>
      <c r="N13" s="10">
        <f t="shared" si="7"/>
        <v>0.10105017797487315</v>
      </c>
      <c r="O13" s="30">
        <f>SUMIFS('Acel Form Pag'!D:D,'Acel Form Pag'!A:A,A13,'Acel Form Pag'!B:B,B13,'Acel Form Pag'!C:C,E13)</f>
        <v>1.5</v>
      </c>
      <c r="P13" s="32">
        <f>IF(AND(F13="Gestor",H13="MRR"),SUMIFS(P:P,A:A,A13,B:B,B13,G:G,D13),
SUMIFS(Negócios!L:L,Negócios!A:A,A13,Negócios!B:B,B13,Negócios!P:P,D13,Negócios!AG:AG,"CC 3x",Negócios!Q:Q,E13))</f>
        <v>0</v>
      </c>
      <c r="Q13" s="10">
        <f t="shared" si="8"/>
        <v>0</v>
      </c>
      <c r="R13" s="30">
        <f>SUMIFS('Acel Form Pag'!E:E,'Acel Form Pag'!A:A,A13,'Acel Form Pag'!B:B,B13,'Acel Form Pag'!C:C,E13)</f>
        <v>1.4</v>
      </c>
      <c r="S13" s="32">
        <f>IF(AND(F13="Gestor",H13="MRR"),SUMIFS(S:S,A:A,A13,B:B,B13,G:G,D13),
SUMIFS(Negócios!L:L,Negócios!A:A,A13,Negócios!B:B,B13,Negócios!P:P,D13,Negócios!AG:AG,"CC 12x",Negócios!Q:Q,E13))</f>
        <v>728</v>
      </c>
      <c r="T13" s="10">
        <f t="shared" si="9"/>
        <v>0.30630190933800083</v>
      </c>
      <c r="U13" s="30">
        <f>SUMIFS('Acel Form Pag'!F:F,'Acel Form Pag'!A:A,A13,'Acel Form Pag'!B:B,B13,'Acel Form Pag'!C:C,E13)</f>
        <v>1.25</v>
      </c>
      <c r="V13" s="32">
        <f>IF(AND(F13="Gestor",H13="MRR"),SUMIFS(V:V,A:A,A13,B:B,B13,G:G,D13),
SUMIFS(Negócios!L:L,Negócios!A:A,A13,Negócios!B:B,B13,Negócios!P:P,D13,Negócios!AG:AG,"Recorrente",Negócios!Q:Q,E13))</f>
        <v>1408.5700000000002</v>
      </c>
      <c r="W13" s="10">
        <f t="shared" si="10"/>
        <v>0.59264791268712613</v>
      </c>
      <c r="X13" s="34">
        <f>SUMIFS('Acel Form Pag'!G:G,'Acel Form Pag'!A:A,A13,'Acel Form Pag'!B:B,B13,'Acel Form Pag'!C:C,E13)</f>
        <v>1</v>
      </c>
      <c r="Y13" s="24">
        <f>MAX(_xlfn.MAXIFS(Parâmetros!O:O,Parâmetros!A:A,A13,Parâmetros!B:B,B13,Parâmetros!D:D,D13,Parâmetros!M:M,"&lt;="&amp;K13),_xlfn.MAXIFS(Parâmetros!L:L,Parâmetros!A:A,A13,Parâmetros!B:B,B13,Parâmetros!D:D,D13,Parâmetros!J:J,"&lt;="&amp;K13),_xlfn.MAXIFS(Parâmetros!I:I,Parâmetros!A:A,A13,Parâmetros!B:B,B13,Parâmetros!D:D,D13))</f>
        <v>1620</v>
      </c>
      <c r="Z13" s="9">
        <f>MAX(_xlfn.MAXIFS(Parâmetros!Q:Q,Parâmetros!A:A,A13,Parâmetros!B:B,B13,Parâmetros!D:D,D13,Parâmetros!E:E,E13,Parâmetros!P:P,"&lt;="&amp;K13),
_xlfn.MAXIFS(Parâmetros!S:S,Parâmetros!A:A,A13,Parâmetros!B:B,B13,Parâmetros!D:D,D13,Parâmetros!E:E,E13,Parâmetros!R:R,"&lt;="&amp;K13),
_xlfn.MAXIFS(Parâmetros!U:U,Parâmetros!A:A,A13,Parâmetros!B:B,B13,Parâmetros!D:D,D13,Parâmetros!E:E,E13,Parâmetros!T:T,"&lt;="&amp;K13),1) * IF(K13 &gt;= SUMIFS(Parâmetros!G:G,Parâmetros!A:A,A13,Parâmetros!B:B,B13,Parâmetros!D:D,D13,Parâmetros!E:E,E13),1,0)</f>
        <v>1</v>
      </c>
      <c r="AA13" s="16">
        <f>Y13*Z13*K13</f>
        <v>1081.5502247191009</v>
      </c>
      <c r="AB13" s="16">
        <f>(AA13*N13*O13) + (AA13*Q13*R13) + (AA13*T13*U13) + (AA13*W13*X13)</f>
        <v>1219.0158707865166</v>
      </c>
      <c r="AC13" s="15">
        <f>IF(F13="Gestor",SUMIFS(AC:AC,A:A,A13,B:B,B13,G:G,D13),
IF(E13="Saving",SUMIFS(Negócios!I:I,Negócios!A:A,A13,Negócios!B:B,B13,Negócios!P:P,D13,Negócios!H:H,"Curso") + SUMIFS(Negócios!I:I,Negócios!A:A,A13,Negócios!B:B,B13,Negócios!P:P,D13,Negócios!H:H,"Serviço") + SUMIFS(Negócios!I:I,Negócios!A:A,A13,Negócios!B:B,B13,Negócios!P:P,D13,Negócios!H:H,"Implementação"),SUMIFS(Negócios!I:I,Negócios!A:A,A13,Negócios!B:B,B13,Negócios!P:P,D13,Negócios!H:H,"Implementação")))</f>
        <v>0</v>
      </c>
      <c r="AD13" s="16">
        <f>SUMIFS(Parâmetros!W:W,Parâmetros!A:A,A13,Parâmetros!B:B,B13,Parâmetros!D:D,D13) * AC13 * IF(K13 &gt;= SUMIFS(Parâmetros!V:V,Parâmetros!A:A,A13,Parâmetros!B:B,B13,Parâmetros!D:D,D13),1,0)</f>
        <v>0</v>
      </c>
      <c r="AE13" s="15">
        <f>SUMIFS('Recuperação de Canc e Divs'!D:D,'Recuperação de Canc e Divs'!A:A,A13,'Recuperação de Canc e Divs'!B:B,B13,'Recuperação de Canc e Divs'!C:C,D13)</f>
        <v>0</v>
      </c>
      <c r="AF13" s="16">
        <f>IF(K13&gt;=SUMIFS(Parâmetros!J:J,Parâmetros!A:A,A13,Parâmetros!B:B,B13,Parâmetros!D:D,D13),AE13*0.025,0)</f>
        <v>0</v>
      </c>
      <c r="AG13" s="15" t="str">
        <f t="shared" si="0"/>
        <v/>
      </c>
      <c r="AH13" s="16" t="str">
        <f t="shared" si="1"/>
        <v/>
      </c>
      <c r="AI13" s="90">
        <f t="shared" si="2"/>
        <v>0</v>
      </c>
      <c r="AJ13" s="16" t="str">
        <f t="shared" si="3"/>
        <v/>
      </c>
      <c r="AK13" s="16" t="str">
        <f t="shared" si="4"/>
        <v/>
      </c>
      <c r="AL13" s="90">
        <f t="shared" si="5"/>
        <v>0</v>
      </c>
      <c r="AM13" s="93" t="str">
        <f>IF(AND(OR(B13=3,B13=6,B13=9,B13=12),AI13&gt;=1),
IF(F13="Gestor",AI13*0.6,AI13*0.3),"")</f>
        <v/>
      </c>
      <c r="AN13" s="94" t="str">
        <f>IF(OR(B13=3,B13=6,B13=9,B13=12),
IF(AND(AK13&gt;=1,AI13&gt;=SUMIFS(Parâmetros!G:G,Parâmetros!A:A,Comissões!A13,Parâmetros!B:B,Comissões!B13,Parâmetros!D:D,Comissões!D13,Parâmetros!E:E,Comissões!E13)),AI13*0.3,""),"")</f>
        <v/>
      </c>
    </row>
    <row r="14" spans="1:40" hidden="1">
      <c r="A14" s="7">
        <v>2026</v>
      </c>
      <c r="B14" s="7">
        <v>1</v>
      </c>
      <c r="C14" s="7" t="str">
        <v>Mariana Rachadel</v>
      </c>
      <c r="D14" s="7" t="str">
        <v>mariana@altoqi.com.br</v>
      </c>
      <c r="E14" s="7" t="str">
        <v>Farmer</v>
      </c>
      <c r="F14" s="7" t="str">
        <v>Consultor</v>
      </c>
      <c r="G14" s="7" t="str">
        <v>sonia.zielinski@altoqi.com.br</v>
      </c>
      <c r="H14" s="7" t="str">
        <v>MRR</v>
      </c>
      <c r="I14" s="15">
        <f>IF(AND(F14="Consultor",H14="MRR"),SUMIFS(Negócios!L:L,Negócios!A:A,A14,Negócios!B:B,B14,Negócios!P:P,D14),
IF(AND(F14="Consultor",H14="Opps"),SUMIFS('Realizado GD'!D:D,'Realizado GD'!A:A,A14,'Realizado GD'!B:B,B14,'Realizado GD'!C:C,D14),
IF(AND(F14="Gestor",H14="MRR"),SUMIFS(I:I,A:A,A14,B:B,B14,G:G,D14))))</f>
        <v>12686.419999999996</v>
      </c>
      <c r="J14" s="16">
        <f>SUMIFS(Metas!K:K,Metas!A:A,A14,Metas!B:B,B14,Metas!D:D,D14,Metas!H:H,H14)</f>
        <v>10300</v>
      </c>
      <c r="K14" s="10">
        <f t="shared" si="6"/>
        <v>1.2316912621359219</v>
      </c>
      <c r="L14" s="26" t="str" cm="1">
        <f t="array" ref="L14">_xlfn.LET(
 _xlpm.g,_xlfn.MAXIFS(Parâmetros!G:G,Parâmetros!A:A,A14,Parâmetros!B:B,B14,Parâmetros!D:D,D14,Parâmetros!E:E,E14),
 _xlpm.j,_xlfn.MAXIFS(Parâmetros!J:J,Parâmetros!A:A,A14,Parâmetros!B:B,B14,Parâmetros!D:D,D14,Parâmetros!E:E,E14),
 _xlpm.m,_xlfn.MAXIFS(Parâmetros!M:M,Parâmetros!A:A,A14,Parâmetros!B:B,B14,Parâmetros!D:D,D14,Parâmetros!E:E,E14),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55,00% | 100,00%</v>
      </c>
      <c r="M14" s="28">
        <f>IF(AND(F14="Gestor",H14="MRR"),SUMIFS(M:M,A:A,A14,B:B,B14,G:G,D14),
SUMIFS(Negócios!L:L,Negócios!A:A,A14,Negócios!B:B,B14,Negócios!P:P,D14,Negócios!AG:AG,"À Vista",Negócios!Q:Q,E14))</f>
        <v>359.49</v>
      </c>
      <c r="N14" s="10">
        <f t="shared" si="7"/>
        <v>2.8336599292787101E-2</v>
      </c>
      <c r="O14" s="30">
        <f>SUMIFS('Acel Form Pag'!D:D,'Acel Form Pag'!A:A,A14,'Acel Form Pag'!B:B,B14,'Acel Form Pag'!C:C,E14)</f>
        <v>1.5</v>
      </c>
      <c r="P14" s="32">
        <f>IF(AND(F14="Gestor",H14="MRR"),SUMIFS(P:P,A:A,A14,B:B,B14,G:G,D14),
SUMIFS(Negócios!L:L,Negócios!A:A,A14,Negócios!B:B,B14,Negócios!P:P,D14,Negócios!AG:AG,"CC 3x",Negócios!Q:Q,E14))</f>
        <v>647.28</v>
      </c>
      <c r="Q14" s="10">
        <f t="shared" si="8"/>
        <v>5.1021485966884286E-2</v>
      </c>
      <c r="R14" s="30">
        <f>SUMIFS('Acel Form Pag'!E:E,'Acel Form Pag'!A:A,A14,'Acel Form Pag'!B:B,B14,'Acel Form Pag'!C:C,E14)</f>
        <v>1.4</v>
      </c>
      <c r="S14" s="32">
        <f>IF(AND(F14="Gestor",H14="MRR"),SUMIFS(S:S,A:A,A14,B:B,B14,G:G,D14),
SUMIFS(Negócios!L:L,Negócios!A:A,A14,Negócios!B:B,B14,Negócios!P:P,D14,Negócios!AG:AG,"CC 12x",Negócios!Q:Q,E14))</f>
        <v>335.46</v>
      </c>
      <c r="T14" s="10">
        <f t="shared" si="9"/>
        <v>2.6442447908866337E-2</v>
      </c>
      <c r="U14" s="30">
        <f>SUMIFS('Acel Form Pag'!F:F,'Acel Form Pag'!A:A,A14,'Acel Form Pag'!B:B,B14,'Acel Form Pag'!C:C,E14)</f>
        <v>1.25</v>
      </c>
      <c r="V14" s="32">
        <f>IF(AND(F14="Gestor",H14="MRR"),SUMIFS(V:V,A:A,A14,B:B,B14,G:G,D14),
SUMIFS(Negócios!L:L,Negócios!A:A,A14,Negócios!B:B,B14,Negócios!P:P,D14,Negócios!AG:AG,"Recorrente",Negócios!Q:Q,E14))</f>
        <v>11344.19</v>
      </c>
      <c r="W14" s="10">
        <f t="shared" si="10"/>
        <v>0.89419946683146256</v>
      </c>
      <c r="X14" s="34">
        <f>SUMIFS('Acel Form Pag'!G:G,'Acel Form Pag'!A:A,A14,'Acel Form Pag'!B:B,B14,'Acel Form Pag'!C:C,E14)</f>
        <v>1</v>
      </c>
      <c r="Y14" s="24">
        <f>MAX(_xlfn.MAXIFS(Parâmetros!O:O,Parâmetros!A:A,A14,Parâmetros!B:B,B14,Parâmetros!D:D,D14,Parâmetros!M:M,"&lt;="&amp;K14),_xlfn.MAXIFS(Parâmetros!L:L,Parâmetros!A:A,A14,Parâmetros!B:B,B14,Parâmetros!D:D,D14,Parâmetros!J:J,"&lt;="&amp;K14),_xlfn.MAXIFS(Parâmetros!I:I,Parâmetros!A:A,A14,Parâmetros!B:B,B14,Parâmetros!D:D,D14))</f>
        <v>11500</v>
      </c>
      <c r="Z14" s="9">
        <f>MAX(_xlfn.MAXIFS(Parâmetros!Q:Q,Parâmetros!A:A,A14,Parâmetros!B:B,B14,Parâmetros!D:D,D14,Parâmetros!E:E,E14,Parâmetros!P:P,"&lt;="&amp;K14),
_xlfn.MAXIFS(Parâmetros!S:S,Parâmetros!A:A,A14,Parâmetros!B:B,B14,Parâmetros!D:D,D14,Parâmetros!E:E,E14,Parâmetros!R:R,"&lt;="&amp;K14),
_xlfn.MAXIFS(Parâmetros!U:U,Parâmetros!A:A,A14,Parâmetros!B:B,B14,Parâmetros!D:D,D14,Parâmetros!E:E,E14,Parâmetros!T:T,"&lt;="&amp;K14),1) * IF(K14 &gt;= SUMIFS(Parâmetros!G:G,Parâmetros!A:A,A14,Parâmetros!B:B,B14,Parâmetros!D:D,D14,Parâmetros!E:E,E14),1,0)</f>
        <v>1.25</v>
      </c>
      <c r="AA14" s="16">
        <f>Y14*Z14*K14</f>
        <v>17705.561893203878</v>
      </c>
      <c r="AB14" s="16">
        <f>(AA14*N14*O14) + (AA14*Q14*R14) + (AA14*T14*U14) + (AA14*W14*X14)</f>
        <v>18434.809830097085</v>
      </c>
      <c r="AC14" s="15">
        <f>IF(F14="Gestor",SUMIFS(AC:AC,A:A,A14,B:B,B14,G:G,D14),
IF(E14="Saving",SUMIFS(Negócios!I:I,Negócios!A:A,A14,Negócios!B:B,B14,Negócios!P:P,D14,Negócios!H:H,"Curso") + SUMIFS(Negócios!I:I,Negócios!A:A,A14,Negócios!B:B,B14,Negócios!P:P,D14,Negócios!H:H,"Serviço") + SUMIFS(Negócios!I:I,Negócios!A:A,A14,Negócios!B:B,B14,Negócios!P:P,D14,Negócios!H:H,"Implementação"),SUMIFS(Negócios!I:I,Negócios!A:A,A14,Negócios!B:B,B14,Negócios!P:P,D14,Negócios!H:H,"Implementação")))</f>
        <v>0</v>
      </c>
      <c r="AD14" s="16">
        <f>SUMIFS(Parâmetros!W:W,Parâmetros!A:A,A14,Parâmetros!B:B,B14,Parâmetros!D:D,D14) * AC14 * IF(K14 &gt;= SUMIFS(Parâmetros!V:V,Parâmetros!A:A,A14,Parâmetros!B:B,B14,Parâmetros!D:D,D14),1,0)</f>
        <v>0</v>
      </c>
      <c r="AE14" s="15">
        <f>SUMIFS('Recuperação de Canc e Divs'!D:D,'Recuperação de Canc e Divs'!A:A,A14,'Recuperação de Canc e Divs'!B:B,B14,'Recuperação de Canc e Divs'!C:C,D14)</f>
        <v>0</v>
      </c>
      <c r="AF14" s="16">
        <f>IF(K14&gt;=SUMIFS(Parâmetros!J:J,Parâmetros!A:A,A14,Parâmetros!B:B,B14,Parâmetros!D:D,D14),AE14*0.025,0)</f>
        <v>0</v>
      </c>
      <c r="AG14" s="15" t="str">
        <f t="shared" si="0"/>
        <v/>
      </c>
      <c r="AH14" s="16" t="str">
        <f t="shared" si="1"/>
        <v/>
      </c>
      <c r="AI14" s="90">
        <f t="shared" si="2"/>
        <v>0</v>
      </c>
      <c r="AJ14" s="16" t="str">
        <f t="shared" si="3"/>
        <v/>
      </c>
      <c r="AK14" s="16" t="str">
        <f t="shared" si="4"/>
        <v/>
      </c>
      <c r="AL14" s="90">
        <f t="shared" si="5"/>
        <v>0</v>
      </c>
      <c r="AM14" s="93" t="str">
        <f>IF(AND(OR(B14=3,B14=6,B14=9,B14=12),AI14&gt;=1),
IF(F14="Gestor",AI14*0.6,AI14*0.3),"")</f>
        <v/>
      </c>
      <c r="AN14" s="94" t="str">
        <f>IF(OR(B14=3,B14=6,B14=9,B14=12),
IF(AND(AK14&gt;=1,AI14&gt;=SUMIFS(Parâmetros!G:G,Parâmetros!A:A,Comissões!A14,Parâmetros!B:B,Comissões!B14,Parâmetros!D:D,Comissões!D14,Parâmetros!E:E,Comissões!E14)),AI14*0.3,""),"")</f>
        <v/>
      </c>
    </row>
    <row r="15" spans="1:40" hidden="1">
      <c r="A15" s="7">
        <v>2026</v>
      </c>
      <c r="B15" s="7">
        <v>1</v>
      </c>
      <c r="C15" s="7" t="str">
        <v>Renata Parizotto</v>
      </c>
      <c r="D15" s="7" t="str">
        <v>renata.parizotto@altoqi.com.br</v>
      </c>
      <c r="E15" s="7" t="str">
        <v>Farmer</v>
      </c>
      <c r="F15" s="7" t="str">
        <v>Consultor</v>
      </c>
      <c r="G15" s="7" t="str">
        <v>sonia.zielinski@altoqi.com.br</v>
      </c>
      <c r="H15" s="7" t="str">
        <v>MRR</v>
      </c>
      <c r="I15" s="15">
        <f>IF(AND(F15="Consultor",H15="MRR"),SUMIFS(Negócios!L:L,Negócios!A:A,A15,Negócios!B:B,B15,Negócios!P:P,D15),
IF(AND(F15="Consultor",H15="Opps"),SUMIFS('Realizado GD'!D:D,'Realizado GD'!A:A,A15,'Realizado GD'!B:B,B15,'Realizado GD'!C:C,D15),
IF(AND(F15="Gestor",H15="MRR"),SUMIFS(I:I,A:A,A15,B:B,B15,G:G,D15))))</f>
        <v>5681.72</v>
      </c>
      <c r="J15" s="16">
        <f>SUMIFS(Metas!K:K,Metas!A:A,A15,Metas!B:B,B15,Metas!D:D,D15,Metas!H:H,H15)</f>
        <v>8700</v>
      </c>
      <c r="K15" s="10">
        <f t="shared" si="6"/>
        <v>0.65307126436781615</v>
      </c>
      <c r="L15" s="26" t="str" cm="1">
        <f t="array" ref="L15">_xlfn.LET(
 _xlpm.g,_xlfn.MAXIFS(Parâmetros!G:G,Parâmetros!A:A,A15,Parâmetros!B:B,B15,Parâmetros!D:D,D15,Parâmetros!E:E,E15),
 _xlpm.j,_xlfn.MAXIFS(Parâmetros!J:J,Parâmetros!A:A,A15,Parâmetros!B:B,B15,Parâmetros!D:D,D15,Parâmetros!E:E,E15),
 _xlpm.m,_xlfn.MAXIFS(Parâmetros!M:M,Parâmetros!A:A,A15,Parâmetros!B:B,B15,Parâmetros!D:D,D15,Parâmetros!E:E,E15),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55,00%</v>
      </c>
      <c r="M15" s="28">
        <f>IF(AND(F15="Gestor",H15="MRR"),SUMIFS(M:M,A:A,A15,B:B,B15,G:G,D15),
SUMIFS(Negócios!L:L,Negócios!A:A,A15,Negócios!B:B,B15,Negócios!P:P,D15,Negócios!AG:AG,"À Vista",Negócios!Q:Q,E15))</f>
        <v>2377.5300000000002</v>
      </c>
      <c r="N15" s="10">
        <f t="shared" si="7"/>
        <v>0.41845251085938767</v>
      </c>
      <c r="O15" s="30">
        <f>SUMIFS('Acel Form Pag'!D:D,'Acel Form Pag'!A:A,A15,'Acel Form Pag'!B:B,B15,'Acel Form Pag'!C:C,E15)</f>
        <v>1.5</v>
      </c>
      <c r="P15" s="32">
        <f>IF(AND(F15="Gestor",H15="MRR"),SUMIFS(P:P,A:A,A15,B:B,B15,G:G,D15),
SUMIFS(Negócios!L:L,Negócios!A:A,A15,Negócios!B:B,B15,Negócios!P:P,D15,Negócios!AG:AG,"CC 3x",Negócios!Q:Q,E15))</f>
        <v>0</v>
      </c>
      <c r="Q15" s="10">
        <f t="shared" si="8"/>
        <v>0</v>
      </c>
      <c r="R15" s="30">
        <f>SUMIFS('Acel Form Pag'!E:E,'Acel Form Pag'!A:A,A15,'Acel Form Pag'!B:B,B15,'Acel Form Pag'!C:C,E15)</f>
        <v>1.4</v>
      </c>
      <c r="S15" s="32">
        <f>IF(AND(F15="Gestor",H15="MRR"),SUMIFS(S:S,A:A,A15,B:B,B15,G:G,D15),
SUMIFS(Negócios!L:L,Negócios!A:A,A15,Negócios!B:B,B15,Negócios!P:P,D15,Negócios!AG:AG,"CC 12x",Negócios!Q:Q,E15))</f>
        <v>293.32</v>
      </c>
      <c r="T15" s="10">
        <f t="shared" si="9"/>
        <v>5.1625212083664801E-2</v>
      </c>
      <c r="U15" s="30">
        <f>SUMIFS('Acel Form Pag'!F:F,'Acel Form Pag'!A:A,A15,'Acel Form Pag'!B:B,B15,'Acel Form Pag'!C:C,E15)</f>
        <v>1.25</v>
      </c>
      <c r="V15" s="32">
        <f>IF(AND(F15="Gestor",H15="MRR"),SUMIFS(V:V,A:A,A15,B:B,B15,G:G,D15),
SUMIFS(Negócios!L:L,Negócios!A:A,A15,Negócios!B:B,B15,Negócios!P:P,D15,Negócios!AG:AG,"Recorrente",Negócios!Q:Q,E15))</f>
        <v>3010.87</v>
      </c>
      <c r="W15" s="10">
        <f t="shared" si="10"/>
        <v>0.5299222770569475</v>
      </c>
      <c r="X15" s="34">
        <f>SUMIFS('Acel Form Pag'!G:G,'Acel Form Pag'!A:A,A15,'Acel Form Pag'!B:B,B15,'Acel Form Pag'!C:C,E15)</f>
        <v>1</v>
      </c>
      <c r="Y15" s="24">
        <f>MAX(_xlfn.MAXIFS(Parâmetros!O:O,Parâmetros!A:A,A15,Parâmetros!B:B,B15,Parâmetros!D:D,D15,Parâmetros!M:M,"&lt;="&amp;K15),_xlfn.MAXIFS(Parâmetros!L:L,Parâmetros!A:A,A15,Parâmetros!B:B,B15,Parâmetros!D:D,D15,Parâmetros!J:J,"&lt;="&amp;K15),_xlfn.MAXIFS(Parâmetros!I:I,Parâmetros!A:A,A15,Parâmetros!B:B,B15,Parâmetros!D:D,D15))</f>
        <v>4176</v>
      </c>
      <c r="Z15" s="9">
        <f>MAX(_xlfn.MAXIFS(Parâmetros!Q:Q,Parâmetros!A:A,A15,Parâmetros!B:B,B15,Parâmetros!D:D,D15,Parâmetros!E:E,E15,Parâmetros!P:P,"&lt;="&amp;K15),
_xlfn.MAXIFS(Parâmetros!S:S,Parâmetros!A:A,A15,Parâmetros!B:B,B15,Parâmetros!D:D,D15,Parâmetros!E:E,E15,Parâmetros!R:R,"&lt;="&amp;K15),
_xlfn.MAXIFS(Parâmetros!U:U,Parâmetros!A:A,A15,Parâmetros!B:B,B15,Parâmetros!D:D,D15,Parâmetros!E:E,E15,Parâmetros!T:T,"&lt;="&amp;K15),1) * IF(K15 &gt;= SUMIFS(Parâmetros!G:G,Parâmetros!A:A,A15,Parâmetros!B:B,B15,Parâmetros!D:D,D15,Parâmetros!E:E,E15),1,0)</f>
        <v>1</v>
      </c>
      <c r="AA15" s="16">
        <f>Y15*Z15*K15</f>
        <v>2727.2256000000002</v>
      </c>
      <c r="AB15" s="16">
        <f>(AA15*N15*O15) + (AA15*Q15*R15) + (AA15*T15*U15) + (AA15*W15*X15)</f>
        <v>3333.0312000000004</v>
      </c>
      <c r="AC15" s="15">
        <f>IF(F15="Gestor",SUMIFS(AC:AC,A:A,A15,B:B,B15,G:G,D15),
IF(E15="Saving",SUMIFS(Negócios!I:I,Negócios!A:A,A15,Negócios!B:B,B15,Negócios!P:P,D15,Negócios!H:H,"Curso") + SUMIFS(Negócios!I:I,Negócios!A:A,A15,Negócios!B:B,B15,Negócios!P:P,D15,Negócios!H:H,"Serviço") + SUMIFS(Negócios!I:I,Negócios!A:A,A15,Negócios!B:B,B15,Negócios!P:P,D15,Negócios!H:H,"Implementação"),SUMIFS(Negócios!I:I,Negócios!A:A,A15,Negócios!B:B,B15,Negócios!P:P,D15,Negócios!H:H,"Implementação")))</f>
        <v>0</v>
      </c>
      <c r="AD15" s="16">
        <f>SUMIFS(Parâmetros!W:W,Parâmetros!A:A,A15,Parâmetros!B:B,B15,Parâmetros!D:D,D15) * AC15 * IF(K15 &gt;= SUMIFS(Parâmetros!V:V,Parâmetros!A:A,A15,Parâmetros!B:B,B15,Parâmetros!D:D,D15),1,0)</f>
        <v>0</v>
      </c>
      <c r="AE15" s="15">
        <f>SUMIFS('Recuperação de Canc e Divs'!D:D,'Recuperação de Canc e Divs'!A:A,A15,'Recuperação de Canc e Divs'!B:B,B15,'Recuperação de Canc e Divs'!C:C,D15)</f>
        <v>0</v>
      </c>
      <c r="AF15" s="16">
        <f>IF(K15&gt;=SUMIFS(Parâmetros!J:J,Parâmetros!A:A,A15,Parâmetros!B:B,B15,Parâmetros!D:D,D15),AE15*0.025,0)</f>
        <v>0</v>
      </c>
      <c r="AG15" s="15" t="str">
        <f t="shared" si="0"/>
        <v/>
      </c>
      <c r="AH15" s="16" t="str">
        <f t="shared" si="1"/>
        <v/>
      </c>
      <c r="AI15" s="90">
        <f t="shared" si="2"/>
        <v>0</v>
      </c>
      <c r="AJ15" s="16" t="str">
        <f t="shared" si="3"/>
        <v/>
      </c>
      <c r="AK15" s="16" t="str">
        <f t="shared" si="4"/>
        <v/>
      </c>
      <c r="AL15" s="90">
        <f t="shared" si="5"/>
        <v>0</v>
      </c>
      <c r="AM15" s="93" t="str">
        <f>IF(AND(OR(B15=3,B15=6,B15=9,B15=12),AI15&gt;=1),
IF(F15="Gestor",AI15*0.6,AI15*0.3),"")</f>
        <v/>
      </c>
      <c r="AN15" s="94" t="str">
        <f>IF(OR(B15=3,B15=6,B15=9,B15=12),
IF(AND(AK15&gt;=1,AI15&gt;=SUMIFS(Parâmetros!G:G,Parâmetros!A:A,Comissões!A15,Parâmetros!B:B,Comissões!B15,Parâmetros!D:D,Comissões!D15,Parâmetros!E:E,Comissões!E15)),AI15*0.3,""),"")</f>
        <v/>
      </c>
    </row>
    <row r="16" spans="1:40" hidden="1">
      <c r="A16" s="7">
        <v>2026</v>
      </c>
      <c r="B16" s="7">
        <v>1</v>
      </c>
      <c r="C16" s="7" t="str">
        <v>Thales Mariante De Sá</v>
      </c>
      <c r="D16" s="7" t="str">
        <v>thales.sa@altoqi.com.br</v>
      </c>
      <c r="E16" s="7" t="str">
        <v>Farmer</v>
      </c>
      <c r="F16" s="7" t="str">
        <v>Consultor</v>
      </c>
      <c r="G16" s="7" t="str">
        <v>sonia.zielinski@altoqi.com.br</v>
      </c>
      <c r="H16" s="7" t="str">
        <v>MRR</v>
      </c>
      <c r="I16" s="15">
        <f>IF(AND(F16="Consultor",H16="MRR"),SUMIFS(Negócios!L:L,Negócios!A:A,A16,Negócios!B:B,B16,Negócios!P:P,D16),
IF(AND(F16="Consultor",H16="Opps"),SUMIFS('Realizado GD'!D:D,'Realizado GD'!A:A,A16,'Realizado GD'!B:B,B16,'Realizado GD'!C:C,D16),
IF(AND(F16="Gestor",H16="MRR"),SUMIFS(I:I,A:A,A16,B:B,B16,G:G,D16))))</f>
        <v>5625.9099999999989</v>
      </c>
      <c r="J16" s="16">
        <f>SUMIFS(Metas!K:K,Metas!A:A,A16,Metas!B:B,B16,Metas!D:D,D16,Metas!H:H,H16)</f>
        <v>7120</v>
      </c>
      <c r="K16" s="10">
        <f t="shared" si="6"/>
        <v>0.79015589887640436</v>
      </c>
      <c r="L16" s="26" t="str" cm="1">
        <f t="array" ref="L16">_xlfn.LET(
 _xlpm.g,_xlfn.MAXIFS(Parâmetros!G:G,Parâmetros!A:A,A16,Parâmetros!B:B,B16,Parâmetros!D:D,D16,Parâmetros!E:E,E16),
 _xlpm.j,_xlfn.MAXIFS(Parâmetros!J:J,Parâmetros!A:A,A16,Parâmetros!B:B,B16,Parâmetros!D:D,D16,Parâmetros!E:E,E16),
 _xlpm.m,_xlfn.MAXIFS(Parâmetros!M:M,Parâmetros!A:A,A16,Parâmetros!B:B,B16,Parâmetros!D:D,D16,Parâmetros!E:E,E16),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55,00%</v>
      </c>
      <c r="M16" s="28">
        <f>IF(AND(F16="Gestor",H16="MRR"),SUMIFS(M:M,A:A,A16,B:B,B16,G:G,D16),
SUMIFS(Negócios!L:L,Negócios!A:A,A16,Negócios!B:B,B16,Negócios!P:P,D16,Negócios!AG:AG,"À Vista",Negócios!Q:Q,E16))</f>
        <v>0</v>
      </c>
      <c r="N16" s="10">
        <f t="shared" si="7"/>
        <v>0</v>
      </c>
      <c r="O16" s="30">
        <f>SUMIFS('Acel Form Pag'!D:D,'Acel Form Pag'!A:A,A16,'Acel Form Pag'!B:B,B16,'Acel Form Pag'!C:C,E16)</f>
        <v>1.5</v>
      </c>
      <c r="P16" s="32">
        <f>IF(AND(F16="Gestor",H16="MRR"),SUMIFS(P:P,A:A,A16,B:B,B16,G:G,D16),
SUMIFS(Negócios!L:L,Negócios!A:A,A16,Negócios!B:B,B16,Negócios!P:P,D16,Negócios!AG:AG,"CC 3x",Negócios!Q:Q,E16))</f>
        <v>0</v>
      </c>
      <c r="Q16" s="10">
        <f t="shared" si="8"/>
        <v>0</v>
      </c>
      <c r="R16" s="30">
        <f>SUMIFS('Acel Form Pag'!E:E,'Acel Form Pag'!A:A,A16,'Acel Form Pag'!B:B,B16,'Acel Form Pag'!C:C,E16)</f>
        <v>1.4</v>
      </c>
      <c r="S16" s="32">
        <f>IF(AND(F16="Gestor",H16="MRR"),SUMIFS(S:S,A:A,A16,B:B,B16,G:G,D16),
SUMIFS(Negócios!L:L,Negócios!A:A,A16,Negócios!B:B,B16,Negócios!P:P,D16,Negócios!AG:AG,"CC 12x",Negócios!Q:Q,E16))</f>
        <v>2702</v>
      </c>
      <c r="T16" s="10">
        <f t="shared" si="9"/>
        <v>0.48027785727109046</v>
      </c>
      <c r="U16" s="30">
        <f>SUMIFS('Acel Form Pag'!F:F,'Acel Form Pag'!A:A,A16,'Acel Form Pag'!B:B,B16,'Acel Form Pag'!C:C,E16)</f>
        <v>1.25</v>
      </c>
      <c r="V16" s="32">
        <f>IF(AND(F16="Gestor",H16="MRR"),SUMIFS(V:V,A:A,A16,B:B,B16,G:G,D16),
SUMIFS(Negócios!L:L,Negócios!A:A,A16,Negócios!B:B,B16,Negócios!P:P,D16,Negócios!AG:AG,"Recorrente",Negócios!Q:Q,E16))</f>
        <v>2923.9100000000003</v>
      </c>
      <c r="W16" s="10">
        <f t="shared" si="10"/>
        <v>0.51972214272890982</v>
      </c>
      <c r="X16" s="34">
        <f>SUMIFS('Acel Form Pag'!G:G,'Acel Form Pag'!A:A,A16,'Acel Form Pag'!B:B,B16,'Acel Form Pag'!C:C,E16)</f>
        <v>1</v>
      </c>
      <c r="Y16" s="24">
        <f>MAX(_xlfn.MAXIFS(Parâmetros!O:O,Parâmetros!A:A,A16,Parâmetros!B:B,B16,Parâmetros!D:D,D16,Parâmetros!M:M,"&lt;="&amp;K16),_xlfn.MAXIFS(Parâmetros!L:L,Parâmetros!A:A,A16,Parâmetros!B:B,B16,Parâmetros!D:D,D16,Parâmetros!J:J,"&lt;="&amp;K16),_xlfn.MAXIFS(Parâmetros!I:I,Parâmetros!A:A,A16,Parâmetros!B:B,B16,Parâmetros!D:D,D16))</f>
        <v>3240</v>
      </c>
      <c r="Z16" s="9">
        <f>MAX(_xlfn.MAXIFS(Parâmetros!Q:Q,Parâmetros!A:A,A16,Parâmetros!B:B,B16,Parâmetros!D:D,D16,Parâmetros!E:E,E16,Parâmetros!P:P,"&lt;="&amp;K16),
_xlfn.MAXIFS(Parâmetros!S:S,Parâmetros!A:A,A16,Parâmetros!B:B,B16,Parâmetros!D:D,D16,Parâmetros!E:E,E16,Parâmetros!R:R,"&lt;="&amp;K16),
_xlfn.MAXIFS(Parâmetros!U:U,Parâmetros!A:A,A16,Parâmetros!B:B,B16,Parâmetros!D:D,D16,Parâmetros!E:E,E16,Parâmetros!T:T,"&lt;="&amp;K16),1) * IF(K16 &gt;= SUMIFS(Parâmetros!G:G,Parâmetros!A:A,A16,Parâmetros!B:B,B16,Parâmetros!D:D,D16,Parâmetros!E:E,E16),1,0)</f>
        <v>1</v>
      </c>
      <c r="AA16" s="16">
        <f>Y16*Z16*K16</f>
        <v>2560.1051123595503</v>
      </c>
      <c r="AB16" s="16">
        <f>(AA16*N16*O16) + (AA16*Q16*R16) + (AA16*T16*U16) + (AA16*W16*X16)</f>
        <v>2867.495561797753</v>
      </c>
      <c r="AC16" s="15">
        <f>IF(F16="Gestor",SUMIFS(AC:AC,A:A,A16,B:B,B16,G:G,D16),
IF(E16="Saving",SUMIFS(Negócios!I:I,Negócios!A:A,A16,Negócios!B:B,B16,Negócios!P:P,D16,Negócios!H:H,"Curso") + SUMIFS(Negócios!I:I,Negócios!A:A,A16,Negócios!B:B,B16,Negócios!P:P,D16,Negócios!H:H,"Serviço") + SUMIFS(Negócios!I:I,Negócios!A:A,A16,Negócios!B:B,B16,Negócios!P:P,D16,Negócios!H:H,"Implementação"),SUMIFS(Negócios!I:I,Negócios!A:A,A16,Negócios!B:B,B16,Negócios!P:P,D16,Negócios!H:H,"Implementação")))</f>
        <v>0</v>
      </c>
      <c r="AD16" s="16">
        <f>SUMIFS(Parâmetros!W:W,Parâmetros!A:A,A16,Parâmetros!B:B,B16,Parâmetros!D:D,D16) * AC16 * IF(K16 &gt;= SUMIFS(Parâmetros!V:V,Parâmetros!A:A,A16,Parâmetros!B:B,B16,Parâmetros!D:D,D16),1,0)</f>
        <v>0</v>
      </c>
      <c r="AE16" s="15">
        <f>SUMIFS('Recuperação de Canc e Divs'!D:D,'Recuperação de Canc e Divs'!A:A,A16,'Recuperação de Canc e Divs'!B:B,B16,'Recuperação de Canc e Divs'!C:C,D16)</f>
        <v>0</v>
      </c>
      <c r="AF16" s="16">
        <f>IF(K16&gt;=SUMIFS(Parâmetros!J:J,Parâmetros!A:A,A16,Parâmetros!B:B,B16,Parâmetros!D:D,D16),AE16*0.025,0)</f>
        <v>0</v>
      </c>
      <c r="AG16" s="15" t="str">
        <f t="shared" si="0"/>
        <v/>
      </c>
      <c r="AH16" s="16" t="str">
        <f t="shared" si="1"/>
        <v/>
      </c>
      <c r="AI16" s="90">
        <f t="shared" si="2"/>
        <v>0</v>
      </c>
      <c r="AJ16" s="16" t="str">
        <f t="shared" si="3"/>
        <v/>
      </c>
      <c r="AK16" s="16" t="str">
        <f t="shared" si="4"/>
        <v/>
      </c>
      <c r="AL16" s="90">
        <f t="shared" si="5"/>
        <v>0</v>
      </c>
      <c r="AM16" s="93" t="str">
        <f>IF(AND(OR(B16=3,B16=6,B16=9,B16=12),AI16&gt;=1),
IF(F16="Gestor",AI16*0.6,AI16*0.3),"")</f>
        <v/>
      </c>
      <c r="AN16" s="94" t="str">
        <f>IF(OR(B16=3,B16=6,B16=9,B16=12),
IF(AND(AK16&gt;=1,AI16&gt;=SUMIFS(Parâmetros!G:G,Parâmetros!A:A,Comissões!A16,Parâmetros!B:B,Comissões!B16,Parâmetros!D:D,Comissões!D16,Parâmetros!E:E,Comissões!E16)),AI16*0.3,""),"")</f>
        <v/>
      </c>
    </row>
    <row r="17" spans="1:40" hidden="1">
      <c r="A17" s="7">
        <v>2026</v>
      </c>
      <c r="B17" s="7">
        <v>1</v>
      </c>
      <c r="C17" s="7" t="str">
        <v>Artur Machado</v>
      </c>
      <c r="D17" s="7" t="str">
        <v>artur.francisco@altoqi.com.br</v>
      </c>
      <c r="E17" s="7" t="str">
        <v>FSB</v>
      </c>
      <c r="F17" s="7" t="str">
        <v>Consultor</v>
      </c>
      <c r="G17" s="7" t="str">
        <v>sonia.zielinski@altoqi.com.br</v>
      </c>
      <c r="H17" s="7" t="str">
        <v>MRR</v>
      </c>
      <c r="I17" s="15">
        <f>IF(AND(F17="Consultor",H17="MRR"),SUMIFS(Negócios!L:L,Negócios!A:A,A17,Negócios!B:B,B17,Negócios!P:P,D17),
IF(AND(F17="Consultor",H17="Opps"),SUMIFS('Realizado GD'!D:D,'Realizado GD'!A:A,A17,'Realizado GD'!B:B,B17,'Realizado GD'!C:C,D17),
IF(AND(F17="Gestor",H17="MRR"),SUMIFS(I:I,A:A,A17,B:B,B17,G:G,D17))))</f>
        <v>7812.96</v>
      </c>
      <c r="J17" s="16">
        <f>SUMIFS(Metas!K:K,Metas!A:A,A17,Metas!B:B,B17,Metas!D:D,D17,Metas!H:H,H17)</f>
        <v>8600</v>
      </c>
      <c r="K17" s="10">
        <f t="shared" si="6"/>
        <v>0.90848372093023255</v>
      </c>
      <c r="L17" s="26" t="str" cm="1">
        <f t="array" ref="L17">_xlfn.LET(
 _xlpm.g,_xlfn.MAXIFS(Parâmetros!G:G,Parâmetros!A:A,A17,Parâmetros!B:B,B17,Parâmetros!D:D,D17,Parâmetros!E:E,E17),
 _xlpm.j,_xlfn.MAXIFS(Parâmetros!J:J,Parâmetros!A:A,A17,Parâmetros!B:B,B17,Parâmetros!D:D,D17,Parâmetros!E:E,E17),
 _xlpm.m,_xlfn.MAXIFS(Parâmetros!M:M,Parâmetros!A:A,A17,Parâmetros!B:B,B17,Parâmetros!D:D,D17,Parâmetros!E:E,E17),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60,00%</v>
      </c>
      <c r="M17" s="28">
        <f>IF(AND(F17="Gestor",H17="MRR"),SUMIFS(M:M,A:A,A17,B:B,B17,G:G,D17),
SUMIFS(Negócios!L:L,Negócios!A:A,A17,Negócios!B:B,B17,Negócios!P:P,D17,Negócios!AG:AG,"À Vista",Negócios!Q:Q,E17))</f>
        <v>1028.9000000000001</v>
      </c>
      <c r="N17" s="10">
        <f t="shared" si="7"/>
        <v>0.13169144600765909</v>
      </c>
      <c r="O17" s="30">
        <f>SUMIFS('Acel Form Pag'!D:D,'Acel Form Pag'!A:A,A17,'Acel Form Pag'!B:B,B17,'Acel Form Pag'!C:C,E17)</f>
        <v>1.3</v>
      </c>
      <c r="P17" s="32">
        <f>IF(AND(F17="Gestor",H17="MRR"),SUMIFS(P:P,A:A,A17,B:B,B17,G:G,D17),
SUMIFS(Negócios!L:L,Negócios!A:A,A17,Negócios!B:B,B17,Negócios!P:P,D17,Negócios!AG:AG,"CC 3x",Negócios!Q:Q,E17))</f>
        <v>0</v>
      </c>
      <c r="Q17" s="10">
        <f t="shared" si="8"/>
        <v>0</v>
      </c>
      <c r="R17" s="30">
        <f>SUMIFS('Acel Form Pag'!E:E,'Acel Form Pag'!A:A,A17,'Acel Form Pag'!B:B,B17,'Acel Form Pag'!C:C,E17)</f>
        <v>1.2</v>
      </c>
      <c r="S17" s="32">
        <f>IF(AND(F17="Gestor",H17="MRR"),SUMIFS(S:S,A:A,A17,B:B,B17,G:G,D17),
SUMIFS(Negócios!L:L,Negócios!A:A,A17,Negócios!B:B,B17,Negócios!P:P,D17,Negócios!AG:AG,"CC 12x",Negócios!Q:Q,E17))</f>
        <v>2812.79</v>
      </c>
      <c r="T17" s="10">
        <f t="shared" si="9"/>
        <v>0.36001592226249718</v>
      </c>
      <c r="U17" s="30">
        <f>SUMIFS('Acel Form Pag'!F:F,'Acel Form Pag'!A:A,A17,'Acel Form Pag'!B:B,B17,'Acel Form Pag'!C:C,E17)</f>
        <v>1.1499999999999999</v>
      </c>
      <c r="V17" s="32">
        <f>IF(AND(F17="Gestor",H17="MRR"),SUMIFS(V:V,A:A,A17,B:B,B17,G:G,D17),
SUMIFS(Negócios!L:L,Negócios!A:A,A17,Negócios!B:B,B17,Negócios!P:P,D17,Negócios!AG:AG,"Recorrente",Negócios!Q:Q,E17))</f>
        <v>3971.2699999999995</v>
      </c>
      <c r="W17" s="10">
        <f t="shared" si="10"/>
        <v>0.50829263172984374</v>
      </c>
      <c r="X17" s="34">
        <f>SUMIFS('Acel Form Pag'!G:G,'Acel Form Pag'!A:A,A17,'Acel Form Pag'!B:B,B17,'Acel Form Pag'!C:C,E17)</f>
        <v>0.9</v>
      </c>
      <c r="Y17" s="24">
        <f>MAX(_xlfn.MAXIFS(Parâmetros!O:O,Parâmetros!A:A,A17,Parâmetros!B:B,B17,Parâmetros!D:D,D17,Parâmetros!M:M,"&lt;="&amp;K17),_xlfn.MAXIFS(Parâmetros!L:L,Parâmetros!A:A,A17,Parâmetros!B:B,B17,Parâmetros!D:D,D17,Parâmetros!J:J,"&lt;="&amp;K17),_xlfn.MAXIFS(Parâmetros!I:I,Parâmetros!A:A,A17,Parâmetros!B:B,B17,Parâmetros!D:D,D17))</f>
        <v>3240</v>
      </c>
      <c r="Z17" s="9">
        <f>MAX(_xlfn.MAXIFS(Parâmetros!Q:Q,Parâmetros!A:A,A17,Parâmetros!B:B,B17,Parâmetros!D:D,D17,Parâmetros!E:E,E17,Parâmetros!P:P,"&lt;="&amp;K17),
_xlfn.MAXIFS(Parâmetros!S:S,Parâmetros!A:A,A17,Parâmetros!B:B,B17,Parâmetros!D:D,D17,Parâmetros!E:E,E17,Parâmetros!R:R,"&lt;="&amp;K17),
_xlfn.MAXIFS(Parâmetros!U:U,Parâmetros!A:A,A17,Parâmetros!B:B,B17,Parâmetros!D:D,D17,Parâmetros!E:E,E17,Parâmetros!T:T,"&lt;="&amp;K17),1) * IF(K17 &gt;= SUMIFS(Parâmetros!G:G,Parâmetros!A:A,A17,Parâmetros!B:B,B17,Parâmetros!D:D,D17,Parâmetros!E:E,E17),1,0)</f>
        <v>1</v>
      </c>
      <c r="AA17" s="16">
        <f>Y17*Z17*K17</f>
        <v>2943.4872558139537</v>
      </c>
      <c r="AB17" s="16">
        <f>(AA17*N17*O17) + (AA17*Q17*R17) + (AA17*T17*U17) + (AA17*W17*X17)</f>
        <v>3069.1169372093027</v>
      </c>
      <c r="AC17" s="15">
        <f>IF(F17="Gestor",SUMIFS(AC:AC,A:A,A17,B:B,B17,G:G,D17),
IF(E17="Saving",SUMIFS(Negócios!I:I,Negócios!A:A,A17,Negócios!B:B,B17,Negócios!P:P,D17,Negócios!H:H,"Curso") + SUMIFS(Negócios!I:I,Negócios!A:A,A17,Negócios!B:B,B17,Negócios!P:P,D17,Negócios!H:H,"Serviço") + SUMIFS(Negócios!I:I,Negócios!A:A,A17,Negócios!B:B,B17,Negócios!P:P,D17,Negócios!H:H,"Implementação"),SUMIFS(Negócios!I:I,Negócios!A:A,A17,Negócios!B:B,B17,Negócios!P:P,D17,Negócios!H:H,"Implementação")))</f>
        <v>0</v>
      </c>
      <c r="AD17" s="16">
        <f>SUMIFS(Parâmetros!W:W,Parâmetros!A:A,A17,Parâmetros!B:B,B17,Parâmetros!D:D,D17) * AC17 * IF(K17 &gt;= SUMIFS(Parâmetros!V:V,Parâmetros!A:A,A17,Parâmetros!B:B,B17,Parâmetros!D:D,D17),1,0)</f>
        <v>0</v>
      </c>
      <c r="AE17" s="15">
        <f>SUMIFS('Recuperação de Canc e Divs'!D:D,'Recuperação de Canc e Divs'!A:A,A17,'Recuperação de Canc e Divs'!B:B,B17,'Recuperação de Canc e Divs'!C:C,D17)</f>
        <v>0</v>
      </c>
      <c r="AF17" s="16">
        <f>IF(K17&gt;=SUMIFS(Parâmetros!J:J,Parâmetros!A:A,A17,Parâmetros!B:B,B17,Parâmetros!D:D,D17),AE17*0.025,0)</f>
        <v>0</v>
      </c>
      <c r="AG17" s="15" t="str">
        <f t="shared" si="0"/>
        <v/>
      </c>
      <c r="AH17" s="16" t="str">
        <f t="shared" si="1"/>
        <v/>
      </c>
      <c r="AI17" s="90">
        <f t="shared" si="2"/>
        <v>0</v>
      </c>
      <c r="AJ17" s="16" t="str">
        <f t="shared" si="3"/>
        <v/>
      </c>
      <c r="AK17" s="16" t="str">
        <f t="shared" si="4"/>
        <v/>
      </c>
      <c r="AL17" s="90">
        <f t="shared" si="5"/>
        <v>0</v>
      </c>
      <c r="AM17" s="93" t="str">
        <f>IF(AND(OR(B17=3,B17=6,B17=9,B17=12),AI17&gt;=1),
IF(F17="Gestor",AI17*0.6,AI17*0.3),"")</f>
        <v/>
      </c>
      <c r="AN17" s="94" t="str">
        <f>IF(OR(B17=3,B17=6,B17=9,B17=12),
IF(AND(AK17&gt;=1,AI17&gt;=SUMIFS(Parâmetros!G:G,Parâmetros!A:A,Comissões!A17,Parâmetros!B:B,Comissões!B17,Parâmetros!D:D,Comissões!D17,Parâmetros!E:E,Comissões!E17)),AI17*0.3,""),"")</f>
        <v/>
      </c>
    </row>
    <row r="18" spans="1:40" hidden="1">
      <c r="A18" s="7">
        <v>2026</v>
      </c>
      <c r="B18" s="7">
        <v>1</v>
      </c>
      <c r="C18" s="7" t="str">
        <v>Eliane Guinther</v>
      </c>
      <c r="D18" s="7" t="str">
        <v>eliane.guinther@altoqi.com.br</v>
      </c>
      <c r="E18" s="7" t="str">
        <v>FSB</v>
      </c>
      <c r="F18" s="7" t="str">
        <v>Consultor</v>
      </c>
      <c r="G18" s="7" t="str">
        <v>sonia.zielinski@altoqi.com.br</v>
      </c>
      <c r="H18" s="7" t="str">
        <v>MRR</v>
      </c>
      <c r="I18" s="15">
        <f>IF(AND(F18="Consultor",H18="MRR"),SUMIFS(Negócios!L:L,Negócios!A:A,A18,Negócios!B:B,B18,Negócios!P:P,D18),
IF(AND(F18="Consultor",H18="Opps"),SUMIFS('Realizado GD'!D:D,'Realizado GD'!A:A,A18,'Realizado GD'!B:B,B18,'Realizado GD'!C:C,D18),
IF(AND(F18="Gestor",H18="MRR"),SUMIFS(I:I,A:A,A18,B:B,B18,G:G,D18))))</f>
        <v>11741.060000000003</v>
      </c>
      <c r="J18" s="16">
        <f>SUMIFS(Metas!K:K,Metas!A:A,A18,Metas!B:B,B18,Metas!D:D,D18,Metas!H:H,H18)</f>
        <v>8600</v>
      </c>
      <c r="K18" s="10">
        <f t="shared" si="6"/>
        <v>1.3652395348837212</v>
      </c>
      <c r="L18" s="26" t="str" cm="1">
        <f t="array" ref="L18">_xlfn.LET(
 _xlpm.g,_xlfn.MAXIFS(Parâmetros!G:G,Parâmetros!A:A,A18,Parâmetros!B:B,B18,Parâmetros!D:D,D18,Parâmetros!E:E,E18),
 _xlpm.j,_xlfn.MAXIFS(Parâmetros!J:J,Parâmetros!A:A,A18,Parâmetros!B:B,B18,Parâmetros!D:D,D18,Parâmetros!E:E,E18),
 _xlpm.m,_xlfn.MAXIFS(Parâmetros!M:M,Parâmetros!A:A,A18,Parâmetros!B:B,B18,Parâmetros!D:D,D18,Parâmetros!E:E,E18),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60,00%</v>
      </c>
      <c r="M18" s="28">
        <f>IF(AND(F18="Gestor",H18="MRR"),SUMIFS(M:M,A:A,A18,B:B,B18,G:G,D18),
SUMIFS(Negócios!L:L,Negócios!A:A,A18,Negócios!B:B,B18,Negócios!P:P,D18,Negócios!AG:AG,"À Vista",Negócios!Q:Q,E18))</f>
        <v>571.18000000000006</v>
      </c>
      <c r="N18" s="10">
        <f t="shared" si="7"/>
        <v>4.8648077771512956E-2</v>
      </c>
      <c r="O18" s="30">
        <f>SUMIFS('Acel Form Pag'!D:D,'Acel Form Pag'!A:A,A18,'Acel Form Pag'!B:B,B18,'Acel Form Pag'!C:C,E18)</f>
        <v>1.3</v>
      </c>
      <c r="P18" s="32">
        <f>IF(AND(F18="Gestor",H18="MRR"),SUMIFS(P:P,A:A,A18,B:B,B18,G:G,D18),
SUMIFS(Negócios!L:L,Negócios!A:A,A18,Negócios!B:B,B18,Negócios!P:P,D18,Negócios!AG:AG,"CC 3x",Negócios!Q:Q,E18))</f>
        <v>0</v>
      </c>
      <c r="Q18" s="10">
        <f t="shared" si="8"/>
        <v>0</v>
      </c>
      <c r="R18" s="30">
        <f>SUMIFS('Acel Form Pag'!E:E,'Acel Form Pag'!A:A,A18,'Acel Form Pag'!B:B,B18,'Acel Form Pag'!C:C,E18)</f>
        <v>1.2</v>
      </c>
      <c r="S18" s="32">
        <f>IF(AND(F18="Gestor",H18="MRR"),SUMIFS(S:S,A:A,A18,B:B,B18,G:G,D18),
SUMIFS(Negócios!L:L,Negócios!A:A,A18,Negócios!B:B,B18,Negócios!P:P,D18,Negócios!AG:AG,"CC 12x",Negócios!Q:Q,E18))</f>
        <v>5581.880000000001</v>
      </c>
      <c r="T18" s="10">
        <f t="shared" si="9"/>
        <v>0.47541533728641194</v>
      </c>
      <c r="U18" s="30">
        <f>SUMIFS('Acel Form Pag'!F:F,'Acel Form Pag'!A:A,A18,'Acel Form Pag'!B:B,B18,'Acel Form Pag'!C:C,E18)</f>
        <v>1.1499999999999999</v>
      </c>
      <c r="V18" s="32">
        <f>IF(AND(F18="Gestor",H18="MRR"),SUMIFS(V:V,A:A,A18,B:B,B18,G:G,D18),
SUMIFS(Negócios!L:L,Negócios!A:A,A18,Negócios!B:B,B18,Negócios!P:P,D18,Negócios!AG:AG,"Recorrente",Negócios!Q:Q,E18))</f>
        <v>5588</v>
      </c>
      <c r="W18" s="10">
        <f t="shared" si="10"/>
        <v>0.47593658494207497</v>
      </c>
      <c r="X18" s="34">
        <f>SUMIFS('Acel Form Pag'!G:G,'Acel Form Pag'!A:A,A18,'Acel Form Pag'!B:B,B18,'Acel Form Pag'!C:C,E18)</f>
        <v>0.9</v>
      </c>
      <c r="Y18" s="24">
        <f>MAX(_xlfn.MAXIFS(Parâmetros!O:O,Parâmetros!A:A,A18,Parâmetros!B:B,B18,Parâmetros!D:D,D18,Parâmetros!M:M,"&lt;="&amp;K18),_xlfn.MAXIFS(Parâmetros!L:L,Parâmetros!A:A,A18,Parâmetros!B:B,B18,Parâmetros!D:D,D18,Parâmetros!J:J,"&lt;="&amp;K18),_xlfn.MAXIFS(Parâmetros!I:I,Parâmetros!A:A,A18,Parâmetros!B:B,B18,Parâmetros!D:D,D18))</f>
        <v>3240</v>
      </c>
      <c r="Z18" s="9">
        <f>MAX(_xlfn.MAXIFS(Parâmetros!Q:Q,Parâmetros!A:A,A18,Parâmetros!B:B,B18,Parâmetros!D:D,D18,Parâmetros!E:E,E18,Parâmetros!P:P,"&lt;="&amp;K18),
_xlfn.MAXIFS(Parâmetros!S:S,Parâmetros!A:A,A18,Parâmetros!B:B,B18,Parâmetros!D:D,D18,Parâmetros!E:E,E18,Parâmetros!R:R,"&lt;="&amp;K18),
_xlfn.MAXIFS(Parâmetros!U:U,Parâmetros!A:A,A18,Parâmetros!B:B,B18,Parâmetros!D:D,D18,Parâmetros!E:E,E18,Parâmetros!T:T,"&lt;="&amp;K18),1) * IF(K18 &gt;= SUMIFS(Parâmetros!G:G,Parâmetros!A:A,A18,Parâmetros!B:B,B18,Parâmetros!D:D,D18,Parâmetros!E:E,E18),1,0)</f>
        <v>1.25</v>
      </c>
      <c r="AA18" s="16">
        <f>Y18*Z18*K18</f>
        <v>5529.2201162790707</v>
      </c>
      <c r="AB18" s="16">
        <f>(AA18*N18*O18) + (AA18*Q18*R18) + (AA18*T18*U18) + (AA18*W18*X18)</f>
        <v>5741.0614883720937</v>
      </c>
      <c r="AC18" s="15">
        <f>IF(F18="Gestor",SUMIFS(AC:AC,A:A,A18,B:B,B18,G:G,D18),
IF(E18="Saving",SUMIFS(Negócios!I:I,Negócios!A:A,A18,Negócios!B:B,B18,Negócios!P:P,D18,Negócios!H:H,"Curso") + SUMIFS(Negócios!I:I,Negócios!A:A,A18,Negócios!B:B,B18,Negócios!P:P,D18,Negócios!H:H,"Serviço") + SUMIFS(Negócios!I:I,Negócios!A:A,A18,Negócios!B:B,B18,Negócios!P:P,D18,Negócios!H:H,"Implementação"),SUMIFS(Negócios!I:I,Negócios!A:A,A18,Negócios!B:B,B18,Negócios!P:P,D18,Negócios!H:H,"Implementação")))</f>
        <v>0</v>
      </c>
      <c r="AD18" s="16">
        <f>SUMIFS(Parâmetros!W:W,Parâmetros!A:A,A18,Parâmetros!B:B,B18,Parâmetros!D:D,D18) * AC18 * IF(K18 &gt;= SUMIFS(Parâmetros!V:V,Parâmetros!A:A,A18,Parâmetros!B:B,B18,Parâmetros!D:D,D18),1,0)</f>
        <v>0</v>
      </c>
      <c r="AE18" s="15">
        <f>SUMIFS('Recuperação de Canc e Divs'!D:D,'Recuperação de Canc e Divs'!A:A,A18,'Recuperação de Canc e Divs'!B:B,B18,'Recuperação de Canc e Divs'!C:C,D18)</f>
        <v>0</v>
      </c>
      <c r="AF18" s="16">
        <f>IF(K18&gt;=SUMIFS(Parâmetros!J:J,Parâmetros!A:A,A18,Parâmetros!B:B,B18,Parâmetros!D:D,D18),AE18*0.025,0)</f>
        <v>0</v>
      </c>
      <c r="AG18" s="15" t="str">
        <f t="shared" si="0"/>
        <v/>
      </c>
      <c r="AH18" s="16" t="str">
        <f t="shared" si="1"/>
        <v/>
      </c>
      <c r="AI18" s="90">
        <f t="shared" si="2"/>
        <v>0</v>
      </c>
      <c r="AJ18" s="16" t="str">
        <f t="shared" si="3"/>
        <v/>
      </c>
      <c r="AK18" s="16" t="str">
        <f t="shared" si="4"/>
        <v/>
      </c>
      <c r="AL18" s="90">
        <f t="shared" si="5"/>
        <v>0</v>
      </c>
      <c r="AM18" s="93" t="str">
        <f>IF(AND(OR(B18=3,B18=6,B18=9,B18=12),AI18&gt;=1),
IF(F18="Gestor",AI18*0.6,AI18*0.3),"")</f>
        <v/>
      </c>
      <c r="AN18" s="94" t="str">
        <f>IF(OR(B18=3,B18=6,B18=9,B18=12),
IF(AND(AK18&gt;=1,AI18&gt;=SUMIFS(Parâmetros!G:G,Parâmetros!A:A,Comissões!A18,Parâmetros!B:B,Comissões!B18,Parâmetros!D:D,Comissões!D18,Parâmetros!E:E,Comissões!E18)),AI18*0.3,""),"")</f>
        <v/>
      </c>
    </row>
    <row r="19" spans="1:40" hidden="1">
      <c r="A19" s="7">
        <v>2026</v>
      </c>
      <c r="B19" s="7">
        <v>1</v>
      </c>
      <c r="C19" s="7" t="str">
        <v>Renata Scheffer</v>
      </c>
      <c r="D19" s="7" t="str">
        <v>renata.scheffer@altoqi.com.br</v>
      </c>
      <c r="E19" s="7" t="str">
        <v>FSB</v>
      </c>
      <c r="F19" s="7" t="str">
        <v>Consultor</v>
      </c>
      <c r="G19" s="7" t="str">
        <v>sonia.zielinski@altoqi.com.br</v>
      </c>
      <c r="H19" s="7" t="str">
        <v>MRR</v>
      </c>
      <c r="I19" s="15">
        <f>IF(AND(F19="Consultor",H19="MRR"),SUMIFS(Negócios!L:L,Negócios!A:A,A19,Negócios!B:B,B19,Negócios!P:P,D19),
IF(AND(F19="Consultor",H19="Opps"),SUMIFS('Realizado GD'!D:D,'Realizado GD'!A:A,A19,'Realizado GD'!B:B,B19,'Realizado GD'!C:C,D19),
IF(AND(F19="Gestor",H19="MRR"),SUMIFS(I:I,A:A,A19,B:B,B19,G:G,D19))))</f>
        <v>1386.1100000000001</v>
      </c>
      <c r="J19" s="16">
        <f>SUMIFS(Metas!K:K,Metas!A:A,A19,Metas!B:B,B19,Metas!D:D,D19,Metas!H:H,H19)</f>
        <v>1386.1100000000001</v>
      </c>
      <c r="K19" s="10">
        <f t="shared" si="6"/>
        <v>1</v>
      </c>
      <c r="L19" s="26" t="str" cm="1">
        <f t="array" ref="L19">_xlfn.LET(
 _xlpm.g,_xlfn.MAXIFS(Parâmetros!G:G,Parâmetros!A:A,A19,Parâmetros!B:B,B19,Parâmetros!D:D,D19,Parâmetros!E:E,E19),
 _xlpm.j,_xlfn.MAXIFS(Parâmetros!J:J,Parâmetros!A:A,A19,Parâmetros!B:B,B19,Parâmetros!D:D,D19,Parâmetros!E:E,E19),
 _xlpm.m,_xlfn.MAXIFS(Parâmetros!M:M,Parâmetros!A:A,A19,Parâmetros!B:B,B19,Parâmetros!D:D,D19,Parâmetros!E:E,E19),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60,00%</v>
      </c>
      <c r="M19" s="28">
        <f>IF(AND(F19="Gestor",H19="MRR"),SUMIFS(M:M,A:A,A19,B:B,B19,G:G,D19),
SUMIFS(Negócios!L:L,Negócios!A:A,A19,Negócios!B:B,B19,Negócios!P:P,D19,Negócios!AG:AG,"À Vista",Negócios!Q:Q,E19))</f>
        <v>200.01</v>
      </c>
      <c r="N19" s="10">
        <f t="shared" si="7"/>
        <v>0.14429590725122823</v>
      </c>
      <c r="O19" s="30">
        <f>SUMIFS('Acel Form Pag'!D:D,'Acel Form Pag'!A:A,A19,'Acel Form Pag'!B:B,B19,'Acel Form Pag'!C:C,E19)</f>
        <v>1.3</v>
      </c>
      <c r="P19" s="32">
        <f>IF(AND(F19="Gestor",H19="MRR"),SUMIFS(P:P,A:A,A19,B:B,B19,G:G,D19),
SUMIFS(Negócios!L:L,Negócios!A:A,A19,Negócios!B:B,B19,Negócios!P:P,D19,Negócios!AG:AG,"CC 3x",Negócios!Q:Q,E19))</f>
        <v>0</v>
      </c>
      <c r="Q19" s="10">
        <f t="shared" si="8"/>
        <v>0</v>
      </c>
      <c r="R19" s="30">
        <f>SUMIFS('Acel Form Pag'!E:E,'Acel Form Pag'!A:A,A19,'Acel Form Pag'!B:B,B19,'Acel Form Pag'!C:C,E19)</f>
        <v>1.2</v>
      </c>
      <c r="S19" s="32">
        <f>IF(AND(F19="Gestor",H19="MRR"),SUMIFS(S:S,A:A,A19,B:B,B19,G:G,D19),
SUMIFS(Negócios!L:L,Negócios!A:A,A19,Negócios!B:B,B19,Negócios!P:P,D19,Negócios!AG:AG,"CC 12x",Negócios!Q:Q,E19))</f>
        <v>0</v>
      </c>
      <c r="T19" s="10">
        <f t="shared" si="9"/>
        <v>0</v>
      </c>
      <c r="U19" s="30">
        <f>SUMIFS('Acel Form Pag'!F:F,'Acel Form Pag'!A:A,A19,'Acel Form Pag'!B:B,B19,'Acel Form Pag'!C:C,E19)</f>
        <v>1.1499999999999999</v>
      </c>
      <c r="V19" s="32">
        <f>IF(AND(F19="Gestor",H19="MRR"),SUMIFS(V:V,A:A,A19,B:B,B19,G:G,D19),
SUMIFS(Negócios!L:L,Negócios!A:A,A19,Negócios!B:B,B19,Negócios!P:P,D19,Negócios!AG:AG,"Recorrente",Negócios!Q:Q,E19))</f>
        <v>1186.0999999999999</v>
      </c>
      <c r="W19" s="10">
        <f t="shared" si="10"/>
        <v>0.85570409274877157</v>
      </c>
      <c r="X19" s="34">
        <f>SUMIFS('Acel Form Pag'!G:G,'Acel Form Pag'!A:A,A19,'Acel Form Pag'!B:B,B19,'Acel Form Pag'!C:C,E19)</f>
        <v>0.9</v>
      </c>
      <c r="Y19" s="24">
        <f>MAX(_xlfn.MAXIFS(Parâmetros!O:O,Parâmetros!A:A,A19,Parâmetros!B:B,B19,Parâmetros!D:D,D19,Parâmetros!M:M,"&lt;="&amp;K19),_xlfn.MAXIFS(Parâmetros!L:L,Parâmetros!A:A,A19,Parâmetros!B:B,B19,Parâmetros!D:D,D19,Parâmetros!J:J,"&lt;="&amp;K19),_xlfn.MAXIFS(Parâmetros!I:I,Parâmetros!A:A,A19,Parâmetros!B:B,B19,Parâmetros!D:D,D19))</f>
        <v>2073.6</v>
      </c>
      <c r="Z19" s="9">
        <f>MAX(_xlfn.MAXIFS(Parâmetros!Q:Q,Parâmetros!A:A,A19,Parâmetros!B:B,B19,Parâmetros!D:D,D19,Parâmetros!E:E,E19,Parâmetros!P:P,"&lt;="&amp;K19),
_xlfn.MAXIFS(Parâmetros!S:S,Parâmetros!A:A,A19,Parâmetros!B:B,B19,Parâmetros!D:D,D19,Parâmetros!E:E,E19,Parâmetros!R:R,"&lt;="&amp;K19),
_xlfn.MAXIFS(Parâmetros!U:U,Parâmetros!A:A,A19,Parâmetros!B:B,B19,Parâmetros!D:D,D19,Parâmetros!E:E,E19,Parâmetros!T:T,"&lt;="&amp;K19),1) * IF(K19 &gt;= SUMIFS(Parâmetros!G:G,Parâmetros!A:A,A19,Parâmetros!B:B,B19,Parâmetros!D:D,D19,Parâmetros!E:E,E19),1,0)</f>
        <v>1.1499999999999999</v>
      </c>
      <c r="AA19" s="16">
        <f>Y19*Z19*K19</f>
        <v>2384.64</v>
      </c>
      <c r="AB19" s="16">
        <f>(AA19*N19*O19) + (AA19*Q19*R19) + (AA19*T19*U19) + (AA19*W19*X19)</f>
        <v>2283.813516907027</v>
      </c>
      <c r="AC19" s="15">
        <f>IF(F19="Gestor",SUMIFS(AC:AC,A:A,A19,B:B,B19,G:G,D19),
IF(E19="Saving",SUMIFS(Negócios!I:I,Negócios!A:A,A19,Negócios!B:B,B19,Negócios!P:P,D19,Negócios!H:H,"Curso") + SUMIFS(Negócios!I:I,Negócios!A:A,A19,Negócios!B:B,B19,Negócios!P:P,D19,Negócios!H:H,"Serviço") + SUMIFS(Negócios!I:I,Negócios!A:A,A19,Negócios!B:B,B19,Negócios!P:P,D19,Negócios!H:H,"Implementação"),SUMIFS(Negócios!I:I,Negócios!A:A,A19,Negócios!B:B,B19,Negócios!P:P,D19,Negócios!H:H,"Implementação")))</f>
        <v>0</v>
      </c>
      <c r="AD19" s="16">
        <f>SUMIFS(Parâmetros!W:W,Parâmetros!A:A,A19,Parâmetros!B:B,B19,Parâmetros!D:D,D19) * AC19 * IF(K19 &gt;= SUMIFS(Parâmetros!V:V,Parâmetros!A:A,A19,Parâmetros!B:B,B19,Parâmetros!D:D,D19),1,0)</f>
        <v>0</v>
      </c>
      <c r="AE19" s="15">
        <f>SUMIFS('Recuperação de Canc e Divs'!D:D,'Recuperação de Canc e Divs'!A:A,A19,'Recuperação de Canc e Divs'!B:B,B19,'Recuperação de Canc e Divs'!C:C,D19)</f>
        <v>0</v>
      </c>
      <c r="AF19" s="16">
        <f>IF(K19&gt;=SUMIFS(Parâmetros!J:J,Parâmetros!A:A,A19,Parâmetros!B:B,B19,Parâmetros!D:D,D19),AE19*0.025,0)</f>
        <v>0</v>
      </c>
      <c r="AG19" s="15" t="str">
        <f t="shared" si="0"/>
        <v/>
      </c>
      <c r="AH19" s="16" t="str">
        <f t="shared" si="1"/>
        <v/>
      </c>
      <c r="AI19" s="90">
        <f t="shared" si="2"/>
        <v>0</v>
      </c>
      <c r="AJ19" s="16" t="str">
        <f t="shared" si="3"/>
        <v/>
      </c>
      <c r="AK19" s="16" t="str">
        <f t="shared" si="4"/>
        <v/>
      </c>
      <c r="AL19" s="90">
        <f t="shared" si="5"/>
        <v>0</v>
      </c>
      <c r="AM19" s="93" t="str">
        <f>IF(AND(OR(B19=3,B19=6,B19=9,B19=12),AI19&gt;=1),
IF(F19="Gestor",AI19*0.6,AI19*0.3),"")</f>
        <v/>
      </c>
      <c r="AN19" s="94" t="str">
        <f>IF(OR(B19=3,B19=6,B19=9,B19=12),
IF(AND(AK19&gt;=1,AI19&gt;=SUMIFS(Parâmetros!G:G,Parâmetros!A:A,Comissões!A19,Parâmetros!B:B,Comissões!B19,Parâmetros!D:D,Comissões!D19,Parâmetros!E:E,Comissões!E19)),AI19*0.3,""),"")</f>
        <v/>
      </c>
    </row>
    <row r="20" spans="1:40" hidden="1">
      <c r="A20" s="7">
        <v>2026</v>
      </c>
      <c r="B20" s="7">
        <v>1</v>
      </c>
      <c r="C20" s="7" t="str">
        <v>Susana Alves Becker</v>
      </c>
      <c r="D20" s="7" t="str">
        <v>susana.becker@altoqi.com.br</v>
      </c>
      <c r="E20" s="7" t="str">
        <v>FSB</v>
      </c>
      <c r="F20" s="7" t="str">
        <v>Consultor</v>
      </c>
      <c r="G20" s="7" t="str">
        <v>sonia.zielinski@altoqi.com.br</v>
      </c>
      <c r="H20" s="7" t="str">
        <v>MRR</v>
      </c>
      <c r="I20" s="15">
        <f>IF(AND(F20="Consultor",H20="MRR"),SUMIFS(Negócios!L:L,Negócios!A:A,A20,Negócios!B:B,B20,Negócios!P:P,D20),
IF(AND(F20="Consultor",H20="Opps"),SUMIFS('Realizado GD'!D:D,'Realizado GD'!A:A,A20,'Realizado GD'!B:B,B20,'Realizado GD'!C:C,D20),
IF(AND(F20="Gestor",H20="MRR"),SUMIFS(I:I,A:A,A20,B:B,B20,G:G,D20))))</f>
        <v>12435.73</v>
      </c>
      <c r="J20" s="16">
        <f>SUMIFS(Metas!K:K,Metas!A:A,A20,Metas!B:B,B20,Metas!D:D,D20,Metas!H:H,H20)</f>
        <v>9300</v>
      </c>
      <c r="K20" s="10">
        <f t="shared" si="6"/>
        <v>1.3371752688172043</v>
      </c>
      <c r="L20" s="26" t="str" cm="1">
        <f t="array" ref="L20">_xlfn.LET(
 _xlpm.g,_xlfn.MAXIFS(Parâmetros!G:G,Parâmetros!A:A,A20,Parâmetros!B:B,B20,Parâmetros!D:D,D20,Parâmetros!E:E,E20),
 _xlpm.j,_xlfn.MAXIFS(Parâmetros!J:J,Parâmetros!A:A,A20,Parâmetros!B:B,B20,Parâmetros!D:D,D20,Parâmetros!E:E,E20),
 _xlpm.m,_xlfn.MAXIFS(Parâmetros!M:M,Parâmetros!A:A,A20,Parâmetros!B:B,B20,Parâmetros!D:D,D20,Parâmetros!E:E,E20),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60,00%</v>
      </c>
      <c r="M20" s="28">
        <f>IF(AND(F20="Gestor",H20="MRR"),SUMIFS(M:M,A:A,A20,B:B,B20,G:G,D20),
SUMIFS(Negócios!L:L,Negócios!A:A,A20,Negócios!B:B,B20,Negócios!P:P,D20,Negócios!AG:AG,"À Vista",Negócios!Q:Q,E20))</f>
        <v>2191.3599999999997</v>
      </c>
      <c r="N20" s="10">
        <f t="shared" si="7"/>
        <v>0.17621482615013351</v>
      </c>
      <c r="O20" s="30">
        <f>SUMIFS('Acel Form Pag'!D:D,'Acel Form Pag'!A:A,A20,'Acel Form Pag'!B:B,B20,'Acel Form Pag'!C:C,E20)</f>
        <v>1.3</v>
      </c>
      <c r="P20" s="32">
        <f>IF(AND(F20="Gestor",H20="MRR"),SUMIFS(P:P,A:A,A20,B:B,B20,G:G,D20),
SUMIFS(Negócios!L:L,Negócios!A:A,A20,Negócios!B:B,B20,Negócios!P:P,D20,Negócios!AG:AG,"CC 3x",Negócios!Q:Q,E20))</f>
        <v>0</v>
      </c>
      <c r="Q20" s="10">
        <f t="shared" si="8"/>
        <v>0</v>
      </c>
      <c r="R20" s="30">
        <f>SUMIFS('Acel Form Pag'!E:E,'Acel Form Pag'!A:A,A20,'Acel Form Pag'!B:B,B20,'Acel Form Pag'!C:C,E20)</f>
        <v>1.2</v>
      </c>
      <c r="S20" s="32">
        <f>IF(AND(F20="Gestor",H20="MRR"),SUMIFS(S:S,A:A,A20,B:B,B20,G:G,D20),
SUMIFS(Negócios!L:L,Negócios!A:A,A20,Negócios!B:B,B20,Negócios!P:P,D20,Negócios!AG:AG,"CC 12x",Negócios!Q:Q,E20))</f>
        <v>3571.88</v>
      </c>
      <c r="T20" s="10">
        <f t="shared" si="9"/>
        <v>0.28722720740961732</v>
      </c>
      <c r="U20" s="30">
        <f>SUMIFS('Acel Form Pag'!F:F,'Acel Form Pag'!A:A,A20,'Acel Form Pag'!B:B,B20,'Acel Form Pag'!C:C,E20)</f>
        <v>1.1499999999999999</v>
      </c>
      <c r="V20" s="32">
        <f>IF(AND(F20="Gestor",H20="MRR"),SUMIFS(V:V,A:A,A20,B:B,B20,G:G,D20),
SUMIFS(Negócios!L:L,Negócios!A:A,A20,Negócios!B:B,B20,Negócios!P:P,D20,Negócios!AG:AG,"Recorrente",Negócios!Q:Q,E20))</f>
        <v>6275.17</v>
      </c>
      <c r="W20" s="10">
        <f t="shared" si="10"/>
        <v>0.50460809297081877</v>
      </c>
      <c r="X20" s="34">
        <f>SUMIFS('Acel Form Pag'!G:G,'Acel Form Pag'!A:A,A20,'Acel Form Pag'!B:B,B20,'Acel Form Pag'!C:C,E20)</f>
        <v>0.9</v>
      </c>
      <c r="Y20" s="24">
        <f>MAX(_xlfn.MAXIFS(Parâmetros!O:O,Parâmetros!A:A,A20,Parâmetros!B:B,B20,Parâmetros!D:D,D20,Parâmetros!M:M,"&lt;="&amp;K20),_xlfn.MAXIFS(Parâmetros!L:L,Parâmetros!A:A,A20,Parâmetros!B:B,B20,Parâmetros!D:D,D20,Parâmetros!J:J,"&lt;="&amp;K20),_xlfn.MAXIFS(Parâmetros!I:I,Parâmetros!A:A,A20,Parâmetros!B:B,B20,Parâmetros!D:D,D20))</f>
        <v>3960</v>
      </c>
      <c r="Z20" s="9">
        <f>MAX(_xlfn.MAXIFS(Parâmetros!Q:Q,Parâmetros!A:A,A20,Parâmetros!B:B,B20,Parâmetros!D:D,D20,Parâmetros!E:E,E20,Parâmetros!P:P,"&lt;="&amp;K20),
_xlfn.MAXIFS(Parâmetros!S:S,Parâmetros!A:A,A20,Parâmetros!B:B,B20,Parâmetros!D:D,D20,Parâmetros!E:E,E20,Parâmetros!R:R,"&lt;="&amp;K20),
_xlfn.MAXIFS(Parâmetros!U:U,Parâmetros!A:A,A20,Parâmetros!B:B,B20,Parâmetros!D:D,D20,Parâmetros!E:E,E20,Parâmetros!T:T,"&lt;="&amp;K20),1) * IF(K20 &gt;= SUMIFS(Parâmetros!G:G,Parâmetros!A:A,A20,Parâmetros!B:B,B20,Parâmetros!D:D,D20,Parâmetros!E:E,E20),1,0)</f>
        <v>1.25</v>
      </c>
      <c r="AA20" s="16">
        <f>Y20*Z20*K20</f>
        <v>6619.0175806451616</v>
      </c>
      <c r="AB20" s="16">
        <f>(AA20*N20*O20) + (AA20*Q20*R20) + (AA20*T20*U20) + (AA20*W20*X20)</f>
        <v>6708.6248225806457</v>
      </c>
      <c r="AC20" s="15">
        <f>IF(F20="Gestor",SUMIFS(AC:AC,A:A,A20,B:B,B20,G:G,D20),
IF(E20="Saving",SUMIFS(Negócios!I:I,Negócios!A:A,A20,Negócios!B:B,B20,Negócios!P:P,D20,Negócios!H:H,"Curso") + SUMIFS(Negócios!I:I,Negócios!A:A,A20,Negócios!B:B,B20,Negócios!P:P,D20,Negócios!H:H,"Serviço") + SUMIFS(Negócios!I:I,Negócios!A:A,A20,Negócios!B:B,B20,Negócios!P:P,D20,Negócios!H:H,"Implementação"),SUMIFS(Negócios!I:I,Negócios!A:A,A20,Negócios!B:B,B20,Negócios!P:P,D20,Negócios!H:H,"Implementação")))</f>
        <v>0</v>
      </c>
      <c r="AD20" s="16">
        <f>SUMIFS(Parâmetros!W:W,Parâmetros!A:A,A20,Parâmetros!B:B,B20,Parâmetros!D:D,D20) * AC20 * IF(K20 &gt;= SUMIFS(Parâmetros!V:V,Parâmetros!A:A,A20,Parâmetros!B:B,B20,Parâmetros!D:D,D20),1,0)</f>
        <v>0</v>
      </c>
      <c r="AE20" s="15">
        <f>SUMIFS('Recuperação de Canc e Divs'!D:D,'Recuperação de Canc e Divs'!A:A,A20,'Recuperação de Canc e Divs'!B:B,B20,'Recuperação de Canc e Divs'!C:C,D20)</f>
        <v>0</v>
      </c>
      <c r="AF20" s="16">
        <f>IF(K20&gt;=SUMIFS(Parâmetros!J:J,Parâmetros!A:A,A20,Parâmetros!B:B,B20,Parâmetros!D:D,D20),AE20*0.025,0)</f>
        <v>0</v>
      </c>
      <c r="AG20" s="15" t="str">
        <f t="shared" si="0"/>
        <v/>
      </c>
      <c r="AH20" s="16" t="str">
        <f t="shared" si="1"/>
        <v/>
      </c>
      <c r="AI20" s="90">
        <f t="shared" si="2"/>
        <v>0</v>
      </c>
      <c r="AJ20" s="16" t="str">
        <f t="shared" si="3"/>
        <v/>
      </c>
      <c r="AK20" s="16" t="str">
        <f>IF(F20="Gestor","",
IF(OR(B20=3,B20=6,B20=9,B20=12),
SUMIFS(J:J,$A:$A,$A20,$B:$B,"&gt;="&amp;(B20-2),$B:$B,"&lt;="&amp;B20,$E:$E,$E20,$F:$F,"&lt;&gt;Gestor"),
""))</f>
        <v/>
      </c>
      <c r="AL20" s="90">
        <f t="shared" si="5"/>
        <v>0</v>
      </c>
      <c r="AM20" s="93" t="str">
        <f>IF(AND(OR(B20=3,B20=6,B20=9,B20=12),AI20&gt;=1),
IF(F20="Gestor",AI20*0.6,AI20*0.3),"")</f>
        <v/>
      </c>
      <c r="AN20" s="94" t="str">
        <f>IF(OR(B20=3,B20=6,B20=9,B20=12),
IF(AND(AK20&gt;=1,AI20&gt;=SUMIFS(Parâmetros!G:G,Parâmetros!A:A,Comissões!A20,Parâmetros!B:B,Comissões!B20,Parâmetros!D:D,Comissões!D20,Parâmetros!E:E,Comissões!E20)),AI20*0.3,""),"")</f>
        <v/>
      </c>
    </row>
    <row r="21" spans="1:40" hidden="1">
      <c r="A21" s="7">
        <v>2026</v>
      </c>
      <c r="B21" s="7">
        <v>1</v>
      </c>
      <c r="C21" s="7" t="str">
        <v>Beatriz Nau</v>
      </c>
      <c r="D21" s="7" t="str">
        <v>beatriz@altoqi.com.br</v>
      </c>
      <c r="E21" s="7" t="str">
        <v>Saving</v>
      </c>
      <c r="F21" s="7" t="str">
        <v>Gestor</v>
      </c>
      <c r="G21" s="7">
        <v>0</v>
      </c>
      <c r="H21" s="7" t="str">
        <v>MRR</v>
      </c>
      <c r="I21" s="15">
        <f>IF(AND(F21="Consultor",H21="MRR"),SUMIFS(Negócios!L:L,Negócios!A:A,A21,Negócios!B:B,B21,Negócios!P:P,D21),
IF(AND(F21="Consultor",H21="Opps"),SUMIFS('Realizado GD'!D:D,'Realizado GD'!A:A,A21,'Realizado GD'!B:B,B21,'Realizado GD'!C:C,D21),
IF(AND(F21="Gestor",H21="MRR"),SUMIFS(I:I,A:A,A21,B:B,B21,G:G,D21))))</f>
        <v>111153</v>
      </c>
      <c r="J21" s="16">
        <f>SUMIFS(Metas!K:K,Metas!A:A,A21,Metas!B:B,B21,Metas!D:D,D21,Metas!H:H,H21)</f>
        <v>92366.1</v>
      </c>
      <c r="K21" s="10">
        <f t="shared" si="6"/>
        <v>1.2033960511486357</v>
      </c>
      <c r="L21" s="26" t="str" cm="1">
        <f t="array" ref="L21">_xlfn.LET(
 _xlpm.g,_xlfn.MAXIFS(Parâmetros!G:G,Parâmetros!A:A,A21,Parâmetros!B:B,B21,Parâmetros!D:D,D21,Parâmetros!E:E,E21),
 _xlpm.j,_xlfn.MAXIFS(Parâmetros!J:J,Parâmetros!A:A,A21,Parâmetros!B:B,B21,Parâmetros!D:D,D21,Parâmetros!E:E,E21),
 _xlpm.m,_xlfn.MAXIFS(Parâmetros!M:M,Parâmetros!A:A,A21,Parâmetros!B:B,B21,Parâmetros!D:D,D21,Parâmetros!E:E,E21),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60,00% | 75,00% | 100,00%</v>
      </c>
      <c r="M21" s="28">
        <f>IF(AND(F21="Gestor",H21="MRR"),SUMIFS(M:M,A:A,A21,B:B,B21,G:G,D21),
SUMIFS(Negócios!L:L,Negócios!A:A,A21,Negócios!B:B,B21,Negócios!P:P,D21,Negócios!AG:AG,"À Vista",Negócios!Q:Q,E21))</f>
        <v>16013.98</v>
      </c>
      <c r="N21" s="10">
        <f t="shared" si="7"/>
        <v>0.14407150504259894</v>
      </c>
      <c r="O21" s="30">
        <f>SUMIFS('Acel Form Pag'!D:D,'Acel Form Pag'!A:A,A21,'Acel Form Pag'!B:B,B21,'Acel Form Pag'!C:C,E21)</f>
        <v>1.2</v>
      </c>
      <c r="P21" s="32">
        <f>IF(AND(F21="Gestor",H21="MRR"),SUMIFS(P:P,A:A,A21,B:B,B21,G:G,D21),
SUMIFS(Negócios!L:L,Negócios!A:A,A21,Negócios!B:B,B21,Negócios!P:P,D21,Negócios!AG:AG,"CC 3x",Negócios!Q:Q,E21))</f>
        <v>320.92</v>
      </c>
      <c r="Q21" s="10">
        <f t="shared" si="8"/>
        <v>2.887191528793645E-3</v>
      </c>
      <c r="R21" s="30">
        <f>SUMIFS('Acel Form Pag'!E:E,'Acel Form Pag'!A:A,A21,'Acel Form Pag'!B:B,B21,'Acel Form Pag'!C:C,E21)</f>
        <v>1.1499999999999999</v>
      </c>
      <c r="S21" s="32">
        <f>IF(AND(F21="Gestor",H21="MRR"),SUMIFS(S:S,A:A,A21,B:B,B21,G:G,D21),
SUMIFS(Negócios!L:L,Negócios!A:A,A21,Negócios!B:B,B21,Negócios!P:P,D21,Negócios!AG:AG,"CC 12x",Negócios!Q:Q,E21))</f>
        <v>34770.239999999998</v>
      </c>
      <c r="T21" s="10">
        <f t="shared" si="9"/>
        <v>0.31281422903565353</v>
      </c>
      <c r="U21" s="30">
        <f>SUMIFS('Acel Form Pag'!F:F,'Acel Form Pag'!A:A,A21,'Acel Form Pag'!B:B,B21,'Acel Form Pag'!C:C,E21)</f>
        <v>1.1000000000000001</v>
      </c>
      <c r="V21" s="32">
        <f>IF(AND(F21="Gestor",H21="MRR"),SUMIFS(V:V,A:A,A21,B:B,B21,G:G,D21),
SUMIFS(Negócios!L:L,Negócios!A:A,A21,Negócios!B:B,B21,Negócios!P:P,D21,Negócios!AG:AG,"Recorrente",Negócios!Q:Q,E21))</f>
        <v>60047.860000000008</v>
      </c>
      <c r="W21" s="10">
        <f t="shared" si="10"/>
        <v>0.54022707439295392</v>
      </c>
      <c r="X21" s="34">
        <f>SUMIFS('Acel Form Pag'!G:G,'Acel Form Pag'!A:A,A21,'Acel Form Pag'!B:B,B21,'Acel Form Pag'!C:C,E21)</f>
        <v>1</v>
      </c>
      <c r="Y21" s="24">
        <f>MAX(_xlfn.MAXIFS(Parâmetros!O:O,Parâmetros!A:A,A21,Parâmetros!B:B,B21,Parâmetros!D:D,D21,Parâmetros!M:M,"&lt;="&amp;K21),_xlfn.MAXIFS(Parâmetros!L:L,Parâmetros!A:A,A21,Parâmetros!B:B,B21,Parâmetros!D:D,D21,Parâmetros!J:J,"&lt;="&amp;K21),_xlfn.MAXIFS(Parâmetros!I:I,Parâmetros!A:A,A21,Parâmetros!B:B,B21,Parâmetros!D:D,D21))</f>
        <v>12000</v>
      </c>
      <c r="Z21" s="9">
        <f>MAX(_xlfn.MAXIFS(Parâmetros!Q:Q,Parâmetros!A:A,A21,Parâmetros!B:B,B21,Parâmetros!D:D,D21,Parâmetros!E:E,E21,Parâmetros!P:P,"&lt;="&amp;K21),
_xlfn.MAXIFS(Parâmetros!S:S,Parâmetros!A:A,A21,Parâmetros!B:B,B21,Parâmetros!D:D,D21,Parâmetros!E:E,E21,Parâmetros!R:R,"&lt;="&amp;K21),
_xlfn.MAXIFS(Parâmetros!U:U,Parâmetros!A:A,A21,Parâmetros!B:B,B21,Parâmetros!D:D,D21,Parâmetros!E:E,E21,Parâmetros!T:T,"&lt;="&amp;K21),1) * IF(K21 &gt;= SUMIFS(Parâmetros!G:G,Parâmetros!A:A,A21,Parâmetros!B:B,B21,Parâmetros!D:D,D21,Parâmetros!E:E,E21),1,0)</f>
        <v>1.1000000000000001</v>
      </c>
      <c r="AA21" s="16">
        <f>Y21*Z21*K21</f>
        <v>15884.827875161993</v>
      </c>
      <c r="AB21" s="16">
        <f>(AA21*N21*O21) + (AA21*Q21*R21) + (AA21*T21*U21) + (AA21*W21*X21)</f>
        <v>16846.317486610351</v>
      </c>
      <c r="AC21" s="15">
        <f>IF(F21="Gestor",SUMIFS(AC:AC,A:A,A21,B:B,B21,G:G,D21),
IF(E21="Saving",SUMIFS(Negócios!I:I,Negócios!A:A,A21,Negócios!B:B,B21,Negócios!P:P,D21,Negócios!H:H,"Curso") + SUMIFS(Negócios!I:I,Negócios!A:A,A21,Negócios!B:B,B21,Negócios!P:P,D21,Negócios!H:H,"Serviço") + SUMIFS(Negócios!I:I,Negócios!A:A,A21,Negócios!B:B,B21,Negócios!P:P,D21,Negócios!H:H,"Implementação"),SUMIFS(Negócios!I:I,Negócios!A:A,A21,Negócios!B:B,B21,Negócios!P:P,D21,Negócios!H:H,"Implementação")))</f>
        <v>1977.84</v>
      </c>
      <c r="AD21" s="16">
        <f>SUMIFS(Parâmetros!W:W,Parâmetros!A:A,A21,Parâmetros!B:B,B21,Parâmetros!D:D,D21) * AC21 * IF(K21 &gt;= SUMIFS(Parâmetros!V:V,Parâmetros!A:A,A21,Parâmetros!B:B,B21,Parâmetros!D:D,D21),1,0)</f>
        <v>19.778400000000001</v>
      </c>
      <c r="AE21" s="15">
        <f>SUMIFS('Recuperação de Canc e Divs'!D:D,'Recuperação de Canc e Divs'!A:A,A21,'Recuperação de Canc e Divs'!B:B,B21,'Recuperação de Canc e Divs'!C:C,D21)</f>
        <v>0</v>
      </c>
      <c r="AF21" s="16">
        <f>IF(K21&gt;=SUMIFS(Parâmetros!J:J,Parâmetros!A:A,A21,Parâmetros!B:B,B21,Parâmetros!D:D,D21),AE21*0.025,0)</f>
        <v>0</v>
      </c>
      <c r="AG21" s="15" t="str">
        <f t="shared" si="0"/>
        <v/>
      </c>
      <c r="AH21" s="16" t="str">
        <f t="shared" si="1"/>
        <v/>
      </c>
      <c r="AI21" s="90">
        <f t="shared" si="2"/>
        <v>0</v>
      </c>
      <c r="AJ21" s="16" t="str">
        <f t="shared" si="3"/>
        <v/>
      </c>
      <c r="AK21" s="16" t="str">
        <f t="shared" si="4"/>
        <v/>
      </c>
      <c r="AL21" s="90">
        <f t="shared" si="5"/>
        <v>0</v>
      </c>
      <c r="AM21" s="93" t="str">
        <f>IF(AND(OR(B21=3,B21=6,B21=9,B21=12),AI21&gt;=1),
IF(F21="Gestor",AI21*0.6,AI21*0.3),"")</f>
        <v/>
      </c>
      <c r="AN21" s="94" t="str">
        <f>IF(OR(B21=3,B21=6,B21=9,B21=12),
IF(AND(AK21&gt;=1,AI21&gt;=SUMIFS(Parâmetros!G:G,Parâmetros!A:A,Comissões!A21,Parâmetros!B:B,Comissões!B21,Parâmetros!D:D,Comissões!D21,Parâmetros!E:E,Comissões!E21)),AI21*0.3,""),"")</f>
        <v/>
      </c>
    </row>
    <row r="22" spans="1:40" hidden="1">
      <c r="A22" s="7">
        <v>2026</v>
      </c>
      <c r="B22" s="7">
        <v>1</v>
      </c>
      <c r="C22" s="7" t="str">
        <v>Cintia Faraco</v>
      </c>
      <c r="D22" s="7" t="str">
        <v>cintia@altoqi.com.br</v>
      </c>
      <c r="E22" s="7" t="str">
        <v>Saving</v>
      </c>
      <c r="F22" s="7" t="str">
        <v>Consultor</v>
      </c>
      <c r="G22" s="7" t="str">
        <v>beatriz@altoqi.com.br</v>
      </c>
      <c r="H22" s="7" t="str">
        <v>MRR</v>
      </c>
      <c r="I22" s="15">
        <f>IF(AND(F22="Consultor",H22="MRR"),SUMIFS(Negócios!L:L,Negócios!A:A,A22,Negócios!B:B,B22,Negócios!P:P,D22),
IF(AND(F22="Consultor",H22="Opps"),SUMIFS('Realizado GD'!D:D,'Realizado GD'!A:A,A22,'Realizado GD'!B:B,B22,'Realizado GD'!C:C,D22),
IF(AND(F22="Gestor",H22="MRR"),SUMIFS(I:I,A:A,A22,B:B,B22,G:G,D22))))</f>
        <v>17109.449999999997</v>
      </c>
      <c r="J22" s="16">
        <f>SUMIFS(Metas!K:K,Metas!A:A,A22,Metas!B:B,B22,Metas!D:D,D22,Metas!H:H,H22)</f>
        <v>12389.69</v>
      </c>
      <c r="K22" s="10">
        <f t="shared" si="6"/>
        <v>1.3809425417423677</v>
      </c>
      <c r="L22" s="26" t="str" cm="1">
        <f t="array" ref="L22">_xlfn.LET(
 _xlpm.g,_xlfn.MAXIFS(Parâmetros!G:G,Parâmetros!A:A,A22,Parâmetros!B:B,B22,Parâmetros!D:D,D22,Parâmetros!E:E,E22),
 _xlpm.j,_xlfn.MAXIFS(Parâmetros!J:J,Parâmetros!A:A,A22,Parâmetros!B:B,B22,Parâmetros!D:D,D22,Parâmetros!E:E,E22),
 _xlpm.m,_xlfn.MAXIFS(Parâmetros!M:M,Parâmetros!A:A,A22,Parâmetros!B:B,B22,Parâmetros!D:D,D22,Parâmetros!E:E,E22),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60,00% | 75,00% | 100,00%</v>
      </c>
      <c r="M22" s="28">
        <f>IF(AND(F22="Gestor",H22="MRR"),SUMIFS(M:M,A:A,A22,B:B,B22,G:G,D22),
SUMIFS(Negócios!L:L,Negócios!A:A,A22,Negócios!B:B,B22,Negócios!P:P,D22,Negócios!AG:AG,"À Vista",Negócios!Q:Q,E22))</f>
        <v>1934.5800000000002</v>
      </c>
      <c r="N22" s="10">
        <f t="shared" si="7"/>
        <v>0.11307084681272633</v>
      </c>
      <c r="O22" s="30">
        <f>SUMIFS('Acel Form Pag'!D:D,'Acel Form Pag'!A:A,A22,'Acel Form Pag'!B:B,B22,'Acel Form Pag'!C:C,E22)</f>
        <v>1.2</v>
      </c>
      <c r="P22" s="32">
        <f>IF(AND(F22="Gestor",H22="MRR"),SUMIFS(P:P,A:A,A22,B:B,B22,G:G,D22),
SUMIFS(Negócios!L:L,Negócios!A:A,A22,Negócios!B:B,B22,Negócios!P:P,D22,Negócios!AG:AG,"CC 3x",Negócios!Q:Q,E22))</f>
        <v>320.92</v>
      </c>
      <c r="Q22" s="10">
        <f t="shared" si="8"/>
        <v>1.8756885814564469E-2</v>
      </c>
      <c r="R22" s="30">
        <f>SUMIFS('Acel Form Pag'!E:E,'Acel Form Pag'!A:A,A22,'Acel Form Pag'!B:B,B22,'Acel Form Pag'!C:C,E22)</f>
        <v>1.1499999999999999</v>
      </c>
      <c r="S22" s="32">
        <f>IF(AND(F22="Gestor",H22="MRR"),SUMIFS(S:S,A:A,A22,B:B,B22,G:G,D22),
SUMIFS(Negócios!L:L,Negócios!A:A,A22,Negócios!B:B,B22,Negócios!P:P,D22,Negócios!AG:AG,"CC 12x",Negócios!Q:Q,E22))</f>
        <v>7312.4</v>
      </c>
      <c r="T22" s="10">
        <f t="shared" si="9"/>
        <v>0.42738954203671076</v>
      </c>
      <c r="U22" s="30">
        <f>SUMIFS('Acel Form Pag'!F:F,'Acel Form Pag'!A:A,A22,'Acel Form Pag'!B:B,B22,'Acel Form Pag'!C:C,E22)</f>
        <v>1.1000000000000001</v>
      </c>
      <c r="V22" s="32">
        <f>IF(AND(F22="Gestor",H22="MRR"),SUMIFS(V:V,A:A,A22,B:B,B22,G:G,D22),
SUMIFS(Negócios!L:L,Negócios!A:A,A22,Negócios!B:B,B22,Negócios!P:P,D22,Negócios!AG:AG,"Recorrente",Negócios!Q:Q,E22))</f>
        <v>7541.5500000000011</v>
      </c>
      <c r="W22" s="10">
        <f t="shared" si="10"/>
        <v>0.44078272533599866</v>
      </c>
      <c r="X22" s="34">
        <f>SUMIFS('Acel Form Pag'!G:G,'Acel Form Pag'!A:A,A22,'Acel Form Pag'!B:B,B22,'Acel Form Pag'!C:C,E22)</f>
        <v>1</v>
      </c>
      <c r="Y22" s="24">
        <f>MAX(_xlfn.MAXIFS(Parâmetros!O:O,Parâmetros!A:A,A22,Parâmetros!B:B,B22,Parâmetros!D:D,D22,Parâmetros!M:M,"&lt;="&amp;K22),_xlfn.MAXIFS(Parâmetros!L:L,Parâmetros!A:A,A22,Parâmetros!B:B,B22,Parâmetros!D:D,D22,Parâmetros!J:J,"&lt;="&amp;K22),_xlfn.MAXIFS(Parâmetros!I:I,Parâmetros!A:A,A22,Parâmetros!B:B,B22,Parâmetros!D:D,D22))</f>
        <v>8100</v>
      </c>
      <c r="Z22" s="9">
        <f>MAX(_xlfn.MAXIFS(Parâmetros!Q:Q,Parâmetros!A:A,A22,Parâmetros!B:B,B22,Parâmetros!D:D,D22,Parâmetros!E:E,E22,Parâmetros!P:P,"&lt;="&amp;K22),
_xlfn.MAXIFS(Parâmetros!S:S,Parâmetros!A:A,A22,Parâmetros!B:B,B22,Parâmetros!D:D,D22,Parâmetros!E:E,E22,Parâmetros!R:R,"&lt;="&amp;K22),
_xlfn.MAXIFS(Parâmetros!U:U,Parâmetros!A:A,A22,Parâmetros!B:B,B22,Parâmetros!D:D,D22,Parâmetros!E:E,E22,Parâmetros!T:T,"&lt;="&amp;K22),1) * IF(K22 &gt;= SUMIFS(Parâmetros!G:G,Parâmetros!A:A,A22,Parâmetros!B:B,B22,Parâmetros!D:D,D22,Parâmetros!E:E,E22),1,0)</f>
        <v>1.1000000000000001</v>
      </c>
      <c r="AA22" s="16">
        <f>Y22*Z22*K22</f>
        <v>12304.198046924497</v>
      </c>
      <c r="AB22" s="16">
        <f>(AA22*N22*O22) + (AA22*Q22*R22) + (AA22*T22*U22) + (AA22*W22*X22)</f>
        <v>13142.934087939248</v>
      </c>
      <c r="AC22" s="15">
        <f>IF(F22="Gestor",SUMIFS(AC:AC,A:A,A22,B:B,B22,G:G,D22),
IF(E22="Saving",SUMIFS(Negócios!I:I,Negócios!A:A,A22,Negócios!B:B,B22,Negócios!P:P,D22,Negócios!H:H,"Curso") + SUMIFS(Negócios!I:I,Negócios!A:A,A22,Negócios!B:B,B22,Negócios!P:P,D22,Negócios!H:H,"Serviço") + SUMIFS(Negócios!I:I,Negócios!A:A,A22,Negócios!B:B,B22,Negócios!P:P,D22,Negócios!H:H,"Implementação"),SUMIFS(Negócios!I:I,Negócios!A:A,A22,Negócios!B:B,B22,Negócios!P:P,D22,Negócios!H:H,"Implementação")))</f>
        <v>0</v>
      </c>
      <c r="AD22" s="16">
        <f>SUMIFS(Parâmetros!W:W,Parâmetros!A:A,A22,Parâmetros!B:B,B22,Parâmetros!D:D,D22) * AC22 * IF(K22 &gt;= SUMIFS(Parâmetros!V:V,Parâmetros!A:A,A22,Parâmetros!B:B,B22,Parâmetros!D:D,D22),1,0)</f>
        <v>0</v>
      </c>
      <c r="AE22" s="15">
        <f>SUMIFS('Recuperação de Canc e Divs'!D:D,'Recuperação de Canc e Divs'!A:A,A22,'Recuperação de Canc e Divs'!B:B,B22,'Recuperação de Canc e Divs'!C:C,D22)</f>
        <v>0</v>
      </c>
      <c r="AF22" s="16">
        <f>IF(K22&gt;=SUMIFS(Parâmetros!J:J,Parâmetros!A:A,A22,Parâmetros!B:B,B22,Parâmetros!D:D,D22),AE22*0.025,0)</f>
        <v>0</v>
      </c>
      <c r="AG22" s="15" t="str">
        <f t="shared" si="0"/>
        <v/>
      </c>
      <c r="AH22" s="16" t="str">
        <f t="shared" si="1"/>
        <v/>
      </c>
      <c r="AI22" s="90">
        <f t="shared" si="2"/>
        <v>0</v>
      </c>
      <c r="AJ22" s="16" t="str">
        <f t="shared" si="3"/>
        <v/>
      </c>
      <c r="AK22" s="16" t="str">
        <f t="shared" si="4"/>
        <v/>
      </c>
      <c r="AL22" s="90">
        <f t="shared" si="5"/>
        <v>0</v>
      </c>
      <c r="AM22" s="93" t="str">
        <f>IF(AND(OR(B22=3,B22=6,B22=9,B22=12),AI22&gt;=1),
IF(F22="Gestor",AI22*0.6,AI22*0.3),"")</f>
        <v/>
      </c>
      <c r="AN22" s="94" t="str">
        <f>IF(OR(B22=3,B22=6,B22=9,B22=12),
IF(AND(AK22&gt;=1,AI22&gt;=SUMIFS(Parâmetros!G:G,Parâmetros!A:A,Comissões!A22,Parâmetros!B:B,Comissões!B22,Parâmetros!D:D,Comissões!D22,Parâmetros!E:E,Comissões!E22)),AI22*0.3,""),"")</f>
        <v/>
      </c>
    </row>
    <row r="23" spans="1:40" hidden="1">
      <c r="A23" s="7">
        <v>2026</v>
      </c>
      <c r="B23" s="7">
        <v>1</v>
      </c>
      <c r="C23" s="7" t="str">
        <v>Francyellen Batista</v>
      </c>
      <c r="D23" s="7" t="str">
        <v>francyellen@altoqi.com.br</v>
      </c>
      <c r="E23" s="7" t="str">
        <v>Saving</v>
      </c>
      <c r="F23" s="7" t="str">
        <v>Consultor</v>
      </c>
      <c r="G23" s="7" t="str">
        <v>beatriz@altoqi.com.br</v>
      </c>
      <c r="H23" s="7" t="str">
        <v>MRR</v>
      </c>
      <c r="I23" s="15">
        <f>IF(AND(F23="Consultor",H23="MRR"),SUMIFS(Negócios!L:L,Negócios!A:A,A23,Negócios!B:B,B23,Negócios!P:P,D23),
IF(AND(F23="Consultor",H23="Opps"),SUMIFS('Realizado GD'!D:D,'Realizado GD'!A:A,A23,'Realizado GD'!B:B,B23,'Realizado GD'!C:C,D23),
IF(AND(F23="Gestor",H23="MRR"),SUMIFS(I:I,A:A,A23,B:B,B23,G:G,D23))))</f>
        <v>17105.499999999996</v>
      </c>
      <c r="J23" s="16">
        <f>SUMIFS(Metas!K:K,Metas!A:A,A23,Metas!B:B,B23,Metas!D:D,D23,Metas!H:H,H23)</f>
        <v>11826.65</v>
      </c>
      <c r="K23" s="10">
        <f t="shared" si="6"/>
        <v>1.4463520946337296</v>
      </c>
      <c r="L23" s="26" t="str" cm="1">
        <f t="array" ref="L23">_xlfn.LET(
 _xlpm.g,_xlfn.MAXIFS(Parâmetros!G:G,Parâmetros!A:A,A23,Parâmetros!B:B,B23,Parâmetros!D:D,D23,Parâmetros!E:E,E23),
 _xlpm.j,_xlfn.MAXIFS(Parâmetros!J:J,Parâmetros!A:A,A23,Parâmetros!B:B,B23,Parâmetros!D:D,D23,Parâmetros!E:E,E23),
 _xlpm.m,_xlfn.MAXIFS(Parâmetros!M:M,Parâmetros!A:A,A23,Parâmetros!B:B,B23,Parâmetros!D:D,D23,Parâmetros!E:E,E23),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60,00% | 75,00% | 100,00%</v>
      </c>
      <c r="M23" s="28">
        <f>IF(AND(F23="Gestor",H23="MRR"),SUMIFS(M:M,A:A,A23,B:B,B23,G:G,D23),
SUMIFS(Negócios!L:L,Negócios!A:A,A23,Negócios!B:B,B23,Negócios!P:P,D23,Negócios!AG:AG,"À Vista",Negócios!Q:Q,E23))</f>
        <v>2134.19</v>
      </c>
      <c r="N23" s="10">
        <f t="shared" si="7"/>
        <v>0.12476630323580137</v>
      </c>
      <c r="O23" s="30">
        <f>SUMIFS('Acel Form Pag'!D:D,'Acel Form Pag'!A:A,A23,'Acel Form Pag'!B:B,B23,'Acel Form Pag'!C:C,E23)</f>
        <v>1.2</v>
      </c>
      <c r="P23" s="32">
        <f>IF(AND(F23="Gestor",H23="MRR"),SUMIFS(P:P,A:A,A23,B:B,B23,G:G,D23),
SUMIFS(Negócios!L:L,Negócios!A:A,A23,Negócios!B:B,B23,Negócios!P:P,D23,Negócios!AG:AG,"CC 3x",Negócios!Q:Q,E23))</f>
        <v>0</v>
      </c>
      <c r="Q23" s="10">
        <f t="shared" si="8"/>
        <v>0</v>
      </c>
      <c r="R23" s="30">
        <f>SUMIFS('Acel Form Pag'!E:E,'Acel Form Pag'!A:A,A23,'Acel Form Pag'!B:B,B23,'Acel Form Pag'!C:C,E23)</f>
        <v>1.1499999999999999</v>
      </c>
      <c r="S23" s="32">
        <f>IF(AND(F23="Gestor",H23="MRR"),SUMIFS(S:S,A:A,A23,B:B,B23,G:G,D23),
SUMIFS(Negócios!L:L,Negócios!A:A,A23,Negócios!B:B,B23,Negócios!P:P,D23,Negócios!AG:AG,"CC 12x",Negócios!Q:Q,E23))</f>
        <v>0</v>
      </c>
      <c r="T23" s="10">
        <f t="shared" si="9"/>
        <v>0</v>
      </c>
      <c r="U23" s="30">
        <f>SUMIFS('Acel Form Pag'!F:F,'Acel Form Pag'!A:A,A23,'Acel Form Pag'!B:B,B23,'Acel Form Pag'!C:C,E23)</f>
        <v>1.1000000000000001</v>
      </c>
      <c r="V23" s="32">
        <f>IF(AND(F23="Gestor",H23="MRR"),SUMIFS(V:V,A:A,A23,B:B,B23,G:G,D23),
SUMIFS(Negócios!L:L,Negócios!A:A,A23,Negócios!B:B,B23,Negócios!P:P,D23,Negócios!AG:AG,"Recorrente",Negócios!Q:Q,E23))</f>
        <v>14971.309999999998</v>
      </c>
      <c r="W23" s="10">
        <f t="shared" si="10"/>
        <v>0.87523369676419871</v>
      </c>
      <c r="X23" s="34">
        <f>SUMIFS('Acel Form Pag'!G:G,'Acel Form Pag'!A:A,A23,'Acel Form Pag'!B:B,B23,'Acel Form Pag'!C:C,E23)</f>
        <v>1</v>
      </c>
      <c r="Y23" s="24">
        <f>MAX(_xlfn.MAXIFS(Parâmetros!O:O,Parâmetros!A:A,A23,Parâmetros!B:B,B23,Parâmetros!D:D,D23,Parâmetros!M:M,"&lt;="&amp;K23),_xlfn.MAXIFS(Parâmetros!L:L,Parâmetros!A:A,A23,Parâmetros!B:B,B23,Parâmetros!D:D,D23,Parâmetros!J:J,"&lt;="&amp;K23),_xlfn.MAXIFS(Parâmetros!I:I,Parâmetros!A:A,A23,Parâmetros!B:B,B23,Parâmetros!D:D,D23))</f>
        <v>5400</v>
      </c>
      <c r="Z23" s="9">
        <f>MAX(_xlfn.MAXIFS(Parâmetros!Q:Q,Parâmetros!A:A,A23,Parâmetros!B:B,B23,Parâmetros!D:D,D23,Parâmetros!E:E,E23,Parâmetros!P:P,"&lt;="&amp;K23),
_xlfn.MAXIFS(Parâmetros!S:S,Parâmetros!A:A,A23,Parâmetros!B:B,B23,Parâmetros!D:D,D23,Parâmetros!E:E,E23,Parâmetros!R:R,"&lt;="&amp;K23),
_xlfn.MAXIFS(Parâmetros!U:U,Parâmetros!A:A,A23,Parâmetros!B:B,B23,Parâmetros!D:D,D23,Parâmetros!E:E,E23,Parâmetros!T:T,"&lt;="&amp;K23),1) * IF(K23 &gt;= SUMIFS(Parâmetros!G:G,Parâmetros!A:A,A23,Parâmetros!B:B,B23,Parâmetros!D:D,D23,Parâmetros!E:E,E23),1,0)</f>
        <v>1.1000000000000001</v>
      </c>
      <c r="AA23" s="16">
        <f>Y23*Z23*K23</f>
        <v>8591.3314421243558</v>
      </c>
      <c r="AB23" s="16">
        <f>(AA23*N23*O23) + (AA23*Q23*R23) + (AA23*T23*U23) + (AA23*W23*X23)</f>
        <v>8805.7131749058299</v>
      </c>
      <c r="AC23" s="15">
        <f>IF(F23="Gestor",SUMIFS(AC:AC,A:A,A23,B:B,B23,G:G,D23),
IF(E23="Saving",SUMIFS(Negócios!I:I,Negócios!A:A,A23,Negócios!B:B,B23,Negócios!P:P,D23,Negócios!H:H,"Curso") + SUMIFS(Negócios!I:I,Negócios!A:A,A23,Negócios!B:B,B23,Negócios!P:P,D23,Negócios!H:H,"Serviço") + SUMIFS(Negócios!I:I,Negócios!A:A,A23,Negócios!B:B,B23,Negócios!P:P,D23,Negócios!H:H,"Implementação"),SUMIFS(Negócios!I:I,Negócios!A:A,A23,Negócios!B:B,B23,Negócios!P:P,D23,Negócios!H:H,"Implementação")))</f>
        <v>0</v>
      </c>
      <c r="AD23" s="16">
        <f>SUMIFS(Parâmetros!W:W,Parâmetros!A:A,A23,Parâmetros!B:B,B23,Parâmetros!D:D,D23) * AC23 * IF(K23 &gt;= SUMIFS(Parâmetros!V:V,Parâmetros!A:A,A23,Parâmetros!B:B,B23,Parâmetros!D:D,D23),1,0)</f>
        <v>0</v>
      </c>
      <c r="AE23" s="15">
        <f>SUMIFS('Recuperação de Canc e Divs'!D:D,'Recuperação de Canc e Divs'!A:A,A23,'Recuperação de Canc e Divs'!B:B,B23,'Recuperação de Canc e Divs'!C:C,D23)</f>
        <v>2661.2</v>
      </c>
      <c r="AF23" s="16">
        <f>IF(K23&gt;=SUMIFS(Parâmetros!J:J,Parâmetros!A:A,A23,Parâmetros!B:B,B23,Parâmetros!D:D,D23),AE23*0.025,0)</f>
        <v>66.53</v>
      </c>
      <c r="AG23" s="15" t="str">
        <f t="shared" si="0"/>
        <v/>
      </c>
      <c r="AH23" s="16" t="str">
        <f t="shared" si="1"/>
        <v/>
      </c>
      <c r="AI23" s="90">
        <f t="shared" si="2"/>
        <v>0</v>
      </c>
      <c r="AJ23" s="16" t="str">
        <f t="shared" si="3"/>
        <v/>
      </c>
      <c r="AK23" s="16" t="str">
        <f t="shared" si="4"/>
        <v/>
      </c>
      <c r="AL23" s="90">
        <f t="shared" si="5"/>
        <v>0</v>
      </c>
      <c r="AM23" s="93" t="str">
        <f>IF(AND(OR(B23=3,B23=6,B23=9,B23=12),AI23&gt;=1),
IF(F23="Gestor",AI23*0.6,AI23*0.3),"")</f>
        <v/>
      </c>
      <c r="AN23" s="94" t="str">
        <f>IF(OR(B23=3,B23=6,B23=9,B23=12),
IF(AND(AK23&gt;=1,AI23&gt;=SUMIFS(Parâmetros!G:G,Parâmetros!A:A,Comissões!A23,Parâmetros!B:B,Comissões!B23,Parâmetros!D:D,Comissões!D23,Parâmetros!E:E,Comissões!E23)),AI23*0.3,""),"")</f>
        <v/>
      </c>
    </row>
    <row r="24" spans="1:40" hidden="1">
      <c r="A24" s="7">
        <v>2026</v>
      </c>
      <c r="B24" s="7">
        <v>1</v>
      </c>
      <c r="C24" s="7" t="str">
        <v>Jaqueline Correa</v>
      </c>
      <c r="D24" s="7" t="str">
        <v>jaqueline.correa@altoqi.com.br</v>
      </c>
      <c r="E24" s="7" t="str">
        <v>Saving</v>
      </c>
      <c r="F24" s="7" t="str">
        <v>Consultor</v>
      </c>
      <c r="G24" s="7" t="str">
        <v>beatriz@altoqi.com.br</v>
      </c>
      <c r="H24" s="7" t="str">
        <v>MRR</v>
      </c>
      <c r="I24" s="15">
        <f>IF(AND(F24="Consultor",H24="MRR"),SUMIFS(Negócios!L:L,Negócios!A:A,A24,Negócios!B:B,B24,Negócios!P:P,D24),
IF(AND(F24="Consultor",H24="Opps"),SUMIFS('Realizado GD'!D:D,'Realizado GD'!A:A,A24,'Realizado GD'!B:B,B24,'Realizado GD'!C:C,D24),
IF(AND(F24="Gestor",H24="MRR"),SUMIFS(I:I,A:A,A24,B:B,B24,G:G,D24))))</f>
        <v>16544.96</v>
      </c>
      <c r="J24" s="16">
        <f>SUMIFS(Metas!K:K,Metas!A:A,A24,Metas!B:B,B24,Metas!D:D,D24,Metas!H:H,H24)</f>
        <v>13796.64</v>
      </c>
      <c r="K24" s="10">
        <f t="shared" si="6"/>
        <v>1.1992021245752589</v>
      </c>
      <c r="L24" s="26" t="str" cm="1">
        <f t="array" ref="L24">_xlfn.LET(
 _xlpm.g,_xlfn.MAXIFS(Parâmetros!G:G,Parâmetros!A:A,A24,Parâmetros!B:B,B24,Parâmetros!D:D,D24,Parâmetros!E:E,E24),
 _xlpm.j,_xlfn.MAXIFS(Parâmetros!J:J,Parâmetros!A:A,A24,Parâmetros!B:B,B24,Parâmetros!D:D,D24,Parâmetros!E:E,E24),
 _xlpm.m,_xlfn.MAXIFS(Parâmetros!M:M,Parâmetros!A:A,A24,Parâmetros!B:B,B24,Parâmetros!D:D,D24,Parâmetros!E:E,E24),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60,00% | 75,00% | 100,00%</v>
      </c>
      <c r="M24" s="28">
        <f>IF(AND(F24="Gestor",H24="MRR"),SUMIFS(M:M,A:A,A24,B:B,B24,G:G,D24),
SUMIFS(Negócios!L:L,Negócios!A:A,A24,Negócios!B:B,B24,Negócios!P:P,D24,Negócios!AG:AG,"À Vista",Negócios!Q:Q,E24))</f>
        <v>3379.53</v>
      </c>
      <c r="N24" s="10">
        <f t="shared" si="7"/>
        <v>0.20426341314817326</v>
      </c>
      <c r="O24" s="30">
        <f>SUMIFS('Acel Form Pag'!D:D,'Acel Form Pag'!A:A,A24,'Acel Form Pag'!B:B,B24,'Acel Form Pag'!C:C,E24)</f>
        <v>1.2</v>
      </c>
      <c r="P24" s="32">
        <f>IF(AND(F24="Gestor",H24="MRR"),SUMIFS(P:P,A:A,A24,B:B,B24,G:G,D24),
SUMIFS(Negócios!L:L,Negócios!A:A,A24,Negócios!B:B,B24,Negócios!P:P,D24,Negócios!AG:AG,"CC 3x",Negócios!Q:Q,E24))</f>
        <v>0</v>
      </c>
      <c r="Q24" s="10">
        <f t="shared" si="8"/>
        <v>0</v>
      </c>
      <c r="R24" s="30">
        <f>SUMIFS('Acel Form Pag'!E:E,'Acel Form Pag'!A:A,A24,'Acel Form Pag'!B:B,B24,'Acel Form Pag'!C:C,E24)</f>
        <v>1.1499999999999999</v>
      </c>
      <c r="S24" s="32">
        <f>IF(AND(F24="Gestor",H24="MRR"),SUMIFS(S:S,A:A,A24,B:B,B24,G:G,D24),
SUMIFS(Negócios!L:L,Negócios!A:A,A24,Negócios!B:B,B24,Negócios!P:P,D24,Negócios!AG:AG,"CC 12x",Negócios!Q:Q,E24))</f>
        <v>5620.81</v>
      </c>
      <c r="T24" s="10">
        <f t="shared" si="9"/>
        <v>0.33972944026458818</v>
      </c>
      <c r="U24" s="30">
        <f>SUMIFS('Acel Form Pag'!F:F,'Acel Form Pag'!A:A,A24,'Acel Form Pag'!B:B,B24,'Acel Form Pag'!C:C,E24)</f>
        <v>1.1000000000000001</v>
      </c>
      <c r="V24" s="32">
        <f>IF(AND(F24="Gestor",H24="MRR"),SUMIFS(V:V,A:A,A24,B:B,B24,G:G,D24),
SUMIFS(Negócios!L:L,Negócios!A:A,A24,Negócios!B:B,B24,Negócios!P:P,D24,Negócios!AG:AG,"Recorrente",Negócios!Q:Q,E24))</f>
        <v>7544.62</v>
      </c>
      <c r="W24" s="10">
        <f t="shared" si="10"/>
        <v>0.45600714658723868</v>
      </c>
      <c r="X24" s="34">
        <f>SUMIFS('Acel Form Pag'!G:G,'Acel Form Pag'!A:A,A24,'Acel Form Pag'!B:B,B24,'Acel Form Pag'!C:C,E24)</f>
        <v>1</v>
      </c>
      <c r="Y24" s="24">
        <f>MAX(_xlfn.MAXIFS(Parâmetros!O:O,Parâmetros!A:A,A24,Parâmetros!B:B,B24,Parâmetros!D:D,D24,Parâmetros!M:M,"&lt;="&amp;K24),_xlfn.MAXIFS(Parâmetros!L:L,Parâmetros!A:A,A24,Parâmetros!B:B,B24,Parâmetros!D:D,D24,Parâmetros!J:J,"&lt;="&amp;K24),_xlfn.MAXIFS(Parâmetros!I:I,Parâmetros!A:A,A24,Parâmetros!B:B,B24,Parâmetros!D:D,D24))</f>
        <v>5400</v>
      </c>
      <c r="Z24" s="9">
        <f>MAX(_xlfn.MAXIFS(Parâmetros!Q:Q,Parâmetros!A:A,A24,Parâmetros!B:B,B24,Parâmetros!D:D,D24,Parâmetros!E:E,E24,Parâmetros!P:P,"&lt;="&amp;K24),
_xlfn.MAXIFS(Parâmetros!S:S,Parâmetros!A:A,A24,Parâmetros!B:B,B24,Parâmetros!D:D,D24,Parâmetros!E:E,E24,Parâmetros!R:R,"&lt;="&amp;K24),
_xlfn.MAXIFS(Parâmetros!U:U,Parâmetros!A:A,A24,Parâmetros!B:B,B24,Parâmetros!D:D,D24,Parâmetros!E:E,E24,Parâmetros!T:T,"&lt;="&amp;K24),1) * IF(K24 &gt;= SUMIFS(Parâmetros!G:G,Parâmetros!A:A,A24,Parâmetros!B:B,B24,Parâmetros!D:D,D24,Parâmetros!E:E,E24),1,0)</f>
        <v>1.1000000000000001</v>
      </c>
      <c r="AA24" s="16">
        <f>Y24*Z24*K24</f>
        <v>7123.2606199770389</v>
      </c>
      <c r="AB24" s="16">
        <f>(AA24*N24*O24) + (AA24*Q24*R24) + (AA24*T24*U24) + (AA24*W24*X24)</f>
        <v>7656.2630597014941</v>
      </c>
      <c r="AC24" s="15">
        <f>IF(F24="Gestor",SUMIFS(AC:AC,A:A,A24,B:B,B24,G:G,D24),
IF(E24="Saving",SUMIFS(Negócios!I:I,Negócios!A:A,A24,Negócios!B:B,B24,Negócios!P:P,D24,Negócios!H:H,"Curso") + SUMIFS(Negócios!I:I,Negócios!A:A,A24,Negócios!B:B,B24,Negócios!P:P,D24,Negócios!H:H,"Serviço") + SUMIFS(Negócios!I:I,Negócios!A:A,A24,Negócios!B:B,B24,Negócios!P:P,D24,Negócios!H:H,"Implementação"),SUMIFS(Negócios!I:I,Negócios!A:A,A24,Negócios!B:B,B24,Negócios!P:P,D24,Negócios!H:H,"Implementação")))</f>
        <v>0</v>
      </c>
      <c r="AD24" s="16">
        <f>SUMIFS(Parâmetros!W:W,Parâmetros!A:A,A24,Parâmetros!B:B,B24,Parâmetros!D:D,D24) * AC24 * IF(K24 &gt;= SUMIFS(Parâmetros!V:V,Parâmetros!A:A,A24,Parâmetros!B:B,B24,Parâmetros!D:D,D24),1,0)</f>
        <v>0</v>
      </c>
      <c r="AE24" s="15">
        <f>SUMIFS('Recuperação de Canc e Divs'!D:D,'Recuperação de Canc e Divs'!A:A,A24,'Recuperação de Canc e Divs'!B:B,B24,'Recuperação de Canc e Divs'!C:C,D24)</f>
        <v>7393.31</v>
      </c>
      <c r="AF24" s="16">
        <f>IF(K24&gt;=SUMIFS(Parâmetros!J:J,Parâmetros!A:A,A24,Parâmetros!B:B,B24,Parâmetros!D:D,D24),AE24*0.025,0)</f>
        <v>184.83275000000003</v>
      </c>
      <c r="AG24" s="15" t="str">
        <f t="shared" si="0"/>
        <v/>
      </c>
      <c r="AH24" s="16" t="str">
        <f t="shared" si="1"/>
        <v/>
      </c>
      <c r="AI24" s="90">
        <f t="shared" si="2"/>
        <v>0</v>
      </c>
      <c r="AJ24" s="16" t="str">
        <f t="shared" si="3"/>
        <v/>
      </c>
      <c r="AK24" s="16" t="str">
        <f t="shared" si="4"/>
        <v/>
      </c>
      <c r="AL24" s="90">
        <f t="shared" si="5"/>
        <v>0</v>
      </c>
      <c r="AM24" s="93" t="str">
        <f>IF(AND(OR(B24=3,B24=6,B24=9,B24=12),AI24&gt;=1),
IF(F24="Gestor",AI24*0.6,AI24*0.3),"")</f>
        <v/>
      </c>
      <c r="AN24" s="94" t="str">
        <f>IF(OR(B24=3,B24=6,B24=9,B24=12),
IF(AND(AK24&gt;=1,AI24&gt;=SUMIFS(Parâmetros!G:G,Parâmetros!A:A,Comissões!A24,Parâmetros!B:B,Comissões!B24,Parâmetros!D:D,Comissões!D24,Parâmetros!E:E,Comissões!E24)),AI24*0.3,""),"")</f>
        <v/>
      </c>
    </row>
    <row r="25" spans="1:40" hidden="1">
      <c r="A25" s="7">
        <v>2026</v>
      </c>
      <c r="B25" s="7">
        <v>1</v>
      </c>
      <c r="C25" s="7" t="str">
        <v>Marcela Accacio</v>
      </c>
      <c r="D25" s="7" t="str">
        <v>marcela@altoqi.com.br</v>
      </c>
      <c r="E25" s="7" t="str">
        <v>Saving</v>
      </c>
      <c r="F25" s="7" t="str">
        <v>Consultor</v>
      </c>
      <c r="G25" s="7" t="str">
        <v>beatriz@altoqi.com.br</v>
      </c>
      <c r="H25" s="7" t="str">
        <v>MRR</v>
      </c>
      <c r="I25" s="15">
        <f>IF(AND(F25="Consultor",H25="MRR"),SUMIFS(Negócios!L:L,Negócios!A:A,A25,Negócios!B:B,B25,Negócios!P:P,D25),
IF(AND(F25="Consultor",H25="Opps"),SUMIFS('Realizado GD'!D:D,'Realizado GD'!A:A,A25,'Realizado GD'!B:B,B25,'Realizado GD'!C:C,D25),
IF(AND(F25="Gestor",H25="MRR"),SUMIFS(I:I,A:A,A25,B:B,B25,G:G,D25))))</f>
        <v>16108.659999999993</v>
      </c>
      <c r="J25" s="16">
        <f>SUMIFS(Metas!K:K,Metas!A:A,A25,Metas!B:B,B25,Metas!D:D,D25,Metas!H:H,H25)</f>
        <v>12427.33</v>
      </c>
      <c r="K25" s="10">
        <f t="shared" si="6"/>
        <v>1.296228554323414</v>
      </c>
      <c r="L25" s="26" t="str" cm="1">
        <f t="array" ref="L25">_xlfn.LET(
 _xlpm.g,_xlfn.MAXIFS(Parâmetros!G:G,Parâmetros!A:A,A25,Parâmetros!B:B,B25,Parâmetros!D:D,D25,Parâmetros!E:E,E25),
 _xlpm.j,_xlfn.MAXIFS(Parâmetros!J:J,Parâmetros!A:A,A25,Parâmetros!B:B,B25,Parâmetros!D:D,D25,Parâmetros!E:E,E25),
 _xlpm.m,_xlfn.MAXIFS(Parâmetros!M:M,Parâmetros!A:A,A25,Parâmetros!B:B,B25,Parâmetros!D:D,D25,Parâmetros!E:E,E25),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60,00% | 75,00% | 100,00%</v>
      </c>
      <c r="M25" s="28">
        <f>IF(AND(F25="Gestor",H25="MRR"),SUMIFS(M:M,A:A,A25,B:B,B25,G:G,D25),
SUMIFS(Negócios!L:L,Negócios!A:A,A25,Negócios!B:B,B25,Negócios!P:P,D25,Negócios!AG:AG,"À Vista",Negócios!Q:Q,E25))</f>
        <v>1856.57</v>
      </c>
      <c r="N25" s="10">
        <f t="shared" si="7"/>
        <v>0.11525291365017332</v>
      </c>
      <c r="O25" s="30">
        <f>SUMIFS('Acel Form Pag'!D:D,'Acel Form Pag'!A:A,A25,'Acel Form Pag'!B:B,B25,'Acel Form Pag'!C:C,E25)</f>
        <v>1.2</v>
      </c>
      <c r="P25" s="32">
        <f>IF(AND(F25="Gestor",H25="MRR"),SUMIFS(P:P,A:A,A25,B:B,B25,G:G,D25),
SUMIFS(Negócios!L:L,Negócios!A:A,A25,Negócios!B:B,B25,Negócios!P:P,D25,Negócios!AG:AG,"CC 3x",Negócios!Q:Q,E25))</f>
        <v>0</v>
      </c>
      <c r="Q25" s="10">
        <f t="shared" si="8"/>
        <v>0</v>
      </c>
      <c r="R25" s="30">
        <f>SUMIFS('Acel Form Pag'!E:E,'Acel Form Pag'!A:A,A25,'Acel Form Pag'!B:B,B25,'Acel Form Pag'!C:C,E25)</f>
        <v>1.1499999999999999</v>
      </c>
      <c r="S25" s="32">
        <f>IF(AND(F25="Gestor",H25="MRR"),SUMIFS(S:S,A:A,A25,B:B,B25,G:G,D25),
SUMIFS(Negócios!L:L,Negócios!A:A,A25,Negócios!B:B,B25,Negócios!P:P,D25,Negócios!AG:AG,"CC 12x",Negócios!Q:Q,E25))</f>
        <v>7228.2</v>
      </c>
      <c r="T25" s="10">
        <f t="shared" si="9"/>
        <v>0.44871516314826954</v>
      </c>
      <c r="U25" s="30">
        <f>SUMIFS('Acel Form Pag'!F:F,'Acel Form Pag'!A:A,A25,'Acel Form Pag'!B:B,B25,'Acel Form Pag'!C:C,E25)</f>
        <v>1.1000000000000001</v>
      </c>
      <c r="V25" s="32">
        <f>IF(AND(F25="Gestor",H25="MRR"),SUMIFS(V:V,A:A,A25,B:B,B25,G:G,D25),
SUMIFS(Negócios!L:L,Negócios!A:A,A25,Negócios!B:B,B25,Negócios!P:P,D25,Negócios!AG:AG,"Recorrente",Negócios!Q:Q,E25))</f>
        <v>7023.89</v>
      </c>
      <c r="W25" s="10">
        <f t="shared" si="10"/>
        <v>0.43603192320155765</v>
      </c>
      <c r="X25" s="34">
        <f>SUMIFS('Acel Form Pag'!G:G,'Acel Form Pag'!A:A,A25,'Acel Form Pag'!B:B,B25,'Acel Form Pag'!C:C,E25)</f>
        <v>1</v>
      </c>
      <c r="Y25" s="24">
        <f>MAX(_xlfn.MAXIFS(Parâmetros!O:O,Parâmetros!A:A,A25,Parâmetros!B:B,B25,Parâmetros!D:D,D25,Parâmetros!M:M,"&lt;="&amp;K25),_xlfn.MAXIFS(Parâmetros!L:L,Parâmetros!A:A,A25,Parâmetros!B:B,B25,Parâmetros!D:D,D25,Parâmetros!J:J,"&lt;="&amp;K25),_xlfn.MAXIFS(Parâmetros!I:I,Parâmetros!A:A,A25,Parâmetros!B:B,B25,Parâmetros!D:D,D25))</f>
        <v>8100</v>
      </c>
      <c r="Z25" s="9">
        <f>MAX(_xlfn.MAXIFS(Parâmetros!Q:Q,Parâmetros!A:A,A25,Parâmetros!B:B,B25,Parâmetros!D:D,D25,Parâmetros!E:E,E25,Parâmetros!P:P,"&lt;="&amp;K25),
_xlfn.MAXIFS(Parâmetros!S:S,Parâmetros!A:A,A25,Parâmetros!B:B,B25,Parâmetros!D:D,D25,Parâmetros!E:E,E25,Parâmetros!R:R,"&lt;="&amp;K25),
_xlfn.MAXIFS(Parâmetros!U:U,Parâmetros!A:A,A25,Parâmetros!B:B,B25,Parâmetros!D:D,D25,Parâmetros!E:E,E25,Parâmetros!T:T,"&lt;="&amp;K25),1) * IF(K25 &gt;= SUMIFS(Parâmetros!G:G,Parâmetros!A:A,A25,Parâmetros!B:B,B25,Parâmetros!D:D,D25,Parâmetros!E:E,E25),1,0)</f>
        <v>1.1000000000000001</v>
      </c>
      <c r="AA25" s="16">
        <f>Y25*Z25*K25</f>
        <v>11549.396419021619</v>
      </c>
      <c r="AB25" s="16">
        <f>(AA25*N25*O25) + (AA25*Q25*R25) + (AA25*T25*U25) + (AA25*W25*X25)</f>
        <v>12333.855666502783</v>
      </c>
      <c r="AC25" s="15">
        <f>IF(F25="Gestor",SUMIFS(AC:AC,A:A,A25,B:B,B25,G:G,D25),
IF(E25="Saving",SUMIFS(Negócios!I:I,Negócios!A:A,A25,Negócios!B:B,B25,Negócios!P:P,D25,Negócios!H:H,"Curso") + SUMIFS(Negócios!I:I,Negócios!A:A,A25,Negócios!B:B,B25,Negócios!P:P,D25,Negócios!H:H,"Serviço") + SUMIFS(Negócios!I:I,Negócios!A:A,A25,Negócios!B:B,B25,Negócios!P:P,D25,Negócios!H:H,"Implementação"),SUMIFS(Negócios!I:I,Negócios!A:A,A25,Negócios!B:B,B25,Negócios!P:P,D25,Negócios!H:H,"Implementação")))</f>
        <v>0</v>
      </c>
      <c r="AD25" s="16">
        <f>SUMIFS(Parâmetros!W:W,Parâmetros!A:A,A25,Parâmetros!B:B,B25,Parâmetros!D:D,D25) * AC25 * IF(K25 &gt;= SUMIFS(Parâmetros!V:V,Parâmetros!A:A,A25,Parâmetros!B:B,B25,Parâmetros!D:D,D25),1,0)</f>
        <v>0</v>
      </c>
      <c r="AE25" s="15">
        <f>SUMIFS('Recuperação de Canc e Divs'!D:D,'Recuperação de Canc e Divs'!A:A,A25,'Recuperação de Canc e Divs'!B:B,B25,'Recuperação de Canc e Divs'!C:C,D25)</f>
        <v>2102.2800000000002</v>
      </c>
      <c r="AF25" s="16">
        <f>IF(K25&gt;=SUMIFS(Parâmetros!J:J,Parâmetros!A:A,A25,Parâmetros!B:B,B25,Parâmetros!D:D,D25),AE25*0.025,0)</f>
        <v>52.557000000000009</v>
      </c>
      <c r="AG25" s="15" t="str">
        <f t="shared" si="0"/>
        <v/>
      </c>
      <c r="AH25" s="16" t="str">
        <f t="shared" si="1"/>
        <v/>
      </c>
      <c r="AI25" s="90">
        <f t="shared" si="2"/>
        <v>0</v>
      </c>
      <c r="AJ25" s="16" t="str">
        <f t="shared" si="3"/>
        <v/>
      </c>
      <c r="AK25" s="16" t="str">
        <f t="shared" si="4"/>
        <v/>
      </c>
      <c r="AL25" s="90">
        <f t="shared" si="5"/>
        <v>0</v>
      </c>
      <c r="AM25" s="93" t="str">
        <f>IF(AND(OR(B25=3,B25=6,B25=9,B25=12),AI25&gt;=1),
IF(F25="Gestor",AI25*0.6,AI25*0.3),"")</f>
        <v/>
      </c>
      <c r="AN25" s="94" t="str">
        <f>IF(OR(B25=3,B25=6,B25=9,B25=12),
IF(AND(AK25&gt;=1,AI25&gt;=SUMIFS(Parâmetros!G:G,Parâmetros!A:A,Comissões!A25,Parâmetros!B:B,Comissões!B25,Parâmetros!D:D,Comissões!D25,Parâmetros!E:E,Comissões!E25)),AI25*0.3,""),"")</f>
        <v/>
      </c>
    </row>
    <row r="26" spans="1:40" hidden="1">
      <c r="A26" s="7">
        <v>2026</v>
      </c>
      <c r="B26" s="7">
        <v>1</v>
      </c>
      <c r="C26" s="7" t="str">
        <v>Rosana Machado</v>
      </c>
      <c r="D26" s="7" t="str">
        <v>rosana@altoqi.com.br</v>
      </c>
      <c r="E26" s="7" t="str">
        <v>Saving</v>
      </c>
      <c r="F26" s="7" t="str">
        <v>Consultor</v>
      </c>
      <c r="G26" s="7" t="str">
        <v>beatriz@altoqi.com.br</v>
      </c>
      <c r="H26" s="7" t="str">
        <v>MRR</v>
      </c>
      <c r="I26" s="15">
        <f>IF(AND(F26="Consultor",H26="MRR"),SUMIFS(Negócios!L:L,Negócios!A:A,A26,Negócios!B:B,B26,Negócios!P:P,D26),
IF(AND(F26="Consultor",H26="Opps"),SUMIFS('Realizado GD'!D:D,'Realizado GD'!A:A,A26,'Realizado GD'!B:B,B26,'Realizado GD'!C:C,D26),
IF(AND(F26="Gestor",H26="MRR"),SUMIFS(I:I,A:A,A26,B:B,B26,G:G,D26))))</f>
        <v>13165.919999999996</v>
      </c>
      <c r="J26" s="16">
        <f>SUMIFS(Metas!K:K,Metas!A:A,A26,Metas!B:B,B26,Metas!D:D,D26,Metas!H:H,H26)</f>
        <v>11424.3</v>
      </c>
      <c r="K26" s="10">
        <f t="shared" si="6"/>
        <v>1.1524487277119821</v>
      </c>
      <c r="L26" s="26" t="str" cm="1">
        <f t="array" ref="L26">_xlfn.LET(
 _xlpm.g,_xlfn.MAXIFS(Parâmetros!G:G,Parâmetros!A:A,A26,Parâmetros!B:B,B26,Parâmetros!D:D,D26,Parâmetros!E:E,E26),
 _xlpm.j,_xlfn.MAXIFS(Parâmetros!J:J,Parâmetros!A:A,A26,Parâmetros!B:B,B26,Parâmetros!D:D,D26,Parâmetros!E:E,E26),
 _xlpm.m,_xlfn.MAXIFS(Parâmetros!M:M,Parâmetros!A:A,A26,Parâmetros!B:B,B26,Parâmetros!D:D,D26,Parâmetros!E:E,E26),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60,00% | 75,00% | 100,00%</v>
      </c>
      <c r="M26" s="28">
        <f>IF(AND(F26="Gestor",H26="MRR"),SUMIFS(M:M,A:A,A26,B:B,B26,G:G,D26),
SUMIFS(Negócios!L:L,Negócios!A:A,A26,Negócios!B:B,B26,Negócios!P:P,D26,Negócios!AG:AG,"À Vista",Negócios!Q:Q,E26))</f>
        <v>2085.4499999999998</v>
      </c>
      <c r="N26" s="10">
        <f t="shared" si="7"/>
        <v>0.15839759014182073</v>
      </c>
      <c r="O26" s="30">
        <f>SUMIFS('Acel Form Pag'!D:D,'Acel Form Pag'!A:A,A26,'Acel Form Pag'!B:B,B26,'Acel Form Pag'!C:C,E26)</f>
        <v>1.2</v>
      </c>
      <c r="P26" s="32">
        <f>IF(AND(F26="Gestor",H26="MRR"),SUMIFS(P:P,A:A,A26,B:B,B26,G:G,D26),
SUMIFS(Negócios!L:L,Negócios!A:A,A26,Negócios!B:B,B26,Negócios!P:P,D26,Negócios!AG:AG,"CC 3x",Negócios!Q:Q,E26))</f>
        <v>0</v>
      </c>
      <c r="Q26" s="10">
        <f t="shared" si="8"/>
        <v>0</v>
      </c>
      <c r="R26" s="30">
        <f>SUMIFS('Acel Form Pag'!E:E,'Acel Form Pag'!A:A,A26,'Acel Form Pag'!B:B,B26,'Acel Form Pag'!C:C,E26)</f>
        <v>1.1499999999999999</v>
      </c>
      <c r="S26" s="32">
        <f>IF(AND(F26="Gestor",H26="MRR"),SUMIFS(S:S,A:A,A26,B:B,B26,G:G,D26),
SUMIFS(Negócios!L:L,Negócios!A:A,A26,Negócios!B:B,B26,Negócios!P:P,D26,Negócios!AG:AG,"CC 12x",Negócios!Q:Q,E26))</f>
        <v>4142.8900000000003</v>
      </c>
      <c r="T26" s="10">
        <f t="shared" si="9"/>
        <v>0.31466771786551956</v>
      </c>
      <c r="U26" s="30">
        <f>SUMIFS('Acel Form Pag'!F:F,'Acel Form Pag'!A:A,A26,'Acel Form Pag'!B:B,B26,'Acel Form Pag'!C:C,E26)</f>
        <v>1.1000000000000001</v>
      </c>
      <c r="V26" s="32">
        <f>IF(AND(F26="Gestor",H26="MRR"),SUMIFS(V:V,A:A,A26,B:B,B26,G:G,D26),
SUMIFS(Negócios!L:L,Negócios!A:A,A26,Negócios!B:B,B26,Negócios!P:P,D26,Negócios!AG:AG,"Recorrente",Negócios!Q:Q,E26))</f>
        <v>6937.579999999999</v>
      </c>
      <c r="W26" s="10">
        <f t="shared" si="10"/>
        <v>0.52693469199265985</v>
      </c>
      <c r="X26" s="34">
        <f>SUMIFS('Acel Form Pag'!G:G,'Acel Form Pag'!A:A,A26,'Acel Form Pag'!B:B,B26,'Acel Form Pag'!C:C,E26)</f>
        <v>1</v>
      </c>
      <c r="Y26" s="24">
        <f>MAX(_xlfn.MAXIFS(Parâmetros!O:O,Parâmetros!A:A,A26,Parâmetros!B:B,B26,Parâmetros!D:D,D26,Parâmetros!M:M,"&lt;="&amp;K26),_xlfn.MAXIFS(Parâmetros!L:L,Parâmetros!A:A,A26,Parâmetros!B:B,B26,Parâmetros!D:D,D26,Parâmetros!J:J,"&lt;="&amp;K26),_xlfn.MAXIFS(Parâmetros!I:I,Parâmetros!A:A,A26,Parâmetros!B:B,B26,Parâmetros!D:D,D26))</f>
        <v>5400</v>
      </c>
      <c r="Z26" s="9">
        <f>MAX(_xlfn.MAXIFS(Parâmetros!Q:Q,Parâmetros!A:A,A26,Parâmetros!B:B,B26,Parâmetros!D:D,D26,Parâmetros!E:E,E26,Parâmetros!P:P,"&lt;="&amp;K26),
_xlfn.MAXIFS(Parâmetros!S:S,Parâmetros!A:A,A26,Parâmetros!B:B,B26,Parâmetros!D:D,D26,Parâmetros!E:E,E26,Parâmetros!R:R,"&lt;="&amp;K26),
_xlfn.MAXIFS(Parâmetros!U:U,Parâmetros!A:A,A26,Parâmetros!B:B,B26,Parâmetros!D:D,D26,Parâmetros!E:E,E26,Parâmetros!T:T,"&lt;="&amp;K26),1) * IF(K26 &gt;= SUMIFS(Parâmetros!G:G,Parâmetros!A:A,A26,Parâmetros!B:B,B26,Parâmetros!D:D,D26,Parâmetros!E:E,E26),1,0)</f>
        <v>1.1000000000000001</v>
      </c>
      <c r="AA26" s="16">
        <f>Y26*Z26*K26</f>
        <v>6845.5454426091746</v>
      </c>
      <c r="AB26" s="16">
        <f>(AA26*N26*O26) + (AA26*Q26*R26) + (AA26*T26*U26) + (AA26*W26*X26)</f>
        <v>7277.8162390693524</v>
      </c>
      <c r="AC26" s="15">
        <f>IF(F26="Gestor",SUMIFS(AC:AC,A:A,A26,B:B,B26,G:G,D26),
IF(E26="Saving",SUMIFS(Negócios!I:I,Negócios!A:A,A26,Negócios!B:B,B26,Negócios!P:P,D26,Negócios!H:H,"Curso") + SUMIFS(Negócios!I:I,Negócios!A:A,A26,Negócios!B:B,B26,Negócios!P:P,D26,Negócios!H:H,"Serviço") + SUMIFS(Negócios!I:I,Negócios!A:A,A26,Negócios!B:B,B26,Negócios!P:P,D26,Negócios!H:H,"Implementação"),SUMIFS(Negócios!I:I,Negócios!A:A,A26,Negócios!B:B,B26,Negócios!P:P,D26,Negócios!H:H,"Implementação")))</f>
        <v>1977.84</v>
      </c>
      <c r="AD26" s="16">
        <f>SUMIFS(Parâmetros!W:W,Parâmetros!A:A,A26,Parâmetros!B:B,B26,Parâmetros!D:D,D26) * AC26 * IF(K26 &gt;= SUMIFS(Parâmetros!V:V,Parâmetros!A:A,A26,Parâmetros!B:B,B26,Parâmetros!D:D,D26),1,0)</f>
        <v>19.778400000000001</v>
      </c>
      <c r="AE26" s="15">
        <f>SUMIFS('Recuperação de Canc e Divs'!D:D,'Recuperação de Canc e Divs'!A:A,A26,'Recuperação de Canc e Divs'!B:B,B26,'Recuperação de Canc e Divs'!C:C,D26)</f>
        <v>3626.1</v>
      </c>
      <c r="AF26" s="16">
        <f>IF(K26&gt;=SUMIFS(Parâmetros!J:J,Parâmetros!A:A,A26,Parâmetros!B:B,B26,Parâmetros!D:D,D26),AE26*0.025,0)</f>
        <v>90.652500000000003</v>
      </c>
      <c r="AG26" s="15" t="str">
        <f t="shared" si="0"/>
        <v/>
      </c>
      <c r="AH26" s="16" t="str">
        <f t="shared" si="1"/>
        <v/>
      </c>
      <c r="AI26" s="90">
        <f t="shared" si="2"/>
        <v>0</v>
      </c>
      <c r="AJ26" s="16" t="str">
        <f t="shared" si="3"/>
        <v/>
      </c>
      <c r="AK26" s="16" t="str">
        <f t="shared" si="4"/>
        <v/>
      </c>
      <c r="AL26" s="90">
        <f t="shared" si="5"/>
        <v>0</v>
      </c>
      <c r="AM26" s="93" t="str">
        <f>IF(AND(OR(B26=3,B26=6,B26=9,B26=12),AI26&gt;=1),
IF(F26="Gestor",AI26*0.6,AI26*0.3),"")</f>
        <v/>
      </c>
      <c r="AN26" s="94" t="str">
        <f>IF(OR(B26=3,B26=6,B26=9,B26=12),
IF(AND(AK26&gt;=1,AI26&gt;=SUMIFS(Parâmetros!G:G,Parâmetros!A:A,Comissões!A26,Parâmetros!B:B,Comissões!B26,Parâmetros!D:D,Comissões!D26,Parâmetros!E:E,Comissões!E26)),AI26*0.3,""),"")</f>
        <v/>
      </c>
    </row>
    <row r="27" spans="1:40" hidden="1">
      <c r="A27" s="7">
        <v>2026</v>
      </c>
      <c r="B27" s="7">
        <v>1</v>
      </c>
      <c r="C27" s="7" t="str">
        <v>Rubia Estipe</v>
      </c>
      <c r="D27" s="7" t="str">
        <v>rubia.estipe@altoqi.com.br</v>
      </c>
      <c r="E27" s="7" t="str">
        <v>Saving</v>
      </c>
      <c r="F27" s="7" t="str">
        <v>Consultor</v>
      </c>
      <c r="G27" s="7" t="str">
        <v>beatriz@altoqi.com.br</v>
      </c>
      <c r="H27" s="7" t="str">
        <v>MRR</v>
      </c>
      <c r="I27" s="15">
        <f>IF(AND(F27="Consultor",H27="MRR"),SUMIFS(Negócios!L:L,Negócios!A:A,A27,Negócios!B:B,B27,Negócios!P:P,D27),
IF(AND(F27="Consultor",H27="Opps"),SUMIFS('Realizado GD'!D:D,'Realizado GD'!A:A,A27,'Realizado GD'!B:B,B27,'Realizado GD'!C:C,D27),
IF(AND(F27="Gestor",H27="MRR"),SUMIFS(I:I,A:A,A27,B:B,B27,G:G,D27))))</f>
        <v>18375.600000000006</v>
      </c>
      <c r="J27" s="16">
        <f>SUMIFS(Metas!K:K,Metas!A:A,A27,Metas!B:B,B27,Metas!D:D,D27,Metas!H:H,H27)</f>
        <v>13955.9</v>
      </c>
      <c r="K27" s="10">
        <f t="shared" si="6"/>
        <v>1.3166904320036692</v>
      </c>
      <c r="L27" s="26" t="str" cm="1">
        <f t="array" ref="L27">_xlfn.LET(
 _xlpm.g,_xlfn.MAXIFS(Parâmetros!G:G,Parâmetros!A:A,A27,Parâmetros!B:B,B27,Parâmetros!D:D,D27,Parâmetros!E:E,E27),
 _xlpm.j,_xlfn.MAXIFS(Parâmetros!J:J,Parâmetros!A:A,A27,Parâmetros!B:B,B27,Parâmetros!D:D,D27,Parâmetros!E:E,E27),
 _xlpm.m,_xlfn.MAXIFS(Parâmetros!M:M,Parâmetros!A:A,A27,Parâmetros!B:B,B27,Parâmetros!D:D,D27,Parâmetros!E:E,E27),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60,00% | 75,00% | 100,00%</v>
      </c>
      <c r="M27" s="28">
        <f>IF(AND(F27="Gestor",H27="MRR"),SUMIFS(M:M,A:A,A27,B:B,B27,G:G,D27),
SUMIFS(Negócios!L:L,Negócios!A:A,A27,Negócios!B:B,B27,Negócios!P:P,D27,Negócios!AG:AG,"À Vista",Negócios!Q:Q,E27))</f>
        <v>1956.18</v>
      </c>
      <c r="N27" s="10">
        <f t="shared" si="7"/>
        <v>0.10645529941879446</v>
      </c>
      <c r="O27" s="30">
        <f>SUMIFS('Acel Form Pag'!D:D,'Acel Form Pag'!A:A,A27,'Acel Form Pag'!B:B,B27,'Acel Form Pag'!C:C,E27)</f>
        <v>1.2</v>
      </c>
      <c r="P27" s="32">
        <f>IF(AND(F27="Gestor",H27="MRR"),SUMIFS(P:P,A:A,A27,B:B,B27,G:G,D27),
SUMIFS(Negócios!L:L,Negócios!A:A,A27,Negócios!B:B,B27,Negócios!P:P,D27,Negócios!AG:AG,"CC 3x",Negócios!Q:Q,E27))</f>
        <v>0</v>
      </c>
      <c r="Q27" s="10">
        <f t="shared" si="8"/>
        <v>0</v>
      </c>
      <c r="R27" s="30">
        <f>SUMIFS('Acel Form Pag'!E:E,'Acel Form Pag'!A:A,A27,'Acel Form Pag'!B:B,B27,'Acel Form Pag'!C:C,E27)</f>
        <v>1.1499999999999999</v>
      </c>
      <c r="S27" s="32">
        <f>IF(AND(F27="Gestor",H27="MRR"),SUMIFS(S:S,A:A,A27,B:B,B27,G:G,D27),
SUMIFS(Negócios!L:L,Negócios!A:A,A27,Negócios!B:B,B27,Negócios!P:P,D27,Negócios!AG:AG,"CC 12x",Negócios!Q:Q,E27))</f>
        <v>6937.9199999999983</v>
      </c>
      <c r="T27" s="10">
        <f t="shared" si="9"/>
        <v>0.37756154901064432</v>
      </c>
      <c r="U27" s="30">
        <f>SUMIFS('Acel Form Pag'!F:F,'Acel Form Pag'!A:A,A27,'Acel Form Pag'!B:B,B27,'Acel Form Pag'!C:C,E27)</f>
        <v>1.1000000000000001</v>
      </c>
      <c r="V27" s="32">
        <f>IF(AND(F27="Gestor",H27="MRR"),SUMIFS(V:V,A:A,A27,B:B,B27,G:G,D27),
SUMIFS(Negócios!L:L,Negócios!A:A,A27,Negócios!B:B,B27,Negócios!P:P,D27,Negócios!AG:AG,"Recorrente",Negócios!Q:Q,E27))</f>
        <v>9481.4999999999982</v>
      </c>
      <c r="W27" s="10">
        <f t="shared" si="10"/>
        <v>0.51598315157056074</v>
      </c>
      <c r="X27" s="34">
        <f>SUMIFS('Acel Form Pag'!G:G,'Acel Form Pag'!A:A,A27,'Acel Form Pag'!B:B,B27,'Acel Form Pag'!C:C,E27)</f>
        <v>1</v>
      </c>
      <c r="Y27" s="24">
        <f>MAX(_xlfn.MAXIFS(Parâmetros!O:O,Parâmetros!A:A,A27,Parâmetros!B:B,B27,Parâmetros!D:D,D27,Parâmetros!M:M,"&lt;="&amp;K27),_xlfn.MAXIFS(Parâmetros!L:L,Parâmetros!A:A,A27,Parâmetros!B:B,B27,Parâmetros!D:D,D27,Parâmetros!J:J,"&lt;="&amp;K27),_xlfn.MAXIFS(Parâmetros!I:I,Parâmetros!A:A,A27,Parâmetros!B:B,B27,Parâmetros!D:D,D27))</f>
        <v>8100</v>
      </c>
      <c r="Z27" s="9">
        <f>MAX(_xlfn.MAXIFS(Parâmetros!Q:Q,Parâmetros!A:A,A27,Parâmetros!B:B,B27,Parâmetros!D:D,D27,Parâmetros!E:E,E27,Parâmetros!P:P,"&lt;="&amp;K27),
_xlfn.MAXIFS(Parâmetros!S:S,Parâmetros!A:A,A27,Parâmetros!B:B,B27,Parâmetros!D:D,D27,Parâmetros!E:E,E27,Parâmetros!R:R,"&lt;="&amp;K27),
_xlfn.MAXIFS(Parâmetros!U:U,Parâmetros!A:A,A27,Parâmetros!B:B,B27,Parâmetros!D:D,D27,Parâmetros!E:E,E27,Parâmetros!T:T,"&lt;="&amp;K27),1) * IF(K27 &gt;= SUMIFS(Parâmetros!G:G,Parâmetros!A:A,A27,Parâmetros!B:B,B27,Parâmetros!D:D,D27,Parâmetros!E:E,E27),1,0)</f>
        <v>1.1000000000000001</v>
      </c>
      <c r="AA27" s="16">
        <f>Y27*Z27*K27</f>
        <v>11731.711749152693</v>
      </c>
      <c r="AB27" s="16">
        <f>(AA27*N27*O27) + (AA27*Q27*R27) + (AA27*T27*U27) + (AA27*W27*X27)</f>
        <v>12424.436652598542</v>
      </c>
      <c r="AC27" s="15">
        <f>IF(F27="Gestor",SUMIFS(AC:AC,A:A,A27,B:B,B27,G:G,D27),
IF(E27="Saving",SUMIFS(Negócios!I:I,Negócios!A:A,A27,Negócios!B:B,B27,Negócios!P:P,D27,Negócios!H:H,"Curso") + SUMIFS(Negócios!I:I,Negócios!A:A,A27,Negócios!B:B,B27,Negócios!P:P,D27,Negócios!H:H,"Serviço") + SUMIFS(Negócios!I:I,Negócios!A:A,A27,Negócios!B:B,B27,Negócios!P:P,D27,Negócios!H:H,"Implementação"),SUMIFS(Negócios!I:I,Negócios!A:A,A27,Negócios!B:B,B27,Negócios!P:P,D27,Negócios!H:H,"Implementação")))</f>
        <v>0</v>
      </c>
      <c r="AD27" s="16">
        <f>SUMIFS(Parâmetros!W:W,Parâmetros!A:A,A27,Parâmetros!B:B,B27,Parâmetros!D:D,D27) * AC27 * IF(K27 &gt;= SUMIFS(Parâmetros!V:V,Parâmetros!A:A,A27,Parâmetros!B:B,B27,Parâmetros!D:D,D27),1,0)</f>
        <v>0</v>
      </c>
      <c r="AE27" s="15">
        <f>SUMIFS('Recuperação de Canc e Divs'!D:D,'Recuperação de Canc e Divs'!A:A,A27,'Recuperação de Canc e Divs'!B:B,B27,'Recuperação de Canc e Divs'!C:C,D27)</f>
        <v>0</v>
      </c>
      <c r="AF27" s="16">
        <f>IF(K27&gt;=SUMIFS(Parâmetros!J:J,Parâmetros!A:A,A27,Parâmetros!B:B,B27,Parâmetros!D:D,D27),AE27*0.025,0)</f>
        <v>0</v>
      </c>
      <c r="AG27" s="15" t="str">
        <f t="shared" si="0"/>
        <v/>
      </c>
      <c r="AH27" s="16" t="str">
        <f t="shared" si="1"/>
        <v/>
      </c>
      <c r="AI27" s="90">
        <f t="shared" si="2"/>
        <v>0</v>
      </c>
      <c r="AJ27" s="16" t="str">
        <f t="shared" si="3"/>
        <v/>
      </c>
      <c r="AK27" s="16" t="str">
        <f t="shared" si="4"/>
        <v/>
      </c>
      <c r="AL27" s="90">
        <f t="shared" si="5"/>
        <v>0</v>
      </c>
      <c r="AM27" s="93" t="str">
        <f>IF(AND(OR(B27=3,B27=6,B27=9,B27=12),AI27&gt;=1),
IF(F27="Gestor",AI27*0.6,AI27*0.3),"")</f>
        <v/>
      </c>
      <c r="AN27" s="94" t="str">
        <f>IF(OR(B27=3,B27=6,B27=9,B27=12),
IF(AND(AK27&gt;=1,AI27&gt;=SUMIFS(Parâmetros!G:G,Parâmetros!A:A,Comissões!A27,Parâmetros!B:B,Comissões!B27,Parâmetros!D:D,Comissões!D27,Parâmetros!E:E,Comissões!E27)),AI27*0.3,""),"")</f>
        <v/>
      </c>
    </row>
    <row r="28" spans="1:40" hidden="1">
      <c r="A28" s="7">
        <v>2026</v>
      </c>
      <c r="B28" s="7">
        <v>1</v>
      </c>
      <c r="C28" s="7" t="str">
        <v>Silvia Estipe</v>
      </c>
      <c r="D28" s="7" t="str">
        <v>silvia.estipe@altoqi.com.br</v>
      </c>
      <c r="E28" s="7" t="str">
        <v>Saving</v>
      </c>
      <c r="F28" s="7" t="str">
        <v>Consultor</v>
      </c>
      <c r="G28" s="7" t="str">
        <v>beatriz@altoqi.com.br</v>
      </c>
      <c r="H28" s="7" t="str">
        <v>MRR</v>
      </c>
      <c r="I28" s="15">
        <f>IF(AND(F28="Consultor",H28="MRR"),SUMIFS(Negócios!L:L,Negócios!A:A,A28,Negócios!B:B,B28,Negócios!P:P,D28),
IF(AND(F28="Consultor",H28="Opps"),SUMIFS('Realizado GD'!D:D,'Realizado GD'!A:A,A28,'Realizado GD'!B:B,B28,'Realizado GD'!C:C,D28),
IF(AND(F28="Gestor",H28="MRR"),SUMIFS(I:I,A:A,A28,B:B,B28,G:G,D28))))</f>
        <v>12742.91</v>
      </c>
      <c r="J28" s="16">
        <f>SUMIFS(Metas!K:K,Metas!A:A,A28,Metas!B:B,B28,Metas!D:D,D28,Metas!H:H,H28)</f>
        <v>12485.74</v>
      </c>
      <c r="K28" s="10">
        <f t="shared" si="6"/>
        <v>1.0205970971684497</v>
      </c>
      <c r="L28" s="26" t="str" cm="1">
        <f t="array" ref="L28">_xlfn.LET(
 _xlpm.g,_xlfn.MAXIFS(Parâmetros!G:G,Parâmetros!A:A,A28,Parâmetros!B:B,B28,Parâmetros!D:D,D28,Parâmetros!E:E,E28),
 _xlpm.j,_xlfn.MAXIFS(Parâmetros!J:J,Parâmetros!A:A,A28,Parâmetros!B:B,B28,Parâmetros!D:D,D28,Parâmetros!E:E,E28),
 _xlpm.m,_xlfn.MAXIFS(Parâmetros!M:M,Parâmetros!A:A,A28,Parâmetros!B:B,B28,Parâmetros!D:D,D28,Parâmetros!E:E,E28),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60,00% | 75,00% | 100,00%</v>
      </c>
      <c r="M28" s="28">
        <f>IF(AND(F28="Gestor",H28="MRR"),SUMIFS(M:M,A:A,A28,B:B,B28,G:G,D28),
SUMIFS(Negócios!L:L,Negócios!A:A,A28,Negócios!B:B,B28,Negócios!P:P,D28,Negócios!AG:AG,"À Vista",Negócios!Q:Q,E28))</f>
        <v>2667.48</v>
      </c>
      <c r="N28" s="10">
        <f t="shared" si="7"/>
        <v>0.20933052183527939</v>
      </c>
      <c r="O28" s="30">
        <f>SUMIFS('Acel Form Pag'!D:D,'Acel Form Pag'!A:A,A28,'Acel Form Pag'!B:B,B28,'Acel Form Pag'!C:C,E28)</f>
        <v>1.2</v>
      </c>
      <c r="P28" s="32">
        <f>IF(AND(F28="Gestor",H28="MRR"),SUMIFS(P:P,A:A,A28,B:B,B28,G:G,D28),
SUMIFS(Negócios!L:L,Negócios!A:A,A28,Negócios!B:B,B28,Negócios!P:P,D28,Negócios!AG:AG,"CC 3x",Negócios!Q:Q,E28))</f>
        <v>0</v>
      </c>
      <c r="Q28" s="10">
        <f t="shared" si="8"/>
        <v>0</v>
      </c>
      <c r="R28" s="30">
        <f>SUMIFS('Acel Form Pag'!E:E,'Acel Form Pag'!A:A,A28,'Acel Form Pag'!B:B,B28,'Acel Form Pag'!C:C,E28)</f>
        <v>1.1499999999999999</v>
      </c>
      <c r="S28" s="32">
        <f>IF(AND(F28="Gestor",H28="MRR"),SUMIFS(S:S,A:A,A28,B:B,B28,G:G,D28),
SUMIFS(Negócios!L:L,Negócios!A:A,A28,Negócios!B:B,B28,Negócios!P:P,D28,Negócios!AG:AG,"CC 12x",Negócios!Q:Q,E28))</f>
        <v>3528.0200000000004</v>
      </c>
      <c r="T28" s="10">
        <f t="shared" si="9"/>
        <v>0.27686140763765893</v>
      </c>
      <c r="U28" s="30">
        <f>SUMIFS('Acel Form Pag'!F:F,'Acel Form Pag'!A:A,A28,'Acel Form Pag'!B:B,B28,'Acel Form Pag'!C:C,E28)</f>
        <v>1.1000000000000001</v>
      </c>
      <c r="V28" s="32">
        <f>IF(AND(F28="Gestor",H28="MRR"),SUMIFS(V:V,A:A,A28,B:B,B28,G:G,D28),
SUMIFS(Negócios!L:L,Negócios!A:A,A28,Negócios!B:B,B28,Negócios!P:P,D28,Negócios!AG:AG,"Recorrente",Negócios!Q:Q,E28))</f>
        <v>6547.4100000000008</v>
      </c>
      <c r="W28" s="10">
        <f t="shared" si="10"/>
        <v>0.51380807052706179</v>
      </c>
      <c r="X28" s="34">
        <f>SUMIFS('Acel Form Pag'!G:G,'Acel Form Pag'!A:A,A28,'Acel Form Pag'!B:B,B28,'Acel Form Pag'!C:C,E28)</f>
        <v>1</v>
      </c>
      <c r="Y28" s="24">
        <f>MAX(_xlfn.MAXIFS(Parâmetros!O:O,Parâmetros!A:A,A28,Parâmetros!B:B,B28,Parâmetros!D:D,D28,Parâmetros!M:M,"&lt;="&amp;K28),_xlfn.MAXIFS(Parâmetros!L:L,Parâmetros!A:A,A28,Parâmetros!B:B,B28,Parâmetros!D:D,D28,Parâmetros!J:J,"&lt;="&amp;K28),_xlfn.MAXIFS(Parâmetros!I:I,Parâmetros!A:A,A28,Parâmetros!B:B,B28,Parâmetros!D:D,D28))</f>
        <v>5400</v>
      </c>
      <c r="Z28" s="9">
        <f>MAX(_xlfn.MAXIFS(Parâmetros!Q:Q,Parâmetros!A:A,A28,Parâmetros!B:B,B28,Parâmetros!D:D,D28,Parâmetros!E:E,E28,Parâmetros!P:P,"&lt;="&amp;K28),
_xlfn.MAXIFS(Parâmetros!S:S,Parâmetros!A:A,A28,Parâmetros!B:B,B28,Parâmetros!D:D,D28,Parâmetros!E:E,E28,Parâmetros!R:R,"&lt;="&amp;K28),
_xlfn.MAXIFS(Parâmetros!U:U,Parâmetros!A:A,A28,Parâmetros!B:B,B28,Parâmetros!D:D,D28,Parâmetros!E:E,E28,Parâmetros!T:T,"&lt;="&amp;K28),1) * IF(K28 &gt;= SUMIFS(Parâmetros!G:G,Parâmetros!A:A,A28,Parâmetros!B:B,B28,Parâmetros!D:D,D28,Parâmetros!E:E,E28),1,0)</f>
        <v>1.05</v>
      </c>
      <c r="AA28" s="16">
        <f>Y28*Z28*K28</f>
        <v>5786.7855409451095</v>
      </c>
      <c r="AB28" s="16">
        <f>(AA28*N28*O28) + (AA28*Q28*R28) + (AA28*T28*U28) + (AA28*W28*X28)</f>
        <v>6189.2694674084196</v>
      </c>
      <c r="AC28" s="15">
        <f>IF(F28="Gestor",SUMIFS(AC:AC,A:A,A28,B:B,B28,G:G,D28),
IF(E28="Saving",SUMIFS(Negócios!I:I,Negócios!A:A,A28,Negócios!B:B,B28,Negócios!P:P,D28,Negócios!H:H,"Curso") + SUMIFS(Negócios!I:I,Negócios!A:A,A28,Negócios!B:B,B28,Negócios!P:P,D28,Negócios!H:H,"Serviço") + SUMIFS(Negócios!I:I,Negócios!A:A,A28,Negócios!B:B,B28,Negócios!P:P,D28,Negócios!H:H,"Implementação"),SUMIFS(Negócios!I:I,Negócios!A:A,A28,Negócios!B:B,B28,Negócios!P:P,D28,Negócios!H:H,"Implementação")))</f>
        <v>0</v>
      </c>
      <c r="AD28" s="16">
        <f>SUMIFS(Parâmetros!W:W,Parâmetros!A:A,A28,Parâmetros!B:B,B28,Parâmetros!D:D,D28) * AC28 * IF(K28 &gt;= SUMIFS(Parâmetros!V:V,Parâmetros!A:A,A28,Parâmetros!B:B,B28,Parâmetros!D:D,D28),1,0)</f>
        <v>0</v>
      </c>
      <c r="AE28" s="15">
        <f>SUMIFS('Recuperação de Canc e Divs'!D:D,'Recuperação de Canc e Divs'!A:A,A28,'Recuperação de Canc e Divs'!B:B,B28,'Recuperação de Canc e Divs'!C:C,D28)</f>
        <v>0</v>
      </c>
      <c r="AF28" s="16">
        <f>IF(K28&gt;=SUMIFS(Parâmetros!J:J,Parâmetros!A:A,A28,Parâmetros!B:B,B28,Parâmetros!D:D,D28),AE28*0.025,0)</f>
        <v>0</v>
      </c>
      <c r="AG28" s="15" t="str">
        <f t="shared" si="0"/>
        <v/>
      </c>
      <c r="AH28" s="16" t="str">
        <f t="shared" si="1"/>
        <v/>
      </c>
      <c r="AI28" s="90">
        <f t="shared" si="2"/>
        <v>0</v>
      </c>
      <c r="AJ28" s="16" t="str">
        <f t="shared" si="3"/>
        <v/>
      </c>
      <c r="AK28" s="16" t="str">
        <f t="shared" si="4"/>
        <v/>
      </c>
      <c r="AL28" s="90">
        <f t="shared" si="5"/>
        <v>0</v>
      </c>
      <c r="AM28" s="93" t="str">
        <f>IF(AND(OR(B28=3,B28=6,B28=9,B28=12),AI28&gt;=1),
IF(F28="Gestor",AI28*0.6,AI28*0.3),"")</f>
        <v/>
      </c>
      <c r="AN28" s="94" t="str">
        <f>IF(OR(B28=3,B28=6,B28=9,B28=12),
IF(AND(AK28&gt;=1,AI28&gt;=SUMIFS(Parâmetros!G:G,Parâmetros!A:A,Comissões!A28,Parâmetros!B:B,Comissões!B28,Parâmetros!D:D,Comissões!D28,Parâmetros!E:E,Comissões!E28)),AI28*0.3,""),"")</f>
        <v/>
      </c>
    </row>
    <row r="29" spans="1:40" hidden="1">
      <c r="A29" s="7">
        <v>2026</v>
      </c>
      <c r="B29" s="7">
        <v>1</v>
      </c>
      <c r="C29" s="7" t="str">
        <v>Sonia Maria Zielinski Pockszevnicki</v>
      </c>
      <c r="D29" s="7" t="str">
        <v>sonia.zielinski@altoqi.com.br</v>
      </c>
      <c r="E29" s="7" t="str">
        <v>Sonia</v>
      </c>
      <c r="F29" s="7" t="str">
        <v>Gestor</v>
      </c>
      <c r="G29" s="7">
        <v>0</v>
      </c>
      <c r="H29" s="7" t="str">
        <v>MRR</v>
      </c>
      <c r="I29" s="15">
        <f>IF(AND(F29="Consultor",H29="MRR"),SUMIFS(Negócios!L:L,Negócios!A:A,A29,Negócios!B:B,B29,Negócios!P:P,D29),
IF(AND(F29="Consultor",H29="Opps"),SUMIFS('Realizado GD'!D:D,'Realizado GD'!A:A,A29,'Realizado GD'!B:B,B29,'Realizado GD'!C:C,D29),
IF(AND(F29="Gestor",H29="MRR"),SUMIFS(I:I,A:A,A29,B:B,B29,G:G,D29))))</f>
        <v>89852.64999999998</v>
      </c>
      <c r="J29" s="16">
        <f>SUMIFS(Metas!K:K,Metas!A:A,A29,Metas!B:B,B29,Metas!D:D,D29,Metas!H:H,H29)</f>
        <v>84505</v>
      </c>
      <c r="K29" s="10">
        <f t="shared" si="6"/>
        <v>1.0632820543163124</v>
      </c>
      <c r="L29" s="26" t="str" cm="1">
        <f t="array" ref="L29">_xlfn.LET(
 _xlpm.g,_xlfn.MAXIFS(Parâmetros!G:G,Parâmetros!A:A,A29,Parâmetros!B:B,B29,Parâmetros!D:D,D29,Parâmetros!E:E,E29),
 _xlpm.j,_xlfn.MAXIFS(Parâmetros!J:J,Parâmetros!A:A,A29,Parâmetros!B:B,B29,Parâmetros!D:D,D29,Parâmetros!E:E,E29),
 _xlpm.m,_xlfn.MAXIFS(Parâmetros!M:M,Parâmetros!A:A,A29,Parâmetros!B:B,B29,Parâmetros!D:D,D29,Parâmetros!E:E,E29),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55,00%</v>
      </c>
      <c r="M29" s="28">
        <f>IF(AND(F29="Gestor",H29="MRR"),SUMIFS(M:M,A:A,A29,B:B,B29,G:G,D29),
SUMIFS(Negócios!L:L,Negócios!A:A,A29,Negócios!B:B,B29,Negócios!P:P,D29,Negócios!AG:AG,"À Vista",Negócios!Q:Q,E29))</f>
        <v>9490.5</v>
      </c>
      <c r="N29" s="10">
        <f t="shared" si="7"/>
        <v>0.10562292820523382</v>
      </c>
      <c r="O29" s="30">
        <f>SUMIFS('Acel Form Pag'!D:D,'Acel Form Pag'!A:A,A29,'Acel Form Pag'!B:B,B29,'Acel Form Pag'!C:C,E29)</f>
        <v>1.4</v>
      </c>
      <c r="P29" s="32">
        <f>IF(AND(F29="Gestor",H29="MRR"),SUMIFS(P:P,A:A,A29,B:B,B29,G:G,D29),
SUMIFS(Negócios!L:L,Negócios!A:A,A29,Negócios!B:B,B29,Negócios!P:P,D29,Negócios!AG:AG,"CC 3x",Negócios!Q:Q,E29))</f>
        <v>1233.45</v>
      </c>
      <c r="Q29" s="10">
        <f t="shared" si="8"/>
        <v>1.3727474927005495E-2</v>
      </c>
      <c r="R29" s="30">
        <f>SUMIFS('Acel Form Pag'!E:E,'Acel Form Pag'!A:A,A29,'Acel Form Pag'!B:B,B29,'Acel Form Pag'!C:C,E29)</f>
        <v>1.3</v>
      </c>
      <c r="S29" s="32">
        <f>IF(AND(F29="Gestor",H29="MRR"),SUMIFS(S:S,A:A,A29,B:B,B29,G:G,D29),
SUMIFS(Negócios!L:L,Negócios!A:A,A29,Negócios!B:B,B29,Negócios!P:P,D29,Negócios!AG:AG,"CC 12x",Negócios!Q:Q,E29))</f>
        <v>23440.63</v>
      </c>
      <c r="T29" s="10">
        <f t="shared" si="9"/>
        <v>0.26087856062119485</v>
      </c>
      <c r="U29" s="30">
        <f>SUMIFS('Acel Form Pag'!F:F,'Acel Form Pag'!A:A,A29,'Acel Form Pag'!B:B,B29,'Acel Form Pag'!C:C,E29)</f>
        <v>1.2</v>
      </c>
      <c r="V29" s="32">
        <f>IF(AND(F29="Gestor",H29="MRR"),SUMIFS(V:V,A:A,A29,B:B,B29,G:G,D29),
SUMIFS(Negócios!L:L,Negócios!A:A,A29,Negócios!B:B,B29,Negócios!P:P,D29,Negócios!AG:AG,"Recorrente",Negócios!Q:Q,E29))</f>
        <v>55290.750000000007</v>
      </c>
      <c r="W29" s="10">
        <f t="shared" si="10"/>
        <v>0.61534912993662427</v>
      </c>
      <c r="X29" s="34">
        <f>SUMIFS('Acel Form Pag'!G:G,'Acel Form Pag'!A:A,A29,'Acel Form Pag'!B:B,B29,'Acel Form Pag'!C:C,E29)</f>
        <v>1</v>
      </c>
      <c r="Y29" s="24">
        <f>MAX(_xlfn.MAXIFS(Parâmetros!O:O,Parâmetros!A:A,A29,Parâmetros!B:B,B29,Parâmetros!D:D,D29,Parâmetros!M:M,"&lt;="&amp;K29),_xlfn.MAXIFS(Parâmetros!L:L,Parâmetros!A:A,A29,Parâmetros!B:B,B29,Parâmetros!D:D,D29,Parâmetros!J:J,"&lt;="&amp;K29),_xlfn.MAXIFS(Parâmetros!I:I,Parâmetros!A:A,A29,Parâmetros!B:B,B29,Parâmetros!D:D,D29))</f>
        <v>8976</v>
      </c>
      <c r="Z29" s="9">
        <f>MAX(_xlfn.MAXIFS(Parâmetros!Q:Q,Parâmetros!A:A,A29,Parâmetros!B:B,B29,Parâmetros!D:D,D29,Parâmetros!E:E,E29,Parâmetros!P:P,"&lt;="&amp;K29),
_xlfn.MAXIFS(Parâmetros!S:S,Parâmetros!A:A,A29,Parâmetros!B:B,B29,Parâmetros!D:D,D29,Parâmetros!E:E,E29,Parâmetros!R:R,"&lt;="&amp;K29),
_xlfn.MAXIFS(Parâmetros!U:U,Parâmetros!A:A,A29,Parâmetros!B:B,B29,Parâmetros!D:D,D29,Parâmetros!E:E,E29,Parâmetros!T:T,"&lt;="&amp;K29),1) * IF(K29 &gt;= SUMIFS(Parâmetros!G:G,Parâmetros!A:A,A29,Parâmetros!B:B,B29,Parâmetros!D:D,D29,Parâmetros!E:E,E29),1,0)</f>
        <v>1.25</v>
      </c>
      <c r="AA29" s="16">
        <f>Y29*Z29*K29</f>
        <v>11930.024649429026</v>
      </c>
      <c r="AB29" s="16">
        <f>(AA29*N29*O29) + (AA29*Q29*R29) + (AA29*T29*U29) + (AA29*W29*X29)</f>
        <v>13052.893118987044</v>
      </c>
      <c r="AC29" s="15">
        <f>IF(F29="Gestor",SUMIFS(AC:AC,A:A,A29,B:B,B29,G:G,D29),
IF(E29="Saving",SUMIFS(Negócios!I:I,Negócios!A:A,A29,Negócios!B:B,B29,Negócios!P:P,D29,Negócios!H:H,"Curso") + SUMIFS(Negócios!I:I,Negócios!A:A,A29,Negócios!B:B,B29,Negócios!P:P,D29,Negócios!H:H,"Serviço") + SUMIFS(Negócios!I:I,Negócios!A:A,A29,Negócios!B:B,B29,Negócios!P:P,D29,Negócios!H:H,"Implementação"),SUMIFS(Negócios!I:I,Negócios!A:A,A29,Negócios!B:B,B29,Negócios!P:P,D29,Negócios!H:H,"Implementação")))</f>
        <v>0</v>
      </c>
      <c r="AD29" s="16">
        <f>SUMIFS(Parâmetros!W:W,Parâmetros!A:A,A29,Parâmetros!B:B,B29,Parâmetros!D:D,D29) * AC29 * IF(K29 &gt;= SUMIFS(Parâmetros!V:V,Parâmetros!A:A,A29,Parâmetros!B:B,B29,Parâmetros!D:D,D29),1,0)</f>
        <v>0</v>
      </c>
      <c r="AE29" s="15">
        <f>SUMIFS('Recuperação de Canc e Divs'!D:D,'Recuperação de Canc e Divs'!A:A,A29,'Recuperação de Canc e Divs'!B:B,B29,'Recuperação de Canc e Divs'!C:C,D29)</f>
        <v>0</v>
      </c>
      <c r="AF29" s="16">
        <f>IF(K29&gt;=SUMIFS(Parâmetros!J:J,Parâmetros!A:A,A29,Parâmetros!B:B,B29,Parâmetros!D:D,D29),AE29*0.025,0)</f>
        <v>0</v>
      </c>
      <c r="AG29" s="15" t="str">
        <f t="shared" si="0"/>
        <v/>
      </c>
      <c r="AH29" s="16" t="str">
        <f t="shared" si="1"/>
        <v/>
      </c>
      <c r="AI29" s="90">
        <f t="shared" si="2"/>
        <v>0</v>
      </c>
      <c r="AJ29" s="16" t="str">
        <f t="shared" si="3"/>
        <v/>
      </c>
      <c r="AK29" s="16" t="str">
        <f t="shared" si="4"/>
        <v/>
      </c>
      <c r="AL29" s="90">
        <f t="shared" si="5"/>
        <v>0</v>
      </c>
      <c r="AM29" s="93" t="str">
        <f>IF(AND(OR(B29=3,B29=6,B29=9,B29=12),AI29&gt;=1),
IF(F29="Gestor",AI29*0.6,AI29*0.3),"")</f>
        <v/>
      </c>
      <c r="AN29" s="94" t="str">
        <f>IF(OR(B29=3,B29=6,B29=9,B29=12),
IF(AND(AK29&gt;=1,AI29&gt;=SUMIFS(Parâmetros!G:G,Parâmetros!A:A,Comissões!A29,Parâmetros!B:B,Comissões!B29,Parâmetros!D:D,Comissões!D29,Parâmetros!E:E,Comissões!E29)),AI29*0.3,""),"")</f>
        <v/>
      </c>
    </row>
    <row r="30" spans="1:40" hidden="1">
      <c r="A30" s="7">
        <v>2026</v>
      </c>
      <c r="B30" s="7">
        <v>2</v>
      </c>
      <c r="C30" s="7" t="str">
        <v>Francisco Guilherme Junior</v>
      </c>
      <c r="D30" s="7" t="str">
        <v>francisco.junior@altoqi.com.br</v>
      </c>
      <c r="E30" s="7" t="str">
        <v>Ares</v>
      </c>
      <c r="F30" s="7" t="str">
        <v>Consultor</v>
      </c>
      <c r="G30" s="7" t="str">
        <v>sonia.zielinski@altoqi.com.br</v>
      </c>
      <c r="H30" s="7" t="str">
        <v>MRR</v>
      </c>
      <c r="I30" s="86">
        <f>IF(AND(F30="Consultor",H30="MRR"),SUMIFS(Negócios!L:L,Negócios!A:A,A30,Negócios!B:B,B30,Negócios!P:P,D30),
IF(AND(F30="Consultor",H30="Opps"),SUMIFS('Realizado GD'!D:D,'Realizado GD'!A:A,A30,'Realizado GD'!B:B,B30,'Realizado GD'!C:C,D30),
IF(AND(F30="Gestor",E30="Sonia",H30="MRR"),SUMIFS(I:I,A:A,A30,B:B,B30,G:G,D30) + SUMIFS(I:I,A:A,A30,B:B,B30,G:G,"anderson.ortiz@altoqi.com.br"),
IF(AND(F30="Gestor",H30="MRR"),SUMIFS(I:I,A:A,A30,B:B,B30,G:G,D30)))))</f>
        <v>4658.3450000000003</v>
      </c>
      <c r="J30" s="16">
        <f>SUMIFS(Metas!K:K,Metas!A:A,A30,Metas!B:B,B30,Metas!D:D,D30,Metas!H:H,H30)</f>
        <v>7150</v>
      </c>
      <c r="K30" s="10">
        <f t="shared" ref="K30:K57" si="11">IFERROR(I30/J30,0)</f>
        <v>0.6515167832167833</v>
      </c>
      <c r="L30" s="26" t="str" cm="1">
        <f t="array" ref="L30">_xlfn.LET(
 _xlpm.g,_xlfn.MAXIFS(Parâmetros!G:G,Parâmetros!A:A,A30,Parâmetros!B:B,B30,Parâmetros!D:D,D30,Parâmetros!E:E,E30),
 _xlpm.j,_xlfn.MAXIFS(Parâmetros!J:J,Parâmetros!A:A,A30,Parâmetros!B:B,B30,Parâmetros!D:D,D30,Parâmetros!E:E,E30),
 _xlpm.m,_xlfn.MAXIFS(Parâmetros!M:M,Parâmetros!A:A,A30,Parâmetros!B:B,B30,Parâmetros!D:D,D30,Parâmetros!E:E,E30),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55,00%</v>
      </c>
      <c r="M30" s="28">
        <f>IF(AND(F30="Gestor",E30="Sonia",H30="MRR"),SUMIFS(M:M,A:A,A30,B:B,B30,G:G,D30) + SUMIFS(M:M,A:A,A30,B:B,B30,G:G,"anderson.ortiz@altoqi.com.br"),
IF(AND(F30="Gestor",H30="MRR"),SUMIFS(M:M,A:A,A30,B:B,B30,G:G,D30),
SUMIFS(Negócios!L:L,Negócios!A:A,A30,Negócios!B:B,B30,Negócios!P:P,D30,Negócios!AG:AG,"À Vista")))</f>
        <v>1102.5</v>
      </c>
      <c r="N30" s="10">
        <f t="shared" ref="N30:N37" si="12">IFERROR(M30/$I30,0)</f>
        <v>0.23667203695733141</v>
      </c>
      <c r="O30" s="30">
        <f>SUMIFS('Acel Form Pag'!D:D,'Acel Form Pag'!A:A,A30,'Acel Form Pag'!B:B,B30,'Acel Form Pag'!C:C,E30)</f>
        <v>1.3</v>
      </c>
      <c r="P30" s="87">
        <f>IF(AND(F30="Gestor",E30="Sonia",H30="MRR"),SUMIFS(P:P,A:A,A30,B:B,B30,G:G,D30) + SUMIFS(P:P,A:A,A30,B:B,B30,G:G,"anderson.ortiz@altoqi.com.br"),
IF(AND(F30="Gestor",H30="MRR"),SUMIFS(P:P,A:A,A30,B:B,B30,G:G,D30),
SUMIFS(Negócios!L:L,Negócios!A:A,A30,Negócios!B:B,B30,Negócios!P:P,D30,Negócios!AG:AG,"CC 3x")))</f>
        <v>0</v>
      </c>
      <c r="Q30" s="10">
        <f t="shared" ref="Q30:Q37" si="13">IFERROR(P30/$I30,0)</f>
        <v>0</v>
      </c>
      <c r="R30" s="30">
        <f>SUMIFS('Acel Form Pag'!E:E,'Acel Form Pag'!A:A,A30,'Acel Form Pag'!B:B,B30,'Acel Form Pag'!C:C,E30)</f>
        <v>1.2</v>
      </c>
      <c r="S30" s="32">
        <f>IF(AND(F30="Gestor",E30="Sonia",H30="MRR"),SUMIFS(S:S,A:A,A30,B:B,B30,G:G,D30) + SUMIFS(S:S,A:A,A30,B:B,B30,G:G,"anderson.ortiz@altoqi.com.br"),
IF(AND(F30="Gestor",H30="MRR"),SUMIFS(S:S,A:A,A30,B:B,B30,G:G,D30),
SUMIFS(Negócios!L:L,Negócios!A:A,A30,Negócios!B:B,B30,Negócios!P:P,D30,Negócios!AG:AG,"CC 12x")))</f>
        <v>913.31999999999994</v>
      </c>
      <c r="T30" s="10">
        <f t="shared" ref="T30:T37" si="14">IFERROR(S30/$I30,0)</f>
        <v>0.19606104743208155</v>
      </c>
      <c r="U30" s="30">
        <f>SUMIFS('Acel Form Pag'!F:F,'Acel Form Pag'!A:A,A30,'Acel Form Pag'!B:B,B30,'Acel Form Pag'!C:C,E30)</f>
        <v>1.1499999999999999</v>
      </c>
      <c r="V30" s="32">
        <f>IF(AND(F30="Gestor",E30="Sonia",H30="MRR"),SUMIFS(V:V,A:A,A30,B:B,B30,G:G,D30) + SUMIFS(V:V,A:A,A30,B:B,B30,G:G,"anderson.ortiz@altoqi.com.br"),
IF(AND(F30="Gestor",H30="MRR"),SUMIFS(V:V,A:A,A30,B:B,B30,G:G,D30),
SUMIFS(Negócios!L:L,Negócios!A:A,A30,Negócios!B:B,B30,Negócios!P:P,D30,Negócios!AG:AG,"Recorrente")))</f>
        <v>2642.5249999999996</v>
      </c>
      <c r="W30" s="10">
        <f t="shared" si="10"/>
        <v>0.56726691561058695</v>
      </c>
      <c r="X30" s="34">
        <f>SUMIFS('Acel Form Pag'!G:G,'Acel Form Pag'!A:A,A30,'Acel Form Pag'!B:B,B30,'Acel Form Pag'!C:C,E30)</f>
        <v>1</v>
      </c>
      <c r="Y30" s="24">
        <f>MAX(_xlfn.MAXIFS(Parâmetros!O:O,Parâmetros!A:A,A30,Parâmetros!B:B,B30,Parâmetros!D:D,D30,Parâmetros!M:M,"&lt;="&amp;K30),_xlfn.MAXIFS(Parâmetros!L:L,Parâmetros!A:A,A30,Parâmetros!B:B,B30,Parâmetros!D:D,D30,Parâmetros!J:J,"&lt;="&amp;K30),_xlfn.MAXIFS(Parâmetros!I:I,Parâmetros!A:A,A30,Parâmetros!B:B,B30,Parâmetros!D:D,D30))</f>
        <v>2088</v>
      </c>
      <c r="Z30" s="9">
        <f>MAX(_xlfn.MAXIFS(Parâmetros!Q:Q,Parâmetros!A:A,A30,Parâmetros!B:B,B30,Parâmetros!D:D,D30,Parâmetros!E:E,E30,Parâmetros!P:P,"&lt;="&amp;K30),
_xlfn.MAXIFS(Parâmetros!S:S,Parâmetros!A:A,A30,Parâmetros!B:B,B30,Parâmetros!D:D,D30,Parâmetros!E:E,E30,Parâmetros!R:R,"&lt;="&amp;K30),
_xlfn.MAXIFS(Parâmetros!U:U,Parâmetros!A:A,A30,Parâmetros!B:B,B30,Parâmetros!D:D,D30,Parâmetros!E:E,E30,Parâmetros!T:T,"&lt;="&amp;K30),1) * IF(K30 &gt;= SUMIFS(Parâmetros!G:G,Parâmetros!A:A,A30,Parâmetros!B:B,B30,Parâmetros!D:D,D30,Parâmetros!E:E,E30),1,0)</f>
        <v>1</v>
      </c>
      <c r="AA30" s="16">
        <f>Y30*Z30*K30</f>
        <v>1360.3670433566435</v>
      </c>
      <c r="AB30" s="16">
        <f>(AA30*N30*O30) + (AA30*Q30*R30) + (AA30*T30*U30) + (AA30*W30*X30)</f>
        <v>1496.9625432167832</v>
      </c>
      <c r="AC30" s="15">
        <f>IF(F30="Gestor",SUMIFS(AC:AC,A:A,A30,B:B,B30,G:G,D30),
IF(E30="Saving",SUMIFS(Negócios!I:I,Negócios!A:A,A30,Negócios!B:B,B30,Negócios!P:P,D30,Negócios!H:H,"Curso") +
SUMIFS(Negócios!I:I,Negócios!A:A,A30,Negócios!B:B,B30,Negócios!P:P,D30,Negócios!H:H,"Serviço") +
SUMIFS(Negócios!I:I,Negócios!A:A,A30,Negócios!B:B,B30,Negócios!P:P,D30,Negócios!H:H,"Implantação"),
SUMIFS(Negócios!I:I,Negócios!A:A,A30,Negócios!B:B,B30,Negócios!P:P,D30,Negócios!H:H,"Implantação")))</f>
        <v>0</v>
      </c>
      <c r="AD30" s="16">
        <f>SUMIFS(Parâmetros!W:W,Parâmetros!A:A,A30,Parâmetros!B:B,B30,Parâmetros!D:D,D30) * AC30 * IF(K30 &gt;= SUMIFS(Parâmetros!V:V,Parâmetros!A:A,A30,Parâmetros!B:B,B30,Parâmetros!D:D,D30),1,0)</f>
        <v>0</v>
      </c>
      <c r="AE30" s="15">
        <f>SUMIFS('Recuperação de Canc e Divs'!D:D,'Recuperação de Canc e Divs'!A:A,A30,'Recuperação de Canc e Divs'!B:B,B30,'Recuperação de Canc e Divs'!C:C,D30)</f>
        <v>0</v>
      </c>
      <c r="AF30" s="16">
        <f>IF(K30&gt;=SUMIFS(Parâmetros!J:J,Parâmetros!A:A,A30,Parâmetros!B:B,B30,Parâmetros!D:D,D30),AE30*0.025,0)</f>
        <v>0</v>
      </c>
      <c r="AG30" s="15" t="str">
        <f t="shared" si="0"/>
        <v/>
      </c>
      <c r="AH30" s="16" t="str">
        <f t="shared" si="1"/>
        <v/>
      </c>
      <c r="AI30" s="90">
        <f t="shared" si="2"/>
        <v>0</v>
      </c>
      <c r="AJ30" s="16" t="str">
        <f t="shared" si="3"/>
        <v/>
      </c>
      <c r="AK30" s="16" t="str">
        <f t="shared" si="4"/>
        <v/>
      </c>
      <c r="AL30" s="90">
        <f t="shared" si="5"/>
        <v>0</v>
      </c>
      <c r="AM30" s="93" t="str">
        <f>IF(AND(OR(B30=3,B30=6,B30=9,B30=12),AI30&gt;=1),
IF(F30="Gestor",AI30*0.6,AI30*0.3),"")</f>
        <v/>
      </c>
      <c r="AN30" s="94" t="str">
        <f>IF(OR(B30=3,B30=6,B30=9,B30=12),
IF(AND(AL30&gt;=1,AI30&gt;=SUMIFS(Parâmetros!G:G,Parâmetros!A:A,Comissões!A30,Parâmetros!B:B,Comissões!B30,Parâmetros!D:D,Comissões!D30,Parâmetros!E:E,Comissões!E30)),AI30*0.3,""),"")</f>
        <v/>
      </c>
    </row>
    <row r="31" spans="1:40" hidden="1">
      <c r="A31" s="7">
        <v>2026</v>
      </c>
      <c r="B31" s="7">
        <v>2</v>
      </c>
      <c r="C31" s="7" t="str">
        <v>Rodrigo da Rosa Lima</v>
      </c>
      <c r="D31" s="7" t="str">
        <v>rodrigo.lima@altoqi.com.br</v>
      </c>
      <c r="E31" s="7" t="str">
        <v>Ares</v>
      </c>
      <c r="F31" s="7" t="str">
        <v>Consultor</v>
      </c>
      <c r="G31" s="7" t="str">
        <v>sonia.zielinski@altoqi.com.br</v>
      </c>
      <c r="H31" s="7" t="str">
        <v>MRR</v>
      </c>
      <c r="I31" s="86">
        <f>IF(AND(F31="Consultor",H31="MRR"),SUMIFS(Negócios!L:L,Negócios!A:A,A31,Negócios!B:B,B31,Negócios!P:P,D31),
IF(AND(F31="Consultor",H31="Opps"),SUMIFS('Realizado GD'!D:D,'Realizado GD'!A:A,A31,'Realizado GD'!B:B,B31,'Realizado GD'!C:C,D31),
IF(AND(F31="Gestor",E31="Sonia",H31="MRR"),SUMIFS(I:I,A:A,A31,B:B,B31,G:G,D31) + SUMIFS(I:I,A:A,A31,B:B,B31,G:G,"anderson.ortiz@altoqi.com.br"),
IF(AND(F31="Gestor",H31="MRR"),SUMIFS(I:I,A:A,A31,B:B,B31,G:G,D31)))))</f>
        <v>7528.6009999999997</v>
      </c>
      <c r="J31" s="16">
        <f>SUMIFS(Metas!K:K,Metas!A:A,A31,Metas!B:B,B31,Metas!D:D,D31,Metas!H:H,H31)</f>
        <v>11750</v>
      </c>
      <c r="K31" s="10">
        <f t="shared" si="11"/>
        <v>0.64073199999999997</v>
      </c>
      <c r="L31" s="26" t="str" cm="1">
        <f t="array" ref="L31">_xlfn.LET(
 _xlpm.g,_xlfn.MAXIFS(Parâmetros!G:G,Parâmetros!A:A,A31,Parâmetros!B:B,B31,Parâmetros!D:D,D31,Parâmetros!E:E,E31),
 _xlpm.j,_xlfn.MAXIFS(Parâmetros!J:J,Parâmetros!A:A,A31,Parâmetros!B:B,B31,Parâmetros!D:D,D31,Parâmetros!E:E,E31),
 _xlpm.m,_xlfn.MAXIFS(Parâmetros!M:M,Parâmetros!A:A,A31,Parâmetros!B:B,B31,Parâmetros!D:D,D31,Parâmetros!E:E,E31),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55,00%</v>
      </c>
      <c r="M31" s="28">
        <f>IF(AND(F31="Gestor",E31="Sonia",H31="MRR"),SUMIFS(M:M,A:A,A31,B:B,B31,G:G,D31) + SUMIFS(M:M,A:A,A31,B:B,B31,G:G,"anderson.ortiz@altoqi.com.br"),
IF(AND(F31="Gestor",H31="MRR"),SUMIFS(M:M,A:A,A31,B:B,B31,G:G,D31),
SUMIFS(Negócios!L:L,Negócios!A:A,A31,Negócios!B:B,B31,Negócios!P:P,D31,Negócios!AG:AG,"À Vista")))</f>
        <v>1492.6859999999999</v>
      </c>
      <c r="N31" s="10">
        <f t="shared" si="12"/>
        <v>0.19826870888761405</v>
      </c>
      <c r="O31" s="30">
        <f>SUMIFS('Acel Form Pag'!D:D,'Acel Form Pag'!A:A,A31,'Acel Form Pag'!B:B,B31,'Acel Form Pag'!C:C,E31)</f>
        <v>1.3</v>
      </c>
      <c r="P31" s="87">
        <f>IF(AND(F31="Gestor",E31="Sonia",H31="MRR"),SUMIFS(P:P,A:A,A31,B:B,B31,G:G,D31) + SUMIFS(P:P,A:A,A31,B:B,B31,G:G,"anderson.ortiz@altoqi.com.br"),
IF(AND(F31="Gestor",H31="MRR"),SUMIFS(P:P,A:A,A31,B:B,B31,G:G,D31),
SUMIFS(Negócios!L:L,Negócios!A:A,A31,Negócios!B:B,B31,Negócios!P:P,D31,Negócios!AG:AG,"CC 3x")))</f>
        <v>0</v>
      </c>
      <c r="Q31" s="10">
        <f t="shared" si="13"/>
        <v>0</v>
      </c>
      <c r="R31" s="30">
        <f>SUMIFS('Acel Form Pag'!E:E,'Acel Form Pag'!A:A,A31,'Acel Form Pag'!B:B,B31,'Acel Form Pag'!C:C,E31)</f>
        <v>1.2</v>
      </c>
      <c r="S31" s="32">
        <f>IF(AND(F31="Gestor",E31="Sonia",H31="MRR"),SUMIFS(S:S,A:A,A31,B:B,B31,G:G,D31) + SUMIFS(S:S,A:A,A31,B:B,B31,G:G,"anderson.ortiz@altoqi.com.br"),
IF(AND(F31="Gestor",H31="MRR"),SUMIFS(S:S,A:A,A31,B:B,B31,G:G,D31),
SUMIFS(Negócios!L:L,Negócios!A:A,A31,Negócios!B:B,B31,Negócios!P:P,D31,Negócios!AG:AG,"CC 12x")))</f>
        <v>4753.2299999999996</v>
      </c>
      <c r="T31" s="10">
        <f t="shared" si="14"/>
        <v>0.63135634362878301</v>
      </c>
      <c r="U31" s="30">
        <f>SUMIFS('Acel Form Pag'!F:F,'Acel Form Pag'!A:A,A31,'Acel Form Pag'!B:B,B31,'Acel Form Pag'!C:C,E31)</f>
        <v>1.1499999999999999</v>
      </c>
      <c r="V31" s="32">
        <f>IF(AND(F31="Gestor",E31="Sonia",H31="MRR"),SUMIFS(V:V,A:A,A31,B:B,B31,G:G,D31) + SUMIFS(V:V,A:A,A31,B:B,B31,G:G,"anderson.ortiz@altoqi.com.br"),
IF(AND(F31="Gestor",H31="MRR"),SUMIFS(V:V,A:A,A31,B:B,B31,G:G,D31),
SUMIFS(Negócios!L:L,Negócios!A:A,A31,Negócios!B:B,B31,Negócios!P:P,D31,Negócios!AG:AG,"Recorrente")))</f>
        <v>1282.6849999999999</v>
      </c>
      <c r="W31" s="10">
        <f t="shared" si="10"/>
        <v>0.17037494748360285</v>
      </c>
      <c r="X31" s="34">
        <f>SUMIFS('Acel Form Pag'!G:G,'Acel Form Pag'!A:A,A31,'Acel Form Pag'!B:B,B31,'Acel Form Pag'!C:C,E31)</f>
        <v>1</v>
      </c>
      <c r="Y31" s="24">
        <f>MAX(_xlfn.MAXIFS(Parâmetros!O:O,Parâmetros!A:A,A31,Parâmetros!B:B,B31,Parâmetros!D:D,D31,Parâmetros!M:M,"&lt;="&amp;K31),_xlfn.MAXIFS(Parâmetros!L:L,Parâmetros!A:A,A31,Parâmetros!B:B,B31,Parâmetros!D:D,D31,Parâmetros!J:J,"&lt;="&amp;K31),_xlfn.MAXIFS(Parâmetros!I:I,Parâmetros!A:A,A31,Parâmetros!B:B,B31,Parâmetros!D:D,D31))</f>
        <v>3564</v>
      </c>
      <c r="Z31" s="9">
        <f>MAX(_xlfn.MAXIFS(Parâmetros!Q:Q,Parâmetros!A:A,A31,Parâmetros!B:B,B31,Parâmetros!D:D,D31,Parâmetros!E:E,E31,Parâmetros!P:P,"&lt;="&amp;K31),
_xlfn.MAXIFS(Parâmetros!S:S,Parâmetros!A:A,A31,Parâmetros!B:B,B31,Parâmetros!D:D,D31,Parâmetros!E:E,E31,Parâmetros!R:R,"&lt;="&amp;K31),
_xlfn.MAXIFS(Parâmetros!U:U,Parâmetros!A:A,A31,Parâmetros!B:B,B31,Parâmetros!D:D,D31,Parâmetros!E:E,E31,Parâmetros!T:T,"&lt;="&amp;K31),1) * IF(K31 &gt;= SUMIFS(Parâmetros!G:G,Parâmetros!A:A,A31,Parâmetros!B:B,B31,Parâmetros!D:D,D31,Parâmetros!E:E,E31),1,0)</f>
        <v>1</v>
      </c>
      <c r="AA31" s="16">
        <f>Y31*Z31*K31</f>
        <v>2283.5688479999999</v>
      </c>
      <c r="AB31" s="16">
        <f>(AA31*N31*O31) + (AA31*Q31*R31) + (AA31*T31*U31) + (AA31*W31*X31)</f>
        <v>2635.6587738893613</v>
      </c>
      <c r="AC31" s="15">
        <f>IF(F31="Gestor",SUMIFS(AC:AC,A:A,A31,B:B,B31,G:G,D31),
IF(E31="Saving",SUMIFS(Negócios!I:I,Negócios!A:A,A31,Negócios!B:B,B31,Negócios!P:P,D31,Negócios!H:H,"Curso") +
SUMIFS(Negócios!I:I,Negócios!A:A,A31,Negócios!B:B,B31,Negócios!P:P,D31,Negócios!H:H,"Serviço") +
SUMIFS(Negócios!I:I,Negócios!A:A,A31,Negócios!B:B,B31,Negócios!P:P,D31,Negócios!H:H,"Implantação"),
SUMIFS(Negócios!I:I,Negócios!A:A,A31,Negócios!B:B,B31,Negócios!P:P,D31,Negócios!H:H,"Implantação")))</f>
        <v>0</v>
      </c>
      <c r="AD31" s="16">
        <f>SUMIFS(Parâmetros!W:W,Parâmetros!A:A,A31,Parâmetros!B:B,B31,Parâmetros!D:D,D31) * AC31 * IF(K31 &gt;= SUMIFS(Parâmetros!V:V,Parâmetros!A:A,A31,Parâmetros!B:B,B31,Parâmetros!D:D,D31),1,0)</f>
        <v>0</v>
      </c>
      <c r="AE31" s="15">
        <f>SUMIFS('Recuperação de Canc e Divs'!D:D,'Recuperação de Canc e Divs'!A:A,A31,'Recuperação de Canc e Divs'!B:B,B31,'Recuperação de Canc e Divs'!C:C,D31)</f>
        <v>0</v>
      </c>
      <c r="AF31" s="16">
        <f>IF(K31&gt;=SUMIFS(Parâmetros!J:J,Parâmetros!A:A,A31,Parâmetros!B:B,B31,Parâmetros!D:D,D31),AE31*0.025,0)</f>
        <v>0</v>
      </c>
      <c r="AG31" s="15" t="str">
        <f t="shared" si="0"/>
        <v/>
      </c>
      <c r="AH31" s="16" t="str">
        <f t="shared" si="1"/>
        <v/>
      </c>
      <c r="AI31" s="90">
        <f t="shared" si="2"/>
        <v>0</v>
      </c>
      <c r="AJ31" s="16" t="str">
        <f t="shared" si="3"/>
        <v/>
      </c>
      <c r="AK31" s="16" t="str">
        <f t="shared" si="4"/>
        <v/>
      </c>
      <c r="AL31" s="90">
        <f t="shared" si="5"/>
        <v>0</v>
      </c>
      <c r="AM31" s="93" t="str">
        <f>IF(AND(OR(B31=3,B31=6,B31=9,B31=12),AI31&gt;=1),
IF(F31="Gestor",AI31*0.6,AI31*0.3),"")</f>
        <v/>
      </c>
      <c r="AN31" s="94" t="str">
        <f>IF(OR(B31=3,B31=6,B31=9,B31=12),
IF(AND(AL31&gt;=1,AI31&gt;=SUMIFS(Parâmetros!G:G,Parâmetros!A:A,Comissões!A31,Parâmetros!B:B,Comissões!B31,Parâmetros!D:D,Comissões!D31,Parâmetros!E:E,Comissões!E31)),AI31*0.3,""),"")</f>
        <v/>
      </c>
    </row>
    <row r="32" spans="1:40" hidden="1">
      <c r="A32" s="7">
        <v>2026</v>
      </c>
      <c r="B32" s="7">
        <v>2</v>
      </c>
      <c r="C32" s="7" t="str">
        <v>Denis Melo Silva</v>
      </c>
      <c r="D32" s="7" t="str">
        <v>denis.silva@altoqi.com.br</v>
      </c>
      <c r="E32" s="7" t="str">
        <v>B2B Construtora</v>
      </c>
      <c r="F32" s="7" t="str">
        <v>Consultor</v>
      </c>
      <c r="G32" s="7">
        <v>0</v>
      </c>
      <c r="H32" s="7" t="str">
        <v>MRR</v>
      </c>
      <c r="I32" s="86">
        <f>IF(AND(F32="Consultor",H32="MRR"),SUMIFS(Negócios!L:L,Negócios!A:A,A32,Negócios!B:B,B32,Negócios!P:P,D32),
IF(AND(F32="Consultor",H32="Opps"),SUMIFS('Realizado GD'!D:D,'Realizado GD'!A:A,A32,'Realizado GD'!B:B,B32,'Realizado GD'!C:C,D32),
IF(AND(F32="Gestor",E32="Sonia",H32="MRR"),SUMIFS(I:I,A:A,A32,B:B,B32,G:G,D32) + SUMIFS(I:I,A:A,A32,B:B,B32,G:G,"anderson.ortiz@altoqi.com.br"),
IF(AND(F32="Gestor",H32="MRR"),SUMIFS(I:I,A:A,A32,B:B,B32,G:G,D32)))))</f>
        <v>1320.5700000000002</v>
      </c>
      <c r="J32" s="16">
        <f>SUMIFS(Metas!K:K,Metas!A:A,A32,Metas!B:B,B32,Metas!D:D,D32,Metas!H:H,H32)</f>
        <v>2288</v>
      </c>
      <c r="K32" s="10">
        <f t="shared" si="11"/>
        <v>0.57717220279720283</v>
      </c>
      <c r="L32" s="26" t="str" cm="1">
        <f t="array" ref="L32">_xlfn.LET(
 _xlpm.g,_xlfn.MAXIFS(Parâmetros!G:G,Parâmetros!A:A,A32,Parâmetros!B:B,B32,Parâmetros!D:D,D32,Parâmetros!E:E,E32),
 _xlpm.j,_xlfn.MAXIFS(Parâmetros!J:J,Parâmetros!A:A,A32,Parâmetros!B:B,B32,Parâmetros!D:D,D32,Parâmetros!E:E,E32),
 _xlpm.m,_xlfn.MAXIFS(Parâmetros!M:M,Parâmetros!A:A,A32,Parâmetros!B:B,B32,Parâmetros!D:D,D32,Parâmetros!E:E,E32),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55,00%</v>
      </c>
      <c r="M32" s="28">
        <f>IF(AND(F32="Gestor",E32="Sonia",H32="MRR"),SUMIFS(M:M,A:A,A32,B:B,B32,G:G,D32) + SUMIFS(M:M,A:A,A32,B:B,B32,G:G,"anderson.ortiz@altoqi.com.br"),
IF(AND(F32="Gestor",H32="MRR"),SUMIFS(M:M,A:A,A32,B:B,B32,G:G,D32),
SUMIFS(Negócios!L:L,Negócios!A:A,A32,Negócios!B:B,B32,Negócios!P:P,D32,Negócios!AG:AG,"À Vista")))</f>
        <v>601.57000000000005</v>
      </c>
      <c r="N32" s="10">
        <f t="shared" si="12"/>
        <v>0.45553813883398836</v>
      </c>
      <c r="O32" s="30">
        <f>SUMIFS('Acel Form Pag'!D:D,'Acel Form Pag'!A:A,A32,'Acel Form Pag'!B:B,B32,'Acel Form Pag'!C:C,E32)</f>
        <v>1.3</v>
      </c>
      <c r="P32" s="87">
        <f>IF(AND(F32="Gestor",E32="Sonia",H32="MRR"),SUMIFS(P:P,A:A,A32,B:B,B32,G:G,D32) + SUMIFS(P:P,A:A,A32,B:B,B32,G:G,"anderson.ortiz@altoqi.com.br"),
IF(AND(F32="Gestor",H32="MRR"),SUMIFS(P:P,A:A,A32,B:B,B32,G:G,D32),
SUMIFS(Negócios!L:L,Negócios!A:A,A32,Negócios!B:B,B32,Negócios!P:P,D32,Negócios!AG:AG,"CC 3x")))</f>
        <v>0</v>
      </c>
      <c r="Q32" s="10">
        <f t="shared" si="13"/>
        <v>0</v>
      </c>
      <c r="R32" s="30">
        <f>SUMIFS('Acel Form Pag'!E:E,'Acel Form Pag'!A:A,A32,'Acel Form Pag'!B:B,B32,'Acel Form Pag'!C:C,E32)</f>
        <v>1.2</v>
      </c>
      <c r="S32" s="32">
        <f>IF(AND(F32="Gestor",E32="Sonia",H32="MRR"),SUMIFS(S:S,A:A,A32,B:B,B32,G:G,D32) + SUMIFS(S:S,A:A,A32,B:B,B32,G:G,"anderson.ortiz@altoqi.com.br"),
IF(AND(F32="Gestor",H32="MRR"),SUMIFS(S:S,A:A,A32,B:B,B32,G:G,D32),
SUMIFS(Negócios!L:L,Negócios!A:A,A32,Negócios!B:B,B32,Negócios!P:P,D32,Negócios!AG:AG,"CC 12x")))</f>
        <v>0</v>
      </c>
      <c r="T32" s="10">
        <f t="shared" si="14"/>
        <v>0</v>
      </c>
      <c r="U32" s="30">
        <f>SUMIFS('Acel Form Pag'!F:F,'Acel Form Pag'!A:A,A32,'Acel Form Pag'!B:B,B32,'Acel Form Pag'!C:C,E32)</f>
        <v>1.1499999999999999</v>
      </c>
      <c r="V32" s="32">
        <f>IF(AND(F32="Gestor",E32="Sonia",H32="MRR"),SUMIFS(V:V,A:A,A32,B:B,B32,G:G,D32) + SUMIFS(V:V,A:A,A32,B:B,B32,G:G,"anderson.ortiz@altoqi.com.br"),
IF(AND(F32="Gestor",H32="MRR"),SUMIFS(V:V,A:A,A32,B:B,B32,G:G,D32),
SUMIFS(Negócios!L:L,Negócios!A:A,A32,Negócios!B:B,B32,Negócios!P:P,D32,Negócios!AG:AG,"Recorrente")))</f>
        <v>719</v>
      </c>
      <c r="W32" s="10">
        <f t="shared" si="10"/>
        <v>0.54446186116601158</v>
      </c>
      <c r="X32" s="34">
        <f>SUMIFS('Acel Form Pag'!G:G,'Acel Form Pag'!A:A,A32,'Acel Form Pag'!B:B,B32,'Acel Form Pag'!C:C,E32)</f>
        <v>1</v>
      </c>
      <c r="Y32" s="24">
        <f>MAX(_xlfn.MAXIFS(Parâmetros!O:O,Parâmetros!A:A,A32,Parâmetros!B:B,B32,Parâmetros!D:D,D32,Parâmetros!M:M,"&lt;="&amp;K32),_xlfn.MAXIFS(Parâmetros!L:L,Parâmetros!A:A,A32,Parâmetros!B:B,B32,Parâmetros!D:D,D32,Parâmetros!J:J,"&lt;="&amp;K32),_xlfn.MAXIFS(Parâmetros!I:I,Parâmetros!A:A,A32,Parâmetros!B:B,B32,Parâmetros!D:D,D32))</f>
        <v>1252.8000000000002</v>
      </c>
      <c r="Z32" s="9">
        <f>MAX(_xlfn.MAXIFS(Parâmetros!Q:Q,Parâmetros!A:A,A32,Parâmetros!B:B,B32,Parâmetros!D:D,D32,Parâmetros!E:E,E32,Parâmetros!P:P,"&lt;="&amp;K32),
_xlfn.MAXIFS(Parâmetros!S:S,Parâmetros!A:A,A32,Parâmetros!B:B,B32,Parâmetros!D:D,D32,Parâmetros!E:E,E32,Parâmetros!R:R,"&lt;="&amp;K32),
_xlfn.MAXIFS(Parâmetros!U:U,Parâmetros!A:A,A32,Parâmetros!B:B,B32,Parâmetros!D:D,D32,Parâmetros!E:E,E32,Parâmetros!T:T,"&lt;="&amp;K32),1) * IF(K32 &gt;= SUMIFS(Parâmetros!G:G,Parâmetros!A:A,A32,Parâmetros!B:B,B32,Parâmetros!D:D,D32,Parâmetros!E:E,E32),1,0)</f>
        <v>1</v>
      </c>
      <c r="AA32" s="16">
        <f>Y32*Z32*K32</f>
        <v>723.08133566433582</v>
      </c>
      <c r="AB32" s="16">
        <f>(AA32*N32*O32) + (AA32*Q32*R32) + (AA32*T32*U32) + (AA32*W32*X32)</f>
        <v>821.89867342657362</v>
      </c>
      <c r="AC32" s="15">
        <f>IF(F32="Gestor",SUMIFS(AC:AC,A:A,A32,B:B,B32,G:G,D32),
IF(E32="Saving",SUMIFS(Negócios!I:I,Negócios!A:A,A32,Negócios!B:B,B32,Negócios!P:P,D32,Negócios!H:H,"Curso") +
SUMIFS(Negócios!I:I,Negócios!A:A,A32,Negócios!B:B,B32,Negócios!P:P,D32,Negócios!H:H,"Serviço") +
SUMIFS(Negócios!I:I,Negócios!A:A,A32,Negócios!B:B,B32,Negócios!P:P,D32,Negócios!H:H,"Implantação"),
SUMIFS(Negócios!I:I,Negócios!A:A,A32,Negócios!B:B,B32,Negócios!P:P,D32,Negócios!H:H,"Implantação")))</f>
        <v>0</v>
      </c>
      <c r="AD32" s="16">
        <f>SUMIFS(Parâmetros!W:W,Parâmetros!A:A,A32,Parâmetros!B:B,B32,Parâmetros!D:D,D32) * AC32 * IF(K32 &gt;= SUMIFS(Parâmetros!V:V,Parâmetros!A:A,A32,Parâmetros!B:B,B32,Parâmetros!D:D,D32),1,0)</f>
        <v>0</v>
      </c>
      <c r="AE32" s="15">
        <f>SUMIFS('Recuperação de Canc e Divs'!D:D,'Recuperação de Canc e Divs'!A:A,A32,'Recuperação de Canc e Divs'!B:B,B32,'Recuperação de Canc e Divs'!C:C,D32)</f>
        <v>0</v>
      </c>
      <c r="AF32" s="16">
        <f>IF(K32&gt;=SUMIFS(Parâmetros!J:J,Parâmetros!A:A,A32,Parâmetros!B:B,B32,Parâmetros!D:D,D32),AE32*0.025,0)</f>
        <v>0</v>
      </c>
      <c r="AG32" s="15" t="str">
        <f t="shared" si="0"/>
        <v/>
      </c>
      <c r="AH32" s="16" t="str">
        <f t="shared" si="1"/>
        <v/>
      </c>
      <c r="AI32" s="90">
        <f t="shared" si="2"/>
        <v>0</v>
      </c>
      <c r="AJ32" s="16" t="str">
        <f t="shared" si="3"/>
        <v/>
      </c>
      <c r="AK32" s="16" t="str">
        <f t="shared" si="4"/>
        <v/>
      </c>
      <c r="AL32" s="90">
        <f t="shared" si="5"/>
        <v>0</v>
      </c>
      <c r="AM32" s="93" t="str">
        <f>IF(AND(OR(B32=3,B32=6,B32=9,B32=12),AI32&gt;=1),
IF(F32="Gestor",AI32*0.6,AI32*0.3),"")</f>
        <v/>
      </c>
      <c r="AN32" s="94" t="str">
        <f>IF(OR(B32=3,B32=6,B32=9,B32=12),
IF(AND(AL32&gt;=1,AI32&gt;=SUMIFS(Parâmetros!G:G,Parâmetros!A:A,Comissões!A32,Parâmetros!B:B,Comissões!B32,Parâmetros!D:D,Comissões!D32,Parâmetros!E:E,Comissões!E32)),AI32*0.3,""),"")</f>
        <v/>
      </c>
    </row>
    <row r="33" spans="1:40" hidden="1">
      <c r="A33" s="7">
        <v>2026</v>
      </c>
      <c r="B33" s="7">
        <v>2</v>
      </c>
      <c r="C33" s="7" t="str">
        <v>Eloyse Silveira</v>
      </c>
      <c r="D33" s="7" t="str">
        <v>eloyse.silveira@altoqi.com.br</v>
      </c>
      <c r="E33" s="7" t="str">
        <v>B2B Construtora</v>
      </c>
      <c r="F33" s="7" t="str">
        <v>Consultor</v>
      </c>
      <c r="G33" s="7">
        <v>0</v>
      </c>
      <c r="H33" s="7" t="str">
        <v>MRR</v>
      </c>
      <c r="I33" s="86">
        <f>IF(AND(F33="Consultor",H33="MRR"),SUMIFS(Negócios!L:L,Negócios!A:A,A33,Negócios!B:B,B33,Negócios!P:P,D33),
IF(AND(F33="Consultor",H33="Opps"),SUMIFS('Realizado GD'!D:D,'Realizado GD'!A:A,A33,'Realizado GD'!B:B,B33,'Realizado GD'!C:C,D33),
IF(AND(F33="Gestor",E33="Sonia",H33="MRR"),SUMIFS(I:I,A:A,A33,B:B,B33,G:G,D33) + SUMIFS(I:I,A:A,A33,B:B,B33,G:G,"anderson.ortiz@altoqi.com.br"),
IF(AND(F33="Gestor",H33="MRR"),SUMIFS(I:I,A:A,A33,B:B,B33,G:G,D33)))))</f>
        <v>6680.454999999999</v>
      </c>
      <c r="J33" s="16">
        <f>SUMIFS(Metas!K:K,Metas!A:A,A33,Metas!B:B,B33,Metas!D:D,D33,Metas!H:H,H33)</f>
        <v>6100</v>
      </c>
      <c r="K33" s="10">
        <f t="shared" si="11"/>
        <v>1.095156557377049</v>
      </c>
      <c r="L33" s="26" t="str" cm="1">
        <f t="array" ref="L33">_xlfn.LET(
 _xlpm.g,_xlfn.MAXIFS(Parâmetros!G:G,Parâmetros!A:A,A33,Parâmetros!B:B,B33,Parâmetros!D:D,D33,Parâmetros!E:E,E33),
 _xlpm.j,_xlfn.MAXIFS(Parâmetros!J:J,Parâmetros!A:A,A33,Parâmetros!B:B,B33,Parâmetros!D:D,D33,Parâmetros!E:E,E33),
 _xlpm.m,_xlfn.MAXIFS(Parâmetros!M:M,Parâmetros!A:A,A33,Parâmetros!B:B,B33,Parâmetros!D:D,D33,Parâmetros!E:E,E33),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55,00%</v>
      </c>
      <c r="M33" s="28">
        <f>IF(AND(F33="Gestor",E33="Sonia",H33="MRR"),SUMIFS(M:M,A:A,A33,B:B,B33,G:G,D33) + SUMIFS(M:M,A:A,A33,B:B,B33,G:G,"anderson.ortiz@altoqi.com.br"),
IF(AND(F33="Gestor",H33="MRR"),SUMIFS(M:M,A:A,A33,B:B,B33,G:G,D33),
SUMIFS(Negócios!L:L,Negócios!A:A,A33,Negócios!B:B,B33,Negócios!P:P,D33,Negócios!AG:AG,"À Vista")))</f>
        <v>830.28</v>
      </c>
      <c r="N33" s="10">
        <f t="shared" si="12"/>
        <v>0.12428494765700841</v>
      </c>
      <c r="O33" s="30">
        <f>SUMIFS('Acel Form Pag'!D:D,'Acel Form Pag'!A:A,A33,'Acel Form Pag'!B:B,B33,'Acel Form Pag'!C:C,E33)</f>
        <v>1.3</v>
      </c>
      <c r="P33" s="87">
        <f>IF(AND(F33="Gestor",E33="Sonia",H33="MRR"),SUMIFS(P:P,A:A,A33,B:B,B33,G:G,D33) + SUMIFS(P:P,A:A,A33,B:B,B33,G:G,"anderson.ortiz@altoqi.com.br"),
IF(AND(F33="Gestor",H33="MRR"),SUMIFS(P:P,A:A,A33,B:B,B33,G:G,D33),
SUMIFS(Negócios!L:L,Negócios!A:A,A33,Negócios!B:B,B33,Negócios!P:P,D33,Negócios!AG:AG,"CC 3x")))</f>
        <v>0</v>
      </c>
      <c r="Q33" s="10">
        <f t="shared" si="13"/>
        <v>0</v>
      </c>
      <c r="R33" s="30">
        <f>SUMIFS('Acel Form Pag'!E:E,'Acel Form Pag'!A:A,A33,'Acel Form Pag'!B:B,B33,'Acel Form Pag'!C:C,E33)</f>
        <v>1.2</v>
      </c>
      <c r="S33" s="32">
        <f>IF(AND(F33="Gestor",E33="Sonia",H33="MRR"),SUMIFS(S:S,A:A,A33,B:B,B33,G:G,D33) + SUMIFS(S:S,A:A,A33,B:B,B33,G:G,"anderson.ortiz@altoqi.com.br"),
IF(AND(F33="Gestor",H33="MRR"),SUMIFS(S:S,A:A,A33,B:B,B33,G:G,D33),
SUMIFS(Negócios!L:L,Negócios!A:A,A33,Negócios!B:B,B33,Negócios!P:P,D33,Negócios!AG:AG,"CC 12x")))</f>
        <v>2294.1750000000002</v>
      </c>
      <c r="T33" s="10">
        <f t="shared" si="14"/>
        <v>0.34341597989957279</v>
      </c>
      <c r="U33" s="30">
        <f>SUMIFS('Acel Form Pag'!F:F,'Acel Form Pag'!A:A,A33,'Acel Form Pag'!B:B,B33,'Acel Form Pag'!C:C,E33)</f>
        <v>1.1499999999999999</v>
      </c>
      <c r="V33" s="32">
        <f>IF(AND(F33="Gestor",E33="Sonia",H33="MRR"),SUMIFS(V:V,A:A,A33,B:B,B33,G:G,D33) + SUMIFS(V:V,A:A,A33,B:B,B33,G:G,"anderson.ortiz@altoqi.com.br"),
IF(AND(F33="Gestor",H33="MRR"),SUMIFS(V:V,A:A,A33,B:B,B33,G:G,D33),
SUMIFS(Negócios!L:L,Negócios!A:A,A33,Negócios!B:B,B33,Negócios!P:P,D33,Negócios!AG:AG,"Recorrente")))</f>
        <v>3556</v>
      </c>
      <c r="W33" s="10">
        <f t="shared" si="10"/>
        <v>0.53229907244341901</v>
      </c>
      <c r="X33" s="34">
        <f>SUMIFS('Acel Form Pag'!G:G,'Acel Form Pag'!A:A,A33,'Acel Form Pag'!B:B,B33,'Acel Form Pag'!C:C,E33)</f>
        <v>1</v>
      </c>
      <c r="Y33" s="24">
        <f>MAX(_xlfn.MAXIFS(Parâmetros!O:O,Parâmetros!A:A,A33,Parâmetros!B:B,B33,Parâmetros!D:D,D33,Parâmetros!M:M,"&lt;="&amp;K33),_xlfn.MAXIFS(Parâmetros!L:L,Parâmetros!A:A,A33,Parâmetros!B:B,B33,Parâmetros!D:D,D33,Parâmetros!J:J,"&lt;="&amp;K33),_xlfn.MAXIFS(Parâmetros!I:I,Parâmetros!A:A,A33,Parâmetros!B:B,B33,Parâmetros!D:D,D33))</f>
        <v>4176</v>
      </c>
      <c r="Z33" s="9">
        <f>MAX(_xlfn.MAXIFS(Parâmetros!Q:Q,Parâmetros!A:A,A33,Parâmetros!B:B,B33,Parâmetros!D:D,D33,Parâmetros!E:E,E33,Parâmetros!P:P,"&lt;="&amp;K33),
_xlfn.MAXIFS(Parâmetros!S:S,Parâmetros!A:A,A33,Parâmetros!B:B,B33,Parâmetros!D:D,D33,Parâmetros!E:E,E33,Parâmetros!R:R,"&lt;="&amp;K33),
_xlfn.MAXIFS(Parâmetros!U:U,Parâmetros!A:A,A33,Parâmetros!B:B,B33,Parâmetros!D:D,D33,Parâmetros!E:E,E33,Parâmetros!T:T,"&lt;="&amp;K33),1) * IF(K33 &gt;= SUMIFS(Parâmetros!G:G,Parâmetros!A:A,A33,Parâmetros!B:B,B33,Parâmetros!D:D,D33,Parâmetros!E:E,E33),1,0)</f>
        <v>1.25</v>
      </c>
      <c r="AA33" s="16">
        <f>Y33*Z33*K33</f>
        <v>5716.7172295081955</v>
      </c>
      <c r="AB33" s="16">
        <f>(AA33*N33*O33) + (AA33*Q33*R33) + (AA33*T33*U33) + (AA33*W33*X33)</f>
        <v>6224.3496073770493</v>
      </c>
      <c r="AC33" s="15">
        <f>IF(F33="Gestor",SUMIFS(AC:AC,A:A,A33,B:B,B33,G:G,D33),
IF(E33="Saving",SUMIFS(Negócios!I:I,Negócios!A:A,A33,Negócios!B:B,B33,Negócios!P:P,D33,Negócios!H:H,"Curso") +
SUMIFS(Negócios!I:I,Negócios!A:A,A33,Negócios!B:B,B33,Negócios!P:P,D33,Negócios!H:H,"Serviço") +
SUMIFS(Negócios!I:I,Negócios!A:A,A33,Negócios!B:B,B33,Negócios!P:P,D33,Negócios!H:H,"Implantação"),
SUMIFS(Negócios!I:I,Negócios!A:A,A33,Negócios!B:B,B33,Negócios!P:P,D33,Negócios!H:H,"Implantação")))</f>
        <v>0</v>
      </c>
      <c r="AD33" s="16">
        <f>SUMIFS(Parâmetros!W:W,Parâmetros!A:A,A33,Parâmetros!B:B,B33,Parâmetros!D:D,D33) * AC33 * IF(K33 &gt;= SUMIFS(Parâmetros!V:V,Parâmetros!A:A,A33,Parâmetros!B:B,B33,Parâmetros!D:D,D33),1,0)</f>
        <v>0</v>
      </c>
      <c r="AE33" s="15">
        <f>SUMIFS('Recuperação de Canc e Divs'!D:D,'Recuperação de Canc e Divs'!A:A,A33,'Recuperação de Canc e Divs'!B:B,B33,'Recuperação de Canc e Divs'!C:C,D33)</f>
        <v>0</v>
      </c>
      <c r="AF33" s="16">
        <f>IF(K33&gt;=SUMIFS(Parâmetros!J:J,Parâmetros!A:A,A33,Parâmetros!B:B,B33,Parâmetros!D:D,D33),AE33*0.025,0)</f>
        <v>0</v>
      </c>
      <c r="AG33" s="15" t="str">
        <f t="shared" si="0"/>
        <v/>
      </c>
      <c r="AH33" s="16" t="str">
        <f t="shared" si="1"/>
        <v/>
      </c>
      <c r="AI33" s="90">
        <f t="shared" si="2"/>
        <v>0</v>
      </c>
      <c r="AJ33" s="16" t="str">
        <f t="shared" si="3"/>
        <v/>
      </c>
      <c r="AK33" s="16" t="str">
        <f t="shared" si="4"/>
        <v/>
      </c>
      <c r="AL33" s="90">
        <f t="shared" si="5"/>
        <v>0</v>
      </c>
      <c r="AM33" s="93" t="str">
        <f>IF(AND(OR(B33=3,B33=6,B33=9,B33=12),AI33&gt;=1),
IF(F33="Gestor",AI33*0.6,AI33*0.3),"")</f>
        <v/>
      </c>
      <c r="AN33" s="94" t="str">
        <f>IF(OR(B33=3,B33=6,B33=9,B33=12),
IF(AND(AL33&gt;=1,AI33&gt;=SUMIFS(Parâmetros!G:G,Parâmetros!A:A,Comissões!A33,Parâmetros!B:B,Comissões!B33,Parâmetros!D:D,Comissões!D33,Parâmetros!E:E,Comissões!E33)),AI33*0.3,""),"")</f>
        <v/>
      </c>
    </row>
    <row r="34" spans="1:40" hidden="1">
      <c r="A34" s="7">
        <v>2026</v>
      </c>
      <c r="B34" s="7">
        <v>2</v>
      </c>
      <c r="C34" s="7" t="str">
        <v>Henrique Teixeira Silva</v>
      </c>
      <c r="D34" s="7" t="str">
        <v>henrique.silva@altoqi.com.br</v>
      </c>
      <c r="E34" s="7" t="str">
        <v>B2B Construtora</v>
      </c>
      <c r="F34" s="7" t="str">
        <v>Consultor</v>
      </c>
      <c r="G34" s="7">
        <v>0</v>
      </c>
      <c r="H34" s="7" t="str">
        <v>MRR</v>
      </c>
      <c r="I34" s="86">
        <f>IF(AND(F34="Consultor",H34="MRR"),SUMIFS(Negócios!L:L,Negócios!A:A,A34,Negócios!B:B,B34,Negócios!P:P,D34),
IF(AND(F34="Consultor",H34="Opps"),SUMIFS('Realizado GD'!D:D,'Realizado GD'!A:A,A34,'Realizado GD'!B:B,B34,'Realizado GD'!C:C,D34),
IF(AND(F34="Gestor",E34="Sonia",H34="MRR"),SUMIFS(I:I,A:A,A34,B:B,B34,G:G,D34) + SUMIFS(I:I,A:A,A34,B:B,B34,G:G,"anderson.ortiz@altoqi.com.br"),
IF(AND(F34="Gestor",H34="MRR"),SUMIFS(I:I,A:A,A34,B:B,B34,G:G,D34)))))</f>
        <v>3270.04</v>
      </c>
      <c r="J34" s="16">
        <f>SUMIFS(Metas!K:K,Metas!A:A,A34,Metas!B:B,B34,Metas!D:D,D34,Metas!H:H,H34)</f>
        <v>6100</v>
      </c>
      <c r="K34" s="10">
        <f t="shared" si="11"/>
        <v>0.53607213114754093</v>
      </c>
      <c r="L34" s="26" t="str" cm="1">
        <f t="array" ref="L34">_xlfn.LET(
 _xlpm.g,_xlfn.MAXIFS(Parâmetros!G:G,Parâmetros!A:A,A34,Parâmetros!B:B,B34,Parâmetros!D:D,D34,Parâmetros!E:E,E34),
 _xlpm.j,_xlfn.MAXIFS(Parâmetros!J:J,Parâmetros!A:A,A34,Parâmetros!B:B,B34,Parâmetros!D:D,D34,Parâmetros!E:E,E34),
 _xlpm.m,_xlfn.MAXIFS(Parâmetros!M:M,Parâmetros!A:A,A34,Parâmetros!B:B,B34,Parâmetros!D:D,D34,Parâmetros!E:E,E34),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55,00%</v>
      </c>
      <c r="M34" s="28">
        <f>IF(AND(F34="Gestor",E34="Sonia",H34="MRR"),SUMIFS(M:M,A:A,A34,B:B,B34,G:G,D34) + SUMIFS(M:M,A:A,A34,B:B,B34,G:G,"anderson.ortiz@altoqi.com.br"),
IF(AND(F34="Gestor",H34="MRR"),SUMIFS(M:M,A:A,A34,B:B,B34,G:G,D34),
SUMIFS(Negócios!L:L,Negócios!A:A,A34,Negócios!B:B,B34,Negócios!P:P,D34,Negócios!AG:AG,"À Vista")))</f>
        <v>0</v>
      </c>
      <c r="N34" s="10">
        <f t="shared" si="12"/>
        <v>0</v>
      </c>
      <c r="O34" s="30">
        <f>SUMIFS('Acel Form Pag'!D:D,'Acel Form Pag'!A:A,A34,'Acel Form Pag'!B:B,B34,'Acel Form Pag'!C:C,E34)</f>
        <v>1.3</v>
      </c>
      <c r="P34" s="87">
        <f>IF(AND(F34="Gestor",E34="Sonia",H34="MRR"),SUMIFS(P:P,A:A,A34,B:B,B34,G:G,D34) + SUMIFS(P:P,A:A,A34,B:B,B34,G:G,"anderson.ortiz@altoqi.com.br"),
IF(AND(F34="Gestor",H34="MRR"),SUMIFS(P:P,A:A,A34,B:B,B34,G:G,D34),
SUMIFS(Negócios!L:L,Negócios!A:A,A34,Negócios!B:B,B34,Negócios!P:P,D34,Negócios!AG:AG,"CC 3x")))</f>
        <v>0</v>
      </c>
      <c r="Q34" s="10">
        <f t="shared" si="13"/>
        <v>0</v>
      </c>
      <c r="R34" s="30">
        <f>SUMIFS('Acel Form Pag'!E:E,'Acel Form Pag'!A:A,A34,'Acel Form Pag'!B:B,B34,'Acel Form Pag'!C:C,E34)</f>
        <v>1.2</v>
      </c>
      <c r="S34" s="32">
        <f>IF(AND(F34="Gestor",E34="Sonia",H34="MRR"),SUMIFS(S:S,A:A,A34,B:B,B34,G:G,D34) + SUMIFS(S:S,A:A,A34,B:B,B34,G:G,"anderson.ortiz@altoqi.com.br"),
IF(AND(F34="Gestor",H34="MRR"),SUMIFS(S:S,A:A,A34,B:B,B34,G:G,D34),
SUMIFS(Negócios!L:L,Negócios!A:A,A34,Negócios!B:B,B34,Negócios!P:P,D34,Negócios!AG:AG,"CC 12x")))</f>
        <v>402.72</v>
      </c>
      <c r="T34" s="10">
        <f t="shared" si="14"/>
        <v>0.1231544568262162</v>
      </c>
      <c r="U34" s="30">
        <f>SUMIFS('Acel Form Pag'!F:F,'Acel Form Pag'!A:A,A34,'Acel Form Pag'!B:B,B34,'Acel Form Pag'!C:C,E34)</f>
        <v>1.1499999999999999</v>
      </c>
      <c r="V34" s="32">
        <f>IF(AND(F34="Gestor",E34="Sonia",H34="MRR"),SUMIFS(V:V,A:A,A34,B:B,B34,G:G,D34) + SUMIFS(V:V,A:A,A34,B:B,B34,G:G,"anderson.ortiz@altoqi.com.br"),
IF(AND(F34="Gestor",H34="MRR"),SUMIFS(V:V,A:A,A34,B:B,B34,G:G,D34),
SUMIFS(Negócios!L:L,Negócios!A:A,A34,Negócios!B:B,B34,Negócios!P:P,D34,Negócios!AG:AG,"Recorrente")))</f>
        <v>2867.3199999999997</v>
      </c>
      <c r="W34" s="10">
        <f t="shared" si="10"/>
        <v>0.87684554317378371</v>
      </c>
      <c r="X34" s="34">
        <f>SUMIFS('Acel Form Pag'!G:G,'Acel Form Pag'!A:A,A34,'Acel Form Pag'!B:B,B34,'Acel Form Pag'!C:C,E34)</f>
        <v>1</v>
      </c>
      <c r="Y34" s="24">
        <f>MAX(_xlfn.MAXIFS(Parâmetros!O:O,Parâmetros!A:A,A34,Parâmetros!B:B,B34,Parâmetros!D:D,D34,Parâmetros!M:M,"&lt;="&amp;K34),_xlfn.MAXIFS(Parâmetros!L:L,Parâmetros!A:A,A34,Parâmetros!B:B,B34,Parâmetros!D:D,D34,Parâmetros!J:J,"&lt;="&amp;K34),_xlfn.MAXIFS(Parâmetros!I:I,Parâmetros!A:A,A34,Parâmetros!B:B,B34,Parâmetros!D:D,D34))</f>
        <v>4176</v>
      </c>
      <c r="Z34" s="9">
        <f>MAX(_xlfn.MAXIFS(Parâmetros!Q:Q,Parâmetros!A:A,A34,Parâmetros!B:B,B34,Parâmetros!D:D,D34,Parâmetros!E:E,E34,Parâmetros!P:P,"&lt;="&amp;K34),
_xlfn.MAXIFS(Parâmetros!S:S,Parâmetros!A:A,A34,Parâmetros!B:B,B34,Parâmetros!D:D,D34,Parâmetros!E:E,E34,Parâmetros!R:R,"&lt;="&amp;K34),
_xlfn.MAXIFS(Parâmetros!U:U,Parâmetros!A:A,A34,Parâmetros!B:B,B34,Parâmetros!D:D,D34,Parâmetros!E:E,E34,Parâmetros!T:T,"&lt;="&amp;K34),1) * IF(K34 &gt;= SUMIFS(Parâmetros!G:G,Parâmetros!A:A,A34,Parâmetros!B:B,B34,Parâmetros!D:D,D34,Parâmetros!E:E,E34),1,0)</f>
        <v>0</v>
      </c>
      <c r="AA34" s="16">
        <f>Y34*Z34*K34</f>
        <v>0</v>
      </c>
      <c r="AB34" s="16">
        <f>(AA34*N34*O34) + (AA34*Q34*R34) + (AA34*T34*U34) + (AA34*W34*X34)</f>
        <v>0</v>
      </c>
      <c r="AC34" s="15">
        <f>IF(F34="Gestor",SUMIFS(AC:AC,A:A,A34,B:B,B34,G:G,D34),
IF(E34="Saving",SUMIFS(Negócios!I:I,Negócios!A:A,A34,Negócios!B:B,B34,Negócios!P:P,D34,Negócios!H:H,"Curso") +
SUMIFS(Negócios!I:I,Negócios!A:A,A34,Negócios!B:B,B34,Negócios!P:P,D34,Negócios!H:H,"Serviço") +
SUMIFS(Negócios!I:I,Negócios!A:A,A34,Negócios!B:B,B34,Negócios!P:P,D34,Negócios!H:H,"Implantação"),
SUMIFS(Negócios!I:I,Negócios!A:A,A34,Negócios!B:B,B34,Negócios!P:P,D34,Negócios!H:H,"Implantação")))</f>
        <v>16000</v>
      </c>
      <c r="AD34" s="16">
        <f>SUMIFS(Parâmetros!W:W,Parâmetros!A:A,A34,Parâmetros!B:B,B34,Parâmetros!D:D,D34) * AC34 * IF(K34 &gt;= SUMIFS(Parâmetros!V:V,Parâmetros!A:A,A34,Parâmetros!B:B,B34,Parâmetros!D:D,D34),1,0)</f>
        <v>0</v>
      </c>
      <c r="AE34" s="15">
        <f>SUMIFS('Recuperação de Canc e Divs'!D:D,'Recuperação de Canc e Divs'!A:A,A34,'Recuperação de Canc e Divs'!B:B,B34,'Recuperação de Canc e Divs'!C:C,D34)</f>
        <v>0</v>
      </c>
      <c r="AF34" s="16">
        <f>IF(K34&gt;=SUMIFS(Parâmetros!J:J,Parâmetros!A:A,A34,Parâmetros!B:B,B34,Parâmetros!D:D,D34),AE34*0.025,0)</f>
        <v>0</v>
      </c>
      <c r="AG34" s="15" t="str">
        <f t="shared" si="0"/>
        <v/>
      </c>
      <c r="AH34" s="16" t="str">
        <f t="shared" si="1"/>
        <v/>
      </c>
      <c r="AI34" s="90">
        <f t="shared" si="2"/>
        <v>0</v>
      </c>
      <c r="AJ34" s="16" t="str">
        <f t="shared" si="3"/>
        <v/>
      </c>
      <c r="AK34" s="16" t="str">
        <f t="shared" si="4"/>
        <v/>
      </c>
      <c r="AL34" s="90">
        <f t="shared" si="5"/>
        <v>0</v>
      </c>
      <c r="AM34" s="93" t="str">
        <f>IF(AND(OR(B34=3,B34=6,B34=9,B34=12),AI34&gt;=1),
IF(F34="Gestor",AI34*0.6,AI34*0.3),"")</f>
        <v/>
      </c>
      <c r="AN34" s="94" t="str">
        <f>IF(OR(B34=3,B34=6,B34=9,B34=12),
IF(AND(AL34&gt;=1,AI34&gt;=SUMIFS(Parâmetros!G:G,Parâmetros!A:A,Comissões!A34,Parâmetros!B:B,Comissões!B34,Parâmetros!D:D,Comissões!D34,Parâmetros!E:E,Comissões!E34)),AI34*0.3,""),"")</f>
        <v/>
      </c>
    </row>
    <row r="35" spans="1:40" hidden="1">
      <c r="A35" s="7">
        <v>2026</v>
      </c>
      <c r="B35" s="7">
        <v>2</v>
      </c>
      <c r="C35" s="7" t="str">
        <v>Rafael Acencio</v>
      </c>
      <c r="D35" s="7" t="str">
        <v>rafael.acencio@altoqi.com.br</v>
      </c>
      <c r="E35" s="7" t="str">
        <v>B2B Construtora</v>
      </c>
      <c r="F35" s="7" t="str">
        <v>Consultor</v>
      </c>
      <c r="G35" s="7">
        <v>0</v>
      </c>
      <c r="H35" s="7" t="str">
        <v>MRR</v>
      </c>
      <c r="I35" s="86">
        <f>IF(AND(F35="Consultor",H35="MRR"),SUMIFS(Negócios!L:L,Negócios!A:A,A35,Negócios!B:B,B35,Negócios!P:P,D35),
IF(AND(F35="Consultor",H35="Opps"),SUMIFS('Realizado GD'!D:D,'Realizado GD'!A:A,A35,'Realizado GD'!B:B,B35,'Realizado GD'!C:C,D35),
IF(AND(F35="Gestor",E35="Sonia",H35="MRR"),SUMIFS(I:I,A:A,A35,B:B,B35,G:G,D35) + SUMIFS(I:I,A:A,A35,B:B,B35,G:G,"anderson.ortiz@altoqi.com.br"),
IF(AND(F35="Gestor",H35="MRR"),SUMIFS(I:I,A:A,A35,B:B,B35,G:G,D35)))))</f>
        <v>6139.5</v>
      </c>
      <c r="J35" s="16">
        <f>SUMIFS(Metas!K:K,Metas!A:A,A35,Metas!B:B,B35,Metas!D:D,D35,Metas!H:H,H35)</f>
        <v>5033</v>
      </c>
      <c r="K35" s="10">
        <f t="shared" si="11"/>
        <v>1.219848996622293</v>
      </c>
      <c r="L35" s="26" t="str" cm="1">
        <f t="array" ref="L35">_xlfn.LET(
 _xlpm.g,_xlfn.MAXIFS(Parâmetros!G:G,Parâmetros!A:A,A35,Parâmetros!B:B,B35,Parâmetros!D:D,D35,Parâmetros!E:E,E35),
 _xlpm.j,_xlfn.MAXIFS(Parâmetros!J:J,Parâmetros!A:A,A35,Parâmetros!B:B,B35,Parâmetros!D:D,D35,Parâmetros!E:E,E35),
 _xlpm.m,_xlfn.MAXIFS(Parâmetros!M:M,Parâmetros!A:A,A35,Parâmetros!B:B,B35,Parâmetros!D:D,D35,Parâmetros!E:E,E35),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55,00%</v>
      </c>
      <c r="M35" s="28">
        <f>IF(AND(F35="Gestor",E35="Sonia",H35="MRR"),SUMIFS(M:M,A:A,A35,B:B,B35,G:G,D35) + SUMIFS(M:M,A:A,A35,B:B,B35,G:G,"anderson.ortiz@altoqi.com.br"),
IF(AND(F35="Gestor",H35="MRR"),SUMIFS(M:M,A:A,A35,B:B,B35,G:G,D35),
SUMIFS(Negócios!L:L,Negócios!A:A,A35,Negócios!B:B,B35,Negócios!P:P,D35,Negócios!AG:AG,"À Vista")))</f>
        <v>0</v>
      </c>
      <c r="N35" s="10">
        <f t="shared" si="12"/>
        <v>0</v>
      </c>
      <c r="O35" s="30">
        <f>SUMIFS('Acel Form Pag'!D:D,'Acel Form Pag'!A:A,A35,'Acel Form Pag'!B:B,B35,'Acel Form Pag'!C:C,E35)</f>
        <v>1.3</v>
      </c>
      <c r="P35" s="87">
        <f>IF(AND(F35="Gestor",E35="Sonia",H35="MRR"),SUMIFS(P:P,A:A,A35,B:B,B35,G:G,D35) + SUMIFS(P:P,A:A,A35,B:B,B35,G:G,"anderson.ortiz@altoqi.com.br"),
IF(AND(F35="Gestor",H35="MRR"),SUMIFS(P:P,A:A,A35,B:B,B35,G:G,D35),
SUMIFS(Negócios!L:L,Negócios!A:A,A35,Negócios!B:B,B35,Negócios!P:P,D35,Negócios!AG:AG,"CC 3x")))</f>
        <v>0</v>
      </c>
      <c r="Q35" s="10">
        <f t="shared" si="13"/>
        <v>0</v>
      </c>
      <c r="R35" s="30">
        <f>SUMIFS('Acel Form Pag'!E:E,'Acel Form Pag'!A:A,A35,'Acel Form Pag'!B:B,B35,'Acel Form Pag'!C:C,E35)</f>
        <v>1.2</v>
      </c>
      <c r="S35" s="32">
        <f>IF(AND(F35="Gestor",E35="Sonia",H35="MRR"),SUMIFS(S:S,A:A,A35,B:B,B35,G:G,D35) + SUMIFS(S:S,A:A,A35,B:B,B35,G:G,"anderson.ortiz@altoqi.com.br"),
IF(AND(F35="Gestor",H35="MRR"),SUMIFS(S:S,A:A,A35,B:B,B35,G:G,D35),
SUMIFS(Negócios!L:L,Negócios!A:A,A35,Negócios!B:B,B35,Negócios!P:P,D35,Negócios!AG:AG,"CC 12x")))</f>
        <v>0</v>
      </c>
      <c r="T35" s="10">
        <f t="shared" si="14"/>
        <v>0</v>
      </c>
      <c r="U35" s="30">
        <f>SUMIFS('Acel Form Pag'!F:F,'Acel Form Pag'!A:A,A35,'Acel Form Pag'!B:B,B35,'Acel Form Pag'!C:C,E35)</f>
        <v>1.1499999999999999</v>
      </c>
      <c r="V35" s="32">
        <f>IF(AND(F35="Gestor",E35="Sonia",H35="MRR"),SUMIFS(V:V,A:A,A35,B:B,B35,G:G,D35) + SUMIFS(V:V,A:A,A35,B:B,B35,G:G,"anderson.ortiz@altoqi.com.br"),
IF(AND(F35="Gestor",H35="MRR"),SUMIFS(V:V,A:A,A35,B:B,B35,G:G,D35),
SUMIFS(Negócios!L:L,Negócios!A:A,A35,Negócios!B:B,B35,Negócios!P:P,D35,Negócios!AG:AG,"Recorrente")))</f>
        <v>6139.5</v>
      </c>
      <c r="W35" s="10">
        <f t="shared" si="10"/>
        <v>1</v>
      </c>
      <c r="X35" s="34">
        <f>SUMIFS('Acel Form Pag'!G:G,'Acel Form Pag'!A:A,A35,'Acel Form Pag'!B:B,B35,'Acel Form Pag'!C:C,E35)</f>
        <v>1</v>
      </c>
      <c r="Y35" s="24">
        <f>MAX(_xlfn.MAXIFS(Parâmetros!O:O,Parâmetros!A:A,A35,Parâmetros!B:B,B35,Parâmetros!D:D,D35,Parâmetros!M:M,"&lt;="&amp;K35),_xlfn.MAXIFS(Parâmetros!L:L,Parâmetros!A:A,A35,Parâmetros!B:B,B35,Parâmetros!D:D,D35,Parâmetros!J:J,"&lt;="&amp;K35),_xlfn.MAXIFS(Parâmetros!I:I,Parâmetros!A:A,A35,Parâmetros!B:B,B35,Parâmetros!D:D,D35))</f>
        <v>3496.0199999999995</v>
      </c>
      <c r="Z35" s="9">
        <f>MAX(_xlfn.MAXIFS(Parâmetros!Q:Q,Parâmetros!A:A,A35,Parâmetros!B:B,B35,Parâmetros!D:D,D35,Parâmetros!E:E,E35,Parâmetros!P:P,"&lt;="&amp;K35),
_xlfn.MAXIFS(Parâmetros!S:S,Parâmetros!A:A,A35,Parâmetros!B:B,B35,Parâmetros!D:D,D35,Parâmetros!E:E,E35,Parâmetros!R:R,"&lt;="&amp;K35),
_xlfn.MAXIFS(Parâmetros!U:U,Parâmetros!A:A,A35,Parâmetros!B:B,B35,Parâmetros!D:D,D35,Parâmetros!E:E,E35,Parâmetros!T:T,"&lt;="&amp;K35),1) * IF(K35 &gt;= SUMIFS(Parâmetros!G:G,Parâmetros!A:A,A35,Parâmetros!B:B,B35,Parâmetros!D:D,D35,Parâmetros!E:E,E35),1,0)</f>
        <v>1.25</v>
      </c>
      <c r="AA35" s="16">
        <f>Y35*Z35*K35</f>
        <v>5330.7706114643352</v>
      </c>
      <c r="AB35" s="16">
        <f>(AA35*N35*O35) + (AA35*Q35*R35) + (AA35*T35*U35) + (AA35*W35*X35)</f>
        <v>5330.7706114643352</v>
      </c>
      <c r="AC35" s="15">
        <f>IF(F35="Gestor",SUMIFS(AC:AC,A:A,A35,B:B,B35,G:G,D35),
IF(E35="Saving",SUMIFS(Negócios!I:I,Negócios!A:A,A35,Negócios!B:B,B35,Negócios!P:P,D35,Negócios!H:H,"Curso") +
SUMIFS(Negócios!I:I,Negócios!A:A,A35,Negócios!B:B,B35,Negócios!P:P,D35,Negócios!H:H,"Serviço") +
SUMIFS(Negócios!I:I,Negócios!A:A,A35,Negócios!B:B,B35,Negócios!P:P,D35,Negócios!H:H,"Implantação"),
SUMIFS(Negócios!I:I,Negócios!A:A,A35,Negócios!B:B,B35,Negócios!P:P,D35,Negócios!H:H,"Implantação")))</f>
        <v>0</v>
      </c>
      <c r="AD35" s="16">
        <f>SUMIFS(Parâmetros!W:W,Parâmetros!A:A,A35,Parâmetros!B:B,B35,Parâmetros!D:D,D35) * AC35 * IF(K35 &gt;= SUMIFS(Parâmetros!V:V,Parâmetros!A:A,A35,Parâmetros!B:B,B35,Parâmetros!D:D,D35),1,0)</f>
        <v>0</v>
      </c>
      <c r="AE35" s="15">
        <f>SUMIFS('Recuperação de Canc e Divs'!D:D,'Recuperação de Canc e Divs'!A:A,A35,'Recuperação de Canc e Divs'!B:B,B35,'Recuperação de Canc e Divs'!C:C,D35)</f>
        <v>0</v>
      </c>
      <c r="AF35" s="16">
        <f>IF(K35&gt;=SUMIFS(Parâmetros!J:J,Parâmetros!A:A,A35,Parâmetros!B:B,B35,Parâmetros!D:D,D35),AE35*0.025,0)</f>
        <v>0</v>
      </c>
      <c r="AG35" s="15" t="str">
        <f t="shared" si="0"/>
        <v/>
      </c>
      <c r="AH35" s="16" t="str">
        <f t="shared" si="1"/>
        <v/>
      </c>
      <c r="AI35" s="90">
        <f t="shared" si="2"/>
        <v>0</v>
      </c>
      <c r="AJ35" s="16" t="str">
        <f t="shared" si="3"/>
        <v/>
      </c>
      <c r="AK35" s="16" t="str">
        <f t="shared" si="4"/>
        <v/>
      </c>
      <c r="AL35" s="90">
        <f t="shared" si="5"/>
        <v>0</v>
      </c>
      <c r="AM35" s="93" t="str">
        <f>IF(AND(OR(B35=3,B35=6,B35=9,B35=12),AI35&gt;=1),
IF(F35="Gestor",AI35*0.6,AI35*0.3),"")</f>
        <v/>
      </c>
      <c r="AN35" s="94" t="str">
        <f>IF(OR(B35=3,B35=6,B35=9,B35=12),
IF(AND(AL35&gt;=1,AI35&gt;=SUMIFS(Parâmetros!G:G,Parâmetros!A:A,Comissões!A35,Parâmetros!B:B,Comissões!B35,Parâmetros!D:D,Comissões!D35,Parâmetros!E:E,Comissões!E35)),AI35*0.3,""),"")</f>
        <v/>
      </c>
    </row>
    <row r="36" spans="1:40" hidden="1">
      <c r="A36" s="7">
        <v>2026</v>
      </c>
      <c r="B36" s="7">
        <v>2</v>
      </c>
      <c r="C36" s="7" t="str">
        <v>Fernanda da Silva Fertonani</v>
      </c>
      <c r="D36" s="7" t="str">
        <v>fernanda.fertonani@altoqi.com.br</v>
      </c>
      <c r="E36" s="7" t="str">
        <v>B2B Escritório</v>
      </c>
      <c r="F36" s="7" t="str">
        <v>Consultor</v>
      </c>
      <c r="G36" s="7">
        <v>0</v>
      </c>
      <c r="H36" s="7" t="str">
        <v>MRR</v>
      </c>
      <c r="I36" s="86">
        <f>IF(AND(F36="Consultor",H36="MRR"),SUMIFS(Negócios!L:L,Negócios!A:A,A36,Negócios!B:B,B36,Negócios!P:P,D36),
IF(AND(F36="Consultor",H36="Opps"),SUMIFS('Realizado GD'!D:D,'Realizado GD'!A:A,A36,'Realizado GD'!B:B,B36,'Realizado GD'!C:C,D36),
IF(AND(F36="Gestor",E36="Sonia",H36="MRR"),SUMIFS(I:I,A:A,A36,B:B,B36,G:G,D36) + SUMIFS(I:I,A:A,A36,B:B,B36,G:G,"anderson.ortiz@altoqi.com.br"),
IF(AND(F36="Gestor",H36="MRR"),SUMIFS(I:I,A:A,A36,B:B,B36,G:G,D36)))))</f>
        <v>5317.8830500000004</v>
      </c>
      <c r="J36" s="16">
        <f>SUMIFS(Metas!K:K,Metas!A:A,A36,Metas!B:B,B36,Metas!D:D,D36,Metas!H:H,H36)</f>
        <v>9200</v>
      </c>
      <c r="K36" s="10">
        <f t="shared" si="11"/>
        <v>0.57803076630434791</v>
      </c>
      <c r="L36" s="26" t="str" cm="1">
        <f t="array" ref="L36">_xlfn.LET(
 _xlpm.g,_xlfn.MAXIFS(Parâmetros!G:G,Parâmetros!A:A,A36,Parâmetros!B:B,B36,Parâmetros!D:D,D36,Parâmetros!E:E,E36),
 _xlpm.j,_xlfn.MAXIFS(Parâmetros!J:J,Parâmetros!A:A,A36,Parâmetros!B:B,B36,Parâmetros!D:D,D36,Parâmetros!E:E,E36),
 _xlpm.m,_xlfn.MAXIFS(Parâmetros!M:M,Parâmetros!A:A,A36,Parâmetros!B:B,B36,Parâmetros!D:D,D36,Parâmetros!E:E,E36),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55,00%</v>
      </c>
      <c r="M36" s="28">
        <f>IF(AND(F36="Gestor",E36="Sonia",H36="MRR"),SUMIFS(M:M,A:A,A36,B:B,B36,G:G,D36) + SUMIFS(M:M,A:A,A36,B:B,B36,G:G,"anderson.ortiz@altoqi.com.br"),
IF(AND(F36="Gestor",H36="MRR"),SUMIFS(M:M,A:A,A36,B:B,B36,G:G,D36),
SUMIFS(Negócios!L:L,Negócios!A:A,A36,Negócios!B:B,B36,Negócios!P:P,D36,Negócios!AG:AG,"À Vista")))</f>
        <v>1474.2</v>
      </c>
      <c r="N36" s="10">
        <f t="shared" si="12"/>
        <v>0.27721557359182614</v>
      </c>
      <c r="O36" s="30">
        <f>SUMIFS('Acel Form Pag'!D:D,'Acel Form Pag'!A:A,A36,'Acel Form Pag'!B:B,B36,'Acel Form Pag'!C:C,E36)</f>
        <v>1.3</v>
      </c>
      <c r="P36" s="87">
        <f>IF(AND(F36="Gestor",E36="Sonia",H36="MRR"),SUMIFS(P:P,A:A,A36,B:B,B36,G:G,D36) + SUMIFS(P:P,A:A,A36,B:B,B36,G:G,"anderson.ortiz@altoqi.com.br"),
IF(AND(F36="Gestor",H36="MRR"),SUMIFS(P:P,A:A,A36,B:B,B36,G:G,D36),
SUMIFS(Negócios!L:L,Negócios!A:A,A36,Negócios!B:B,B36,Negócios!P:P,D36,Negócios!AG:AG,"CC 3x")))</f>
        <v>0</v>
      </c>
      <c r="Q36" s="10">
        <f t="shared" si="13"/>
        <v>0</v>
      </c>
      <c r="R36" s="30">
        <f>SUMIFS('Acel Form Pag'!E:E,'Acel Form Pag'!A:A,A36,'Acel Form Pag'!B:B,B36,'Acel Form Pag'!C:C,E36)</f>
        <v>1.2</v>
      </c>
      <c r="S36" s="32">
        <f>IF(AND(F36="Gestor",E36="Sonia",H36="MRR"),SUMIFS(S:S,A:A,A36,B:B,B36,G:G,D36) + SUMIFS(S:S,A:A,A36,B:B,B36,G:G,"anderson.ortiz@altoqi.com.br"),
IF(AND(F36="Gestor",H36="MRR"),SUMIFS(S:S,A:A,A36,B:B,B36,G:G,D36),
SUMIFS(Negócios!L:L,Negócios!A:A,A36,Negócios!B:B,B36,Negócios!P:P,D36,Negócios!AG:AG,"CC 12x")))</f>
        <v>3124.6830499999996</v>
      </c>
      <c r="T36" s="10">
        <f t="shared" si="14"/>
        <v>0.58758024962583555</v>
      </c>
      <c r="U36" s="30">
        <f>SUMIFS('Acel Form Pag'!F:F,'Acel Form Pag'!A:A,A36,'Acel Form Pag'!B:B,B36,'Acel Form Pag'!C:C,E36)</f>
        <v>1.1499999999999999</v>
      </c>
      <c r="V36" s="32">
        <f>IF(AND(F36="Gestor",E36="Sonia",H36="MRR"),SUMIFS(V:V,A:A,A36,B:B,B36,G:G,D36) + SUMIFS(V:V,A:A,A36,B:B,B36,G:G,"anderson.ortiz@altoqi.com.br"),
IF(AND(F36="Gestor",H36="MRR"),SUMIFS(V:V,A:A,A36,B:B,B36,G:G,D36),
SUMIFS(Negócios!L:L,Negócios!A:A,A36,Negócios!B:B,B36,Negócios!P:P,D36,Negócios!AG:AG,"Recorrente")))</f>
        <v>719</v>
      </c>
      <c r="W36" s="10">
        <f t="shared" si="10"/>
        <v>0.13520417678233823</v>
      </c>
      <c r="X36" s="34">
        <f>SUMIFS('Acel Form Pag'!G:G,'Acel Form Pag'!A:A,A36,'Acel Form Pag'!B:B,B36,'Acel Form Pag'!C:C,E36)</f>
        <v>1</v>
      </c>
      <c r="Y36" s="24">
        <f>MAX(_xlfn.MAXIFS(Parâmetros!O:O,Parâmetros!A:A,A36,Parâmetros!B:B,B36,Parâmetros!D:D,D36,Parâmetros!M:M,"&lt;="&amp;K36),_xlfn.MAXIFS(Parâmetros!L:L,Parâmetros!A:A,A36,Parâmetros!B:B,B36,Parâmetros!D:D,D36,Parâmetros!J:J,"&lt;="&amp;K36),_xlfn.MAXIFS(Parâmetros!I:I,Parâmetros!A:A,A36,Parâmetros!B:B,B36,Parâmetros!D:D,D36))</f>
        <v>4176</v>
      </c>
      <c r="Z36" s="9">
        <f>MAX(_xlfn.MAXIFS(Parâmetros!Q:Q,Parâmetros!A:A,A36,Parâmetros!B:B,B36,Parâmetros!D:D,D36,Parâmetros!E:E,E36,Parâmetros!P:P,"&lt;="&amp;K36),
_xlfn.MAXIFS(Parâmetros!S:S,Parâmetros!A:A,A36,Parâmetros!B:B,B36,Parâmetros!D:D,D36,Parâmetros!E:E,E36,Parâmetros!R:R,"&lt;="&amp;K36),
_xlfn.MAXIFS(Parâmetros!U:U,Parâmetros!A:A,A36,Parâmetros!B:B,B36,Parâmetros!D:D,D36,Parâmetros!E:E,E36,Parâmetros!T:T,"&lt;="&amp;K36),1) * IF(K36 &gt;= SUMIFS(Parâmetros!G:G,Parâmetros!A:A,A36,Parâmetros!B:B,B36,Parâmetros!D:D,D36,Parâmetros!E:E,E36),1,0)</f>
        <v>1</v>
      </c>
      <c r="AA36" s="16">
        <f>Y36*Z36*K36</f>
        <v>2413.8564800869567</v>
      </c>
      <c r="AB36" s="16">
        <f>(AA36*N36*O36) + (AA36*Q36*R36) + (AA36*T36*U36) + (AA36*W36*X36)</f>
        <v>2827.3542216652172</v>
      </c>
      <c r="AC36" s="15">
        <f>IF(F36="Gestor",SUMIFS(AC:AC,A:A,A36,B:B,B36,G:G,D36),
IF(E36="Saving",SUMIFS(Negócios!I:I,Negócios!A:A,A36,Negócios!B:B,B36,Negócios!P:P,D36,Negócios!H:H,"Curso") +
SUMIFS(Negócios!I:I,Negócios!A:A,A36,Negócios!B:B,B36,Negócios!P:P,D36,Negócios!H:H,"Serviço") +
SUMIFS(Negócios!I:I,Negócios!A:A,A36,Negócios!B:B,B36,Negócios!P:P,D36,Negócios!H:H,"Implantação"),
SUMIFS(Negócios!I:I,Negócios!A:A,A36,Negócios!B:B,B36,Negócios!P:P,D36,Negócios!H:H,"Implantação")))</f>
        <v>0</v>
      </c>
      <c r="AD36" s="16">
        <f>SUMIFS(Parâmetros!W:W,Parâmetros!A:A,A36,Parâmetros!B:B,B36,Parâmetros!D:D,D36) * AC36 * IF(K36 &gt;= SUMIFS(Parâmetros!V:V,Parâmetros!A:A,A36,Parâmetros!B:B,B36,Parâmetros!D:D,D36),1,0)</f>
        <v>0</v>
      </c>
      <c r="AE36" s="15">
        <f>SUMIFS('Recuperação de Canc e Divs'!D:D,'Recuperação de Canc e Divs'!A:A,A36,'Recuperação de Canc e Divs'!B:B,B36,'Recuperação de Canc e Divs'!C:C,D36)</f>
        <v>0</v>
      </c>
      <c r="AF36" s="16">
        <f>IF(K36&gt;=SUMIFS(Parâmetros!J:J,Parâmetros!A:A,A36,Parâmetros!B:B,B36,Parâmetros!D:D,D36),AE36*0.025,0)</f>
        <v>0</v>
      </c>
      <c r="AG36" s="15" t="str">
        <f t="shared" si="0"/>
        <v/>
      </c>
      <c r="AH36" s="16" t="str">
        <f t="shared" si="1"/>
        <v/>
      </c>
      <c r="AI36" s="90">
        <f t="shared" si="2"/>
        <v>0</v>
      </c>
      <c r="AJ36" s="16" t="str">
        <f t="shared" si="3"/>
        <v/>
      </c>
      <c r="AK36" s="16" t="str">
        <f t="shared" si="4"/>
        <v/>
      </c>
      <c r="AL36" s="90">
        <f t="shared" si="5"/>
        <v>0</v>
      </c>
      <c r="AM36" s="93" t="str">
        <f>IF(AND(OR(B36=3,B36=6,B36=9,B36=12),AI36&gt;=1),
IF(F36="Gestor",AI36*0.6,AI36*0.3),"")</f>
        <v/>
      </c>
      <c r="AN36" s="94" t="str">
        <f>IF(OR(B36=3,B36=6,B36=9,B36=12),
IF(AND(AL36&gt;=1,AI36&gt;=SUMIFS(Parâmetros!G:G,Parâmetros!A:A,Comissões!A36,Parâmetros!B:B,Comissões!B36,Parâmetros!D:D,Comissões!D36,Parâmetros!E:E,Comissões!E36)),AI36*0.3,""),"")</f>
        <v/>
      </c>
    </row>
    <row r="37" spans="1:40" hidden="1">
      <c r="A37" s="7">
        <v>2026</v>
      </c>
      <c r="B37" s="7">
        <v>2</v>
      </c>
      <c r="C37" s="7" t="str">
        <v>Paola Oliveira</v>
      </c>
      <c r="D37" s="7" t="str">
        <v>paola.oliveira@altoqi.com.br</v>
      </c>
      <c r="E37" s="7" t="str">
        <v>B2B Escritório</v>
      </c>
      <c r="F37" s="7" t="str">
        <v>Consultor</v>
      </c>
      <c r="G37" s="7">
        <v>0</v>
      </c>
      <c r="H37" s="7" t="str">
        <v>MRR</v>
      </c>
      <c r="I37" s="86">
        <f>IF(AND(F37="Consultor",H37="MRR"),SUMIFS(Negócios!L:L,Negócios!A:A,A37,Negócios!B:B,B37,Negócios!P:P,D37),
IF(AND(F37="Consultor",H37="Opps"),SUMIFS('Realizado GD'!D:D,'Realizado GD'!A:A,A37,'Realizado GD'!B:B,B37,'Realizado GD'!C:C,D37),
IF(AND(F37="Gestor",E37="Sonia",H37="MRR"),SUMIFS(I:I,A:A,A37,B:B,B37,G:G,D37) + SUMIFS(I:I,A:A,A37,B:B,B37,G:G,"anderson.ortiz@altoqi.com.br"),
IF(AND(F37="Gestor",H37="MRR"),SUMIFS(I:I,A:A,A37,B:B,B37,G:G,D37)))))</f>
        <v>2729.78</v>
      </c>
      <c r="J37" s="16">
        <f>SUMIFS(Metas!K:K,Metas!A:A,A37,Metas!B:B,B37,Metas!D:D,D37,Metas!H:H,H37)</f>
        <v>4600</v>
      </c>
      <c r="K37" s="10">
        <f t="shared" si="11"/>
        <v>0.59343043478260871</v>
      </c>
      <c r="L37" s="26" t="str" cm="1">
        <f t="array" ref="L37">_xlfn.LET(
 _xlpm.g,_xlfn.MAXIFS(Parâmetros!G:G,Parâmetros!A:A,A37,Parâmetros!B:B,B37,Parâmetros!D:D,D37,Parâmetros!E:E,E37),
 _xlpm.j,_xlfn.MAXIFS(Parâmetros!J:J,Parâmetros!A:A,A37,Parâmetros!B:B,B37,Parâmetros!D:D,D37,Parâmetros!E:E,E37),
 _xlpm.m,_xlfn.MAXIFS(Parâmetros!M:M,Parâmetros!A:A,A37,Parâmetros!B:B,B37,Parâmetros!D:D,D37,Parâmetros!E:E,E37),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55,00%</v>
      </c>
      <c r="M37" s="28">
        <f>IF(AND(F37="Gestor",E37="Sonia",H37="MRR"),SUMIFS(M:M,A:A,A37,B:B,B37,G:G,D37) + SUMIFS(M:M,A:A,A37,B:B,B37,G:G,"anderson.ortiz@altoqi.com.br"),
IF(AND(F37="Gestor",H37="MRR"),SUMIFS(M:M,A:A,A37,B:B,B37,G:G,D37),
SUMIFS(Negócios!L:L,Negócios!A:A,A37,Negócios!B:B,B37,Negócios!P:P,D37,Negócios!AG:AG,"À Vista")))</f>
        <v>215.55</v>
      </c>
      <c r="N37" s="10">
        <f t="shared" si="12"/>
        <v>7.8962407226956022E-2</v>
      </c>
      <c r="O37" s="30">
        <f>SUMIFS('Acel Form Pag'!D:D,'Acel Form Pag'!A:A,A37,'Acel Form Pag'!B:B,B37,'Acel Form Pag'!C:C,E37)</f>
        <v>1.3</v>
      </c>
      <c r="P37" s="87">
        <f>IF(AND(F37="Gestor",E37="Sonia",H37="MRR"),SUMIFS(P:P,A:A,A37,B:B,B37,G:G,D37) + SUMIFS(P:P,A:A,A37,B:B,B37,G:G,"anderson.ortiz@altoqi.com.br"),
IF(AND(F37="Gestor",H37="MRR"),SUMIFS(P:P,A:A,A37,B:B,B37,G:G,D37),
SUMIFS(Negócios!L:L,Negócios!A:A,A37,Negócios!B:B,B37,Negócios!P:P,D37,Negócios!AG:AG,"CC 3x")))</f>
        <v>0</v>
      </c>
      <c r="Q37" s="10">
        <f t="shared" si="13"/>
        <v>0</v>
      </c>
      <c r="R37" s="30">
        <f>SUMIFS('Acel Form Pag'!E:E,'Acel Form Pag'!A:A,A37,'Acel Form Pag'!B:B,B37,'Acel Form Pag'!C:C,E37)</f>
        <v>1.2</v>
      </c>
      <c r="S37" s="32">
        <f>IF(AND(F37="Gestor",E37="Sonia",H37="MRR"),SUMIFS(S:S,A:A,A37,B:B,B37,G:G,D37) + SUMIFS(S:S,A:A,A37,B:B,B37,G:G,"anderson.ortiz@altoqi.com.br"),
IF(AND(F37="Gestor",H37="MRR"),SUMIFS(S:S,A:A,A37,B:B,B37,G:G,D37),
SUMIFS(Negócios!L:L,Negócios!A:A,A37,Negócios!B:B,B37,Negócios!P:P,D37,Negócios!AG:AG,"CC 12x")))</f>
        <v>736.23</v>
      </c>
      <c r="T37" s="10">
        <f t="shared" si="14"/>
        <v>0.26970305299328151</v>
      </c>
      <c r="U37" s="30">
        <f>SUMIFS('Acel Form Pag'!F:F,'Acel Form Pag'!A:A,A37,'Acel Form Pag'!B:B,B37,'Acel Form Pag'!C:C,E37)</f>
        <v>1.1499999999999999</v>
      </c>
      <c r="V37" s="32">
        <f>IF(AND(F37="Gestor",E37="Sonia",H37="MRR"),SUMIFS(V:V,A:A,A37,B:B,B37,G:G,D37) + SUMIFS(V:V,A:A,A37,B:B,B37,G:G,"anderson.ortiz@altoqi.com.br"),
IF(AND(F37="Gestor",H37="MRR"),SUMIFS(V:V,A:A,A37,B:B,B37,G:G,D37),
SUMIFS(Negócios!L:L,Negócios!A:A,A37,Negócios!B:B,B37,Negócios!P:P,D37,Negócios!AG:AG,"Recorrente")))</f>
        <v>1778</v>
      </c>
      <c r="W37" s="10">
        <f t="shared" si="10"/>
        <v>0.65133453977976241</v>
      </c>
      <c r="X37" s="34">
        <f>SUMIFS('Acel Form Pag'!G:G,'Acel Form Pag'!A:A,A37,'Acel Form Pag'!B:B,B37,'Acel Form Pag'!C:C,E37)</f>
        <v>1</v>
      </c>
      <c r="Y37" s="24">
        <f>MAX(_xlfn.MAXIFS(Parâmetros!O:O,Parâmetros!A:A,A37,Parâmetros!B:B,B37,Parâmetros!D:D,D37,Parâmetros!M:M,"&lt;="&amp;K37),_xlfn.MAXIFS(Parâmetros!L:L,Parâmetros!A:A,A37,Parâmetros!B:B,B37,Parâmetros!D:D,D37,Parâmetros!J:J,"&lt;="&amp;K37),_xlfn.MAXIFS(Parâmetros!I:I,Parâmetros!A:A,A37,Parâmetros!B:B,B37,Parâmetros!D:D,D37))</f>
        <v>2088</v>
      </c>
      <c r="Z37" s="9">
        <f>MAX(_xlfn.MAXIFS(Parâmetros!Q:Q,Parâmetros!A:A,A37,Parâmetros!B:B,B37,Parâmetros!D:D,D37,Parâmetros!E:E,E37,Parâmetros!P:P,"&lt;="&amp;K37),
_xlfn.MAXIFS(Parâmetros!S:S,Parâmetros!A:A,A37,Parâmetros!B:B,B37,Parâmetros!D:D,D37,Parâmetros!E:E,E37,Parâmetros!R:R,"&lt;="&amp;K37),
_xlfn.MAXIFS(Parâmetros!U:U,Parâmetros!A:A,A37,Parâmetros!B:B,B37,Parâmetros!D:D,D37,Parâmetros!E:E,E37,Parâmetros!T:T,"&lt;="&amp;K37),1) * IF(K37 &gt;= SUMIFS(Parâmetros!G:G,Parâmetros!A:A,A37,Parâmetros!B:B,B37,Parâmetros!D:D,D37,Parâmetros!E:E,E37),1,0)</f>
        <v>1</v>
      </c>
      <c r="AA37" s="16">
        <f>Y37*Z37*K37</f>
        <v>1239.0827478260869</v>
      </c>
      <c r="AB37" s="16">
        <f>(AA37*N37*O37) + (AA37*Q37*R37) + (AA37*T37*U37) + (AA37*W37*X37)</f>
        <v>1318.5626947826086</v>
      </c>
      <c r="AC37" s="15">
        <f>IF(F37="Gestor",SUMIFS(AC:AC,A:A,A37,B:B,B37,G:G,D37),
IF(E37="Saving",SUMIFS(Negócios!I:I,Negócios!A:A,A37,Negócios!B:B,B37,Negócios!P:P,D37,Negócios!H:H,"Curso") +
SUMIFS(Negócios!I:I,Negócios!A:A,A37,Negócios!B:B,B37,Negócios!P:P,D37,Negócios!H:H,"Serviço") +
SUMIFS(Negócios!I:I,Negócios!A:A,A37,Negócios!B:B,B37,Negócios!P:P,D37,Negócios!H:H,"Implantação"),
SUMIFS(Negócios!I:I,Negócios!A:A,A37,Negócios!B:B,B37,Negócios!P:P,D37,Negócios!H:H,"Implantação")))</f>
        <v>1600</v>
      </c>
      <c r="AD37" s="16">
        <f>SUMIFS(Parâmetros!W:W,Parâmetros!A:A,A37,Parâmetros!B:B,B37,Parâmetros!D:D,D37) * AC37 * IF(K37 &gt;= SUMIFS(Parâmetros!V:V,Parâmetros!A:A,A37,Parâmetros!B:B,B37,Parâmetros!D:D,D37),1,0)</f>
        <v>32</v>
      </c>
      <c r="AE37" s="15">
        <f>SUMIFS('Recuperação de Canc e Divs'!D:D,'Recuperação de Canc e Divs'!A:A,A37,'Recuperação de Canc e Divs'!B:B,B37,'Recuperação de Canc e Divs'!C:C,D37)</f>
        <v>0</v>
      </c>
      <c r="AF37" s="16">
        <f>IF(K37&gt;=SUMIFS(Parâmetros!J:J,Parâmetros!A:A,A37,Parâmetros!B:B,B37,Parâmetros!D:D,D37),AE37*0.025,0)</f>
        <v>0</v>
      </c>
      <c r="AG37" s="15" t="str">
        <f t="shared" si="0"/>
        <v/>
      </c>
      <c r="AH37" s="16" t="str">
        <f t="shared" si="1"/>
        <v/>
      </c>
      <c r="AI37" s="90">
        <f t="shared" si="2"/>
        <v>0</v>
      </c>
      <c r="AJ37" s="16" t="str">
        <f t="shared" si="3"/>
        <v/>
      </c>
      <c r="AK37" s="16" t="str">
        <f t="shared" si="4"/>
        <v/>
      </c>
      <c r="AL37" s="90">
        <f t="shared" si="5"/>
        <v>0</v>
      </c>
      <c r="AM37" s="93" t="str">
        <f>IF(AND(OR(B37=3,B37=6,B37=9,B37=12),AI37&gt;=1),
IF(F37="Gestor",AI37*0.6,AI37*0.3),"")</f>
        <v/>
      </c>
      <c r="AN37" s="94" t="str">
        <f>IF(OR(B37=3,B37=6,B37=9,B37=12),
IF(AND(AL37&gt;=1,AI37&gt;=SUMIFS(Parâmetros!G:G,Parâmetros!A:A,Comissões!A37,Parâmetros!B:B,Comissões!B37,Parâmetros!D:D,Comissões!D37,Parâmetros!E:E,Comissões!E37)),AI37*0.3,""),"")</f>
        <v/>
      </c>
    </row>
    <row r="38" spans="1:40" hidden="1">
      <c r="A38" s="7">
        <v>2026</v>
      </c>
      <c r="B38" s="7">
        <v>2</v>
      </c>
      <c r="C38" s="7" t="str">
        <v>Aline Castilho Pureza</v>
      </c>
      <c r="D38" s="7" t="str">
        <v>aline.pureza@altoqi.com.br</v>
      </c>
      <c r="E38" s="7" t="str">
        <v>Farmer</v>
      </c>
      <c r="F38" s="7" t="str">
        <v>Consultor</v>
      </c>
      <c r="G38" s="7" t="str">
        <v>sonia.zielinski@altoqi.com.br</v>
      </c>
      <c r="H38" s="7" t="str">
        <v>MRR</v>
      </c>
      <c r="I38" s="86">
        <f>IF(AND(F38="Consultor",H38="MRR"),SUMIFS(Negócios!L:L,Negócios!A:A,A38,Negócios!B:B,B38,Negócios!P:P,D38),
IF(AND(F38="Consultor",H38="Opps"),SUMIFS('Realizado GD'!D:D,'Realizado GD'!A:A,A38,'Realizado GD'!B:B,B38,'Realizado GD'!C:C,D38),
IF(AND(F38="Gestor",E38="Sonia",H38="MRR"),SUMIFS(I:I,A:A,A38,B:B,B38,G:G,D38) + SUMIFS(I:I,A:A,A38,B:B,B38,G:G,"anderson.ortiz@altoqi.com.br"),
IF(AND(F38="Gestor",H38="MRR"),SUMIFS(I:I,A:A,A38,B:B,B38,G:G,D38)))))</f>
        <v>6125.0950002000009</v>
      </c>
      <c r="J38" s="16">
        <f>SUMIFS(Metas!K:K,Metas!A:A,A38,Metas!B:B,B38,Metas!D:D,D38,Metas!H:H,H38)</f>
        <v>4800</v>
      </c>
      <c r="K38" s="10">
        <f t="shared" si="11"/>
        <v>1.2760614583750003</v>
      </c>
      <c r="L38" s="26" t="str" cm="1">
        <f t="array" ref="L38">_xlfn.LET(
 _xlpm.g,_xlfn.MAXIFS(Parâmetros!G:G,Parâmetros!A:A,A38,Parâmetros!B:B,B38,Parâmetros!D:D,D38,Parâmetros!E:E,E38),
 _xlpm.j,_xlfn.MAXIFS(Parâmetros!J:J,Parâmetros!A:A,A38,Parâmetros!B:B,B38,Parâmetros!D:D,D38,Parâmetros!E:E,E38),
 _xlpm.m,_xlfn.MAXIFS(Parâmetros!M:M,Parâmetros!A:A,A38,Parâmetros!B:B,B38,Parâmetros!D:D,D38,Parâmetros!E:E,E38),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55,00%</v>
      </c>
      <c r="M38" s="28">
        <f>IF(AND(F38="Gestor",E38="Sonia",H38="MRR"),SUMIFS(M:M,A:A,A38,B:B,B38,G:G,D38) + SUMIFS(M:M,A:A,A38,B:B,B38,G:G,"anderson.ortiz@altoqi.com.br"),
IF(AND(F38="Gestor",H38="MRR"),SUMIFS(M:M,A:A,A38,B:B,B38,G:G,D38),
SUMIFS(Negócios!L:L,Negócios!A:A,A38,Negócios!B:B,B38,Negócios!P:P,D38,Negócios!AG:AG,"À Vista")))</f>
        <v>0</v>
      </c>
      <c r="N38" s="10">
        <f t="shared" si="7"/>
        <v>0</v>
      </c>
      <c r="O38" s="30">
        <f>SUMIFS('Acel Form Pag'!D:D,'Acel Form Pag'!A:A,A38,'Acel Form Pag'!B:B,B38,'Acel Form Pag'!C:C,E38)</f>
        <v>1.5</v>
      </c>
      <c r="P38" s="87">
        <f>IF(AND(F38="Gestor",E38="Sonia",H38="MRR"),SUMIFS(P:P,A:A,A38,B:B,B38,G:G,D38) + SUMIFS(P:P,A:A,A38,B:B,B38,G:G,"anderson.ortiz@altoqi.com.br"),
IF(AND(F38="Gestor",H38="MRR"),SUMIFS(P:P,A:A,A38,B:B,B38,G:G,D38),
SUMIFS(Negócios!L:L,Negócios!A:A,A38,Negócios!B:B,B38,Negócios!P:P,D38,Negócios!AG:AG,"CC 3x")))</f>
        <v>0</v>
      </c>
      <c r="Q38" s="10">
        <f t="shared" si="8"/>
        <v>0</v>
      </c>
      <c r="R38" s="30">
        <f>SUMIFS('Acel Form Pag'!E:E,'Acel Form Pag'!A:A,A38,'Acel Form Pag'!B:B,B38,'Acel Form Pag'!C:C,E38)</f>
        <v>1.4</v>
      </c>
      <c r="S38" s="32">
        <f>IF(AND(F38="Gestor",E38="Sonia",H38="MRR"),SUMIFS(S:S,A:A,A38,B:B,B38,G:G,D38) + SUMIFS(S:S,A:A,A38,B:B,B38,G:G,"anderson.ortiz@altoqi.com.br"),
IF(AND(F38="Gestor",H38="MRR"),SUMIFS(S:S,A:A,A38,B:B,B38,G:G,D38),
SUMIFS(Negócios!L:L,Negócios!A:A,A38,Negócios!B:B,B38,Negócios!P:P,D38,Negócios!AG:AG,"CC 12x")))</f>
        <v>1214.27</v>
      </c>
      <c r="T38" s="10">
        <f t="shared" si="9"/>
        <v>0.19824508843705294</v>
      </c>
      <c r="U38" s="30">
        <f>SUMIFS('Acel Form Pag'!F:F,'Acel Form Pag'!A:A,A38,'Acel Form Pag'!B:B,B38,'Acel Form Pag'!C:C,E38)</f>
        <v>1.25</v>
      </c>
      <c r="V38" s="32">
        <f>IF(AND(F38="Gestor",E38="Sonia",H38="MRR"),SUMIFS(V:V,A:A,A38,B:B,B38,G:G,D38) + SUMIFS(V:V,A:A,A38,B:B,B38,G:G,"anderson.ortiz@altoqi.com.br"),
IF(AND(F38="Gestor",H38="MRR"),SUMIFS(V:V,A:A,A38,B:B,B38,G:G,D38),
SUMIFS(Negócios!L:L,Negócios!A:A,A38,Negócios!B:B,B38,Negócios!P:P,D38,Negócios!AG:AG,"Recorrente")))</f>
        <v>4910.8250002000013</v>
      </c>
      <c r="W38" s="10">
        <f t="shared" si="10"/>
        <v>0.80175491156294709</v>
      </c>
      <c r="X38" s="34">
        <f>SUMIFS('Acel Form Pag'!G:G,'Acel Form Pag'!A:A,A38,'Acel Form Pag'!B:B,B38,'Acel Form Pag'!C:C,E38)</f>
        <v>1</v>
      </c>
      <c r="Y38" s="24">
        <f>MAX(_xlfn.MAXIFS(Parâmetros!O:O,Parâmetros!A:A,A38,Parâmetros!B:B,B38,Parâmetros!D:D,D38,Parâmetros!M:M,"&lt;="&amp;K38),_xlfn.MAXIFS(Parâmetros!L:L,Parâmetros!A:A,A38,Parâmetros!B:B,B38,Parâmetros!D:D,D38,Parâmetros!J:J,"&lt;="&amp;K38),_xlfn.MAXIFS(Parâmetros!I:I,Parâmetros!A:A,A38,Parâmetros!B:B,B38,Parâmetros!D:D,D38))</f>
        <v>1944</v>
      </c>
      <c r="Z38" s="9">
        <f>MAX(_xlfn.MAXIFS(Parâmetros!Q:Q,Parâmetros!A:A,A38,Parâmetros!B:B,B38,Parâmetros!D:D,D38,Parâmetros!E:E,E38,Parâmetros!P:P,"&lt;="&amp;K38),
_xlfn.MAXIFS(Parâmetros!S:S,Parâmetros!A:A,A38,Parâmetros!B:B,B38,Parâmetros!D:D,D38,Parâmetros!E:E,E38,Parâmetros!R:R,"&lt;="&amp;K38),
_xlfn.MAXIFS(Parâmetros!U:U,Parâmetros!A:A,A38,Parâmetros!B:B,B38,Parâmetros!D:D,D38,Parâmetros!E:E,E38,Parâmetros!T:T,"&lt;="&amp;K38),1) * IF(K38 &gt;= SUMIFS(Parâmetros!G:G,Parâmetros!A:A,A38,Parâmetros!B:B,B38,Parâmetros!D:D,D38,Parâmetros!E:E,E38),1,0)</f>
        <v>1.25</v>
      </c>
      <c r="AA38" s="16">
        <f>Y38*Z38*K38</f>
        <v>3100.8293438512505</v>
      </c>
      <c r="AB38" s="16">
        <f>(AA38*N38*O38) + (AA38*Q38*R38) + (AA38*T38*U38) + (AA38*W38*X38)</f>
        <v>3254.5103907262505</v>
      </c>
      <c r="AC38" s="15">
        <f>IF(F38="Gestor",SUMIFS(AC:AC,A:A,A38,B:B,B38,G:G,D38),
IF(E38="Saving",SUMIFS(Negócios!I:I,Negócios!A:A,A38,Negócios!B:B,B38,Negócios!P:P,D38,Negócios!H:H,"Curso") +
SUMIFS(Negócios!I:I,Negócios!A:A,A38,Negócios!B:B,B38,Negócios!P:P,D38,Negócios!H:H,"Serviço") +
SUMIFS(Negócios!I:I,Negócios!A:A,A38,Negócios!B:B,B38,Negócios!P:P,D38,Negócios!H:H,"Implantação"),
SUMIFS(Negócios!I:I,Negócios!A:A,A38,Negócios!B:B,B38,Negócios!P:P,D38,Negócios!H:H,"Implantação")))</f>
        <v>0</v>
      </c>
      <c r="AD38" s="16">
        <f>SUMIFS(Parâmetros!W:W,Parâmetros!A:A,A38,Parâmetros!B:B,B38,Parâmetros!D:D,D38) * AC38 * IF(K38 &gt;= SUMIFS(Parâmetros!V:V,Parâmetros!A:A,A38,Parâmetros!B:B,B38,Parâmetros!D:D,D38),1,0)</f>
        <v>0</v>
      </c>
      <c r="AE38" s="15">
        <f>SUMIFS('Recuperação de Canc e Divs'!D:D,'Recuperação de Canc e Divs'!A:A,A38,'Recuperação de Canc e Divs'!B:B,B38,'Recuperação de Canc e Divs'!C:C,D38)</f>
        <v>1228.6500000000001</v>
      </c>
      <c r="AF38" s="16">
        <f>IF(K38&gt;=SUMIFS(Parâmetros!J:J,Parâmetros!A:A,A38,Parâmetros!B:B,B38,Parâmetros!D:D,D38),AE38*0.025,0)</f>
        <v>30.716250000000002</v>
      </c>
      <c r="AG38" s="15" t="str">
        <f t="shared" si="0"/>
        <v/>
      </c>
      <c r="AH38" s="16" t="str">
        <f t="shared" si="1"/>
        <v/>
      </c>
      <c r="AI38" s="90">
        <f t="shared" si="2"/>
        <v>0</v>
      </c>
      <c r="AJ38" s="16" t="str">
        <f t="shared" si="3"/>
        <v/>
      </c>
      <c r="AK38" s="16" t="str">
        <f t="shared" si="4"/>
        <v/>
      </c>
      <c r="AL38" s="90">
        <f t="shared" si="5"/>
        <v>0</v>
      </c>
      <c r="AM38" s="93" t="str">
        <f>IF(AND(OR(B38=3,B38=6,B38=9,B38=12),AI38&gt;=1),
IF(F38="Gestor",AI38*0.6,AI38*0.3),"")</f>
        <v/>
      </c>
      <c r="AN38" s="94" t="str">
        <f>IF(OR(B38=3,B38=6,B38=9,B38=12),
IF(AND(AL38&gt;=1,AI38&gt;=SUMIFS(Parâmetros!G:G,Parâmetros!A:A,Comissões!A38,Parâmetros!B:B,Comissões!B38,Parâmetros!D:D,Comissões!D38,Parâmetros!E:E,Comissões!E38)),AI38*0.3,""),"")</f>
        <v/>
      </c>
    </row>
    <row r="39" spans="1:40" hidden="1">
      <c r="A39" s="7">
        <v>2026</v>
      </c>
      <c r="B39" s="7">
        <v>2</v>
      </c>
      <c r="C39" s="7" t="str">
        <v>Clidiani Costa</v>
      </c>
      <c r="D39" s="7" t="str">
        <v>clidiani@altoqi.com.br</v>
      </c>
      <c r="E39" s="7" t="str">
        <v>Farmer</v>
      </c>
      <c r="F39" s="7" t="str">
        <v>Consultor</v>
      </c>
      <c r="G39" s="7" t="str">
        <v>sonia.zielinski@altoqi.com.br</v>
      </c>
      <c r="H39" s="7" t="str">
        <v>MRR</v>
      </c>
      <c r="I39" s="86">
        <f>IF(AND(F39="Consultor",H39="MRR"),SUMIFS(Negócios!L:L,Negócios!A:A,A39,Negócios!B:B,B39,Negócios!P:P,D39),
IF(AND(F39="Consultor",H39="Opps"),SUMIFS('Realizado GD'!D:D,'Realizado GD'!A:A,A39,'Realizado GD'!B:B,B39,'Realizado GD'!C:C,D39),
IF(AND(F39="Gestor",E39="Sonia",H39="MRR"),SUMIFS(I:I,A:A,A39,B:B,B39,G:G,D39) + SUMIFS(I:I,A:A,A39,B:B,B39,G:G,"anderson.ortiz@altoqi.com.br"),
IF(AND(F39="Gestor",H39="MRR"),SUMIFS(I:I,A:A,A39,B:B,B39,G:G,D39)))))</f>
        <v>11844.744679940004</v>
      </c>
      <c r="J39" s="16">
        <f>SUMIFS(Metas!K:K,Metas!A:A,A39,Metas!B:B,B39,Metas!D:D,D39,Metas!H:H,H39)</f>
        <v>8841.3084999999992</v>
      </c>
      <c r="K39" s="10">
        <f t="shared" si="11"/>
        <v>1.3397049407268171</v>
      </c>
      <c r="L39" s="26" t="str" cm="1">
        <f t="array" ref="L39">_xlfn.LET(
 _xlpm.g,_xlfn.MAXIFS(Parâmetros!G:G,Parâmetros!A:A,A39,Parâmetros!B:B,B39,Parâmetros!D:D,D39,Parâmetros!E:E,E39),
 _xlpm.j,_xlfn.MAXIFS(Parâmetros!J:J,Parâmetros!A:A,A39,Parâmetros!B:B,B39,Parâmetros!D:D,D39,Parâmetros!E:E,E39),
 _xlpm.m,_xlfn.MAXIFS(Parâmetros!M:M,Parâmetros!A:A,A39,Parâmetros!B:B,B39,Parâmetros!D:D,D39,Parâmetros!E:E,E39),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55,00% | 100,00%</v>
      </c>
      <c r="M39" s="28">
        <f>IF(AND(F39="Gestor",E39="Sonia",H39="MRR"),SUMIFS(M:M,A:A,A39,B:B,B39,G:G,D39) + SUMIFS(M:M,A:A,A39,B:B,B39,G:G,"anderson.ortiz@altoqi.com.br"),
IF(AND(F39="Gestor",H39="MRR"),SUMIFS(M:M,A:A,A39,B:B,B39,G:G,D39),
SUMIFS(Negócios!L:L,Negócios!A:A,A39,Negócios!B:B,B39,Negócios!P:P,D39,Negócios!AG:AG,"À Vista")))</f>
        <v>0</v>
      </c>
      <c r="N39" s="10">
        <f t="shared" ref="N39:N57" si="15">IFERROR(M39/$I39,0)</f>
        <v>0</v>
      </c>
      <c r="O39" s="30">
        <f>SUMIFS('Acel Form Pag'!D:D,'Acel Form Pag'!A:A,A39,'Acel Form Pag'!B:B,B39,'Acel Form Pag'!C:C,E39)</f>
        <v>1.5</v>
      </c>
      <c r="P39" s="87">
        <f>IF(AND(F39="Gestor",E39="Sonia",H39="MRR"),SUMIFS(P:P,A:A,A39,B:B,B39,G:G,D39) + SUMIFS(P:P,A:A,A39,B:B,B39,G:G,"anderson.ortiz@altoqi.com.br"),
IF(AND(F39="Gestor",H39="MRR"),SUMIFS(P:P,A:A,A39,B:B,B39,G:G,D39),
SUMIFS(Negócios!L:L,Negócios!A:A,A39,Negócios!B:B,B39,Negócios!P:P,D39,Negócios!AG:AG,"CC 3x")))</f>
        <v>509.91999999999996</v>
      </c>
      <c r="Q39" s="10">
        <f t="shared" ref="Q39:Q57" si="16">IFERROR(P39/$I39,0)</f>
        <v>4.3050315880897722E-2</v>
      </c>
      <c r="R39" s="30">
        <f>SUMIFS('Acel Form Pag'!E:E,'Acel Form Pag'!A:A,A39,'Acel Form Pag'!B:B,B39,'Acel Form Pag'!C:C,E39)</f>
        <v>1.4</v>
      </c>
      <c r="S39" s="32">
        <f>IF(AND(F39="Gestor",E39="Sonia",H39="MRR"),SUMIFS(S:S,A:A,A39,B:B,B39,G:G,D39) + SUMIFS(S:S,A:A,A39,B:B,B39,G:G,"anderson.ortiz@altoqi.com.br"),
IF(AND(F39="Gestor",H39="MRR"),SUMIFS(S:S,A:A,A39,B:B,B39,G:G,D39),
SUMIFS(Negócios!L:L,Negócios!A:A,A39,Negócios!B:B,B39,Negócios!P:P,D39,Negócios!AG:AG,"CC 12x")))</f>
        <v>4781.1068599999999</v>
      </c>
      <c r="T39" s="10">
        <f t="shared" ref="T39:T57" si="17">IFERROR(S39/$I39,0)</f>
        <v>0.40364794591960906</v>
      </c>
      <c r="U39" s="30">
        <f>SUMIFS('Acel Form Pag'!F:F,'Acel Form Pag'!A:A,A39,'Acel Form Pag'!B:B,B39,'Acel Form Pag'!C:C,E39)</f>
        <v>1.25</v>
      </c>
      <c r="V39" s="32">
        <f>IF(AND(F39="Gestor",E39="Sonia",H39="MRR"),SUMIFS(V:V,A:A,A39,B:B,B39,G:G,D39) + SUMIFS(V:V,A:A,A39,B:B,B39,G:G,"anderson.ortiz@altoqi.com.br"),
IF(AND(F39="Gestor",H39="MRR"),SUMIFS(V:V,A:A,A39,B:B,B39,G:G,D39),
SUMIFS(Negócios!L:L,Negócios!A:A,A39,Negócios!B:B,B39,Negócios!P:P,D39,Negócios!AG:AG,"Recorrente")))</f>
        <v>6553.7178199400005</v>
      </c>
      <c r="W39" s="10">
        <f t="shared" ref="W30:W57" si="18">IFERROR(V39/$I39,0)</f>
        <v>0.55330173819949291</v>
      </c>
      <c r="X39" s="34">
        <f>SUMIFS('Acel Form Pag'!G:G,'Acel Form Pag'!A:A,A39,'Acel Form Pag'!B:B,B39,'Acel Form Pag'!C:C,E39)</f>
        <v>1</v>
      </c>
      <c r="Y39" s="24">
        <f>MAX(_xlfn.MAXIFS(Parâmetros!O:O,Parâmetros!A:A,A39,Parâmetros!B:B,B39,Parâmetros!D:D,D39,Parâmetros!M:M,"&lt;="&amp;K39),_xlfn.MAXIFS(Parâmetros!L:L,Parâmetros!A:A,A39,Parâmetros!B:B,B39,Parâmetros!D:D,D39,Parâmetros!J:J,"&lt;="&amp;K39),_xlfn.MAXIFS(Parâmetros!I:I,Parâmetros!A:A,A39,Parâmetros!B:B,B39,Parâmetros!D:D,D39))</f>
        <v>6318</v>
      </c>
      <c r="Z39" s="9">
        <f>MAX(_xlfn.MAXIFS(Parâmetros!Q:Q,Parâmetros!A:A,A39,Parâmetros!B:B,B39,Parâmetros!D:D,D39,Parâmetros!E:E,E39,Parâmetros!P:P,"&lt;="&amp;K39),
_xlfn.MAXIFS(Parâmetros!S:S,Parâmetros!A:A,A39,Parâmetros!B:B,B39,Parâmetros!D:D,D39,Parâmetros!E:E,E39,Parâmetros!R:R,"&lt;="&amp;K39),
_xlfn.MAXIFS(Parâmetros!U:U,Parâmetros!A:A,A39,Parâmetros!B:B,B39,Parâmetros!D:D,D39,Parâmetros!E:E,E39,Parâmetros!T:T,"&lt;="&amp;K39),1) * IF(K39 &gt;= SUMIFS(Parâmetros!G:G,Parâmetros!A:A,A39,Parâmetros!B:B,B39,Parâmetros!D:D,D39,Parâmetros!E:E,E39),1,0)</f>
        <v>1.25</v>
      </c>
      <c r="AA39" s="16">
        <f>Y39*Z39*K39</f>
        <v>10580.319769390038</v>
      </c>
      <c r="AB39" s="16">
        <f>(AA39*N39*O39) + (AA39*Q39*R39) + (AA39*T39*U39) + (AA39*W39*X39)</f>
        <v>11830.195298189024</v>
      </c>
      <c r="AC39" s="15">
        <f>IF(F39="Gestor",SUMIFS(AC:AC,A:A,A39,B:B,B39,G:G,D39),
IF(E39="Saving",SUMIFS(Negócios!I:I,Negócios!A:A,A39,Negócios!B:B,B39,Negócios!P:P,D39,Negócios!H:H,"Curso") +
SUMIFS(Negócios!I:I,Negócios!A:A,A39,Negócios!B:B,B39,Negócios!P:P,D39,Negócios!H:H,"Serviço") +
SUMIFS(Negócios!I:I,Negócios!A:A,A39,Negócios!B:B,B39,Negócios!P:P,D39,Negócios!H:H,"Implantação"),
SUMIFS(Negócios!I:I,Negócios!A:A,A39,Negócios!B:B,B39,Negócios!P:P,D39,Negócios!H:H,"Implantação")))</f>
        <v>0</v>
      </c>
      <c r="AD39" s="16">
        <f>SUMIFS(Parâmetros!W:W,Parâmetros!A:A,A39,Parâmetros!B:B,B39,Parâmetros!D:D,D39) * AC39 * IF(K39 &gt;= SUMIFS(Parâmetros!V:V,Parâmetros!A:A,A39,Parâmetros!B:B,B39,Parâmetros!D:D,D39),1,0)</f>
        <v>0</v>
      </c>
      <c r="AE39" s="15">
        <f>SUMIFS('Recuperação de Canc e Divs'!D:D,'Recuperação de Canc e Divs'!A:A,A39,'Recuperação de Canc e Divs'!B:B,B39,'Recuperação de Canc e Divs'!C:C,D39)</f>
        <v>0</v>
      </c>
      <c r="AF39" s="16">
        <f>IF(K39&gt;=SUMIFS(Parâmetros!J:J,Parâmetros!A:A,A39,Parâmetros!B:B,B39,Parâmetros!D:D,D39),AE39*0.025,0)</f>
        <v>0</v>
      </c>
      <c r="AG39" s="15" t="str">
        <f t="shared" si="0"/>
        <v/>
      </c>
      <c r="AH39" s="16" t="str">
        <f t="shared" si="1"/>
        <v/>
      </c>
      <c r="AI39" s="90">
        <f t="shared" si="2"/>
        <v>0</v>
      </c>
      <c r="AJ39" s="16" t="str">
        <f t="shared" si="3"/>
        <v/>
      </c>
      <c r="AK39" s="16" t="str">
        <f t="shared" si="4"/>
        <v/>
      </c>
      <c r="AL39" s="90">
        <f t="shared" si="5"/>
        <v>0</v>
      </c>
      <c r="AM39" s="93" t="str">
        <f>IF(AND(OR(B39=3,B39=6,B39=9,B39=12),AI39&gt;=1),
IF(F39="Gestor",AI39*0.6,AI39*0.3),"")</f>
        <v/>
      </c>
      <c r="AN39" s="94" t="str">
        <f>IF(OR(B39=3,B39=6,B39=9,B39=12),
IF(AND(AL39&gt;=1,AI39&gt;=SUMIFS(Parâmetros!G:G,Parâmetros!A:A,Comissões!A39,Parâmetros!B:B,Comissões!B39,Parâmetros!D:D,Comissões!D39,Parâmetros!E:E,Comissões!E39)),AI39*0.3,""),"")</f>
        <v/>
      </c>
    </row>
    <row r="40" spans="1:40" hidden="1">
      <c r="A40" s="7">
        <v>2026</v>
      </c>
      <c r="B40" s="7">
        <v>2</v>
      </c>
      <c r="C40" s="7" t="str">
        <v>Debora Vieira</v>
      </c>
      <c r="D40" s="7" t="str">
        <v>debora.vieira@altoqi.com.br</v>
      </c>
      <c r="E40" s="7" t="str">
        <v>Farmer</v>
      </c>
      <c r="F40" s="7" t="str">
        <v>Consultor</v>
      </c>
      <c r="G40" s="7" t="str">
        <v>sonia.zielinski@altoqi.com.br</v>
      </c>
      <c r="H40" s="7" t="str">
        <v>MRR</v>
      </c>
      <c r="I40" s="86">
        <f>IF(AND(F40="Consultor",H40="MRR"),SUMIFS(Negócios!L:L,Negócios!A:A,A40,Negócios!B:B,B40,Negócios!P:P,D40),
IF(AND(F40="Consultor",H40="Opps"),SUMIFS('Realizado GD'!D:D,'Realizado GD'!A:A,A40,'Realizado GD'!B:B,B40,'Realizado GD'!C:C,D40),
IF(AND(F40="Gestor",E40="Sonia",H40="MRR"),SUMIFS(I:I,A:A,A40,B:B,B40,G:G,D40) + SUMIFS(I:I,A:A,A40,B:B,B40,G:G,"anderson.ortiz@altoqi.com.br"),
IF(AND(F40="Gestor",H40="MRR"),SUMIFS(I:I,A:A,A40,B:B,B40,G:G,D40)))))</f>
        <v>9217.8290100000013</v>
      </c>
      <c r="J40" s="16">
        <f>SUMIFS(Metas!K:K,Metas!A:A,A40,Metas!B:B,B40,Metas!D:D,D40,Metas!H:H,H40)</f>
        <v>8964</v>
      </c>
      <c r="K40" s="10">
        <f t="shared" si="11"/>
        <v>1.0283164892904955</v>
      </c>
      <c r="L40" s="26" t="str" cm="1">
        <f t="array" ref="L40">_xlfn.LET(
 _xlpm.g,_xlfn.MAXIFS(Parâmetros!G:G,Parâmetros!A:A,A40,Parâmetros!B:B,B40,Parâmetros!D:D,D40,Parâmetros!E:E,E40),
 _xlpm.j,_xlfn.MAXIFS(Parâmetros!J:J,Parâmetros!A:A,A40,Parâmetros!B:B,B40,Parâmetros!D:D,D40,Parâmetros!E:E,E40),
 _xlpm.m,_xlfn.MAXIFS(Parâmetros!M:M,Parâmetros!A:A,A40,Parâmetros!B:B,B40,Parâmetros!D:D,D40,Parâmetros!E:E,E40),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55,00%</v>
      </c>
      <c r="M40" s="28">
        <f>IF(AND(F40="Gestor",E40="Sonia",H40="MRR"),SUMIFS(M:M,A:A,A40,B:B,B40,G:G,D40) + SUMIFS(M:M,A:A,A40,B:B,B40,G:G,"anderson.ortiz@altoqi.com.br"),
IF(AND(F40="Gestor",H40="MRR"),SUMIFS(M:M,A:A,A40,B:B,B40,G:G,D40),
SUMIFS(Negócios!L:L,Negócios!A:A,A40,Negócios!B:B,B40,Negócios!P:P,D40,Negócios!AG:AG,"À Vista")))</f>
        <v>1696.3400000000001</v>
      </c>
      <c r="N40" s="10">
        <f t="shared" si="15"/>
        <v>0.1840281478599482</v>
      </c>
      <c r="O40" s="30">
        <f>SUMIFS('Acel Form Pag'!D:D,'Acel Form Pag'!A:A,A40,'Acel Form Pag'!B:B,B40,'Acel Form Pag'!C:C,E40)</f>
        <v>1.5</v>
      </c>
      <c r="P40" s="87">
        <f>IF(AND(F40="Gestor",E40="Sonia",H40="MRR"),SUMIFS(P:P,A:A,A40,B:B,B40,G:G,D40) + SUMIFS(P:P,A:A,A40,B:B,B40,G:G,"anderson.ortiz@altoqi.com.br"),
IF(AND(F40="Gestor",H40="MRR"),SUMIFS(P:P,A:A,A40,B:B,B40,G:G,D40),
SUMIFS(Negócios!L:L,Negócios!A:A,A40,Negócios!B:B,B40,Negócios!P:P,D40,Negócios!AG:AG,"CC 3x")))</f>
        <v>0</v>
      </c>
      <c r="Q40" s="10">
        <f t="shared" si="16"/>
        <v>0</v>
      </c>
      <c r="R40" s="30">
        <f>SUMIFS('Acel Form Pag'!E:E,'Acel Form Pag'!A:A,A40,'Acel Form Pag'!B:B,B40,'Acel Form Pag'!C:C,E40)</f>
        <v>1.4</v>
      </c>
      <c r="S40" s="32">
        <f>IF(AND(F40="Gestor",E40="Sonia",H40="MRR"),SUMIFS(S:S,A:A,A40,B:B,B40,G:G,D40) + SUMIFS(S:S,A:A,A40,B:B,B40,G:G,"anderson.ortiz@altoqi.com.br"),
IF(AND(F40="Gestor",H40="MRR"),SUMIFS(S:S,A:A,A40,B:B,B40,G:G,D40),
SUMIFS(Negócios!L:L,Negócios!A:A,A40,Negócios!B:B,B40,Negócios!P:P,D40,Negócios!AG:AG,"CC 12x")))</f>
        <v>3459.4190099999996</v>
      </c>
      <c r="T40" s="10">
        <f t="shared" si="17"/>
        <v>0.37529650487626037</v>
      </c>
      <c r="U40" s="30">
        <f>SUMIFS('Acel Form Pag'!F:F,'Acel Form Pag'!A:A,A40,'Acel Form Pag'!B:B,B40,'Acel Form Pag'!C:C,E40)</f>
        <v>1.25</v>
      </c>
      <c r="V40" s="32">
        <f>IF(AND(F40="Gestor",E40="Sonia",H40="MRR"),SUMIFS(V:V,A:A,A40,B:B,B40,G:G,D40) + SUMIFS(V:V,A:A,A40,B:B,B40,G:G,"anderson.ortiz@altoqi.com.br"),
IF(AND(F40="Gestor",H40="MRR"),SUMIFS(V:V,A:A,A40,B:B,B40,G:G,D40),
SUMIFS(Negócios!L:L,Negócios!A:A,A40,Negócios!B:B,B40,Negócios!P:P,D40,Negócios!AG:AG,"Recorrente")))</f>
        <v>4062.0699999999997</v>
      </c>
      <c r="W40" s="10">
        <f t="shared" ref="W40:W57" si="19">IFERROR(V40/$I40,0)</f>
        <v>0.44067534726379126</v>
      </c>
      <c r="X40" s="34">
        <f>SUMIFS('Acel Form Pag'!G:G,'Acel Form Pag'!A:A,A40,'Acel Form Pag'!B:B,B40,'Acel Form Pag'!C:C,E40)</f>
        <v>1</v>
      </c>
      <c r="Y40" s="24">
        <f>MAX(_xlfn.MAXIFS(Parâmetros!O:O,Parâmetros!A:A,A40,Parâmetros!B:B,B40,Parâmetros!D:D,D40,Parâmetros!M:M,"&lt;="&amp;K40),_xlfn.MAXIFS(Parâmetros!L:L,Parâmetros!A:A,A40,Parâmetros!B:B,B40,Parâmetros!D:D,D40,Parâmetros!J:J,"&lt;="&amp;K40),_xlfn.MAXIFS(Parâmetros!I:I,Parâmetros!A:A,A40,Parâmetros!B:B,B40,Parâmetros!D:D,D40))</f>
        <v>3240</v>
      </c>
      <c r="Z40" s="9">
        <f>MAX(_xlfn.MAXIFS(Parâmetros!Q:Q,Parâmetros!A:A,A40,Parâmetros!B:B,B40,Parâmetros!D:D,D40,Parâmetros!E:E,E40,Parâmetros!P:P,"&lt;="&amp;K40),
_xlfn.MAXIFS(Parâmetros!S:S,Parâmetros!A:A,A40,Parâmetros!B:B,B40,Parâmetros!D:D,D40,Parâmetros!E:E,E40,Parâmetros!R:R,"&lt;="&amp;K40),
_xlfn.MAXIFS(Parâmetros!U:U,Parâmetros!A:A,A40,Parâmetros!B:B,B40,Parâmetros!D:D,D40,Parâmetros!E:E,E40,Parâmetros!T:T,"&lt;="&amp;K40),1) * IF(K40 &gt;= SUMIFS(Parâmetros!G:G,Parâmetros!A:A,A40,Parâmetros!B:B,B40,Parâmetros!D:D,D40,Parâmetros!E:E,E40),1,0)</f>
        <v>1.1499999999999999</v>
      </c>
      <c r="AA40" s="16">
        <f>Y40*Z40*K40</f>
        <v>3831.5072390963855</v>
      </c>
      <c r="AB40" s="16">
        <f>(AA40*N40*O40) + (AA40*Q40*R40) + (AA40*T40*U40) + (AA40*W40*X40)</f>
        <v>4543.5476482680715</v>
      </c>
      <c r="AC40" s="15">
        <f>IF(F40="Gestor",SUMIFS(AC:AC,A:A,A40,B:B,B40,G:G,D40),
IF(E40="Saving",SUMIFS(Negócios!I:I,Negócios!A:A,A40,Negócios!B:B,B40,Negócios!P:P,D40,Negócios!H:H,"Curso") +
SUMIFS(Negócios!I:I,Negócios!A:A,A40,Negócios!B:B,B40,Negócios!P:P,D40,Negócios!H:H,"Serviço") +
SUMIFS(Negócios!I:I,Negócios!A:A,A40,Negócios!B:B,B40,Negócios!P:P,D40,Negócios!H:H,"Implantação"),
SUMIFS(Negócios!I:I,Negócios!A:A,A40,Negócios!B:B,B40,Negócios!P:P,D40,Negócios!H:H,"Implantação")))</f>
        <v>0</v>
      </c>
      <c r="AD40" s="16">
        <f>SUMIFS(Parâmetros!W:W,Parâmetros!A:A,A40,Parâmetros!B:B,B40,Parâmetros!D:D,D40) * AC40 * IF(K40 &gt;= SUMIFS(Parâmetros!V:V,Parâmetros!A:A,A40,Parâmetros!B:B,B40,Parâmetros!D:D,D40),1,0)</f>
        <v>0</v>
      </c>
      <c r="AE40" s="15">
        <f>SUMIFS('Recuperação de Canc e Divs'!D:D,'Recuperação de Canc e Divs'!A:A,A40,'Recuperação de Canc e Divs'!B:B,B40,'Recuperação de Canc e Divs'!C:C,D40)</f>
        <v>0</v>
      </c>
      <c r="AF40" s="16">
        <f>IF(K40&gt;=SUMIFS(Parâmetros!J:J,Parâmetros!A:A,A40,Parâmetros!B:B,B40,Parâmetros!D:D,D40),AE40*0.025,0)</f>
        <v>0</v>
      </c>
      <c r="AG40" s="15" t="str">
        <f t="shared" si="0"/>
        <v/>
      </c>
      <c r="AH40" s="16" t="str">
        <f t="shared" si="1"/>
        <v/>
      </c>
      <c r="AI40" s="90">
        <f t="shared" si="2"/>
        <v>0</v>
      </c>
      <c r="AJ40" s="16" t="str">
        <f t="shared" si="3"/>
        <v/>
      </c>
      <c r="AK40" s="16" t="str">
        <f t="shared" si="4"/>
        <v/>
      </c>
      <c r="AL40" s="90">
        <f t="shared" si="5"/>
        <v>0</v>
      </c>
      <c r="AM40" s="93" t="str">
        <f>IF(AND(OR(B40=3,B40=6,B40=9,B40=12),AI40&gt;=1),
IF(F40="Gestor",AI40*0.6,AI40*0.3),"")</f>
        <v/>
      </c>
      <c r="AN40" s="94" t="str">
        <f>IF(OR(B40=3,B40=6,B40=9,B40=12),
IF(AND(AL40&gt;=1,AI40&gt;=SUMIFS(Parâmetros!G:G,Parâmetros!A:A,Comissões!A40,Parâmetros!B:B,Comissões!B40,Parâmetros!D:D,Comissões!D40,Parâmetros!E:E,Comissões!E40)),AI40*0.3,""),"")</f>
        <v/>
      </c>
    </row>
    <row r="41" spans="1:40" hidden="1">
      <c r="A41" s="7">
        <v>2026</v>
      </c>
      <c r="B41" s="7">
        <v>2</v>
      </c>
      <c r="C41" s="7" t="str">
        <v>Mariana Rachadel</v>
      </c>
      <c r="D41" s="7" t="str">
        <v>mariana@altoqi.com.br</v>
      </c>
      <c r="E41" s="7" t="str">
        <v>Farmer</v>
      </c>
      <c r="F41" s="7" t="str">
        <v>Consultor</v>
      </c>
      <c r="G41" s="7" t="str">
        <v>sonia.zielinski@altoqi.com.br</v>
      </c>
      <c r="H41" s="7" t="str">
        <v>MRR</v>
      </c>
      <c r="I41" s="86">
        <f>IF(AND(F41="Consultor",H41="MRR"),SUMIFS(Negócios!L:L,Negócios!A:A,A41,Negócios!B:B,B41,Negócios!P:P,D41),
IF(AND(F41="Consultor",H41="Opps"),SUMIFS('Realizado GD'!D:D,'Realizado GD'!A:A,A41,'Realizado GD'!B:B,B41,'Realizado GD'!C:C,D41),
IF(AND(F41="Gestor",E41="Sonia",H41="MRR"),SUMIFS(I:I,A:A,A41,B:B,B41,G:G,D41) + SUMIFS(I:I,A:A,A41,B:B,B41,G:G,"anderson.ortiz@altoqi.com.br"),
IF(AND(F41="Gestor",H41="MRR"),SUMIFS(I:I,A:A,A41,B:B,B41,G:G,D41)))))</f>
        <v>16369.61955001</v>
      </c>
      <c r="J41" s="16">
        <f>SUMIFS(Metas!K:K,Metas!A:A,A41,Metas!B:B,B41,Metas!D:D,D41,Metas!H:H,H41)</f>
        <v>11754.188700000001</v>
      </c>
      <c r="K41" s="10">
        <f t="shared" si="11"/>
        <v>1.392662647147225</v>
      </c>
      <c r="L41" s="26" t="str" cm="1">
        <f t="array" ref="L41">_xlfn.LET(
 _xlpm.g,_xlfn.MAXIFS(Parâmetros!G:G,Parâmetros!A:A,A41,Parâmetros!B:B,B41,Parâmetros!D:D,D41,Parâmetros!E:E,E41),
 _xlpm.j,_xlfn.MAXIFS(Parâmetros!J:J,Parâmetros!A:A,A41,Parâmetros!B:B,B41,Parâmetros!D:D,D41,Parâmetros!E:E,E41),
 _xlpm.m,_xlfn.MAXIFS(Parâmetros!M:M,Parâmetros!A:A,A41,Parâmetros!B:B,B41,Parâmetros!D:D,D41,Parâmetros!E:E,E41),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55,00% | 100,00%</v>
      </c>
      <c r="M41" s="28">
        <f>IF(AND(F41="Gestor",E41="Sonia",H41="MRR"),SUMIFS(M:M,A:A,A41,B:B,B41,G:G,D41) + SUMIFS(M:M,A:A,A41,B:B,B41,G:G,"anderson.ortiz@altoqi.com.br"),
IF(AND(F41="Gestor",H41="MRR"),SUMIFS(M:M,A:A,A41,B:B,B41,G:G,D41),
SUMIFS(Negócios!L:L,Negócios!A:A,A41,Negócios!B:B,B41,Negócios!P:P,D41,Negócios!AG:AG,"À Vista")))</f>
        <v>853.90208499999994</v>
      </c>
      <c r="N41" s="10">
        <f t="shared" si="15"/>
        <v>5.2163832054330075E-2</v>
      </c>
      <c r="O41" s="30">
        <f>SUMIFS('Acel Form Pag'!D:D,'Acel Form Pag'!A:A,A41,'Acel Form Pag'!B:B,B41,'Acel Form Pag'!C:C,E41)</f>
        <v>1.5</v>
      </c>
      <c r="P41" s="87">
        <f>IF(AND(F41="Gestor",E41="Sonia",H41="MRR"),SUMIFS(P:P,A:A,A41,B:B,B41,G:G,D41) + SUMIFS(P:P,A:A,A41,B:B,B41,G:G,"anderson.ortiz@altoqi.com.br"),
IF(AND(F41="Gestor",H41="MRR"),SUMIFS(P:P,A:A,A41,B:B,B41,G:G,D41),
SUMIFS(Negócios!L:L,Negócios!A:A,A41,Negócios!B:B,B41,Negócios!P:P,D41,Negócios!AG:AG,"CC 3x")))</f>
        <v>0</v>
      </c>
      <c r="Q41" s="10">
        <f t="shared" si="16"/>
        <v>0</v>
      </c>
      <c r="R41" s="30">
        <f>SUMIFS('Acel Form Pag'!E:E,'Acel Form Pag'!A:A,A41,'Acel Form Pag'!B:B,B41,'Acel Form Pag'!C:C,E41)</f>
        <v>1.4</v>
      </c>
      <c r="S41" s="32">
        <f>IF(AND(F41="Gestor",E41="Sonia",H41="MRR"),SUMIFS(S:S,A:A,A41,B:B,B41,G:G,D41) + SUMIFS(S:S,A:A,A41,B:B,B41,G:G,"anderson.ortiz@altoqi.com.br"),
IF(AND(F41="Gestor",H41="MRR"),SUMIFS(S:S,A:A,A41,B:B,B41,G:G,D41),
SUMIFS(Negócios!L:L,Negócios!A:A,A41,Negócios!B:B,B41,Negócios!P:P,D41,Negócios!AG:AG,"CC 12x")))</f>
        <v>3676.4</v>
      </c>
      <c r="T41" s="10">
        <f t="shared" si="17"/>
        <v>0.22458677116889708</v>
      </c>
      <c r="U41" s="30">
        <f>SUMIFS('Acel Form Pag'!F:F,'Acel Form Pag'!A:A,A41,'Acel Form Pag'!B:B,B41,'Acel Form Pag'!C:C,E41)</f>
        <v>1.25</v>
      </c>
      <c r="V41" s="32">
        <f>IF(AND(F41="Gestor",E41="Sonia",H41="MRR"),SUMIFS(V:V,A:A,A41,B:B,B41,G:G,D41) + SUMIFS(V:V,A:A,A41,B:B,B41,G:G,"anderson.ortiz@altoqi.com.br"),
IF(AND(F41="Gestor",H41="MRR"),SUMIFS(V:V,A:A,A41,B:B,B41,G:G,D41),
SUMIFS(Negócios!L:L,Negócios!A:A,A41,Negócios!B:B,B41,Negócios!P:P,D41,Negócios!AG:AG,"Recorrente")))</f>
        <v>11839.317465010001</v>
      </c>
      <c r="W41" s="10">
        <f t="shared" si="19"/>
        <v>0.72324939677677291</v>
      </c>
      <c r="X41" s="34">
        <f>SUMIFS('Acel Form Pag'!G:G,'Acel Form Pag'!A:A,A41,'Acel Form Pag'!B:B,B41,'Acel Form Pag'!C:C,E41)</f>
        <v>1</v>
      </c>
      <c r="Y41" s="24">
        <f>MAX(_xlfn.MAXIFS(Parâmetros!O:O,Parâmetros!A:A,A41,Parâmetros!B:B,B41,Parâmetros!D:D,D41,Parâmetros!M:M,"&lt;="&amp;K41),_xlfn.MAXIFS(Parâmetros!L:L,Parâmetros!A:A,A41,Parâmetros!B:B,B41,Parâmetros!D:D,D41,Parâmetros!J:J,"&lt;="&amp;K41),_xlfn.MAXIFS(Parâmetros!I:I,Parâmetros!A:A,A41,Parâmetros!B:B,B41,Parâmetros!D:D,D41))</f>
        <v>7245</v>
      </c>
      <c r="Z41" s="9">
        <f>MAX(_xlfn.MAXIFS(Parâmetros!Q:Q,Parâmetros!A:A,A41,Parâmetros!B:B,B41,Parâmetros!D:D,D41,Parâmetros!E:E,E41,Parâmetros!P:P,"&lt;="&amp;K41),
_xlfn.MAXIFS(Parâmetros!S:S,Parâmetros!A:A,A41,Parâmetros!B:B,B41,Parâmetros!D:D,D41,Parâmetros!E:E,E41,Parâmetros!R:R,"&lt;="&amp;K41),
_xlfn.MAXIFS(Parâmetros!U:U,Parâmetros!A:A,A41,Parâmetros!B:B,B41,Parâmetros!D:D,D41,Parâmetros!E:E,E41,Parâmetros!T:T,"&lt;="&amp;K41),1) * IF(K41 &gt;= SUMIFS(Parâmetros!G:G,Parâmetros!A:A,A41,Parâmetros!B:B,B41,Parâmetros!D:D,D41,Parâmetros!E:E,E41),1,0)</f>
        <v>1.25</v>
      </c>
      <c r="AA41" s="16">
        <f>Y41*Z41*K41</f>
        <v>12612.301098227057</v>
      </c>
      <c r="AB41" s="16">
        <f>(AA41*N41*O41) + (AA41*Q41*R41) + (AA41*T41*U41) + (AA41*W41*X41)</f>
        <v>13649.393071545524</v>
      </c>
      <c r="AC41" s="15">
        <f>IF(F41="Gestor",SUMIFS(AC:AC,A:A,A41,B:B,B41,G:G,D41),
IF(E41="Saving",SUMIFS(Negócios!I:I,Negócios!A:A,A41,Negócios!B:B,B41,Negócios!P:P,D41,Negócios!H:H,"Curso") +
SUMIFS(Negócios!I:I,Negócios!A:A,A41,Negócios!B:B,B41,Negócios!P:P,D41,Negócios!H:H,"Serviço") +
SUMIFS(Negócios!I:I,Negócios!A:A,A41,Negócios!B:B,B41,Negócios!P:P,D41,Negócios!H:H,"Implantação"),
SUMIFS(Negócios!I:I,Negócios!A:A,A41,Negócios!B:B,B41,Negócios!P:P,D41,Negócios!H:H,"Implantação")))</f>
        <v>0</v>
      </c>
      <c r="AD41" s="16">
        <f>SUMIFS(Parâmetros!W:W,Parâmetros!A:A,A41,Parâmetros!B:B,B41,Parâmetros!D:D,D41) * AC41 * IF(K41 &gt;= SUMIFS(Parâmetros!V:V,Parâmetros!A:A,A41,Parâmetros!B:B,B41,Parâmetros!D:D,D41),1,0)</f>
        <v>0</v>
      </c>
      <c r="AE41" s="15">
        <f>SUMIFS('Recuperação de Canc e Divs'!D:D,'Recuperação de Canc e Divs'!A:A,A41,'Recuperação de Canc e Divs'!B:B,B41,'Recuperação de Canc e Divs'!C:C,D41)</f>
        <v>0</v>
      </c>
      <c r="AF41" s="16">
        <f>IF(K41&gt;=SUMIFS(Parâmetros!J:J,Parâmetros!A:A,A41,Parâmetros!B:B,B41,Parâmetros!D:D,D41),AE41*0.025,0)</f>
        <v>0</v>
      </c>
      <c r="AG41" s="15" t="str">
        <f t="shared" si="0"/>
        <v/>
      </c>
      <c r="AH41" s="16" t="str">
        <f t="shared" si="1"/>
        <v/>
      </c>
      <c r="AI41" s="90">
        <f t="shared" si="2"/>
        <v>0</v>
      </c>
      <c r="AJ41" s="16" t="str">
        <f t="shared" si="3"/>
        <v/>
      </c>
      <c r="AK41" s="16" t="str">
        <f t="shared" si="4"/>
        <v/>
      </c>
      <c r="AL41" s="90">
        <f t="shared" si="5"/>
        <v>0</v>
      </c>
      <c r="AM41" s="93" t="str">
        <f>IF(AND(OR(B41=3,B41=6,B41=9,B41=12),AI41&gt;=1),
IF(F41="Gestor",AI41*0.6,AI41*0.3),"")</f>
        <v/>
      </c>
      <c r="AN41" s="94" t="str">
        <f>IF(OR(B41=3,B41=6,B41=9,B41=12),
IF(AND(AL41&gt;=1,AI41&gt;=SUMIFS(Parâmetros!G:G,Parâmetros!A:A,Comissões!A41,Parâmetros!B:B,Comissões!B41,Parâmetros!D:D,Comissões!D41,Parâmetros!E:E,Comissões!E41)),AI41*0.3,""),"")</f>
        <v/>
      </c>
    </row>
    <row r="42" spans="1:40" hidden="1">
      <c r="A42" s="7">
        <v>2026</v>
      </c>
      <c r="B42" s="7">
        <v>2</v>
      </c>
      <c r="C42" s="7" t="str">
        <v>Renata Parizotto</v>
      </c>
      <c r="D42" s="7" t="str">
        <v>renata.parizotto@altoqi.com.br</v>
      </c>
      <c r="E42" s="7" t="str">
        <v>Farmer</v>
      </c>
      <c r="F42" s="7" t="str">
        <v>Consultor</v>
      </c>
      <c r="G42" s="7" t="str">
        <v>sonia.zielinski@altoqi.com.br</v>
      </c>
      <c r="H42" s="7" t="str">
        <v>MRR</v>
      </c>
      <c r="I42" s="86">
        <f>IF(AND(F42="Consultor",H42="MRR"),SUMIFS(Negócios!L:L,Negócios!A:A,A42,Negócios!B:B,B42,Negócios!P:P,D42),
IF(AND(F42="Consultor",H42="Opps"),SUMIFS('Realizado GD'!D:D,'Realizado GD'!A:A,A42,'Realizado GD'!B:B,B42,'Realizado GD'!C:C,D42),
IF(AND(F42="Gestor",E42="Sonia",H42="MRR"),SUMIFS(I:I,A:A,A42,B:B,B42,G:G,D42) + SUMIFS(I:I,A:A,A42,B:B,B42,G:G,"anderson.ortiz@altoqi.com.br"),
IF(AND(F42="Gestor",H42="MRR"),SUMIFS(I:I,A:A,A42,B:B,B42,G:G,D42)))))</f>
        <v>13061.874540049999</v>
      </c>
      <c r="J42" s="16">
        <f>SUMIFS(Metas!K:K,Metas!A:A,A42,Metas!B:B,B42,Metas!D:D,D42,Metas!H:H,H42)</f>
        <v>6561.8860000000004</v>
      </c>
      <c r="K42" s="10">
        <f t="shared" si="11"/>
        <v>1.9905671235449685</v>
      </c>
      <c r="L42" s="26" t="str" cm="1">
        <f t="array" ref="L42">_xlfn.LET(
 _xlpm.g,_xlfn.MAXIFS(Parâmetros!G:G,Parâmetros!A:A,A42,Parâmetros!B:B,B42,Parâmetros!D:D,D42,Parâmetros!E:E,E42),
 _xlpm.j,_xlfn.MAXIFS(Parâmetros!J:J,Parâmetros!A:A,A42,Parâmetros!B:B,B42,Parâmetros!D:D,D42,Parâmetros!E:E,E42),
 _xlpm.m,_xlfn.MAXIFS(Parâmetros!M:M,Parâmetros!A:A,A42,Parâmetros!B:B,B42,Parâmetros!D:D,D42,Parâmetros!E:E,E42),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55,00%</v>
      </c>
      <c r="M42" s="28">
        <f>IF(AND(F42="Gestor",E42="Sonia",H42="MRR"),SUMIFS(M:M,A:A,A42,B:B,B42,G:G,D42) + SUMIFS(M:M,A:A,A42,B:B,B42,G:G,"anderson.ortiz@altoqi.com.br"),
IF(AND(F42="Gestor",H42="MRR"),SUMIFS(M:M,A:A,A42,B:B,B42,G:G,D42),
SUMIFS(Negócios!L:L,Negócios!A:A,A42,Negócios!B:B,B42,Negócios!P:P,D42,Negócios!AG:AG,"À Vista")))</f>
        <v>1115.54916</v>
      </c>
      <c r="N42" s="10">
        <f t="shared" si="15"/>
        <v>8.5404982001590246E-2</v>
      </c>
      <c r="O42" s="30">
        <f>SUMIFS('Acel Form Pag'!D:D,'Acel Form Pag'!A:A,A42,'Acel Form Pag'!B:B,B42,'Acel Form Pag'!C:C,E42)</f>
        <v>1.5</v>
      </c>
      <c r="P42" s="87">
        <f>IF(AND(F42="Gestor",E42="Sonia",H42="MRR"),SUMIFS(P:P,A:A,A42,B:B,B42,G:G,D42) + SUMIFS(P:P,A:A,A42,B:B,B42,G:G,"anderson.ortiz@altoqi.com.br"),
IF(AND(F42="Gestor",H42="MRR"),SUMIFS(P:P,A:A,A42,B:B,B42,G:G,D42),
SUMIFS(Negócios!L:L,Negócios!A:A,A42,Negócios!B:B,B42,Negócios!P:P,D42,Negócios!AG:AG,"CC 3x")))</f>
        <v>433.66050000000001</v>
      </c>
      <c r="Q42" s="10">
        <f t="shared" si="16"/>
        <v>3.320047966088794E-2</v>
      </c>
      <c r="R42" s="30">
        <f>SUMIFS('Acel Form Pag'!E:E,'Acel Form Pag'!A:A,A42,'Acel Form Pag'!B:B,B42,'Acel Form Pag'!C:C,E42)</f>
        <v>1.4</v>
      </c>
      <c r="S42" s="32">
        <f>IF(AND(F42="Gestor",E42="Sonia",H42="MRR"),SUMIFS(S:S,A:A,A42,B:B,B42,G:G,D42) + SUMIFS(S:S,A:A,A42,B:B,B42,G:G,"anderson.ortiz@altoqi.com.br"),
IF(AND(F42="Gestor",H42="MRR"),SUMIFS(S:S,A:A,A42,B:B,B42,G:G,D42),
SUMIFS(Negócios!L:L,Negócios!A:A,A42,Negócios!B:B,B42,Negócios!P:P,D42,Negócios!AG:AG,"CC 12x")))</f>
        <v>2379.4299999999998</v>
      </c>
      <c r="T42" s="10">
        <f t="shared" si="17"/>
        <v>0.1821660430671149</v>
      </c>
      <c r="U42" s="30">
        <f>SUMIFS('Acel Form Pag'!F:F,'Acel Form Pag'!A:A,A42,'Acel Form Pag'!B:B,B42,'Acel Form Pag'!C:C,E42)</f>
        <v>1.25</v>
      </c>
      <c r="V42" s="32">
        <f>IF(AND(F42="Gestor",E42="Sonia",H42="MRR"),SUMIFS(V:V,A:A,A42,B:B,B42,G:G,D42) + SUMIFS(V:V,A:A,A42,B:B,B42,G:G,"anderson.ortiz@altoqi.com.br"),
IF(AND(F42="Gestor",H42="MRR"),SUMIFS(V:V,A:A,A42,B:B,B42,G:G,D42),
SUMIFS(Negócios!L:L,Negócios!A:A,A42,Negócios!B:B,B42,Negócios!P:P,D42,Negócios!AG:AG,"Recorrente")))</f>
        <v>9133.2348800500004</v>
      </c>
      <c r="W42" s="10">
        <f t="shared" si="19"/>
        <v>0.69922849527040698</v>
      </c>
      <c r="X42" s="34">
        <f>SUMIFS('Acel Form Pag'!G:G,'Acel Form Pag'!A:A,A42,'Acel Form Pag'!B:B,B42,'Acel Form Pag'!C:C,E42)</f>
        <v>1</v>
      </c>
      <c r="Y42" s="24">
        <f>MAX(_xlfn.MAXIFS(Parâmetros!O:O,Parâmetros!A:A,A42,Parâmetros!B:B,B42,Parâmetros!D:D,D42,Parâmetros!M:M,"&lt;="&amp;K42),_xlfn.MAXIFS(Parâmetros!L:L,Parâmetros!A:A,A42,Parâmetros!B:B,B42,Parâmetros!D:D,D42,Parâmetros!J:J,"&lt;="&amp;K42),_xlfn.MAXIFS(Parâmetros!I:I,Parâmetros!A:A,A42,Parâmetros!B:B,B42,Parâmetros!D:D,D42))</f>
        <v>2046.24</v>
      </c>
      <c r="Z42" s="9">
        <f>MAX(_xlfn.MAXIFS(Parâmetros!Q:Q,Parâmetros!A:A,A42,Parâmetros!B:B,B42,Parâmetros!D:D,D42,Parâmetros!E:E,E42,Parâmetros!P:P,"&lt;="&amp;K42),
_xlfn.MAXIFS(Parâmetros!S:S,Parâmetros!A:A,A42,Parâmetros!B:B,B42,Parâmetros!D:D,D42,Parâmetros!E:E,E42,Parâmetros!R:R,"&lt;="&amp;K42),
_xlfn.MAXIFS(Parâmetros!U:U,Parâmetros!A:A,A42,Parâmetros!B:B,B42,Parâmetros!D:D,D42,Parâmetros!E:E,E42,Parâmetros!T:T,"&lt;="&amp;K42),1) * IF(K42 &gt;= SUMIFS(Parâmetros!G:G,Parâmetros!A:A,A42,Parâmetros!B:B,B42,Parâmetros!D:D,D42,Parâmetros!E:E,E42),1,0)</f>
        <v>1.25</v>
      </c>
      <c r="AA42" s="16">
        <f>Y42*Z42*K42</f>
        <v>5091.4725886033202</v>
      </c>
      <c r="AB42" s="16">
        <f>(AA42*N42*O42) + (AA42*Q42*R42) + (AA42*T42*U42) + (AA42*W42*X42)</f>
        <v>5608.3802375603427</v>
      </c>
      <c r="AC42" s="15">
        <f>IF(F42="Gestor",SUMIFS(AC:AC,A:A,A42,B:B,B42,G:G,D42),
IF(E42="Saving",SUMIFS(Negócios!I:I,Negócios!A:A,A42,Negócios!B:B,B42,Negócios!P:P,D42,Negócios!H:H,"Curso") +
SUMIFS(Negócios!I:I,Negócios!A:A,A42,Negócios!B:B,B42,Negócios!P:P,D42,Negócios!H:H,"Serviço") +
SUMIFS(Negócios!I:I,Negócios!A:A,A42,Negócios!B:B,B42,Negócios!P:P,D42,Negócios!H:H,"Implantação"),
SUMIFS(Negócios!I:I,Negócios!A:A,A42,Negócios!B:B,B42,Negócios!P:P,D42,Negócios!H:H,"Implantação")))</f>
        <v>0</v>
      </c>
      <c r="AD42" s="16">
        <f>SUMIFS(Parâmetros!W:W,Parâmetros!A:A,A42,Parâmetros!B:B,B42,Parâmetros!D:D,D42) * AC42 * IF(K42 &gt;= SUMIFS(Parâmetros!V:V,Parâmetros!A:A,A42,Parâmetros!B:B,B42,Parâmetros!D:D,D42),1,0)</f>
        <v>0</v>
      </c>
      <c r="AE42" s="15">
        <f>SUMIFS('Recuperação de Canc e Divs'!D:D,'Recuperação de Canc e Divs'!A:A,A42,'Recuperação de Canc e Divs'!B:B,B42,'Recuperação de Canc e Divs'!C:C,D42)</f>
        <v>0</v>
      </c>
      <c r="AF42" s="16">
        <f>IF(K42&gt;=SUMIFS(Parâmetros!J:J,Parâmetros!A:A,A42,Parâmetros!B:B,B42,Parâmetros!D:D,D42),AE42*0.025,0)</f>
        <v>0</v>
      </c>
      <c r="AG42" s="15" t="str">
        <f t="shared" si="0"/>
        <v/>
      </c>
      <c r="AH42" s="16" t="str">
        <f t="shared" si="1"/>
        <v/>
      </c>
      <c r="AI42" s="90">
        <f t="shared" si="2"/>
        <v>0</v>
      </c>
      <c r="AJ42" s="16" t="str">
        <f t="shared" si="3"/>
        <v/>
      </c>
      <c r="AK42" s="16" t="str">
        <f t="shared" si="4"/>
        <v/>
      </c>
      <c r="AL42" s="90">
        <f t="shared" si="5"/>
        <v>0</v>
      </c>
      <c r="AM42" s="93" t="str">
        <f>IF(AND(OR(B42=3,B42=6,B42=9,B42=12),AI42&gt;=1),
IF(F42="Gestor",AI42*0.6,AI42*0.3),"")</f>
        <v/>
      </c>
      <c r="AN42" s="94" t="str">
        <f>IF(OR(B42=3,B42=6,B42=9,B42=12),
IF(AND(AL42&gt;=1,AI42&gt;=SUMIFS(Parâmetros!G:G,Parâmetros!A:A,Comissões!A42,Parâmetros!B:B,Comissões!B42,Parâmetros!D:D,Comissões!D42,Parâmetros!E:E,Comissões!E42)),AI42*0.3,""),"")</f>
        <v/>
      </c>
    </row>
    <row r="43" spans="1:40" hidden="1">
      <c r="A43" s="7">
        <v>2026</v>
      </c>
      <c r="B43" s="7">
        <v>2</v>
      </c>
      <c r="C43" s="7" t="str">
        <v>Thales Mariante De Sá</v>
      </c>
      <c r="D43" s="7" t="str">
        <v>thales.sa@altoqi.com.br</v>
      </c>
      <c r="E43" s="7" t="str">
        <v>Farmer</v>
      </c>
      <c r="F43" s="7" t="str">
        <v>Consultor</v>
      </c>
      <c r="G43" s="7" t="str">
        <v>sonia.zielinski@altoqi.com.br</v>
      </c>
      <c r="H43" s="7" t="str">
        <v>MRR</v>
      </c>
      <c r="I43" s="86">
        <f>IF(AND(F43="Consultor",H43="MRR"),SUMIFS(Negócios!L:L,Negócios!A:A,A43,Negócios!B:B,B43,Negócios!P:P,D43),
IF(AND(F43="Consultor",H43="Opps"),SUMIFS('Realizado GD'!D:D,'Realizado GD'!A:A,A43,'Realizado GD'!B:B,B43,'Realizado GD'!C:C,D43),
IF(AND(F43="Gestor",E43="Sonia",H43="MRR"),SUMIFS(I:I,A:A,A43,B:B,B43,G:G,D43) + SUMIFS(I:I,A:A,A43,B:B,B43,G:G,"anderson.ortiz@altoqi.com.br"),
IF(AND(F43="Gestor",H43="MRR"),SUMIFS(I:I,A:A,A43,B:B,B43,G:G,D43)))))</f>
        <v>7169.7033332999999</v>
      </c>
      <c r="J43" s="16">
        <f>SUMIFS(Metas!K:K,Metas!A:A,A43,Metas!B:B,B43,Metas!D:D,D43,Metas!H:H,H43)</f>
        <v>8512</v>
      </c>
      <c r="K43" s="10">
        <f t="shared" si="11"/>
        <v>0.84230537280310147</v>
      </c>
      <c r="L43" s="26" t="str" cm="1">
        <f t="array" ref="L43">_xlfn.LET(
 _xlpm.g,_xlfn.MAXIFS(Parâmetros!G:G,Parâmetros!A:A,A43,Parâmetros!B:B,B43,Parâmetros!D:D,D43,Parâmetros!E:E,E43),
 _xlpm.j,_xlfn.MAXIFS(Parâmetros!J:J,Parâmetros!A:A,A43,Parâmetros!B:B,B43,Parâmetros!D:D,D43,Parâmetros!E:E,E43),
 _xlpm.m,_xlfn.MAXIFS(Parâmetros!M:M,Parâmetros!A:A,A43,Parâmetros!B:B,B43,Parâmetros!D:D,D43,Parâmetros!E:E,E43),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55,00%</v>
      </c>
      <c r="M43" s="28">
        <f>IF(AND(F43="Gestor",E43="Sonia",H43="MRR"),SUMIFS(M:M,A:A,A43,B:B,B43,G:G,D43) + SUMIFS(M:M,A:A,A43,B:B,B43,G:G,"anderson.ortiz@altoqi.com.br"),
IF(AND(F43="Gestor",H43="MRR"),SUMIFS(M:M,A:A,A43,B:B,B43,G:G,D43),
SUMIFS(Negócios!L:L,Negócios!A:A,A43,Negócios!B:B,B43,Negócios!P:P,D43,Negócios!AG:AG,"À Vista")))</f>
        <v>1767.5400000000002</v>
      </c>
      <c r="N43" s="10">
        <f t="shared" si="15"/>
        <v>0.24652902886380021</v>
      </c>
      <c r="O43" s="30">
        <f>SUMIFS('Acel Form Pag'!D:D,'Acel Form Pag'!A:A,A43,'Acel Form Pag'!B:B,B43,'Acel Form Pag'!C:C,E43)</f>
        <v>1.5</v>
      </c>
      <c r="P43" s="87">
        <f>IF(AND(F43="Gestor",E43="Sonia",H43="MRR"),SUMIFS(P:P,A:A,A43,B:B,B43,G:G,D43) + SUMIFS(P:P,A:A,A43,B:B,B43,G:G,"anderson.ortiz@altoqi.com.br"),
IF(AND(F43="Gestor",H43="MRR"),SUMIFS(P:P,A:A,A43,B:B,B43,G:G,D43),
SUMIFS(Negócios!L:L,Negócios!A:A,A43,Negócios!B:B,B43,Negócios!P:P,D43,Negócios!AG:AG,"CC 3x")))</f>
        <v>304.22000000000003</v>
      </c>
      <c r="Q43" s="10">
        <f t="shared" si="16"/>
        <v>4.2431323286005011E-2</v>
      </c>
      <c r="R43" s="30">
        <f>SUMIFS('Acel Form Pag'!E:E,'Acel Form Pag'!A:A,A43,'Acel Form Pag'!B:B,B43,'Acel Form Pag'!C:C,E43)</f>
        <v>1.4</v>
      </c>
      <c r="S43" s="32">
        <f>IF(AND(F43="Gestor",E43="Sonia",H43="MRR"),SUMIFS(S:S,A:A,A43,B:B,B43,G:G,D43) + SUMIFS(S:S,A:A,A43,B:B,B43,G:G,"anderson.ortiz@altoqi.com.br"),
IF(AND(F43="Gestor",H43="MRR"),SUMIFS(S:S,A:A,A43,B:B,B43,G:G,D43),
SUMIFS(Negócios!L:L,Negócios!A:A,A43,Negócios!B:B,B43,Negócios!P:P,D43,Negócios!AG:AG,"CC 12x")))</f>
        <v>1415.4749999999999</v>
      </c>
      <c r="T43" s="10">
        <f t="shared" si="17"/>
        <v>0.19742448664866852</v>
      </c>
      <c r="U43" s="30">
        <f>SUMIFS('Acel Form Pag'!F:F,'Acel Form Pag'!A:A,A43,'Acel Form Pag'!B:B,B43,'Acel Form Pag'!C:C,E43)</f>
        <v>1.25</v>
      </c>
      <c r="V43" s="32">
        <f>IF(AND(F43="Gestor",E43="Sonia",H43="MRR"),SUMIFS(V:V,A:A,A43,B:B,B43,G:G,D43) + SUMIFS(V:V,A:A,A43,B:B,B43,G:G,"anderson.ortiz@altoqi.com.br"),
IF(AND(F43="Gestor",H43="MRR"),SUMIFS(V:V,A:A,A43,B:B,B43,G:G,D43),
SUMIFS(Negócios!L:L,Negócios!A:A,A43,Negócios!B:B,B43,Negócios!P:P,D43,Negócios!AG:AG,"Recorrente")))</f>
        <v>3682.4683333000003</v>
      </c>
      <c r="W43" s="10">
        <f t="shared" si="19"/>
        <v>0.51361516120152639</v>
      </c>
      <c r="X43" s="34">
        <f>SUMIFS('Acel Form Pag'!G:G,'Acel Form Pag'!A:A,A43,'Acel Form Pag'!B:B,B43,'Acel Form Pag'!C:C,E43)</f>
        <v>1</v>
      </c>
      <c r="Y43" s="24">
        <f>MAX(_xlfn.MAXIFS(Parâmetros!O:O,Parâmetros!A:A,A43,Parâmetros!B:B,B43,Parâmetros!D:D,D43,Parâmetros!M:M,"&lt;="&amp;K43),_xlfn.MAXIFS(Parâmetros!L:L,Parâmetros!A:A,A43,Parâmetros!B:B,B43,Parâmetros!D:D,D43,Parâmetros!J:J,"&lt;="&amp;K43),_xlfn.MAXIFS(Parâmetros!I:I,Parâmetros!A:A,A43,Parâmetros!B:B,B43,Parâmetros!D:D,D43))</f>
        <v>3240</v>
      </c>
      <c r="Z43" s="9">
        <f>MAX(_xlfn.MAXIFS(Parâmetros!Q:Q,Parâmetros!A:A,A43,Parâmetros!B:B,B43,Parâmetros!D:D,D43,Parâmetros!E:E,E43,Parâmetros!P:P,"&lt;="&amp;K43),
_xlfn.MAXIFS(Parâmetros!S:S,Parâmetros!A:A,A43,Parâmetros!B:B,B43,Parâmetros!D:D,D43,Parâmetros!E:E,E43,Parâmetros!R:R,"&lt;="&amp;K43),
_xlfn.MAXIFS(Parâmetros!U:U,Parâmetros!A:A,A43,Parâmetros!B:B,B43,Parâmetros!D:D,D43,Parâmetros!E:E,E43,Parâmetros!T:T,"&lt;="&amp;K43),1) * IF(K43 &gt;= SUMIFS(Parâmetros!G:G,Parâmetros!A:A,A43,Parâmetros!B:B,B43,Parâmetros!D:D,D43,Parâmetros!E:E,E43),1,0)</f>
        <v>1</v>
      </c>
      <c r="AA43" s="16">
        <f>Y43*Z43*K43</f>
        <v>2729.0694078820488</v>
      </c>
      <c r="AB43" s="16">
        <f>(AA43*N43*O43) + (AA43*Q43*R43) + (AA43*T43*U43) + (AA43*W43*X43)</f>
        <v>3246.4823155418235</v>
      </c>
      <c r="AC43" s="15">
        <f>IF(F43="Gestor",SUMIFS(AC:AC,A:A,A43,B:B,B43,G:G,D43),
IF(E43="Saving",SUMIFS(Negócios!I:I,Negócios!A:A,A43,Negócios!B:B,B43,Negócios!P:P,D43,Negócios!H:H,"Curso") +
SUMIFS(Negócios!I:I,Negócios!A:A,A43,Negócios!B:B,B43,Negócios!P:P,D43,Negócios!H:H,"Serviço") +
SUMIFS(Negócios!I:I,Negócios!A:A,A43,Negócios!B:B,B43,Negócios!P:P,D43,Negócios!H:H,"Implantação"),
SUMIFS(Negócios!I:I,Negócios!A:A,A43,Negócios!B:B,B43,Negócios!P:P,D43,Negócios!H:H,"Implantação")))</f>
        <v>0</v>
      </c>
      <c r="AD43" s="16">
        <f>SUMIFS(Parâmetros!W:W,Parâmetros!A:A,A43,Parâmetros!B:B,B43,Parâmetros!D:D,D43) * AC43 * IF(K43 &gt;= SUMIFS(Parâmetros!V:V,Parâmetros!A:A,A43,Parâmetros!B:B,B43,Parâmetros!D:D,D43),1,0)</f>
        <v>0</v>
      </c>
      <c r="AE43" s="15">
        <f>SUMIFS('Recuperação de Canc e Divs'!D:D,'Recuperação de Canc e Divs'!A:A,A43,'Recuperação de Canc e Divs'!B:B,B43,'Recuperação de Canc e Divs'!C:C,D43)</f>
        <v>0</v>
      </c>
      <c r="AF43" s="16">
        <f>IF(K43&gt;=SUMIFS(Parâmetros!J:J,Parâmetros!A:A,A43,Parâmetros!B:B,B43,Parâmetros!D:D,D43),AE43*0.025,0)</f>
        <v>0</v>
      </c>
      <c r="AG43" s="15" t="str">
        <f t="shared" si="0"/>
        <v/>
      </c>
      <c r="AH43" s="16" t="str">
        <f t="shared" si="1"/>
        <v/>
      </c>
      <c r="AI43" s="90">
        <f t="shared" si="2"/>
        <v>0</v>
      </c>
      <c r="AJ43" s="16" t="str">
        <f t="shared" si="3"/>
        <v/>
      </c>
      <c r="AK43" s="16" t="str">
        <f t="shared" si="4"/>
        <v/>
      </c>
      <c r="AL43" s="90">
        <f t="shared" si="5"/>
        <v>0</v>
      </c>
      <c r="AM43" s="93" t="str">
        <f>IF(AND(OR(B43=3,B43=6,B43=9,B43=12),AI43&gt;=1),
IF(F43="Gestor",AI43*0.6,AI43*0.3),"")</f>
        <v/>
      </c>
      <c r="AN43" s="94" t="str">
        <f>IF(OR(B43=3,B43=6,B43=9,B43=12),
IF(AND(AL43&gt;=1,AI43&gt;=SUMIFS(Parâmetros!G:G,Parâmetros!A:A,Comissões!A43,Parâmetros!B:B,Comissões!B43,Parâmetros!D:D,Comissões!D43,Parâmetros!E:E,Comissões!E43)),AI43*0.3,""),"")</f>
        <v/>
      </c>
    </row>
    <row r="44" spans="1:40" hidden="1">
      <c r="A44" s="7">
        <v>2026</v>
      </c>
      <c r="B44" s="7">
        <v>2</v>
      </c>
      <c r="C44" s="7" t="str">
        <v>Anderson Ortiz</v>
      </c>
      <c r="D44" s="7" t="str">
        <v>anderson.ortiz@altoqi.com.br</v>
      </c>
      <c r="E44" s="7" t="str">
        <v>FSB</v>
      </c>
      <c r="F44" s="7" t="str">
        <v>Gestor</v>
      </c>
      <c r="G44" s="7">
        <v>0</v>
      </c>
      <c r="H44" s="7" t="str">
        <v>MRR</v>
      </c>
      <c r="I44" s="86">
        <f>IF(AND(F44="Consultor",H44="MRR"),SUMIFS(Negócios!L:L,Negócios!A:A,A44,Negócios!B:B,B44,Negócios!P:P,D44),
IF(AND(F44="Consultor",H44="Opps"),SUMIFS('Realizado GD'!D:D,'Realizado GD'!A:A,A44,'Realizado GD'!B:B,B44,'Realizado GD'!C:C,D44),
IF(AND(F44="Gestor",E44="Sonia",H44="MRR"),SUMIFS(I:I,A:A,A44,B:B,B44,G:G,D44) + SUMIFS(I:I,A:A,A44,B:B,B44,G:G,"anderson.ortiz@altoqi.com.br"),
IF(AND(F44="Gestor",H44="MRR"),SUMIFS(I:I,A:A,A44,B:B,B44,G:G,D44)))))</f>
        <v>40944.574750000007</v>
      </c>
      <c r="J44" s="16">
        <f>SUMIFS(Metas!K:K,Metas!A:A,A44,Metas!B:B,B44,Metas!D:D,D44,Metas!H:H,H44)</f>
        <v>28500</v>
      </c>
      <c r="K44" s="10">
        <f t="shared" si="11"/>
        <v>1.4366517456140353</v>
      </c>
      <c r="L44" s="26" t="str" cm="1">
        <f t="array" ref="L44">_xlfn.LET(
 _xlpm.g,_xlfn.MAXIFS(Parâmetros!G:G,Parâmetros!A:A,A44,Parâmetros!B:B,B44,Parâmetros!D:D,D44,Parâmetros!E:E,E44),
 _xlpm.j,_xlfn.MAXIFS(Parâmetros!J:J,Parâmetros!A:A,A44,Parâmetros!B:B,B44,Parâmetros!D:D,D44,Parâmetros!E:E,E44),
 _xlpm.m,_xlfn.MAXIFS(Parâmetros!M:M,Parâmetros!A:A,A44,Parâmetros!B:B,B44,Parâmetros!D:D,D44,Parâmetros!E:E,E44),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60,00%</v>
      </c>
      <c r="M44" s="28">
        <f>IF(AND(F44="Gestor",E44="Sonia",H44="MRR"),SUMIFS(M:M,A:A,A44,B:B,B44,G:G,D44) + SUMIFS(M:M,A:A,A44,B:B,B44,G:G,"anderson.ortiz@altoqi.com.br"),
IF(AND(F44="Gestor",H44="MRR"),SUMIFS(M:M,A:A,A44,B:B,B44,G:G,D44),
SUMIFS(Negócios!L:L,Negócios!A:A,A44,Negócios!B:B,B44,Negócios!P:P,D44,Negócios!AG:AG,"À Vista")))</f>
        <v>1937.9701</v>
      </c>
      <c r="N44" s="10">
        <f t="shared" si="15"/>
        <v>4.7331547874972124E-2</v>
      </c>
      <c r="O44" s="30">
        <f>SUMIFS('Acel Form Pag'!D:D,'Acel Form Pag'!A:A,A44,'Acel Form Pag'!B:B,B44,'Acel Form Pag'!C:C,E44)</f>
        <v>1.3</v>
      </c>
      <c r="P44" s="87">
        <f>IF(AND(F44="Gestor",E44="Sonia",H44="MRR"),SUMIFS(P:P,A:A,A44,B:B,B44,G:G,D44) + SUMIFS(P:P,A:A,A44,B:B,B44,G:G,"anderson.ortiz@altoqi.com.br"),
IF(AND(F44="Gestor",H44="MRR"),SUMIFS(P:P,A:A,A44,B:B,B44,G:G,D44),
SUMIFS(Negócios!L:L,Negócios!A:A,A44,Negócios!B:B,B44,Negócios!P:P,D44,Negócios!AG:AG,"CC 3x")))</f>
        <v>0</v>
      </c>
      <c r="Q44" s="10">
        <f t="shared" si="16"/>
        <v>0</v>
      </c>
      <c r="R44" s="30">
        <f>SUMIFS('Acel Form Pag'!E:E,'Acel Form Pag'!A:A,A44,'Acel Form Pag'!B:B,B44,'Acel Form Pag'!C:C,E44)</f>
        <v>1.2</v>
      </c>
      <c r="S44" s="32">
        <f>IF(AND(F44="Gestor",E44="Sonia",H44="MRR"),SUMIFS(S:S,A:A,A44,B:B,B44,G:G,D44) + SUMIFS(S:S,A:A,A44,B:B,B44,G:G,"anderson.ortiz@altoqi.com.br"),
IF(AND(F44="Gestor",H44="MRR"),SUMIFS(S:S,A:A,A44,B:B,B44,G:G,D44),
SUMIFS(Negócios!L:L,Negócios!A:A,A44,Negócios!B:B,B44,Negócios!P:P,D44,Negócios!AG:AG,"CC 12x")))</f>
        <v>20178.327649999999</v>
      </c>
      <c r="T44" s="10">
        <f t="shared" si="17"/>
        <v>0.49282054516880763</v>
      </c>
      <c r="U44" s="30">
        <f>SUMIFS('Acel Form Pag'!F:F,'Acel Form Pag'!A:A,A44,'Acel Form Pag'!B:B,B44,'Acel Form Pag'!C:C,E44)</f>
        <v>1.1499999999999999</v>
      </c>
      <c r="V44" s="32">
        <f>IF(AND(F44="Gestor",E44="Sonia",H44="MRR"),SUMIFS(V:V,A:A,A44,B:B,B44,G:G,D44) + SUMIFS(V:V,A:A,A44,B:B,B44,G:G,"anderson.ortiz@altoqi.com.br"),
IF(AND(F44="Gestor",H44="MRR"),SUMIFS(V:V,A:A,A44,B:B,B44,G:G,D44),
SUMIFS(Negócios!L:L,Negócios!A:A,A44,Negócios!B:B,B44,Negócios!P:P,D44,Negócios!AG:AG,"Recorrente")))</f>
        <v>18828.277000000002</v>
      </c>
      <c r="W44" s="10">
        <f t="shared" si="19"/>
        <v>0.45984790695622008</v>
      </c>
      <c r="X44" s="34">
        <f>SUMIFS('Acel Form Pag'!G:G,'Acel Form Pag'!A:A,A44,'Acel Form Pag'!B:B,B44,'Acel Form Pag'!C:C,E44)</f>
        <v>0.9</v>
      </c>
      <c r="Y44" s="24">
        <f>MAX(_xlfn.MAXIFS(Parâmetros!O:O,Parâmetros!A:A,A44,Parâmetros!B:B,B44,Parâmetros!D:D,D44,Parâmetros!M:M,"&lt;="&amp;K44),_xlfn.MAXIFS(Parâmetros!L:L,Parâmetros!A:A,A44,Parâmetros!B:B,B44,Parâmetros!D:D,D44,Parâmetros!J:J,"&lt;="&amp;K44),_xlfn.MAXIFS(Parâmetros!I:I,Parâmetros!A:A,A44,Parâmetros!B:B,B44,Parâmetros!D:D,D44))</f>
        <v>4879</v>
      </c>
      <c r="Z44" s="9">
        <f>MAX(_xlfn.MAXIFS(Parâmetros!Q:Q,Parâmetros!A:A,A44,Parâmetros!B:B,B44,Parâmetros!D:D,D44,Parâmetros!E:E,E44,Parâmetros!P:P,"&lt;="&amp;K44),
_xlfn.MAXIFS(Parâmetros!S:S,Parâmetros!A:A,A44,Parâmetros!B:B,B44,Parâmetros!D:D,D44,Parâmetros!E:E,E44,Parâmetros!R:R,"&lt;="&amp;K44),
_xlfn.MAXIFS(Parâmetros!U:U,Parâmetros!A:A,A44,Parâmetros!B:B,B44,Parâmetros!D:D,D44,Parâmetros!E:E,E44,Parâmetros!T:T,"&lt;="&amp;K44),1) * IF(K44 &gt;= SUMIFS(Parâmetros!G:G,Parâmetros!A:A,A44,Parâmetros!B:B,B44,Parâmetros!D:D,D44,Parâmetros!E:E,E44),1,0)</f>
        <v>1.25</v>
      </c>
      <c r="AA44" s="16">
        <f>Y44*Z44*K44</f>
        <v>8761.779833563598</v>
      </c>
      <c r="AB44" s="16">
        <f>(AA44*N44*O44) + (AA44*Q44*R44) + (AA44*T44*U44) + (AA44*W44*X44)</f>
        <v>9130.9815694286171</v>
      </c>
      <c r="AC44" s="15">
        <f>IF(F44="Gestor",SUMIFS(AC:AC,A:A,A44,B:B,B44,G:G,D44),
IF(E44="Saving",SUMIFS(Negócios!I:I,Negócios!A:A,A44,Negócios!B:B,B44,Negócios!P:P,D44,Negócios!H:H,"Curso") +
SUMIFS(Negócios!I:I,Negócios!A:A,A44,Negócios!B:B,B44,Negócios!P:P,D44,Negócios!H:H,"Serviço") +
SUMIFS(Negócios!I:I,Negócios!A:A,A44,Negócios!B:B,B44,Negócios!P:P,D44,Negócios!H:H,"Implantação"),
SUMIFS(Negócios!I:I,Negócios!A:A,A44,Negócios!B:B,B44,Negócios!P:P,D44,Negócios!H:H,"Implantação")))</f>
        <v>0</v>
      </c>
      <c r="AD44" s="16">
        <f>SUMIFS(Parâmetros!W:W,Parâmetros!A:A,A44,Parâmetros!B:B,B44,Parâmetros!D:D,D44) * AC44 * IF(K44 &gt;= SUMIFS(Parâmetros!V:V,Parâmetros!A:A,A44,Parâmetros!B:B,B44,Parâmetros!D:D,D44),1,0)</f>
        <v>0</v>
      </c>
      <c r="AE44" s="15">
        <f>SUMIFS('Recuperação de Canc e Divs'!D:D,'Recuperação de Canc e Divs'!A:A,A44,'Recuperação de Canc e Divs'!B:B,B44,'Recuperação de Canc e Divs'!C:C,D44)</f>
        <v>0</v>
      </c>
      <c r="AF44" s="16">
        <f>IF(K44&gt;=SUMIFS(Parâmetros!J:J,Parâmetros!A:A,A44,Parâmetros!B:B,B44,Parâmetros!D:D,D44),AE44*0.025,0)</f>
        <v>0</v>
      </c>
      <c r="AG44" s="15" t="str">
        <f t="shared" si="0"/>
        <v/>
      </c>
      <c r="AH44" s="16" t="str">
        <f t="shared" si="1"/>
        <v/>
      </c>
      <c r="AI44" s="90">
        <f t="shared" si="2"/>
        <v>0</v>
      </c>
      <c r="AJ44" s="16" t="str">
        <f t="shared" si="3"/>
        <v/>
      </c>
      <c r="AK44" s="16" t="str">
        <f t="shared" si="4"/>
        <v/>
      </c>
      <c r="AL44" s="90">
        <f t="shared" si="5"/>
        <v>0</v>
      </c>
      <c r="AM44" s="93" t="str">
        <f>IF(AND(OR(B44=3,B44=6,B44=9,B44=12),AI44&gt;=1),
IF(F44="Gestor",AI44*0.6,AI44*0.3),"")</f>
        <v/>
      </c>
      <c r="AN44" s="94" t="str">
        <f>IF(OR(B44=3,B44=6,B44=9,B44=12),
IF(AND(AL44&gt;=1,AI44&gt;=SUMIFS(Parâmetros!G:G,Parâmetros!A:A,Comissões!A44,Parâmetros!B:B,Comissões!B44,Parâmetros!D:D,Comissões!D44,Parâmetros!E:E,Comissões!E44)),AI44*0.3,""),"")</f>
        <v/>
      </c>
    </row>
    <row r="45" spans="1:40" hidden="1">
      <c r="A45" s="7">
        <v>2026</v>
      </c>
      <c r="B45" s="7">
        <v>2</v>
      </c>
      <c r="C45" s="7" t="str">
        <v>Artur Machado</v>
      </c>
      <c r="D45" s="7" t="str">
        <v>artur.francisco@altoqi.com.br</v>
      </c>
      <c r="E45" s="7" t="str">
        <v>FSB</v>
      </c>
      <c r="F45" s="7" t="str">
        <v>Consultor</v>
      </c>
      <c r="G45" s="7" t="str">
        <v>anderson.ortiz@altoqi.com.br</v>
      </c>
      <c r="H45" s="7" t="str">
        <v>MRR</v>
      </c>
      <c r="I45" s="86">
        <f>IF(AND(F45="Consultor",H45="MRR"),SUMIFS(Negócios!L:L,Negócios!A:A,A45,Negócios!B:B,B45,Negócios!P:P,D45),
IF(AND(F45="Consultor",H45="Opps"),SUMIFS('Realizado GD'!D:D,'Realizado GD'!A:A,A45,'Realizado GD'!B:B,B45,'Realizado GD'!C:C,D45),
IF(AND(F45="Gestor",E45="Sonia",H45="MRR"),SUMIFS(I:I,A:A,A45,B:B,B45,G:G,D45) + SUMIFS(I:I,A:A,A45,B:B,B45,G:G,"anderson.ortiz@altoqi.com.br"),
IF(AND(F45="Gestor",H45="MRR"),SUMIFS(I:I,A:A,A45,B:B,B45,G:G,D45)))))</f>
        <v>0</v>
      </c>
      <c r="J45" s="16">
        <f>SUMIFS(Metas!K:K,Metas!A:A,A45,Metas!B:B,B45,Metas!D:D,D45,Metas!H:H,H45)</f>
        <v>4600</v>
      </c>
      <c r="K45" s="10">
        <f t="shared" si="11"/>
        <v>0</v>
      </c>
      <c r="L45" s="26" t="str" cm="1">
        <f t="array" ref="L45">_xlfn.LET(
 _xlpm.g,_xlfn.MAXIFS(Parâmetros!G:G,Parâmetros!A:A,A45,Parâmetros!B:B,B45,Parâmetros!D:D,D45,Parâmetros!E:E,E45),
 _xlpm.j,_xlfn.MAXIFS(Parâmetros!J:J,Parâmetros!A:A,A45,Parâmetros!B:B,B45,Parâmetros!D:D,D45,Parâmetros!E:E,E45),
 _xlpm.m,_xlfn.MAXIFS(Parâmetros!M:M,Parâmetros!A:A,A45,Parâmetros!B:B,B45,Parâmetros!D:D,D45,Parâmetros!E:E,E45),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60,00%</v>
      </c>
      <c r="M45" s="28">
        <f>IF(AND(F45="Gestor",E45="Sonia",H45="MRR"),SUMIFS(M:M,A:A,A45,B:B,B45,G:G,D45) + SUMIFS(M:M,A:A,A45,B:B,B45,G:G,"anderson.ortiz@altoqi.com.br"),
IF(AND(F45="Gestor",H45="MRR"),SUMIFS(M:M,A:A,A45,B:B,B45,G:G,D45),
SUMIFS(Negócios!L:L,Negócios!A:A,A45,Negócios!B:B,B45,Negócios!P:P,D45,Negócios!AG:AG,"À Vista")))</f>
        <v>0</v>
      </c>
      <c r="N45" s="10">
        <f t="shared" si="15"/>
        <v>0</v>
      </c>
      <c r="O45" s="30">
        <f>SUMIFS('Acel Form Pag'!D:D,'Acel Form Pag'!A:A,A45,'Acel Form Pag'!B:B,B45,'Acel Form Pag'!C:C,E45)</f>
        <v>1.3</v>
      </c>
      <c r="P45" s="87">
        <f>IF(AND(F45="Gestor",E45="Sonia",H45="MRR"),SUMIFS(P:P,A:A,A45,B:B,B45,G:G,D45) + SUMIFS(P:P,A:A,A45,B:B,B45,G:G,"anderson.ortiz@altoqi.com.br"),
IF(AND(F45="Gestor",H45="MRR"),SUMIFS(P:P,A:A,A45,B:B,B45,G:G,D45),
SUMIFS(Negócios!L:L,Negócios!A:A,A45,Negócios!B:B,B45,Negócios!P:P,D45,Negócios!AG:AG,"CC 3x")))</f>
        <v>0</v>
      </c>
      <c r="Q45" s="10">
        <f t="shared" si="16"/>
        <v>0</v>
      </c>
      <c r="R45" s="30">
        <f>SUMIFS('Acel Form Pag'!E:E,'Acel Form Pag'!A:A,A45,'Acel Form Pag'!B:B,B45,'Acel Form Pag'!C:C,E45)</f>
        <v>1.2</v>
      </c>
      <c r="S45" s="32">
        <f>IF(AND(F45="Gestor",E45="Sonia",H45="MRR"),SUMIFS(S:S,A:A,A45,B:B,B45,G:G,D45) + SUMIFS(S:S,A:A,A45,B:B,B45,G:G,"anderson.ortiz@altoqi.com.br"),
IF(AND(F45="Gestor",H45="MRR"),SUMIFS(S:S,A:A,A45,B:B,B45,G:G,D45),
SUMIFS(Negócios!L:L,Negócios!A:A,A45,Negócios!B:B,B45,Negócios!P:P,D45,Negócios!AG:AG,"CC 12x")))</f>
        <v>0</v>
      </c>
      <c r="T45" s="10">
        <f t="shared" si="17"/>
        <v>0</v>
      </c>
      <c r="U45" s="30">
        <f>SUMIFS('Acel Form Pag'!F:F,'Acel Form Pag'!A:A,A45,'Acel Form Pag'!B:B,B45,'Acel Form Pag'!C:C,E45)</f>
        <v>1.1499999999999999</v>
      </c>
      <c r="V45" s="32">
        <f>IF(AND(F45="Gestor",E45="Sonia",H45="MRR"),SUMIFS(V:V,A:A,A45,B:B,B45,G:G,D45) + SUMIFS(V:V,A:A,A45,B:B,B45,G:G,"anderson.ortiz@altoqi.com.br"),
IF(AND(F45="Gestor",H45="MRR"),SUMIFS(V:V,A:A,A45,B:B,B45,G:G,D45),
SUMIFS(Negócios!L:L,Negócios!A:A,A45,Negócios!B:B,B45,Negócios!P:P,D45,Negócios!AG:AG,"Recorrente")))</f>
        <v>0</v>
      </c>
      <c r="W45" s="10">
        <f t="shared" si="19"/>
        <v>0</v>
      </c>
      <c r="X45" s="34">
        <f>SUMIFS('Acel Form Pag'!G:G,'Acel Form Pag'!A:A,A45,'Acel Form Pag'!B:B,B45,'Acel Form Pag'!C:C,E45)</f>
        <v>0.9</v>
      </c>
      <c r="Y45" s="24">
        <f>MAX(_xlfn.MAXIFS(Parâmetros!O:O,Parâmetros!A:A,A45,Parâmetros!B:B,B45,Parâmetros!D:D,D45,Parâmetros!M:M,"&lt;="&amp;K45),_xlfn.MAXIFS(Parâmetros!L:L,Parâmetros!A:A,A45,Parâmetros!B:B,B45,Parâmetros!D:D,D45,Parâmetros!J:J,"&lt;="&amp;K45),_xlfn.MAXIFS(Parâmetros!I:I,Parâmetros!A:A,A45,Parâmetros!B:B,B45,Parâmetros!D:D,D45))</f>
        <v>1620</v>
      </c>
      <c r="Z45" s="9">
        <f>MAX(_xlfn.MAXIFS(Parâmetros!Q:Q,Parâmetros!A:A,A45,Parâmetros!B:B,B45,Parâmetros!D:D,D45,Parâmetros!E:E,E45,Parâmetros!P:P,"&lt;="&amp;K45),
_xlfn.MAXIFS(Parâmetros!S:S,Parâmetros!A:A,A45,Parâmetros!B:B,B45,Parâmetros!D:D,D45,Parâmetros!E:E,E45,Parâmetros!R:R,"&lt;="&amp;K45),
_xlfn.MAXIFS(Parâmetros!U:U,Parâmetros!A:A,A45,Parâmetros!B:B,B45,Parâmetros!D:D,D45,Parâmetros!E:E,E45,Parâmetros!T:T,"&lt;="&amp;K45),1) * IF(K45 &gt;= SUMIFS(Parâmetros!G:G,Parâmetros!A:A,A45,Parâmetros!B:B,B45,Parâmetros!D:D,D45,Parâmetros!E:E,E45),1,0)</f>
        <v>0</v>
      </c>
      <c r="AA45" s="16">
        <f>Y45*Z45*K45</f>
        <v>0</v>
      </c>
      <c r="AB45" s="16">
        <f>(AA45*N45*O45) + (AA45*Q45*R45) + (AA45*T45*U45) + (AA45*W45*X45)</f>
        <v>0</v>
      </c>
      <c r="AC45" s="15">
        <f>IF(F45="Gestor",SUMIFS(AC:AC,A:A,A45,B:B,B45,G:G,D45),
IF(E45="Saving",SUMIFS(Negócios!I:I,Negócios!A:A,A45,Negócios!B:B,B45,Negócios!P:P,D45,Negócios!H:H,"Curso") +
SUMIFS(Negócios!I:I,Negócios!A:A,A45,Negócios!B:B,B45,Negócios!P:P,D45,Negócios!H:H,"Serviço") +
SUMIFS(Negócios!I:I,Negócios!A:A,A45,Negócios!B:B,B45,Negócios!P:P,D45,Negócios!H:H,"Implantação"),
SUMIFS(Negócios!I:I,Negócios!A:A,A45,Negócios!B:B,B45,Negócios!P:P,D45,Negócios!H:H,"Implantação")))</f>
        <v>0</v>
      </c>
      <c r="AD45" s="16">
        <f>SUMIFS(Parâmetros!W:W,Parâmetros!A:A,A45,Parâmetros!B:B,B45,Parâmetros!D:D,D45) * AC45 * IF(K45 &gt;= SUMIFS(Parâmetros!V:V,Parâmetros!A:A,A45,Parâmetros!B:B,B45,Parâmetros!D:D,D45),1,0)</f>
        <v>0</v>
      </c>
      <c r="AE45" s="15">
        <f>SUMIFS('Recuperação de Canc e Divs'!D:D,'Recuperação de Canc e Divs'!A:A,A45,'Recuperação de Canc e Divs'!B:B,B45,'Recuperação de Canc e Divs'!C:C,D45)</f>
        <v>0</v>
      </c>
      <c r="AF45" s="16">
        <f>IF(K45&gt;=SUMIFS(Parâmetros!J:J,Parâmetros!A:A,A45,Parâmetros!B:B,B45,Parâmetros!D:D,D45),AE45*0.025,0)</f>
        <v>0</v>
      </c>
      <c r="AG45" s="15" t="str">
        <f t="shared" si="0"/>
        <v/>
      </c>
      <c r="AH45" s="16" t="str">
        <f t="shared" si="1"/>
        <v/>
      </c>
      <c r="AI45" s="90">
        <f t="shared" si="2"/>
        <v>0</v>
      </c>
      <c r="AJ45" s="16" t="str">
        <f t="shared" si="3"/>
        <v/>
      </c>
      <c r="AK45" s="16" t="str">
        <f t="shared" si="4"/>
        <v/>
      </c>
      <c r="AL45" s="90">
        <f t="shared" si="5"/>
        <v>0</v>
      </c>
      <c r="AM45" s="93" t="str">
        <f>IF(AND(OR(B45=3,B45=6,B45=9,B45=12),AI45&gt;=1),
IF(F45="Gestor",AI45*0.6,AI45*0.3),"")</f>
        <v/>
      </c>
      <c r="AN45" s="94" t="str">
        <f>IF(OR(B45=3,B45=6,B45=9,B45=12),
IF(AND(AL45&gt;=1,AI45&gt;=SUMIFS(Parâmetros!G:G,Parâmetros!A:A,Comissões!A45,Parâmetros!B:B,Comissões!B45,Parâmetros!D:D,Comissões!D45,Parâmetros!E:E,Comissões!E45)),AI45*0.3,""),"")</f>
        <v/>
      </c>
    </row>
    <row r="46" spans="1:40" hidden="1">
      <c r="A46" s="7">
        <v>2026</v>
      </c>
      <c r="B46" s="7">
        <v>2</v>
      </c>
      <c r="C46" s="7" t="str">
        <v>Eliane Guinther</v>
      </c>
      <c r="D46" s="7" t="str">
        <v>eliane.guinther@altoqi.com.br</v>
      </c>
      <c r="E46" s="7" t="str">
        <v>FSB</v>
      </c>
      <c r="F46" s="7" t="str">
        <v>Consultor</v>
      </c>
      <c r="G46" s="7" t="str">
        <v>anderson.ortiz@altoqi.com.br</v>
      </c>
      <c r="H46" s="7" t="str">
        <v>MRR</v>
      </c>
      <c r="I46" s="86">
        <f>IF(AND(F46="Consultor",H46="MRR"),SUMIFS(Negócios!L:L,Negócios!A:A,A46,Negócios!B:B,B46,Negócios!P:P,D46),
IF(AND(F46="Consultor",H46="Opps"),SUMIFS('Realizado GD'!D:D,'Realizado GD'!A:A,A46,'Realizado GD'!B:B,B46,'Realizado GD'!C:C,D46),
IF(AND(F46="Gestor",E46="Sonia",H46="MRR"),SUMIFS(I:I,A:A,A46,B:B,B46,G:G,D46) + SUMIFS(I:I,A:A,A46,B:B,B46,G:G,"anderson.ortiz@altoqi.com.br"),
IF(AND(F46="Gestor",H46="MRR"),SUMIFS(I:I,A:A,A46,B:B,B46,G:G,D46)))))</f>
        <v>14094.683649999999</v>
      </c>
      <c r="J46" s="16">
        <f>SUMIFS(Metas!K:K,Metas!A:A,A46,Metas!B:B,B46,Metas!D:D,D46,Metas!H:H,H46)</f>
        <v>9200</v>
      </c>
      <c r="K46" s="10">
        <f t="shared" si="11"/>
        <v>1.532030831521739</v>
      </c>
      <c r="L46" s="26" t="str" cm="1">
        <f t="array" ref="L46">_xlfn.LET(
 _xlpm.g,_xlfn.MAXIFS(Parâmetros!G:G,Parâmetros!A:A,A46,Parâmetros!B:B,B46,Parâmetros!D:D,D46,Parâmetros!E:E,E46),
 _xlpm.j,_xlfn.MAXIFS(Parâmetros!J:J,Parâmetros!A:A,A46,Parâmetros!B:B,B46,Parâmetros!D:D,D46,Parâmetros!E:E,E46),
 _xlpm.m,_xlfn.MAXIFS(Parâmetros!M:M,Parâmetros!A:A,A46,Parâmetros!B:B,B46,Parâmetros!D:D,D46,Parâmetros!E:E,E46),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60,00%</v>
      </c>
      <c r="M46" s="28">
        <f>IF(AND(F46="Gestor",E46="Sonia",H46="MRR"),SUMIFS(M:M,A:A,A46,B:B,B46,G:G,D46) + SUMIFS(M:M,A:A,A46,B:B,B46,G:G,"anderson.ortiz@altoqi.com.br"),
IF(AND(F46="Gestor",H46="MRR"),SUMIFS(M:M,A:A,A46,B:B,B46,G:G,D46),
SUMIFS(Negócios!L:L,Negócios!A:A,A46,Negócios!B:B,B46,Negócios!P:P,D46,Negócios!AG:AG,"À Vista")))</f>
        <v>877.2</v>
      </c>
      <c r="N46" s="10">
        <f t="shared" si="15"/>
        <v>6.2236231885913956E-2</v>
      </c>
      <c r="O46" s="30">
        <f>SUMIFS('Acel Form Pag'!D:D,'Acel Form Pag'!A:A,A46,'Acel Form Pag'!B:B,B46,'Acel Form Pag'!C:C,E46)</f>
        <v>1.3</v>
      </c>
      <c r="P46" s="87">
        <f>IF(AND(F46="Gestor",E46="Sonia",H46="MRR"),SUMIFS(P:P,A:A,A46,B:B,B46,G:G,D46) + SUMIFS(P:P,A:A,A46,B:B,B46,G:G,"anderson.ortiz@altoqi.com.br"),
IF(AND(F46="Gestor",H46="MRR"),SUMIFS(P:P,A:A,A46,B:B,B46,G:G,D46),
SUMIFS(Negócios!L:L,Negócios!A:A,A46,Negócios!B:B,B46,Negócios!P:P,D46,Negócios!AG:AG,"CC 3x")))</f>
        <v>0</v>
      </c>
      <c r="Q46" s="10">
        <f t="shared" si="16"/>
        <v>0</v>
      </c>
      <c r="R46" s="30">
        <f>SUMIFS('Acel Form Pag'!E:E,'Acel Form Pag'!A:A,A46,'Acel Form Pag'!B:B,B46,'Acel Form Pag'!C:C,E46)</f>
        <v>1.2</v>
      </c>
      <c r="S46" s="32">
        <f>IF(AND(F46="Gestor",E46="Sonia",H46="MRR"),SUMIFS(S:S,A:A,A46,B:B,B46,G:G,D46) + SUMIFS(S:S,A:A,A46,B:B,B46,G:G,"anderson.ortiz@altoqi.com.br"),
IF(AND(F46="Gestor",H46="MRR"),SUMIFS(S:S,A:A,A46,B:B,B46,G:G,D46),
SUMIFS(Negócios!L:L,Negócios!A:A,A46,Negócios!B:B,B46,Negócios!P:P,D46,Negócios!AG:AG,"CC 12x")))</f>
        <v>8632.4026499999982</v>
      </c>
      <c r="T46" s="10">
        <f t="shared" si="17"/>
        <v>0.61245806322158913</v>
      </c>
      <c r="U46" s="30">
        <f>SUMIFS('Acel Form Pag'!F:F,'Acel Form Pag'!A:A,A46,'Acel Form Pag'!B:B,B46,'Acel Form Pag'!C:C,E46)</f>
        <v>1.1499999999999999</v>
      </c>
      <c r="V46" s="32">
        <f>IF(AND(F46="Gestor",E46="Sonia",H46="MRR"),SUMIFS(V:V,A:A,A46,B:B,B46,G:G,D46) + SUMIFS(V:V,A:A,A46,B:B,B46,G:G,"anderson.ortiz@altoqi.com.br"),
IF(AND(F46="Gestor",H46="MRR"),SUMIFS(V:V,A:A,A46,B:B,B46,G:G,D46),
SUMIFS(Negócios!L:L,Negócios!A:A,A46,Negócios!B:B,B46,Negócios!P:P,D46,Negócios!AG:AG,"Recorrente")))</f>
        <v>4585.0810000000001</v>
      </c>
      <c r="W46" s="10">
        <f t="shared" si="19"/>
        <v>0.32530570489249688</v>
      </c>
      <c r="X46" s="34">
        <f>SUMIFS('Acel Form Pag'!G:G,'Acel Form Pag'!A:A,A46,'Acel Form Pag'!B:B,B46,'Acel Form Pag'!C:C,E46)</f>
        <v>0.9</v>
      </c>
      <c r="Y46" s="24">
        <f>MAX(_xlfn.MAXIFS(Parâmetros!O:O,Parâmetros!A:A,A46,Parâmetros!B:B,B46,Parâmetros!D:D,D46,Parâmetros!M:M,"&lt;="&amp;K46),_xlfn.MAXIFS(Parâmetros!L:L,Parâmetros!A:A,A46,Parâmetros!B:B,B46,Parâmetros!D:D,D46,Parâmetros!J:J,"&lt;="&amp;K46),_xlfn.MAXIFS(Parâmetros!I:I,Parâmetros!A:A,A46,Parâmetros!B:B,B46,Parâmetros!D:D,D46))</f>
        <v>3240</v>
      </c>
      <c r="Z46" s="9">
        <f>MAX(_xlfn.MAXIFS(Parâmetros!Q:Q,Parâmetros!A:A,A46,Parâmetros!B:B,B46,Parâmetros!D:D,D46,Parâmetros!E:E,E46,Parâmetros!P:P,"&lt;="&amp;K46),
_xlfn.MAXIFS(Parâmetros!S:S,Parâmetros!A:A,A46,Parâmetros!B:B,B46,Parâmetros!D:D,D46,Parâmetros!E:E,E46,Parâmetros!R:R,"&lt;="&amp;K46),
_xlfn.MAXIFS(Parâmetros!U:U,Parâmetros!A:A,A46,Parâmetros!B:B,B46,Parâmetros!D:D,D46,Parâmetros!E:E,E46,Parâmetros!T:T,"&lt;="&amp;K46),1) * IF(K46 &gt;= SUMIFS(Parâmetros!G:G,Parâmetros!A:A,A46,Parâmetros!B:B,B46,Parâmetros!D:D,D46,Parâmetros!E:E,E46),1,0)</f>
        <v>1.25</v>
      </c>
      <c r="AA46" s="16">
        <f>Y46*Z46*K46</f>
        <v>6204.7248676630434</v>
      </c>
      <c r="AB46" s="16">
        <f>(AA46*N46*O46) + (AA46*Q46*R46) + (AA46*T46*U46) + (AA46*W46*X46)</f>
        <v>6688.7493029755424</v>
      </c>
      <c r="AC46" s="15">
        <f>IF(F46="Gestor",SUMIFS(AC:AC,A:A,A46,B:B,B46,G:G,D46),
IF(E46="Saving",SUMIFS(Negócios!I:I,Negócios!A:A,A46,Negócios!B:B,B46,Negócios!P:P,D46,Negócios!H:H,"Curso") +
SUMIFS(Negócios!I:I,Negócios!A:A,A46,Negócios!B:B,B46,Negócios!P:P,D46,Negócios!H:H,"Serviço") +
SUMIFS(Negócios!I:I,Negócios!A:A,A46,Negócios!B:B,B46,Negócios!P:P,D46,Negócios!H:H,"Implantação"),
SUMIFS(Negócios!I:I,Negócios!A:A,A46,Negócios!B:B,B46,Negócios!P:P,D46,Negócios!H:H,"Implantação")))</f>
        <v>0</v>
      </c>
      <c r="AD46" s="16">
        <f>SUMIFS(Parâmetros!W:W,Parâmetros!A:A,A46,Parâmetros!B:B,B46,Parâmetros!D:D,D46) * AC46 * IF(K46 &gt;= SUMIFS(Parâmetros!V:V,Parâmetros!A:A,A46,Parâmetros!B:B,B46,Parâmetros!D:D,D46),1,0)</f>
        <v>0</v>
      </c>
      <c r="AE46" s="15">
        <f>SUMIFS('Recuperação de Canc e Divs'!D:D,'Recuperação de Canc e Divs'!A:A,A46,'Recuperação de Canc e Divs'!B:B,B46,'Recuperação de Canc e Divs'!C:C,D46)</f>
        <v>0</v>
      </c>
      <c r="AF46" s="16">
        <f>IF(K46&gt;=SUMIFS(Parâmetros!J:J,Parâmetros!A:A,A46,Parâmetros!B:B,B46,Parâmetros!D:D,D46),AE46*0.025,0)</f>
        <v>0</v>
      </c>
      <c r="AG46" s="15" t="str">
        <f t="shared" si="0"/>
        <v/>
      </c>
      <c r="AH46" s="16" t="str">
        <f t="shared" si="1"/>
        <v/>
      </c>
      <c r="AI46" s="90">
        <f t="shared" si="2"/>
        <v>0</v>
      </c>
      <c r="AJ46" s="16" t="str">
        <f t="shared" si="3"/>
        <v/>
      </c>
      <c r="AK46" s="16" t="str">
        <f t="shared" si="4"/>
        <v/>
      </c>
      <c r="AL46" s="90">
        <f t="shared" si="5"/>
        <v>0</v>
      </c>
      <c r="AM46" s="93" t="str">
        <f>IF(AND(OR(B46=3,B46=6,B46=9,B46=12),AI46&gt;=1),
IF(F46="Gestor",AI46*0.6,AI46*0.3),"")</f>
        <v/>
      </c>
      <c r="AN46" s="94" t="str">
        <f>IF(OR(B46=3,B46=6,B46=9,B46=12),
IF(AND(AL46&gt;=1,AI46&gt;=SUMIFS(Parâmetros!G:G,Parâmetros!A:A,Comissões!A46,Parâmetros!B:B,Comissões!B46,Parâmetros!D:D,Comissões!D46,Parâmetros!E:E,Comissões!E46)),AI46*0.3,""),"")</f>
        <v/>
      </c>
    </row>
    <row r="47" spans="1:40" hidden="1">
      <c r="A47" s="7">
        <v>2026</v>
      </c>
      <c r="B47" s="7">
        <v>2</v>
      </c>
      <c r="C47" s="7" t="str">
        <v>Renata Scheffer</v>
      </c>
      <c r="D47" s="7" t="str">
        <v>renata.scheffer@altoqi.com.br</v>
      </c>
      <c r="E47" s="7" t="str">
        <v>FSB</v>
      </c>
      <c r="F47" s="7" t="str">
        <v>Consultor</v>
      </c>
      <c r="G47" s="7" t="str">
        <v>anderson.ortiz@altoqi.com.br</v>
      </c>
      <c r="H47" s="7" t="str">
        <v>MRR</v>
      </c>
      <c r="I47" s="86">
        <f>IF(AND(F47="Consultor",H47="MRR"),SUMIFS(Negócios!L:L,Negócios!A:A,A47,Negócios!B:B,B47,Negócios!P:P,D47),
IF(AND(F47="Consultor",H47="Opps"),SUMIFS('Realizado GD'!D:D,'Realizado GD'!A:A,A47,'Realizado GD'!B:B,B47,'Realizado GD'!C:C,D47),
IF(AND(F47="Gestor",E47="Sonia",H47="MRR"),SUMIFS(I:I,A:A,A47,B:B,B47,G:G,D47) + SUMIFS(I:I,A:A,A47,B:B,B47,G:G,"anderson.ortiz@altoqi.com.br"),
IF(AND(F47="Gestor",H47="MRR"),SUMIFS(I:I,A:A,A47,B:B,B47,G:G,D47)))))</f>
        <v>14315.386100000005</v>
      </c>
      <c r="J47" s="16">
        <f>SUMIFS(Metas!K:K,Metas!A:A,A47,Metas!B:B,B47,Metas!D:D,D47,Metas!H:H,H47)</f>
        <v>4600</v>
      </c>
      <c r="K47" s="10">
        <f t="shared" si="11"/>
        <v>3.1120404565217403</v>
      </c>
      <c r="L47" s="26" t="str" cm="1">
        <f t="array" ref="L47">_xlfn.LET(
 _xlpm.g,_xlfn.MAXIFS(Parâmetros!G:G,Parâmetros!A:A,A47,Parâmetros!B:B,B47,Parâmetros!D:D,D47,Parâmetros!E:E,E47),
 _xlpm.j,_xlfn.MAXIFS(Parâmetros!J:J,Parâmetros!A:A,A47,Parâmetros!B:B,B47,Parâmetros!D:D,D47,Parâmetros!E:E,E47),
 _xlpm.m,_xlfn.MAXIFS(Parâmetros!M:M,Parâmetros!A:A,A47,Parâmetros!B:B,B47,Parâmetros!D:D,D47,Parâmetros!E:E,E47),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60,00%</v>
      </c>
      <c r="M47" s="28">
        <f>IF(AND(F47="Gestor",E47="Sonia",H47="MRR"),SUMIFS(M:M,A:A,A47,B:B,B47,G:G,D47) + SUMIFS(M:M,A:A,A47,B:B,B47,G:G,"anderson.ortiz@altoqi.com.br"),
IF(AND(F47="Gestor",H47="MRR"),SUMIFS(M:M,A:A,A47,B:B,B47,G:G,D47),
SUMIFS(Negócios!L:L,Negócios!A:A,A47,Negócios!B:B,B47,Negócios!P:P,D47,Negócios!AG:AG,"À Vista")))</f>
        <v>755.3501</v>
      </c>
      <c r="N47" s="10">
        <f t="shared" si="15"/>
        <v>5.2764912851355067E-2</v>
      </c>
      <c r="O47" s="30">
        <f>SUMIFS('Acel Form Pag'!D:D,'Acel Form Pag'!A:A,A47,'Acel Form Pag'!B:B,B47,'Acel Form Pag'!C:C,E47)</f>
        <v>1.3</v>
      </c>
      <c r="P47" s="87">
        <f>IF(AND(F47="Gestor",E47="Sonia",H47="MRR"),SUMIFS(P:P,A:A,A47,B:B,B47,G:G,D47) + SUMIFS(P:P,A:A,A47,B:B,B47,G:G,"anderson.ortiz@altoqi.com.br"),
IF(AND(F47="Gestor",H47="MRR"),SUMIFS(P:P,A:A,A47,B:B,B47,G:G,D47),
SUMIFS(Negócios!L:L,Negócios!A:A,A47,Negócios!B:B,B47,Negócios!P:P,D47,Negócios!AG:AG,"CC 3x")))</f>
        <v>0</v>
      </c>
      <c r="Q47" s="10">
        <f t="shared" si="16"/>
        <v>0</v>
      </c>
      <c r="R47" s="30">
        <f>SUMIFS('Acel Form Pag'!E:E,'Acel Form Pag'!A:A,A47,'Acel Form Pag'!B:B,B47,'Acel Form Pag'!C:C,E47)</f>
        <v>1.2</v>
      </c>
      <c r="S47" s="32">
        <f>IF(AND(F47="Gestor",E47="Sonia",H47="MRR"),SUMIFS(S:S,A:A,A47,B:B,B47,G:G,D47) + SUMIFS(S:S,A:A,A47,B:B,B47,G:G,"anderson.ortiz@altoqi.com.br"),
IF(AND(F47="Gestor",H47="MRR"),SUMIFS(S:S,A:A,A47,B:B,B47,G:G,D47),
SUMIFS(Negócios!L:L,Negócios!A:A,A47,Negócios!B:B,B47,Negócios!P:P,D47,Negócios!AG:AG,"CC 12x")))</f>
        <v>5290.34</v>
      </c>
      <c r="T47" s="10">
        <f t="shared" si="17"/>
        <v>0.36955622174940839</v>
      </c>
      <c r="U47" s="30">
        <f>SUMIFS('Acel Form Pag'!F:F,'Acel Form Pag'!A:A,A47,'Acel Form Pag'!B:B,B47,'Acel Form Pag'!C:C,E47)</f>
        <v>1.1499999999999999</v>
      </c>
      <c r="V47" s="32">
        <f>IF(AND(F47="Gestor",E47="Sonia",H47="MRR"),SUMIFS(V:V,A:A,A47,B:B,B47,G:G,D47) + SUMIFS(V:V,A:A,A47,B:B,B47,G:G,"anderson.ortiz@altoqi.com.br"),
IF(AND(F47="Gestor",H47="MRR"),SUMIFS(V:V,A:A,A47,B:B,B47,G:G,D47),
SUMIFS(Negócios!L:L,Negócios!A:A,A47,Negócios!B:B,B47,Negócios!P:P,D47,Negócios!AG:AG,"Recorrente")))</f>
        <v>8269.6959999999999</v>
      </c>
      <c r="W47" s="10">
        <f t="shared" si="19"/>
        <v>0.57767886539923619</v>
      </c>
      <c r="X47" s="34">
        <f>SUMIFS('Acel Form Pag'!G:G,'Acel Form Pag'!A:A,A47,'Acel Form Pag'!B:B,B47,'Acel Form Pag'!C:C,E47)</f>
        <v>0.9</v>
      </c>
      <c r="Y47" s="24">
        <f>MAX(_xlfn.MAXIFS(Parâmetros!O:O,Parâmetros!A:A,A47,Parâmetros!B:B,B47,Parâmetros!D:D,D47,Parâmetros!M:M,"&lt;="&amp;K47),_xlfn.MAXIFS(Parâmetros!L:L,Parâmetros!A:A,A47,Parâmetros!B:B,B47,Parâmetros!D:D,D47,Parâmetros!J:J,"&lt;="&amp;K47),_xlfn.MAXIFS(Parâmetros!I:I,Parâmetros!A:A,A47,Parâmetros!B:B,B47,Parâmetros!D:D,D47))</f>
        <v>1620</v>
      </c>
      <c r="Z47" s="9">
        <f>MAX(_xlfn.MAXIFS(Parâmetros!Q:Q,Parâmetros!A:A,A47,Parâmetros!B:B,B47,Parâmetros!D:D,D47,Parâmetros!E:E,E47,Parâmetros!P:P,"&lt;="&amp;K47),
_xlfn.MAXIFS(Parâmetros!S:S,Parâmetros!A:A,A47,Parâmetros!B:B,B47,Parâmetros!D:D,D47,Parâmetros!E:E,E47,Parâmetros!R:R,"&lt;="&amp;K47),
_xlfn.MAXIFS(Parâmetros!U:U,Parâmetros!A:A,A47,Parâmetros!B:B,B47,Parâmetros!D:D,D47,Parâmetros!E:E,E47,Parâmetros!T:T,"&lt;="&amp;K47),1) * IF(K47 &gt;= SUMIFS(Parâmetros!G:G,Parâmetros!A:A,A47,Parâmetros!B:B,B47,Parâmetros!D:D,D47,Parâmetros!E:E,E47),1,0)</f>
        <v>1.25</v>
      </c>
      <c r="AA47" s="16">
        <f>Y47*Z47*K47</f>
        <v>6301.8819244565238</v>
      </c>
      <c r="AB47" s="16">
        <f>(AA47*N47*O47) + (AA47*Q47*R47) + (AA47*T47*U47) + (AA47*W47*X47)</f>
        <v>6386.9259507065217</v>
      </c>
      <c r="AC47" s="15">
        <f>IF(F47="Gestor",SUMIFS(AC:AC,A:A,A47,B:B,B47,G:G,D47),
IF(E47="Saving",SUMIFS(Negócios!I:I,Negócios!A:A,A47,Negócios!B:B,B47,Negócios!P:P,D47,Negócios!H:H,"Curso") +
SUMIFS(Negócios!I:I,Negócios!A:A,A47,Negócios!B:B,B47,Negócios!P:P,D47,Negócios!H:H,"Serviço") +
SUMIFS(Negócios!I:I,Negócios!A:A,A47,Negócios!B:B,B47,Negócios!P:P,D47,Negócios!H:H,"Implantação"),
SUMIFS(Negócios!I:I,Negócios!A:A,A47,Negócios!B:B,B47,Negócios!P:P,D47,Negócios!H:H,"Implantação")))</f>
        <v>0</v>
      </c>
      <c r="AD47" s="16">
        <f>SUMIFS(Parâmetros!W:W,Parâmetros!A:A,A47,Parâmetros!B:B,B47,Parâmetros!D:D,D47) * AC47 * IF(K47 &gt;= SUMIFS(Parâmetros!V:V,Parâmetros!A:A,A47,Parâmetros!B:B,B47,Parâmetros!D:D,D47),1,0)</f>
        <v>0</v>
      </c>
      <c r="AE47" s="15">
        <f>SUMIFS('Recuperação de Canc e Divs'!D:D,'Recuperação de Canc e Divs'!A:A,A47,'Recuperação de Canc e Divs'!B:B,B47,'Recuperação de Canc e Divs'!C:C,D47)</f>
        <v>0</v>
      </c>
      <c r="AF47" s="16">
        <f>IF(K47&gt;=SUMIFS(Parâmetros!J:J,Parâmetros!A:A,A47,Parâmetros!B:B,B47,Parâmetros!D:D,D47),AE47*0.025,0)</f>
        <v>0</v>
      </c>
      <c r="AG47" s="15" t="str">
        <f t="shared" si="0"/>
        <v/>
      </c>
      <c r="AH47" s="16" t="str">
        <f t="shared" si="1"/>
        <v/>
      </c>
      <c r="AI47" s="90">
        <f t="shared" si="2"/>
        <v>0</v>
      </c>
      <c r="AJ47" s="16" t="str">
        <f t="shared" si="3"/>
        <v/>
      </c>
      <c r="AK47" s="16" t="str">
        <f t="shared" si="4"/>
        <v/>
      </c>
      <c r="AL47" s="90">
        <f t="shared" si="5"/>
        <v>0</v>
      </c>
      <c r="AM47" s="93" t="str">
        <f>IF(AND(OR(B47=3,B47=6,B47=9,B47=12),AI47&gt;=1),
IF(F47="Gestor",AI47*0.6,AI47*0.3),"")</f>
        <v/>
      </c>
      <c r="AN47" s="94" t="str">
        <f>IF(OR(B47=3,B47=6,B47=9,B47=12),
IF(AND(AL47&gt;=1,AI47&gt;=SUMIFS(Parâmetros!G:G,Parâmetros!A:A,Comissões!A47,Parâmetros!B:B,Comissões!B47,Parâmetros!D:D,Comissões!D47,Parâmetros!E:E,Comissões!E47)),AI47*0.3,""),"")</f>
        <v/>
      </c>
    </row>
    <row r="48" spans="1:40" hidden="1">
      <c r="A48" s="7">
        <v>2026</v>
      </c>
      <c r="B48" s="7">
        <v>2</v>
      </c>
      <c r="C48" s="7" t="str">
        <v>Susana Alves Becker</v>
      </c>
      <c r="D48" s="7" t="str">
        <v>susana.becker@altoqi.com.br</v>
      </c>
      <c r="E48" s="7" t="str">
        <v>FSB</v>
      </c>
      <c r="F48" s="7" t="str">
        <v>Consultor</v>
      </c>
      <c r="G48" s="7" t="str">
        <v>anderson.ortiz@altoqi.com.br</v>
      </c>
      <c r="H48" s="7" t="str">
        <v>MRR</v>
      </c>
      <c r="I48" s="86">
        <f>IF(AND(F48="Consultor",H48="MRR"),SUMIFS(Negócios!L:L,Negócios!A:A,A48,Negócios!B:B,B48,Negócios!P:P,D48),
IF(AND(F48="Consultor",H48="Opps"),SUMIFS('Realizado GD'!D:D,'Realizado GD'!A:A,A48,'Realizado GD'!B:B,B48,'Realizado GD'!C:C,D48),
IF(AND(F48="Gestor",E48="Sonia",H48="MRR"),SUMIFS(I:I,A:A,A48,B:B,B48,G:G,D48) + SUMIFS(I:I,A:A,A48,B:B,B48,G:G,"anderson.ortiz@altoqi.com.br"),
IF(AND(F48="Gestor",H48="MRR"),SUMIFS(I:I,A:A,A48,B:B,B48,G:G,D48)))))</f>
        <v>12534.505000000003</v>
      </c>
      <c r="J48" s="16">
        <f>SUMIFS(Metas!K:K,Metas!A:A,A48,Metas!B:B,B48,Metas!D:D,D48,Metas!H:H,H48)</f>
        <v>10120</v>
      </c>
      <c r="K48" s="10">
        <f t="shared" si="11"/>
        <v>1.2385874505928856</v>
      </c>
      <c r="L48" s="26" t="str" cm="1">
        <f t="array" ref="L48">_xlfn.LET(
 _xlpm.g,_xlfn.MAXIFS(Parâmetros!G:G,Parâmetros!A:A,A48,Parâmetros!B:B,B48,Parâmetros!D:D,D48,Parâmetros!E:E,E48),
 _xlpm.j,_xlfn.MAXIFS(Parâmetros!J:J,Parâmetros!A:A,A48,Parâmetros!B:B,B48,Parâmetros!D:D,D48,Parâmetros!E:E,E48),
 _xlpm.m,_xlfn.MAXIFS(Parâmetros!M:M,Parâmetros!A:A,A48,Parâmetros!B:B,B48,Parâmetros!D:D,D48,Parâmetros!E:E,E48),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60,00%</v>
      </c>
      <c r="M48" s="28">
        <f>IF(AND(F48="Gestor",E48="Sonia",H48="MRR"),SUMIFS(M:M,A:A,A48,B:B,B48,G:G,D48) + SUMIFS(M:M,A:A,A48,B:B,B48,G:G,"anderson.ortiz@altoqi.com.br"),
IF(AND(F48="Gestor",H48="MRR"),SUMIFS(M:M,A:A,A48,B:B,B48,G:G,D48),
SUMIFS(Negócios!L:L,Negócios!A:A,A48,Negócios!B:B,B48,Negócios!P:P,D48,Negócios!AG:AG,"À Vista")))</f>
        <v>305.42</v>
      </c>
      <c r="N48" s="10">
        <f t="shared" si="15"/>
        <v>2.4366339157389935E-2</v>
      </c>
      <c r="O48" s="30">
        <f>SUMIFS('Acel Form Pag'!D:D,'Acel Form Pag'!A:A,A48,'Acel Form Pag'!B:B,B48,'Acel Form Pag'!C:C,E48)</f>
        <v>1.3</v>
      </c>
      <c r="P48" s="87">
        <f>IF(AND(F48="Gestor",E48="Sonia",H48="MRR"),SUMIFS(P:P,A:A,A48,B:B,B48,G:G,D48) + SUMIFS(P:P,A:A,A48,B:B,B48,G:G,"anderson.ortiz@altoqi.com.br"),
IF(AND(F48="Gestor",H48="MRR"),SUMIFS(P:P,A:A,A48,B:B,B48,G:G,D48),
SUMIFS(Negócios!L:L,Negócios!A:A,A48,Negócios!B:B,B48,Negócios!P:P,D48,Negócios!AG:AG,"CC 3x")))</f>
        <v>0</v>
      </c>
      <c r="Q48" s="10">
        <f t="shared" si="16"/>
        <v>0</v>
      </c>
      <c r="R48" s="30">
        <f>SUMIFS('Acel Form Pag'!E:E,'Acel Form Pag'!A:A,A48,'Acel Form Pag'!B:B,B48,'Acel Form Pag'!C:C,E48)</f>
        <v>1.2</v>
      </c>
      <c r="S48" s="32">
        <f>IF(AND(F48="Gestor",E48="Sonia",H48="MRR"),SUMIFS(S:S,A:A,A48,B:B,B48,G:G,D48) + SUMIFS(S:S,A:A,A48,B:B,B48,G:G,"anderson.ortiz@altoqi.com.br"),
IF(AND(F48="Gestor",H48="MRR"),SUMIFS(S:S,A:A,A48,B:B,B48,G:G,D48),
SUMIFS(Negócios!L:L,Negócios!A:A,A48,Negócios!B:B,B48,Negócios!P:P,D48,Negócios!AG:AG,"CC 12x")))</f>
        <v>6255.585</v>
      </c>
      <c r="T48" s="10">
        <f t="shared" si="17"/>
        <v>0.49906916946460977</v>
      </c>
      <c r="U48" s="30">
        <f>SUMIFS('Acel Form Pag'!F:F,'Acel Form Pag'!A:A,A48,'Acel Form Pag'!B:B,B48,'Acel Form Pag'!C:C,E48)</f>
        <v>1.1499999999999999</v>
      </c>
      <c r="V48" s="32">
        <f>IF(AND(F48="Gestor",E48="Sonia",H48="MRR"),SUMIFS(V:V,A:A,A48,B:B,B48,G:G,D48) + SUMIFS(V:V,A:A,A48,B:B,B48,G:G,"anderson.ortiz@altoqi.com.br"),
IF(AND(F48="Gestor",H48="MRR"),SUMIFS(V:V,A:A,A48,B:B,B48,G:G,D48),
SUMIFS(Negócios!L:L,Negócios!A:A,A48,Negócios!B:B,B48,Negócios!P:P,D48,Negócios!AG:AG,"Recorrente")))</f>
        <v>5973.5</v>
      </c>
      <c r="W48" s="10">
        <f t="shared" si="19"/>
        <v>0.47656449137800005</v>
      </c>
      <c r="X48" s="34">
        <f>SUMIFS('Acel Form Pag'!G:G,'Acel Form Pag'!A:A,A48,'Acel Form Pag'!B:B,B48,'Acel Form Pag'!C:C,E48)</f>
        <v>0.9</v>
      </c>
      <c r="Y48" s="24">
        <f>MAX(_xlfn.MAXIFS(Parâmetros!O:O,Parâmetros!A:A,A48,Parâmetros!B:B,B48,Parâmetros!D:D,D48,Parâmetros!M:M,"&lt;="&amp;K48),_xlfn.MAXIFS(Parâmetros!L:L,Parâmetros!A:A,A48,Parâmetros!B:B,B48,Parâmetros!D:D,D48,Parâmetros!J:J,"&lt;="&amp;K48),_xlfn.MAXIFS(Parâmetros!I:I,Parâmetros!A:A,A48,Parâmetros!B:B,B48,Parâmetros!D:D,D48))</f>
        <v>3960</v>
      </c>
      <c r="Z48" s="9">
        <f>MAX(_xlfn.MAXIFS(Parâmetros!Q:Q,Parâmetros!A:A,A48,Parâmetros!B:B,B48,Parâmetros!D:D,D48,Parâmetros!E:E,E48,Parâmetros!P:P,"&lt;="&amp;K48),
_xlfn.MAXIFS(Parâmetros!S:S,Parâmetros!A:A,A48,Parâmetros!B:B,B48,Parâmetros!D:D,D48,Parâmetros!E:E,E48,Parâmetros!R:R,"&lt;="&amp;K48),
_xlfn.MAXIFS(Parâmetros!U:U,Parâmetros!A:A,A48,Parâmetros!B:B,B48,Parâmetros!D:D,D48,Parâmetros!E:E,E48,Parâmetros!T:T,"&lt;="&amp;K48),1) * IF(K48 &gt;= SUMIFS(Parâmetros!G:G,Parâmetros!A:A,A48,Parâmetros!B:B,B48,Parâmetros!D:D,D48,Parâmetros!E:E,E48),1,0)</f>
        <v>1.25</v>
      </c>
      <c r="AA48" s="16">
        <f>Y48*Z48*K48</f>
        <v>6131.0078804347831</v>
      </c>
      <c r="AB48" s="16">
        <f>(AA48*N48*O48) + (AA48*Q48*R48) + (AA48*T48*U48) + (AA48*W48*X48)</f>
        <v>6342.6124320652161</v>
      </c>
      <c r="AC48" s="15">
        <f>IF(F48="Gestor",SUMIFS(AC:AC,A:A,A48,B:B,B48,G:G,D48),
IF(E48="Saving",SUMIFS(Negócios!I:I,Negócios!A:A,A48,Negócios!B:B,B48,Negócios!P:P,D48,Negócios!H:H,"Curso") +
SUMIFS(Negócios!I:I,Negócios!A:A,A48,Negócios!B:B,B48,Negócios!P:P,D48,Negócios!H:H,"Serviço") +
SUMIFS(Negócios!I:I,Negócios!A:A,A48,Negócios!B:B,B48,Negócios!P:P,D48,Negócios!H:H,"Implantação"),
SUMIFS(Negócios!I:I,Negócios!A:A,A48,Negócios!B:B,B48,Negócios!P:P,D48,Negócios!H:H,"Implantação")))</f>
        <v>0</v>
      </c>
      <c r="AD48" s="16">
        <f>SUMIFS(Parâmetros!W:W,Parâmetros!A:A,A48,Parâmetros!B:B,B48,Parâmetros!D:D,D48) * AC48 * IF(K48 &gt;= SUMIFS(Parâmetros!V:V,Parâmetros!A:A,A48,Parâmetros!B:B,B48,Parâmetros!D:D,D48),1,0)</f>
        <v>0</v>
      </c>
      <c r="AE48" s="15">
        <f>SUMIFS('Recuperação de Canc e Divs'!D:D,'Recuperação de Canc e Divs'!A:A,A48,'Recuperação de Canc e Divs'!B:B,B48,'Recuperação de Canc e Divs'!C:C,D48)</f>
        <v>0</v>
      </c>
      <c r="AF48" s="16">
        <f>IF(K48&gt;=SUMIFS(Parâmetros!J:J,Parâmetros!A:A,A48,Parâmetros!B:B,B48,Parâmetros!D:D,D48),AE48*0.025,0)</f>
        <v>0</v>
      </c>
      <c r="AG48" s="15" t="str">
        <f t="shared" si="0"/>
        <v/>
      </c>
      <c r="AH48" s="16" t="str">
        <f t="shared" si="1"/>
        <v/>
      </c>
      <c r="AI48" s="90">
        <f t="shared" si="2"/>
        <v>0</v>
      </c>
      <c r="AJ48" s="16" t="str">
        <f t="shared" si="3"/>
        <v/>
      </c>
      <c r="AK48" s="16" t="str">
        <f t="shared" si="4"/>
        <v/>
      </c>
      <c r="AL48" s="90">
        <f t="shared" si="5"/>
        <v>0</v>
      </c>
      <c r="AM48" s="93" t="str">
        <f>IF(AND(OR(B48=3,B48=6,B48=9,B48=12),AI48&gt;=1),
IF(F48="Gestor",AI48*0.6,AI48*0.3),"")</f>
        <v/>
      </c>
      <c r="AN48" s="94" t="str">
        <f>IF(OR(B48=3,B48=6,B48=9,B48=12),
IF(AND(AL48&gt;=1,AI48&gt;=SUMIFS(Parâmetros!G:G,Parâmetros!A:A,Comissões!A48,Parâmetros!B:B,Comissões!B48,Parâmetros!D:D,Comissões!D48,Parâmetros!E:E,Comissões!E48)),AI48*0.3,""),"")</f>
        <v/>
      </c>
    </row>
    <row r="49" spans="1:40" hidden="1">
      <c r="A49" s="7">
        <v>2026</v>
      </c>
      <c r="B49" s="7">
        <v>2</v>
      </c>
      <c r="C49" s="7" t="str">
        <v>Beatriz Nau</v>
      </c>
      <c r="D49" s="7" t="str">
        <v>beatriz@altoqi.com.br</v>
      </c>
      <c r="E49" s="7" t="str">
        <v>Saving</v>
      </c>
      <c r="F49" s="7" t="str">
        <v>Gestor</v>
      </c>
      <c r="G49" s="7">
        <v>0</v>
      </c>
      <c r="H49" s="7" t="str">
        <v>MRR</v>
      </c>
      <c r="I49" s="86">
        <f>IF(AND(F49="Consultor",H49="MRR"),SUMIFS(Negócios!L:L,Negócios!A:A,A49,Negócios!B:B,B49,Negócios!P:P,D49),
IF(AND(F49="Consultor",H49="Opps"),SUMIFS('Realizado GD'!D:D,'Realizado GD'!A:A,A49,'Realizado GD'!B:B,B49,'Realizado GD'!C:C,D49),
IF(AND(F49="Gestor",E49="Sonia",H49="MRR"),SUMIFS(I:I,A:A,A49,B:B,B49,G:G,D49) + SUMIFS(I:I,A:A,A49,B:B,B49,G:G,"anderson.ortiz@altoqi.com.br"),
IF(AND(F49="Gestor",H49="MRR"),SUMIFS(I:I,A:A,A49,B:B,B49,G:G,D49)))))</f>
        <v>169623.67950999996</v>
      </c>
      <c r="J49" s="16">
        <f>SUMIFS(Metas!K:K,Metas!A:A,A49,Metas!B:B,B49,Metas!D:D,D49,Metas!H:H,H49)</f>
        <v>92887</v>
      </c>
      <c r="K49" s="10">
        <f t="shared" si="11"/>
        <v>1.8261293777385421</v>
      </c>
      <c r="L49" s="26" t="str" cm="1">
        <f t="array" ref="L49">_xlfn.LET(
 _xlpm.g,_xlfn.MAXIFS(Parâmetros!G:G,Parâmetros!A:A,A49,Parâmetros!B:B,B49,Parâmetros!D:D,D49,Parâmetros!E:E,E49),
 _xlpm.j,_xlfn.MAXIFS(Parâmetros!J:J,Parâmetros!A:A,A49,Parâmetros!B:B,B49,Parâmetros!D:D,D49,Parâmetros!E:E,E49),
 _xlpm.m,_xlfn.MAXIFS(Parâmetros!M:M,Parâmetros!A:A,A49,Parâmetros!B:B,B49,Parâmetros!D:D,D49,Parâmetros!E:E,E49),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60,00% | 75,00% | 100,00%</v>
      </c>
      <c r="M49" s="28">
        <f>IF(AND(F49="Gestor",E49="Sonia",H49="MRR"),SUMIFS(M:M,A:A,A49,B:B,B49,G:G,D49) + SUMIFS(M:M,A:A,A49,B:B,B49,G:G,"anderson.ortiz@altoqi.com.br"),
IF(AND(F49="Gestor",H49="MRR"),SUMIFS(M:M,A:A,A49,B:B,B49,G:G,D49),
SUMIFS(Negócios!L:L,Negócios!A:A,A49,Negócios!B:B,B49,Negócios!P:P,D49,Negócios!AG:AG,"À Vista")))</f>
        <v>29343.63121</v>
      </c>
      <c r="N49" s="10">
        <f t="shared" si="15"/>
        <v>0.17299254027955502</v>
      </c>
      <c r="O49" s="30">
        <f>SUMIFS('Acel Form Pag'!D:D,'Acel Form Pag'!A:A,A49,'Acel Form Pag'!B:B,B49,'Acel Form Pag'!C:C,E49)</f>
        <v>1.2</v>
      </c>
      <c r="P49" s="87">
        <f>IF(AND(F49="Gestor",E49="Sonia",H49="MRR"),SUMIFS(P:P,A:A,A49,B:B,B49,G:G,D49) + SUMIFS(P:P,A:A,A49,B:B,B49,G:G,"anderson.ortiz@altoqi.com.br"),
IF(AND(F49="Gestor",H49="MRR"),SUMIFS(P:P,A:A,A49,B:B,B49,G:G,D49),
SUMIFS(Negócios!L:L,Negócios!A:A,A49,Negócios!B:B,B49,Negócios!P:P,D49,Negócios!AG:AG,"CC 3x")))</f>
        <v>842.11</v>
      </c>
      <c r="Q49" s="10">
        <f t="shared" si="16"/>
        <v>4.9645780732539436E-3</v>
      </c>
      <c r="R49" s="30">
        <f>SUMIFS('Acel Form Pag'!E:E,'Acel Form Pag'!A:A,A49,'Acel Form Pag'!B:B,B49,'Acel Form Pag'!C:C,E49)</f>
        <v>1.1499999999999999</v>
      </c>
      <c r="S49" s="32">
        <f>IF(AND(F49="Gestor",E49="Sonia",H49="MRR"),SUMIFS(S:S,A:A,A49,B:B,B49,G:G,D49) + SUMIFS(S:S,A:A,A49,B:B,B49,G:G,"anderson.ortiz@altoqi.com.br"),
IF(AND(F49="Gestor",H49="MRR"),SUMIFS(S:S,A:A,A49,B:B,B49,G:G,D49),
SUMIFS(Negócios!L:L,Negócios!A:A,A49,Negócios!B:B,B49,Negócios!P:P,D49,Negócios!AG:AG,"CC 12x")))</f>
        <v>63377.2883</v>
      </c>
      <c r="T49" s="10">
        <f t="shared" si="17"/>
        <v>0.37363467461076783</v>
      </c>
      <c r="U49" s="30">
        <f>SUMIFS('Acel Form Pag'!F:F,'Acel Form Pag'!A:A,A49,'Acel Form Pag'!B:B,B49,'Acel Form Pag'!C:C,E49)</f>
        <v>1.1000000000000001</v>
      </c>
      <c r="V49" s="32">
        <f>IF(AND(F49="Gestor",E49="Sonia",H49="MRR"),SUMIFS(V:V,A:A,A49,B:B,B49,G:G,D49) + SUMIFS(V:V,A:A,A49,B:B,B49,G:G,"anderson.ortiz@altoqi.com.br"),
IF(AND(F49="Gestor",H49="MRR"),SUMIFS(V:V,A:A,A49,B:B,B49,G:G,D49),
SUMIFS(Negócios!L:L,Negócios!A:A,A49,Negócios!B:B,B49,Negócios!P:P,D49,Negócios!AG:AG,"Recorrente")))</f>
        <v>76060.649999999994</v>
      </c>
      <c r="W49" s="10">
        <f t="shared" si="19"/>
        <v>0.44840820703642342</v>
      </c>
      <c r="X49" s="34">
        <f>SUMIFS('Acel Form Pag'!G:G,'Acel Form Pag'!A:A,A49,'Acel Form Pag'!B:B,B49,'Acel Form Pag'!C:C,E49)</f>
        <v>1</v>
      </c>
      <c r="Y49" s="24">
        <f>MAX(_xlfn.MAXIFS(Parâmetros!O:O,Parâmetros!A:A,A49,Parâmetros!B:B,B49,Parâmetros!D:D,D49,Parâmetros!M:M,"&lt;="&amp;K49),_xlfn.MAXIFS(Parâmetros!L:L,Parâmetros!A:A,A49,Parâmetros!B:B,B49,Parâmetros!D:D,D49,Parâmetros!J:J,"&lt;="&amp;K49),_xlfn.MAXIFS(Parâmetros!I:I,Parâmetros!A:A,A49,Parâmetros!B:B,B49,Parâmetros!D:D,D49))</f>
        <v>12000</v>
      </c>
      <c r="Z49" s="9">
        <f>MAX(_xlfn.MAXIFS(Parâmetros!Q:Q,Parâmetros!A:A,A49,Parâmetros!B:B,B49,Parâmetros!D:D,D49,Parâmetros!E:E,E49,Parâmetros!P:P,"&lt;="&amp;K49),
_xlfn.MAXIFS(Parâmetros!S:S,Parâmetros!A:A,A49,Parâmetros!B:B,B49,Parâmetros!D:D,D49,Parâmetros!E:E,E49,Parâmetros!R:R,"&lt;="&amp;K49),
_xlfn.MAXIFS(Parâmetros!U:U,Parâmetros!A:A,A49,Parâmetros!B:B,B49,Parâmetros!D:D,D49,Parâmetros!E:E,E49,Parâmetros!T:T,"&lt;="&amp;K49),1) * IF(K49 &gt;= SUMIFS(Parâmetros!G:G,Parâmetros!A:A,A49,Parâmetros!B:B,B49,Parâmetros!D:D,D49,Parâmetros!E:E,E49),1,0)</f>
        <v>1.1000000000000001</v>
      </c>
      <c r="AA49" s="16">
        <f>Y49*Z49*K49</f>
        <v>24104.90778614876</v>
      </c>
      <c r="AB49" s="16">
        <f>(AA49*N49*O49) + (AA49*Q49*R49) + (AA49*T49*U49) + (AA49*W49*X49)</f>
        <v>25857.49517459279</v>
      </c>
      <c r="AC49" s="15">
        <f>IF(F49="Gestor",SUMIFS(AC:AC,A:A,A49,B:B,B49,G:G,D49),
IF(E49="Saving",SUMIFS(Negócios!I:I,Negócios!A:A,A49,Negócios!B:B,B49,Negócios!P:P,D49,Negócios!H:H,"Curso") +
SUMIFS(Negócios!I:I,Negócios!A:A,A49,Negócios!B:B,B49,Negócios!P:P,D49,Negócios!H:H,"Serviço") +
SUMIFS(Negócios!I:I,Negócios!A:A,A49,Negócios!B:B,B49,Negócios!P:P,D49,Negócios!H:H,"Implantação"),
SUMIFS(Negócios!I:I,Negócios!A:A,A49,Negócios!B:B,B49,Negócios!P:P,D49,Negócios!H:H,"Implantação")))</f>
        <v>4486.4799999999996</v>
      </c>
      <c r="AD49" s="16">
        <f>SUMIFS(Parâmetros!W:W,Parâmetros!A:A,A49,Parâmetros!B:B,B49,Parâmetros!D:D,D49) * AC49 * IF(K49 &gt;= SUMIFS(Parâmetros!V:V,Parâmetros!A:A,A49,Parâmetros!B:B,B49,Parâmetros!D:D,D49),1,0)</f>
        <v>44.864799999999995</v>
      </c>
      <c r="AE49" s="15">
        <f>SUMIFS('Recuperação de Canc e Divs'!D:D,'Recuperação de Canc e Divs'!A:A,A49,'Recuperação de Canc e Divs'!B:B,B49,'Recuperação de Canc e Divs'!C:C,D49)</f>
        <v>0</v>
      </c>
      <c r="AF49" s="16">
        <f>IF(K49&gt;=SUMIFS(Parâmetros!J:J,Parâmetros!A:A,A49,Parâmetros!B:B,B49,Parâmetros!D:D,D49),AE49*0.025,0)</f>
        <v>0</v>
      </c>
      <c r="AG49" s="15" t="str">
        <f t="shared" si="0"/>
        <v/>
      </c>
      <c r="AH49" s="16" t="str">
        <f t="shared" si="1"/>
        <v/>
      </c>
      <c r="AI49" s="90">
        <f t="shared" si="2"/>
        <v>0</v>
      </c>
      <c r="AJ49" s="16" t="str">
        <f t="shared" si="3"/>
        <v/>
      </c>
      <c r="AK49" s="16" t="str">
        <f t="shared" si="4"/>
        <v/>
      </c>
      <c r="AL49" s="90">
        <f t="shared" si="5"/>
        <v>0</v>
      </c>
      <c r="AM49" s="93" t="str">
        <f>IF(AND(OR(B49=3,B49=6,B49=9,B49=12),AI49&gt;=1),
IF(F49="Gestor",AI49*0.6,AI49*0.3),"")</f>
        <v/>
      </c>
      <c r="AN49" s="94" t="str">
        <f>IF(OR(B49=3,B49=6,B49=9,B49=12),
IF(AND(AL49&gt;=1,AI49&gt;=SUMIFS(Parâmetros!G:G,Parâmetros!A:A,Comissões!A49,Parâmetros!B:B,Comissões!B49,Parâmetros!D:D,Comissões!D49,Parâmetros!E:E,Comissões!E49)),AI49*0.3,""),"")</f>
        <v/>
      </c>
    </row>
    <row r="50" spans="1:40" hidden="1">
      <c r="A50" s="7">
        <v>2026</v>
      </c>
      <c r="B50" s="7">
        <v>2</v>
      </c>
      <c r="C50" s="7" t="str">
        <v>Cintia Faraco</v>
      </c>
      <c r="D50" s="7" t="str">
        <v>cintia@altoqi.com.br</v>
      </c>
      <c r="E50" s="7" t="str">
        <v>Saving</v>
      </c>
      <c r="F50" s="7" t="str">
        <v>Consultor</v>
      </c>
      <c r="G50" s="7" t="str">
        <v>beatriz@altoqi.com.br</v>
      </c>
      <c r="H50" s="7" t="str">
        <v>MRR</v>
      </c>
      <c r="I50" s="86">
        <f>IF(AND(F50="Consultor",H50="MRR"),SUMIFS(Negócios!L:L,Negócios!A:A,A50,Negócios!B:B,B50,Negócios!P:P,D50),
IF(AND(F50="Consultor",H50="Opps"),SUMIFS('Realizado GD'!D:D,'Realizado GD'!A:A,A50,'Realizado GD'!B:B,B50,'Realizado GD'!C:C,D50),
IF(AND(F50="Gestor",E50="Sonia",H50="MRR"),SUMIFS(I:I,A:A,A50,B:B,B50,G:G,D50) + SUMIFS(I:I,A:A,A50,B:B,B50,G:G,"anderson.ortiz@altoqi.com.br"),
IF(AND(F50="Gestor",H50="MRR"),SUMIFS(I:I,A:A,A50,B:B,B50,G:G,D50)))))</f>
        <v>25185.851209999997</v>
      </c>
      <c r="J50" s="16">
        <f>SUMIFS(Metas!K:K,Metas!A:A,A50,Metas!B:B,B50,Metas!D:D,D50,Metas!H:H,H50)</f>
        <v>15289</v>
      </c>
      <c r="K50" s="10">
        <f t="shared" si="11"/>
        <v>1.6473184125842106</v>
      </c>
      <c r="L50" s="26" t="str" cm="1">
        <f t="array" ref="L50">_xlfn.LET(
 _xlpm.g,_xlfn.MAXIFS(Parâmetros!G:G,Parâmetros!A:A,A50,Parâmetros!B:B,B50,Parâmetros!D:D,D50,Parâmetros!E:E,E50),
 _xlpm.j,_xlfn.MAXIFS(Parâmetros!J:J,Parâmetros!A:A,A50,Parâmetros!B:B,B50,Parâmetros!D:D,D50,Parâmetros!E:E,E50),
 _xlpm.m,_xlfn.MAXIFS(Parâmetros!M:M,Parâmetros!A:A,A50,Parâmetros!B:B,B50,Parâmetros!D:D,D50,Parâmetros!E:E,E50),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60,00% | 75,00% | 100,00%</v>
      </c>
      <c r="M50" s="28">
        <f>IF(AND(F50="Gestor",E50="Sonia",H50="MRR"),SUMIFS(M:M,A:A,A50,B:B,B50,G:G,D50) + SUMIFS(M:M,A:A,A50,B:B,B50,G:G,"anderson.ortiz@altoqi.com.br"),
IF(AND(F50="Gestor",H50="MRR"),SUMIFS(M:M,A:A,A50,B:B,B50,G:G,D50),
SUMIFS(Negócios!L:L,Negócios!A:A,A50,Negócios!B:B,B50,Negócios!P:P,D50,Negócios!AG:AG,"À Vista")))</f>
        <v>5455.3812100000005</v>
      </c>
      <c r="N50" s="10">
        <f t="shared" si="15"/>
        <v>0.21660499637327926</v>
      </c>
      <c r="O50" s="30">
        <f>SUMIFS('Acel Form Pag'!D:D,'Acel Form Pag'!A:A,A50,'Acel Form Pag'!B:B,B50,'Acel Form Pag'!C:C,E50)</f>
        <v>1.2</v>
      </c>
      <c r="P50" s="87">
        <f>IF(AND(F50="Gestor",E50="Sonia",H50="MRR"),SUMIFS(P:P,A:A,A50,B:B,B50,G:G,D50) + SUMIFS(P:P,A:A,A50,B:B,B50,G:G,"anderson.ortiz@altoqi.com.br"),
IF(AND(F50="Gestor",H50="MRR"),SUMIFS(P:P,A:A,A50,B:B,B50,G:G,D50),
SUMIFS(Negócios!L:L,Negócios!A:A,A50,Negócios!B:B,B50,Negócios!P:P,D50,Negócios!AG:AG,"CC 3x")))</f>
        <v>0</v>
      </c>
      <c r="Q50" s="10">
        <f t="shared" si="16"/>
        <v>0</v>
      </c>
      <c r="R50" s="30">
        <f>SUMIFS('Acel Form Pag'!E:E,'Acel Form Pag'!A:A,A50,'Acel Form Pag'!B:B,B50,'Acel Form Pag'!C:C,E50)</f>
        <v>1.1499999999999999</v>
      </c>
      <c r="S50" s="32">
        <f>IF(AND(F50="Gestor",E50="Sonia",H50="MRR"),SUMIFS(S:S,A:A,A50,B:B,B50,G:G,D50) + SUMIFS(S:S,A:A,A50,B:B,B50,G:G,"anderson.ortiz@altoqi.com.br"),
IF(AND(F50="Gestor",H50="MRR"),SUMIFS(S:S,A:A,A50,B:B,B50,G:G,D50),
SUMIFS(Negócios!L:L,Negócios!A:A,A50,Negócios!B:B,B50,Negócios!P:P,D50,Negócios!AG:AG,"CC 12x")))</f>
        <v>9152.9999999999982</v>
      </c>
      <c r="T50" s="10">
        <f t="shared" si="17"/>
        <v>0.36341833054130868</v>
      </c>
      <c r="U50" s="30">
        <f>SUMIFS('Acel Form Pag'!F:F,'Acel Form Pag'!A:A,A50,'Acel Form Pag'!B:B,B50,'Acel Form Pag'!C:C,E50)</f>
        <v>1.1000000000000001</v>
      </c>
      <c r="V50" s="32">
        <f>IF(AND(F50="Gestor",E50="Sonia",H50="MRR"),SUMIFS(V:V,A:A,A50,B:B,B50,G:G,D50) + SUMIFS(V:V,A:A,A50,B:B,B50,G:G,"anderson.ortiz@altoqi.com.br"),
IF(AND(F50="Gestor",H50="MRR"),SUMIFS(V:V,A:A,A50,B:B,B50,G:G,D50),
SUMIFS(Negócios!L:L,Negócios!A:A,A50,Negócios!B:B,B50,Negócios!P:P,D50,Negócios!AG:AG,"Recorrente")))</f>
        <v>10577.470000000001</v>
      </c>
      <c r="W50" s="10">
        <f t="shared" si="19"/>
        <v>0.41997667308541214</v>
      </c>
      <c r="X50" s="34">
        <f>SUMIFS('Acel Form Pag'!G:G,'Acel Form Pag'!A:A,A50,'Acel Form Pag'!B:B,B50,'Acel Form Pag'!C:C,E50)</f>
        <v>1</v>
      </c>
      <c r="Y50" s="24">
        <f>MAX(_xlfn.MAXIFS(Parâmetros!O:O,Parâmetros!A:A,A50,Parâmetros!B:B,B50,Parâmetros!D:D,D50,Parâmetros!M:M,"&lt;="&amp;K50),_xlfn.MAXIFS(Parâmetros!L:L,Parâmetros!A:A,A50,Parâmetros!B:B,B50,Parâmetros!D:D,D50,Parâmetros!J:J,"&lt;="&amp;K50),_xlfn.MAXIFS(Parâmetros!I:I,Parâmetros!A:A,A50,Parâmetros!B:B,B50,Parâmetros!D:D,D50))</f>
        <v>8100</v>
      </c>
      <c r="Z50" s="9">
        <f>MAX(_xlfn.MAXIFS(Parâmetros!Q:Q,Parâmetros!A:A,A50,Parâmetros!B:B,B50,Parâmetros!D:D,D50,Parâmetros!E:E,E50,Parâmetros!P:P,"&lt;="&amp;K50),
_xlfn.MAXIFS(Parâmetros!S:S,Parâmetros!A:A,A50,Parâmetros!B:B,B50,Parâmetros!D:D,D50,Parâmetros!E:E,E50,Parâmetros!R:R,"&lt;="&amp;K50),
_xlfn.MAXIFS(Parâmetros!U:U,Parâmetros!A:A,A50,Parâmetros!B:B,B50,Parâmetros!D:D,D50,Parâmetros!E:E,E50,Parâmetros!T:T,"&lt;="&amp;K50),1) * IF(K50 &gt;= SUMIFS(Parâmetros!G:G,Parâmetros!A:A,A50,Parâmetros!B:B,B50,Parâmetros!D:D,D50,Parâmetros!E:E,E50),1,0)</f>
        <v>1.1000000000000001</v>
      </c>
      <c r="AA50" s="16">
        <f>Y50*Z50*K50</f>
        <v>14677.607056125316</v>
      </c>
      <c r="AB50" s="16">
        <f>(AA50*N50*O50) + (AA50*Q50*R50) + (AA50*T50*U50) + (AA50*W50*X50)</f>
        <v>15846.866806025246</v>
      </c>
      <c r="AC50" s="15">
        <f>IF(F50="Gestor",SUMIFS(AC:AC,A:A,A50,B:B,B50,G:G,D50),
IF(E50="Saving",SUMIFS(Negócios!I:I,Negócios!A:A,A50,Negócios!B:B,B50,Negócios!P:P,D50,Negócios!H:H,"Curso") +
SUMIFS(Negócios!I:I,Negócios!A:A,A50,Negócios!B:B,B50,Negócios!P:P,D50,Negócios!H:H,"Serviço") +
SUMIFS(Negócios!I:I,Negócios!A:A,A50,Negócios!B:B,B50,Negócios!P:P,D50,Negócios!H:H,"Implantação"),
SUMIFS(Negócios!I:I,Negócios!A:A,A50,Negócios!B:B,B50,Negócios!P:P,D50,Negócios!H:H,"Implantação")))</f>
        <v>0</v>
      </c>
      <c r="AD50" s="16">
        <f>SUMIFS(Parâmetros!W:W,Parâmetros!A:A,A50,Parâmetros!B:B,B50,Parâmetros!D:D,D50) * AC50 * IF(K50 &gt;= SUMIFS(Parâmetros!V:V,Parâmetros!A:A,A50,Parâmetros!B:B,B50,Parâmetros!D:D,D50),1,0)</f>
        <v>0</v>
      </c>
      <c r="AE50" s="15">
        <f>SUMIFS('Recuperação de Canc e Divs'!D:D,'Recuperação de Canc e Divs'!A:A,A50,'Recuperação de Canc e Divs'!B:B,B50,'Recuperação de Canc e Divs'!C:C,D50)</f>
        <v>3072.03</v>
      </c>
      <c r="AF50" s="16">
        <f>IF(K50&gt;=SUMIFS(Parâmetros!J:J,Parâmetros!A:A,A50,Parâmetros!B:B,B50,Parâmetros!D:D,D50),AE50*0.025,0)</f>
        <v>76.800750000000008</v>
      </c>
      <c r="AG50" s="15" t="str">
        <f t="shared" si="0"/>
        <v/>
      </c>
      <c r="AH50" s="16" t="str">
        <f t="shared" si="1"/>
        <v/>
      </c>
      <c r="AI50" s="90">
        <f t="shared" si="2"/>
        <v>0</v>
      </c>
      <c r="AJ50" s="16" t="str">
        <f t="shared" si="3"/>
        <v/>
      </c>
      <c r="AK50" s="16" t="str">
        <f t="shared" si="4"/>
        <v/>
      </c>
      <c r="AL50" s="90">
        <f t="shared" si="5"/>
        <v>0</v>
      </c>
      <c r="AM50" s="93" t="str">
        <f>IF(AND(OR(B50=3,B50=6,B50=9,B50=12),AI50&gt;=1),
IF(F50="Gestor",AI50*0.6,AI50*0.3),"")</f>
        <v/>
      </c>
      <c r="AN50" s="94" t="str">
        <f>IF(OR(B50=3,B50=6,B50=9,B50=12),
IF(AND(AL50&gt;=1,AI50&gt;=SUMIFS(Parâmetros!G:G,Parâmetros!A:A,Comissões!A50,Parâmetros!B:B,Comissões!B50,Parâmetros!D:D,Comissões!D50,Parâmetros!E:E,Comissões!E50)),AI50*0.3,""),"")</f>
        <v/>
      </c>
    </row>
    <row r="51" spans="1:40" hidden="1">
      <c r="A51" s="7">
        <v>2026</v>
      </c>
      <c r="B51" s="7">
        <v>2</v>
      </c>
      <c r="C51" s="7" t="str">
        <v>Francyellen Batista</v>
      </c>
      <c r="D51" s="7" t="str">
        <v>francyellen@altoqi.com.br</v>
      </c>
      <c r="E51" s="7" t="str">
        <v>Saving</v>
      </c>
      <c r="F51" s="7" t="str">
        <v>Consultor</v>
      </c>
      <c r="G51" s="7" t="str">
        <v>beatriz@altoqi.com.br</v>
      </c>
      <c r="H51" s="7" t="str">
        <v>MRR</v>
      </c>
      <c r="I51" s="86">
        <f>IF(AND(F51="Consultor",H51="MRR"),SUMIFS(Negócios!L:L,Negócios!A:A,A51,Negócios!B:B,B51,Negócios!P:P,D51),
IF(AND(F51="Consultor",H51="Opps"),SUMIFS('Realizado GD'!D:D,'Realizado GD'!A:A,A51,'Realizado GD'!B:B,B51,'Realizado GD'!C:C,D51),
IF(AND(F51="Gestor",E51="Sonia",H51="MRR"),SUMIFS(I:I,A:A,A51,B:B,B51,G:G,D51) + SUMIFS(I:I,A:A,A51,B:B,B51,G:G,"anderson.ortiz@altoqi.com.br"),
IF(AND(F51="Gestor",H51="MRR"),SUMIFS(I:I,A:A,A51,B:B,B51,G:G,D51)))))</f>
        <v>21945.670000000002</v>
      </c>
      <c r="J51" s="16">
        <f>SUMIFS(Metas!K:K,Metas!A:A,A51,Metas!B:B,B51,Metas!D:D,D51,Metas!H:H,H51)</f>
        <v>11750</v>
      </c>
      <c r="K51" s="10">
        <f t="shared" si="11"/>
        <v>1.8677165957446811</v>
      </c>
      <c r="L51" s="26" t="str" cm="1">
        <f t="array" ref="L51">_xlfn.LET(
 _xlpm.g,_xlfn.MAXIFS(Parâmetros!G:G,Parâmetros!A:A,A51,Parâmetros!B:B,B51,Parâmetros!D:D,D51,Parâmetros!E:E,E51),
 _xlpm.j,_xlfn.MAXIFS(Parâmetros!J:J,Parâmetros!A:A,A51,Parâmetros!B:B,B51,Parâmetros!D:D,D51,Parâmetros!E:E,E51),
 _xlpm.m,_xlfn.MAXIFS(Parâmetros!M:M,Parâmetros!A:A,A51,Parâmetros!B:B,B51,Parâmetros!D:D,D51,Parâmetros!E:E,E51),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60,00% | 75,00% | 100,00%</v>
      </c>
      <c r="M51" s="28">
        <f>IF(AND(F51="Gestor",E51="Sonia",H51="MRR"),SUMIFS(M:M,A:A,A51,B:B,B51,G:G,D51) + SUMIFS(M:M,A:A,A51,B:B,B51,G:G,"anderson.ortiz@altoqi.com.br"),
IF(AND(F51="Gestor",H51="MRR"),SUMIFS(M:M,A:A,A51,B:B,B51,G:G,D51),
SUMIFS(Negócios!L:L,Negócios!A:A,A51,Negócios!B:B,B51,Negócios!P:P,D51,Negócios!AG:AG,"À Vista")))</f>
        <v>2103.85</v>
      </c>
      <c r="N51" s="10">
        <f t="shared" si="15"/>
        <v>9.5866291619257915E-2</v>
      </c>
      <c r="O51" s="30">
        <f>SUMIFS('Acel Form Pag'!D:D,'Acel Form Pag'!A:A,A51,'Acel Form Pag'!B:B,B51,'Acel Form Pag'!C:C,E51)</f>
        <v>1.2</v>
      </c>
      <c r="P51" s="87">
        <f>IF(AND(F51="Gestor",E51="Sonia",H51="MRR"),SUMIFS(P:P,A:A,A51,B:B,B51,G:G,D51) + SUMIFS(P:P,A:A,A51,B:B,B51,G:G,"anderson.ortiz@altoqi.com.br"),
IF(AND(F51="Gestor",H51="MRR"),SUMIFS(P:P,A:A,A51,B:B,B51,G:G,D51),
SUMIFS(Negócios!L:L,Negócios!A:A,A51,Negócios!B:B,B51,Negócios!P:P,D51,Negócios!AG:AG,"CC 3x")))</f>
        <v>0</v>
      </c>
      <c r="Q51" s="10">
        <f t="shared" si="16"/>
        <v>0</v>
      </c>
      <c r="R51" s="30">
        <f>SUMIFS('Acel Form Pag'!E:E,'Acel Form Pag'!A:A,A51,'Acel Form Pag'!B:B,B51,'Acel Form Pag'!C:C,E51)</f>
        <v>1.1499999999999999</v>
      </c>
      <c r="S51" s="32">
        <f>IF(AND(F51="Gestor",E51="Sonia",H51="MRR"),SUMIFS(S:S,A:A,A51,B:B,B51,G:G,D51) + SUMIFS(S:S,A:A,A51,B:B,B51,G:G,"anderson.ortiz@altoqi.com.br"),
IF(AND(F51="Gestor",H51="MRR"),SUMIFS(S:S,A:A,A51,B:B,B51,G:G,D51),
SUMIFS(Negócios!L:L,Negócios!A:A,A51,Negócios!B:B,B51,Negócios!P:P,D51,Negócios!AG:AG,"CC 12x")))</f>
        <v>9103.4299999999985</v>
      </c>
      <c r="T51" s="10">
        <f t="shared" si="17"/>
        <v>0.41481668137723743</v>
      </c>
      <c r="U51" s="30">
        <f>SUMIFS('Acel Form Pag'!F:F,'Acel Form Pag'!A:A,A51,'Acel Form Pag'!B:B,B51,'Acel Form Pag'!C:C,E51)</f>
        <v>1.1000000000000001</v>
      </c>
      <c r="V51" s="32">
        <f>IF(AND(F51="Gestor",E51="Sonia",H51="MRR"),SUMIFS(V:V,A:A,A51,B:B,B51,G:G,D51) + SUMIFS(V:V,A:A,A51,B:B,B51,G:G,"anderson.ortiz@altoqi.com.br"),
IF(AND(F51="Gestor",H51="MRR"),SUMIFS(V:V,A:A,A51,B:B,B51,G:G,D51),
SUMIFS(Negócios!L:L,Negócios!A:A,A51,Negócios!B:B,B51,Negócios!P:P,D51,Negócios!AG:AG,"Recorrente")))</f>
        <v>10738.39</v>
      </c>
      <c r="W51" s="10">
        <f t="shared" si="19"/>
        <v>0.48931702700350449</v>
      </c>
      <c r="X51" s="34">
        <f>SUMIFS('Acel Form Pag'!G:G,'Acel Form Pag'!A:A,A51,'Acel Form Pag'!B:B,B51,'Acel Form Pag'!C:C,E51)</f>
        <v>1</v>
      </c>
      <c r="Y51" s="24">
        <f>MAX(_xlfn.MAXIFS(Parâmetros!O:O,Parâmetros!A:A,A51,Parâmetros!B:B,B51,Parâmetros!D:D,D51,Parâmetros!M:M,"&lt;="&amp;K51),_xlfn.MAXIFS(Parâmetros!L:L,Parâmetros!A:A,A51,Parâmetros!B:B,B51,Parâmetros!D:D,D51,Parâmetros!J:J,"&lt;="&amp;K51),_xlfn.MAXIFS(Parâmetros!I:I,Parâmetros!A:A,A51,Parâmetros!B:B,B51,Parâmetros!D:D,D51))</f>
        <v>5400</v>
      </c>
      <c r="Z51" s="9">
        <f>MAX(_xlfn.MAXIFS(Parâmetros!Q:Q,Parâmetros!A:A,A51,Parâmetros!B:B,B51,Parâmetros!D:D,D51,Parâmetros!E:E,E51,Parâmetros!P:P,"&lt;="&amp;K51),
_xlfn.MAXIFS(Parâmetros!S:S,Parâmetros!A:A,A51,Parâmetros!B:B,B51,Parâmetros!D:D,D51,Parâmetros!E:E,E51,Parâmetros!R:R,"&lt;="&amp;K51),
_xlfn.MAXIFS(Parâmetros!U:U,Parâmetros!A:A,A51,Parâmetros!B:B,B51,Parâmetros!D:D,D51,Parâmetros!E:E,E51,Parâmetros!T:T,"&lt;="&amp;K51),1) * IF(K51 &gt;= SUMIFS(Parâmetros!G:G,Parâmetros!A:A,A51,Parâmetros!B:B,B51,Parâmetros!D:D,D51,Parâmetros!E:E,E51),1,0)</f>
        <v>1.1000000000000001</v>
      </c>
      <c r="AA51" s="16">
        <f>Y51*Z51*K51</f>
        <v>11094.236578723407</v>
      </c>
      <c r="AB51" s="16">
        <f>(AA51*N51*O51) + (AA51*Q51*R51) + (AA51*T51*U51) + (AA51*W51*X51)</f>
        <v>11767.156682553192</v>
      </c>
      <c r="AC51" s="15">
        <f>IF(F51="Gestor",SUMIFS(AC:AC,A:A,A51,B:B,B51,G:G,D51),
IF(E51="Saving",SUMIFS(Negócios!I:I,Negócios!A:A,A51,Negócios!B:B,B51,Negócios!P:P,D51,Negócios!H:H,"Curso") +
SUMIFS(Negócios!I:I,Negócios!A:A,A51,Negócios!B:B,B51,Negócios!P:P,D51,Negócios!H:H,"Serviço") +
SUMIFS(Negócios!I:I,Negócios!A:A,A51,Negócios!B:B,B51,Negócios!P:P,D51,Negócios!H:H,"Implantação"),
SUMIFS(Negócios!I:I,Negócios!A:A,A51,Negócios!B:B,B51,Negócios!P:P,D51,Negócios!H:H,"Implantação")))</f>
        <v>0</v>
      </c>
      <c r="AD51" s="16">
        <f>SUMIFS(Parâmetros!W:W,Parâmetros!A:A,A51,Parâmetros!B:B,B51,Parâmetros!D:D,D51) * AC51 * IF(K51 &gt;= SUMIFS(Parâmetros!V:V,Parâmetros!A:A,A51,Parâmetros!B:B,B51,Parâmetros!D:D,D51),1,0)</f>
        <v>0</v>
      </c>
      <c r="AE51" s="15">
        <f>SUMIFS('Recuperação de Canc e Divs'!D:D,'Recuperação de Canc e Divs'!A:A,A51,'Recuperação de Canc e Divs'!B:B,B51,'Recuperação de Canc e Divs'!C:C,D51)</f>
        <v>12113.1</v>
      </c>
      <c r="AF51" s="16">
        <f>IF(K51&gt;=SUMIFS(Parâmetros!J:J,Parâmetros!A:A,A51,Parâmetros!B:B,B51,Parâmetros!D:D,D51),AE51*0.025,0)</f>
        <v>302.82750000000004</v>
      </c>
      <c r="AG51" s="15" t="str">
        <f t="shared" si="0"/>
        <v/>
      </c>
      <c r="AH51" s="16" t="str">
        <f t="shared" si="1"/>
        <v/>
      </c>
      <c r="AI51" s="90">
        <f t="shared" si="2"/>
        <v>0</v>
      </c>
      <c r="AJ51" s="16" t="str">
        <f t="shared" si="3"/>
        <v/>
      </c>
      <c r="AK51" s="16" t="str">
        <f t="shared" si="4"/>
        <v/>
      </c>
      <c r="AL51" s="90">
        <f t="shared" si="5"/>
        <v>0</v>
      </c>
      <c r="AM51" s="93" t="str">
        <f>IF(AND(OR(B51=3,B51=6,B51=9,B51=12),AI51&gt;=1),
IF(F51="Gestor",AI51*0.6,AI51*0.3),"")</f>
        <v/>
      </c>
      <c r="AN51" s="94" t="str">
        <f>IF(OR(B51=3,B51=6,B51=9,B51=12),
IF(AND(AL51&gt;=1,AI51&gt;=SUMIFS(Parâmetros!G:G,Parâmetros!A:A,Comissões!A51,Parâmetros!B:B,Comissões!B51,Parâmetros!D:D,Comissões!D51,Parâmetros!E:E,Comissões!E51)),AI51*0.3,""),"")</f>
        <v/>
      </c>
    </row>
    <row r="52" spans="1:40" hidden="1">
      <c r="A52" s="7">
        <v>2026</v>
      </c>
      <c r="B52" s="7">
        <v>2</v>
      </c>
      <c r="C52" s="7" t="str">
        <v>Jaqueline Correa</v>
      </c>
      <c r="D52" s="7" t="str">
        <v>jaqueline.correa@altoqi.com.br</v>
      </c>
      <c r="E52" s="7" t="str">
        <v>Saving</v>
      </c>
      <c r="F52" s="7" t="str">
        <v>Consultor</v>
      </c>
      <c r="G52" s="7" t="str">
        <v>beatriz@altoqi.com.br</v>
      </c>
      <c r="H52" s="7" t="str">
        <v>MRR</v>
      </c>
      <c r="I52" s="86">
        <f>IF(AND(F52="Consultor",H52="MRR"),SUMIFS(Negócios!L:L,Negócios!A:A,A52,Negócios!B:B,B52,Negócios!P:P,D52),
IF(AND(F52="Consultor",H52="Opps"),SUMIFS('Realizado GD'!D:D,'Realizado GD'!A:A,A52,'Realizado GD'!B:B,B52,'Realizado GD'!C:C,D52),
IF(AND(F52="Gestor",E52="Sonia",H52="MRR"),SUMIFS(I:I,A:A,A52,B:B,B52,G:G,D52) + SUMIFS(I:I,A:A,A52,B:B,B52,G:G,"anderson.ortiz@altoqi.com.br"),
IF(AND(F52="Gestor",H52="MRR"),SUMIFS(I:I,A:A,A52,B:B,B52,G:G,D52)))))</f>
        <v>25473.758299999998</v>
      </c>
      <c r="J52" s="16">
        <f>SUMIFS(Metas!K:K,Metas!A:A,A52,Metas!B:B,B52,Metas!D:D,D52,Metas!H:H,H52)</f>
        <v>11750</v>
      </c>
      <c r="K52" s="10">
        <f t="shared" si="11"/>
        <v>2.1679794297872337</v>
      </c>
      <c r="L52" s="26" t="str" cm="1">
        <f t="array" ref="L52">_xlfn.LET(
 _xlpm.g,_xlfn.MAXIFS(Parâmetros!G:G,Parâmetros!A:A,A52,Parâmetros!B:B,B52,Parâmetros!D:D,D52,Parâmetros!E:E,E52),
 _xlpm.j,_xlfn.MAXIFS(Parâmetros!J:J,Parâmetros!A:A,A52,Parâmetros!B:B,B52,Parâmetros!D:D,D52,Parâmetros!E:E,E52),
 _xlpm.m,_xlfn.MAXIFS(Parâmetros!M:M,Parâmetros!A:A,A52,Parâmetros!B:B,B52,Parâmetros!D:D,D52,Parâmetros!E:E,E52),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60,00% | 75,00% | 100,00%</v>
      </c>
      <c r="M52" s="28">
        <f>IF(AND(F52="Gestor",E52="Sonia",H52="MRR"),SUMIFS(M:M,A:A,A52,B:B,B52,G:G,D52) + SUMIFS(M:M,A:A,A52,B:B,B52,G:G,"anderson.ortiz@altoqi.com.br"),
IF(AND(F52="Gestor",H52="MRR"),SUMIFS(M:M,A:A,A52,B:B,B52,G:G,D52),
SUMIFS(Negócios!L:L,Negócios!A:A,A52,Negócios!B:B,B52,Negócios!P:P,D52,Negócios!AG:AG,"À Vista")))</f>
        <v>4764.21</v>
      </c>
      <c r="N52" s="10">
        <f t="shared" si="15"/>
        <v>0.18702422877271316</v>
      </c>
      <c r="O52" s="30">
        <f>SUMIFS('Acel Form Pag'!D:D,'Acel Form Pag'!A:A,A52,'Acel Form Pag'!B:B,B52,'Acel Form Pag'!C:C,E52)</f>
        <v>1.2</v>
      </c>
      <c r="P52" s="87">
        <f>IF(AND(F52="Gestor",E52="Sonia",H52="MRR"),SUMIFS(P:P,A:A,A52,B:B,B52,G:G,D52) + SUMIFS(P:P,A:A,A52,B:B,B52,G:G,"anderson.ortiz@altoqi.com.br"),
IF(AND(F52="Gestor",H52="MRR"),SUMIFS(P:P,A:A,A52,B:B,B52,G:G,D52),
SUMIFS(Negócios!L:L,Negócios!A:A,A52,Negócios!B:B,B52,Negócios!P:P,D52,Negócios!AG:AG,"CC 3x")))</f>
        <v>0</v>
      </c>
      <c r="Q52" s="10">
        <f t="shared" si="16"/>
        <v>0</v>
      </c>
      <c r="R52" s="30">
        <f>SUMIFS('Acel Form Pag'!E:E,'Acel Form Pag'!A:A,A52,'Acel Form Pag'!B:B,B52,'Acel Form Pag'!C:C,E52)</f>
        <v>1.1499999999999999</v>
      </c>
      <c r="S52" s="32">
        <f>IF(AND(F52="Gestor",E52="Sonia",H52="MRR"),SUMIFS(S:S,A:A,A52,B:B,B52,G:G,D52) + SUMIFS(S:S,A:A,A52,B:B,B52,G:G,"anderson.ortiz@altoqi.com.br"),
IF(AND(F52="Gestor",H52="MRR"),SUMIFS(S:S,A:A,A52,B:B,B52,G:G,D52),
SUMIFS(Negócios!L:L,Negócios!A:A,A52,Negócios!B:B,B52,Negócios!P:P,D52,Negócios!AG:AG,"CC 12x")))</f>
        <v>12877.708299999998</v>
      </c>
      <c r="T52" s="10">
        <f t="shared" si="17"/>
        <v>0.50552840096626028</v>
      </c>
      <c r="U52" s="30">
        <f>SUMIFS('Acel Form Pag'!F:F,'Acel Form Pag'!A:A,A52,'Acel Form Pag'!B:B,B52,'Acel Form Pag'!C:C,E52)</f>
        <v>1.1000000000000001</v>
      </c>
      <c r="V52" s="32">
        <f>IF(AND(F52="Gestor",E52="Sonia",H52="MRR"),SUMIFS(V:V,A:A,A52,B:B,B52,G:G,D52) + SUMIFS(V:V,A:A,A52,B:B,B52,G:G,"anderson.ortiz@altoqi.com.br"),
IF(AND(F52="Gestor",H52="MRR"),SUMIFS(V:V,A:A,A52,B:B,B52,G:G,D52),
SUMIFS(Negócios!L:L,Negócios!A:A,A52,Negócios!B:B,B52,Negócios!P:P,D52,Negócios!AG:AG,"Recorrente")))</f>
        <v>7831.8400000000011</v>
      </c>
      <c r="W52" s="10">
        <f t="shared" si="19"/>
        <v>0.3074473702610267</v>
      </c>
      <c r="X52" s="34">
        <f>SUMIFS('Acel Form Pag'!G:G,'Acel Form Pag'!A:A,A52,'Acel Form Pag'!B:B,B52,'Acel Form Pag'!C:C,E52)</f>
        <v>1</v>
      </c>
      <c r="Y52" s="24">
        <f>MAX(_xlfn.MAXIFS(Parâmetros!O:O,Parâmetros!A:A,A52,Parâmetros!B:B,B52,Parâmetros!D:D,D52,Parâmetros!M:M,"&lt;="&amp;K52),_xlfn.MAXIFS(Parâmetros!L:L,Parâmetros!A:A,A52,Parâmetros!B:B,B52,Parâmetros!D:D,D52,Parâmetros!J:J,"&lt;="&amp;K52),_xlfn.MAXIFS(Parâmetros!I:I,Parâmetros!A:A,A52,Parâmetros!B:B,B52,Parâmetros!D:D,D52))</f>
        <v>5400</v>
      </c>
      <c r="Z52" s="9">
        <f>MAX(_xlfn.MAXIFS(Parâmetros!Q:Q,Parâmetros!A:A,A52,Parâmetros!B:B,B52,Parâmetros!D:D,D52,Parâmetros!E:E,E52,Parâmetros!P:P,"&lt;="&amp;K52),
_xlfn.MAXIFS(Parâmetros!S:S,Parâmetros!A:A,A52,Parâmetros!B:B,B52,Parâmetros!D:D,D52,Parâmetros!E:E,E52,Parâmetros!R:R,"&lt;="&amp;K52),
_xlfn.MAXIFS(Parâmetros!U:U,Parâmetros!A:A,A52,Parâmetros!B:B,B52,Parâmetros!D:D,D52,Parâmetros!E:E,E52,Parâmetros!T:T,"&lt;="&amp;K52),1) * IF(K52 &gt;= SUMIFS(Parâmetros!G:G,Parâmetros!A:A,A52,Parâmetros!B:B,B52,Parâmetros!D:D,D52,Parâmetros!E:E,E52),1,0)</f>
        <v>1.1000000000000001</v>
      </c>
      <c r="AA52" s="16">
        <f>Y52*Z52*K52</f>
        <v>12877.797812936171</v>
      </c>
      <c r="AB52" s="16">
        <f>(AA52*N52*O52) + (AA52*Q52*R52) + (AA52*T52*U52) + (AA52*W52*X52)</f>
        <v>14010.499107421281</v>
      </c>
      <c r="AC52" s="15">
        <f>IF(F52="Gestor",SUMIFS(AC:AC,A:A,A52,B:B,B52,G:G,D52),
IF(E52="Saving",SUMIFS(Negócios!I:I,Negócios!A:A,A52,Negócios!B:B,B52,Negócios!P:P,D52,Negócios!H:H,"Curso") +
SUMIFS(Negócios!I:I,Negócios!A:A,A52,Negócios!B:B,B52,Negócios!P:P,D52,Negócios!H:H,"Serviço") +
SUMIFS(Negócios!I:I,Negócios!A:A,A52,Negócios!B:B,B52,Negócios!P:P,D52,Negócios!H:H,"Implantação"),
SUMIFS(Negócios!I:I,Negócios!A:A,A52,Negócios!B:B,B52,Negócios!P:P,D52,Negócios!H:H,"Implantação")))</f>
        <v>0</v>
      </c>
      <c r="AD52" s="16">
        <f>SUMIFS(Parâmetros!W:W,Parâmetros!A:A,A52,Parâmetros!B:B,B52,Parâmetros!D:D,D52) * AC52 * IF(K52 &gt;= SUMIFS(Parâmetros!V:V,Parâmetros!A:A,A52,Parâmetros!B:B,B52,Parâmetros!D:D,D52),1,0)</f>
        <v>0</v>
      </c>
      <c r="AE52" s="15">
        <f>SUMIFS('Recuperação de Canc e Divs'!D:D,'Recuperação de Canc e Divs'!A:A,A52,'Recuperação de Canc e Divs'!B:B,B52,'Recuperação de Canc e Divs'!C:C,D52)</f>
        <v>1502.19</v>
      </c>
      <c r="AF52" s="16">
        <f>IF(K52&gt;=SUMIFS(Parâmetros!J:J,Parâmetros!A:A,A52,Parâmetros!B:B,B52,Parâmetros!D:D,D52),AE52*0.025,0)</f>
        <v>37.554750000000006</v>
      </c>
      <c r="AG52" s="15" t="str">
        <f t="shared" si="0"/>
        <v/>
      </c>
      <c r="AH52" s="16" t="str">
        <f t="shared" si="1"/>
        <v/>
      </c>
      <c r="AI52" s="90">
        <f t="shared" si="2"/>
        <v>0</v>
      </c>
      <c r="AJ52" s="16" t="str">
        <f t="shared" si="3"/>
        <v/>
      </c>
      <c r="AK52" s="16" t="str">
        <f t="shared" si="4"/>
        <v/>
      </c>
      <c r="AL52" s="90">
        <f t="shared" si="5"/>
        <v>0</v>
      </c>
      <c r="AM52" s="93" t="str">
        <f>IF(AND(OR(B52=3,B52=6,B52=9,B52=12),AI52&gt;=1),
IF(F52="Gestor",AI52*0.6,AI52*0.3),"")</f>
        <v/>
      </c>
      <c r="AN52" s="94" t="str">
        <f>IF(OR(B52=3,B52=6,B52=9,B52=12),
IF(AND(AL52&gt;=1,AI52&gt;=SUMIFS(Parâmetros!G:G,Parâmetros!A:A,Comissões!A52,Parâmetros!B:B,Comissões!B52,Parâmetros!D:D,Comissões!D52,Parâmetros!E:E,Comissões!E52)),AI52*0.3,""),"")</f>
        <v/>
      </c>
    </row>
    <row r="53" spans="1:40" hidden="1">
      <c r="A53" s="7">
        <v>2026</v>
      </c>
      <c r="B53" s="7">
        <v>2</v>
      </c>
      <c r="C53" s="7" t="str">
        <v>Marcela Accacio</v>
      </c>
      <c r="D53" s="7" t="str">
        <v>marcela@altoqi.com.br</v>
      </c>
      <c r="E53" s="7" t="str">
        <v>Saving</v>
      </c>
      <c r="F53" s="7" t="str">
        <v>Consultor</v>
      </c>
      <c r="G53" s="7" t="str">
        <v>beatriz@altoqi.com.br</v>
      </c>
      <c r="H53" s="7" t="str">
        <v>MRR</v>
      </c>
      <c r="I53" s="86">
        <f>IF(AND(F53="Consultor",H53="MRR"),SUMIFS(Negócios!L:L,Negócios!A:A,A53,Negócios!B:B,B53,Negócios!P:P,D53),
IF(AND(F53="Consultor",H53="Opps"),SUMIFS('Realizado GD'!D:D,'Realizado GD'!A:A,A53,'Realizado GD'!B:B,B53,'Realizado GD'!C:C,D53),
IF(AND(F53="Gestor",E53="Sonia",H53="MRR"),SUMIFS(I:I,A:A,A53,B:B,B53,G:G,D53) + SUMIFS(I:I,A:A,A53,B:B,B53,G:G,"anderson.ortiz@altoqi.com.br"),
IF(AND(F53="Gestor",H53="MRR"),SUMIFS(I:I,A:A,A53,B:B,B53,G:G,D53)))))</f>
        <v>26626.820000000003</v>
      </c>
      <c r="J53" s="16">
        <f>SUMIFS(Metas!K:K,Metas!A:A,A53,Metas!B:B,B53,Metas!D:D,D53,Metas!H:H,H53)</f>
        <v>15289</v>
      </c>
      <c r="K53" s="10">
        <f t="shared" si="11"/>
        <v>1.7415671397736938</v>
      </c>
      <c r="L53" s="26" t="str" cm="1">
        <f t="array" ref="L53">_xlfn.LET(
 _xlpm.g,_xlfn.MAXIFS(Parâmetros!G:G,Parâmetros!A:A,A53,Parâmetros!B:B,B53,Parâmetros!D:D,D53,Parâmetros!E:E,E53),
 _xlpm.j,_xlfn.MAXIFS(Parâmetros!J:J,Parâmetros!A:A,A53,Parâmetros!B:B,B53,Parâmetros!D:D,D53,Parâmetros!E:E,E53),
 _xlpm.m,_xlfn.MAXIFS(Parâmetros!M:M,Parâmetros!A:A,A53,Parâmetros!B:B,B53,Parâmetros!D:D,D53,Parâmetros!E:E,E53),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60,00% | 75,00% | 100,00%</v>
      </c>
      <c r="M53" s="28">
        <f>IF(AND(F53="Gestor",E53="Sonia",H53="MRR"),SUMIFS(M:M,A:A,A53,B:B,B53,G:G,D53) + SUMIFS(M:M,A:A,A53,B:B,B53,G:G,"anderson.ortiz@altoqi.com.br"),
IF(AND(F53="Gestor",H53="MRR"),SUMIFS(M:M,A:A,A53,B:B,B53,G:G,D53),
SUMIFS(Negócios!L:L,Negócios!A:A,A53,Negócios!B:B,B53,Negócios!P:P,D53,Negócios!AG:AG,"À Vista")))</f>
        <v>8998.6000000000022</v>
      </c>
      <c r="N53" s="10">
        <f t="shared" si="15"/>
        <v>0.33795248550146062</v>
      </c>
      <c r="O53" s="30">
        <f>SUMIFS('Acel Form Pag'!D:D,'Acel Form Pag'!A:A,A53,'Acel Form Pag'!B:B,B53,'Acel Form Pag'!C:C,E53)</f>
        <v>1.2</v>
      </c>
      <c r="P53" s="87">
        <f>IF(AND(F53="Gestor",E53="Sonia",H53="MRR"),SUMIFS(P:P,A:A,A53,B:B,B53,G:G,D53) + SUMIFS(P:P,A:A,A53,B:B,B53,G:G,"anderson.ortiz@altoqi.com.br"),
IF(AND(F53="Gestor",H53="MRR"),SUMIFS(P:P,A:A,A53,B:B,B53,G:G,D53),
SUMIFS(Negócios!L:L,Negócios!A:A,A53,Negócios!B:B,B53,Negócios!P:P,D53,Negócios!AG:AG,"CC 3x")))</f>
        <v>0</v>
      </c>
      <c r="Q53" s="10">
        <f t="shared" si="16"/>
        <v>0</v>
      </c>
      <c r="R53" s="30">
        <f>SUMIFS('Acel Form Pag'!E:E,'Acel Form Pag'!A:A,A53,'Acel Form Pag'!B:B,B53,'Acel Form Pag'!C:C,E53)</f>
        <v>1.1499999999999999</v>
      </c>
      <c r="S53" s="32">
        <f>IF(AND(F53="Gestor",E53="Sonia",H53="MRR"),SUMIFS(S:S,A:A,A53,B:B,B53,G:G,D53) + SUMIFS(S:S,A:A,A53,B:B,B53,G:G,"anderson.ortiz@altoqi.com.br"),
IF(AND(F53="Gestor",H53="MRR"),SUMIFS(S:S,A:A,A53,B:B,B53,G:G,D53),
SUMIFS(Negócios!L:L,Negócios!A:A,A53,Negócios!B:B,B53,Negócios!P:P,D53,Negócios!AG:AG,"CC 12x")))</f>
        <v>11090.869999999999</v>
      </c>
      <c r="T53" s="10">
        <f t="shared" si="17"/>
        <v>0.41653002498984099</v>
      </c>
      <c r="U53" s="30">
        <f>SUMIFS('Acel Form Pag'!F:F,'Acel Form Pag'!A:A,A53,'Acel Form Pag'!B:B,B53,'Acel Form Pag'!C:C,E53)</f>
        <v>1.1000000000000001</v>
      </c>
      <c r="V53" s="32">
        <f>IF(AND(F53="Gestor",E53="Sonia",H53="MRR"),SUMIFS(V:V,A:A,A53,B:B,B53,G:G,D53) + SUMIFS(V:V,A:A,A53,B:B,B53,G:G,"anderson.ortiz@altoqi.com.br"),
IF(AND(F53="Gestor",H53="MRR"),SUMIFS(V:V,A:A,A53,B:B,B53,G:G,D53),
SUMIFS(Negócios!L:L,Negócios!A:A,A53,Negócios!B:B,B53,Negócios!P:P,D53,Negócios!AG:AG,"Recorrente")))</f>
        <v>6537.35</v>
      </c>
      <c r="W53" s="10">
        <f t="shared" si="19"/>
        <v>0.24551748950869837</v>
      </c>
      <c r="X53" s="34">
        <f>SUMIFS('Acel Form Pag'!G:G,'Acel Form Pag'!A:A,A53,'Acel Form Pag'!B:B,B53,'Acel Form Pag'!C:C,E53)</f>
        <v>1</v>
      </c>
      <c r="Y53" s="24">
        <f>MAX(_xlfn.MAXIFS(Parâmetros!O:O,Parâmetros!A:A,A53,Parâmetros!B:B,B53,Parâmetros!D:D,D53,Parâmetros!M:M,"&lt;="&amp;K53),_xlfn.MAXIFS(Parâmetros!L:L,Parâmetros!A:A,A53,Parâmetros!B:B,B53,Parâmetros!D:D,D53,Parâmetros!J:J,"&lt;="&amp;K53),_xlfn.MAXIFS(Parâmetros!I:I,Parâmetros!A:A,A53,Parâmetros!B:B,B53,Parâmetros!D:D,D53))</f>
        <v>8100</v>
      </c>
      <c r="Z53" s="9">
        <f>MAX(_xlfn.MAXIFS(Parâmetros!Q:Q,Parâmetros!A:A,A53,Parâmetros!B:B,B53,Parâmetros!D:D,D53,Parâmetros!E:E,E53,Parâmetros!P:P,"&lt;="&amp;K53),
_xlfn.MAXIFS(Parâmetros!S:S,Parâmetros!A:A,A53,Parâmetros!B:B,B53,Parâmetros!D:D,D53,Parâmetros!E:E,E53,Parâmetros!R:R,"&lt;="&amp;K53),
_xlfn.MAXIFS(Parâmetros!U:U,Parâmetros!A:A,A53,Parâmetros!B:B,B53,Parâmetros!D:D,D53,Parâmetros!E:E,E53,Parâmetros!T:T,"&lt;="&amp;K53),1) * IF(K53 &gt;= SUMIFS(Parâmetros!G:G,Parâmetros!A:A,A53,Parâmetros!B:B,B53,Parâmetros!D:D,D53,Parâmetros!E:E,E53),1,0)</f>
        <v>1.1000000000000001</v>
      </c>
      <c r="AA53" s="16">
        <f>Y53*Z53*K53</f>
        <v>15517.363215383612</v>
      </c>
      <c r="AB53" s="16">
        <f>(AA53*N53*O53) + (AA53*Q53*R53) + (AA53*T53*U53) + (AA53*W53*X53)</f>
        <v>17212.534277585197</v>
      </c>
      <c r="AC53" s="15">
        <f>IF(F53="Gestor",SUMIFS(AC:AC,A:A,A53,B:B,B53,G:G,D53),
IF(E53="Saving",SUMIFS(Negócios!I:I,Negócios!A:A,A53,Negócios!B:B,B53,Negócios!P:P,D53,Negócios!H:H,"Curso") +
SUMIFS(Negócios!I:I,Negócios!A:A,A53,Negócios!B:B,B53,Negócios!P:P,D53,Negócios!H:H,"Serviço") +
SUMIFS(Negócios!I:I,Negócios!A:A,A53,Negócios!B:B,B53,Negócios!P:P,D53,Negócios!H:H,"Implantação"),
SUMIFS(Negócios!I:I,Negócios!A:A,A53,Negócios!B:B,B53,Negócios!P:P,D53,Negócios!H:H,"Implantação")))</f>
        <v>0</v>
      </c>
      <c r="AD53" s="16">
        <f>SUMIFS(Parâmetros!W:W,Parâmetros!A:A,A53,Parâmetros!B:B,B53,Parâmetros!D:D,D53) * AC53 * IF(K53 &gt;= SUMIFS(Parâmetros!V:V,Parâmetros!A:A,A53,Parâmetros!B:B,B53,Parâmetros!D:D,D53),1,0)</f>
        <v>0</v>
      </c>
      <c r="AE53" s="15">
        <f>SUMIFS('Recuperação de Canc e Divs'!D:D,'Recuperação de Canc e Divs'!A:A,A53,'Recuperação de Canc e Divs'!B:B,B53,'Recuperação de Canc e Divs'!C:C,D53)</f>
        <v>14394.09</v>
      </c>
      <c r="AF53" s="16">
        <f>IF(K53&gt;=SUMIFS(Parâmetros!J:J,Parâmetros!A:A,A53,Parâmetros!B:B,B53,Parâmetros!D:D,D53),AE53*0.025,0)</f>
        <v>359.85225000000003</v>
      </c>
      <c r="AG53" s="15" t="str">
        <f t="shared" si="0"/>
        <v/>
      </c>
      <c r="AH53" s="16" t="str">
        <f t="shared" si="1"/>
        <v/>
      </c>
      <c r="AI53" s="90">
        <f t="shared" si="2"/>
        <v>0</v>
      </c>
      <c r="AJ53" s="16" t="str">
        <f t="shared" si="3"/>
        <v/>
      </c>
      <c r="AK53" s="16" t="str">
        <f t="shared" si="4"/>
        <v/>
      </c>
      <c r="AL53" s="90">
        <f t="shared" si="5"/>
        <v>0</v>
      </c>
      <c r="AM53" s="93" t="str">
        <f>IF(AND(OR(B53=3,B53=6,B53=9,B53=12),AI53&gt;=1),
IF(F53="Gestor",AI53*0.6,AI53*0.3),"")</f>
        <v/>
      </c>
      <c r="AN53" s="94" t="str">
        <f>IF(OR(B53=3,B53=6,B53=9,B53=12),
IF(AND(AL53&gt;=1,AI53&gt;=SUMIFS(Parâmetros!G:G,Parâmetros!A:A,Comissões!A53,Parâmetros!B:B,Comissões!B53,Parâmetros!D:D,Comissões!D53,Parâmetros!E:E,Comissões!E53)),AI53*0.3,""),"")</f>
        <v/>
      </c>
    </row>
    <row r="54" spans="1:40" hidden="1">
      <c r="A54" s="7">
        <v>2026</v>
      </c>
      <c r="B54" s="7">
        <v>2</v>
      </c>
      <c r="C54" s="7" t="str">
        <v>Rosana Machado</v>
      </c>
      <c r="D54" s="7" t="str">
        <v>rosana@altoqi.com.br</v>
      </c>
      <c r="E54" s="7" t="str">
        <v>Saving</v>
      </c>
      <c r="F54" s="7" t="str">
        <v>Consultor</v>
      </c>
      <c r="G54" s="7" t="str">
        <v>beatriz@altoqi.com.br</v>
      </c>
      <c r="H54" s="7" t="str">
        <v>MRR</v>
      </c>
      <c r="I54" s="86">
        <f>IF(AND(F54="Consultor",H54="MRR"),SUMIFS(Negócios!L:L,Negócios!A:A,A54,Negócios!B:B,B54,Negócios!P:P,D54),
IF(AND(F54="Consultor",H54="Opps"),SUMIFS('Realizado GD'!D:D,'Realizado GD'!A:A,A54,'Realizado GD'!B:B,B54,'Realizado GD'!C:C,D54),
IF(AND(F54="Gestor",E54="Sonia",H54="MRR"),SUMIFS(I:I,A:A,A54,B:B,B54,G:G,D54) + SUMIFS(I:I,A:A,A54,B:B,B54,G:G,"anderson.ortiz@altoqi.com.br"),
IF(AND(F54="Gestor",H54="MRR"),SUMIFS(I:I,A:A,A54,B:B,B54,G:G,D54)))))</f>
        <v>24271.060000099988</v>
      </c>
      <c r="J54" s="16">
        <f>SUMIFS(Metas!K:K,Metas!A:A,A54,Metas!B:B,B54,Metas!D:D,D54,Metas!H:H,H54)</f>
        <v>11750</v>
      </c>
      <c r="K54" s="10">
        <f t="shared" si="11"/>
        <v>2.065622127668084</v>
      </c>
      <c r="L54" s="26" t="str" cm="1">
        <f t="array" ref="L54">_xlfn.LET(
 _xlpm.g,_xlfn.MAXIFS(Parâmetros!G:G,Parâmetros!A:A,A54,Parâmetros!B:B,B54,Parâmetros!D:D,D54,Parâmetros!E:E,E54),
 _xlpm.j,_xlfn.MAXIFS(Parâmetros!J:J,Parâmetros!A:A,A54,Parâmetros!B:B,B54,Parâmetros!D:D,D54,Parâmetros!E:E,E54),
 _xlpm.m,_xlfn.MAXIFS(Parâmetros!M:M,Parâmetros!A:A,A54,Parâmetros!B:B,B54,Parâmetros!D:D,D54,Parâmetros!E:E,E54),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60,00% | 75,00% | 100,00%</v>
      </c>
      <c r="M54" s="28">
        <f>IF(AND(F54="Gestor",E54="Sonia",H54="MRR"),SUMIFS(M:M,A:A,A54,B:B,B54,G:G,D54) + SUMIFS(M:M,A:A,A54,B:B,B54,G:G,"anderson.ortiz@altoqi.com.br"),
IF(AND(F54="Gestor",H54="MRR"),SUMIFS(M:M,A:A,A54,B:B,B54,G:G,D54),
SUMIFS(Negócios!L:L,Negócios!A:A,A54,Negócios!B:B,B54,Negócios!P:P,D54,Negócios!AG:AG,"À Vista")))</f>
        <v>2214.8000000000002</v>
      </c>
      <c r="N54" s="10">
        <f t="shared" si="15"/>
        <v>9.1252710017233535E-2</v>
      </c>
      <c r="O54" s="30">
        <f>SUMIFS('Acel Form Pag'!D:D,'Acel Form Pag'!A:A,A54,'Acel Form Pag'!B:B,B54,'Acel Form Pag'!C:C,E54)</f>
        <v>1.2</v>
      </c>
      <c r="P54" s="87">
        <f>IF(AND(F54="Gestor",E54="Sonia",H54="MRR"),SUMIFS(P:P,A:A,A54,B:B,B54,G:G,D54) + SUMIFS(P:P,A:A,A54,B:B,B54,G:G,"anderson.ortiz@altoqi.com.br"),
IF(AND(F54="Gestor",H54="MRR"),SUMIFS(P:P,A:A,A54,B:B,B54,G:G,D54),
SUMIFS(Negócios!L:L,Negócios!A:A,A54,Negócios!B:B,B54,Negócios!P:P,D54,Negócios!AG:AG,"CC 3x")))</f>
        <v>345.24</v>
      </c>
      <c r="Q54" s="10">
        <f t="shared" si="16"/>
        <v>1.4224347844658525E-2</v>
      </c>
      <c r="R54" s="30">
        <f>SUMIFS('Acel Form Pag'!E:E,'Acel Form Pag'!A:A,A54,'Acel Form Pag'!B:B,B54,'Acel Form Pag'!C:C,E54)</f>
        <v>1.1499999999999999</v>
      </c>
      <c r="S54" s="32">
        <f>IF(AND(F54="Gestor",E54="Sonia",H54="MRR"),SUMIFS(S:S,A:A,A54,B:B,B54,G:G,D54) + SUMIFS(S:S,A:A,A54,B:B,B54,G:G,"anderson.ortiz@altoqi.com.br"),
IF(AND(F54="Gestor",H54="MRR"),SUMIFS(S:S,A:A,A54,B:B,B54,G:G,D54),
SUMIFS(Negócios!L:L,Negócios!A:A,A54,Negócios!B:B,B54,Negócios!P:P,D54,Negócios!AG:AG,"CC 12x")))</f>
        <v>11580.130000000005</v>
      </c>
      <c r="T54" s="10">
        <f t="shared" si="17"/>
        <v>0.47711678022930598</v>
      </c>
      <c r="U54" s="30">
        <f>SUMIFS('Acel Form Pag'!F:F,'Acel Form Pag'!A:A,A54,'Acel Form Pag'!B:B,B54,'Acel Form Pag'!C:C,E54)</f>
        <v>1.1000000000000001</v>
      </c>
      <c r="V54" s="32">
        <f>IF(AND(F54="Gestor",E54="Sonia",H54="MRR"),SUMIFS(V:V,A:A,A54,B:B,B54,G:G,D54) + SUMIFS(V:V,A:A,A54,B:B,B54,G:G,"anderson.ortiz@altoqi.com.br"),
IF(AND(F54="Gestor",H54="MRR"),SUMIFS(V:V,A:A,A54,B:B,B54,G:G,D54),
SUMIFS(Negócios!L:L,Negócios!A:A,A54,Negócios!B:B,B54,Negócios!P:P,D54,Negócios!AG:AG,"Recorrente")))</f>
        <v>10130.890000100002</v>
      </c>
      <c r="W54" s="10">
        <f t="shared" si="19"/>
        <v>0.41740616190880275</v>
      </c>
      <c r="X54" s="34">
        <f>SUMIFS('Acel Form Pag'!G:G,'Acel Form Pag'!A:A,A54,'Acel Form Pag'!B:B,B54,'Acel Form Pag'!C:C,E54)</f>
        <v>1</v>
      </c>
      <c r="Y54" s="24">
        <f>MAX(_xlfn.MAXIFS(Parâmetros!O:O,Parâmetros!A:A,A54,Parâmetros!B:B,B54,Parâmetros!D:D,D54,Parâmetros!M:M,"&lt;="&amp;K54),_xlfn.MAXIFS(Parâmetros!L:L,Parâmetros!A:A,A54,Parâmetros!B:B,B54,Parâmetros!D:D,D54,Parâmetros!J:J,"&lt;="&amp;K54),_xlfn.MAXIFS(Parâmetros!I:I,Parâmetros!A:A,A54,Parâmetros!B:B,B54,Parâmetros!D:D,D54))</f>
        <v>5400</v>
      </c>
      <c r="Z54" s="9">
        <f>MAX(_xlfn.MAXIFS(Parâmetros!Q:Q,Parâmetros!A:A,A54,Parâmetros!B:B,B54,Parâmetros!D:D,D54,Parâmetros!E:E,E54,Parâmetros!P:P,"&lt;="&amp;K54),
_xlfn.MAXIFS(Parâmetros!S:S,Parâmetros!A:A,A54,Parâmetros!B:B,B54,Parâmetros!D:D,D54,Parâmetros!E:E,E54,Parâmetros!R:R,"&lt;="&amp;K54),
_xlfn.MAXIFS(Parâmetros!U:U,Parâmetros!A:A,A54,Parâmetros!B:B,B54,Parâmetros!D:D,D54,Parâmetros!E:E,E54,Parâmetros!T:T,"&lt;="&amp;K54),1) * IF(K54 &gt;= SUMIFS(Parâmetros!G:G,Parâmetros!A:A,A54,Parâmetros!B:B,B54,Parâmetros!D:D,D54,Parâmetros!E:E,E54),1,0)</f>
        <v>1.1000000000000001</v>
      </c>
      <c r="AA54" s="16">
        <f>Y54*Z54*K54</f>
        <v>12269.795438348421</v>
      </c>
      <c r="AB54" s="16">
        <f>(AA54*N54*O54) + (AA54*Q54*R54) + (AA54*T54*U54) + (AA54*W54*X54)</f>
        <v>13105.317860476091</v>
      </c>
      <c r="AC54" s="15">
        <f>IF(F54="Gestor",SUMIFS(AC:AC,A:A,A54,B:B,B54,G:G,D54),
IF(E54="Saving",SUMIFS(Negócios!I:I,Negócios!A:A,A54,Negócios!B:B,B54,Negócios!P:P,D54,Negócios!H:H,"Curso") +
SUMIFS(Negócios!I:I,Negócios!A:A,A54,Negócios!B:B,B54,Negócios!P:P,D54,Negócios!H:H,"Serviço") +
SUMIFS(Negócios!I:I,Negócios!A:A,A54,Negócios!B:B,B54,Negócios!P:P,D54,Negócios!H:H,"Implantação"),
SUMIFS(Negócios!I:I,Negócios!A:A,A54,Negócios!B:B,B54,Negócios!P:P,D54,Negócios!H:H,"Implantação")))</f>
        <v>0</v>
      </c>
      <c r="AD54" s="16">
        <f>SUMIFS(Parâmetros!W:W,Parâmetros!A:A,A54,Parâmetros!B:B,B54,Parâmetros!D:D,D54) * AC54 * IF(K54 &gt;= SUMIFS(Parâmetros!V:V,Parâmetros!A:A,A54,Parâmetros!B:B,B54,Parâmetros!D:D,D54),1,0)</f>
        <v>0</v>
      </c>
      <c r="AE54" s="15">
        <f>SUMIFS('Recuperação de Canc e Divs'!D:D,'Recuperação de Canc e Divs'!A:A,A54,'Recuperação de Canc e Divs'!B:B,B54,'Recuperação de Canc e Divs'!C:C,D54)</f>
        <v>6187.98</v>
      </c>
      <c r="AF54" s="16">
        <f>IF(K54&gt;=SUMIFS(Parâmetros!J:J,Parâmetros!A:A,A54,Parâmetros!B:B,B54,Parâmetros!D:D,D54),AE54*0.025,0)</f>
        <v>154.6995</v>
      </c>
      <c r="AG54" s="15" t="str">
        <f t="shared" si="0"/>
        <v/>
      </c>
      <c r="AH54" s="16" t="str">
        <f t="shared" si="1"/>
        <v/>
      </c>
      <c r="AI54" s="90">
        <f t="shared" si="2"/>
        <v>0</v>
      </c>
      <c r="AJ54" s="16" t="str">
        <f t="shared" si="3"/>
        <v/>
      </c>
      <c r="AK54" s="16" t="str">
        <f t="shared" si="4"/>
        <v/>
      </c>
      <c r="AL54" s="90">
        <f t="shared" si="5"/>
        <v>0</v>
      </c>
      <c r="AM54" s="93" t="str">
        <f>IF(AND(OR(B54=3,B54=6,B54=9,B54=12),AI54&gt;=1),
IF(F54="Gestor",AI54*0.6,AI54*0.3),"")</f>
        <v/>
      </c>
      <c r="AN54" s="94" t="str">
        <f>IF(OR(B54=3,B54=6,B54=9,B54=12),
IF(AND(AL54&gt;=1,AI54&gt;=SUMIFS(Parâmetros!G:G,Parâmetros!A:A,Comissões!A54,Parâmetros!B:B,Comissões!B54,Parâmetros!D:D,Comissões!D54,Parâmetros!E:E,Comissões!E54)),AI54*0.3,""),"")</f>
        <v/>
      </c>
    </row>
    <row r="55" spans="1:40" hidden="1">
      <c r="A55" s="7">
        <v>2026</v>
      </c>
      <c r="B55" s="7">
        <v>2</v>
      </c>
      <c r="C55" s="7" t="str">
        <v>Rubia Estipe</v>
      </c>
      <c r="D55" s="7" t="str">
        <v>rubia.estipe@altoqi.com.br</v>
      </c>
      <c r="E55" s="7" t="str">
        <v>Saving</v>
      </c>
      <c r="F55" s="7" t="str">
        <v>Consultor</v>
      </c>
      <c r="G55" s="7" t="str">
        <v>beatriz@altoqi.com.br</v>
      </c>
      <c r="H55" s="7" t="str">
        <v>MRR</v>
      </c>
      <c r="I55" s="86">
        <f>IF(AND(F55="Consultor",H55="MRR"),SUMIFS(Negócios!L:L,Negócios!A:A,A55,Negócios!B:B,B55,Negócios!P:P,D55),
IF(AND(F55="Consultor",H55="Opps"),SUMIFS('Realizado GD'!D:D,'Realizado GD'!A:A,A55,'Realizado GD'!B:B,B55,'Realizado GD'!C:C,D55),
IF(AND(F55="Gestor",E55="Sonia",H55="MRR"),SUMIFS(I:I,A:A,A55,B:B,B55,G:G,D55) + SUMIFS(I:I,A:A,A55,B:B,B55,G:G,"anderson.ortiz@altoqi.com.br"),
IF(AND(F55="Gestor",H55="MRR"),SUMIFS(I:I,A:A,A55,B:B,B55,G:G,D55)))))</f>
        <v>27635.099999899991</v>
      </c>
      <c r="J55" s="16">
        <f>SUMIFS(Metas!K:K,Metas!A:A,A55,Metas!B:B,B55,Metas!D:D,D55,Metas!H:H,H55)</f>
        <v>15289</v>
      </c>
      <c r="K55" s="10">
        <f t="shared" si="11"/>
        <v>1.8075152070050358</v>
      </c>
      <c r="L55" s="26" t="str" cm="1">
        <f t="array" ref="L55">_xlfn.LET(
 _xlpm.g,_xlfn.MAXIFS(Parâmetros!G:G,Parâmetros!A:A,A55,Parâmetros!B:B,B55,Parâmetros!D:D,D55,Parâmetros!E:E,E55),
 _xlpm.j,_xlfn.MAXIFS(Parâmetros!J:J,Parâmetros!A:A,A55,Parâmetros!B:B,B55,Parâmetros!D:D,D55,Parâmetros!E:E,E55),
 _xlpm.m,_xlfn.MAXIFS(Parâmetros!M:M,Parâmetros!A:A,A55,Parâmetros!B:B,B55,Parâmetros!D:D,D55,Parâmetros!E:E,E55),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60,00% | 75,00% | 100,00%</v>
      </c>
      <c r="M55" s="28">
        <f>IF(AND(F55="Gestor",E55="Sonia",H55="MRR"),SUMIFS(M:M,A:A,A55,B:B,B55,G:G,D55) + SUMIFS(M:M,A:A,A55,B:B,B55,G:G,"anderson.ortiz@altoqi.com.br"),
IF(AND(F55="Gestor",H55="MRR"),SUMIFS(M:M,A:A,A55,B:B,B55,G:G,D55),
SUMIFS(Negócios!L:L,Negócios!A:A,A55,Negócios!B:B,B55,Negócios!P:P,D55,Negócios!AG:AG,"À Vista")))</f>
        <v>4680.3700000000008</v>
      </c>
      <c r="N55" s="10">
        <f t="shared" si="15"/>
        <v>0.16936323733284622</v>
      </c>
      <c r="O55" s="30">
        <f>SUMIFS('Acel Form Pag'!D:D,'Acel Form Pag'!A:A,A55,'Acel Form Pag'!B:B,B55,'Acel Form Pag'!C:C,E55)</f>
        <v>1.2</v>
      </c>
      <c r="P55" s="87">
        <f>IF(AND(F55="Gestor",E55="Sonia",H55="MRR"),SUMIFS(P:P,A:A,A55,B:B,B55,G:G,D55) + SUMIFS(P:P,A:A,A55,B:B,B55,G:G,"anderson.ortiz@altoqi.com.br"),
IF(AND(F55="Gestor",H55="MRR"),SUMIFS(P:P,A:A,A55,B:B,B55,G:G,D55),
SUMIFS(Negócios!L:L,Negócios!A:A,A55,Negócios!B:B,B55,Negócios!P:P,D55,Negócios!AG:AG,"CC 3x")))</f>
        <v>496.87</v>
      </c>
      <c r="Q55" s="10">
        <f t="shared" si="16"/>
        <v>1.7979670781064595E-2</v>
      </c>
      <c r="R55" s="30">
        <f>SUMIFS('Acel Form Pag'!E:E,'Acel Form Pag'!A:A,A55,'Acel Form Pag'!B:B,B55,'Acel Form Pag'!C:C,E55)</f>
        <v>1.1499999999999999</v>
      </c>
      <c r="S55" s="32">
        <f>IF(AND(F55="Gestor",E55="Sonia",H55="MRR"),SUMIFS(S:S,A:A,A55,B:B,B55,G:G,D55) + SUMIFS(S:S,A:A,A55,B:B,B55,G:G,"anderson.ortiz@altoqi.com.br"),
IF(AND(F55="Gestor",H55="MRR"),SUMIFS(S:S,A:A,A55,B:B,B55,G:G,D55),
SUMIFS(Negócios!L:L,Negócios!A:A,A55,Negócios!B:B,B55,Negócios!P:P,D55,Negócios!AG:AG,"CC 12x")))</f>
        <v>8634.59</v>
      </c>
      <c r="T55" s="10">
        <f t="shared" si="17"/>
        <v>0.31245010873965529</v>
      </c>
      <c r="U55" s="30">
        <f>SUMIFS('Acel Form Pag'!F:F,'Acel Form Pag'!A:A,A55,'Acel Form Pag'!B:B,B55,'Acel Form Pag'!C:C,E55)</f>
        <v>1.1000000000000001</v>
      </c>
      <c r="V55" s="32">
        <f>IF(AND(F55="Gestor",E55="Sonia",H55="MRR"),SUMIFS(V:V,A:A,A55,B:B,B55,G:G,D55) + SUMIFS(V:V,A:A,A55,B:B,B55,G:G,"anderson.ortiz@altoqi.com.br"),
IF(AND(F55="Gestor",H55="MRR"),SUMIFS(V:V,A:A,A55,B:B,B55,G:G,D55),
SUMIFS(Negócios!L:L,Negócios!A:A,A55,Negócios!B:B,B55,Negócios!P:P,D55,Negócios!AG:AG,"Recorrente")))</f>
        <v>13823.269999899996</v>
      </c>
      <c r="W55" s="10">
        <f t="shared" si="19"/>
        <v>0.50020698314643408</v>
      </c>
      <c r="X55" s="34">
        <f>SUMIFS('Acel Form Pag'!G:G,'Acel Form Pag'!A:A,A55,'Acel Form Pag'!B:B,B55,'Acel Form Pag'!C:C,E55)</f>
        <v>1</v>
      </c>
      <c r="Y55" s="24">
        <f>MAX(_xlfn.MAXIFS(Parâmetros!O:O,Parâmetros!A:A,A55,Parâmetros!B:B,B55,Parâmetros!D:D,D55,Parâmetros!M:M,"&lt;="&amp;K55),_xlfn.MAXIFS(Parâmetros!L:L,Parâmetros!A:A,A55,Parâmetros!B:B,B55,Parâmetros!D:D,D55,Parâmetros!J:J,"&lt;="&amp;K55),_xlfn.MAXIFS(Parâmetros!I:I,Parâmetros!A:A,A55,Parâmetros!B:B,B55,Parâmetros!D:D,D55))</f>
        <v>8100</v>
      </c>
      <c r="Z55" s="9">
        <f>MAX(_xlfn.MAXIFS(Parâmetros!Q:Q,Parâmetros!A:A,A55,Parâmetros!B:B,B55,Parâmetros!D:D,D55,Parâmetros!E:E,E55,Parâmetros!P:P,"&lt;="&amp;K55),
_xlfn.MAXIFS(Parâmetros!S:S,Parâmetros!A:A,A55,Parâmetros!B:B,B55,Parâmetros!D:D,D55,Parâmetros!E:E,E55,Parâmetros!R:R,"&lt;="&amp;K55),
_xlfn.MAXIFS(Parâmetros!U:U,Parâmetros!A:A,A55,Parâmetros!B:B,B55,Parâmetros!D:D,D55,Parâmetros!E:E,E55,Parâmetros!T:T,"&lt;="&amp;K55),1) * IF(K55 &gt;= SUMIFS(Parâmetros!G:G,Parâmetros!A:A,A55,Parâmetros!B:B,B55,Parâmetros!D:D,D55,Parâmetros!E:E,E55),1,0)</f>
        <v>1.1000000000000001</v>
      </c>
      <c r="AA55" s="16">
        <f>Y55*Z55*K55</f>
        <v>16104.960494414869</v>
      </c>
      <c r="AB55" s="16">
        <f>(AA55*N55*O55) + (AA55*Q55*R55) + (AA55*T55*U55) + (AA55*W55*X55)</f>
        <v>17197.112092622734</v>
      </c>
      <c r="AC55" s="15">
        <f>IF(F55="Gestor",SUMIFS(AC:AC,A:A,A55,B:B,B55,G:G,D55),
IF(E55="Saving",SUMIFS(Negócios!I:I,Negócios!A:A,A55,Negócios!B:B,B55,Negócios!P:P,D55,Negócios!H:H,"Curso") +
SUMIFS(Negócios!I:I,Negócios!A:A,A55,Negócios!B:B,B55,Negócios!P:P,D55,Negócios!H:H,"Serviço") +
SUMIFS(Negócios!I:I,Negócios!A:A,A55,Negócios!B:B,B55,Negócios!P:P,D55,Negócios!H:H,"Implantação"),
SUMIFS(Negócios!I:I,Negócios!A:A,A55,Negócios!B:B,B55,Negócios!P:P,D55,Negócios!H:H,"Implantação")))</f>
        <v>4486.4799999999996</v>
      </c>
      <c r="AD55" s="16">
        <f>SUMIFS(Parâmetros!W:W,Parâmetros!A:A,A55,Parâmetros!B:B,B55,Parâmetros!D:D,D55) * AC55 * IF(K55 &gt;= SUMIFS(Parâmetros!V:V,Parâmetros!A:A,A55,Parâmetros!B:B,B55,Parâmetros!D:D,D55),1,0)</f>
        <v>44.864799999999995</v>
      </c>
      <c r="AE55" s="15">
        <f>SUMIFS('Recuperação de Canc e Divs'!D:D,'Recuperação de Canc e Divs'!A:A,A55,'Recuperação de Canc e Divs'!B:B,B55,'Recuperação de Canc e Divs'!C:C,D55)</f>
        <v>0</v>
      </c>
      <c r="AF55" s="16">
        <f>IF(K55&gt;=SUMIFS(Parâmetros!J:J,Parâmetros!A:A,A55,Parâmetros!B:B,B55,Parâmetros!D:D,D55),AE55*0.025,0)</f>
        <v>0</v>
      </c>
      <c r="AG55" s="15" t="str">
        <f t="shared" si="0"/>
        <v/>
      </c>
      <c r="AH55" s="16" t="str">
        <f t="shared" si="1"/>
        <v/>
      </c>
      <c r="AI55" s="90">
        <f t="shared" si="2"/>
        <v>0</v>
      </c>
      <c r="AJ55" s="16" t="str">
        <f t="shared" si="3"/>
        <v/>
      </c>
      <c r="AK55" s="16" t="str">
        <f t="shared" si="4"/>
        <v/>
      </c>
      <c r="AL55" s="90">
        <f t="shared" si="5"/>
        <v>0</v>
      </c>
      <c r="AM55" s="93" t="str">
        <f>IF(AND(OR(B55=3,B55=6,B55=9,B55=12),AI55&gt;=1),
IF(F55="Gestor",AI55*0.6,AI55*0.3),"")</f>
        <v/>
      </c>
      <c r="AN55" s="94" t="str">
        <f>IF(OR(B55=3,B55=6,B55=9,B55=12),
IF(AND(AL55&gt;=1,AI55&gt;=SUMIFS(Parâmetros!G:G,Parâmetros!A:A,Comissões!A55,Parâmetros!B:B,Comissões!B55,Parâmetros!D:D,Comissões!D55,Parâmetros!E:E,Comissões!E55)),AI55*0.3,""),"")</f>
        <v/>
      </c>
    </row>
    <row r="56" spans="1:40" hidden="1">
      <c r="A56" s="7">
        <v>2026</v>
      </c>
      <c r="B56" s="7">
        <v>2</v>
      </c>
      <c r="C56" s="7" t="str">
        <v>Silvia Estipe</v>
      </c>
      <c r="D56" s="7" t="str">
        <v>silvia.estipe@altoqi.com.br</v>
      </c>
      <c r="E56" s="7" t="str">
        <v>Saving</v>
      </c>
      <c r="F56" s="7" t="str">
        <v>Consultor</v>
      </c>
      <c r="G56" s="7" t="str">
        <v>beatriz@altoqi.com.br</v>
      </c>
      <c r="H56" s="7" t="str">
        <v>MRR</v>
      </c>
      <c r="I56" s="86">
        <f>IF(AND(F56="Consultor",H56="MRR"),SUMIFS(Negócios!L:L,Negócios!A:A,A56,Negócios!B:B,B56,Negócios!P:P,D56),
IF(AND(F56="Consultor",H56="Opps"),SUMIFS('Realizado GD'!D:D,'Realizado GD'!A:A,A56,'Realizado GD'!B:B,B56,'Realizado GD'!C:C,D56),
IF(AND(F56="Gestor",E56="Sonia",H56="MRR"),SUMIFS(I:I,A:A,A56,B:B,B56,G:G,D56) + SUMIFS(I:I,A:A,A56,B:B,B56,G:G,"anderson.ortiz@altoqi.com.br"),
IF(AND(F56="Gestor",H56="MRR"),SUMIFS(I:I,A:A,A56,B:B,B56,G:G,D56)))))</f>
        <v>18485.419999999995</v>
      </c>
      <c r="J56" s="16">
        <f>SUMIFS(Metas!K:K,Metas!A:A,A56,Metas!B:B,B56,Metas!D:D,D56,Metas!H:H,H56)</f>
        <v>11750</v>
      </c>
      <c r="K56" s="10">
        <f t="shared" si="11"/>
        <v>1.5732272340425528</v>
      </c>
      <c r="L56" s="26" t="str" cm="1">
        <f t="array" ref="L56">_xlfn.LET(
 _xlpm.g,_xlfn.MAXIFS(Parâmetros!G:G,Parâmetros!A:A,A56,Parâmetros!B:B,B56,Parâmetros!D:D,D56,Parâmetros!E:E,E56),
 _xlpm.j,_xlfn.MAXIFS(Parâmetros!J:J,Parâmetros!A:A,A56,Parâmetros!B:B,B56,Parâmetros!D:D,D56,Parâmetros!E:E,E56),
 _xlpm.m,_xlfn.MAXIFS(Parâmetros!M:M,Parâmetros!A:A,A56,Parâmetros!B:B,B56,Parâmetros!D:D,D56,Parâmetros!E:E,E56),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60,00% | 75,00% | 100,00%</v>
      </c>
      <c r="M56" s="28">
        <f>IF(AND(F56="Gestor",E56="Sonia",H56="MRR"),SUMIFS(M:M,A:A,A56,B:B,B56,G:G,D56) + SUMIFS(M:M,A:A,A56,B:B,B56,G:G,"anderson.ortiz@altoqi.com.br"),
IF(AND(F56="Gestor",H56="MRR"),SUMIFS(M:M,A:A,A56,B:B,B56,G:G,D56),
SUMIFS(Negócios!L:L,Negócios!A:A,A56,Negócios!B:B,B56,Negócios!P:P,D56,Negócios!AG:AG,"À Vista")))</f>
        <v>1126.42</v>
      </c>
      <c r="N56" s="10">
        <f t="shared" si="15"/>
        <v>6.0935591401223253E-2</v>
      </c>
      <c r="O56" s="30">
        <f>SUMIFS('Acel Form Pag'!D:D,'Acel Form Pag'!A:A,A56,'Acel Form Pag'!B:B,B56,'Acel Form Pag'!C:C,E56)</f>
        <v>1.2</v>
      </c>
      <c r="P56" s="87">
        <f>IF(AND(F56="Gestor",E56="Sonia",H56="MRR"),SUMIFS(P:P,A:A,A56,B:B,B56,G:G,D56) + SUMIFS(P:P,A:A,A56,B:B,B56,G:G,"anderson.ortiz@altoqi.com.br"),
IF(AND(F56="Gestor",H56="MRR"),SUMIFS(P:P,A:A,A56,B:B,B56,G:G,D56),
SUMIFS(Negócios!L:L,Negócios!A:A,A56,Negócios!B:B,B56,Negócios!P:P,D56,Negócios!AG:AG,"CC 3x")))</f>
        <v>0</v>
      </c>
      <c r="Q56" s="10">
        <f t="shared" si="16"/>
        <v>0</v>
      </c>
      <c r="R56" s="30">
        <f>SUMIFS('Acel Form Pag'!E:E,'Acel Form Pag'!A:A,A56,'Acel Form Pag'!B:B,B56,'Acel Form Pag'!C:C,E56)</f>
        <v>1.1499999999999999</v>
      </c>
      <c r="S56" s="32">
        <f>IF(AND(F56="Gestor",E56="Sonia",H56="MRR"),SUMIFS(S:S,A:A,A56,B:B,B56,G:G,D56) + SUMIFS(S:S,A:A,A56,B:B,B56,G:G,"anderson.ortiz@altoqi.com.br"),
IF(AND(F56="Gestor",H56="MRR"),SUMIFS(S:S,A:A,A56,B:B,B56,G:G,D56),
SUMIFS(Negócios!L:L,Negócios!A:A,A56,Negócios!B:B,B56,Negócios!P:P,D56,Negócios!AG:AG,"CC 12x")))</f>
        <v>937.56000000000006</v>
      </c>
      <c r="T56" s="10">
        <f t="shared" si="17"/>
        <v>5.0718890888062071E-2</v>
      </c>
      <c r="U56" s="30">
        <f>SUMIFS('Acel Form Pag'!F:F,'Acel Form Pag'!A:A,A56,'Acel Form Pag'!B:B,B56,'Acel Form Pag'!C:C,E56)</f>
        <v>1.1000000000000001</v>
      </c>
      <c r="V56" s="32">
        <f>IF(AND(F56="Gestor",E56="Sonia",H56="MRR"),SUMIFS(V:V,A:A,A56,B:B,B56,G:G,D56) + SUMIFS(V:V,A:A,A56,B:B,B56,G:G,"anderson.ortiz@altoqi.com.br"),
IF(AND(F56="Gestor",H56="MRR"),SUMIFS(V:V,A:A,A56,B:B,B56,G:G,D56),
SUMIFS(Negócios!L:L,Negócios!A:A,A56,Negócios!B:B,B56,Negócios!P:P,D56,Negócios!AG:AG,"Recorrente")))</f>
        <v>16421.439999999995</v>
      </c>
      <c r="W56" s="10">
        <f t="shared" si="19"/>
        <v>0.88834551771071468</v>
      </c>
      <c r="X56" s="34">
        <f>SUMIFS('Acel Form Pag'!G:G,'Acel Form Pag'!A:A,A56,'Acel Form Pag'!B:B,B56,'Acel Form Pag'!C:C,E56)</f>
        <v>1</v>
      </c>
      <c r="Y56" s="24">
        <f>MAX(_xlfn.MAXIFS(Parâmetros!O:O,Parâmetros!A:A,A56,Parâmetros!B:B,B56,Parâmetros!D:D,D56,Parâmetros!M:M,"&lt;="&amp;K56),_xlfn.MAXIFS(Parâmetros!L:L,Parâmetros!A:A,A56,Parâmetros!B:B,B56,Parâmetros!D:D,D56,Parâmetros!J:J,"&lt;="&amp;K56),_xlfn.MAXIFS(Parâmetros!I:I,Parâmetros!A:A,A56,Parâmetros!B:B,B56,Parâmetros!D:D,D56))</f>
        <v>5400</v>
      </c>
      <c r="Z56" s="9">
        <f>MAX(_xlfn.MAXIFS(Parâmetros!Q:Q,Parâmetros!A:A,A56,Parâmetros!B:B,B56,Parâmetros!D:D,D56,Parâmetros!E:E,E56,Parâmetros!P:P,"&lt;="&amp;K56),
_xlfn.MAXIFS(Parâmetros!S:S,Parâmetros!A:A,A56,Parâmetros!B:B,B56,Parâmetros!D:D,D56,Parâmetros!E:E,E56,Parâmetros!R:R,"&lt;="&amp;K56),
_xlfn.MAXIFS(Parâmetros!U:U,Parâmetros!A:A,A56,Parâmetros!B:B,B56,Parâmetros!D:D,D56,Parâmetros!E:E,E56,Parâmetros!T:T,"&lt;="&amp;K56),1) * IF(K56 &gt;= SUMIFS(Parâmetros!G:G,Parâmetros!A:A,A56,Parâmetros!B:B,B56,Parâmetros!D:D,D56,Parâmetros!E:E,E56),1,0)</f>
        <v>1.1000000000000001</v>
      </c>
      <c r="AA56" s="16">
        <f>Y56*Z56*K56</f>
        <v>9344.9697702127651</v>
      </c>
      <c r="AB56" s="16">
        <f>(AA56*N56*O56) + (AA56*Q56*R56) + (AA56*T56*U56) + (AA56*W56*X56)</f>
        <v>9506.2546723404248</v>
      </c>
      <c r="AC56" s="15">
        <f>IF(F56="Gestor",SUMIFS(AC:AC,A:A,A56,B:B,B56,G:G,D56),
IF(E56="Saving",SUMIFS(Negócios!I:I,Negócios!A:A,A56,Negócios!B:B,B56,Negócios!P:P,D56,Negócios!H:H,"Curso") +
SUMIFS(Negócios!I:I,Negócios!A:A,A56,Negócios!B:B,B56,Negócios!P:P,D56,Negócios!H:H,"Serviço") +
SUMIFS(Negócios!I:I,Negócios!A:A,A56,Negócios!B:B,B56,Negócios!P:P,D56,Negócios!H:H,"Implantação"),
SUMIFS(Negócios!I:I,Negócios!A:A,A56,Negócios!B:B,B56,Negócios!P:P,D56,Negócios!H:H,"Implantação")))</f>
        <v>0</v>
      </c>
      <c r="AD56" s="16">
        <f>SUMIFS(Parâmetros!W:W,Parâmetros!A:A,A56,Parâmetros!B:B,B56,Parâmetros!D:D,D56) * AC56 * IF(K56 &gt;= SUMIFS(Parâmetros!V:V,Parâmetros!A:A,A56,Parâmetros!B:B,B56,Parâmetros!D:D,D56),1,0)</f>
        <v>0</v>
      </c>
      <c r="AE56" s="15">
        <f>SUMIFS('Recuperação de Canc e Divs'!D:D,'Recuperação de Canc e Divs'!A:A,A56,'Recuperação de Canc e Divs'!B:B,B56,'Recuperação de Canc e Divs'!C:C,D56)</f>
        <v>8462.32</v>
      </c>
      <c r="AF56" s="16">
        <f>IF(K56&gt;=SUMIFS(Parâmetros!J:J,Parâmetros!A:A,A56,Parâmetros!B:B,B56,Parâmetros!D:D,D56),AE56*0.025,0)</f>
        <v>211.55799999999999</v>
      </c>
      <c r="AG56" s="15" t="str">
        <f t="shared" si="0"/>
        <v/>
      </c>
      <c r="AH56" s="16" t="str">
        <f t="shared" si="1"/>
        <v/>
      </c>
      <c r="AI56" s="90">
        <f t="shared" si="2"/>
        <v>0</v>
      </c>
      <c r="AJ56" s="16" t="str">
        <f t="shared" si="3"/>
        <v/>
      </c>
      <c r="AK56" s="16" t="str">
        <f t="shared" si="4"/>
        <v/>
      </c>
      <c r="AL56" s="90">
        <f t="shared" si="5"/>
        <v>0</v>
      </c>
      <c r="AM56" s="93" t="str">
        <f>IF(AND(OR(B56=3,B56=6,B56=9,B56=12),AI56&gt;=1),
IF(F56="Gestor",AI56*0.6,AI56*0.3),"")</f>
        <v/>
      </c>
      <c r="AN56" s="94" t="str">
        <f>IF(OR(B56=3,B56=6,B56=9,B56=12),
IF(AND(AL56&gt;=1,AI56&gt;=SUMIFS(Parâmetros!G:G,Parâmetros!A:A,Comissões!A56,Parâmetros!B:B,Comissões!B56,Parâmetros!D:D,Comissões!D56,Parâmetros!E:E,Comissões!E56)),AI56*0.3,""),"")</f>
        <v/>
      </c>
    </row>
    <row r="57" spans="1:40" hidden="1">
      <c r="A57" s="7">
        <v>2026</v>
      </c>
      <c r="B57" s="7">
        <v>2</v>
      </c>
      <c r="C57" s="7" t="str">
        <v>Sonia Maria Zielinski Pockszevnicki</v>
      </c>
      <c r="D57" s="7" t="str">
        <v>sonia.zielinski@altoqi.com.br</v>
      </c>
      <c r="E57" s="7" t="str">
        <v>Sonia</v>
      </c>
      <c r="F57" s="7" t="str">
        <v>Gestor</v>
      </c>
      <c r="G57" s="7">
        <v>0</v>
      </c>
      <c r="H57" s="7" t="str">
        <v>MRR</v>
      </c>
      <c r="I57" s="86">
        <f>IF(AND(F57="Consultor",H57="MRR"),SUMIFS(Negócios!L:L,Negócios!A:A,A57,Negócios!B:B,B57,Negócios!P:P,D57),
IF(AND(F57="Consultor",H57="Opps"),SUMIFS('Realizado GD'!D:D,'Realizado GD'!A:A,A57,'Realizado GD'!B:B,B57,'Realizado GD'!C:C,D57),
IF(AND(F57="Gestor",E57="Sonia",H57="MRR"),SUMIFS(I:I,A:A,A57,B:B,B57,G:G,D57) + SUMIFS(I:I,A:A,A57,B:B,B57,G:G,"anderson.ortiz@altoqi.com.br"),
IF(AND(F57="Gestor",H57="MRR"),SUMIFS(I:I,A:A,A57,B:B,B57,G:G,D57)))))</f>
        <v>116920.38686350003</v>
      </c>
      <c r="J57" s="16">
        <f>SUMIFS(Metas!K:K,Metas!A:A,A57,Metas!B:B,B57,Metas!D:D,D57,Metas!H:H,H57)</f>
        <v>96822</v>
      </c>
      <c r="K57" s="10">
        <f t="shared" si="11"/>
        <v>1.2075807860145424</v>
      </c>
      <c r="L57" s="26" t="str" cm="1">
        <f t="array" ref="L57">_xlfn.LET(
 _xlpm.g,_xlfn.MAXIFS(Parâmetros!G:G,Parâmetros!A:A,A57,Parâmetros!B:B,B57,Parâmetros!D:D,D57,Parâmetros!E:E,E57),
 _xlpm.j,_xlfn.MAXIFS(Parâmetros!J:J,Parâmetros!A:A,A57,Parâmetros!B:B,B57,Parâmetros!D:D,D57,Parâmetros!E:E,E57),
 _xlpm.m,_xlfn.MAXIFS(Parâmetros!M:M,Parâmetros!A:A,A57,Parâmetros!B:B,B57,Parâmetros!D:D,D57,Parâmetros!E:E,E57),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55,00%</v>
      </c>
      <c r="M57" s="28">
        <f>IF(AND(F57="Gestor",E57="Sonia",H57="MRR"),SUMIFS(M:M,A:A,A57,B:B,B57,G:G,D57) + SUMIFS(M:M,A:A,A57,B:B,B57,G:G,"anderson.ortiz@altoqi.com.br"),
IF(AND(F57="Gestor",H57="MRR"),SUMIFS(M:M,A:A,A57,B:B,B57,G:G,D57),
SUMIFS(Negócios!L:L,Negócios!A:A,A57,Negócios!B:B,B57,Negócios!P:P,D57,Negócios!AG:AG,"À Vista")))</f>
        <v>9966.4873449999996</v>
      </c>
      <c r="N57" s="10">
        <f t="shared" si="15"/>
        <v>8.5241655560338539E-2</v>
      </c>
      <c r="O57" s="30">
        <f>SUMIFS('Acel Form Pag'!D:D,'Acel Form Pag'!A:A,A57,'Acel Form Pag'!B:B,B57,'Acel Form Pag'!C:C,E57)</f>
        <v>1.4</v>
      </c>
      <c r="P57" s="87">
        <f>IF(AND(F57="Gestor",E57="Sonia",H57="MRR"),SUMIFS(P:P,A:A,A57,B:B,B57,G:G,D57) + SUMIFS(P:P,A:A,A57,B:B,B57,G:G,"anderson.ortiz@altoqi.com.br"),
IF(AND(F57="Gestor",H57="MRR"),SUMIFS(P:P,A:A,A57,B:B,B57,G:G,D57),
SUMIFS(Negócios!L:L,Negócios!A:A,A57,Negócios!B:B,B57,Negócios!P:P,D57,Negócios!AG:AG,"CC 3x")))</f>
        <v>1247.8005000000001</v>
      </c>
      <c r="Q57" s="10">
        <f t="shared" si="16"/>
        <v>1.0672223497316669E-2</v>
      </c>
      <c r="R57" s="30">
        <f>SUMIFS('Acel Form Pag'!E:E,'Acel Form Pag'!A:A,A57,'Acel Form Pag'!B:B,B57,'Acel Form Pag'!C:C,E57)</f>
        <v>1.3</v>
      </c>
      <c r="S57" s="32">
        <f>IF(AND(F57="Gestor",E57="Sonia",H57="MRR"),SUMIFS(S:S,A:A,A57,B:B,B57,G:G,D57) + SUMIFS(S:S,A:A,A57,B:B,B57,G:G,"anderson.ortiz@altoqi.com.br"),
IF(AND(F57="Gestor",H57="MRR"),SUMIFS(S:S,A:A,A57,B:B,B57,G:G,D57),
SUMIFS(Negócios!L:L,Negócios!A:A,A57,Negócios!B:B,B57,Negócios!P:P,D57,Negócios!AG:AG,"CC 12x")))</f>
        <v>42770.978519999997</v>
      </c>
      <c r="T57" s="10">
        <f t="shared" si="17"/>
        <v>0.3658128378409613</v>
      </c>
      <c r="U57" s="30">
        <f>SUMIFS('Acel Form Pag'!F:F,'Acel Form Pag'!A:A,A57,'Acel Form Pag'!B:B,B57,'Acel Form Pag'!C:C,E57)</f>
        <v>1.2</v>
      </c>
      <c r="V57" s="32">
        <f>IF(AND(F57="Gestor",E57="Sonia",H57="MRR"),SUMIFS(V:V,A:A,A57,B:B,B57,G:G,D57) + SUMIFS(V:V,A:A,A57,B:B,B57,G:G,"anderson.ortiz@altoqi.com.br"),
IF(AND(F57="Gestor",H57="MRR"),SUMIFS(V:V,A:A,A57,B:B,B57,G:G,D57),
SUMIFS(Negócios!L:L,Negócios!A:A,A57,Negócios!B:B,B57,Negócios!P:P,D57,Negócios!AG:AG,"Recorrente")))</f>
        <v>62935.120498500008</v>
      </c>
      <c r="W57" s="10">
        <f t="shared" si="19"/>
        <v>0.53827328310138334</v>
      </c>
      <c r="X57" s="34">
        <f>SUMIFS('Acel Form Pag'!G:G,'Acel Form Pag'!A:A,A57,'Acel Form Pag'!B:B,B57,'Acel Form Pag'!C:C,E57)</f>
        <v>1</v>
      </c>
      <c r="Y57" s="24">
        <f>MAX(_xlfn.MAXIFS(Parâmetros!O:O,Parâmetros!A:A,A57,Parâmetros!B:B,B57,Parâmetros!D:D,D57,Parâmetros!M:M,"&lt;="&amp;K57),_xlfn.MAXIFS(Parâmetros!L:L,Parâmetros!A:A,A57,Parâmetros!B:B,B57,Parâmetros!D:D,D57,Parâmetros!J:J,"&lt;="&amp;K57),_xlfn.MAXIFS(Parâmetros!I:I,Parâmetros!A:A,A57,Parâmetros!B:B,B57,Parâmetros!D:D,D57))</f>
        <v>8976</v>
      </c>
      <c r="Z57" s="9">
        <f>MAX(_xlfn.MAXIFS(Parâmetros!Q:Q,Parâmetros!A:A,A57,Parâmetros!B:B,B57,Parâmetros!D:D,D57,Parâmetros!E:E,E57,Parâmetros!P:P,"&lt;="&amp;K57),
_xlfn.MAXIFS(Parâmetros!S:S,Parâmetros!A:A,A57,Parâmetros!B:B,B57,Parâmetros!D:D,D57,Parâmetros!E:E,E57,Parâmetros!R:R,"&lt;="&amp;K57),
_xlfn.MAXIFS(Parâmetros!U:U,Parâmetros!A:A,A57,Parâmetros!B:B,B57,Parâmetros!D:D,D57,Parâmetros!E:E,E57,Parâmetros!T:T,"&lt;="&amp;K57),1) * IF(K57 &gt;= SUMIFS(Parâmetros!G:G,Parâmetros!A:A,A57,Parâmetros!B:B,B57,Parâmetros!D:D,D57,Parâmetros!E:E,E57),1,0)</f>
        <v>1.25</v>
      </c>
      <c r="AA57" s="16">
        <f>Y57*Z57*K57</f>
        <v>13549.056419083166</v>
      </c>
      <c r="AB57" s="16">
        <f>(AA57*N57*O57) + (AA57*Q57*R57) + (AA57*T57*U57) + (AA57*W57*X57)</f>
        <v>15045.69734249148</v>
      </c>
      <c r="AC57" s="15">
        <f>IF(F57="Gestor",SUMIFS(AC:AC,A:A,A57,B:B,B57,G:G,D57),
IF(E57="Saving",SUMIFS(Negócios!I:I,Negócios!A:A,A57,Negócios!B:B,B57,Negócios!P:P,D57,Negócios!H:H,"Curso") +
SUMIFS(Negócios!I:I,Negócios!A:A,A57,Negócios!B:B,B57,Negócios!P:P,D57,Negócios!H:H,"Serviço") +
SUMIFS(Negócios!I:I,Negócios!A:A,A57,Negócios!B:B,B57,Negócios!P:P,D57,Negócios!H:H,"Implantação"),
SUMIFS(Negócios!I:I,Negócios!A:A,A57,Negócios!B:B,B57,Negócios!P:P,D57,Negócios!H:H,"Implantação")))</f>
        <v>0</v>
      </c>
      <c r="AD57" s="16">
        <f>SUMIFS(Parâmetros!W:W,Parâmetros!A:A,A57,Parâmetros!B:B,B57,Parâmetros!D:D,D57) * AC57 * IF(K57 &gt;= SUMIFS(Parâmetros!V:V,Parâmetros!A:A,A57,Parâmetros!B:B,B57,Parâmetros!D:D,D57),1,0)</f>
        <v>0</v>
      </c>
      <c r="AE57" s="15">
        <f>SUMIFS('Recuperação de Canc e Divs'!D:D,'Recuperação de Canc e Divs'!A:A,A57,'Recuperação de Canc e Divs'!B:B,B57,'Recuperação de Canc e Divs'!C:C,D57)</f>
        <v>0</v>
      </c>
      <c r="AF57" s="16">
        <f>IF(K57&gt;=SUMIFS(Parâmetros!J:J,Parâmetros!A:A,A57,Parâmetros!B:B,B57,Parâmetros!D:D,D57),AE57*0.025,0)</f>
        <v>0</v>
      </c>
      <c r="AG57" s="15" t="str">
        <f>IF(OR(B57=3,B57=6,B57=9,B57=12),
SUMIFS(I:I,$A:$A,$A57,$B:$B,"&gt;="&amp;(B57-2),$B:$B,"&lt;="&amp;B57,$D:$D,$D57),"")</f>
        <v/>
      </c>
      <c r="AH57" s="16" t="str">
        <f>IF(OR(B57=3,B57=6,B57=9,B57=12),
SUMIFS(J:J,$A:$A,$A57,$B:$B,"&gt;="&amp;(B57-2),$B:$B,"&lt;="&amp;B57,$D:$D,$D57),"")</f>
        <v/>
      </c>
      <c r="AI57" s="90">
        <f>IFERROR(AG57/AH57,0)</f>
        <v>0</v>
      </c>
      <c r="AJ57" s="16" t="str">
        <f>IF(F57="Gestor","",
IF(OR(B57=3,B57=6,B57=9,B57=12),
SUMIFS(I:I,$A:$A,$A57,$B:$B,"&gt;="&amp;(B57-2),$B:$B,"&lt;="&amp;B57,$E:$E,$E57,$F:$F,"&lt;&gt;Gestor"),
""))</f>
        <v/>
      </c>
      <c r="AK57" s="16" t="str">
        <f>IF(F57="Gestor","",
IF(OR(B57=3,B57=6,B57=9,B57=12),
SUMIFS(J:J,$A:$A,$A57,$B:$B,"&gt;="&amp;(B57-2),$B:$B,"&lt;="&amp;B57,$E:$E,$E57,$F:$F,"&lt;&gt;Gestor"),
""))</f>
        <v/>
      </c>
      <c r="AL57" s="90">
        <f>IFERROR(AJ57/AK57,0)</f>
        <v>0</v>
      </c>
      <c r="AM57" s="93" t="str">
        <f>IF(AND(OR(B57=3,B57=6,B57=9,B57=12),AI57&gt;=1),
IF(F57="Gestor",AI57*0.6,AI57*0.3),"")</f>
        <v/>
      </c>
      <c r="AN57" s="94" t="str">
        <f>IF(OR(B57=3,B57=6,B57=9,B57=12),
IF(AND(AL57&gt;=1,AI57&gt;=SUMIFS(Parâmetros!G:G,Parâmetros!A:A,Comissões!A57,Parâmetros!B:B,Comissões!B57,Parâmetros!D:D,Comissões!D57,Parâmetros!E:E,Comissões!E57)),AI57*0.3,""),"")</f>
        <v/>
      </c>
    </row>
    <row r="58" spans="1:40" hidden="1">
      <c r="A58" s="7">
        <v>2026</v>
      </c>
      <c r="B58" s="7">
        <v>3</v>
      </c>
      <c r="C58" s="7" t="str">
        <v>Francisco Guilherme Junior</v>
      </c>
      <c r="D58" s="7" t="str">
        <v>francisco.junior@altoqi.com.br</v>
      </c>
      <c r="E58" s="7" t="str">
        <v>Ares</v>
      </c>
      <c r="F58" s="7" t="str">
        <v>Consultor</v>
      </c>
      <c r="G58" s="7" t="str">
        <v>sonia.zielinski@altoqi.com.br</v>
      </c>
      <c r="H58" s="7" t="str">
        <v>MRR</v>
      </c>
      <c r="I58" s="86">
        <f>IF(AND(F58="Consultor",H58="MRR"),SUMIFS(Negócios!L:L,Negócios!A:A,A58,Negócios!B:B,B58,Negócios!P:P,D58),
IF(AND(F58="Consultor",H58="Opps"),SUMIFS('Realizado GD'!D:D,'Realizado GD'!A:A,A58,'Realizado GD'!B:B,B58,'Realizado GD'!C:C,D58),
IF(AND(F58="Gestor",E58="Sonia",H58="MRR"),SUMIFS(I:I,A:A,A58,B:B,B58,G:G,D58) + SUMIFS(I:I,A:A,A58,B:B,B58,G:G,"anderson.ortiz@altoqi.com.br"),
IF(AND(F58="Gestor",H58="MRR"),SUMIFS(I:I,A:A,A58,B:B,B58,G:G,D58)))))</f>
        <v>8506</v>
      </c>
      <c r="J58" s="16">
        <f>SUMIFS(Metas!K:K,Metas!A:A,A58,Metas!B:B,B58,Metas!D:D,D58,Metas!H:H,H58)</f>
        <v>11400</v>
      </c>
      <c r="K58" s="10">
        <f t="shared" ref="K58:K105" si="20">IFERROR(I58/J58,0)</f>
        <v>0.74614035087719299</v>
      </c>
      <c r="L58" s="26" t="str" cm="1">
        <f t="array" ref="L58">_xlfn.LET(
 _xlpm.g,_xlfn.MAXIFS(Parâmetros!G:G,Parâmetros!A:A,A58,Parâmetros!B:B,B58,Parâmetros!D:D,D58,Parâmetros!E:E,E58),
 _xlpm.j,_xlfn.MAXIFS(Parâmetros!J:J,Parâmetros!A:A,A58,Parâmetros!B:B,B58,Parâmetros!D:D,D58,Parâmetros!E:E,E58),
 _xlpm.m,_xlfn.MAXIFS(Parâmetros!M:M,Parâmetros!A:A,A58,Parâmetros!B:B,B58,Parâmetros!D:D,D58,Parâmetros!E:E,E58),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55,00%</v>
      </c>
      <c r="M58" s="28">
        <f>IF(AND(F58="Gestor",E58="Sonia",H58="MRR"),SUMIFS(M:M,A:A,A58,B:B,B58,G:G,D58) + SUMIFS(M:M,A:A,A58,B:B,B58,G:G,"anderson.ortiz@altoqi.com.br"),
IF(AND(F58="Gestor",H58="MRR"),SUMIFS(M:M,A:A,A58,B:B,B58,G:G,D58),
SUMIFS(Negócios!L:L,Negócios!A:A,A58,Negócios!B:B,B58,Negócios!P:P,D58,Negócios!AG:AG,"À Vista")))</f>
        <v>2240.8000000000002</v>
      </c>
      <c r="N58" s="10">
        <f t="shared" ref="N58:N105" si="21">IFERROR(M58/$I58,0)</f>
        <v>0.26343757347754526</v>
      </c>
      <c r="O58" s="30">
        <f>SUMIFS('Acel Form Pag'!D:D,'Acel Form Pag'!A:A,A58,'Acel Form Pag'!B:B,B58,'Acel Form Pag'!C:C,E58)</f>
        <v>1.3</v>
      </c>
      <c r="P58" s="87">
        <f>IF(AND(F58="Gestor",E58="Sonia",H58="MRR"),SUMIFS(P:P,A:A,A58,B:B,B58,G:G,D58) + SUMIFS(P:P,A:A,A58,B:B,B58,G:G,"anderson.ortiz@altoqi.com.br"),
IF(AND(F58="Gestor",H58="MRR"),SUMIFS(P:P,A:A,A58,B:B,B58,G:G,D58),
SUMIFS(Negócios!L:L,Negócios!A:A,A58,Negócios!B:B,B58,Negócios!P:P,D58,Negócios!AG:AG,"CC 3x")))</f>
        <v>0</v>
      </c>
      <c r="Q58" s="10">
        <f t="shared" ref="Q58:Q105" si="22">IFERROR(P58/$I58,0)</f>
        <v>0</v>
      </c>
      <c r="R58" s="30">
        <f>SUMIFS('Acel Form Pag'!E:E,'Acel Form Pag'!A:A,A58,'Acel Form Pag'!B:B,B58,'Acel Form Pag'!C:C,E58)</f>
        <v>1.2</v>
      </c>
      <c r="S58" s="32">
        <f>IF(AND(F58="Gestor",E58="Sonia",H58="MRR"),SUMIFS(S:S,A:A,A58,B:B,B58,G:G,D58) + SUMIFS(S:S,A:A,A58,B:B,B58,G:G,"anderson.ortiz@altoqi.com.br"),
IF(AND(F58="Gestor",H58="MRR"),SUMIFS(S:S,A:A,A58,B:B,B58,G:G,D58),
SUMIFS(Negócios!L:L,Negócios!A:A,A58,Negócios!B:B,B58,Negócios!P:P,D58,Negócios!AG:AG,"CC 12x")))</f>
        <v>2668.7999999999997</v>
      </c>
      <c r="T58" s="10">
        <f t="shared" ref="T58:T105" si="23">IFERROR(S58/$I58,0)</f>
        <v>0.31375499647307781</v>
      </c>
      <c r="U58" s="30">
        <f>SUMIFS('Acel Form Pag'!F:F,'Acel Form Pag'!A:A,A58,'Acel Form Pag'!B:B,B58,'Acel Form Pag'!C:C,E58)</f>
        <v>1.1499999999999999</v>
      </c>
      <c r="V58" s="32">
        <f>IF(AND(F58="Gestor",E58="Sonia",H58="MRR"),SUMIFS(V:V,A:A,A58,B:B,B58,G:G,D58) + SUMIFS(V:V,A:A,A58,B:B,B58,G:G,"anderson.ortiz@altoqi.com.br"),
IF(AND(F58="Gestor",H58="MRR"),SUMIFS(V:V,A:A,A58,B:B,B58,G:G,D58),
SUMIFS(Negócios!L:L,Negócios!A:A,A58,Negócios!B:B,B58,Negócios!P:P,D58,Negócios!AG:AG,"Recorrente")))</f>
        <v>3596.3999999999996</v>
      </c>
      <c r="W58" s="10">
        <f t="shared" ref="W58:W105" si="24">IFERROR(V58/$I58,0)</f>
        <v>0.42280743004937688</v>
      </c>
      <c r="X58" s="34">
        <f>SUMIFS('Acel Form Pag'!G:G,'Acel Form Pag'!A:A,A58,'Acel Form Pag'!B:B,B58,'Acel Form Pag'!C:C,E58)</f>
        <v>1</v>
      </c>
      <c r="Y58" s="24">
        <f>MAX(_xlfn.MAXIFS(Parâmetros!O:O,Parâmetros!A:A,A58,Parâmetros!B:B,B58,Parâmetros!D:D,D58,Parâmetros!M:M,"&lt;="&amp;K58),_xlfn.MAXIFS(Parâmetros!L:L,Parâmetros!A:A,A58,Parâmetros!B:B,B58,Parâmetros!D:D,D58,Parâmetros!J:J,"&lt;="&amp;K58),_xlfn.MAXIFS(Parâmetros!I:I,Parâmetros!A:A,A58,Parâmetros!B:B,B58,Parâmetros!D:D,D58))</f>
        <v>4176</v>
      </c>
      <c r="Z58" s="9">
        <f>MAX(_xlfn.MAXIFS(Parâmetros!Q:Q,Parâmetros!A:A,A58,Parâmetros!B:B,B58,Parâmetros!D:D,D58,Parâmetros!E:E,E58,Parâmetros!P:P,"&lt;="&amp;K58),
_xlfn.MAXIFS(Parâmetros!S:S,Parâmetros!A:A,A58,Parâmetros!B:B,B58,Parâmetros!D:D,D58,Parâmetros!E:E,E58,Parâmetros!R:R,"&lt;="&amp;K58),
_xlfn.MAXIFS(Parâmetros!U:U,Parâmetros!A:A,A58,Parâmetros!B:B,B58,Parâmetros!D:D,D58,Parâmetros!E:E,E58,Parâmetros!T:T,"&lt;="&amp;K58),1) * IF(K58 &gt;= SUMIFS(Parâmetros!G:G,Parâmetros!A:A,A58,Parâmetros!B:B,B58,Parâmetros!D:D,D58,Parâmetros!E:E,E58),1,0)</f>
        <v>1</v>
      </c>
      <c r="AA58" s="16">
        <f>Y58*Z58*K58</f>
        <v>3115.8821052631579</v>
      </c>
      <c r="AB58" s="16">
        <f>(AA58*N58*O58) + (AA58*Q58*R58) + (AA58*T58*U58) + (AA58*W58*X58)</f>
        <v>3508.7777684210523</v>
      </c>
      <c r="AC58" s="15">
        <f>IF(F58="Gestor",SUMIFS(AC:AC,A:A,A58,B:B,B58,G:G,D58),
IF(E58="Saving",SUMIFS(Negócios!I:I,Negócios!A:A,A58,Negócios!B:B,B58,Negócios!P:P,D58,Negócios!H:H,"Curso") +
SUMIFS(Negócios!I:I,Negócios!A:A,A58,Negócios!B:B,B58,Negócios!P:P,D58,Negócios!H:H,"Serviço") +
SUMIFS(Negócios!I:I,Negócios!A:A,A58,Negócios!B:B,B58,Negócios!P:P,D58,Negócios!H:H,"Implantação"),
SUMIFS(Negócios!I:I,Negócios!A:A,A58,Negócios!B:B,B58,Negócios!P:P,D58,Negócios!H:H,"Implantação")))</f>
        <v>0</v>
      </c>
      <c r="AD58" s="16">
        <f>SUMIFS(Parâmetros!W:W,Parâmetros!A:A,A58,Parâmetros!B:B,B58,Parâmetros!D:D,D58) * AC58 * IF(K58 &gt;= SUMIFS(Parâmetros!V:V,Parâmetros!A:A,A58,Parâmetros!B:B,B58,Parâmetros!D:D,D58),1,0)</f>
        <v>0</v>
      </c>
      <c r="AE58" s="15">
        <f>SUMIFS('Recuperação de Canc e Divs'!D:D,'Recuperação de Canc e Divs'!A:A,A58,'Recuperação de Canc e Divs'!B:B,B58,'Recuperação de Canc e Divs'!C:C,D58)</f>
        <v>0</v>
      </c>
      <c r="AF58" s="16">
        <f>IF(K58&gt;=SUMIFS(Parâmetros!J:J,Parâmetros!A:A,A58,Parâmetros!B:B,B58,Parâmetros!D:D,D58),AE58*0.025,0)</f>
        <v>0</v>
      </c>
      <c r="AG58" s="15">
        <f t="shared" ref="AG58:AG85" si="25">IF(OR(B58=3,B58=6,B58=9,B58=12),
SUMIFS(I:I,$A:$A,$A58,$B:$B,"&gt;="&amp;(B58-2),$B:$B,"&lt;="&amp;B58,$D:$D,$D58),"")</f>
        <v>25735.874999999996</v>
      </c>
      <c r="AH58" s="16">
        <f t="shared" ref="AH58:AH85" si="26">IF(OR(B58=3,B58=6,B58=9,B58=12),
SUMIFS(J:J,$A:$A,$A58,$B:$B,"&gt;="&amp;(B58-2),$B:$B,"&lt;="&amp;B58,$D:$D,$D58),"")</f>
        <v>28550</v>
      </c>
      <c r="AI58" s="90">
        <f t="shared" ref="AI58:AI85" si="27">IFERROR(AG58/AH58,0)</f>
        <v>0.90143169877408047</v>
      </c>
      <c r="AJ58" s="16">
        <f t="shared" ref="AJ58:AJ85" si="28">IF(F58="Gestor","",
IF(OR(B58=3,B58=6,B58=9,B58=12),
SUMIFS(I:I,$A:$A,$A58,$B:$B,"&gt;="&amp;(B58-2),$B:$B,"&lt;="&amp;B58,$E:$E,$E58,$F:$F,"&lt;&gt;Gestor"),
""))</f>
        <v>44401.879000000001</v>
      </c>
      <c r="AK58" s="16">
        <f t="shared" ref="AK58:AK85" si="29">IF(F58="Gestor","",
IF(OR(B58=3,B58=6,B58=9,B58=12),
SUMIFS(J:J,$A:$A,$A58,$B:$B,"&gt;="&amp;(B58-2),$B:$B,"&lt;="&amp;B58,$E:$E,$E58,$F:$F,"&lt;&gt;Gestor"),
""))</f>
        <v>54800</v>
      </c>
      <c r="AL58" s="90">
        <f t="shared" ref="AL58:AL85" si="30">IFERROR(AJ58/AK58,0)</f>
        <v>0.81025326642335771</v>
      </c>
      <c r="AM58" s="93" t="str">
        <f>IF(AND(OR(B58=3,B58=6,B58=9,B58=12),AI58&gt;=1),
IF(F58="Gestor",AI58*0.6,AI58*0.3),"")</f>
        <v/>
      </c>
      <c r="AN58" s="94" t="str">
        <f>IF(OR(B58=3,B58=6,B58=9,B58=12),
IF(AND(AL58&gt;=1,AI58&gt;=SUMIFS(Parâmetros!G:G,Parâmetros!A:A,Comissões!A58,Parâmetros!B:B,Comissões!B58,Parâmetros!D:D,Comissões!D58,Parâmetros!E:E,Comissões!E58)),AI58*0.3,""),"")</f>
        <v/>
      </c>
    </row>
    <row r="59" spans="1:40" hidden="1">
      <c r="A59" s="7">
        <v>2026</v>
      </c>
      <c r="B59" s="7">
        <v>3</v>
      </c>
      <c r="C59" s="7" t="str">
        <v>Rodrigo da Rosa Lima</v>
      </c>
      <c r="D59" s="7" t="str">
        <v>rodrigo.lima@altoqi.com.br</v>
      </c>
      <c r="E59" s="7" t="str">
        <v>Ares</v>
      </c>
      <c r="F59" s="7" t="str">
        <v>Consultor</v>
      </c>
      <c r="G59" s="7" t="str">
        <v>sonia.zielinski@altoqi.com.br</v>
      </c>
      <c r="H59" s="7" t="str">
        <v>MRR</v>
      </c>
      <c r="I59" s="86">
        <f>IF(AND(F59="Consultor",H59="MRR"),SUMIFS(Negócios!L:L,Negócios!A:A,A59,Negócios!B:B,B59,Negócios!P:P,D59),
IF(AND(F59="Consultor",H59="Opps"),SUMIFS('Realizado GD'!D:D,'Realizado GD'!A:A,A59,'Realizado GD'!B:B,B59,'Realizado GD'!C:C,D59),
IF(AND(F59="Gestor",E59="Sonia",H59="MRR"),SUMIFS(I:I,A:A,A59,B:B,B59,G:G,D59) + SUMIFS(I:I,A:A,A59,B:B,B59,G:G,"anderson.ortiz@altoqi.com.br"),
IF(AND(F59="Gestor",H59="MRR"),SUMIFS(I:I,A:A,A59,B:B,B59,G:G,D59)))))</f>
        <v>8877.353000000001</v>
      </c>
      <c r="J59" s="16">
        <f>SUMIFS(Metas!K:K,Metas!A:A,A59,Metas!B:B,B59,Metas!D:D,D59,Metas!H:H,H59)</f>
        <v>9500</v>
      </c>
      <c r="K59" s="10">
        <f t="shared" si="20"/>
        <v>0.93445821052631595</v>
      </c>
      <c r="L59" s="26" t="str" cm="1">
        <f t="array" ref="L59">_xlfn.LET(
 _xlpm.g,_xlfn.MAXIFS(Parâmetros!G:G,Parâmetros!A:A,A59,Parâmetros!B:B,B59,Parâmetros!D:D,D59,Parâmetros!E:E,E59),
 _xlpm.j,_xlfn.MAXIFS(Parâmetros!J:J,Parâmetros!A:A,A59,Parâmetros!B:B,B59,Parâmetros!D:D,D59,Parâmetros!E:E,E59),
 _xlpm.m,_xlfn.MAXIFS(Parâmetros!M:M,Parâmetros!A:A,A59,Parâmetros!B:B,B59,Parâmetros!D:D,D59,Parâmetros!E:E,E59),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55,00%</v>
      </c>
      <c r="M59" s="28">
        <f>IF(AND(F59="Gestor",E59="Sonia",H59="MRR"),SUMIFS(M:M,A:A,A59,B:B,B59,G:G,D59) + SUMIFS(M:M,A:A,A59,B:B,B59,G:G,"anderson.ortiz@altoqi.com.br"),
IF(AND(F59="Gestor",H59="MRR"),SUMIFS(M:M,A:A,A59,B:B,B59,G:G,D59),
SUMIFS(Negócios!L:L,Negócios!A:A,A59,Negócios!B:B,B59,Negócios!P:P,D59,Negócios!AG:AG,"À Vista")))</f>
        <v>1992.6880000000001</v>
      </c>
      <c r="N59" s="10">
        <f t="shared" si="21"/>
        <v>0.22446871268946947</v>
      </c>
      <c r="O59" s="30">
        <f>SUMIFS('Acel Form Pag'!D:D,'Acel Form Pag'!A:A,A59,'Acel Form Pag'!B:B,B59,'Acel Form Pag'!C:C,E59)</f>
        <v>1.3</v>
      </c>
      <c r="P59" s="87">
        <f>IF(AND(F59="Gestor",E59="Sonia",H59="MRR"),SUMIFS(P:P,A:A,A59,B:B,B59,G:G,D59) + SUMIFS(P:P,A:A,A59,B:B,B59,G:G,"anderson.ortiz@altoqi.com.br"),
IF(AND(F59="Gestor",H59="MRR"),SUMIFS(P:P,A:A,A59,B:B,B59,G:G,D59),
SUMIFS(Negócios!L:L,Negócios!A:A,A59,Negócios!B:B,B59,Negócios!P:P,D59,Negócios!AG:AG,"CC 3x")))</f>
        <v>0</v>
      </c>
      <c r="Q59" s="10">
        <f t="shared" si="22"/>
        <v>0</v>
      </c>
      <c r="R59" s="30">
        <f>SUMIFS('Acel Form Pag'!E:E,'Acel Form Pag'!A:A,A59,'Acel Form Pag'!B:B,B59,'Acel Form Pag'!C:C,E59)</f>
        <v>1.2</v>
      </c>
      <c r="S59" s="32">
        <f>IF(AND(F59="Gestor",E59="Sonia",H59="MRR"),SUMIFS(S:S,A:A,A59,B:B,B59,G:G,D59) + SUMIFS(S:S,A:A,A59,B:B,B59,G:G,"anderson.ortiz@altoqi.com.br"),
IF(AND(F59="Gestor",H59="MRR"),SUMIFS(S:S,A:A,A59,B:B,B59,G:G,D59),
SUMIFS(Negócios!L:L,Negócios!A:A,A59,Negócios!B:B,B59,Negócios!P:P,D59,Negócios!AG:AG,"CC 12x")))</f>
        <v>1898.6100000000001</v>
      </c>
      <c r="T59" s="10">
        <f t="shared" si="23"/>
        <v>0.21387118434965918</v>
      </c>
      <c r="U59" s="30">
        <f>SUMIFS('Acel Form Pag'!F:F,'Acel Form Pag'!A:A,A59,'Acel Form Pag'!B:B,B59,'Acel Form Pag'!C:C,E59)</f>
        <v>1.1499999999999999</v>
      </c>
      <c r="V59" s="32">
        <f>IF(AND(F59="Gestor",E59="Sonia",H59="MRR"),SUMIFS(V:V,A:A,A59,B:B,B59,G:G,D59) + SUMIFS(V:V,A:A,A59,B:B,B59,G:G,"anderson.ortiz@altoqi.com.br"),
IF(AND(F59="Gestor",H59="MRR"),SUMIFS(V:V,A:A,A59,B:B,B59,G:G,D59),
SUMIFS(Negócios!L:L,Negócios!A:A,A59,Negócios!B:B,B59,Negócios!P:P,D59,Negócios!AG:AG,"Recorrente")))</f>
        <v>4986.0550000000003</v>
      </c>
      <c r="W59" s="10">
        <f t="shared" si="24"/>
        <v>0.56166010296087132</v>
      </c>
      <c r="X59" s="34">
        <f>SUMIFS('Acel Form Pag'!G:G,'Acel Form Pag'!A:A,A59,'Acel Form Pag'!B:B,B59,'Acel Form Pag'!C:C,E59)</f>
        <v>1</v>
      </c>
      <c r="Y59" s="24">
        <f>MAX(_xlfn.MAXIFS(Parâmetros!O:O,Parâmetros!A:A,A59,Parâmetros!B:B,B59,Parâmetros!D:D,D59,Parâmetros!M:M,"&lt;="&amp;K59),_xlfn.MAXIFS(Parâmetros!L:L,Parâmetros!A:A,A59,Parâmetros!B:B,B59,Parâmetros!D:D,D59,Parâmetros!J:J,"&lt;="&amp;K59),_xlfn.MAXIFS(Parâmetros!I:I,Parâmetros!A:A,A59,Parâmetros!B:B,B59,Parâmetros!D:D,D59))</f>
        <v>3564</v>
      </c>
      <c r="Z59" s="9">
        <f>MAX(_xlfn.MAXIFS(Parâmetros!Q:Q,Parâmetros!A:A,A59,Parâmetros!B:B,B59,Parâmetros!D:D,D59,Parâmetros!E:E,E59,Parâmetros!P:P,"&lt;="&amp;K59),
_xlfn.MAXIFS(Parâmetros!S:S,Parâmetros!A:A,A59,Parâmetros!B:B,B59,Parâmetros!D:D,D59,Parâmetros!E:E,E59,Parâmetros!R:R,"&lt;="&amp;K59),
_xlfn.MAXIFS(Parâmetros!U:U,Parâmetros!A:A,A59,Parâmetros!B:B,B59,Parâmetros!D:D,D59,Parâmetros!E:E,E59,Parâmetros!T:T,"&lt;="&amp;K59),1) * IF(K59 &gt;= SUMIFS(Parâmetros!G:G,Parâmetros!A:A,A59,Parâmetros!B:B,B59,Parâmetros!D:D,D59,Parâmetros!E:E,E59),1,0)</f>
        <v>1</v>
      </c>
      <c r="AA59" s="16">
        <f>Y59*Z59*K59</f>
        <v>3330.4090623157899</v>
      </c>
      <c r="AB59" s="16">
        <f>(AA59*N59*O59) + (AA59*Q59*R59) + (AA59*T59*U59) + (AA59*W59*X59)</f>
        <v>3661.5226323789475</v>
      </c>
      <c r="AC59" s="15">
        <f>IF(F59="Gestor",SUMIFS(AC:AC,A:A,A59,B:B,B59,G:G,D59),
IF(E59="Saving",SUMIFS(Negócios!I:I,Negócios!A:A,A59,Negócios!B:B,B59,Negócios!P:P,D59,Negócios!H:H,"Curso") +
SUMIFS(Negócios!I:I,Negócios!A:A,A59,Negócios!B:B,B59,Negócios!P:P,D59,Negócios!H:H,"Serviço") +
SUMIFS(Negócios!I:I,Negócios!A:A,A59,Negócios!B:B,B59,Negócios!P:P,D59,Negócios!H:H,"Implantação"),
SUMIFS(Negócios!I:I,Negócios!A:A,A59,Negócios!B:B,B59,Negócios!P:P,D59,Negócios!H:H,"Implantação")))</f>
        <v>0</v>
      </c>
      <c r="AD59" s="16">
        <f>SUMIFS(Parâmetros!W:W,Parâmetros!A:A,A59,Parâmetros!B:B,B59,Parâmetros!D:D,D59) * AC59 * IF(K59 &gt;= SUMIFS(Parâmetros!V:V,Parâmetros!A:A,A59,Parâmetros!B:B,B59,Parâmetros!D:D,D59),1,0)</f>
        <v>0</v>
      </c>
      <c r="AE59" s="15">
        <f>SUMIFS('Recuperação de Canc e Divs'!D:D,'Recuperação de Canc e Divs'!A:A,A59,'Recuperação de Canc e Divs'!B:B,B59,'Recuperação de Canc e Divs'!C:C,D59)</f>
        <v>0</v>
      </c>
      <c r="AF59" s="16">
        <f>IF(K59&gt;=SUMIFS(Parâmetros!J:J,Parâmetros!A:A,A59,Parâmetros!B:B,B59,Parâmetros!D:D,D59),AE59*0.025,0)</f>
        <v>0</v>
      </c>
      <c r="AG59" s="15">
        <f t="shared" si="25"/>
        <v>16405.954000000002</v>
      </c>
      <c r="AH59" s="16">
        <f t="shared" si="26"/>
        <v>21250</v>
      </c>
      <c r="AI59" s="90">
        <f t="shared" si="27"/>
        <v>0.7720448941176471</v>
      </c>
      <c r="AJ59" s="16">
        <f t="shared" si="28"/>
        <v>44401.879000000001</v>
      </c>
      <c r="AK59" s="16">
        <f t="shared" si="29"/>
        <v>54800</v>
      </c>
      <c r="AL59" s="90">
        <f t="shared" si="30"/>
        <v>0.81025326642335771</v>
      </c>
      <c r="AM59" s="93" t="str">
        <f>IF(AND(OR(B59=3,B59=6,B59=9,B59=12),AI59&gt;=1),
IF(F59="Gestor",AI59*0.6,AI59*0.3),"")</f>
        <v/>
      </c>
      <c r="AN59" s="94" t="str">
        <f>IF(OR(B59=3,B59=6,B59=9,B59=12),
IF(AND(AL59&gt;=1,AI59&gt;=SUMIFS(Parâmetros!G:G,Parâmetros!A:A,Comissões!A59,Parâmetros!B:B,Comissões!B59,Parâmetros!D:D,Comissões!D59,Parâmetros!E:E,Comissões!E59)),AI59*0.3,""),"")</f>
        <v/>
      </c>
    </row>
    <row r="60" spans="1:40" hidden="1">
      <c r="A60" s="7">
        <v>2026</v>
      </c>
      <c r="B60" s="7">
        <v>3</v>
      </c>
      <c r="C60" s="7" t="str">
        <v>Eloyse Silveira</v>
      </c>
      <c r="D60" s="7" t="str">
        <v>eloyse.silveira@altoqi.com.br</v>
      </c>
      <c r="E60" s="7" t="str">
        <v>B2B Construtora</v>
      </c>
      <c r="F60" s="7" t="str">
        <v>Consultor</v>
      </c>
      <c r="G60" s="7">
        <v>0</v>
      </c>
      <c r="H60" s="7" t="str">
        <v>MRR</v>
      </c>
      <c r="I60" s="86">
        <f>IF(AND(F60="Consultor",H60="MRR"),SUMIFS(Negócios!L:L,Negócios!A:A,A60,Negócios!B:B,B60,Negócios!P:P,D60),
IF(AND(F60="Consultor",H60="Opps"),SUMIFS('Realizado GD'!D:D,'Realizado GD'!A:A,A60,'Realizado GD'!B:B,B60,'Realizado GD'!C:C,D60),
IF(AND(F60="Gestor",E60="Sonia",H60="MRR"),SUMIFS(I:I,A:A,A60,B:B,B60,G:G,D60) + SUMIFS(I:I,A:A,A60,B:B,B60,G:G,"anderson.ortiz@altoqi.com.br"),
IF(AND(F60="Gestor",H60="MRR"),SUMIFS(I:I,A:A,A60,B:B,B60,G:G,D60)))))</f>
        <v>3874.9650000000001</v>
      </c>
      <c r="J60" s="16">
        <f>SUMIFS(Metas!K:K,Metas!A:A,A60,Metas!B:B,B60,Metas!D:D,D60,Metas!H:H,H60)</f>
        <v>3500</v>
      </c>
      <c r="K60" s="10">
        <f t="shared" si="20"/>
        <v>1.1071328571428571</v>
      </c>
      <c r="L60" s="26" t="str" cm="1">
        <f t="array" ref="L60">_xlfn.LET(
 _xlpm.g,_xlfn.MAXIFS(Parâmetros!G:G,Parâmetros!A:A,A60,Parâmetros!B:B,B60,Parâmetros!D:D,D60,Parâmetros!E:E,E60),
 _xlpm.j,_xlfn.MAXIFS(Parâmetros!J:J,Parâmetros!A:A,A60,Parâmetros!B:B,B60,Parâmetros!D:D,D60,Parâmetros!E:E,E60),
 _xlpm.m,_xlfn.MAXIFS(Parâmetros!M:M,Parâmetros!A:A,A60,Parâmetros!B:B,B60,Parâmetros!D:D,D60,Parâmetros!E:E,E60),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55,00%</v>
      </c>
      <c r="M60" s="28">
        <f>IF(AND(F60="Gestor",E60="Sonia",H60="MRR"),SUMIFS(M:M,A:A,A60,B:B,B60,G:G,D60) + SUMIFS(M:M,A:A,A60,B:B,B60,G:G,"anderson.ortiz@altoqi.com.br"),
IF(AND(F60="Gestor",H60="MRR"),SUMIFS(M:M,A:A,A60,B:B,B60,G:G,D60),
SUMIFS(Negócios!L:L,Negócios!A:A,A60,Negócios!B:B,B60,Negócios!P:P,D60,Negócios!AG:AG,"À Vista")))</f>
        <v>651.89</v>
      </c>
      <c r="N60" s="10">
        <f t="shared" si="21"/>
        <v>0.16823119692693997</v>
      </c>
      <c r="O60" s="30">
        <f>SUMIFS('Acel Form Pag'!D:D,'Acel Form Pag'!A:A,A60,'Acel Form Pag'!B:B,B60,'Acel Form Pag'!C:C,E60)</f>
        <v>1.3</v>
      </c>
      <c r="P60" s="87">
        <f>IF(AND(F60="Gestor",E60="Sonia",H60="MRR"),SUMIFS(P:P,A:A,A60,B:B,B60,G:G,D60) + SUMIFS(P:P,A:A,A60,B:B,B60,G:G,"anderson.ortiz@altoqi.com.br"),
IF(AND(F60="Gestor",H60="MRR"),SUMIFS(P:P,A:A,A60,B:B,B60,G:G,D60),
SUMIFS(Negócios!L:L,Negócios!A:A,A60,Negócios!B:B,B60,Negócios!P:P,D60,Negócios!AG:AG,"CC 3x")))</f>
        <v>0</v>
      </c>
      <c r="Q60" s="10">
        <f t="shared" si="22"/>
        <v>0</v>
      </c>
      <c r="R60" s="30">
        <f>SUMIFS('Acel Form Pag'!E:E,'Acel Form Pag'!A:A,A60,'Acel Form Pag'!B:B,B60,'Acel Form Pag'!C:C,E60)</f>
        <v>1.2</v>
      </c>
      <c r="S60" s="32">
        <f>IF(AND(F60="Gestor",E60="Sonia",H60="MRR"),SUMIFS(S:S,A:A,A60,B:B,B60,G:G,D60) + SUMIFS(S:S,A:A,A60,B:B,B60,G:G,"anderson.ortiz@altoqi.com.br"),
IF(AND(F60="Gestor",H60="MRR"),SUMIFS(S:S,A:A,A60,B:B,B60,G:G,D60),
SUMIFS(Negócios!L:L,Negócios!A:A,A60,Negócios!B:B,B60,Negócios!P:P,D60,Negócios!AG:AG,"CC 12x")))</f>
        <v>968.05</v>
      </c>
      <c r="T60" s="10">
        <f t="shared" si="23"/>
        <v>0.24982161129197294</v>
      </c>
      <c r="U60" s="30">
        <f>SUMIFS('Acel Form Pag'!F:F,'Acel Form Pag'!A:A,A60,'Acel Form Pag'!B:B,B60,'Acel Form Pag'!C:C,E60)</f>
        <v>1.1499999999999999</v>
      </c>
      <c r="V60" s="32">
        <f>IF(AND(F60="Gestor",E60="Sonia",H60="MRR"),SUMIFS(V:V,A:A,A60,B:B,B60,G:G,D60) + SUMIFS(V:V,A:A,A60,B:B,B60,G:G,"anderson.ortiz@altoqi.com.br"),
IF(AND(F60="Gestor",H60="MRR"),SUMIFS(V:V,A:A,A60,B:B,B60,G:G,D60),
SUMIFS(Negócios!L:L,Negócios!A:A,A60,Negócios!B:B,B60,Negócios!P:P,D60,Negócios!AG:AG,"Recorrente")))</f>
        <v>2255.0250000000001</v>
      </c>
      <c r="W60" s="10">
        <f t="shared" si="24"/>
        <v>0.581947191781087</v>
      </c>
      <c r="X60" s="34">
        <f>SUMIFS('Acel Form Pag'!G:G,'Acel Form Pag'!A:A,A60,'Acel Form Pag'!B:B,B60,'Acel Form Pag'!C:C,E60)</f>
        <v>1</v>
      </c>
      <c r="Y60" s="24">
        <f>MAX(_xlfn.MAXIFS(Parâmetros!O:O,Parâmetros!A:A,A60,Parâmetros!B:B,B60,Parâmetros!D:D,D60,Parâmetros!M:M,"&lt;="&amp;K60),_xlfn.MAXIFS(Parâmetros!L:L,Parâmetros!A:A,A60,Parâmetros!B:B,B60,Parâmetros!D:D,D60,Parâmetros!J:J,"&lt;="&amp;K60),_xlfn.MAXIFS(Parâmetros!I:I,Parâmetros!A:A,A60,Parâmetros!B:B,B60,Parâmetros!D:D,D60))</f>
        <v>2088</v>
      </c>
      <c r="Z60" s="9">
        <f>MAX(_xlfn.MAXIFS(Parâmetros!Q:Q,Parâmetros!A:A,A60,Parâmetros!B:B,B60,Parâmetros!D:D,D60,Parâmetros!E:E,E60,Parâmetros!P:P,"&lt;="&amp;K60),
_xlfn.MAXIFS(Parâmetros!S:S,Parâmetros!A:A,A60,Parâmetros!B:B,B60,Parâmetros!D:D,D60,Parâmetros!E:E,E60,Parâmetros!R:R,"&lt;="&amp;K60),
_xlfn.MAXIFS(Parâmetros!U:U,Parâmetros!A:A,A60,Parâmetros!B:B,B60,Parâmetros!D:D,D60,Parâmetros!E:E,E60,Parâmetros!T:T,"&lt;="&amp;K60),1) * IF(K60 &gt;= SUMIFS(Parâmetros!G:G,Parâmetros!A:A,A60,Parâmetros!B:B,B60,Parâmetros!D:D,D60,Parâmetros!E:E,E60),1,0)</f>
        <v>1.25</v>
      </c>
      <c r="AA60" s="16">
        <f>Y60*Z60*K60</f>
        <v>2889.6167571428573</v>
      </c>
      <c r="AB60" s="16">
        <f>(AA60*N60*O60) + (AA60*Q60*R60) + (AA60*T60*U60) + (AA60*W60*X60)</f>
        <v>3143.7371699999994</v>
      </c>
      <c r="AC60" s="15">
        <f>IF(F60="Gestor",SUMIFS(AC:AC,A:A,A60,B:B,B60,G:G,D60),
IF(E60="Saving",SUMIFS(Negócios!I:I,Negócios!A:A,A60,Negócios!B:B,B60,Negócios!P:P,D60,Negócios!H:H,"Curso") +
SUMIFS(Negócios!I:I,Negócios!A:A,A60,Negócios!B:B,B60,Negócios!P:P,D60,Negócios!H:H,"Serviço") +
SUMIFS(Negócios!I:I,Negócios!A:A,A60,Negócios!B:B,B60,Negócios!P:P,D60,Negócios!H:H,"Implantação"),
SUMIFS(Negócios!I:I,Negócios!A:A,A60,Negócios!B:B,B60,Negócios!P:P,D60,Negócios!H:H,"Implantação")))</f>
        <v>0</v>
      </c>
      <c r="AD60" s="16">
        <f>SUMIFS(Parâmetros!W:W,Parâmetros!A:A,A60,Parâmetros!B:B,B60,Parâmetros!D:D,D60) * AC60 * IF(K60 &gt;= SUMIFS(Parâmetros!V:V,Parâmetros!A:A,A60,Parâmetros!B:B,B60,Parâmetros!D:D,D60),1,0)</f>
        <v>0</v>
      </c>
      <c r="AE60" s="15">
        <f>SUMIFS('Recuperação de Canc e Divs'!D:D,'Recuperação de Canc e Divs'!A:A,A60,'Recuperação de Canc e Divs'!B:B,B60,'Recuperação de Canc e Divs'!C:C,D60)</f>
        <v>0</v>
      </c>
      <c r="AF60" s="16">
        <f>IF(K60&gt;=SUMIFS(Parâmetros!J:J,Parâmetros!A:A,A60,Parâmetros!B:B,B60,Parâmetros!D:D,D60),AE60*0.025,0)</f>
        <v>0</v>
      </c>
      <c r="AG60" s="15">
        <f t="shared" si="25"/>
        <v>13385.06</v>
      </c>
      <c r="AH60" s="16">
        <f t="shared" si="26"/>
        <v>13350</v>
      </c>
      <c r="AI60" s="90">
        <f t="shared" si="27"/>
        <v>1.0026262172284643</v>
      </c>
      <c r="AJ60" s="16">
        <f t="shared" si="28"/>
        <v>43247.269192</v>
      </c>
      <c r="AK60" s="16">
        <f t="shared" si="29"/>
        <v>55157</v>
      </c>
      <c r="AL60" s="90">
        <f t="shared" si="30"/>
        <v>0.78407580528310095</v>
      </c>
      <c r="AM60" s="93">
        <f>IF(AND(OR(B60=3,B60=6,B60=9,B60=12),AI60&gt;=1),
IF(F60="Gestor",AI60*0.6,AI60*0.3),"")</f>
        <v>0.30078786516853928</v>
      </c>
      <c r="AN60" s="94" t="str">
        <f>IF(OR(B60=3,B60=6,B60=9,B60=12),
IF(AND(AL60&gt;=1,AI60&gt;=SUMIFS(Parâmetros!G:G,Parâmetros!A:A,Comissões!A60,Parâmetros!B:B,Comissões!B60,Parâmetros!D:D,Comissões!D60,Parâmetros!E:E,Comissões!E60)),AI60*0.3,""),"")</f>
        <v/>
      </c>
    </row>
    <row r="61" spans="1:40" hidden="1">
      <c r="A61" s="7">
        <v>2026</v>
      </c>
      <c r="B61" s="7">
        <v>3</v>
      </c>
      <c r="C61" s="7" t="str">
        <v>Henrique Teixeira Silva</v>
      </c>
      <c r="D61" s="7" t="str">
        <v>henrique.silva@altoqi.com.br</v>
      </c>
      <c r="E61" s="7" t="str">
        <v>B2B Construtora</v>
      </c>
      <c r="F61" s="7" t="str">
        <v>Consultor</v>
      </c>
      <c r="G61" s="7">
        <v>0</v>
      </c>
      <c r="H61" s="7" t="str">
        <v>MRR</v>
      </c>
      <c r="I61" s="86">
        <f>IF(AND(F61="Consultor",H61="MRR"),SUMIFS(Negócios!L:L,Negócios!A:A,A61,Negócios!B:B,B61,Negócios!P:P,D61),
IF(AND(F61="Consultor",H61="Opps"),SUMIFS('Realizado GD'!D:D,'Realizado GD'!A:A,A61,'Realizado GD'!B:B,B61,'Realizado GD'!C:C,D61),
IF(AND(F61="Gestor",E61="Sonia",H61="MRR"),SUMIFS(I:I,A:A,A61,B:B,B61,G:G,D61) + SUMIFS(I:I,A:A,A61,B:B,B61,G:G,"anderson.ortiz@altoqi.com.br"),
IF(AND(F61="Gestor",H61="MRR"),SUMIFS(I:I,A:A,A61,B:B,B61,G:G,D61)))))</f>
        <v>5038.6825250000002</v>
      </c>
      <c r="J61" s="16">
        <f>SUMIFS(Metas!K:K,Metas!A:A,A61,Metas!B:B,B61,Metas!D:D,D61,Metas!H:H,H61)</f>
        <v>7000</v>
      </c>
      <c r="K61" s="10">
        <f t="shared" si="20"/>
        <v>0.71981178928571432</v>
      </c>
      <c r="L61" s="26" t="str" cm="1">
        <f t="array" ref="L61">_xlfn.LET(
 _xlpm.g,_xlfn.MAXIFS(Parâmetros!G:G,Parâmetros!A:A,A61,Parâmetros!B:B,B61,Parâmetros!D:D,D61,Parâmetros!E:E,E61),
 _xlpm.j,_xlfn.MAXIFS(Parâmetros!J:J,Parâmetros!A:A,A61,Parâmetros!B:B,B61,Parâmetros!D:D,D61,Parâmetros!E:E,E61),
 _xlpm.m,_xlfn.MAXIFS(Parâmetros!M:M,Parâmetros!A:A,A61,Parâmetros!B:B,B61,Parâmetros!D:D,D61,Parâmetros!E:E,E61),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55,00%</v>
      </c>
      <c r="M61" s="28">
        <f>IF(AND(F61="Gestor",E61="Sonia",H61="MRR"),SUMIFS(M:M,A:A,A61,B:B,B61,G:G,D61) + SUMIFS(M:M,A:A,A61,B:B,B61,G:G,"anderson.ortiz@altoqi.com.br"),
IF(AND(F61="Gestor",H61="MRR"),SUMIFS(M:M,A:A,A61,B:B,B61,G:G,D61),
SUMIFS(Negócios!L:L,Negócios!A:A,A61,Negócios!B:B,B61,Negócios!P:P,D61,Negócios!AG:AG,"À Vista")))</f>
        <v>455.37</v>
      </c>
      <c r="N61" s="10">
        <f t="shared" si="21"/>
        <v>9.0374814793476199E-2</v>
      </c>
      <c r="O61" s="30">
        <f>SUMIFS('Acel Form Pag'!D:D,'Acel Form Pag'!A:A,A61,'Acel Form Pag'!B:B,B61,'Acel Form Pag'!C:C,E61)</f>
        <v>1.3</v>
      </c>
      <c r="P61" s="87">
        <f>IF(AND(F61="Gestor",E61="Sonia",H61="MRR"),SUMIFS(P:P,A:A,A61,B:B,B61,G:G,D61) + SUMIFS(P:P,A:A,A61,B:B,B61,G:G,"anderson.ortiz@altoqi.com.br"),
IF(AND(F61="Gestor",H61="MRR"),SUMIFS(P:P,A:A,A61,B:B,B61,G:G,D61),
SUMIFS(Negócios!L:L,Negócios!A:A,A61,Negócios!B:B,B61,Negócios!P:P,D61,Negócios!AG:AG,"CC 3x")))</f>
        <v>0</v>
      </c>
      <c r="Q61" s="10">
        <f t="shared" si="22"/>
        <v>0</v>
      </c>
      <c r="R61" s="30">
        <f>SUMIFS('Acel Form Pag'!E:E,'Acel Form Pag'!A:A,A61,'Acel Form Pag'!B:B,B61,'Acel Form Pag'!C:C,E61)</f>
        <v>1.2</v>
      </c>
      <c r="S61" s="32">
        <f>IF(AND(F61="Gestor",E61="Sonia",H61="MRR"),SUMIFS(S:S,A:A,A61,B:B,B61,G:G,D61) + SUMIFS(S:S,A:A,A61,B:B,B61,G:G,"anderson.ortiz@altoqi.com.br"),
IF(AND(F61="Gestor",H61="MRR"),SUMIFS(S:S,A:A,A61,B:B,B61,G:G,D61),
SUMIFS(Negócios!L:L,Negócios!A:A,A61,Negócios!B:B,B61,Negócios!P:P,D61,Negócios!AG:AG,"CC 12x")))</f>
        <v>455.81270000000001</v>
      </c>
      <c r="T61" s="10">
        <f t="shared" si="23"/>
        <v>9.0462675062068926E-2</v>
      </c>
      <c r="U61" s="30">
        <f>SUMIFS('Acel Form Pag'!F:F,'Acel Form Pag'!A:A,A61,'Acel Form Pag'!B:B,B61,'Acel Form Pag'!C:C,E61)</f>
        <v>1.1499999999999999</v>
      </c>
      <c r="V61" s="32">
        <f>IF(AND(F61="Gestor",E61="Sonia",H61="MRR"),SUMIFS(V:V,A:A,A61,B:B,B61,G:G,D61) + SUMIFS(V:V,A:A,A61,B:B,B61,G:G,"anderson.ortiz@altoqi.com.br"),
IF(AND(F61="Gestor",H61="MRR"),SUMIFS(V:V,A:A,A61,B:B,B61,G:G,D61),
SUMIFS(Negócios!L:L,Negócios!A:A,A61,Negócios!B:B,B61,Negócios!P:P,D61,Negócios!AG:AG,"Recorrente")))</f>
        <v>4127.4998249999999</v>
      </c>
      <c r="W61" s="10">
        <f t="shared" si="24"/>
        <v>0.81916251014445485</v>
      </c>
      <c r="X61" s="34">
        <f>SUMIFS('Acel Form Pag'!G:G,'Acel Form Pag'!A:A,A61,'Acel Form Pag'!B:B,B61,'Acel Form Pag'!C:C,E61)</f>
        <v>1</v>
      </c>
      <c r="Y61" s="24">
        <f>MAX(_xlfn.MAXIFS(Parâmetros!O:O,Parâmetros!A:A,A61,Parâmetros!B:B,B61,Parâmetros!D:D,D61,Parâmetros!M:M,"&lt;="&amp;K61),_xlfn.MAXIFS(Parâmetros!L:L,Parâmetros!A:A,A61,Parâmetros!B:B,B61,Parâmetros!D:D,D61,Parâmetros!J:J,"&lt;="&amp;K61),_xlfn.MAXIFS(Parâmetros!I:I,Parâmetros!A:A,A61,Parâmetros!B:B,B61,Parâmetros!D:D,D61))</f>
        <v>4176</v>
      </c>
      <c r="Z61" s="9">
        <f>MAX(_xlfn.MAXIFS(Parâmetros!Q:Q,Parâmetros!A:A,A61,Parâmetros!B:B,B61,Parâmetros!D:D,D61,Parâmetros!E:E,E61,Parâmetros!P:P,"&lt;="&amp;K61),
_xlfn.MAXIFS(Parâmetros!S:S,Parâmetros!A:A,A61,Parâmetros!B:B,B61,Parâmetros!D:D,D61,Parâmetros!E:E,E61,Parâmetros!R:R,"&lt;="&amp;K61),
_xlfn.MAXIFS(Parâmetros!U:U,Parâmetros!A:A,A61,Parâmetros!B:B,B61,Parâmetros!D:D,D61,Parâmetros!E:E,E61,Parâmetros!T:T,"&lt;="&amp;K61),1) * IF(K61 &gt;= SUMIFS(Parâmetros!G:G,Parâmetros!A:A,A61,Parâmetros!B:B,B61,Parâmetros!D:D,D61,Parâmetros!E:E,E61),1,0)</f>
        <v>1</v>
      </c>
      <c r="AA61" s="16">
        <f>Y61*Z61*K61</f>
        <v>3005.9340320571432</v>
      </c>
      <c r="AB61" s="16">
        <f>(AA61*N61*O61) + (AA61*Q61*R61) + (AA61*T61*U61) + (AA61*W61*X61)</f>
        <v>3128.2209765257144</v>
      </c>
      <c r="AC61" s="15">
        <f>IF(F61="Gestor",SUMIFS(AC:AC,A:A,A61,B:B,B61,G:G,D61),
IF(E61="Saving",SUMIFS(Negócios!I:I,Negócios!A:A,A61,Negócios!B:B,B61,Negócios!P:P,D61,Negócios!H:H,"Curso") +
SUMIFS(Negócios!I:I,Negócios!A:A,A61,Negócios!B:B,B61,Negócios!P:P,D61,Negócios!H:H,"Serviço") +
SUMIFS(Negócios!I:I,Negócios!A:A,A61,Negócios!B:B,B61,Negócios!P:P,D61,Negócios!H:H,"Implantação"),
SUMIFS(Negócios!I:I,Negócios!A:A,A61,Negócios!B:B,B61,Negócios!P:P,D61,Negócios!H:H,"Implantação")))</f>
        <v>13600</v>
      </c>
      <c r="AD61" s="16">
        <f>SUMIFS(Parâmetros!W:W,Parâmetros!A:A,A61,Parâmetros!B:B,B61,Parâmetros!D:D,D61) * AC61 * IF(K61 &gt;= SUMIFS(Parâmetros!V:V,Parâmetros!A:A,A61,Parâmetros!B:B,B61,Parâmetros!D:D,D61),1,0)</f>
        <v>272</v>
      </c>
      <c r="AE61" s="15">
        <f>SUMIFS('Recuperação de Canc e Divs'!D:D,'Recuperação de Canc e Divs'!A:A,A61,'Recuperação de Canc e Divs'!B:B,B61,'Recuperação de Canc e Divs'!C:C,D61)</f>
        <v>0</v>
      </c>
      <c r="AF61" s="16">
        <f>IF(K61&gt;=SUMIFS(Parâmetros!J:J,Parâmetros!A:A,A61,Parâmetros!B:B,B61,Parâmetros!D:D,D61),AE61*0.025,0)</f>
        <v>0</v>
      </c>
      <c r="AG61" s="15">
        <f t="shared" si="25"/>
        <v>10002.722525000001</v>
      </c>
      <c r="AH61" s="16">
        <f t="shared" si="26"/>
        <v>18125</v>
      </c>
      <c r="AI61" s="90">
        <f t="shared" si="27"/>
        <v>0.55187434620689657</v>
      </c>
      <c r="AJ61" s="16">
        <f t="shared" si="28"/>
        <v>43247.269192</v>
      </c>
      <c r="AK61" s="16">
        <f t="shared" si="29"/>
        <v>55157</v>
      </c>
      <c r="AL61" s="90">
        <f t="shared" si="30"/>
        <v>0.78407580528310095</v>
      </c>
      <c r="AM61" s="93" t="str">
        <f>IF(AND(OR(B61=3,B61=6,B61=9,B61=12),AI61&gt;=1),
IF(F61="Gestor",AI61*0.6,AI61*0.3),"")</f>
        <v/>
      </c>
      <c r="AN61" s="94" t="str">
        <f>IF(OR(B61=3,B61=6,B61=9,B61=12),
IF(AND(AL61&gt;=1,AI61&gt;=SUMIFS(Parâmetros!G:G,Parâmetros!A:A,Comissões!A61,Parâmetros!B:B,Comissões!B61,Parâmetros!D:D,Comissões!D61,Parâmetros!E:E,Comissões!E61)),AI61*0.3,""),"")</f>
        <v/>
      </c>
    </row>
    <row r="62" spans="1:40" hidden="1">
      <c r="A62" s="7">
        <v>2026</v>
      </c>
      <c r="B62" s="7">
        <v>3</v>
      </c>
      <c r="C62" s="7" t="str">
        <v>Rafael Acencio</v>
      </c>
      <c r="D62" s="7" t="str">
        <v>rafael.acencio@altoqi.com.br</v>
      </c>
      <c r="E62" s="7" t="str">
        <v>B2B Construtora</v>
      </c>
      <c r="F62" s="7" t="str">
        <v>Consultor</v>
      </c>
      <c r="G62" s="7">
        <v>0</v>
      </c>
      <c r="H62" s="7" t="str">
        <v>MRR</v>
      </c>
      <c r="I62" s="86">
        <f>IF(AND(F62="Consultor",H62="MRR"),SUMIFS(Negócios!L:L,Negócios!A:A,A62,Negócios!B:B,B62,Negócios!P:P,D62),
IF(AND(F62="Consultor",H62="Opps"),SUMIFS('Realizado GD'!D:D,'Realizado GD'!A:A,A62,'Realizado GD'!B:B,B62,'Realizado GD'!C:C,D62),
IF(AND(F62="Gestor",E62="Sonia",H62="MRR"),SUMIFS(I:I,A:A,A62,B:B,B62,G:G,D62) + SUMIFS(I:I,A:A,A62,B:B,B62,G:G,"anderson.ortiz@altoqi.com.br"),
IF(AND(F62="Gestor",H62="MRR"),SUMIFS(I:I,A:A,A62,B:B,B62,G:G,D62)))))</f>
        <v>10210.136666999999</v>
      </c>
      <c r="J62" s="16">
        <f>SUMIFS(Metas!K:K,Metas!A:A,A62,Metas!B:B,B62,Metas!D:D,D62,Metas!H:H,H62)</f>
        <v>7700</v>
      </c>
      <c r="K62" s="10">
        <f t="shared" si="20"/>
        <v>1.3259917749350647</v>
      </c>
      <c r="L62" s="26" t="str" cm="1">
        <f t="array" ref="L62">_xlfn.LET(
 _xlpm.g,_xlfn.MAXIFS(Parâmetros!G:G,Parâmetros!A:A,A62,Parâmetros!B:B,B62,Parâmetros!D:D,D62,Parâmetros!E:E,E62),
 _xlpm.j,_xlfn.MAXIFS(Parâmetros!J:J,Parâmetros!A:A,A62,Parâmetros!B:B,B62,Parâmetros!D:D,D62,Parâmetros!E:E,E62),
 _xlpm.m,_xlfn.MAXIFS(Parâmetros!M:M,Parâmetros!A:A,A62,Parâmetros!B:B,B62,Parâmetros!D:D,D62,Parâmetros!E:E,E62),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55,00%</v>
      </c>
      <c r="M62" s="28">
        <f>IF(AND(F62="Gestor",E62="Sonia",H62="MRR"),SUMIFS(M:M,A:A,A62,B:B,B62,G:G,D62) + SUMIFS(M:M,A:A,A62,B:B,B62,G:G,"anderson.ortiz@altoqi.com.br"),
IF(AND(F62="Gestor",H62="MRR"),SUMIFS(M:M,A:A,A62,B:B,B62,G:G,D62),
SUMIFS(Negócios!L:L,Negócios!A:A,A62,Negócios!B:B,B62,Negócios!P:P,D62,Negócios!AG:AG,"À Vista")))</f>
        <v>214.26666700000001</v>
      </c>
      <c r="N62" s="10">
        <f t="shared" si="21"/>
        <v>2.0985680602349576E-2</v>
      </c>
      <c r="O62" s="30">
        <f>SUMIFS('Acel Form Pag'!D:D,'Acel Form Pag'!A:A,A62,'Acel Form Pag'!B:B,B62,'Acel Form Pag'!C:C,E62)</f>
        <v>1.3</v>
      </c>
      <c r="P62" s="87">
        <f>IF(AND(F62="Gestor",E62="Sonia",H62="MRR"),SUMIFS(P:P,A:A,A62,B:B,B62,G:G,D62) + SUMIFS(P:P,A:A,A62,B:B,B62,G:G,"anderson.ortiz@altoqi.com.br"),
IF(AND(F62="Gestor",H62="MRR"),SUMIFS(P:P,A:A,A62,B:B,B62,G:G,D62),
SUMIFS(Negócios!L:L,Negócios!A:A,A62,Negócios!B:B,B62,Negócios!P:P,D62,Negócios!AG:AG,"CC 3x")))</f>
        <v>0</v>
      </c>
      <c r="Q62" s="10">
        <f t="shared" si="22"/>
        <v>0</v>
      </c>
      <c r="R62" s="30">
        <f>SUMIFS('Acel Form Pag'!E:E,'Acel Form Pag'!A:A,A62,'Acel Form Pag'!B:B,B62,'Acel Form Pag'!C:C,E62)</f>
        <v>1.2</v>
      </c>
      <c r="S62" s="32">
        <f>IF(AND(F62="Gestor",E62="Sonia",H62="MRR"),SUMIFS(S:S,A:A,A62,B:B,B62,G:G,D62) + SUMIFS(S:S,A:A,A62,B:B,B62,G:G,"anderson.ortiz@altoqi.com.br"),
IF(AND(F62="Gestor",H62="MRR"),SUMIFS(S:S,A:A,A62,B:B,B62,G:G,D62),
SUMIFS(Negócios!L:L,Negócios!A:A,A62,Negócios!B:B,B62,Negócios!P:P,D62,Negócios!AG:AG,"CC 12x")))</f>
        <v>0</v>
      </c>
      <c r="T62" s="10">
        <f t="shared" si="23"/>
        <v>0</v>
      </c>
      <c r="U62" s="30">
        <f>SUMIFS('Acel Form Pag'!F:F,'Acel Form Pag'!A:A,A62,'Acel Form Pag'!B:B,B62,'Acel Form Pag'!C:C,E62)</f>
        <v>1.1499999999999999</v>
      </c>
      <c r="V62" s="32">
        <f>IF(AND(F62="Gestor",E62="Sonia",H62="MRR"),SUMIFS(V:V,A:A,A62,B:B,B62,G:G,D62) + SUMIFS(V:V,A:A,A62,B:B,B62,G:G,"anderson.ortiz@altoqi.com.br"),
IF(AND(F62="Gestor",H62="MRR"),SUMIFS(V:V,A:A,A62,B:B,B62,G:G,D62),
SUMIFS(Negócios!L:L,Negócios!A:A,A62,Negócios!B:B,B62,Negócios!P:P,D62,Negócios!AG:AG,"Recorrente")))</f>
        <v>9995.869999999999</v>
      </c>
      <c r="W62" s="10">
        <f t="shared" si="24"/>
        <v>0.97901431939765049</v>
      </c>
      <c r="X62" s="34">
        <f>SUMIFS('Acel Form Pag'!G:G,'Acel Form Pag'!A:A,A62,'Acel Form Pag'!B:B,B62,'Acel Form Pag'!C:C,E62)</f>
        <v>1</v>
      </c>
      <c r="Y62" s="24">
        <f>MAX(_xlfn.MAXIFS(Parâmetros!O:O,Parâmetros!A:A,A62,Parâmetros!B:B,B62,Parâmetros!D:D,D62,Parâmetros!M:M,"&lt;="&amp;K62),_xlfn.MAXIFS(Parâmetros!L:L,Parâmetros!A:A,A62,Parâmetros!B:B,B62,Parâmetros!D:D,D62,Parâmetros!J:J,"&lt;="&amp;K62),_xlfn.MAXIFS(Parâmetros!I:I,Parâmetros!A:A,A62,Parâmetros!B:B,B62,Parâmetros!D:D,D62))</f>
        <v>5297</v>
      </c>
      <c r="Z62" s="9">
        <f>MAX(_xlfn.MAXIFS(Parâmetros!Q:Q,Parâmetros!A:A,A62,Parâmetros!B:B,B62,Parâmetros!D:D,D62,Parâmetros!E:E,E62,Parâmetros!P:P,"&lt;="&amp;K62),
_xlfn.MAXIFS(Parâmetros!S:S,Parâmetros!A:A,A62,Parâmetros!B:B,B62,Parâmetros!D:D,D62,Parâmetros!E:E,E62,Parâmetros!R:R,"&lt;="&amp;K62),
_xlfn.MAXIFS(Parâmetros!U:U,Parâmetros!A:A,A62,Parâmetros!B:B,B62,Parâmetros!D:D,D62,Parâmetros!E:E,E62,Parâmetros!T:T,"&lt;="&amp;K62),1) * IF(K62 &gt;= SUMIFS(Parâmetros!G:G,Parâmetros!A:A,A62,Parâmetros!B:B,B62,Parâmetros!D:D,D62,Parâmetros!E:E,E62),1,0)</f>
        <v>1.25</v>
      </c>
      <c r="AA62" s="16">
        <f>Y62*Z62*K62</f>
        <v>8779.7230397887979</v>
      </c>
      <c r="AB62" s="16">
        <f>(AA62*N62*O62) + (AA62*Q62*R62) + (AA62*T62*U62) + (AA62*W62*X62)</f>
        <v>8834.9975788358279</v>
      </c>
      <c r="AC62" s="15">
        <f>IF(F62="Gestor",SUMIFS(AC:AC,A:A,A62,B:B,B62,G:G,D62),
IF(E62="Saving",SUMIFS(Negócios!I:I,Negócios!A:A,A62,Negócios!B:B,B62,Negócios!P:P,D62,Negócios!H:H,"Curso") +
SUMIFS(Negócios!I:I,Negócios!A:A,A62,Negócios!B:B,B62,Negócios!P:P,D62,Negócios!H:H,"Serviço") +
SUMIFS(Negócios!I:I,Negócios!A:A,A62,Negócios!B:B,B62,Negócios!P:P,D62,Negócios!H:H,"Implantação"),
SUMIFS(Negócios!I:I,Negócios!A:A,A62,Negócios!B:B,B62,Negócios!P:P,D62,Negócios!H:H,"Implantação")))</f>
        <v>23300</v>
      </c>
      <c r="AD62" s="16">
        <f>SUMIFS(Parâmetros!W:W,Parâmetros!A:A,A62,Parâmetros!B:B,B62,Parâmetros!D:D,D62) * AC62 * IF(K62 &gt;= SUMIFS(Parâmetros!V:V,Parâmetros!A:A,A62,Parâmetros!B:B,B62,Parâmetros!D:D,D62),1,0)</f>
        <v>466</v>
      </c>
      <c r="AE62" s="15">
        <f>SUMIFS('Recuperação de Canc e Divs'!D:D,'Recuperação de Canc e Divs'!A:A,A62,'Recuperação de Canc e Divs'!B:B,B62,'Recuperação de Canc e Divs'!C:C,D62)</f>
        <v>0</v>
      </c>
      <c r="AF62" s="16">
        <f>IF(K62&gt;=SUMIFS(Parâmetros!J:J,Parâmetros!A:A,A62,Parâmetros!B:B,B62,Parâmetros!D:D,D62),AE62*0.025,0)</f>
        <v>0</v>
      </c>
      <c r="AG62" s="15">
        <f t="shared" si="25"/>
        <v>18538.916666999998</v>
      </c>
      <c r="AH62" s="16">
        <f t="shared" si="26"/>
        <v>19519</v>
      </c>
      <c r="AI62" s="90">
        <f t="shared" si="27"/>
        <v>0.94978824053486333</v>
      </c>
      <c r="AJ62" s="16">
        <f t="shared" si="28"/>
        <v>43247.269192</v>
      </c>
      <c r="AK62" s="16">
        <f t="shared" si="29"/>
        <v>55157</v>
      </c>
      <c r="AL62" s="90">
        <f t="shared" si="30"/>
        <v>0.78407580528310095</v>
      </c>
      <c r="AM62" s="93" t="str">
        <f>IF(AND(OR(B62=3,B62=6,B62=9,B62=12),AI62&gt;=1),
IF(F62="Gestor",AI62*0.6,AI62*0.3),"")</f>
        <v/>
      </c>
      <c r="AN62" s="94" t="str">
        <f>IF(OR(B62=3,B62=6,B62=9,B62=12),
IF(AND(AL62&gt;=1,AI62&gt;=SUMIFS(Parâmetros!G:G,Parâmetros!A:A,Comissões!A62,Parâmetros!B:B,Comissões!B62,Parâmetros!D:D,Comissões!D62,Parâmetros!E:E,Comissões!E62)),AI62*0.3,""),"")</f>
        <v/>
      </c>
    </row>
    <row r="63" spans="1:40" hidden="1">
      <c r="A63" s="7">
        <v>2026</v>
      </c>
      <c r="B63" s="7">
        <v>3</v>
      </c>
      <c r="C63" s="7" t="str">
        <v>Fernanda da Silva Fertonani</v>
      </c>
      <c r="D63" s="7" t="str">
        <v>fernanda.fertonani@altoqi.com.br</v>
      </c>
      <c r="E63" s="7" t="str">
        <v>B2B Escritório</v>
      </c>
      <c r="F63" s="7" t="str">
        <v>Consultor</v>
      </c>
      <c r="G63" s="7" t="str">
        <v>rafael.motta@altoqi.com.br</v>
      </c>
      <c r="H63" s="7" t="str">
        <v>MRR</v>
      </c>
      <c r="I63" s="86">
        <f>IF(AND(F63="Consultor",H63="MRR"),SUMIFS(Negócios!L:L,Negócios!A:A,A63,Negócios!B:B,B63,Negócios!P:P,D63),
IF(AND(F63="Consultor",H63="Opps"),SUMIFS('Realizado GD'!D:D,'Realizado GD'!A:A,A63,'Realizado GD'!B:B,B63,'Realizado GD'!C:C,D63),
IF(AND(F63="Gestor",E63="Sonia",H63="MRR"),SUMIFS(I:I,A:A,A63,B:B,B63,G:G,D63) + SUMIFS(I:I,A:A,A63,B:B,B63,G:G,"anderson.ortiz@altoqi.com.br"),
IF(AND(F63="Gestor",H63="MRR"),SUMIFS(I:I,A:A,A63,B:B,B63,G:G,D63)))))</f>
        <v>9999.2850000000017</v>
      </c>
      <c r="J63" s="16">
        <f>SUMIFS(Metas!K:K,Metas!A:A,A63,Metas!B:B,B63,Metas!D:D,D63,Metas!H:H,H63)</f>
        <v>8500</v>
      </c>
      <c r="K63" s="10">
        <f t="shared" si="20"/>
        <v>1.1763864705882354</v>
      </c>
      <c r="L63" s="26" t="str" cm="1">
        <f t="array" ref="L63">_xlfn.LET(
 _xlpm.g,_xlfn.MAXIFS(Parâmetros!G:G,Parâmetros!A:A,A63,Parâmetros!B:B,B63,Parâmetros!D:D,D63,Parâmetros!E:E,E63),
 _xlpm.j,_xlfn.MAXIFS(Parâmetros!J:J,Parâmetros!A:A,A63,Parâmetros!B:B,B63,Parâmetros!D:D,D63,Parâmetros!E:E,E63),
 _xlpm.m,_xlfn.MAXIFS(Parâmetros!M:M,Parâmetros!A:A,A63,Parâmetros!B:B,B63,Parâmetros!D:D,D63,Parâmetros!E:E,E63),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55,00%</v>
      </c>
      <c r="M63" s="28">
        <f>IF(AND(F63="Gestor",E63="Sonia",H63="MRR"),SUMIFS(M:M,A:A,A63,B:B,B63,G:G,D63) + SUMIFS(M:M,A:A,A63,B:B,B63,G:G,"anderson.ortiz@altoqi.com.br"),
IF(AND(F63="Gestor",H63="MRR"),SUMIFS(M:M,A:A,A63,B:B,B63,G:G,D63),
SUMIFS(Negócios!L:L,Negócios!A:A,A63,Negócios!B:B,B63,Negócios!P:P,D63,Negócios!AG:AG,"À Vista")))</f>
        <v>4674.38</v>
      </c>
      <c r="N63" s="10">
        <f t="shared" si="21"/>
        <v>0.46747142420683074</v>
      </c>
      <c r="O63" s="30">
        <f>SUMIFS('Acel Form Pag'!D:D,'Acel Form Pag'!A:A,A63,'Acel Form Pag'!B:B,B63,'Acel Form Pag'!C:C,E63)</f>
        <v>1.3</v>
      </c>
      <c r="P63" s="87">
        <f>IF(AND(F63="Gestor",E63="Sonia",H63="MRR"),SUMIFS(P:P,A:A,A63,B:B,B63,G:G,D63) + SUMIFS(P:P,A:A,A63,B:B,B63,G:G,"anderson.ortiz@altoqi.com.br"),
IF(AND(F63="Gestor",H63="MRR"),SUMIFS(P:P,A:A,A63,B:B,B63,G:G,D63),
SUMIFS(Negócios!L:L,Negócios!A:A,A63,Negócios!B:B,B63,Negócios!P:P,D63,Negócios!AG:AG,"CC 3x")))</f>
        <v>0</v>
      </c>
      <c r="Q63" s="10">
        <f t="shared" si="22"/>
        <v>0</v>
      </c>
      <c r="R63" s="30">
        <f>SUMIFS('Acel Form Pag'!E:E,'Acel Form Pag'!A:A,A63,'Acel Form Pag'!B:B,B63,'Acel Form Pag'!C:C,E63)</f>
        <v>1.2</v>
      </c>
      <c r="S63" s="32">
        <f>IF(AND(F63="Gestor",E63="Sonia",H63="MRR"),SUMIFS(S:S,A:A,A63,B:B,B63,G:G,D63) + SUMIFS(S:S,A:A,A63,B:B,B63,G:G,"anderson.ortiz@altoqi.com.br"),
IF(AND(F63="Gestor",H63="MRR"),SUMIFS(S:S,A:A,A63,B:B,B63,G:G,D63),
SUMIFS(Negócios!L:L,Negócios!A:A,A63,Negócios!B:B,B63,Negócios!P:P,D63,Negócios!AG:AG,"CC 12x")))</f>
        <v>4555.8249999999998</v>
      </c>
      <c r="T63" s="10">
        <f t="shared" si="23"/>
        <v>0.45561507647796806</v>
      </c>
      <c r="U63" s="30">
        <f>SUMIFS('Acel Form Pag'!F:F,'Acel Form Pag'!A:A,A63,'Acel Form Pag'!B:B,B63,'Acel Form Pag'!C:C,E63)</f>
        <v>1.1499999999999999</v>
      </c>
      <c r="V63" s="32">
        <f>IF(AND(F63="Gestor",E63="Sonia",H63="MRR"),SUMIFS(V:V,A:A,A63,B:B,B63,G:G,D63) + SUMIFS(V:V,A:A,A63,B:B,B63,G:G,"anderson.ortiz@altoqi.com.br"),
IF(AND(F63="Gestor",H63="MRR"),SUMIFS(V:V,A:A,A63,B:B,B63,G:G,D63),
SUMIFS(Negócios!L:L,Negócios!A:A,A63,Negócios!B:B,B63,Negócios!P:P,D63,Negócios!AG:AG,"Recorrente")))</f>
        <v>769.08</v>
      </c>
      <c r="W63" s="10">
        <f t="shared" si="24"/>
        <v>7.6913499315201028E-2</v>
      </c>
      <c r="X63" s="34">
        <f>SUMIFS('Acel Form Pag'!G:G,'Acel Form Pag'!A:A,A63,'Acel Form Pag'!B:B,B63,'Acel Form Pag'!C:C,E63)</f>
        <v>1</v>
      </c>
      <c r="Y63" s="24">
        <f>MAX(_xlfn.MAXIFS(Parâmetros!O:O,Parâmetros!A:A,A63,Parâmetros!B:B,B63,Parâmetros!D:D,D63,Parâmetros!M:M,"&lt;="&amp;K63),_xlfn.MAXIFS(Parâmetros!L:L,Parâmetros!A:A,A63,Parâmetros!B:B,B63,Parâmetros!D:D,D63,Parâmetros!J:J,"&lt;="&amp;K63),_xlfn.MAXIFS(Parâmetros!I:I,Parâmetros!A:A,A63,Parâmetros!B:B,B63,Parâmetros!D:D,D63))</f>
        <v>4176</v>
      </c>
      <c r="Z63" s="9">
        <f>MAX(_xlfn.MAXIFS(Parâmetros!Q:Q,Parâmetros!A:A,A63,Parâmetros!B:B,B63,Parâmetros!D:D,D63,Parâmetros!E:E,E63,Parâmetros!P:P,"&lt;="&amp;K63),
_xlfn.MAXIFS(Parâmetros!S:S,Parâmetros!A:A,A63,Parâmetros!B:B,B63,Parâmetros!D:D,D63,Parâmetros!E:E,E63,Parâmetros!R:R,"&lt;="&amp;K63),
_xlfn.MAXIFS(Parâmetros!U:U,Parâmetros!A:A,A63,Parâmetros!B:B,B63,Parâmetros!D:D,D63,Parâmetros!E:E,E63,Parâmetros!T:T,"&lt;="&amp;K63),1) * IF(K63 &gt;= SUMIFS(Parâmetros!G:G,Parâmetros!A:A,A63,Parâmetros!B:B,B63,Parâmetros!D:D,D63,Parâmetros!E:E,E63),1,0)</f>
        <v>1.25</v>
      </c>
      <c r="AA63" s="16">
        <f>Y63*Z63*K63</f>
        <v>6140.737376470589</v>
      </c>
      <c r="AB63" s="16">
        <f>(AA63*N63*O63) + (AA63*Q63*R63) + (AA63*T63*U63) + (AA63*W63*X63)</f>
        <v>7421.5950299999995</v>
      </c>
      <c r="AC63" s="15">
        <f>IF(F63="Gestor",SUMIFS(AC:AC,A:A,A63,B:B,B63,G:G,D63),
IF(E63="Saving",SUMIFS(Negócios!I:I,Negócios!A:A,A63,Negócios!B:B,B63,Negócios!P:P,D63,Negócios!H:H,"Curso") +
SUMIFS(Negócios!I:I,Negócios!A:A,A63,Negócios!B:B,B63,Negócios!P:P,D63,Negócios!H:H,"Serviço") +
SUMIFS(Negócios!I:I,Negócios!A:A,A63,Negócios!B:B,B63,Negócios!P:P,D63,Negócios!H:H,"Implantação"),
SUMIFS(Negócios!I:I,Negócios!A:A,A63,Negócios!B:B,B63,Negócios!P:P,D63,Negócios!H:H,"Implantação")))</f>
        <v>0</v>
      </c>
      <c r="AD63" s="16">
        <f>SUMIFS(Parâmetros!W:W,Parâmetros!A:A,A63,Parâmetros!B:B,B63,Parâmetros!D:D,D63) * AC63 * IF(K63 &gt;= SUMIFS(Parâmetros!V:V,Parâmetros!A:A,A63,Parâmetros!B:B,B63,Parâmetros!D:D,D63),1,0)</f>
        <v>0</v>
      </c>
      <c r="AE63" s="15">
        <f>SUMIFS('Recuperação de Canc e Divs'!D:D,'Recuperação de Canc e Divs'!A:A,A63,'Recuperação de Canc e Divs'!B:B,B63,'Recuperação de Canc e Divs'!C:C,D63)</f>
        <v>0</v>
      </c>
      <c r="AF63" s="16">
        <f>IF(K63&gt;=SUMIFS(Parâmetros!J:J,Parâmetros!A:A,A63,Parâmetros!B:B,B63,Parâmetros!D:D,D63),AE63*0.025,0)</f>
        <v>0</v>
      </c>
      <c r="AG63" s="15">
        <f t="shared" si="25"/>
        <v>22038.66805</v>
      </c>
      <c r="AH63" s="16">
        <f t="shared" si="26"/>
        <v>21950</v>
      </c>
      <c r="AI63" s="90">
        <f t="shared" si="27"/>
        <v>1.0040395466970387</v>
      </c>
      <c r="AJ63" s="16">
        <f t="shared" si="28"/>
        <v>32157.818050000002</v>
      </c>
      <c r="AK63" s="16">
        <f t="shared" si="29"/>
        <v>35050</v>
      </c>
      <c r="AL63" s="90">
        <f t="shared" si="30"/>
        <v>0.91748410984308137</v>
      </c>
      <c r="AM63" s="93">
        <f>IF(AND(OR(B63=3,B63=6,B63=9,B63=12),AI63&gt;=1),
IF(F63="Gestor",AI63*0.6,AI63*0.3),"")</f>
        <v>0.3012118640091116</v>
      </c>
      <c r="AN63" s="94" t="str">
        <f>IF(OR(B63=3,B63=6,B63=9,B63=12),
IF(AND(AL63&gt;=1,AI63&gt;=SUMIFS(Parâmetros!G:G,Parâmetros!A:A,Comissões!A63,Parâmetros!B:B,Comissões!B63,Parâmetros!D:D,Comissões!D63,Parâmetros!E:E,Comissões!E63)),AI63*0.3,""),"")</f>
        <v/>
      </c>
    </row>
    <row r="64" spans="1:40" hidden="1">
      <c r="A64" s="7">
        <v>2026</v>
      </c>
      <c r="B64" s="7">
        <v>3</v>
      </c>
      <c r="C64" s="7" t="str">
        <v>Rafael Marquez Motta</v>
      </c>
      <c r="D64" s="7" t="str">
        <v>rafael.motta@altoqi.com.br</v>
      </c>
      <c r="E64" s="7" t="str">
        <v>B2B Escritório</v>
      </c>
      <c r="F64" s="7" t="str">
        <v>Gestor</v>
      </c>
      <c r="G64" s="7">
        <v>0</v>
      </c>
      <c r="H64" s="7" t="str">
        <v>MRR</v>
      </c>
      <c r="I64" s="86">
        <f>IF(AND(F64="Consultor",H64="MRR"),SUMIFS(Negócios!L:L,Negócios!A:A,A64,Negócios!B:B,B64,Negócios!P:P,D64),
IF(AND(F64="Consultor",H64="Opps"),SUMIFS('Realizado GD'!D:D,'Realizado GD'!A:A,A64,'Realizado GD'!B:B,B64,'Realizado GD'!C:C,D64),
IF(AND(F64="Gestor",E64="Sonia",H64="MRR"),SUMIFS(I:I,A:A,A64,B:B,B64,G:G,D64) + SUMIFS(I:I,A:A,A64,B:B,B64,G:G,"anderson.ortiz@altoqi.com.br"),
IF(AND(F64="Gestor",H64="MRR"),SUMIFS(I:I,A:A,A64,B:B,B64,G:G,D64)))))</f>
        <v>9999.2850000000017</v>
      </c>
      <c r="J64" s="16">
        <f>SUMIFS(Metas!K:K,Metas!A:A,A64,Metas!B:B,B64,Metas!D:D,D64,Metas!H:H,H64)</f>
        <v>16000</v>
      </c>
      <c r="K64" s="10">
        <f t="shared" si="20"/>
        <v>0.62495531250000014</v>
      </c>
      <c r="L64" s="26" t="str" cm="1">
        <f t="array" ref="L64">_xlfn.LET(
 _xlpm.g,_xlfn.MAXIFS(Parâmetros!G:G,Parâmetros!A:A,A64,Parâmetros!B:B,B64,Parâmetros!D:D,D64,Parâmetros!E:E,E64),
 _xlpm.j,_xlfn.MAXIFS(Parâmetros!J:J,Parâmetros!A:A,A64,Parâmetros!B:B,B64,Parâmetros!D:D,D64,Parâmetros!E:E,E64),
 _xlpm.m,_xlfn.MAXIFS(Parâmetros!M:M,Parâmetros!A:A,A64,Parâmetros!B:B,B64,Parâmetros!D:D,D64,Parâmetros!E:E,E64),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55,00%</v>
      </c>
      <c r="M64" s="28">
        <f>IF(AND(F64="Gestor",E64="Sonia",H64="MRR"),SUMIFS(M:M,A:A,A64,B:B,B64,G:G,D64) + SUMIFS(M:M,A:A,A64,B:B,B64,G:G,"anderson.ortiz@altoqi.com.br"),
IF(AND(F64="Gestor",H64="MRR"),SUMIFS(M:M,A:A,A64,B:B,B64,G:G,D64),
SUMIFS(Negócios!L:L,Negócios!A:A,A64,Negócios!B:B,B64,Negócios!P:P,D64,Negócios!AG:AG,"À Vista")))</f>
        <v>4674.38</v>
      </c>
      <c r="N64" s="10">
        <f t="shared" si="21"/>
        <v>0.46747142420683074</v>
      </c>
      <c r="O64" s="30">
        <f>SUMIFS('Acel Form Pag'!D:D,'Acel Form Pag'!A:A,A64,'Acel Form Pag'!B:B,B64,'Acel Form Pag'!C:C,E64)</f>
        <v>1.3</v>
      </c>
      <c r="P64" s="87">
        <f>IF(AND(F64="Gestor",E64="Sonia",H64="MRR"),SUMIFS(P:P,A:A,A64,B:B,B64,G:G,D64) + SUMIFS(P:P,A:A,A64,B:B,B64,G:G,"anderson.ortiz@altoqi.com.br"),
IF(AND(F64="Gestor",H64="MRR"),SUMIFS(P:P,A:A,A64,B:B,B64,G:G,D64),
SUMIFS(Negócios!L:L,Negócios!A:A,A64,Negócios!B:B,B64,Negócios!P:P,D64,Negócios!AG:AG,"CC 3x")))</f>
        <v>0</v>
      </c>
      <c r="Q64" s="10">
        <f t="shared" si="22"/>
        <v>0</v>
      </c>
      <c r="R64" s="30">
        <f>SUMIFS('Acel Form Pag'!E:E,'Acel Form Pag'!A:A,A64,'Acel Form Pag'!B:B,B64,'Acel Form Pag'!C:C,E64)</f>
        <v>1.2</v>
      </c>
      <c r="S64" s="32">
        <f>IF(AND(F64="Gestor",E64="Sonia",H64="MRR"),SUMIFS(S:S,A:A,A64,B:B,B64,G:G,D64) + SUMIFS(S:S,A:A,A64,B:B,B64,G:G,"anderson.ortiz@altoqi.com.br"),
IF(AND(F64="Gestor",H64="MRR"),SUMIFS(S:S,A:A,A64,B:B,B64,G:G,D64),
SUMIFS(Negócios!L:L,Negócios!A:A,A64,Negócios!B:B,B64,Negócios!P:P,D64,Negócios!AG:AG,"CC 12x")))</f>
        <v>4555.8249999999998</v>
      </c>
      <c r="T64" s="10">
        <f t="shared" si="23"/>
        <v>0.45561507647796806</v>
      </c>
      <c r="U64" s="30">
        <f>SUMIFS('Acel Form Pag'!F:F,'Acel Form Pag'!A:A,A64,'Acel Form Pag'!B:B,B64,'Acel Form Pag'!C:C,E64)</f>
        <v>1.1499999999999999</v>
      </c>
      <c r="V64" s="32">
        <f>IF(AND(F64="Gestor",E64="Sonia",H64="MRR"),SUMIFS(V:V,A:A,A64,B:B,B64,G:G,D64) + SUMIFS(V:V,A:A,A64,B:B,B64,G:G,"anderson.ortiz@altoqi.com.br"),
IF(AND(F64="Gestor",H64="MRR"),SUMIFS(V:V,A:A,A64,B:B,B64,G:G,D64),
SUMIFS(Negócios!L:L,Negócios!A:A,A64,Negócios!B:B,B64,Negócios!P:P,D64,Negócios!AG:AG,"Recorrente")))</f>
        <v>769.08</v>
      </c>
      <c r="W64" s="10">
        <f t="shared" si="24"/>
        <v>7.6913499315201028E-2</v>
      </c>
      <c r="X64" s="34">
        <f>SUMIFS('Acel Form Pag'!G:G,'Acel Form Pag'!A:A,A64,'Acel Form Pag'!B:B,B64,'Acel Form Pag'!C:C,E64)</f>
        <v>1</v>
      </c>
      <c r="Y64" s="24">
        <f>MAX(_xlfn.MAXIFS(Parâmetros!O:O,Parâmetros!A:A,A64,Parâmetros!B:B,B64,Parâmetros!D:D,D64,Parâmetros!M:M,"&lt;="&amp;K64),_xlfn.MAXIFS(Parâmetros!L:L,Parâmetros!A:A,A64,Parâmetros!B:B,B64,Parâmetros!D:D,D64,Parâmetros!J:J,"&lt;="&amp;K64),_xlfn.MAXIFS(Parâmetros!I:I,Parâmetros!A:A,A64,Parâmetros!B:B,B64,Parâmetros!D:D,D64))</f>
        <v>5100</v>
      </c>
      <c r="Z64" s="9">
        <f>MAX(_xlfn.MAXIFS(Parâmetros!Q:Q,Parâmetros!A:A,A64,Parâmetros!B:B,B64,Parâmetros!D:D,D64,Parâmetros!E:E,E64,Parâmetros!P:P,"&lt;="&amp;K64),
_xlfn.MAXIFS(Parâmetros!S:S,Parâmetros!A:A,A64,Parâmetros!B:B,B64,Parâmetros!D:D,D64,Parâmetros!E:E,E64,Parâmetros!R:R,"&lt;="&amp;K64),
_xlfn.MAXIFS(Parâmetros!U:U,Parâmetros!A:A,A64,Parâmetros!B:B,B64,Parâmetros!D:D,D64,Parâmetros!E:E,E64,Parâmetros!T:T,"&lt;="&amp;K64),1) * IF(K64 &gt;= SUMIFS(Parâmetros!G:G,Parâmetros!A:A,A64,Parâmetros!B:B,B64,Parâmetros!D:D,D64,Parâmetros!E:E,E64),1,0)</f>
        <v>1</v>
      </c>
      <c r="AA64" s="16">
        <f>Y64*Z64*K64</f>
        <v>3187.2720937500007</v>
      </c>
      <c r="AB64" s="16">
        <f>(AA64*N64*O64) + (AA64*Q64*R64) + (AA64*T64*U64) + (AA64*W64*X64)</f>
        <v>3852.0850640624999</v>
      </c>
      <c r="AC64" s="15">
        <f>IF(F64="Gestor",SUMIFS(AC:AC,A:A,A64,B:B,B64,G:G,D64),
IF(E64="Saving",SUMIFS(Negócios!I:I,Negócios!A:A,A64,Negócios!B:B,B64,Negócios!P:P,D64,Negócios!H:H,"Curso") +
SUMIFS(Negócios!I:I,Negócios!A:A,A64,Negócios!B:B,B64,Negócios!P:P,D64,Negócios!H:H,"Serviço") +
SUMIFS(Negócios!I:I,Negócios!A:A,A64,Negócios!B:B,B64,Negócios!P:P,D64,Negócios!H:H,"Implantação"),
SUMIFS(Negócios!I:I,Negócios!A:A,A64,Negócios!B:B,B64,Negócios!P:P,D64,Negócios!H:H,"Implantação")))</f>
        <v>0</v>
      </c>
      <c r="AD64" s="16">
        <f>SUMIFS(Parâmetros!W:W,Parâmetros!A:A,A64,Parâmetros!B:B,B64,Parâmetros!D:D,D64) * AC64 * IF(K64 &gt;= SUMIFS(Parâmetros!V:V,Parâmetros!A:A,A64,Parâmetros!B:B,B64,Parâmetros!D:D,D64),1,0)</f>
        <v>0</v>
      </c>
      <c r="AE64" s="15">
        <f>SUMIFS('Recuperação de Canc e Divs'!D:D,'Recuperação de Canc e Divs'!A:A,A64,'Recuperação de Canc e Divs'!B:B,B64,'Recuperação de Canc e Divs'!C:C,D64)</f>
        <v>0</v>
      </c>
      <c r="AF64" s="16">
        <f>IF(K64&gt;=SUMIFS(Parâmetros!J:J,Parâmetros!A:A,A64,Parâmetros!B:B,B64,Parâmetros!D:D,D64),AE64*0.025,0)</f>
        <v>0</v>
      </c>
      <c r="AG64" s="15">
        <f t="shared" si="25"/>
        <v>9999.2850000000017</v>
      </c>
      <c r="AH64" s="16">
        <f t="shared" si="26"/>
        <v>16000</v>
      </c>
      <c r="AI64" s="90">
        <f t="shared" si="27"/>
        <v>0.62495531250000014</v>
      </c>
      <c r="AJ64" s="16" t="str">
        <f t="shared" si="28"/>
        <v/>
      </c>
      <c r="AK64" s="16" t="str">
        <f t="shared" si="29"/>
        <v/>
      </c>
      <c r="AL64" s="90">
        <f t="shared" si="30"/>
        <v>0</v>
      </c>
      <c r="AM64" s="93" t="str">
        <f>IF(AND(OR(B64=3,B64=6,B64=9,B64=12),AI64&gt;=1),
IF(F64="Gestor",AI64*0.6,AI64*0.3),"")</f>
        <v/>
      </c>
      <c r="AN64" s="94" t="str">
        <f>IF(OR(B64=3,B64=6,B64=9,B64=12),
IF(AND(AL64&gt;=1,AI64&gt;=SUMIFS(Parâmetros!G:G,Parâmetros!A:A,Comissões!A64,Parâmetros!B:B,Comissões!B64,Parâmetros!D:D,Comissões!D64,Parâmetros!E:E,Comissões!E64)),AI64*0.3,""),"")</f>
        <v/>
      </c>
    </row>
    <row r="65" spans="1:40" hidden="1">
      <c r="A65" s="7">
        <v>2026</v>
      </c>
      <c r="B65" s="7">
        <v>3</v>
      </c>
      <c r="C65" s="7" t="str">
        <v>Aline Castilho Pureza</v>
      </c>
      <c r="D65" s="7" t="str">
        <v>aline.pureza@altoqi.com.br</v>
      </c>
      <c r="E65" s="7" t="str">
        <v>Farmer</v>
      </c>
      <c r="F65" s="7" t="str">
        <v>Consultor</v>
      </c>
      <c r="G65" s="7" t="str">
        <v>sonia.zielinski@altoqi.com.br</v>
      </c>
      <c r="H65" s="7" t="str">
        <v>MRR</v>
      </c>
      <c r="I65" s="86">
        <f>IF(AND(F65="Consultor",H65="MRR"),SUMIFS(Negócios!L:L,Negócios!A:A,A65,Negócios!B:B,B65,Negócios!P:P,D65),
IF(AND(F65="Consultor",H65="Opps"),SUMIFS('Realizado GD'!D:D,'Realizado GD'!A:A,A65,'Realizado GD'!B:B,B65,'Realizado GD'!C:C,D65),
IF(AND(F65="Gestor",E65="Sonia",H65="MRR"),SUMIFS(I:I,A:A,A65,B:B,B65,G:G,D65) + SUMIFS(I:I,A:A,A65,B:B,B65,G:G,"anderson.ortiz@altoqi.com.br"),
IF(AND(F65="Gestor",H65="MRR"),SUMIFS(I:I,A:A,A65,B:B,B65,G:G,D65)))))</f>
        <v>4712.7010650000011</v>
      </c>
      <c r="J65" s="16">
        <f>SUMIFS(Metas!K:K,Metas!A:A,A65,Metas!B:B,B65,Metas!D:D,D65,Metas!H:H,H65)</f>
        <v>8240</v>
      </c>
      <c r="K65" s="10">
        <f t="shared" si="20"/>
        <v>0.57192974089805837</v>
      </c>
      <c r="L65" s="26" t="str" cm="1">
        <f t="array" ref="L65">_xlfn.LET(
 _xlpm.g,_xlfn.MAXIFS(Parâmetros!G:G,Parâmetros!A:A,A65,Parâmetros!B:B,B65,Parâmetros!D:D,D65,Parâmetros!E:E,E65),
 _xlpm.j,_xlfn.MAXIFS(Parâmetros!J:J,Parâmetros!A:A,A65,Parâmetros!B:B,B65,Parâmetros!D:D,D65,Parâmetros!E:E,E65),
 _xlpm.m,_xlfn.MAXIFS(Parâmetros!M:M,Parâmetros!A:A,A65,Parâmetros!B:B,B65,Parâmetros!D:D,D65,Parâmetros!E:E,E65),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55,00%</v>
      </c>
      <c r="M65" s="28">
        <f>IF(AND(F65="Gestor",E65="Sonia",H65="MRR"),SUMIFS(M:M,A:A,A65,B:B,B65,G:G,D65) + SUMIFS(M:M,A:A,A65,B:B,B65,G:G,"anderson.ortiz@altoqi.com.br"),
IF(AND(F65="Gestor",H65="MRR"),SUMIFS(M:M,A:A,A65,B:B,B65,G:G,D65),
SUMIFS(Negócios!L:L,Negócios!A:A,A65,Negócios!B:B,B65,Negócios!P:P,D65,Negócios!AG:AG,"À Vista")))</f>
        <v>0</v>
      </c>
      <c r="N65" s="10">
        <f t="shared" si="21"/>
        <v>0</v>
      </c>
      <c r="O65" s="30">
        <f>SUMIFS('Acel Form Pag'!D:D,'Acel Form Pag'!A:A,A65,'Acel Form Pag'!B:B,B65,'Acel Form Pag'!C:C,E65)</f>
        <v>1.5</v>
      </c>
      <c r="P65" s="87">
        <f>IF(AND(F65="Gestor",E65="Sonia",H65="MRR"),SUMIFS(P:P,A:A,A65,B:B,B65,G:G,D65) + SUMIFS(P:P,A:A,A65,B:B,B65,G:G,"anderson.ortiz@altoqi.com.br"),
IF(AND(F65="Gestor",H65="MRR"),SUMIFS(P:P,A:A,A65,B:B,B65,G:G,D65),
SUMIFS(Negócios!L:L,Negócios!A:A,A65,Negócios!B:B,B65,Negócios!P:P,D65,Negócios!AG:AG,"CC 3x")))</f>
        <v>109.91</v>
      </c>
      <c r="Q65" s="10">
        <f t="shared" si="22"/>
        <v>2.3322081855832705E-2</v>
      </c>
      <c r="R65" s="30">
        <f>SUMIFS('Acel Form Pag'!E:E,'Acel Form Pag'!A:A,A65,'Acel Form Pag'!B:B,B65,'Acel Form Pag'!C:C,E65)</f>
        <v>1.4</v>
      </c>
      <c r="S65" s="32">
        <f>IF(AND(F65="Gestor",E65="Sonia",H65="MRR"),SUMIFS(S:S,A:A,A65,B:B,B65,G:G,D65) + SUMIFS(S:S,A:A,A65,B:B,B65,G:G,"anderson.ortiz@altoqi.com.br"),
IF(AND(F65="Gestor",H65="MRR"),SUMIFS(S:S,A:A,A65,B:B,B65,G:G,D65),
SUMIFS(Negócios!L:L,Negócios!A:A,A65,Negócios!B:B,B65,Negócios!P:P,D65,Negócios!AG:AG,"CC 12x")))</f>
        <v>915.48</v>
      </c>
      <c r="T65" s="10">
        <f t="shared" si="23"/>
        <v>0.19425802472366233</v>
      </c>
      <c r="U65" s="30">
        <f>SUMIFS('Acel Form Pag'!F:F,'Acel Form Pag'!A:A,A65,'Acel Form Pag'!B:B,B65,'Acel Form Pag'!C:C,E65)</f>
        <v>1.25</v>
      </c>
      <c r="V65" s="32">
        <f>IF(AND(F65="Gestor",E65="Sonia",H65="MRR"),SUMIFS(V:V,A:A,A65,B:B,B65,G:G,D65) + SUMIFS(V:V,A:A,A65,B:B,B65,G:G,"anderson.ortiz@altoqi.com.br"),
IF(AND(F65="Gestor",H65="MRR"),SUMIFS(V:V,A:A,A65,B:B,B65,G:G,D65),
SUMIFS(Negócios!L:L,Negócios!A:A,A65,Negócios!B:B,B65,Negócios!P:P,D65,Negócios!AG:AG,"Recorrente")))</f>
        <v>3687.3110650000003</v>
      </c>
      <c r="W65" s="10">
        <f t="shared" si="24"/>
        <v>0.78241989342050478</v>
      </c>
      <c r="X65" s="34">
        <f>SUMIFS('Acel Form Pag'!G:G,'Acel Form Pag'!A:A,A65,'Acel Form Pag'!B:B,B65,'Acel Form Pag'!C:C,E65)</f>
        <v>1</v>
      </c>
      <c r="Y65" s="24">
        <f>MAX(_xlfn.MAXIFS(Parâmetros!O:O,Parâmetros!A:A,A65,Parâmetros!B:B,B65,Parâmetros!D:D,D65,Parâmetros!M:M,"&lt;="&amp;K65),_xlfn.MAXIFS(Parâmetros!L:L,Parâmetros!A:A,A65,Parâmetros!B:B,B65,Parâmetros!D:D,D65,Parâmetros!J:J,"&lt;="&amp;K65),_xlfn.MAXIFS(Parâmetros!I:I,Parâmetros!A:A,A65,Parâmetros!B:B,B65,Parâmetros!D:D,D65))</f>
        <v>3240</v>
      </c>
      <c r="Z65" s="9">
        <f>MAX(_xlfn.MAXIFS(Parâmetros!Q:Q,Parâmetros!A:A,A65,Parâmetros!B:B,B65,Parâmetros!D:D,D65,Parâmetros!E:E,E65,Parâmetros!P:P,"&lt;="&amp;K65),
_xlfn.MAXIFS(Parâmetros!S:S,Parâmetros!A:A,A65,Parâmetros!B:B,B65,Parâmetros!D:D,D65,Parâmetros!E:E,E65,Parâmetros!R:R,"&lt;="&amp;K65),
_xlfn.MAXIFS(Parâmetros!U:U,Parâmetros!A:A,A65,Parâmetros!B:B,B65,Parâmetros!D:D,D65,Parâmetros!E:E,E65,Parâmetros!T:T,"&lt;="&amp;K65),1) * IF(K65 &gt;= SUMIFS(Parâmetros!G:G,Parâmetros!A:A,A65,Parâmetros!B:B,B65,Parâmetros!D:D,D65,Parâmetros!E:E,E65),1,0)</f>
        <v>1</v>
      </c>
      <c r="AA65" s="16">
        <f>Y65*Z65*K65</f>
        <v>1853.0523605097092</v>
      </c>
      <c r="AB65" s="16">
        <f>(AA65*N65*O65) + (AA65*Q65*R65) + (AA65*T65*U65) + (AA65*W65*X65)</f>
        <v>1960.3317488592234</v>
      </c>
      <c r="AC65" s="15">
        <f>IF(F65="Gestor",SUMIFS(AC:AC,A:A,A65,B:B,B65,G:G,D65),
IF(E65="Saving",SUMIFS(Negócios!I:I,Negócios!A:A,A65,Negócios!B:B,B65,Negócios!P:P,D65,Negócios!H:H,"Curso") +
SUMIFS(Negócios!I:I,Negócios!A:A,A65,Negócios!B:B,B65,Negócios!P:P,D65,Negócios!H:H,"Serviço") +
SUMIFS(Negócios!I:I,Negócios!A:A,A65,Negócios!B:B,B65,Negócios!P:P,D65,Negócios!H:H,"Implantação"),
SUMIFS(Negócios!I:I,Negócios!A:A,A65,Negócios!B:B,B65,Negócios!P:P,D65,Negócios!H:H,"Implantação")))</f>
        <v>0</v>
      </c>
      <c r="AD65" s="16">
        <f>SUMIFS(Parâmetros!W:W,Parâmetros!A:A,A65,Parâmetros!B:B,B65,Parâmetros!D:D,D65) * AC65 * IF(K65 &gt;= SUMIFS(Parâmetros!V:V,Parâmetros!A:A,A65,Parâmetros!B:B,B65,Parâmetros!D:D,D65),1,0)</f>
        <v>0</v>
      </c>
      <c r="AE65" s="15">
        <f>SUMIFS('Recuperação de Canc e Divs'!D:D,'Recuperação de Canc e Divs'!A:A,A65,'Recuperação de Canc e Divs'!B:B,B65,'Recuperação de Canc e Divs'!C:C,D65)</f>
        <v>0</v>
      </c>
      <c r="AF65" s="16">
        <f>IF(K65&gt;=SUMIFS(Parâmetros!J:J,Parâmetros!A:A,A65,Parâmetros!B:B,B65,Parâmetros!D:D,D65),AE65*0.025,0)</f>
        <v>0</v>
      </c>
      <c r="AG65" s="15">
        <f t="shared" si="25"/>
        <v>16530.816065200001</v>
      </c>
      <c r="AH65" s="16">
        <f t="shared" si="26"/>
        <v>18040</v>
      </c>
      <c r="AI65" s="90">
        <f t="shared" si="27"/>
        <v>0.91634235394678498</v>
      </c>
      <c r="AJ65" s="16">
        <f t="shared" si="28"/>
        <v>167336.01468476001</v>
      </c>
      <c r="AK65" s="16">
        <f t="shared" si="29"/>
        <v>156188.6784</v>
      </c>
      <c r="AL65" s="90">
        <f t="shared" si="30"/>
        <v>1.0713709623447329</v>
      </c>
      <c r="AM65" s="93" t="str">
        <f>IF(AND(OR(B65=3,B65=6,B65=9,B65=12),AI65&gt;=1),
IF(F65="Gestor",AI65*0.6,AI65*0.3),"")</f>
        <v/>
      </c>
      <c r="AN65" s="94">
        <f>IF(OR(B65=3,B65=6,B65=9,B65=12),
IF(AND(AL65&gt;=1,AI65&gt;=SUMIFS(Parâmetros!G:G,Parâmetros!A:A,Comissões!A65,Parâmetros!B:B,Comissões!B65,Parâmetros!D:D,Comissões!D65,Parâmetros!E:E,Comissões!E65)),AI65*0.3,""),"")</f>
        <v>0.27490270618403551</v>
      </c>
    </row>
    <row r="66" spans="1:40" hidden="1">
      <c r="A66" s="7">
        <v>2026</v>
      </c>
      <c r="B66" s="7">
        <v>3</v>
      </c>
      <c r="C66" s="7" t="str">
        <v>Clidiani Costa</v>
      </c>
      <c r="D66" s="7" t="str">
        <v>clidiani@altoqi.com.br</v>
      </c>
      <c r="E66" s="7" t="str">
        <v>Farmer</v>
      </c>
      <c r="F66" s="7" t="str">
        <v>Consultor</v>
      </c>
      <c r="G66" s="7" t="str">
        <v>sonia.zielinski@altoqi.com.br</v>
      </c>
      <c r="H66" s="7" t="str">
        <v>MRR</v>
      </c>
      <c r="I66" s="86">
        <f>IF(AND(F66="Consultor",H66="MRR"),SUMIFS(Negócios!L:L,Negócios!A:A,A66,Negócios!B:B,B66,Negócios!P:P,D66),
IF(AND(F66="Consultor",H66="Opps"),SUMIFS('Realizado GD'!D:D,'Realizado GD'!A:A,A66,'Realizado GD'!B:B,B66,'Realizado GD'!C:C,D66),
IF(AND(F66="Gestor",E66="Sonia",H66="MRR"),SUMIFS(I:I,A:A,A66,B:B,B66,G:G,D66) + SUMIFS(I:I,A:A,A66,B:B,B66,G:G,"anderson.ortiz@altoqi.com.br"),
IF(AND(F66="Gestor",H66="MRR"),SUMIFS(I:I,A:A,A66,B:B,B66,G:G,D66)))))</f>
        <v>6563.0450000000001</v>
      </c>
      <c r="J66" s="16">
        <f>SUMIFS(Metas!K:K,Metas!A:A,A66,Metas!B:B,B66,Metas!D:D,D66,Metas!H:H,H66)</f>
        <v>7851.0392000000002</v>
      </c>
      <c r="K66" s="10">
        <f t="shared" si="20"/>
        <v>0.83594602355316228</v>
      </c>
      <c r="L66" s="26" t="str" cm="1">
        <f t="array" ref="L66">_xlfn.LET(
 _xlpm.g,_xlfn.MAXIFS(Parâmetros!G:G,Parâmetros!A:A,A66,Parâmetros!B:B,B66,Parâmetros!D:D,D66,Parâmetros!E:E,E66),
 _xlpm.j,_xlfn.MAXIFS(Parâmetros!J:J,Parâmetros!A:A,A66,Parâmetros!B:B,B66,Parâmetros!D:D,D66,Parâmetros!E:E,E66),
 _xlpm.m,_xlfn.MAXIFS(Parâmetros!M:M,Parâmetros!A:A,A66,Parâmetros!B:B,B66,Parâmetros!D:D,D66,Parâmetros!E:E,E66),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55,00% | 100,00%</v>
      </c>
      <c r="M66" s="28">
        <f>IF(AND(F66="Gestor",E66="Sonia",H66="MRR"),SUMIFS(M:M,A:A,A66,B:B,B66,G:G,D66) + SUMIFS(M:M,A:A,A66,B:B,B66,G:G,"anderson.ortiz@altoqi.com.br"),
IF(AND(F66="Gestor",H66="MRR"),SUMIFS(M:M,A:A,A66,B:B,B66,G:G,D66),
SUMIFS(Negócios!L:L,Negócios!A:A,A66,Negócios!B:B,B66,Negócios!P:P,D66,Negócios!AG:AG,"À Vista")))</f>
        <v>1090.21</v>
      </c>
      <c r="N66" s="10">
        <f t="shared" si="21"/>
        <v>0.1661134427693243</v>
      </c>
      <c r="O66" s="30">
        <f>SUMIFS('Acel Form Pag'!D:D,'Acel Form Pag'!A:A,A66,'Acel Form Pag'!B:B,B66,'Acel Form Pag'!C:C,E66)</f>
        <v>1.5</v>
      </c>
      <c r="P66" s="87">
        <f>IF(AND(F66="Gestor",E66="Sonia",H66="MRR"),SUMIFS(P:P,A:A,A66,B:B,B66,G:G,D66) + SUMIFS(P:P,A:A,A66,B:B,B66,G:G,"anderson.ortiz@altoqi.com.br"),
IF(AND(F66="Gestor",H66="MRR"),SUMIFS(P:P,A:A,A66,B:B,B66,G:G,D66),
SUMIFS(Negócios!L:L,Negócios!A:A,A66,Negócios!B:B,B66,Negócios!P:P,D66,Negócios!AG:AG,"CC 3x")))</f>
        <v>109.89</v>
      </c>
      <c r="Q66" s="10">
        <f t="shared" si="22"/>
        <v>1.6743752328378061E-2</v>
      </c>
      <c r="R66" s="30">
        <f>SUMIFS('Acel Form Pag'!E:E,'Acel Form Pag'!A:A,A66,'Acel Form Pag'!B:B,B66,'Acel Form Pag'!C:C,E66)</f>
        <v>1.4</v>
      </c>
      <c r="S66" s="32">
        <f>IF(AND(F66="Gestor",E66="Sonia",H66="MRR"),SUMIFS(S:S,A:A,A66,B:B,B66,G:G,D66) + SUMIFS(S:S,A:A,A66,B:B,B66,G:G,"anderson.ortiz@altoqi.com.br"),
IF(AND(F66="Gestor",H66="MRR"),SUMIFS(S:S,A:A,A66,B:B,B66,G:G,D66),
SUMIFS(Negócios!L:L,Negócios!A:A,A66,Negócios!B:B,B66,Negócios!P:P,D66,Negócios!AG:AG,"CC 12x")))</f>
        <v>1074.9549999999999</v>
      </c>
      <c r="T66" s="10">
        <f t="shared" si="23"/>
        <v>0.16378906437484428</v>
      </c>
      <c r="U66" s="30">
        <f>SUMIFS('Acel Form Pag'!F:F,'Acel Form Pag'!A:A,A66,'Acel Form Pag'!B:B,B66,'Acel Form Pag'!C:C,E66)</f>
        <v>1.25</v>
      </c>
      <c r="V66" s="32">
        <f>IF(AND(F66="Gestor",E66="Sonia",H66="MRR"),SUMIFS(V:V,A:A,A66,B:B,B66,G:G,D66) + SUMIFS(V:V,A:A,A66,B:B,B66,G:G,"anderson.ortiz@altoqi.com.br"),
IF(AND(F66="Gestor",H66="MRR"),SUMIFS(V:V,A:A,A66,B:B,B66,G:G,D66),
SUMIFS(Negócios!L:L,Negócios!A:A,A66,Negócios!B:B,B66,Negócios!P:P,D66,Negócios!AG:AG,"Recorrente")))</f>
        <v>4287.9900000000007</v>
      </c>
      <c r="W66" s="10">
        <f t="shared" si="24"/>
        <v>0.65335374052745343</v>
      </c>
      <c r="X66" s="34">
        <f>SUMIFS('Acel Form Pag'!G:G,'Acel Form Pag'!A:A,A66,'Acel Form Pag'!B:B,B66,'Acel Form Pag'!C:C,E66)</f>
        <v>1</v>
      </c>
      <c r="Y66" s="24">
        <f>MAX(_xlfn.MAXIFS(Parâmetros!O:O,Parâmetros!A:A,A66,Parâmetros!B:B,B66,Parâmetros!D:D,D66,Parâmetros!M:M,"&lt;="&amp;K66),_xlfn.MAXIFS(Parâmetros!L:L,Parâmetros!A:A,A66,Parâmetros!B:B,B66,Parâmetros!D:D,D66,Parâmetros!J:J,"&lt;="&amp;K66),_xlfn.MAXIFS(Parâmetros!I:I,Parâmetros!A:A,A66,Parâmetros!B:B,B66,Parâmetros!D:D,D66))</f>
        <v>5554.3903200000004</v>
      </c>
      <c r="Z66" s="9">
        <f>MAX(_xlfn.MAXIFS(Parâmetros!Q:Q,Parâmetros!A:A,A66,Parâmetros!B:B,B66,Parâmetros!D:D,D66,Parâmetros!E:E,E66,Parâmetros!P:P,"&lt;="&amp;K66),
_xlfn.MAXIFS(Parâmetros!S:S,Parâmetros!A:A,A66,Parâmetros!B:B,B66,Parâmetros!D:D,D66,Parâmetros!E:E,E66,Parâmetros!R:R,"&lt;="&amp;K66),
_xlfn.MAXIFS(Parâmetros!U:U,Parâmetros!A:A,A66,Parâmetros!B:B,B66,Parâmetros!D:D,D66,Parâmetros!E:E,E66,Parâmetros!T:T,"&lt;="&amp;K66),1) * IF(K66 &gt;= SUMIFS(Parâmetros!G:G,Parâmetros!A:A,A66,Parâmetros!B:B,B66,Parâmetros!D:D,D66,Parâmetros!E:E,E66),1,0)</f>
        <v>1</v>
      </c>
      <c r="AA66" s="16">
        <f>Y66*Z66*K66</f>
        <v>4643.1705012661769</v>
      </c>
      <c r="AB66" s="16">
        <f>(AA66*N66*O66) + (AA66*Q66*R66) + (AA66*T66*U66) + (AA66*W66*X66)</f>
        <v>5250.0397967217932</v>
      </c>
      <c r="AC66" s="15">
        <f>IF(F66="Gestor",SUMIFS(AC:AC,A:A,A66,B:B,B66,G:G,D66),
IF(E66="Saving",SUMIFS(Negócios!I:I,Negócios!A:A,A66,Negócios!B:B,B66,Negócios!P:P,D66,Negócios!H:H,"Curso") +
SUMIFS(Negócios!I:I,Negócios!A:A,A66,Negócios!B:B,B66,Negócios!P:P,D66,Negócios!H:H,"Serviço") +
SUMIFS(Negócios!I:I,Negócios!A:A,A66,Negócios!B:B,B66,Negócios!P:P,D66,Negócios!H:H,"Implantação"),
SUMIFS(Negócios!I:I,Negócios!A:A,A66,Negócios!B:B,B66,Negócios!P:P,D66,Negócios!H:H,"Implantação")))</f>
        <v>0</v>
      </c>
      <c r="AD66" s="16">
        <f>SUMIFS(Parâmetros!W:W,Parâmetros!A:A,A66,Parâmetros!B:B,B66,Parâmetros!D:D,D66) * AC66 * IF(K66 &gt;= SUMIFS(Parâmetros!V:V,Parâmetros!A:A,A66,Parâmetros!B:B,B66,Parâmetros!D:D,D66),1,0)</f>
        <v>0</v>
      </c>
      <c r="AE66" s="15">
        <f>SUMIFS('Recuperação de Canc e Divs'!D:D,'Recuperação de Canc e Divs'!A:A,A66,'Recuperação de Canc e Divs'!B:B,B66,'Recuperação de Canc e Divs'!C:C,D66)</f>
        <v>0</v>
      </c>
      <c r="AF66" s="16">
        <f>IF(K66&gt;=SUMIFS(Parâmetros!J:J,Parâmetros!A:A,A66,Parâmetros!B:B,B66,Parâmetros!D:D,D66),AE66*0.025,0)</f>
        <v>0</v>
      </c>
      <c r="AG66" s="15">
        <f t="shared" si="25"/>
        <v>27989.189679939998</v>
      </c>
      <c r="AH66" s="16">
        <f t="shared" si="26"/>
        <v>25017.347699999998</v>
      </c>
      <c r="AI66" s="90">
        <f t="shared" si="27"/>
        <v>1.1187912489995893</v>
      </c>
      <c r="AJ66" s="16">
        <f t="shared" si="28"/>
        <v>167336.01468476001</v>
      </c>
      <c r="AK66" s="16">
        <f t="shared" si="29"/>
        <v>156188.6784</v>
      </c>
      <c r="AL66" s="90">
        <f t="shared" si="30"/>
        <v>1.0713709623447329</v>
      </c>
      <c r="AM66" s="93">
        <f>IF(AND(OR(B66=3,B66=6,B66=9,B66=12),AI66&gt;=1),
IF(F66="Gestor",AI66*0.6,AI66*0.3),"")</f>
        <v>0.33563737469987676</v>
      </c>
      <c r="AN66" s="94">
        <f>IF(OR(B66=3,B66=6,B66=9,B66=12),
IF(AND(AL66&gt;=1,AI66&gt;=SUMIFS(Parâmetros!G:G,Parâmetros!A:A,Comissões!A66,Parâmetros!B:B,Comissões!B66,Parâmetros!D:D,Comissões!D66,Parâmetros!E:E,Comissões!E66)),AI66*0.3,""),"")</f>
        <v>0.33563737469987676</v>
      </c>
    </row>
    <row r="67" spans="1:40" hidden="1">
      <c r="A67" s="7">
        <v>2026</v>
      </c>
      <c r="B67" s="7">
        <v>3</v>
      </c>
      <c r="C67" s="7" t="str">
        <v>Debora Vieira</v>
      </c>
      <c r="D67" s="7" t="str">
        <v>debora.vieira@altoqi.com.br</v>
      </c>
      <c r="E67" s="7" t="str">
        <v>Farmer</v>
      </c>
      <c r="F67" s="7" t="str">
        <v>Consultor</v>
      </c>
      <c r="G67" s="7" t="str">
        <v>sonia.zielinski@altoqi.com.br</v>
      </c>
      <c r="H67" s="7" t="str">
        <v>MRR</v>
      </c>
      <c r="I67" s="86">
        <f>IF(AND(F67="Consultor",H67="MRR"),SUMIFS(Negócios!L:L,Negócios!A:A,A67,Negócios!B:B,B67,Negócios!P:P,D67),
IF(AND(F67="Consultor",H67="Opps"),SUMIFS('Realizado GD'!D:D,'Realizado GD'!A:A,A67,'Realizado GD'!B:B,B67,'Realizado GD'!C:C,D67),
IF(AND(F67="Gestor",E67="Sonia",H67="MRR"),SUMIFS(I:I,A:A,A67,B:B,B67,G:G,D67) + SUMIFS(I:I,A:A,A67,B:B,B67,G:G,"anderson.ortiz@altoqi.com.br"),
IF(AND(F67="Gestor",H67="MRR"),SUMIFS(I:I,A:A,A67,B:B,B67,G:G,D67)))))</f>
        <v>9422.6799999099985</v>
      </c>
      <c r="J67" s="16">
        <f>SUMIFS(Metas!K:K,Metas!A:A,A67,Metas!B:B,B67,Metas!D:D,D67,Metas!H:H,H67)</f>
        <v>9020.8240000000005</v>
      </c>
      <c r="K67" s="10">
        <f t="shared" si="20"/>
        <v>1.0445475934249464</v>
      </c>
      <c r="L67" s="26" t="str" cm="1">
        <f t="array" ref="L67">_xlfn.LET(
 _xlpm.g,_xlfn.MAXIFS(Parâmetros!G:G,Parâmetros!A:A,A67,Parâmetros!B:B,B67,Parâmetros!D:D,D67,Parâmetros!E:E,E67),
 _xlpm.j,_xlfn.MAXIFS(Parâmetros!J:J,Parâmetros!A:A,A67,Parâmetros!B:B,B67,Parâmetros!D:D,D67,Parâmetros!E:E,E67),
 _xlpm.m,_xlfn.MAXIFS(Parâmetros!M:M,Parâmetros!A:A,A67,Parâmetros!B:B,B67,Parâmetros!D:D,D67,Parâmetros!E:E,E67),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55,00%</v>
      </c>
      <c r="M67" s="28">
        <f>IF(AND(F67="Gestor",E67="Sonia",H67="MRR"),SUMIFS(M:M,A:A,A67,B:B,B67,G:G,D67) + SUMIFS(M:M,A:A,A67,B:B,B67,G:G,"anderson.ortiz@altoqi.com.br"),
IF(AND(F67="Gestor",H67="MRR"),SUMIFS(M:M,A:A,A67,B:B,B67,G:G,D67),
SUMIFS(Negócios!L:L,Negócios!A:A,A67,Negócios!B:B,B67,Negócios!P:P,D67,Negócios!AG:AG,"À Vista")))</f>
        <v>2044.0749999</v>
      </c>
      <c r="N67" s="10">
        <f t="shared" si="21"/>
        <v>0.21693138257051328</v>
      </c>
      <c r="O67" s="30">
        <f>SUMIFS('Acel Form Pag'!D:D,'Acel Form Pag'!A:A,A67,'Acel Form Pag'!B:B,B67,'Acel Form Pag'!C:C,E67)</f>
        <v>1.5</v>
      </c>
      <c r="P67" s="87">
        <f>IF(AND(F67="Gestor",E67="Sonia",H67="MRR"),SUMIFS(P:P,A:A,A67,B:B,B67,G:G,D67) + SUMIFS(P:P,A:A,A67,B:B,B67,G:G,"anderson.ortiz@altoqi.com.br"),
IF(AND(F67="Gestor",H67="MRR"),SUMIFS(P:P,A:A,A67,B:B,B67,G:G,D67),
SUMIFS(Negócios!L:L,Negócios!A:A,A67,Negócios!B:B,B67,Negócios!P:P,D67,Negócios!AG:AG,"CC 3x")))</f>
        <v>109.91</v>
      </c>
      <c r="Q67" s="10">
        <f t="shared" si="22"/>
        <v>1.1664409700960852E-2</v>
      </c>
      <c r="R67" s="30">
        <f>SUMIFS('Acel Form Pag'!E:E,'Acel Form Pag'!A:A,A67,'Acel Form Pag'!B:B,B67,'Acel Form Pag'!C:C,E67)</f>
        <v>1.4</v>
      </c>
      <c r="S67" s="32">
        <f>IF(AND(F67="Gestor",E67="Sonia",H67="MRR"),SUMIFS(S:S,A:A,A67,B:B,B67,G:G,D67) + SUMIFS(S:S,A:A,A67,B:B,B67,G:G,"anderson.ortiz@altoqi.com.br"),
IF(AND(F67="Gestor",H67="MRR"),SUMIFS(S:S,A:A,A67,B:B,B67,G:G,D67),
SUMIFS(Negócios!L:L,Negócios!A:A,A67,Negócios!B:B,B67,Negócios!P:P,D67,Negócios!AG:AG,"CC 12x")))</f>
        <v>2688.5550000100002</v>
      </c>
      <c r="T67" s="10">
        <f t="shared" si="23"/>
        <v>0.28532805953674328</v>
      </c>
      <c r="U67" s="30">
        <f>SUMIFS('Acel Form Pag'!F:F,'Acel Form Pag'!A:A,A67,'Acel Form Pag'!B:B,B67,'Acel Form Pag'!C:C,E67)</f>
        <v>1.25</v>
      </c>
      <c r="V67" s="32">
        <f>IF(AND(F67="Gestor",E67="Sonia",H67="MRR"),SUMIFS(V:V,A:A,A67,B:B,B67,G:G,D67) + SUMIFS(V:V,A:A,A67,B:B,B67,G:G,"anderson.ortiz@altoqi.com.br"),
IF(AND(F67="Gestor",H67="MRR"),SUMIFS(V:V,A:A,A67,B:B,B67,G:G,D67),
SUMIFS(Negócios!L:L,Negócios!A:A,A67,Negócios!B:B,B67,Negócios!P:P,D67,Negócios!AG:AG,"Recorrente")))</f>
        <v>4580.1400000000003</v>
      </c>
      <c r="W67" s="10">
        <f t="shared" si="24"/>
        <v>0.4860761481917828</v>
      </c>
      <c r="X67" s="34">
        <f>SUMIFS('Acel Form Pag'!G:G,'Acel Form Pag'!A:A,A67,'Acel Form Pag'!B:B,B67,'Acel Form Pag'!C:C,E67)</f>
        <v>1</v>
      </c>
      <c r="Y67" s="24">
        <f>MAX(_xlfn.MAXIFS(Parâmetros!O:O,Parâmetros!A:A,A67,Parâmetros!B:B,B67,Parâmetros!D:D,D67,Parâmetros!M:M,"&lt;="&amp;K67),_xlfn.MAXIFS(Parâmetros!L:L,Parâmetros!A:A,A67,Parâmetros!B:B,B67,Parâmetros!D:D,D67,Parâmetros!J:J,"&lt;="&amp;K67),_xlfn.MAXIFS(Parâmetros!I:I,Parâmetros!A:A,A67,Parâmetros!B:B,B67,Parâmetros!D:D,D67))</f>
        <v>3240</v>
      </c>
      <c r="Z67" s="9">
        <f>MAX(_xlfn.MAXIFS(Parâmetros!Q:Q,Parâmetros!A:A,A67,Parâmetros!B:B,B67,Parâmetros!D:D,D67,Parâmetros!E:E,E67,Parâmetros!P:P,"&lt;="&amp;K67),
_xlfn.MAXIFS(Parâmetros!S:S,Parâmetros!A:A,A67,Parâmetros!B:B,B67,Parâmetros!D:D,D67,Parâmetros!E:E,E67,Parâmetros!R:R,"&lt;="&amp;K67),
_xlfn.MAXIFS(Parâmetros!U:U,Parâmetros!A:A,A67,Parâmetros!B:B,B67,Parâmetros!D:D,D67,Parâmetros!E:E,E67,Parâmetros!T:T,"&lt;="&amp;K67),1) * IF(K67 &gt;= SUMIFS(Parâmetros!G:G,Parâmetros!A:A,A67,Parâmetros!B:B,B67,Parâmetros!D:D,D67,Parâmetros!E:E,E67),1,0)</f>
        <v>1.1499999999999999</v>
      </c>
      <c r="AA67" s="16">
        <f>Y67*Z67*K67</f>
        <v>3891.9843331013499</v>
      </c>
      <c r="AB67" s="16">
        <f>(AA67*N67*O67) + (AA67*Q67*R67) + (AA67*T67*U67) + (AA67*W67*X67)</f>
        <v>4609.9132685647864</v>
      </c>
      <c r="AC67" s="15">
        <f>IF(F67="Gestor",SUMIFS(AC:AC,A:A,A67,B:B,B67,G:G,D67),
IF(E67="Saving",SUMIFS(Negócios!I:I,Negócios!A:A,A67,Negócios!B:B,B67,Negócios!P:P,D67,Negócios!H:H,"Curso") +
SUMIFS(Negócios!I:I,Negócios!A:A,A67,Negócios!B:B,B67,Negócios!P:P,D67,Negócios!H:H,"Serviço") +
SUMIFS(Negócios!I:I,Negócios!A:A,A67,Negócios!B:B,B67,Negócios!P:P,D67,Negócios!H:H,"Implantação"),
SUMIFS(Negócios!I:I,Negócios!A:A,A67,Negócios!B:B,B67,Negócios!P:P,D67,Negócios!H:H,"Implantação")))</f>
        <v>0</v>
      </c>
      <c r="AD67" s="16">
        <f>SUMIFS(Parâmetros!W:W,Parâmetros!A:A,A67,Parâmetros!B:B,B67,Parâmetros!D:D,D67) * AC67 * IF(K67 &gt;= SUMIFS(Parâmetros!V:V,Parâmetros!A:A,A67,Parâmetros!B:B,B67,Parâmetros!D:D,D67),1,0)</f>
        <v>0</v>
      </c>
      <c r="AE67" s="15">
        <f>SUMIFS('Recuperação de Canc e Divs'!D:D,'Recuperação de Canc e Divs'!A:A,A67,'Recuperação de Canc e Divs'!B:B,B67,'Recuperação de Canc e Divs'!C:C,D67)</f>
        <v>0</v>
      </c>
      <c r="AF67" s="16">
        <f>IF(K67&gt;=SUMIFS(Parâmetros!J:J,Parâmetros!A:A,A67,Parâmetros!B:B,B67,Parâmetros!D:D,D67),AE67*0.025,0)</f>
        <v>0</v>
      </c>
      <c r="AG67" s="15">
        <f t="shared" si="25"/>
        <v>21017.24900991</v>
      </c>
      <c r="AH67" s="16">
        <f t="shared" si="26"/>
        <v>21544.824000000001</v>
      </c>
      <c r="AI67" s="90">
        <f t="shared" si="27"/>
        <v>0.97551268044287576</v>
      </c>
      <c r="AJ67" s="16">
        <f t="shared" si="28"/>
        <v>167336.01468476001</v>
      </c>
      <c r="AK67" s="16">
        <f t="shared" si="29"/>
        <v>156188.6784</v>
      </c>
      <c r="AL67" s="90">
        <f t="shared" si="30"/>
        <v>1.0713709623447329</v>
      </c>
      <c r="AM67" s="93" t="str">
        <f>IF(AND(OR(B67=3,B67=6,B67=9,B67=12),AI67&gt;=1),
IF(F67="Gestor",AI67*0.6,AI67*0.3),"")</f>
        <v/>
      </c>
      <c r="AN67" s="94">
        <f>IF(OR(B67=3,B67=6,B67=9,B67=12),
IF(AND(AL67&gt;=1,AI67&gt;=SUMIFS(Parâmetros!G:G,Parâmetros!A:A,Comissões!A67,Parâmetros!B:B,Comissões!B67,Parâmetros!D:D,Comissões!D67,Parâmetros!E:E,Comissões!E67)),AI67*0.3,""),"")</f>
        <v>0.29265380413286274</v>
      </c>
    </row>
    <row r="68" spans="1:40" hidden="1">
      <c r="A68" s="7">
        <v>2026</v>
      </c>
      <c r="B68" s="7">
        <v>3</v>
      </c>
      <c r="C68" s="7" t="str">
        <v>Mariana Rachadel</v>
      </c>
      <c r="D68" s="7" t="str">
        <v>mariana@altoqi.com.br</v>
      </c>
      <c r="E68" s="7" t="str">
        <v>Farmer</v>
      </c>
      <c r="F68" s="7" t="str">
        <v>Consultor</v>
      </c>
      <c r="G68" s="7" t="str">
        <v>sonia.zielinski@altoqi.com.br</v>
      </c>
      <c r="H68" s="7" t="str">
        <v>MRR</v>
      </c>
      <c r="I68" s="86">
        <f>IF(AND(F68="Consultor",H68="MRR"),SUMIFS(Negócios!L:L,Negócios!A:A,A68,Negócios!B:B,B68,Negócios!P:P,D68),
IF(AND(F68="Consultor",H68="Opps"),SUMIFS('Realizado GD'!D:D,'Realizado GD'!A:A,A68,'Realizado GD'!B:B,B68,'Realizado GD'!C:C,D68),
IF(AND(F68="Gestor",E68="Sonia",H68="MRR"),SUMIFS(I:I,A:A,A68,B:B,B68,G:G,D68) + SUMIFS(I:I,A:A,A68,B:B,B68,G:G,"anderson.ortiz@altoqi.com.br"),
IF(AND(F68="Gestor",H68="MRR"),SUMIFS(I:I,A:A,A68,B:B,B68,G:G,D68)))))</f>
        <v>15176.218823769997</v>
      </c>
      <c r="J68" s="16">
        <f>SUMIFS(Metas!K:K,Metas!A:A,A68,Metas!B:B,B68,Metas!D:D,D68,Metas!H:H,H68)</f>
        <v>13845.727999999999</v>
      </c>
      <c r="K68" s="10">
        <f t="shared" si="20"/>
        <v>1.09609395936205</v>
      </c>
      <c r="L68" s="26" t="str" cm="1">
        <f t="array" ref="L68">_xlfn.LET(
 _xlpm.g,_xlfn.MAXIFS(Parâmetros!G:G,Parâmetros!A:A,A68,Parâmetros!B:B,B68,Parâmetros!D:D,D68,Parâmetros!E:E,E68),
 _xlpm.j,_xlfn.MAXIFS(Parâmetros!J:J,Parâmetros!A:A,A68,Parâmetros!B:B,B68,Parâmetros!D:D,D68,Parâmetros!E:E,E68),
 _xlpm.m,_xlfn.MAXIFS(Parâmetros!M:M,Parâmetros!A:A,A68,Parâmetros!B:B,B68,Parâmetros!D:D,D68,Parâmetros!E:E,E68),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55,00% | 100,00%</v>
      </c>
      <c r="M68" s="28">
        <f>IF(AND(F68="Gestor",E68="Sonia",H68="MRR"),SUMIFS(M:M,A:A,A68,B:B,B68,G:G,D68) + SUMIFS(M:M,A:A,A68,B:B,B68,G:G,"anderson.ortiz@altoqi.com.br"),
IF(AND(F68="Gestor",H68="MRR"),SUMIFS(M:M,A:A,A68,B:B,B68,G:G,D68),
SUMIFS(Negócios!L:L,Negócios!A:A,A68,Negócios!B:B,B68,Negócios!P:P,D68,Negócios!AG:AG,"À Vista")))</f>
        <v>0</v>
      </c>
      <c r="N68" s="10">
        <f t="shared" si="21"/>
        <v>0</v>
      </c>
      <c r="O68" s="30">
        <f>SUMIFS('Acel Form Pag'!D:D,'Acel Form Pag'!A:A,A68,'Acel Form Pag'!B:B,B68,'Acel Form Pag'!C:C,E68)</f>
        <v>1.5</v>
      </c>
      <c r="P68" s="87">
        <f>IF(AND(F68="Gestor",E68="Sonia",H68="MRR"),SUMIFS(P:P,A:A,A68,B:B,B68,G:G,D68) + SUMIFS(P:P,A:A,A68,B:B,B68,G:G,"anderson.ortiz@altoqi.com.br"),
IF(AND(F68="Gestor",H68="MRR"),SUMIFS(P:P,A:A,A68,B:B,B68,G:G,D68),
SUMIFS(Negócios!L:L,Negócios!A:A,A68,Negócios!B:B,B68,Negócios!P:P,D68,Negócios!AG:AG,"CC 3x")))</f>
        <v>0</v>
      </c>
      <c r="Q68" s="10">
        <f t="shared" si="22"/>
        <v>0</v>
      </c>
      <c r="R68" s="30">
        <f>SUMIFS('Acel Form Pag'!E:E,'Acel Form Pag'!A:A,A68,'Acel Form Pag'!B:B,B68,'Acel Form Pag'!C:C,E68)</f>
        <v>1.4</v>
      </c>
      <c r="S68" s="32">
        <f>IF(AND(F68="Gestor",E68="Sonia",H68="MRR"),SUMIFS(S:S,A:A,A68,B:B,B68,G:G,D68) + SUMIFS(S:S,A:A,A68,B:B,B68,G:G,"anderson.ortiz@altoqi.com.br"),
IF(AND(F68="Gestor",H68="MRR"),SUMIFS(S:S,A:A,A68,B:B,B68,G:G,D68),
SUMIFS(Negócios!L:L,Negócios!A:A,A68,Negócios!B:B,B68,Negócios!P:P,D68,Negócios!AG:AG,"CC 12x")))</f>
        <v>2340.1912999300002</v>
      </c>
      <c r="T68" s="10">
        <f t="shared" si="23"/>
        <v>0.15420120960990874</v>
      </c>
      <c r="U68" s="30">
        <f>SUMIFS('Acel Form Pag'!F:F,'Acel Form Pag'!A:A,A68,'Acel Form Pag'!B:B,B68,'Acel Form Pag'!C:C,E68)</f>
        <v>1.25</v>
      </c>
      <c r="V68" s="32">
        <f>IF(AND(F68="Gestor",E68="Sonia",H68="MRR"),SUMIFS(V:V,A:A,A68,B:B,B68,G:G,D68) + SUMIFS(V:V,A:A,A68,B:B,B68,G:G,"anderson.ortiz@altoqi.com.br"),
IF(AND(F68="Gestor",H68="MRR"),SUMIFS(V:V,A:A,A68,B:B,B68,G:G,D68),
SUMIFS(Negócios!L:L,Negócios!A:A,A68,Negócios!B:B,B68,Negócios!P:P,D68,Negócios!AG:AG,"Recorrente")))</f>
        <v>12836.027523839999</v>
      </c>
      <c r="W68" s="10">
        <f t="shared" si="24"/>
        <v>0.84579879039009132</v>
      </c>
      <c r="X68" s="34">
        <f>SUMIFS('Acel Form Pag'!G:G,'Acel Form Pag'!A:A,A68,'Acel Form Pag'!B:B,B68,'Acel Form Pag'!C:C,E68)</f>
        <v>1</v>
      </c>
      <c r="Y68" s="24">
        <f>MAX(_xlfn.MAXIFS(Parâmetros!O:O,Parâmetros!A:A,A68,Parâmetros!B:B,B68,Parâmetros!D:D,D68,Parâmetros!M:M,"&lt;="&amp;K68),_xlfn.MAXIFS(Parâmetros!L:L,Parâmetros!A:A,A68,Parâmetros!B:B,B68,Parâmetros!D:D,D68,Parâmetros!J:J,"&lt;="&amp;K68),_xlfn.MAXIFS(Parâmetros!I:I,Parâmetros!A:A,A68,Parâmetros!B:B,B68,Parâmetros!D:D,D68))</f>
        <v>11500</v>
      </c>
      <c r="Z68" s="9">
        <f>MAX(_xlfn.MAXIFS(Parâmetros!Q:Q,Parâmetros!A:A,A68,Parâmetros!B:B,B68,Parâmetros!D:D,D68,Parâmetros!E:E,E68,Parâmetros!P:P,"&lt;="&amp;K68),
_xlfn.MAXIFS(Parâmetros!S:S,Parâmetros!A:A,A68,Parâmetros!B:B,B68,Parâmetros!D:D,D68,Parâmetros!E:E,E68,Parâmetros!R:R,"&lt;="&amp;K68),
_xlfn.MAXIFS(Parâmetros!U:U,Parâmetros!A:A,A68,Parâmetros!B:B,B68,Parâmetros!D:D,D68,Parâmetros!E:E,E68,Parâmetros!T:T,"&lt;="&amp;K68),1) * IF(K68 &gt;= SUMIFS(Parâmetros!G:G,Parâmetros!A:A,A68,Parâmetros!B:B,B68,Parâmetros!D:D,D68,Parâmetros!E:E,E68),1,0)</f>
        <v>1.25</v>
      </c>
      <c r="AA68" s="16">
        <f>Y68*Z68*K68</f>
        <v>15756.350665829468</v>
      </c>
      <c r="AB68" s="16">
        <f>(AA68*N68*O68) + (AA68*Q68*R68) + (AA68*T68*U68) + (AA68*W68*X68)</f>
        <v>16363.762748756668</v>
      </c>
      <c r="AC68" s="15">
        <f>IF(F68="Gestor",SUMIFS(AC:AC,A:A,A68,B:B,B68,G:G,D68),
IF(E68="Saving",SUMIFS(Negócios!I:I,Negócios!A:A,A68,Negócios!B:B,B68,Negócios!P:P,D68,Negócios!H:H,"Curso") +
SUMIFS(Negócios!I:I,Negócios!A:A,A68,Negócios!B:B,B68,Negócios!P:P,D68,Negócios!H:H,"Serviço") +
SUMIFS(Negócios!I:I,Negócios!A:A,A68,Negócios!B:B,B68,Negócios!P:P,D68,Negócios!H:H,"Implantação"),
SUMIFS(Negócios!I:I,Negócios!A:A,A68,Negócios!B:B,B68,Negócios!P:P,D68,Negócios!H:H,"Implantação")))</f>
        <v>0</v>
      </c>
      <c r="AD68" s="16">
        <f>SUMIFS(Parâmetros!W:W,Parâmetros!A:A,A68,Parâmetros!B:B,B68,Parâmetros!D:D,D68) * AC68 * IF(K68 &gt;= SUMIFS(Parâmetros!V:V,Parâmetros!A:A,A68,Parâmetros!B:B,B68,Parâmetros!D:D,D68),1,0)</f>
        <v>0</v>
      </c>
      <c r="AE68" s="15">
        <f>SUMIFS('Recuperação de Canc e Divs'!D:D,'Recuperação de Canc e Divs'!A:A,A68,'Recuperação de Canc e Divs'!B:B,B68,'Recuperação de Canc e Divs'!C:C,D68)</f>
        <v>0</v>
      </c>
      <c r="AF68" s="16">
        <f>IF(K68&gt;=SUMIFS(Parâmetros!J:J,Parâmetros!A:A,A68,Parâmetros!B:B,B68,Parâmetros!D:D,D68),AE68*0.025,0)</f>
        <v>0</v>
      </c>
      <c r="AG68" s="15">
        <f t="shared" si="25"/>
        <v>44232.258373779994</v>
      </c>
      <c r="AH68" s="16">
        <f t="shared" si="26"/>
        <v>35899.916700000002</v>
      </c>
      <c r="AI68" s="90">
        <f t="shared" si="27"/>
        <v>1.2320991924134463</v>
      </c>
      <c r="AJ68" s="16">
        <f t="shared" si="28"/>
        <v>167336.01468476001</v>
      </c>
      <c r="AK68" s="16">
        <f t="shared" si="29"/>
        <v>156188.6784</v>
      </c>
      <c r="AL68" s="90">
        <f t="shared" si="30"/>
        <v>1.0713709623447329</v>
      </c>
      <c r="AM68" s="93">
        <f>IF(AND(OR(B68=3,B68=6,B68=9,B68=12),AI68&gt;=1),
IF(F68="Gestor",AI68*0.6,AI68*0.3),"")</f>
        <v>0.36962975772403389</v>
      </c>
      <c r="AN68" s="94">
        <f>IF(OR(B68=3,B68=6,B68=9,B68=12),
IF(AND(AL68&gt;=1,AI68&gt;=SUMIFS(Parâmetros!G:G,Parâmetros!A:A,Comissões!A68,Parâmetros!B:B,Comissões!B68,Parâmetros!D:D,Comissões!D68,Parâmetros!E:E,Comissões!E68)),AI68*0.3,""),"")</f>
        <v>0.36962975772403389</v>
      </c>
    </row>
    <row r="69" spans="1:40" hidden="1">
      <c r="A69" s="7">
        <v>2026</v>
      </c>
      <c r="B69" s="7">
        <v>3</v>
      </c>
      <c r="C69" s="7" t="str">
        <v>Renata Parizotto</v>
      </c>
      <c r="D69" s="7" t="str">
        <v>renata.parizotto@altoqi.com.br</v>
      </c>
      <c r="E69" s="7" t="str">
        <v>Farmer</v>
      </c>
      <c r="F69" s="7" t="str">
        <v>Consultor</v>
      </c>
      <c r="G69" s="7" t="str">
        <v>sonia.zielinski@altoqi.com.br</v>
      </c>
      <c r="H69" s="7" t="str">
        <v>MRR</v>
      </c>
      <c r="I69" s="86">
        <f>IF(AND(F69="Consultor",H69="MRR"),SUMIFS(Negócios!L:L,Negócios!A:A,A69,Negócios!B:B,B69,Negócios!P:P,D69),
IF(AND(F69="Consultor",H69="Opps"),SUMIFS('Realizado GD'!D:D,'Realizado GD'!A:A,A69,'Realizado GD'!B:B,B69,'Realizado GD'!C:C,D69),
IF(AND(F69="Gestor",E69="Sonia",H69="MRR"),SUMIFS(I:I,A:A,A69,B:B,B69,G:G,D69) + SUMIFS(I:I,A:A,A69,B:B,B69,G:G,"anderson.ortiz@altoqi.com.br"),
IF(AND(F69="Gestor",H69="MRR"),SUMIFS(I:I,A:A,A69,B:B,B69,G:G,D69)))))</f>
        <v>23594.85368258</v>
      </c>
      <c r="J69" s="16">
        <f>SUMIFS(Metas!K:K,Metas!A:A,A69,Metas!B:B,B69,Metas!D:D,D69,Metas!H:H,H69)</f>
        <v>16472.416000000001</v>
      </c>
      <c r="K69" s="10">
        <f t="shared" si="20"/>
        <v>1.4323857339797634</v>
      </c>
      <c r="L69" s="26" t="str" cm="1">
        <f t="array" ref="L69">_xlfn.LET(
 _xlpm.g,_xlfn.MAXIFS(Parâmetros!G:G,Parâmetros!A:A,A69,Parâmetros!B:B,B69,Parâmetros!D:D,D69,Parâmetros!E:E,E69),
 _xlpm.j,_xlfn.MAXIFS(Parâmetros!J:J,Parâmetros!A:A,A69,Parâmetros!B:B,B69,Parâmetros!D:D,D69,Parâmetros!E:E,E69),
 _xlpm.m,_xlfn.MAXIFS(Parâmetros!M:M,Parâmetros!A:A,A69,Parâmetros!B:B,B69,Parâmetros!D:D,D69,Parâmetros!E:E,E69),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55,00%</v>
      </c>
      <c r="M69" s="28">
        <f>IF(AND(F69="Gestor",E69="Sonia",H69="MRR"),SUMIFS(M:M,A:A,A69,B:B,B69,G:G,D69) + SUMIFS(M:M,A:A,A69,B:B,B69,G:G,"anderson.ortiz@altoqi.com.br"),
IF(AND(F69="Gestor",H69="MRR"),SUMIFS(M:M,A:A,A69,B:B,B69,G:G,D69),
SUMIFS(Negócios!L:L,Negócios!A:A,A69,Negócios!B:B,B69,Negócios!P:P,D69,Negócios!AG:AG,"À Vista")))</f>
        <v>846.12750000000005</v>
      </c>
      <c r="N69" s="10">
        <f t="shared" si="21"/>
        <v>3.5860680103504648E-2</v>
      </c>
      <c r="O69" s="30">
        <f>SUMIFS('Acel Form Pag'!D:D,'Acel Form Pag'!A:A,A69,'Acel Form Pag'!B:B,B69,'Acel Form Pag'!C:C,E69)</f>
        <v>1.5</v>
      </c>
      <c r="P69" s="87">
        <f>IF(AND(F69="Gestor",E69="Sonia",H69="MRR"),SUMIFS(P:P,A:A,A69,B:B,B69,G:G,D69) + SUMIFS(P:P,A:A,A69,B:B,B69,G:G,"anderson.ortiz@altoqi.com.br"),
IF(AND(F69="Gestor",H69="MRR"),SUMIFS(P:P,A:A,A69,B:B,B69,G:G,D69),
SUMIFS(Negócios!L:L,Negócios!A:A,A69,Negócios!B:B,B69,Negócios!P:P,D69,Negócios!AG:AG,"CC 3x")))</f>
        <v>397.22</v>
      </c>
      <c r="Q69" s="10">
        <f t="shared" si="22"/>
        <v>1.6835027050549848E-2</v>
      </c>
      <c r="R69" s="30">
        <f>SUMIFS('Acel Form Pag'!E:E,'Acel Form Pag'!A:A,A69,'Acel Form Pag'!B:B,B69,'Acel Form Pag'!C:C,E69)</f>
        <v>1.4</v>
      </c>
      <c r="S69" s="32">
        <f>IF(AND(F69="Gestor",E69="Sonia",H69="MRR"),SUMIFS(S:S,A:A,A69,B:B,B69,G:G,D69) + SUMIFS(S:S,A:A,A69,B:B,B69,G:G,"anderson.ortiz@altoqi.com.br"),
IF(AND(F69="Gestor",H69="MRR"),SUMIFS(S:S,A:A,A69,B:B,B69,G:G,D69),
SUMIFS(Negócios!L:L,Negócios!A:A,A69,Negócios!B:B,B69,Negócios!P:P,D69,Negócios!AG:AG,"CC 12x")))</f>
        <v>839.33782499999995</v>
      </c>
      <c r="T69" s="10">
        <f t="shared" si="23"/>
        <v>3.5572919259918116E-2</v>
      </c>
      <c r="U69" s="30">
        <f>SUMIFS('Acel Form Pag'!F:F,'Acel Form Pag'!A:A,A69,'Acel Form Pag'!B:B,B69,'Acel Form Pag'!C:C,E69)</f>
        <v>1.25</v>
      </c>
      <c r="V69" s="32">
        <f>IF(AND(F69="Gestor",E69="Sonia",H69="MRR"),SUMIFS(V:V,A:A,A69,B:B,B69,G:G,D69) + SUMIFS(V:V,A:A,A69,B:B,B69,G:G,"anderson.ortiz@altoqi.com.br"),
IF(AND(F69="Gestor",H69="MRR"),SUMIFS(V:V,A:A,A69,B:B,B69,G:G,D69),
SUMIFS(Negócios!L:L,Negócios!A:A,A69,Negócios!B:B,B69,Negócios!P:P,D69,Negócios!AG:AG,"Recorrente")))</f>
        <v>21512.168357580002</v>
      </c>
      <c r="W69" s="10">
        <f t="shared" si="24"/>
        <v>0.9117313735860274</v>
      </c>
      <c r="X69" s="34">
        <f>SUMIFS('Acel Form Pag'!G:G,'Acel Form Pag'!A:A,A69,'Acel Form Pag'!B:B,B69,'Acel Form Pag'!C:C,E69)</f>
        <v>1</v>
      </c>
      <c r="Y69" s="24">
        <f>MAX(_xlfn.MAXIFS(Parâmetros!O:O,Parâmetros!A:A,A69,Parâmetros!B:B,B69,Parâmetros!D:D,D69,Parâmetros!M:M,"&lt;="&amp;K69),_xlfn.MAXIFS(Parâmetros!L:L,Parâmetros!A:A,A69,Parâmetros!B:B,B69,Parâmetros!D:D,D69,Parâmetros!J:J,"&lt;="&amp;K69),_xlfn.MAXIFS(Parâmetros!I:I,Parâmetros!A:A,A69,Parâmetros!B:B,B69,Parâmetros!D:D,D69))</f>
        <v>4176</v>
      </c>
      <c r="Z69" s="9">
        <f>MAX(_xlfn.MAXIFS(Parâmetros!Q:Q,Parâmetros!A:A,A69,Parâmetros!B:B,B69,Parâmetros!D:D,D69,Parâmetros!E:E,E69,Parâmetros!P:P,"&lt;="&amp;K69),
_xlfn.MAXIFS(Parâmetros!S:S,Parâmetros!A:A,A69,Parâmetros!B:B,B69,Parâmetros!D:D,D69,Parâmetros!E:E,E69,Parâmetros!R:R,"&lt;="&amp;K69),
_xlfn.MAXIFS(Parâmetros!U:U,Parâmetros!A:A,A69,Parâmetros!B:B,B69,Parâmetros!D:D,D69,Parâmetros!E:E,E69,Parâmetros!T:T,"&lt;="&amp;K69),1) * IF(K69 &gt;= SUMIFS(Parâmetros!G:G,Parâmetros!A:A,A69,Parâmetros!B:B,B69,Parâmetros!D:D,D69,Parâmetros!E:E,E69),1,0)</f>
        <v>1.25</v>
      </c>
      <c r="AA69" s="16">
        <f>Y69*Z69*K69</f>
        <v>7477.0535313743649</v>
      </c>
      <c r="AB69" s="16">
        <f>(AA69*N69*O69) + (AA69*Q69*R69) + (AA69*T69*U69) + (AA69*W69*X69)</f>
        <v>7727.9653585541182</v>
      </c>
      <c r="AC69" s="15">
        <f>IF(F69="Gestor",SUMIFS(AC:AC,A:A,A69,B:B,B69,G:G,D69),
IF(E69="Saving",SUMIFS(Negócios!I:I,Negócios!A:A,A69,Negócios!B:B,B69,Negócios!P:P,D69,Negócios!H:H,"Curso") +
SUMIFS(Negócios!I:I,Negócios!A:A,A69,Negócios!B:B,B69,Negócios!P:P,D69,Negócios!H:H,"Serviço") +
SUMIFS(Negócios!I:I,Negócios!A:A,A69,Negócios!B:B,B69,Negócios!P:P,D69,Negócios!H:H,"Implantação"),
SUMIFS(Negócios!I:I,Negócios!A:A,A69,Negócios!B:B,B69,Negócios!P:P,D69,Negócios!H:H,"Implantação")))</f>
        <v>6000</v>
      </c>
      <c r="AD69" s="16">
        <f>SUMIFS(Parâmetros!W:W,Parâmetros!A:A,A69,Parâmetros!B:B,B69,Parâmetros!D:D,D69) * AC69 * IF(K69 &gt;= SUMIFS(Parâmetros!V:V,Parâmetros!A:A,A69,Parâmetros!B:B,B69,Parâmetros!D:D,D69),1,0)</f>
        <v>120</v>
      </c>
      <c r="AE69" s="15">
        <f>SUMIFS('Recuperação de Canc e Divs'!D:D,'Recuperação de Canc e Divs'!A:A,A69,'Recuperação de Canc e Divs'!B:B,B69,'Recuperação de Canc e Divs'!C:C,D69)</f>
        <v>0</v>
      </c>
      <c r="AF69" s="16">
        <f>IF(K69&gt;=SUMIFS(Parâmetros!J:J,Parâmetros!A:A,A69,Parâmetros!B:B,B69,Parâmetros!D:D,D69),AE69*0.025,0)</f>
        <v>0</v>
      </c>
      <c r="AG69" s="15">
        <f t="shared" si="25"/>
        <v>42338.448222630002</v>
      </c>
      <c r="AH69" s="16">
        <f t="shared" si="26"/>
        <v>31734.302000000003</v>
      </c>
      <c r="AI69" s="90">
        <f t="shared" si="27"/>
        <v>1.3341540715982976</v>
      </c>
      <c r="AJ69" s="16">
        <f t="shared" si="28"/>
        <v>167336.01468476001</v>
      </c>
      <c r="AK69" s="16">
        <f t="shared" si="29"/>
        <v>156188.6784</v>
      </c>
      <c r="AL69" s="90">
        <f t="shared" si="30"/>
        <v>1.0713709623447329</v>
      </c>
      <c r="AM69" s="93">
        <f>IF(AND(OR(B69=3,B69=6,B69=9,B69=12),AI69&gt;=1),
IF(F69="Gestor",AI69*0.6,AI69*0.3),"")</f>
        <v>0.40024622147948924</v>
      </c>
      <c r="AN69" s="94">
        <f>IF(OR(B69=3,B69=6,B69=9,B69=12),
IF(AND(AL69&gt;=1,AI69&gt;=SUMIFS(Parâmetros!G:G,Parâmetros!A:A,Comissões!A69,Parâmetros!B:B,Comissões!B69,Parâmetros!D:D,Comissões!D69,Parâmetros!E:E,Comissões!E69)),AI69*0.3,""),"")</f>
        <v>0.40024622147948924</v>
      </c>
    </row>
    <row r="70" spans="1:40" hidden="1">
      <c r="A70" s="7">
        <v>2026</v>
      </c>
      <c r="B70" s="7">
        <v>3</v>
      </c>
      <c r="C70" s="7" t="str">
        <v>Thales Mariante De Sá</v>
      </c>
      <c r="D70" s="7" t="str">
        <v>thales.sa@altoqi.com.br</v>
      </c>
      <c r="E70" s="7" t="str">
        <v>Farmer</v>
      </c>
      <c r="F70" s="7" t="str">
        <v>Consultor</v>
      </c>
      <c r="G70" s="7" t="str">
        <v>sonia.zielinski@altoqi.com.br</v>
      </c>
      <c r="H70" s="7" t="str">
        <v>MRR</v>
      </c>
      <c r="I70" s="86">
        <f>IF(AND(F70="Consultor",H70="MRR"),SUMIFS(Negócios!L:L,Negócios!A:A,A70,Negócios!B:B,B70,Negócios!P:P,D70),
IF(AND(F70="Consultor",H70="Opps"),SUMIFS('Realizado GD'!D:D,'Realizado GD'!A:A,A70,'Realizado GD'!B:B,B70,'Realizado GD'!C:C,D70),
IF(AND(F70="Gestor",E70="Sonia",H70="MRR"),SUMIFS(I:I,A:A,A70,B:B,B70,G:G,D70) + SUMIFS(I:I,A:A,A70,B:B,B70,G:G,"anderson.ortiz@altoqi.com.br"),
IF(AND(F70="Gestor",H70="MRR"),SUMIFS(I:I,A:A,A70,B:B,B70,G:G,D70)))))</f>
        <v>2432.44</v>
      </c>
      <c r="J70" s="16">
        <f>SUMIFS(Metas!K:K,Metas!A:A,A70,Metas!B:B,B70,Metas!D:D,D70,Metas!H:H,H70)</f>
        <v>8320.2880000000005</v>
      </c>
      <c r="K70" s="10">
        <f t="shared" si="20"/>
        <v>0.29235045709956192</v>
      </c>
      <c r="L70" s="26" t="str" cm="1">
        <f t="array" ref="L70">_xlfn.LET(
 _xlpm.g,_xlfn.MAXIFS(Parâmetros!G:G,Parâmetros!A:A,A70,Parâmetros!B:B,B70,Parâmetros!D:D,D70,Parâmetros!E:E,E70),
 _xlpm.j,_xlfn.MAXIFS(Parâmetros!J:J,Parâmetros!A:A,A70,Parâmetros!B:B,B70,Parâmetros!D:D,D70,Parâmetros!E:E,E70),
 _xlpm.m,_xlfn.MAXIFS(Parâmetros!M:M,Parâmetros!A:A,A70,Parâmetros!B:B,B70,Parâmetros!D:D,D70,Parâmetros!E:E,E70),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55,00%</v>
      </c>
      <c r="M70" s="28">
        <f>IF(AND(F70="Gestor",E70="Sonia",H70="MRR"),SUMIFS(M:M,A:A,A70,B:B,B70,G:G,D70) + SUMIFS(M:M,A:A,A70,B:B,B70,G:G,"anderson.ortiz@altoqi.com.br"),
IF(AND(F70="Gestor",H70="MRR"),SUMIFS(M:M,A:A,A70,B:B,B70,G:G,D70),
SUMIFS(Negócios!L:L,Negócios!A:A,A70,Negócios!B:B,B70,Negócios!P:P,D70,Negócios!AG:AG,"À Vista")))</f>
        <v>0</v>
      </c>
      <c r="N70" s="10">
        <f t="shared" si="21"/>
        <v>0</v>
      </c>
      <c r="O70" s="30">
        <f>SUMIFS('Acel Form Pag'!D:D,'Acel Form Pag'!A:A,A70,'Acel Form Pag'!B:B,B70,'Acel Form Pag'!C:C,E70)</f>
        <v>1.5</v>
      </c>
      <c r="P70" s="87">
        <f>IF(AND(F70="Gestor",E70="Sonia",H70="MRR"),SUMIFS(P:P,A:A,A70,B:B,B70,G:G,D70) + SUMIFS(P:P,A:A,A70,B:B,B70,G:G,"anderson.ortiz@altoqi.com.br"),
IF(AND(F70="Gestor",H70="MRR"),SUMIFS(P:P,A:A,A70,B:B,B70,G:G,D70),
SUMIFS(Negócios!L:L,Negócios!A:A,A70,Negócios!B:B,B70,Negócios!P:P,D70,Negócios!AG:AG,"CC 3x")))</f>
        <v>0</v>
      </c>
      <c r="Q70" s="10">
        <f t="shared" si="22"/>
        <v>0</v>
      </c>
      <c r="R70" s="30">
        <f>SUMIFS('Acel Form Pag'!E:E,'Acel Form Pag'!A:A,A70,'Acel Form Pag'!B:B,B70,'Acel Form Pag'!C:C,E70)</f>
        <v>1.4</v>
      </c>
      <c r="S70" s="32">
        <f>IF(AND(F70="Gestor",E70="Sonia",H70="MRR"),SUMIFS(S:S,A:A,A70,B:B,B70,G:G,D70) + SUMIFS(S:S,A:A,A70,B:B,B70,G:G,"anderson.ortiz@altoqi.com.br"),
IF(AND(F70="Gestor",H70="MRR"),SUMIFS(S:S,A:A,A70,B:B,B70,G:G,D70),
SUMIFS(Negócios!L:L,Negócios!A:A,A70,Negócios!B:B,B70,Negócios!P:P,D70,Negócios!AG:AG,"CC 12x")))</f>
        <v>959.96999999999991</v>
      </c>
      <c r="T70" s="10">
        <f t="shared" si="23"/>
        <v>0.39465310552367167</v>
      </c>
      <c r="U70" s="30">
        <f>SUMIFS('Acel Form Pag'!F:F,'Acel Form Pag'!A:A,A70,'Acel Form Pag'!B:B,B70,'Acel Form Pag'!C:C,E70)</f>
        <v>1.25</v>
      </c>
      <c r="V70" s="32">
        <f>IF(AND(F70="Gestor",E70="Sonia",H70="MRR"),SUMIFS(V:V,A:A,A70,B:B,B70,G:G,D70) + SUMIFS(V:V,A:A,A70,B:B,B70,G:G,"anderson.ortiz@altoqi.com.br"),
IF(AND(F70="Gestor",H70="MRR"),SUMIFS(V:V,A:A,A70,B:B,B70,G:G,D70),
SUMIFS(Negócios!L:L,Negócios!A:A,A70,Negócios!B:B,B70,Negócios!P:P,D70,Negócios!AG:AG,"Recorrente")))</f>
        <v>1472.47</v>
      </c>
      <c r="W70" s="10">
        <f t="shared" si="24"/>
        <v>0.60534689447632828</v>
      </c>
      <c r="X70" s="34">
        <f>SUMIFS('Acel Form Pag'!G:G,'Acel Form Pag'!A:A,A70,'Acel Form Pag'!B:B,B70,'Acel Form Pag'!C:C,E70)</f>
        <v>1</v>
      </c>
      <c r="Y70" s="24">
        <f>MAX(_xlfn.MAXIFS(Parâmetros!O:O,Parâmetros!A:A,A70,Parâmetros!B:B,B70,Parâmetros!D:D,D70,Parâmetros!M:M,"&lt;="&amp;K70),_xlfn.MAXIFS(Parâmetros!L:L,Parâmetros!A:A,A70,Parâmetros!B:B,B70,Parâmetros!D:D,D70,Parâmetros!J:J,"&lt;="&amp;K70),_xlfn.MAXIFS(Parâmetros!I:I,Parâmetros!A:A,A70,Parâmetros!B:B,B70,Parâmetros!D:D,D70))</f>
        <v>3240</v>
      </c>
      <c r="Z70" s="9">
        <f>MAX(_xlfn.MAXIFS(Parâmetros!Q:Q,Parâmetros!A:A,A70,Parâmetros!B:B,B70,Parâmetros!D:D,D70,Parâmetros!E:E,E70,Parâmetros!P:P,"&lt;="&amp;K70),
_xlfn.MAXIFS(Parâmetros!S:S,Parâmetros!A:A,A70,Parâmetros!B:B,B70,Parâmetros!D:D,D70,Parâmetros!E:E,E70,Parâmetros!R:R,"&lt;="&amp;K70),
_xlfn.MAXIFS(Parâmetros!U:U,Parâmetros!A:A,A70,Parâmetros!B:B,B70,Parâmetros!D:D,D70,Parâmetros!E:E,E70,Parâmetros!T:T,"&lt;="&amp;K70),1) * IF(K70 &gt;= SUMIFS(Parâmetros!G:G,Parâmetros!A:A,A70,Parâmetros!B:B,B70,Parâmetros!D:D,D70,Parâmetros!E:E,E70),1,0)</f>
        <v>0</v>
      </c>
      <c r="AA70" s="16">
        <f>Y70*Z70*K70</f>
        <v>0</v>
      </c>
      <c r="AB70" s="16">
        <f>(AA70*N70*O70) + (AA70*Q70*R70) + (AA70*T70*U70) + (AA70*W70*X70)</f>
        <v>0</v>
      </c>
      <c r="AC70" s="15">
        <f>IF(F70="Gestor",SUMIFS(AC:AC,A:A,A70,B:B,B70,G:G,D70),
IF(E70="Saving",SUMIFS(Negócios!I:I,Negócios!A:A,A70,Negócios!B:B,B70,Negócios!P:P,D70,Negócios!H:H,"Curso") +
SUMIFS(Negócios!I:I,Negócios!A:A,A70,Negócios!B:B,B70,Negócios!P:P,D70,Negócios!H:H,"Serviço") +
SUMIFS(Negócios!I:I,Negócios!A:A,A70,Negócios!B:B,B70,Negócios!P:P,D70,Negócios!H:H,"Implantação"),
SUMIFS(Negócios!I:I,Negócios!A:A,A70,Negócios!B:B,B70,Negócios!P:P,D70,Negócios!H:H,"Implantação")))</f>
        <v>0</v>
      </c>
      <c r="AD70" s="16">
        <f>SUMIFS(Parâmetros!W:W,Parâmetros!A:A,A70,Parâmetros!B:B,B70,Parâmetros!D:D,D70) * AC70 * IF(K70 &gt;= SUMIFS(Parâmetros!V:V,Parâmetros!A:A,A70,Parâmetros!B:B,B70,Parâmetros!D:D,D70),1,0)</f>
        <v>0</v>
      </c>
      <c r="AE70" s="15">
        <f>SUMIFS('Recuperação de Canc e Divs'!D:D,'Recuperação de Canc e Divs'!A:A,A70,'Recuperação de Canc e Divs'!B:B,B70,'Recuperação de Canc e Divs'!C:C,D70)</f>
        <v>0</v>
      </c>
      <c r="AF70" s="16">
        <f>IF(K70&gt;=SUMIFS(Parâmetros!J:J,Parâmetros!A:A,A70,Parâmetros!B:B,B70,Parâmetros!D:D,D70),AE70*0.025,0)</f>
        <v>0</v>
      </c>
      <c r="AG70" s="15">
        <f t="shared" si="25"/>
        <v>15228.0533333</v>
      </c>
      <c r="AH70" s="16">
        <f t="shared" si="26"/>
        <v>23952.288</v>
      </c>
      <c r="AI70" s="90">
        <f t="shared" si="27"/>
        <v>0.63576612527788579</v>
      </c>
      <c r="AJ70" s="16">
        <f t="shared" si="28"/>
        <v>167336.01468476001</v>
      </c>
      <c r="AK70" s="16">
        <f t="shared" si="29"/>
        <v>156188.6784</v>
      </c>
      <c r="AL70" s="90">
        <f t="shared" si="30"/>
        <v>1.0713709623447329</v>
      </c>
      <c r="AM70" s="93" t="str">
        <f>IF(AND(OR(B70=3,B70=6,B70=9,B70=12),AI70&gt;=1),
IF(F70="Gestor",AI70*0.6,AI70*0.3),"")</f>
        <v/>
      </c>
      <c r="AN70" s="94">
        <f>IF(OR(B70=3,B70=6,B70=9,B70=12),
IF(AND(AL70&gt;=1,AI70&gt;=SUMIFS(Parâmetros!G:G,Parâmetros!A:A,Comissões!A70,Parâmetros!B:B,Comissões!B70,Parâmetros!D:D,Comissões!D70,Parâmetros!E:E,Comissões!E70)),AI70*0.3,""),"")</f>
        <v>0.19072983758336573</v>
      </c>
    </row>
    <row r="71" spans="1:40" hidden="1">
      <c r="A71" s="7">
        <v>2026</v>
      </c>
      <c r="B71" s="7">
        <v>3</v>
      </c>
      <c r="C71" s="7" t="str">
        <v>Anderson Ortiz</v>
      </c>
      <c r="D71" s="7" t="str">
        <v>anderson.ortiz@altoqi.com.br</v>
      </c>
      <c r="E71" s="7" t="str">
        <v>FSB</v>
      </c>
      <c r="F71" s="7" t="str">
        <v>Gestor</v>
      </c>
      <c r="G71" s="7">
        <v>0</v>
      </c>
      <c r="H71" s="7" t="str">
        <v>MRR</v>
      </c>
      <c r="I71" s="86">
        <f>IF(AND(F71="Consultor",H71="MRR"),SUMIFS(Negócios!L:L,Negócios!A:A,A71,Negócios!B:B,B71,Negócios!P:P,D71),
IF(AND(F71="Consultor",H71="Opps"),SUMIFS('Realizado GD'!D:D,'Realizado GD'!A:A,A71,'Realizado GD'!B:B,B71,'Realizado GD'!C:C,D71),
IF(AND(F71="Gestor",E71="Sonia",H71="MRR"),SUMIFS(I:I,A:A,A71,B:B,B71,G:G,D71) + SUMIFS(I:I,A:A,A71,B:B,B71,G:G,"anderson.ortiz@altoqi.com.br"),
IF(AND(F71="Gestor",H71="MRR"),SUMIFS(I:I,A:A,A71,B:B,B71,G:G,D71)))))</f>
        <v>43067.017050000002</v>
      </c>
      <c r="J71" s="16">
        <f>SUMIFS(Metas!K:K,Metas!A:A,A71,Metas!B:B,B71,Metas!D:D,D71,Metas!H:H,H71)</f>
        <v>38000</v>
      </c>
      <c r="K71" s="10">
        <f t="shared" si="20"/>
        <v>1.1333425539473685</v>
      </c>
      <c r="L71" s="26" t="str" cm="1">
        <f t="array" ref="L71">_xlfn.LET(
 _xlpm.g,_xlfn.MAXIFS(Parâmetros!G:G,Parâmetros!A:A,A71,Parâmetros!B:B,B71,Parâmetros!D:D,D71,Parâmetros!E:E,E71),
 _xlpm.j,_xlfn.MAXIFS(Parâmetros!J:J,Parâmetros!A:A,A71,Parâmetros!B:B,B71,Parâmetros!D:D,D71,Parâmetros!E:E,E71),
 _xlpm.m,_xlfn.MAXIFS(Parâmetros!M:M,Parâmetros!A:A,A71,Parâmetros!B:B,B71,Parâmetros!D:D,D71,Parâmetros!E:E,E71),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60,00%</v>
      </c>
      <c r="M71" s="28">
        <f>IF(AND(F71="Gestor",E71="Sonia",H71="MRR"),SUMIFS(M:M,A:A,A71,B:B,B71,G:G,D71) + SUMIFS(M:M,A:A,A71,B:B,B71,G:G,"anderson.ortiz@altoqi.com.br"),
IF(AND(F71="Gestor",H71="MRR"),SUMIFS(M:M,A:A,A71,B:B,B71,G:G,D71),
SUMIFS(Negócios!L:L,Negócios!A:A,A71,Negócios!B:B,B71,Negócios!P:P,D71,Negócios!AG:AG,"À Vista")))</f>
        <v>4067.5236999999997</v>
      </c>
      <c r="N71" s="10">
        <f t="shared" si="21"/>
        <v>9.4446376336621618E-2</v>
      </c>
      <c r="O71" s="30">
        <f>SUMIFS('Acel Form Pag'!D:D,'Acel Form Pag'!A:A,A71,'Acel Form Pag'!B:B,B71,'Acel Form Pag'!C:C,E71)</f>
        <v>1.3</v>
      </c>
      <c r="P71" s="87">
        <f>IF(AND(F71="Gestor",E71="Sonia",H71="MRR"),SUMIFS(P:P,A:A,A71,B:B,B71,G:G,D71) + SUMIFS(P:P,A:A,A71,B:B,B71,G:G,"anderson.ortiz@altoqi.com.br"),
IF(AND(F71="Gestor",H71="MRR"),SUMIFS(P:P,A:A,A71,B:B,B71,G:G,D71),
SUMIFS(Negócios!L:L,Negócios!A:A,A71,Negócios!B:B,B71,Negócios!P:P,D71,Negócios!AG:AG,"CC 3x")))</f>
        <v>195</v>
      </c>
      <c r="Q71" s="10">
        <f t="shared" si="22"/>
        <v>4.5278269394327603E-3</v>
      </c>
      <c r="R71" s="30">
        <f>SUMIFS('Acel Form Pag'!E:E,'Acel Form Pag'!A:A,A71,'Acel Form Pag'!B:B,B71,'Acel Form Pag'!C:C,E71)</f>
        <v>1.2</v>
      </c>
      <c r="S71" s="32">
        <f>IF(AND(F71="Gestor",E71="Sonia",H71="MRR"),SUMIFS(S:S,A:A,A71,B:B,B71,G:G,D71) + SUMIFS(S:S,A:A,A71,B:B,B71,G:G,"anderson.ortiz@altoqi.com.br"),
IF(AND(F71="Gestor",H71="MRR"),SUMIFS(S:S,A:A,A71,B:B,B71,G:G,D71),
SUMIFS(Negócios!L:L,Negócios!A:A,A71,Negócios!B:B,B71,Negócios!P:P,D71,Negócios!AG:AG,"CC 12x")))</f>
        <v>20187.092050000003</v>
      </c>
      <c r="T71" s="10">
        <f t="shared" si="23"/>
        <v>0.46873671391178928</v>
      </c>
      <c r="U71" s="30">
        <f>SUMIFS('Acel Form Pag'!F:F,'Acel Form Pag'!A:A,A71,'Acel Form Pag'!B:B,B71,'Acel Form Pag'!C:C,E71)</f>
        <v>1.1499999999999999</v>
      </c>
      <c r="V71" s="32">
        <f>IF(AND(F71="Gestor",E71="Sonia",H71="MRR"),SUMIFS(V:V,A:A,A71,B:B,B71,G:G,D71) + SUMIFS(V:V,A:A,A71,B:B,B71,G:G,"anderson.ortiz@altoqi.com.br"),
IF(AND(F71="Gestor",H71="MRR"),SUMIFS(V:V,A:A,A71,B:B,B71,G:G,D71),
SUMIFS(Negócios!L:L,Negócios!A:A,A71,Negócios!B:B,B71,Negócios!P:P,D71,Negócios!AG:AG,"Recorrente")))</f>
        <v>18617.401299999998</v>
      </c>
      <c r="W71" s="10">
        <f t="shared" si="24"/>
        <v>0.43228908281215628</v>
      </c>
      <c r="X71" s="34">
        <f>SUMIFS('Acel Form Pag'!G:G,'Acel Form Pag'!A:A,A71,'Acel Form Pag'!B:B,B71,'Acel Form Pag'!C:C,E71)</f>
        <v>0.9</v>
      </c>
      <c r="Y71" s="24">
        <f>MAX(_xlfn.MAXIFS(Parâmetros!O:O,Parâmetros!A:A,A71,Parâmetros!B:B,B71,Parâmetros!D:D,D71,Parâmetros!M:M,"&lt;="&amp;K71),_xlfn.MAXIFS(Parâmetros!L:L,Parâmetros!A:A,A71,Parâmetros!B:B,B71,Parâmetros!D:D,D71,Parâmetros!J:J,"&lt;="&amp;K71),_xlfn.MAXIFS(Parâmetros!I:I,Parâmetros!A:A,A71,Parâmetros!B:B,B71,Parâmetros!D:D,D71))</f>
        <v>4879</v>
      </c>
      <c r="Z71" s="9">
        <f>MAX(_xlfn.MAXIFS(Parâmetros!Q:Q,Parâmetros!A:A,A71,Parâmetros!B:B,B71,Parâmetros!D:D,D71,Parâmetros!E:E,E71,Parâmetros!P:P,"&lt;="&amp;K71),
_xlfn.MAXIFS(Parâmetros!S:S,Parâmetros!A:A,A71,Parâmetros!B:B,B71,Parâmetros!D:D,D71,Parâmetros!E:E,E71,Parâmetros!R:R,"&lt;="&amp;K71),
_xlfn.MAXIFS(Parâmetros!U:U,Parâmetros!A:A,A71,Parâmetros!B:B,B71,Parâmetros!D:D,D71,Parâmetros!E:E,E71,Parâmetros!T:T,"&lt;="&amp;K71),1) * IF(K71 &gt;= SUMIFS(Parâmetros!G:G,Parâmetros!A:A,A71,Parâmetros!B:B,B71,Parâmetros!D:D,D71,Parâmetros!E:E,E71),1,0)</f>
        <v>1.25</v>
      </c>
      <c r="AA71" s="16">
        <f>Y71*Z71*K71</f>
        <v>6911.9729008865133</v>
      </c>
      <c r="AB71" s="16">
        <f>(AA71*N71*O71) + (AA71*Q71*R71) + (AA71*T71*U71) + (AA71*W71*X71)</f>
        <v>7301.2626595119245</v>
      </c>
      <c r="AC71" s="15">
        <f>IF(F71="Gestor",SUMIFS(AC:AC,A:A,A71,B:B,B71,G:G,D71),
IF(E71="Saving",SUMIFS(Negócios!I:I,Negócios!A:A,A71,Negócios!B:B,B71,Negócios!P:P,D71,Negócios!H:H,"Curso") +
SUMIFS(Negócios!I:I,Negócios!A:A,A71,Negócios!B:B,B71,Negócios!P:P,D71,Negócios!H:H,"Serviço") +
SUMIFS(Negócios!I:I,Negócios!A:A,A71,Negócios!B:B,B71,Negócios!P:P,D71,Negócios!H:H,"Implantação"),
SUMIFS(Negócios!I:I,Negócios!A:A,A71,Negócios!B:B,B71,Negócios!P:P,D71,Negócios!H:H,"Implantação")))</f>
        <v>0</v>
      </c>
      <c r="AD71" s="16">
        <f>SUMIFS(Parâmetros!W:W,Parâmetros!A:A,A71,Parâmetros!B:B,B71,Parâmetros!D:D,D71) * AC71 * IF(K71 &gt;= SUMIFS(Parâmetros!V:V,Parâmetros!A:A,A71,Parâmetros!B:B,B71,Parâmetros!D:D,D71),1,0)</f>
        <v>0</v>
      </c>
      <c r="AE71" s="15">
        <f>SUMIFS('Recuperação de Canc e Divs'!D:D,'Recuperação de Canc e Divs'!A:A,A71,'Recuperação de Canc e Divs'!B:B,B71,'Recuperação de Canc e Divs'!C:C,D71)</f>
        <v>0</v>
      </c>
      <c r="AF71" s="16">
        <f>IF(K71&gt;=SUMIFS(Parâmetros!J:J,Parâmetros!A:A,A71,Parâmetros!B:B,B71,Parâmetros!D:D,D71),AE71*0.025,0)</f>
        <v>0</v>
      </c>
      <c r="AG71" s="15">
        <f t="shared" si="25"/>
        <v>86271.641800000012</v>
      </c>
      <c r="AH71" s="16">
        <f t="shared" si="26"/>
        <v>71500</v>
      </c>
      <c r="AI71" s="90">
        <f t="shared" si="27"/>
        <v>1.206596388811189</v>
      </c>
      <c r="AJ71" s="16" t="str">
        <f t="shared" si="28"/>
        <v/>
      </c>
      <c r="AK71" s="16" t="str">
        <f t="shared" si="29"/>
        <v/>
      </c>
      <c r="AL71" s="90">
        <f t="shared" si="30"/>
        <v>0</v>
      </c>
      <c r="AM71" s="93">
        <f>IF(AND(OR(B71=3,B71=6,B71=9,B71=12),AI71&gt;=1),
IF(F71="Gestor",AI71*0.6,AI71*0.3),"")</f>
        <v>0.72395783328671337</v>
      </c>
      <c r="AN71" s="94" t="str">
        <f>IF(OR(B71=3,B71=6,B71=9,B71=12),
IF(AND(AL71&gt;=1,AI71&gt;=SUMIFS(Parâmetros!G:G,Parâmetros!A:A,Comissões!A71,Parâmetros!B:B,Comissões!B71,Parâmetros!D:D,Comissões!D71,Parâmetros!E:E,Comissões!E71)),AI71*0.3,""),"")</f>
        <v/>
      </c>
    </row>
    <row r="72" spans="1:40" hidden="1">
      <c r="A72" s="7">
        <v>2026</v>
      </c>
      <c r="B72" s="7">
        <v>3</v>
      </c>
      <c r="C72" s="7" t="str">
        <v>Artur Machado</v>
      </c>
      <c r="D72" s="7" t="str">
        <v>artur.francisco@altoqi.com.br</v>
      </c>
      <c r="E72" s="7" t="str">
        <v>FSB</v>
      </c>
      <c r="F72" s="7" t="str">
        <v>Consultor</v>
      </c>
      <c r="G72" s="7" t="str">
        <v>anderson.ortiz@altoqi.com.br</v>
      </c>
      <c r="H72" s="7" t="str">
        <v>MRR</v>
      </c>
      <c r="I72" s="86">
        <f>IF(AND(F72="Consultor",H72="MRR"),SUMIFS(Negócios!L:L,Negócios!A:A,A72,Negócios!B:B,B72,Negócios!P:P,D72),
IF(AND(F72="Consultor",H72="Opps"),SUMIFS('Realizado GD'!D:D,'Realizado GD'!A:A,A72,'Realizado GD'!B:B,B72,'Realizado GD'!C:C,D72),
IF(AND(F72="Gestor",E72="Sonia",H72="MRR"),SUMIFS(I:I,A:A,A72,B:B,B72,G:G,D72) + SUMIFS(I:I,A:A,A72,B:B,B72,G:G,"anderson.ortiz@altoqi.com.br"),
IF(AND(F72="Gestor",H72="MRR"),SUMIFS(I:I,A:A,A72,B:B,B72,G:G,D72)))))</f>
        <v>703.12</v>
      </c>
      <c r="J72" s="16">
        <f>SUMIFS(Metas!K:K,Metas!A:A,A72,Metas!B:B,B72,Metas!D:D,D72,Metas!H:H,H72)</f>
        <v>9500</v>
      </c>
      <c r="K72" s="10">
        <f t="shared" si="20"/>
        <v>7.4012631578947372E-2</v>
      </c>
      <c r="L72" s="26" t="str" cm="1">
        <f t="array" ref="L72">_xlfn.LET(
 _xlpm.g,_xlfn.MAXIFS(Parâmetros!G:G,Parâmetros!A:A,A72,Parâmetros!B:B,B72,Parâmetros!D:D,D72,Parâmetros!E:E,E72),
 _xlpm.j,_xlfn.MAXIFS(Parâmetros!J:J,Parâmetros!A:A,A72,Parâmetros!B:B,B72,Parâmetros!D:D,D72,Parâmetros!E:E,E72),
 _xlpm.m,_xlfn.MAXIFS(Parâmetros!M:M,Parâmetros!A:A,A72,Parâmetros!B:B,B72,Parâmetros!D:D,D72,Parâmetros!E:E,E72),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60,00%</v>
      </c>
      <c r="M72" s="28">
        <f>IF(AND(F72="Gestor",E72="Sonia",H72="MRR"),SUMIFS(M:M,A:A,A72,B:B,B72,G:G,D72) + SUMIFS(M:M,A:A,A72,B:B,B72,G:G,"anderson.ortiz@altoqi.com.br"),
IF(AND(F72="Gestor",H72="MRR"),SUMIFS(M:M,A:A,A72,B:B,B72,G:G,D72),
SUMIFS(Negócios!L:L,Negócios!A:A,A72,Negócios!B:B,B72,Negócios!P:P,D72,Negócios!AG:AG,"À Vista")))</f>
        <v>404.36</v>
      </c>
      <c r="N72" s="10">
        <f t="shared" si="21"/>
        <v>0.57509386733416767</v>
      </c>
      <c r="O72" s="30">
        <f>SUMIFS('Acel Form Pag'!D:D,'Acel Form Pag'!A:A,A72,'Acel Form Pag'!B:B,B72,'Acel Form Pag'!C:C,E72)</f>
        <v>1.3</v>
      </c>
      <c r="P72" s="87">
        <f>IF(AND(F72="Gestor",E72="Sonia",H72="MRR"),SUMIFS(P:P,A:A,A72,B:B,B72,G:G,D72) + SUMIFS(P:P,A:A,A72,B:B,B72,G:G,"anderson.ortiz@altoqi.com.br"),
IF(AND(F72="Gestor",H72="MRR"),SUMIFS(P:P,A:A,A72,B:B,B72,G:G,D72),
SUMIFS(Negócios!L:L,Negócios!A:A,A72,Negócios!B:B,B72,Negócios!P:P,D72,Negócios!AG:AG,"CC 3x")))</f>
        <v>0</v>
      </c>
      <c r="Q72" s="10">
        <f t="shared" si="22"/>
        <v>0</v>
      </c>
      <c r="R72" s="30">
        <f>SUMIFS('Acel Form Pag'!E:E,'Acel Form Pag'!A:A,A72,'Acel Form Pag'!B:B,B72,'Acel Form Pag'!C:C,E72)</f>
        <v>1.2</v>
      </c>
      <c r="S72" s="32">
        <f>IF(AND(F72="Gestor",E72="Sonia",H72="MRR"),SUMIFS(S:S,A:A,A72,B:B,B72,G:G,D72) + SUMIFS(S:S,A:A,A72,B:B,B72,G:G,"anderson.ortiz@altoqi.com.br"),
IF(AND(F72="Gestor",H72="MRR"),SUMIFS(S:S,A:A,A72,B:B,B72,G:G,D72),
SUMIFS(Negócios!L:L,Negócios!A:A,A72,Negócios!B:B,B72,Negócios!P:P,D72,Negócios!AG:AG,"CC 12x")))</f>
        <v>298.76</v>
      </c>
      <c r="T72" s="10">
        <f t="shared" si="23"/>
        <v>0.42490613266583227</v>
      </c>
      <c r="U72" s="30">
        <f>SUMIFS('Acel Form Pag'!F:F,'Acel Form Pag'!A:A,A72,'Acel Form Pag'!B:B,B72,'Acel Form Pag'!C:C,E72)</f>
        <v>1.1499999999999999</v>
      </c>
      <c r="V72" s="32">
        <f>IF(AND(F72="Gestor",E72="Sonia",H72="MRR"),SUMIFS(V:V,A:A,A72,B:B,B72,G:G,D72) + SUMIFS(V:V,A:A,A72,B:B,B72,G:G,"anderson.ortiz@altoqi.com.br"),
IF(AND(F72="Gestor",H72="MRR"),SUMIFS(V:V,A:A,A72,B:B,B72,G:G,D72),
SUMIFS(Negócios!L:L,Negócios!A:A,A72,Negócios!B:B,B72,Negócios!P:P,D72,Negócios!AG:AG,"Recorrente")))</f>
        <v>0</v>
      </c>
      <c r="W72" s="10">
        <f t="shared" si="24"/>
        <v>0</v>
      </c>
      <c r="X72" s="34">
        <f>SUMIFS('Acel Form Pag'!G:G,'Acel Form Pag'!A:A,A72,'Acel Form Pag'!B:B,B72,'Acel Form Pag'!C:C,E72)</f>
        <v>0.9</v>
      </c>
      <c r="Y72" s="24">
        <f>MAX(_xlfn.MAXIFS(Parâmetros!O:O,Parâmetros!A:A,A72,Parâmetros!B:B,B72,Parâmetros!D:D,D72,Parâmetros!M:M,"&lt;="&amp;K72),_xlfn.MAXIFS(Parâmetros!L:L,Parâmetros!A:A,A72,Parâmetros!B:B,B72,Parâmetros!D:D,D72,Parâmetros!J:J,"&lt;="&amp;K72),_xlfn.MAXIFS(Parâmetros!I:I,Parâmetros!A:A,A72,Parâmetros!B:B,B72,Parâmetros!D:D,D72))</f>
        <v>3240</v>
      </c>
      <c r="Z72" s="9">
        <f>MAX(_xlfn.MAXIFS(Parâmetros!Q:Q,Parâmetros!A:A,A72,Parâmetros!B:B,B72,Parâmetros!D:D,D72,Parâmetros!E:E,E72,Parâmetros!P:P,"&lt;="&amp;K72),
_xlfn.MAXIFS(Parâmetros!S:S,Parâmetros!A:A,A72,Parâmetros!B:B,B72,Parâmetros!D:D,D72,Parâmetros!E:E,E72,Parâmetros!R:R,"&lt;="&amp;K72),
_xlfn.MAXIFS(Parâmetros!U:U,Parâmetros!A:A,A72,Parâmetros!B:B,B72,Parâmetros!D:D,D72,Parâmetros!E:E,E72,Parâmetros!T:T,"&lt;="&amp;K72),1) * IF(K72 &gt;= SUMIFS(Parâmetros!G:G,Parâmetros!A:A,A72,Parâmetros!B:B,B72,Parâmetros!D:D,D72,Parâmetros!E:E,E72),1,0)</f>
        <v>0</v>
      </c>
      <c r="AA72" s="16">
        <f>Y72*Z72*K72</f>
        <v>0</v>
      </c>
      <c r="AB72" s="16">
        <f>(AA72*N72*O72) + (AA72*Q72*R72) + (AA72*T72*U72) + (AA72*W72*X72)</f>
        <v>0</v>
      </c>
      <c r="AC72" s="15">
        <f>IF(F72="Gestor",SUMIFS(AC:AC,A:A,A72,B:B,B72,G:G,D72),
IF(E72="Saving",SUMIFS(Negócios!I:I,Negócios!A:A,A72,Negócios!B:B,B72,Negócios!P:P,D72,Negócios!H:H,"Curso") +
SUMIFS(Negócios!I:I,Negócios!A:A,A72,Negócios!B:B,B72,Negócios!P:P,D72,Negócios!H:H,"Serviço") +
SUMIFS(Negócios!I:I,Negócios!A:A,A72,Negócios!B:B,B72,Negócios!P:P,D72,Negócios!H:H,"Implantação"),
SUMIFS(Negócios!I:I,Negócios!A:A,A72,Negócios!B:B,B72,Negócios!P:P,D72,Negócios!H:H,"Implantação")))</f>
        <v>0</v>
      </c>
      <c r="AD72" s="16">
        <f>SUMIFS(Parâmetros!W:W,Parâmetros!A:A,A72,Parâmetros!B:B,B72,Parâmetros!D:D,D72) * AC72 * IF(K72 &gt;= SUMIFS(Parâmetros!V:V,Parâmetros!A:A,A72,Parâmetros!B:B,B72,Parâmetros!D:D,D72),1,0)</f>
        <v>0</v>
      </c>
      <c r="AE72" s="15">
        <f>SUMIFS('Recuperação de Canc e Divs'!D:D,'Recuperação de Canc e Divs'!A:A,A72,'Recuperação de Canc e Divs'!B:B,B72,'Recuperação de Canc e Divs'!C:C,D72)</f>
        <v>0</v>
      </c>
      <c r="AF72" s="16">
        <f>IF(K72&gt;=SUMIFS(Parâmetros!J:J,Parâmetros!A:A,A72,Parâmetros!B:B,B72,Parâmetros!D:D,D72),AE72*0.025,0)</f>
        <v>0</v>
      </c>
      <c r="AG72" s="15">
        <f t="shared" si="25"/>
        <v>8516.08</v>
      </c>
      <c r="AH72" s="16">
        <f t="shared" si="26"/>
        <v>22700</v>
      </c>
      <c r="AI72" s="90">
        <f t="shared" si="27"/>
        <v>0.37515770925110131</v>
      </c>
      <c r="AJ72" s="16">
        <f t="shared" si="28"/>
        <v>117387.45179999998</v>
      </c>
      <c r="AK72" s="16">
        <f t="shared" si="29"/>
        <v>94017.111600000004</v>
      </c>
      <c r="AL72" s="90">
        <f t="shared" si="30"/>
        <v>1.2485753901846095</v>
      </c>
      <c r="AM72" s="93" t="str">
        <f>IF(AND(OR(B72=3,B72=6,B72=9,B72=12),AI72&gt;=1),
IF(F72="Gestor",AI72*0.6,AI72*0.3),"")</f>
        <v/>
      </c>
      <c r="AN72" s="94" t="str">
        <f>IF(OR(B72=3,B72=6,B72=9,B72=12),
IF(AND(AL72&gt;=1,AI72&gt;=SUMIFS(Parâmetros!G:G,Parâmetros!A:A,Comissões!A72,Parâmetros!B:B,Comissões!B72,Parâmetros!D:D,Comissões!D72,Parâmetros!E:E,Comissões!E72)),AI72*0.3,""),"")</f>
        <v/>
      </c>
    </row>
    <row r="73" spans="1:40" hidden="1">
      <c r="A73" s="7">
        <v>2026</v>
      </c>
      <c r="B73" s="7">
        <v>3</v>
      </c>
      <c r="C73" s="7" t="str">
        <v>Eliane Guinther</v>
      </c>
      <c r="D73" s="7" t="str">
        <v>eliane.guinther@altoqi.com.br</v>
      </c>
      <c r="E73" s="7" t="str">
        <v>FSB</v>
      </c>
      <c r="F73" s="7" t="str">
        <v>Consultor</v>
      </c>
      <c r="G73" s="7" t="str">
        <v>anderson.ortiz@altoqi.com.br</v>
      </c>
      <c r="H73" s="7" t="str">
        <v>MRR</v>
      </c>
      <c r="I73" s="86">
        <f>IF(AND(F73="Consultor",H73="MRR"),SUMIFS(Negócios!L:L,Negócios!A:A,A73,Negócios!B:B,B73,Negócios!P:P,D73),
IF(AND(F73="Consultor",H73="Opps"),SUMIFS('Realizado GD'!D:D,'Realizado GD'!A:A,A73,'Realizado GD'!B:B,B73,'Realizado GD'!C:C,D73),
IF(AND(F73="Gestor",E73="Sonia",H73="MRR"),SUMIFS(I:I,A:A,A73,B:B,B73,G:G,D73) + SUMIFS(I:I,A:A,A73,B:B,B73,G:G,"anderson.ortiz@altoqi.com.br"),
IF(AND(F73="Gestor",H73="MRR"),SUMIFS(I:I,A:A,A73,B:B,B73,G:G,D73)))))</f>
        <v>15077.076349999994</v>
      </c>
      <c r="J73" s="16">
        <f>SUMIFS(Metas!K:K,Metas!A:A,A73,Metas!B:B,B73,Metas!D:D,D73,Metas!H:H,H73)</f>
        <v>7220</v>
      </c>
      <c r="K73" s="10">
        <f t="shared" si="20"/>
        <v>2.0882377216066472</v>
      </c>
      <c r="L73" s="26" t="str" cm="1">
        <f t="array" ref="L73">_xlfn.LET(
 _xlpm.g,_xlfn.MAXIFS(Parâmetros!G:G,Parâmetros!A:A,A73,Parâmetros!B:B,B73,Parâmetros!D:D,D73,Parâmetros!E:E,E73),
 _xlpm.j,_xlfn.MAXIFS(Parâmetros!J:J,Parâmetros!A:A,A73,Parâmetros!B:B,B73,Parâmetros!D:D,D73,Parâmetros!E:E,E73),
 _xlpm.m,_xlfn.MAXIFS(Parâmetros!M:M,Parâmetros!A:A,A73,Parâmetros!B:B,B73,Parâmetros!D:D,D73,Parâmetros!E:E,E73),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60,00%</v>
      </c>
      <c r="M73" s="28">
        <f>IF(AND(F73="Gestor",E73="Sonia",H73="MRR"),SUMIFS(M:M,A:A,A73,B:B,B73,G:G,D73) + SUMIFS(M:M,A:A,A73,B:B,B73,G:G,"anderson.ortiz@altoqi.com.br"),
IF(AND(F73="Gestor",H73="MRR"),SUMIFS(M:M,A:A,A73,B:B,B73,G:G,D73),
SUMIFS(Negócios!L:L,Negócios!A:A,A73,Negócios!B:B,B73,Negócios!P:P,D73,Negócios!AG:AG,"À Vista")))</f>
        <v>1704.6736999999998</v>
      </c>
      <c r="N73" s="10">
        <f t="shared" si="21"/>
        <v>0.11306394293081898</v>
      </c>
      <c r="O73" s="30">
        <f>SUMIFS('Acel Form Pag'!D:D,'Acel Form Pag'!A:A,A73,'Acel Form Pag'!B:B,B73,'Acel Form Pag'!C:C,E73)</f>
        <v>1.3</v>
      </c>
      <c r="P73" s="87">
        <f>IF(AND(F73="Gestor",E73="Sonia",H73="MRR"),SUMIFS(P:P,A:A,A73,B:B,B73,G:G,D73) + SUMIFS(P:P,A:A,A73,B:B,B73,G:G,"anderson.ortiz@altoqi.com.br"),
IF(AND(F73="Gestor",H73="MRR"),SUMIFS(P:P,A:A,A73,B:B,B73,G:G,D73),
SUMIFS(Negócios!L:L,Negócios!A:A,A73,Negócios!B:B,B73,Negócios!P:P,D73,Negócios!AG:AG,"CC 3x")))</f>
        <v>0</v>
      </c>
      <c r="Q73" s="10">
        <f t="shared" si="22"/>
        <v>0</v>
      </c>
      <c r="R73" s="30">
        <f>SUMIFS('Acel Form Pag'!E:E,'Acel Form Pag'!A:A,A73,'Acel Form Pag'!B:B,B73,'Acel Form Pag'!C:C,E73)</f>
        <v>1.2</v>
      </c>
      <c r="S73" s="32">
        <f>IF(AND(F73="Gestor",E73="Sonia",H73="MRR"),SUMIFS(S:S,A:A,A73,B:B,B73,G:G,D73) + SUMIFS(S:S,A:A,A73,B:B,B73,G:G,"anderson.ortiz@altoqi.com.br"),
IF(AND(F73="Gestor",H73="MRR"),SUMIFS(S:S,A:A,A73,B:B,B73,G:G,D73),
SUMIFS(Negócios!L:L,Negócios!A:A,A73,Negócios!B:B,B73,Negócios!P:P,D73,Negócios!AG:AG,"CC 12x")))</f>
        <v>6415.7213500000007</v>
      </c>
      <c r="T73" s="10">
        <f t="shared" si="23"/>
        <v>0.42552821257020451</v>
      </c>
      <c r="U73" s="30">
        <f>SUMIFS('Acel Form Pag'!F:F,'Acel Form Pag'!A:A,A73,'Acel Form Pag'!B:B,B73,'Acel Form Pag'!C:C,E73)</f>
        <v>1.1499999999999999</v>
      </c>
      <c r="V73" s="32">
        <f>IF(AND(F73="Gestor",E73="Sonia",H73="MRR"),SUMIFS(V:V,A:A,A73,B:B,B73,G:G,D73) + SUMIFS(V:V,A:A,A73,B:B,B73,G:G,"anderson.ortiz@altoqi.com.br"),
IF(AND(F73="Gestor",H73="MRR"),SUMIFS(V:V,A:A,A73,B:B,B73,G:G,D73),
SUMIFS(Negócios!L:L,Negócios!A:A,A73,Negócios!B:B,B73,Negócios!P:P,D73,Negócios!AG:AG,"Recorrente")))</f>
        <v>6956.6812999999993</v>
      </c>
      <c r="W73" s="10">
        <f t="shared" si="24"/>
        <v>0.46140784449897687</v>
      </c>
      <c r="X73" s="34">
        <f>SUMIFS('Acel Form Pag'!G:G,'Acel Form Pag'!A:A,A73,'Acel Form Pag'!B:B,B73,'Acel Form Pag'!C:C,E73)</f>
        <v>0.9</v>
      </c>
      <c r="Y73" s="24">
        <f>MAX(_xlfn.MAXIFS(Parâmetros!O:O,Parâmetros!A:A,A73,Parâmetros!B:B,B73,Parâmetros!D:D,D73,Parâmetros!M:M,"&lt;="&amp;K73),_xlfn.MAXIFS(Parâmetros!L:L,Parâmetros!A:A,A73,Parâmetros!B:B,B73,Parâmetros!D:D,D73,Parâmetros!J:J,"&lt;="&amp;K73),_xlfn.MAXIFS(Parâmetros!I:I,Parâmetros!A:A,A73,Parâmetros!B:B,B73,Parâmetros!D:D,D73))</f>
        <v>2462.4</v>
      </c>
      <c r="Z73" s="9">
        <f>MAX(_xlfn.MAXIFS(Parâmetros!Q:Q,Parâmetros!A:A,A73,Parâmetros!B:B,B73,Parâmetros!D:D,D73,Parâmetros!E:E,E73,Parâmetros!P:P,"&lt;="&amp;K73),
_xlfn.MAXIFS(Parâmetros!S:S,Parâmetros!A:A,A73,Parâmetros!B:B,B73,Parâmetros!D:D,D73,Parâmetros!E:E,E73,Parâmetros!R:R,"&lt;="&amp;K73),
_xlfn.MAXIFS(Parâmetros!U:U,Parâmetros!A:A,A73,Parâmetros!B:B,B73,Parâmetros!D:D,D73,Parâmetros!E:E,E73,Parâmetros!T:T,"&lt;="&amp;K73),1) * IF(K73 &gt;= SUMIFS(Parâmetros!G:G,Parâmetros!A:A,A73,Parâmetros!B:B,B73,Parâmetros!D:D,D73,Parâmetros!E:E,E73),1,0)</f>
        <v>1.25</v>
      </c>
      <c r="AA73" s="16">
        <f>Y73*Z73*K73</f>
        <v>6427.5957071052599</v>
      </c>
      <c r="AB73" s="16">
        <f>(AA73*N73*O73) + (AA73*Q73*R73) + (AA73*T73*U73) + (AA73*W73*X73)</f>
        <v>6759.3086901710521</v>
      </c>
      <c r="AC73" s="15">
        <f>IF(F73="Gestor",SUMIFS(AC:AC,A:A,A73,B:B,B73,G:G,D73),
IF(E73="Saving",SUMIFS(Negócios!I:I,Negócios!A:A,A73,Negócios!B:B,B73,Negócios!P:P,D73,Negócios!H:H,"Curso") +
SUMIFS(Negócios!I:I,Negócios!A:A,A73,Negócios!B:B,B73,Negócios!P:P,D73,Negócios!H:H,"Serviço") +
SUMIFS(Negócios!I:I,Negócios!A:A,A73,Negócios!B:B,B73,Negócios!P:P,D73,Negócios!H:H,"Implantação"),
SUMIFS(Negócios!I:I,Negócios!A:A,A73,Negócios!B:B,B73,Negócios!P:P,D73,Negócios!H:H,"Implantação")))</f>
        <v>0</v>
      </c>
      <c r="AD73" s="16">
        <f>SUMIFS(Parâmetros!W:W,Parâmetros!A:A,A73,Parâmetros!B:B,B73,Parâmetros!D:D,D73) * AC73 * IF(K73 &gt;= SUMIFS(Parâmetros!V:V,Parâmetros!A:A,A73,Parâmetros!B:B,B73,Parâmetros!D:D,D73),1,0)</f>
        <v>0</v>
      </c>
      <c r="AE73" s="15">
        <f>SUMIFS('Recuperação de Canc e Divs'!D:D,'Recuperação de Canc e Divs'!A:A,A73,'Recuperação de Canc e Divs'!B:B,B73,'Recuperação de Canc e Divs'!C:C,D73)</f>
        <v>0</v>
      </c>
      <c r="AF73" s="16">
        <f>IF(K73&gt;=SUMIFS(Parâmetros!J:J,Parâmetros!A:A,A73,Parâmetros!B:B,B73,Parâmetros!D:D,D73),AE73*0.025,0)</f>
        <v>0</v>
      </c>
      <c r="AG73" s="15">
        <f t="shared" si="25"/>
        <v>40912.82</v>
      </c>
      <c r="AH73" s="16">
        <f t="shared" si="26"/>
        <v>25020</v>
      </c>
      <c r="AI73" s="90">
        <f t="shared" si="27"/>
        <v>1.6352046362909671</v>
      </c>
      <c r="AJ73" s="16">
        <f t="shared" si="28"/>
        <v>117387.45179999998</v>
      </c>
      <c r="AK73" s="16">
        <f t="shared" si="29"/>
        <v>94017.111600000004</v>
      </c>
      <c r="AL73" s="90">
        <f t="shared" si="30"/>
        <v>1.2485753901846095</v>
      </c>
      <c r="AM73" s="93">
        <f>IF(AND(OR(B73=3,B73=6,B73=9,B73=12),AI73&gt;=1),
IF(F73="Gestor",AI73*0.6,AI73*0.3),"")</f>
        <v>0.49056139088729012</v>
      </c>
      <c r="AN73" s="94">
        <f>IF(OR(B73=3,B73=6,B73=9,B73=12),
IF(AND(AL73&gt;=1,AI73&gt;=SUMIFS(Parâmetros!G:G,Parâmetros!A:A,Comissões!A73,Parâmetros!B:B,Comissões!B73,Parâmetros!D:D,Comissões!D73,Parâmetros!E:E,Comissões!E73)),AI73*0.3,""),"")</f>
        <v>0.49056139088729012</v>
      </c>
    </row>
    <row r="74" spans="1:40" hidden="1">
      <c r="A74" s="7">
        <v>2026</v>
      </c>
      <c r="B74" s="7">
        <v>3</v>
      </c>
      <c r="C74" s="7" t="str">
        <v>Felipe Labes</v>
      </c>
      <c r="D74" s="7" t="str">
        <v>felipe.labes@altoqi.com.br</v>
      </c>
      <c r="E74" s="7" t="str">
        <v>FSB</v>
      </c>
      <c r="F74" s="7" t="str">
        <v>Consultor</v>
      </c>
      <c r="G74" s="7" t="str">
        <v>anderson.ortiz@altoqi.com.br</v>
      </c>
      <c r="H74" s="7" t="str">
        <v>MRR</v>
      </c>
      <c r="I74" s="86">
        <f>IF(AND(F74="Consultor",H74="MRR"),SUMIFS(Negócios!L:L,Negócios!A:A,A74,Negócios!B:B,B74,Negócios!P:P,D74),
IF(AND(F74="Consultor",H74="Opps"),SUMIFS('Realizado GD'!D:D,'Realizado GD'!A:A,A74,'Realizado GD'!B:B,B74,'Realizado GD'!C:C,D74),
IF(AND(F74="Gestor",E74="Sonia",H74="MRR"),SUMIFS(I:I,A:A,A74,B:B,B74,G:G,D74) + SUMIFS(I:I,A:A,A74,B:B,B74,G:G,"anderson.ortiz@altoqi.com.br"),
IF(AND(F74="Gestor",H74="MRR"),SUMIFS(I:I,A:A,A74,B:B,B74,G:G,D74)))))</f>
        <v>7561.67</v>
      </c>
      <c r="J74" s="16">
        <f>SUMIFS(Metas!K:K,Metas!A:A,A74,Metas!B:B,B74,Metas!D:D,D74,Metas!H:H,H74)</f>
        <v>3449.0016000000001</v>
      </c>
      <c r="K74" s="10">
        <f t="shared" si="20"/>
        <v>2.1924228739122649</v>
      </c>
      <c r="L74" s="26" t="str" cm="1">
        <f t="array" ref="L74">_xlfn.LET(
 _xlpm.g,_xlfn.MAXIFS(Parâmetros!G:G,Parâmetros!A:A,A74,Parâmetros!B:B,B74,Parâmetros!D:D,D74,Parâmetros!E:E,E74),
 _xlpm.j,_xlfn.MAXIFS(Parâmetros!J:J,Parâmetros!A:A,A74,Parâmetros!B:B,B74,Parâmetros!D:D,D74,Parâmetros!E:E,E74),
 _xlpm.m,_xlfn.MAXIFS(Parâmetros!M:M,Parâmetros!A:A,A74,Parâmetros!B:B,B74,Parâmetros!D:D,D74,Parâmetros!E:E,E74),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60,00%</v>
      </c>
      <c r="M74" s="28">
        <f>IF(AND(F74="Gestor",E74="Sonia",H74="MRR"),SUMIFS(M:M,A:A,A74,B:B,B74,G:G,D74) + SUMIFS(M:M,A:A,A74,B:B,B74,G:G,"anderson.ortiz@altoqi.com.br"),
IF(AND(F74="Gestor",H74="MRR"),SUMIFS(M:M,A:A,A74,B:B,B74,G:G,D74),
SUMIFS(Negócios!L:L,Negócios!A:A,A74,Negócios!B:B,B74,Negócios!P:P,D74,Negócios!AG:AG,"À Vista")))</f>
        <v>687.31</v>
      </c>
      <c r="N74" s="10">
        <f t="shared" si="21"/>
        <v>9.0893942740161882E-2</v>
      </c>
      <c r="O74" s="30">
        <f>SUMIFS('Acel Form Pag'!D:D,'Acel Form Pag'!A:A,A74,'Acel Form Pag'!B:B,B74,'Acel Form Pag'!C:C,E74)</f>
        <v>1.3</v>
      </c>
      <c r="P74" s="87">
        <f>IF(AND(F74="Gestor",E74="Sonia",H74="MRR"),SUMIFS(P:P,A:A,A74,B:B,B74,G:G,D74) + SUMIFS(P:P,A:A,A74,B:B,B74,G:G,"anderson.ortiz@altoqi.com.br"),
IF(AND(F74="Gestor",H74="MRR"),SUMIFS(P:P,A:A,A74,B:B,B74,G:G,D74),
SUMIFS(Negócios!L:L,Negócios!A:A,A74,Negócios!B:B,B74,Negócios!P:P,D74,Negócios!AG:AG,"CC 3x")))</f>
        <v>0</v>
      </c>
      <c r="Q74" s="10">
        <f t="shared" si="22"/>
        <v>0</v>
      </c>
      <c r="R74" s="30">
        <f>SUMIFS('Acel Form Pag'!E:E,'Acel Form Pag'!A:A,A74,'Acel Form Pag'!B:B,B74,'Acel Form Pag'!C:C,E74)</f>
        <v>1.2</v>
      </c>
      <c r="S74" s="32">
        <f>IF(AND(F74="Gestor",E74="Sonia",H74="MRR"),SUMIFS(S:S,A:A,A74,B:B,B74,G:G,D74) + SUMIFS(S:S,A:A,A74,B:B,B74,G:G,"anderson.ortiz@altoqi.com.br"),
IF(AND(F74="Gestor",H74="MRR"),SUMIFS(S:S,A:A,A74,B:B,B74,G:G,D74),
SUMIFS(Negócios!L:L,Negócios!A:A,A74,Negócios!B:B,B74,Negócios!P:P,D74,Negócios!AG:AG,"CC 12x")))</f>
        <v>2596.2400000000002</v>
      </c>
      <c r="T74" s="10">
        <f t="shared" si="23"/>
        <v>0.34334214531975082</v>
      </c>
      <c r="U74" s="30">
        <f>SUMIFS('Acel Form Pag'!F:F,'Acel Form Pag'!A:A,A74,'Acel Form Pag'!B:B,B74,'Acel Form Pag'!C:C,E74)</f>
        <v>1.1499999999999999</v>
      </c>
      <c r="V74" s="32">
        <f>IF(AND(F74="Gestor",E74="Sonia",H74="MRR"),SUMIFS(V:V,A:A,A74,B:B,B74,G:G,D74) + SUMIFS(V:V,A:A,A74,B:B,B74,G:G,"anderson.ortiz@altoqi.com.br"),
IF(AND(F74="Gestor",H74="MRR"),SUMIFS(V:V,A:A,A74,B:B,B74,G:G,D74),
SUMIFS(Negócios!L:L,Negócios!A:A,A74,Negócios!B:B,B74,Negócios!P:P,D74,Negócios!AG:AG,"Recorrente")))</f>
        <v>4278.12</v>
      </c>
      <c r="W74" s="10">
        <f t="shared" si="24"/>
        <v>0.56576391194008724</v>
      </c>
      <c r="X74" s="34">
        <f>SUMIFS('Acel Form Pag'!G:G,'Acel Form Pag'!A:A,A74,'Acel Form Pag'!B:B,B74,'Acel Form Pag'!C:C,E74)</f>
        <v>0.9</v>
      </c>
      <c r="Y74" s="24">
        <f>MAX(_xlfn.MAXIFS(Parâmetros!O:O,Parâmetros!A:A,A74,Parâmetros!B:B,B74,Parâmetros!D:D,D74,Parâmetros!M:M,"&lt;="&amp;K74),_xlfn.MAXIFS(Parâmetros!L:L,Parâmetros!A:A,A74,Parâmetros!B:B,B74,Parâmetros!D:D,D74,Parâmetros!J:J,"&lt;="&amp;K74),_xlfn.MAXIFS(Parâmetros!I:I,Parâmetros!A:A,A74,Parâmetros!B:B,B74,Parâmetros!D:D,D74))</f>
        <v>1306.99008</v>
      </c>
      <c r="Z74" s="9">
        <f>MAX(_xlfn.MAXIFS(Parâmetros!Q:Q,Parâmetros!A:A,A74,Parâmetros!B:B,B74,Parâmetros!D:D,D74,Parâmetros!E:E,E74,Parâmetros!P:P,"&lt;="&amp;K74),
_xlfn.MAXIFS(Parâmetros!S:S,Parâmetros!A:A,A74,Parâmetros!B:B,B74,Parâmetros!D:D,D74,Parâmetros!E:E,E74,Parâmetros!R:R,"&lt;="&amp;K74),
_xlfn.MAXIFS(Parâmetros!U:U,Parâmetros!A:A,A74,Parâmetros!B:B,B74,Parâmetros!D:D,D74,Parâmetros!E:E,E74,Parâmetros!T:T,"&lt;="&amp;K74),1) * IF(K74 &gt;= SUMIFS(Parâmetros!G:G,Parâmetros!A:A,A74,Parâmetros!B:B,B74,Parâmetros!D:D,D74,Parâmetros!E:E,E74),1,0)</f>
        <v>1.25</v>
      </c>
      <c r="AA74" s="16">
        <f>Y74*Z74*K74</f>
        <v>3581.8436842105261</v>
      </c>
      <c r="AB74" s="16">
        <f>(AA74*N74*O74) + (AA74*Q74*R74) + (AA74*T74*U74) + (AA74*W74*X74)</f>
        <v>3661.3359473684204</v>
      </c>
      <c r="AC74" s="15">
        <f>IF(F74="Gestor",SUMIFS(AC:AC,A:A,A74,B:B,B74,G:G,D74),
IF(E74="Saving",SUMIFS(Negócios!I:I,Negócios!A:A,A74,Negócios!B:B,B74,Negócios!P:P,D74,Negócios!H:H,"Curso") +
SUMIFS(Negócios!I:I,Negócios!A:A,A74,Negócios!B:B,B74,Negócios!P:P,D74,Negócios!H:H,"Serviço") +
SUMIFS(Negócios!I:I,Negócios!A:A,A74,Negócios!B:B,B74,Negócios!P:P,D74,Negócios!H:H,"Implantação"),
SUMIFS(Negócios!I:I,Negócios!A:A,A74,Negócios!B:B,B74,Negócios!P:P,D74,Negócios!H:H,"Implantação")))</f>
        <v>0</v>
      </c>
      <c r="AD74" s="16">
        <f>SUMIFS(Parâmetros!W:W,Parâmetros!A:A,A74,Parâmetros!B:B,B74,Parâmetros!D:D,D74) * AC74 * IF(K74 &gt;= SUMIFS(Parâmetros!V:V,Parâmetros!A:A,A74,Parâmetros!B:B,B74,Parâmetros!D:D,D74),1,0)</f>
        <v>0</v>
      </c>
      <c r="AE74" s="15">
        <f>SUMIFS('Recuperação de Canc e Divs'!D:D,'Recuperação de Canc e Divs'!A:A,A74,'Recuperação de Canc e Divs'!B:B,B74,'Recuperação de Canc e Divs'!C:C,D74)</f>
        <v>0</v>
      </c>
      <c r="AF74" s="16">
        <f>IF(K74&gt;=SUMIFS(Parâmetros!J:J,Parâmetros!A:A,A74,Parâmetros!B:B,B74,Parâmetros!D:D,D74),AE74*0.025,0)</f>
        <v>0</v>
      </c>
      <c r="AG74" s="15">
        <f t="shared" si="25"/>
        <v>7561.67</v>
      </c>
      <c r="AH74" s="16">
        <f t="shared" si="26"/>
        <v>3449.0016000000001</v>
      </c>
      <c r="AI74" s="90">
        <f t="shared" si="27"/>
        <v>2.1924228739122649</v>
      </c>
      <c r="AJ74" s="16">
        <f t="shared" si="28"/>
        <v>117387.45179999998</v>
      </c>
      <c r="AK74" s="16">
        <f t="shared" si="29"/>
        <v>94017.111600000004</v>
      </c>
      <c r="AL74" s="90">
        <f t="shared" si="30"/>
        <v>1.2485753901846095</v>
      </c>
      <c r="AM74" s="93">
        <f>IF(AND(OR(B74=3,B74=6,B74=9,B74=12),AI74&gt;=1),
IF(F74="Gestor",AI74*0.6,AI74*0.3),"")</f>
        <v>0.65772686217367948</v>
      </c>
      <c r="AN74" s="94">
        <f>IF(OR(B74=3,B74=6,B74=9,B74=12),
IF(AND(AL74&gt;=1,AI74&gt;=SUMIFS(Parâmetros!G:G,Parâmetros!A:A,Comissões!A74,Parâmetros!B:B,Comissões!B74,Parâmetros!D:D,Comissões!D74,Parâmetros!E:E,Comissões!E74)),AI74*0.3,""),"")</f>
        <v>0.65772686217367948</v>
      </c>
    </row>
    <row r="75" spans="1:40" hidden="1">
      <c r="A75" s="7">
        <v>2026</v>
      </c>
      <c r="B75" s="7">
        <v>3</v>
      </c>
      <c r="C75" s="7" t="str">
        <v>Renata Scheffer</v>
      </c>
      <c r="D75" s="7" t="str">
        <v>renata.scheffer@altoqi.com.br</v>
      </c>
      <c r="E75" s="7" t="str">
        <v>FSB</v>
      </c>
      <c r="F75" s="7" t="str">
        <v>Consultor</v>
      </c>
      <c r="G75" s="7" t="str">
        <v>anderson.ortiz@altoqi.com.br</v>
      </c>
      <c r="H75" s="7" t="str">
        <v>MRR</v>
      </c>
      <c r="I75" s="86">
        <f>IF(AND(F75="Consultor",H75="MRR"),SUMIFS(Negócios!L:L,Negócios!A:A,A75,Negócios!B:B,B75,Negócios!P:P,D75),
IF(AND(F75="Consultor",H75="Opps"),SUMIFS('Realizado GD'!D:D,'Realizado GD'!A:A,A75,'Realizado GD'!B:B,B75,'Realizado GD'!C:C,D75),
IF(AND(F75="Gestor",E75="Sonia",H75="MRR"),SUMIFS(I:I,A:A,A75,B:B,B75,G:G,D75) + SUMIFS(I:I,A:A,A75,B:B,B75,G:G,"anderson.ortiz@altoqi.com.br"),
IF(AND(F75="Gestor",H75="MRR"),SUMIFS(I:I,A:A,A75,B:B,B75,G:G,D75)))))</f>
        <v>10262.110700000001</v>
      </c>
      <c r="J75" s="16">
        <f>SUMIFS(Metas!K:K,Metas!A:A,A75,Metas!B:B,B75,Metas!D:D,D75,Metas!H:H,H75)</f>
        <v>9500</v>
      </c>
      <c r="K75" s="10">
        <f t="shared" si="20"/>
        <v>1.0802221789473685</v>
      </c>
      <c r="L75" s="26" t="str" cm="1">
        <f t="array" ref="L75">_xlfn.LET(
 _xlpm.g,_xlfn.MAXIFS(Parâmetros!G:G,Parâmetros!A:A,A75,Parâmetros!B:B,B75,Parâmetros!D:D,D75,Parâmetros!E:E,E75),
 _xlpm.j,_xlfn.MAXIFS(Parâmetros!J:J,Parâmetros!A:A,A75,Parâmetros!B:B,B75,Parâmetros!D:D,D75,Parâmetros!E:E,E75),
 _xlpm.m,_xlfn.MAXIFS(Parâmetros!M:M,Parâmetros!A:A,A75,Parâmetros!B:B,B75,Parâmetros!D:D,D75,Parâmetros!E:E,E75),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60,00%</v>
      </c>
      <c r="M75" s="28">
        <f>IF(AND(F75="Gestor",E75="Sonia",H75="MRR"),SUMIFS(M:M,A:A,A75,B:B,B75,G:G,D75) + SUMIFS(M:M,A:A,A75,B:B,B75,G:G,"anderson.ortiz@altoqi.com.br"),
IF(AND(F75="Gestor",H75="MRR"),SUMIFS(M:M,A:A,A75,B:B,B75,G:G,D75),
SUMIFS(Negócios!L:L,Negócios!A:A,A75,Negócios!B:B,B75,Negócios!P:P,D75,Negócios!AG:AG,"À Vista")))</f>
        <v>835.46</v>
      </c>
      <c r="N75" s="10">
        <f t="shared" si="21"/>
        <v>8.1412101703404932E-2</v>
      </c>
      <c r="O75" s="30">
        <f>SUMIFS('Acel Form Pag'!D:D,'Acel Form Pag'!A:A,A75,'Acel Form Pag'!B:B,B75,'Acel Form Pag'!C:C,E75)</f>
        <v>1.3</v>
      </c>
      <c r="P75" s="87">
        <f>IF(AND(F75="Gestor",E75="Sonia",H75="MRR"),SUMIFS(P:P,A:A,A75,B:B,B75,G:G,D75) + SUMIFS(P:P,A:A,A75,B:B,B75,G:G,"anderson.ortiz@altoqi.com.br"),
IF(AND(F75="Gestor",H75="MRR"),SUMIFS(P:P,A:A,A75,B:B,B75,G:G,D75),
SUMIFS(Negócios!L:L,Negócios!A:A,A75,Negócios!B:B,B75,Negócios!P:P,D75,Negócios!AG:AG,"CC 3x")))</f>
        <v>0</v>
      </c>
      <c r="Q75" s="10">
        <f t="shared" si="22"/>
        <v>0</v>
      </c>
      <c r="R75" s="30">
        <f>SUMIFS('Acel Form Pag'!E:E,'Acel Form Pag'!A:A,A75,'Acel Form Pag'!B:B,B75,'Acel Form Pag'!C:C,E75)</f>
        <v>1.2</v>
      </c>
      <c r="S75" s="32">
        <f>IF(AND(F75="Gestor",E75="Sonia",H75="MRR"),SUMIFS(S:S,A:A,A75,B:B,B75,G:G,D75) + SUMIFS(S:S,A:A,A75,B:B,B75,G:G,"anderson.ortiz@altoqi.com.br"),
IF(AND(F75="Gestor",H75="MRR"),SUMIFS(S:S,A:A,A75,B:B,B75,G:G,D75),
SUMIFS(Negócios!L:L,Negócios!A:A,A75,Negócios!B:B,B75,Negócios!P:P,D75,Negócios!AG:AG,"CC 12x")))</f>
        <v>5584.0507000000007</v>
      </c>
      <c r="T75" s="10">
        <f t="shared" si="23"/>
        <v>0.5441425125145064</v>
      </c>
      <c r="U75" s="30">
        <f>SUMIFS('Acel Form Pag'!F:F,'Acel Form Pag'!A:A,A75,'Acel Form Pag'!B:B,B75,'Acel Form Pag'!C:C,E75)</f>
        <v>1.1499999999999999</v>
      </c>
      <c r="V75" s="32">
        <f>IF(AND(F75="Gestor",E75="Sonia",H75="MRR"),SUMIFS(V:V,A:A,A75,B:B,B75,G:G,D75) + SUMIFS(V:V,A:A,A75,B:B,B75,G:G,"anderson.ortiz@altoqi.com.br"),
IF(AND(F75="Gestor",H75="MRR"),SUMIFS(V:V,A:A,A75,B:B,B75,G:G,D75),
SUMIFS(Negócios!L:L,Negócios!A:A,A75,Negócios!B:B,B75,Negócios!P:P,D75,Negócios!AG:AG,"Recorrente")))</f>
        <v>3842.5999999999995</v>
      </c>
      <c r="W75" s="10">
        <f t="shared" si="24"/>
        <v>0.37444538578208858</v>
      </c>
      <c r="X75" s="34">
        <f>SUMIFS('Acel Form Pag'!G:G,'Acel Form Pag'!A:A,A75,'Acel Form Pag'!B:B,B75,'Acel Form Pag'!C:C,E75)</f>
        <v>0.9</v>
      </c>
      <c r="Y75" s="24">
        <f>MAX(_xlfn.MAXIFS(Parâmetros!O:O,Parâmetros!A:A,A75,Parâmetros!B:B,B75,Parâmetros!D:D,D75,Parâmetros!M:M,"&lt;="&amp;K75),_xlfn.MAXIFS(Parâmetros!L:L,Parâmetros!A:A,A75,Parâmetros!B:B,B75,Parâmetros!D:D,D75,Parâmetros!J:J,"&lt;="&amp;K75),_xlfn.MAXIFS(Parâmetros!I:I,Parâmetros!A:A,A75,Parâmetros!B:B,B75,Parâmetros!D:D,D75))</f>
        <v>3240</v>
      </c>
      <c r="Z75" s="9">
        <f>MAX(_xlfn.MAXIFS(Parâmetros!Q:Q,Parâmetros!A:A,A75,Parâmetros!B:B,B75,Parâmetros!D:D,D75,Parâmetros!E:E,E75,Parâmetros!P:P,"&lt;="&amp;K75),
_xlfn.MAXIFS(Parâmetros!S:S,Parâmetros!A:A,A75,Parâmetros!B:B,B75,Parâmetros!D:D,D75,Parâmetros!E:E,E75,Parâmetros!R:R,"&lt;="&amp;K75),
_xlfn.MAXIFS(Parâmetros!U:U,Parâmetros!A:A,A75,Parâmetros!B:B,B75,Parâmetros!D:D,D75,Parâmetros!E:E,E75,Parâmetros!T:T,"&lt;="&amp;K75),1) * IF(K75 &gt;= SUMIFS(Parâmetros!G:G,Parâmetros!A:A,A75,Parâmetros!B:B,B75,Parâmetros!D:D,D75,Parâmetros!E:E,E75),1,0)</f>
        <v>1.25</v>
      </c>
      <c r="AA75" s="16">
        <f>Y75*Z75*K75</f>
        <v>4374.8998247368427</v>
      </c>
      <c r="AB75" s="16">
        <f>(AA75*N75*O75) + (AA75*Q75*R75) + (AA75*T75*U75) + (AA75*W75*X75)</f>
        <v>4675.020003710526</v>
      </c>
      <c r="AC75" s="15">
        <f>IF(F75="Gestor",SUMIFS(AC:AC,A:A,A75,B:B,B75,G:G,D75),
IF(E75="Saving",SUMIFS(Negócios!I:I,Negócios!A:A,A75,Negócios!B:B,B75,Negócios!P:P,D75,Negócios!H:H,"Curso") +
SUMIFS(Negócios!I:I,Negócios!A:A,A75,Negócios!B:B,B75,Negócios!P:P,D75,Negócios!H:H,"Serviço") +
SUMIFS(Negócios!I:I,Negócios!A:A,A75,Negócios!B:B,B75,Negócios!P:P,D75,Negócios!H:H,"Implantação"),
SUMIFS(Negócios!I:I,Negócios!A:A,A75,Negócios!B:B,B75,Negócios!P:P,D75,Negócios!H:H,"Implantação")))</f>
        <v>0</v>
      </c>
      <c r="AD75" s="16">
        <f>SUMIFS(Parâmetros!W:W,Parâmetros!A:A,A75,Parâmetros!B:B,B75,Parâmetros!D:D,D75) * AC75 * IF(K75 &gt;= SUMIFS(Parâmetros!V:V,Parâmetros!A:A,A75,Parâmetros!B:B,B75,Parâmetros!D:D,D75),1,0)</f>
        <v>0</v>
      </c>
      <c r="AE75" s="15">
        <f>SUMIFS('Recuperação de Canc e Divs'!D:D,'Recuperação de Canc e Divs'!A:A,A75,'Recuperação de Canc e Divs'!B:B,B75,'Recuperação de Canc e Divs'!C:C,D75)</f>
        <v>0</v>
      </c>
      <c r="AF75" s="16">
        <f>IF(K75&gt;=SUMIFS(Parâmetros!J:J,Parâmetros!A:A,A75,Parâmetros!B:B,B75,Parâmetros!D:D,D75),AE75*0.025,0)</f>
        <v>0</v>
      </c>
      <c r="AG75" s="15">
        <f t="shared" si="25"/>
        <v>25963.606800000009</v>
      </c>
      <c r="AH75" s="16">
        <f t="shared" si="26"/>
        <v>15486.11</v>
      </c>
      <c r="AI75" s="90">
        <f t="shared" si="27"/>
        <v>1.6765738329380333</v>
      </c>
      <c r="AJ75" s="16">
        <f t="shared" si="28"/>
        <v>117387.45179999998</v>
      </c>
      <c r="AK75" s="16">
        <f t="shared" si="29"/>
        <v>94017.111600000004</v>
      </c>
      <c r="AL75" s="90">
        <f t="shared" si="30"/>
        <v>1.2485753901846095</v>
      </c>
      <c r="AM75" s="93">
        <f>IF(AND(OR(B75=3,B75=6,B75=9,B75=12),AI75&gt;=1),
IF(F75="Gestor",AI75*0.6,AI75*0.3),"")</f>
        <v>0.50297214988140992</v>
      </c>
      <c r="AN75" s="94">
        <f>IF(OR(B75=3,B75=6,B75=9,B75=12),
IF(AND(AL75&gt;=1,AI75&gt;=SUMIFS(Parâmetros!G:G,Parâmetros!A:A,Comissões!A75,Parâmetros!B:B,Comissões!B75,Parâmetros!D:D,Comissões!D75,Parâmetros!E:E,Comissões!E75)),AI75*0.3,""),"")</f>
        <v>0.50297214988140992</v>
      </c>
    </row>
    <row r="76" spans="1:40" hidden="1">
      <c r="A76" s="7">
        <v>2026</v>
      </c>
      <c r="B76" s="7">
        <v>3</v>
      </c>
      <c r="C76" s="7" t="str">
        <v>Susana Alves Becker</v>
      </c>
      <c r="D76" s="7" t="str">
        <v>susana.becker@altoqi.com.br</v>
      </c>
      <c r="E76" s="7" t="str">
        <v>FSB</v>
      </c>
      <c r="F76" s="7" t="str">
        <v>Consultor</v>
      </c>
      <c r="G76" s="7" t="str">
        <v>anderson.ortiz@altoqi.com.br</v>
      </c>
      <c r="H76" s="7" t="str">
        <v>MRR</v>
      </c>
      <c r="I76" s="86">
        <f>IF(AND(F76="Consultor",H76="MRR"),SUMIFS(Negócios!L:L,Negócios!A:A,A76,Negócios!B:B,B76,Negócios!P:P,D76),
IF(AND(F76="Consultor",H76="Opps"),SUMIFS('Realizado GD'!D:D,'Realizado GD'!A:A,A76,'Realizado GD'!B:B,B76,'Realizado GD'!C:C,D76),
IF(AND(F76="Gestor",E76="Sonia",H76="MRR"),SUMIFS(I:I,A:A,A76,B:B,B76,G:G,D76) + SUMIFS(I:I,A:A,A76,B:B,B76,G:G,"anderson.ortiz@altoqi.com.br"),
IF(AND(F76="Gestor",H76="MRR"),SUMIFS(I:I,A:A,A76,B:B,B76,G:G,D76)))))</f>
        <v>9463.0399999999991</v>
      </c>
      <c r="J76" s="16">
        <f>SUMIFS(Metas!K:K,Metas!A:A,A76,Metas!B:B,B76,Metas!D:D,D76,Metas!H:H,H76)</f>
        <v>7942</v>
      </c>
      <c r="K76" s="10">
        <f t="shared" si="20"/>
        <v>1.1915185091916394</v>
      </c>
      <c r="L76" s="26" t="str" cm="1">
        <f t="array" ref="L76">_xlfn.LET(
 _xlpm.g,_xlfn.MAXIFS(Parâmetros!G:G,Parâmetros!A:A,A76,Parâmetros!B:B,B76,Parâmetros!D:D,D76,Parâmetros!E:E,E76),
 _xlpm.j,_xlfn.MAXIFS(Parâmetros!J:J,Parâmetros!A:A,A76,Parâmetros!B:B,B76,Parâmetros!D:D,D76,Parâmetros!E:E,E76),
 _xlpm.m,_xlfn.MAXIFS(Parâmetros!M:M,Parâmetros!A:A,A76,Parâmetros!B:B,B76,Parâmetros!D:D,D76,Parâmetros!E:E,E76),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60,00%</v>
      </c>
      <c r="M76" s="28">
        <f>IF(AND(F76="Gestor",E76="Sonia",H76="MRR"),SUMIFS(M:M,A:A,A76,B:B,B76,G:G,D76) + SUMIFS(M:M,A:A,A76,B:B,B76,G:G,"anderson.ortiz@altoqi.com.br"),
IF(AND(F76="Gestor",H76="MRR"),SUMIFS(M:M,A:A,A76,B:B,B76,G:G,D76),
SUMIFS(Negócios!L:L,Negócios!A:A,A76,Negócios!B:B,B76,Negócios!P:P,D76,Negócios!AG:AG,"À Vista")))</f>
        <v>435.72</v>
      </c>
      <c r="N76" s="10">
        <f t="shared" si="21"/>
        <v>4.6044400108210475E-2</v>
      </c>
      <c r="O76" s="30">
        <f>SUMIFS('Acel Form Pag'!D:D,'Acel Form Pag'!A:A,A76,'Acel Form Pag'!B:B,B76,'Acel Form Pag'!C:C,E76)</f>
        <v>1.3</v>
      </c>
      <c r="P76" s="87">
        <f>IF(AND(F76="Gestor",E76="Sonia",H76="MRR"),SUMIFS(P:P,A:A,A76,B:B,B76,G:G,D76) + SUMIFS(P:P,A:A,A76,B:B,B76,G:G,"anderson.ortiz@altoqi.com.br"),
IF(AND(F76="Gestor",H76="MRR"),SUMIFS(P:P,A:A,A76,B:B,B76,G:G,D76),
SUMIFS(Negócios!L:L,Negócios!A:A,A76,Negócios!B:B,B76,Negócios!P:P,D76,Negócios!AG:AG,"CC 3x")))</f>
        <v>195</v>
      </c>
      <c r="Q76" s="10">
        <f t="shared" si="22"/>
        <v>2.0606485865007441E-2</v>
      </c>
      <c r="R76" s="30">
        <f>SUMIFS('Acel Form Pag'!E:E,'Acel Form Pag'!A:A,A76,'Acel Form Pag'!B:B,B76,'Acel Form Pag'!C:C,E76)</f>
        <v>1.2</v>
      </c>
      <c r="S76" s="32">
        <f>IF(AND(F76="Gestor",E76="Sonia",H76="MRR"),SUMIFS(S:S,A:A,A76,B:B,B76,G:G,D76) + SUMIFS(S:S,A:A,A76,B:B,B76,G:G,"anderson.ortiz@altoqi.com.br"),
IF(AND(F76="Gestor",H76="MRR"),SUMIFS(S:S,A:A,A76,B:B,B76,G:G,D76),
SUMIFS(Negócios!L:L,Negócios!A:A,A76,Negócios!B:B,B76,Negócios!P:P,D76,Negócios!AG:AG,"CC 12x")))</f>
        <v>5292.32</v>
      </c>
      <c r="T76" s="10">
        <f t="shared" si="23"/>
        <v>0.55926213986203166</v>
      </c>
      <c r="U76" s="30">
        <f>SUMIFS('Acel Form Pag'!F:F,'Acel Form Pag'!A:A,A76,'Acel Form Pag'!B:B,B76,'Acel Form Pag'!C:C,E76)</f>
        <v>1.1499999999999999</v>
      </c>
      <c r="V76" s="32">
        <f>IF(AND(F76="Gestor",E76="Sonia",H76="MRR"),SUMIFS(V:V,A:A,A76,B:B,B76,G:G,D76) + SUMIFS(V:V,A:A,A76,B:B,B76,G:G,"anderson.ortiz@altoqi.com.br"),
IF(AND(F76="Gestor",H76="MRR"),SUMIFS(V:V,A:A,A76,B:B,B76,G:G,D76),
SUMIFS(Negócios!L:L,Negócios!A:A,A76,Negócios!B:B,B76,Negócios!P:P,D76,Negócios!AG:AG,"Recorrente")))</f>
        <v>3540</v>
      </c>
      <c r="W76" s="10">
        <f t="shared" si="24"/>
        <v>0.37408697416475045</v>
      </c>
      <c r="X76" s="34">
        <f>SUMIFS('Acel Form Pag'!G:G,'Acel Form Pag'!A:A,A76,'Acel Form Pag'!B:B,B76,'Acel Form Pag'!C:C,E76)</f>
        <v>0.9</v>
      </c>
      <c r="Y76" s="24">
        <f>MAX(_xlfn.MAXIFS(Parâmetros!O:O,Parâmetros!A:A,A76,Parâmetros!B:B,B76,Parâmetros!D:D,D76,Parâmetros!M:M,"&lt;="&amp;K76),_xlfn.MAXIFS(Parâmetros!L:L,Parâmetros!A:A,A76,Parâmetros!B:B,B76,Parâmetros!D:D,D76,Parâmetros!J:J,"&lt;="&amp;K76),_xlfn.MAXIFS(Parâmetros!I:I,Parâmetros!A:A,A76,Parâmetros!B:B,B76,Parâmetros!D:D,D76))</f>
        <v>3009.6</v>
      </c>
      <c r="Z76" s="9">
        <f>MAX(_xlfn.MAXIFS(Parâmetros!Q:Q,Parâmetros!A:A,A76,Parâmetros!B:B,B76,Parâmetros!D:D,D76,Parâmetros!E:E,E76,Parâmetros!P:P,"&lt;="&amp;K76),
_xlfn.MAXIFS(Parâmetros!S:S,Parâmetros!A:A,A76,Parâmetros!B:B,B76,Parâmetros!D:D,D76,Parâmetros!E:E,E76,Parâmetros!R:R,"&lt;="&amp;K76),
_xlfn.MAXIFS(Parâmetros!U:U,Parâmetros!A:A,A76,Parâmetros!B:B,B76,Parâmetros!D:D,D76,Parâmetros!E:E,E76,Parâmetros!T:T,"&lt;="&amp;K76),1) * IF(K76 &gt;= SUMIFS(Parâmetros!G:G,Parâmetros!A:A,A76,Parâmetros!B:B,B76,Parâmetros!D:D,D76,Parâmetros!E:E,E76),1,0)</f>
        <v>1.25</v>
      </c>
      <c r="AA76" s="16">
        <f>Y76*Z76*K76</f>
        <v>4482.4926315789471</v>
      </c>
      <c r="AB76" s="16">
        <f>(AA76*N76*O76) + (AA76*Q76*R76) + (AA76*T76*U76) + (AA76*W76*X76)</f>
        <v>4771.2334736842104</v>
      </c>
      <c r="AC76" s="15">
        <f>IF(F76="Gestor",SUMIFS(AC:AC,A:A,A76,B:B,B76,G:G,D76),
IF(E76="Saving",SUMIFS(Negócios!I:I,Negócios!A:A,A76,Negócios!B:B,B76,Negócios!P:P,D76,Negócios!H:H,"Curso") +
SUMIFS(Negócios!I:I,Negócios!A:A,A76,Negócios!B:B,B76,Negócios!P:P,D76,Negócios!H:H,"Serviço") +
SUMIFS(Negócios!I:I,Negócios!A:A,A76,Negócios!B:B,B76,Negócios!P:P,D76,Negócios!H:H,"Implantação"),
SUMIFS(Negócios!I:I,Negócios!A:A,A76,Negócios!B:B,B76,Negócios!P:P,D76,Negócios!H:H,"Implantação")))</f>
        <v>0</v>
      </c>
      <c r="AD76" s="16">
        <f>SUMIFS(Parâmetros!W:W,Parâmetros!A:A,A76,Parâmetros!B:B,B76,Parâmetros!D:D,D76) * AC76 * IF(K76 &gt;= SUMIFS(Parâmetros!V:V,Parâmetros!A:A,A76,Parâmetros!B:B,B76,Parâmetros!D:D,D76),1,0)</f>
        <v>0</v>
      </c>
      <c r="AE76" s="15">
        <f>SUMIFS('Recuperação de Canc e Divs'!D:D,'Recuperação de Canc e Divs'!A:A,A76,'Recuperação de Canc e Divs'!B:B,B76,'Recuperação de Canc e Divs'!C:C,D76)</f>
        <v>0</v>
      </c>
      <c r="AF76" s="16">
        <f>IF(K76&gt;=SUMIFS(Parâmetros!J:J,Parâmetros!A:A,A76,Parâmetros!B:B,B76,Parâmetros!D:D,D76),AE76*0.025,0)</f>
        <v>0</v>
      </c>
      <c r="AG76" s="15">
        <f t="shared" si="25"/>
        <v>34433.275000000001</v>
      </c>
      <c r="AH76" s="16">
        <f t="shared" si="26"/>
        <v>27362</v>
      </c>
      <c r="AI76" s="90">
        <f t="shared" si="27"/>
        <v>1.2584341422410643</v>
      </c>
      <c r="AJ76" s="16">
        <f t="shared" si="28"/>
        <v>117387.45179999998</v>
      </c>
      <c r="AK76" s="16">
        <f t="shared" si="29"/>
        <v>94017.111600000004</v>
      </c>
      <c r="AL76" s="90">
        <f t="shared" si="30"/>
        <v>1.2485753901846095</v>
      </c>
      <c r="AM76" s="93">
        <f>IF(AND(OR(B76=3,B76=6,B76=9,B76=12),AI76&gt;=1),
IF(F76="Gestor",AI76*0.6,AI76*0.3),"")</f>
        <v>0.37753024267231927</v>
      </c>
      <c r="AN76" s="94">
        <f>IF(OR(B76=3,B76=6,B76=9,B76=12),
IF(AND(AL76&gt;=1,AI76&gt;=SUMIFS(Parâmetros!G:G,Parâmetros!A:A,Comissões!A76,Parâmetros!B:B,Comissões!B76,Parâmetros!D:D,Comissões!D76,Parâmetros!E:E,Comissões!E76)),AI76*0.3,""),"")</f>
        <v>0.37753024267231927</v>
      </c>
    </row>
    <row r="77" spans="1:40" hidden="1">
      <c r="A77" s="7">
        <v>2026</v>
      </c>
      <c r="B77" s="7">
        <v>3</v>
      </c>
      <c r="C77" s="7" t="str">
        <v>Beatriz Nau</v>
      </c>
      <c r="D77" s="7" t="str">
        <v>beatriz@altoqi.com.br</v>
      </c>
      <c r="E77" s="7" t="str">
        <v>Saving</v>
      </c>
      <c r="F77" s="7" t="str">
        <v>Gestor</v>
      </c>
      <c r="G77" s="7">
        <v>0</v>
      </c>
      <c r="H77" s="7" t="str">
        <v>MRR</v>
      </c>
      <c r="I77" s="86">
        <f>IF(AND(F77="Consultor",H77="MRR"),SUMIFS(Negócios!L:L,Negócios!A:A,A77,Negócios!B:B,B77,Negócios!P:P,D77),
IF(AND(F77="Consultor",H77="Opps"),SUMIFS('Realizado GD'!D:D,'Realizado GD'!A:A,A77,'Realizado GD'!B:B,B77,'Realizado GD'!C:C,D77),
IF(AND(F77="Gestor",E77="Sonia",H77="MRR"),SUMIFS(I:I,A:A,A77,B:B,B77,G:G,D77) + SUMIFS(I:I,A:A,A77,B:B,B77,G:G,"anderson.ortiz@altoqi.com.br"),
IF(AND(F77="Gestor",H77="MRR"),SUMIFS(I:I,A:A,A77,B:B,B77,G:G,D77)))))</f>
        <v>120653.86999980001</v>
      </c>
      <c r="J77" s="16">
        <f>SUMIFS(Metas!K:K,Metas!A:A,A77,Metas!B:B,B77,Metas!D:D,D77,Metas!H:H,H77)</f>
        <v>115564</v>
      </c>
      <c r="K77" s="10">
        <f t="shared" si="20"/>
        <v>1.0440437333408328</v>
      </c>
      <c r="L77" s="26" t="str" cm="1">
        <f t="array" ref="L77">_xlfn.LET(
 _xlpm.g,_xlfn.MAXIFS(Parâmetros!G:G,Parâmetros!A:A,A77,Parâmetros!B:B,B77,Parâmetros!D:D,D77,Parâmetros!E:E,E77),
 _xlpm.j,_xlfn.MAXIFS(Parâmetros!J:J,Parâmetros!A:A,A77,Parâmetros!B:B,B77,Parâmetros!D:D,D77,Parâmetros!E:E,E77),
 _xlpm.m,_xlfn.MAXIFS(Parâmetros!M:M,Parâmetros!A:A,A77,Parâmetros!B:B,B77,Parâmetros!D:D,D77,Parâmetros!E:E,E77),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60,00% | 75,00% | 100,00%</v>
      </c>
      <c r="M77" s="28">
        <f>IF(AND(F77="Gestor",E77="Sonia",H77="MRR"),SUMIFS(M:M,A:A,A77,B:B,B77,G:G,D77) + SUMIFS(M:M,A:A,A77,B:B,B77,G:G,"anderson.ortiz@altoqi.com.br"),
IF(AND(F77="Gestor",H77="MRR"),SUMIFS(M:M,A:A,A77,B:B,B77,G:G,D77),
SUMIFS(Negócios!L:L,Negócios!A:A,A77,Negócios!B:B,B77,Negócios!P:P,D77,Negócios!AG:AG,"À Vista")))</f>
        <v>20982.67</v>
      </c>
      <c r="N77" s="10">
        <f t="shared" si="21"/>
        <v>0.17390797327955396</v>
      </c>
      <c r="O77" s="30">
        <f>SUMIFS('Acel Form Pag'!D:D,'Acel Form Pag'!A:A,A77,'Acel Form Pag'!B:B,B77,'Acel Form Pag'!C:C,E77)</f>
        <v>1.2</v>
      </c>
      <c r="P77" s="87">
        <f>IF(AND(F77="Gestor",E77="Sonia",H77="MRR"),SUMIFS(P:P,A:A,A77,B:B,B77,G:G,D77) + SUMIFS(P:P,A:A,A77,B:B,B77,G:G,"anderson.ortiz@altoqi.com.br"),
IF(AND(F77="Gestor",H77="MRR"),SUMIFS(P:P,A:A,A77,B:B,B77,G:G,D77),
SUMIFS(Negócios!L:L,Negócios!A:A,A77,Negócios!B:B,B77,Negócios!P:P,D77,Negócios!AG:AG,"CC 3x")))</f>
        <v>1116.6500000000001</v>
      </c>
      <c r="Q77" s="10">
        <f t="shared" si="22"/>
        <v>9.2549870136933946E-3</v>
      </c>
      <c r="R77" s="30">
        <f>SUMIFS('Acel Form Pag'!E:E,'Acel Form Pag'!A:A,A77,'Acel Form Pag'!B:B,B77,'Acel Form Pag'!C:C,E77)</f>
        <v>1.1499999999999999</v>
      </c>
      <c r="S77" s="32">
        <f>IF(AND(F77="Gestor",E77="Sonia",H77="MRR"),SUMIFS(S:S,A:A,A77,B:B,B77,G:G,D77) + SUMIFS(S:S,A:A,A77,B:B,B77,G:G,"anderson.ortiz@altoqi.com.br"),
IF(AND(F77="Gestor",H77="MRR"),SUMIFS(S:S,A:A,A77,B:B,B77,G:G,D77),
SUMIFS(Negócios!L:L,Negócios!A:A,A77,Negócios!B:B,B77,Negócios!P:P,D77,Negócios!AG:AG,"CC 12x")))</f>
        <v>41840.449999899996</v>
      </c>
      <c r="T77" s="10">
        <f t="shared" si="23"/>
        <v>0.34678083678517191</v>
      </c>
      <c r="U77" s="30">
        <f>SUMIFS('Acel Form Pag'!F:F,'Acel Form Pag'!A:A,A77,'Acel Form Pag'!B:B,B77,'Acel Form Pag'!C:C,E77)</f>
        <v>1.1000000000000001</v>
      </c>
      <c r="V77" s="32">
        <f>IF(AND(F77="Gestor",E77="Sonia",H77="MRR"),SUMIFS(V:V,A:A,A77,B:B,B77,G:G,D77) + SUMIFS(V:V,A:A,A77,B:B,B77,G:G,"anderson.ortiz@altoqi.com.br"),
IF(AND(F77="Gestor",H77="MRR"),SUMIFS(V:V,A:A,A77,B:B,B77,G:G,D77),
SUMIFS(Negócios!L:L,Negócios!A:A,A77,Negócios!B:B,B77,Negócios!P:P,D77,Negócios!AG:AG,"Recorrente")))</f>
        <v>56714.099999900005</v>
      </c>
      <c r="W77" s="10">
        <f t="shared" si="24"/>
        <v>0.47005620292158068</v>
      </c>
      <c r="X77" s="34">
        <f>SUMIFS('Acel Form Pag'!G:G,'Acel Form Pag'!A:A,A77,'Acel Form Pag'!B:B,B77,'Acel Form Pag'!C:C,E77)</f>
        <v>1</v>
      </c>
      <c r="Y77" s="24">
        <f>MAX(_xlfn.MAXIFS(Parâmetros!O:O,Parâmetros!A:A,A77,Parâmetros!B:B,B77,Parâmetros!D:D,D77,Parâmetros!M:M,"&lt;="&amp;K77),_xlfn.MAXIFS(Parâmetros!L:L,Parâmetros!A:A,A77,Parâmetros!B:B,B77,Parâmetros!D:D,D77,Parâmetros!J:J,"&lt;="&amp;K77),_xlfn.MAXIFS(Parâmetros!I:I,Parâmetros!A:A,A77,Parâmetros!B:B,B77,Parâmetros!D:D,D77))</f>
        <v>12000</v>
      </c>
      <c r="Z77" s="9">
        <f>MAX(_xlfn.MAXIFS(Parâmetros!Q:Q,Parâmetros!A:A,A77,Parâmetros!B:B,B77,Parâmetros!D:D,D77,Parâmetros!E:E,E77,Parâmetros!P:P,"&lt;="&amp;K77),
_xlfn.MAXIFS(Parâmetros!S:S,Parâmetros!A:A,A77,Parâmetros!B:B,B77,Parâmetros!D:D,D77,Parâmetros!E:E,E77,Parâmetros!R:R,"&lt;="&amp;K77),
_xlfn.MAXIFS(Parâmetros!U:U,Parâmetros!A:A,A77,Parâmetros!B:B,B77,Parâmetros!D:D,D77,Parâmetros!E:E,E77,Parâmetros!T:T,"&lt;="&amp;K77),1) * IF(K77 &gt;= SUMIFS(Parâmetros!G:G,Parâmetros!A:A,A77,Parâmetros!B:B,B77,Parâmetros!D:D,D77,Parâmetros!E:E,E77),1,0)</f>
        <v>1.05</v>
      </c>
      <c r="AA77" s="16">
        <f>Y77*Z77*K77</f>
        <v>13154.951040094493</v>
      </c>
      <c r="AB77" s="16">
        <f>(AA77*N77*O77) + (AA77*Q77*R77) + (AA77*T77*U77) + (AA77*W77*X77)</f>
        <v>14086.952043000882</v>
      </c>
      <c r="AC77" s="15">
        <f>IF(F77="Gestor",SUMIFS(AC:AC,A:A,A77,B:B,B77,G:G,D77),
IF(E77="Saving",SUMIFS(Negócios!I:I,Negócios!A:A,A77,Negócios!B:B,B77,Negócios!P:P,D77,Negócios!H:H,"Curso") +
SUMIFS(Negócios!I:I,Negócios!A:A,A77,Negócios!B:B,B77,Negócios!P:P,D77,Negócios!H:H,"Serviço") +
SUMIFS(Negócios!I:I,Negócios!A:A,A77,Negócios!B:B,B77,Negócios!P:P,D77,Negócios!H:H,"Implantação"),
SUMIFS(Negócios!I:I,Negócios!A:A,A77,Negócios!B:B,B77,Negócios!P:P,D77,Negócios!H:H,"Implantação")))</f>
        <v>0</v>
      </c>
      <c r="AD77" s="16">
        <f>SUMIFS(Parâmetros!W:W,Parâmetros!A:A,A77,Parâmetros!B:B,B77,Parâmetros!D:D,D77) * AC77 * IF(K77 &gt;= SUMIFS(Parâmetros!V:V,Parâmetros!A:A,A77,Parâmetros!B:B,B77,Parâmetros!D:D,D77),1,0)</f>
        <v>0</v>
      </c>
      <c r="AE77" s="15">
        <f>SUMIFS('Recuperação de Canc e Divs'!D:D,'Recuperação de Canc e Divs'!A:A,A77,'Recuperação de Canc e Divs'!B:B,B77,'Recuperação de Canc e Divs'!C:C,D77)</f>
        <v>0</v>
      </c>
      <c r="AF77" s="16">
        <f>IF(K77&gt;=SUMIFS(Parâmetros!J:J,Parâmetros!A:A,A77,Parâmetros!B:B,B77,Parâmetros!D:D,D77),AE77*0.025,0)</f>
        <v>0</v>
      </c>
      <c r="AG77" s="15">
        <f t="shared" si="25"/>
        <v>401430.54950979992</v>
      </c>
      <c r="AH77" s="16">
        <f t="shared" si="26"/>
        <v>300817.09999999998</v>
      </c>
      <c r="AI77" s="90">
        <f t="shared" si="27"/>
        <v>1.3344671879018843</v>
      </c>
      <c r="AJ77" s="16" t="str">
        <f t="shared" si="28"/>
        <v/>
      </c>
      <c r="AK77" s="16" t="str">
        <f t="shared" si="29"/>
        <v/>
      </c>
      <c r="AL77" s="90">
        <f t="shared" si="30"/>
        <v>0</v>
      </c>
      <c r="AM77" s="93">
        <f>IF(AND(OR(B77=3,B77=6,B77=9,B77=12),AI77&gt;=1),
IF(F77="Gestor",AI77*0.6,AI77*0.3),"")</f>
        <v>0.80068031274113061</v>
      </c>
      <c r="AN77" s="94" t="str">
        <f>IF(OR(B77=3,B77=6,B77=9,B77=12),
IF(AND(AL77&gt;=1,AI77&gt;=SUMIFS(Parâmetros!G:G,Parâmetros!A:A,Comissões!A77,Parâmetros!B:B,Comissões!B77,Parâmetros!D:D,Comissões!D77,Parâmetros!E:E,Comissões!E77)),AI77*0.3,""),"")</f>
        <v/>
      </c>
    </row>
    <row r="78" spans="1:40" hidden="1">
      <c r="A78" s="7">
        <v>2026</v>
      </c>
      <c r="B78" s="7">
        <v>3</v>
      </c>
      <c r="C78" s="7" t="str">
        <v>Cintia Faraco</v>
      </c>
      <c r="D78" s="7" t="str">
        <v>cintia@altoqi.com.br</v>
      </c>
      <c r="E78" s="7" t="str">
        <v>Saving</v>
      </c>
      <c r="F78" s="7" t="str">
        <v>Consultor</v>
      </c>
      <c r="G78" s="7" t="str">
        <v>beatriz@altoqi.com.br</v>
      </c>
      <c r="H78" s="7" t="str">
        <v>MRR</v>
      </c>
      <c r="I78" s="86">
        <f>IF(AND(F78="Consultor",H78="MRR"),SUMIFS(Negócios!L:L,Negócios!A:A,A78,Negócios!B:B,B78,Negócios!P:P,D78),
IF(AND(F78="Consultor",H78="Opps"),SUMIFS('Realizado GD'!D:D,'Realizado GD'!A:A,A78,'Realizado GD'!B:B,B78,'Realizado GD'!C:C,D78),
IF(AND(F78="Gestor",E78="Sonia",H78="MRR"),SUMIFS(I:I,A:A,A78,B:B,B78,G:G,D78) + SUMIFS(I:I,A:A,A78,B:B,B78,G:G,"anderson.ortiz@altoqi.com.br"),
IF(AND(F78="Gestor",H78="MRR"),SUMIFS(I:I,A:A,A78,B:B,B78,G:G,D78)))))</f>
        <v>19038.360000000004</v>
      </c>
      <c r="J78" s="16">
        <f>SUMIFS(Metas!K:K,Metas!A:A,A78,Metas!B:B,B78,Metas!D:D,D78,Metas!H:H,H78)</f>
        <v>19022</v>
      </c>
      <c r="K78" s="10">
        <f t="shared" si="20"/>
        <v>1.0008600567763644</v>
      </c>
      <c r="L78" s="26" t="str" cm="1">
        <f t="array" ref="L78">_xlfn.LET(
 _xlpm.g,_xlfn.MAXIFS(Parâmetros!G:G,Parâmetros!A:A,A78,Parâmetros!B:B,B78,Parâmetros!D:D,D78,Parâmetros!E:E,E78),
 _xlpm.j,_xlfn.MAXIFS(Parâmetros!J:J,Parâmetros!A:A,A78,Parâmetros!B:B,B78,Parâmetros!D:D,D78,Parâmetros!E:E,E78),
 _xlpm.m,_xlfn.MAXIFS(Parâmetros!M:M,Parâmetros!A:A,A78,Parâmetros!B:B,B78,Parâmetros!D:D,D78,Parâmetros!E:E,E78),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60,00% | 75,00% | 100,00%</v>
      </c>
      <c r="M78" s="28">
        <f>IF(AND(F78="Gestor",E78="Sonia",H78="MRR"),SUMIFS(M:M,A:A,A78,B:B,B78,G:G,D78) + SUMIFS(M:M,A:A,A78,B:B,B78,G:G,"anderson.ortiz@altoqi.com.br"),
IF(AND(F78="Gestor",H78="MRR"),SUMIFS(M:M,A:A,A78,B:B,B78,G:G,D78),
SUMIFS(Negócios!L:L,Negócios!A:A,A78,Negócios!B:B,B78,Negócios!P:P,D78,Negócios!AG:AG,"À Vista")))</f>
        <v>3717.53</v>
      </c>
      <c r="N78" s="10">
        <f t="shared" si="21"/>
        <v>0.19526524343483365</v>
      </c>
      <c r="O78" s="30">
        <f>SUMIFS('Acel Form Pag'!D:D,'Acel Form Pag'!A:A,A78,'Acel Form Pag'!B:B,B78,'Acel Form Pag'!C:C,E78)</f>
        <v>1.2</v>
      </c>
      <c r="P78" s="87">
        <f>IF(AND(F78="Gestor",E78="Sonia",H78="MRR"),SUMIFS(P:P,A:A,A78,B:B,B78,G:G,D78) + SUMIFS(P:P,A:A,A78,B:B,B78,G:G,"anderson.ortiz@altoqi.com.br"),
IF(AND(F78="Gestor",H78="MRR"),SUMIFS(P:P,A:A,A78,B:B,B78,G:G,D78),
SUMIFS(Negócios!L:L,Negócios!A:A,A78,Negócios!B:B,B78,Negócios!P:P,D78,Negócios!AG:AG,"CC 3x")))</f>
        <v>943.61</v>
      </c>
      <c r="Q78" s="10">
        <f t="shared" si="22"/>
        <v>4.9563617874648858E-2</v>
      </c>
      <c r="R78" s="30">
        <f>SUMIFS('Acel Form Pag'!E:E,'Acel Form Pag'!A:A,A78,'Acel Form Pag'!B:B,B78,'Acel Form Pag'!C:C,E78)</f>
        <v>1.1499999999999999</v>
      </c>
      <c r="S78" s="32">
        <f>IF(AND(F78="Gestor",E78="Sonia",H78="MRR"),SUMIFS(S:S,A:A,A78,B:B,B78,G:G,D78) + SUMIFS(S:S,A:A,A78,B:B,B78,G:G,"anderson.ortiz@altoqi.com.br"),
IF(AND(F78="Gestor",H78="MRR"),SUMIFS(S:S,A:A,A78,B:B,B78,G:G,D78),
SUMIFS(Negócios!L:L,Negócios!A:A,A78,Negócios!B:B,B78,Negócios!P:P,D78,Negócios!AG:AG,"CC 12x")))</f>
        <v>5268.66</v>
      </c>
      <c r="T78" s="10">
        <f t="shared" si="23"/>
        <v>0.27673917291195244</v>
      </c>
      <c r="U78" s="30">
        <f>SUMIFS('Acel Form Pag'!F:F,'Acel Form Pag'!A:A,A78,'Acel Form Pag'!B:B,B78,'Acel Form Pag'!C:C,E78)</f>
        <v>1.1000000000000001</v>
      </c>
      <c r="V78" s="32">
        <f>IF(AND(F78="Gestor",E78="Sonia",H78="MRR"),SUMIFS(V:V,A:A,A78,B:B,B78,G:G,D78) + SUMIFS(V:V,A:A,A78,B:B,B78,G:G,"anderson.ortiz@altoqi.com.br"),
IF(AND(F78="Gestor",H78="MRR"),SUMIFS(V:V,A:A,A78,B:B,B78,G:G,D78),
SUMIFS(Negócios!L:L,Negócios!A:A,A78,Negócios!B:B,B78,Negócios!P:P,D78,Negócios!AG:AG,"Recorrente")))</f>
        <v>9108.5600000000013</v>
      </c>
      <c r="W78" s="10">
        <f t="shared" si="24"/>
        <v>0.47843196577856495</v>
      </c>
      <c r="X78" s="34">
        <f>SUMIFS('Acel Form Pag'!G:G,'Acel Form Pag'!A:A,A78,'Acel Form Pag'!B:B,B78,'Acel Form Pag'!C:C,E78)</f>
        <v>1</v>
      </c>
      <c r="Y78" s="24">
        <f>MAX(_xlfn.MAXIFS(Parâmetros!O:O,Parâmetros!A:A,A78,Parâmetros!B:B,B78,Parâmetros!D:D,D78,Parâmetros!M:M,"&lt;="&amp;K78),_xlfn.MAXIFS(Parâmetros!L:L,Parâmetros!A:A,A78,Parâmetros!B:B,B78,Parâmetros!D:D,D78,Parâmetros!J:J,"&lt;="&amp;K78),_xlfn.MAXIFS(Parâmetros!I:I,Parâmetros!A:A,A78,Parâmetros!B:B,B78,Parâmetros!D:D,D78))</f>
        <v>8100</v>
      </c>
      <c r="Z78" s="9">
        <f>MAX(_xlfn.MAXIFS(Parâmetros!Q:Q,Parâmetros!A:A,A78,Parâmetros!B:B,B78,Parâmetros!D:D,D78,Parâmetros!E:E,E78,Parâmetros!P:P,"&lt;="&amp;K78),
_xlfn.MAXIFS(Parâmetros!S:S,Parâmetros!A:A,A78,Parâmetros!B:B,B78,Parâmetros!D:D,D78,Parâmetros!E:E,E78,Parâmetros!R:R,"&lt;="&amp;K78),
_xlfn.MAXIFS(Parâmetros!U:U,Parâmetros!A:A,A78,Parâmetros!B:B,B78,Parâmetros!D:D,D78,Parâmetros!E:E,E78,Parâmetros!T:T,"&lt;="&amp;K78),1) * IF(K78 &gt;= SUMIFS(Parâmetros!G:G,Parâmetros!A:A,A78,Parâmetros!B:B,B78,Parâmetros!D:D,D78,Parâmetros!E:E,E78),1,0)</f>
        <v>1.05</v>
      </c>
      <c r="AA78" s="16">
        <f>Y78*Z78*K78</f>
        <v>8512.3147828829788</v>
      </c>
      <c r="AB78" s="16">
        <f>(AA78*N78*O78) + (AA78*Q78*R78) + (AA78*T78*U78) + (AA78*W78*X78)</f>
        <v>9143.600889364945</v>
      </c>
      <c r="AC78" s="15">
        <f>IF(F78="Gestor",SUMIFS(AC:AC,A:A,A78,B:B,B78,G:G,D78),
IF(E78="Saving",SUMIFS(Negócios!I:I,Negócios!A:A,A78,Negócios!B:B,B78,Negócios!P:P,D78,Negócios!H:H,"Curso") +
SUMIFS(Negócios!I:I,Negócios!A:A,A78,Negócios!B:B,B78,Negócios!P:P,D78,Negócios!H:H,"Serviço") +
SUMIFS(Negócios!I:I,Negócios!A:A,A78,Negócios!B:B,B78,Negócios!P:P,D78,Negócios!H:H,"Implantação"),
SUMIFS(Negócios!I:I,Negócios!A:A,A78,Negócios!B:B,B78,Negócios!P:P,D78,Negócios!H:H,"Implantação")))</f>
        <v>0</v>
      </c>
      <c r="AD78" s="16">
        <f>SUMIFS(Parâmetros!W:W,Parâmetros!A:A,A78,Parâmetros!B:B,B78,Parâmetros!D:D,D78) * AC78 * IF(K78 &gt;= SUMIFS(Parâmetros!V:V,Parâmetros!A:A,A78,Parâmetros!B:B,B78,Parâmetros!D:D,D78),1,0)</f>
        <v>0</v>
      </c>
      <c r="AE78" s="15">
        <f>SUMIFS('Recuperação de Canc e Divs'!D:D,'Recuperação de Canc e Divs'!A:A,A78,'Recuperação de Canc e Divs'!B:B,B78,'Recuperação de Canc e Divs'!C:C,D78)</f>
        <v>3973.23</v>
      </c>
      <c r="AF78" s="16">
        <f>IF(K78&gt;=SUMIFS(Parâmetros!J:J,Parâmetros!A:A,A78,Parâmetros!B:B,B78,Parâmetros!D:D,D78),AE78*0.025,0)</f>
        <v>99.330750000000009</v>
      </c>
      <c r="AG78" s="15">
        <f t="shared" si="25"/>
        <v>61333.661209999991</v>
      </c>
      <c r="AH78" s="16">
        <f t="shared" si="26"/>
        <v>46700.69</v>
      </c>
      <c r="AI78" s="90">
        <f t="shared" si="27"/>
        <v>1.313335225025583</v>
      </c>
      <c r="AJ78" s="16">
        <f t="shared" si="28"/>
        <v>401430.54950979998</v>
      </c>
      <c r="AK78" s="16">
        <f t="shared" si="29"/>
        <v>296715.25</v>
      </c>
      <c r="AL78" s="90">
        <f t="shared" si="30"/>
        <v>1.3529151248875815</v>
      </c>
      <c r="AM78" s="93">
        <f>IF(AND(OR(B78=3,B78=6,B78=9,B78=12),AI78&gt;=1),
IF(F78="Gestor",AI78*0.6,AI78*0.3),"")</f>
        <v>0.39400056750767487</v>
      </c>
      <c r="AN78" s="94">
        <f>IF(OR(B78=3,B78=6,B78=9,B78=12),
IF(AND(AL78&gt;=1,AI78&gt;=SUMIFS(Parâmetros!G:G,Parâmetros!A:A,Comissões!A78,Parâmetros!B:B,Comissões!B78,Parâmetros!D:D,Comissões!D78,Parâmetros!E:E,Comissões!E78)),AI78*0.3,""),"")</f>
        <v>0.39400056750767487</v>
      </c>
    </row>
    <row r="79" spans="1:40" hidden="1">
      <c r="A79" s="7">
        <v>2026</v>
      </c>
      <c r="B79" s="7">
        <v>3</v>
      </c>
      <c r="C79" s="7" t="str">
        <v>Francyellen Batista</v>
      </c>
      <c r="D79" s="7" t="str">
        <v>francyellen@altoqi.com.br</v>
      </c>
      <c r="E79" s="7" t="str">
        <v>Saving</v>
      </c>
      <c r="F79" s="7" t="str">
        <v>Consultor</v>
      </c>
      <c r="G79" s="7" t="str">
        <v>beatriz@altoqi.com.br</v>
      </c>
      <c r="H79" s="7" t="str">
        <v>MRR</v>
      </c>
      <c r="I79" s="86">
        <f>IF(AND(F79="Consultor",H79="MRR"),SUMIFS(Negócios!L:L,Negócios!A:A,A79,Negócios!B:B,B79,Negócios!P:P,D79),
IF(AND(F79="Consultor",H79="Opps"),SUMIFS('Realizado GD'!D:D,'Realizado GD'!A:A,A79,'Realizado GD'!B:B,B79,'Realizado GD'!C:C,D79),
IF(AND(F79="Gestor",E79="Sonia",H79="MRR"),SUMIFS(I:I,A:A,A79,B:B,B79,G:G,D79) + SUMIFS(I:I,A:A,A79,B:B,B79,G:G,"anderson.ortiz@altoqi.com.br"),
IF(AND(F79="Gestor",H79="MRR"),SUMIFS(I:I,A:A,A79,B:B,B79,G:G,D79)))))</f>
        <v>11529.31</v>
      </c>
      <c r="J79" s="16">
        <f>SUMIFS(Metas!K:K,Metas!A:A,A79,Metas!B:B,B79,Metas!D:D,D79,Metas!H:H,H79)</f>
        <v>14619</v>
      </c>
      <c r="K79" s="10">
        <f t="shared" si="20"/>
        <v>0.78865243860729184</v>
      </c>
      <c r="L79" s="26" t="str" cm="1">
        <f t="array" ref="L79">_xlfn.LET(
 _xlpm.g,_xlfn.MAXIFS(Parâmetros!G:G,Parâmetros!A:A,A79,Parâmetros!B:B,B79,Parâmetros!D:D,D79,Parâmetros!E:E,E79),
 _xlpm.j,_xlfn.MAXIFS(Parâmetros!J:J,Parâmetros!A:A,A79,Parâmetros!B:B,B79,Parâmetros!D:D,D79,Parâmetros!E:E,E79),
 _xlpm.m,_xlfn.MAXIFS(Parâmetros!M:M,Parâmetros!A:A,A79,Parâmetros!B:B,B79,Parâmetros!D:D,D79,Parâmetros!E:E,E79),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60,00% | 75,00% | 100,00%</v>
      </c>
      <c r="M79" s="28">
        <f>IF(AND(F79="Gestor",E79="Sonia",H79="MRR"),SUMIFS(M:M,A:A,A79,B:B,B79,G:G,D79) + SUMIFS(M:M,A:A,A79,B:B,B79,G:G,"anderson.ortiz@altoqi.com.br"),
IF(AND(F79="Gestor",H79="MRR"),SUMIFS(M:M,A:A,A79,B:B,B79,G:G,D79),
SUMIFS(Negócios!L:L,Negócios!A:A,A79,Negócios!B:B,B79,Negócios!P:P,D79,Negócios!AG:AG,"À Vista")))</f>
        <v>1380.15</v>
      </c>
      <c r="N79" s="10">
        <f t="shared" si="21"/>
        <v>0.11970794436093748</v>
      </c>
      <c r="O79" s="30">
        <f>SUMIFS('Acel Form Pag'!D:D,'Acel Form Pag'!A:A,A79,'Acel Form Pag'!B:B,B79,'Acel Form Pag'!C:C,E79)</f>
        <v>1.2</v>
      </c>
      <c r="P79" s="87">
        <f>IF(AND(F79="Gestor",E79="Sonia",H79="MRR"),SUMIFS(P:P,A:A,A79,B:B,B79,G:G,D79) + SUMIFS(P:P,A:A,A79,B:B,B79,G:G,"anderson.ortiz@altoqi.com.br"),
IF(AND(F79="Gestor",H79="MRR"),SUMIFS(P:P,A:A,A79,B:B,B79,G:G,D79),
SUMIFS(Negócios!L:L,Negócios!A:A,A79,Negócios!B:B,B79,Negócios!P:P,D79,Negócios!AG:AG,"CC 3x")))</f>
        <v>0</v>
      </c>
      <c r="Q79" s="10">
        <f t="shared" si="22"/>
        <v>0</v>
      </c>
      <c r="R79" s="30">
        <f>SUMIFS('Acel Form Pag'!E:E,'Acel Form Pag'!A:A,A79,'Acel Form Pag'!B:B,B79,'Acel Form Pag'!C:C,E79)</f>
        <v>1.1499999999999999</v>
      </c>
      <c r="S79" s="32">
        <f>IF(AND(F79="Gestor",E79="Sonia",H79="MRR"),SUMIFS(S:S,A:A,A79,B:B,B79,G:G,D79) + SUMIFS(S:S,A:A,A79,B:B,B79,G:G,"anderson.ortiz@altoqi.com.br"),
IF(AND(F79="Gestor",H79="MRR"),SUMIFS(S:S,A:A,A79,B:B,B79,G:G,D79),
SUMIFS(Negócios!L:L,Negócios!A:A,A79,Negócios!B:B,B79,Negócios!P:P,D79,Negócios!AG:AG,"CC 12x")))</f>
        <v>5031.2199999999993</v>
      </c>
      <c r="T79" s="10">
        <f t="shared" si="23"/>
        <v>0.4363851782977472</v>
      </c>
      <c r="U79" s="30">
        <f>SUMIFS('Acel Form Pag'!F:F,'Acel Form Pag'!A:A,A79,'Acel Form Pag'!B:B,B79,'Acel Form Pag'!C:C,E79)</f>
        <v>1.1000000000000001</v>
      </c>
      <c r="V79" s="32">
        <f>IF(AND(F79="Gestor",E79="Sonia",H79="MRR"),SUMIFS(V:V,A:A,A79,B:B,B79,G:G,D79) + SUMIFS(V:V,A:A,A79,B:B,B79,G:G,"anderson.ortiz@altoqi.com.br"),
IF(AND(F79="Gestor",H79="MRR"),SUMIFS(V:V,A:A,A79,B:B,B79,G:G,D79),
SUMIFS(Negócios!L:L,Negócios!A:A,A79,Negócios!B:B,B79,Negócios!P:P,D79,Negócios!AG:AG,"Recorrente")))</f>
        <v>5117.9400000000005</v>
      </c>
      <c r="W79" s="10">
        <f t="shared" si="24"/>
        <v>0.4439068773413154</v>
      </c>
      <c r="X79" s="34">
        <f>SUMIFS('Acel Form Pag'!G:G,'Acel Form Pag'!A:A,A79,'Acel Form Pag'!B:B,B79,'Acel Form Pag'!C:C,E79)</f>
        <v>1</v>
      </c>
      <c r="Y79" s="24">
        <f>MAX(_xlfn.MAXIFS(Parâmetros!O:O,Parâmetros!A:A,A79,Parâmetros!B:B,B79,Parâmetros!D:D,D79,Parâmetros!M:M,"&lt;="&amp;K79),_xlfn.MAXIFS(Parâmetros!L:L,Parâmetros!A:A,A79,Parâmetros!B:B,B79,Parâmetros!D:D,D79,Parâmetros!J:J,"&lt;="&amp;K79),_xlfn.MAXIFS(Parâmetros!I:I,Parâmetros!A:A,A79,Parâmetros!B:B,B79,Parâmetros!D:D,D79))</f>
        <v>4320</v>
      </c>
      <c r="Z79" s="9">
        <f>MAX(_xlfn.MAXIFS(Parâmetros!Q:Q,Parâmetros!A:A,A79,Parâmetros!B:B,B79,Parâmetros!D:D,D79,Parâmetros!E:E,E79,Parâmetros!P:P,"&lt;="&amp;K79),
_xlfn.MAXIFS(Parâmetros!S:S,Parâmetros!A:A,A79,Parâmetros!B:B,B79,Parâmetros!D:D,D79,Parâmetros!E:E,E79,Parâmetros!R:R,"&lt;="&amp;K79),
_xlfn.MAXIFS(Parâmetros!U:U,Parâmetros!A:A,A79,Parâmetros!B:B,B79,Parâmetros!D:D,D79,Parâmetros!E:E,E79,Parâmetros!T:T,"&lt;="&amp;K79),1) * IF(K79 &gt;= SUMIFS(Parâmetros!G:G,Parâmetros!A:A,A79,Parâmetros!B:B,B79,Parâmetros!D:D,D79,Parâmetros!E:E,E79),1,0)</f>
        <v>1</v>
      </c>
      <c r="AA79" s="16">
        <f>Y79*Z79*K79</f>
        <v>3406.9785347835009</v>
      </c>
      <c r="AB79" s="16">
        <f>(AA79*N79*O79) + (AA79*Q79*R79) + (AA79*T79*U79) + (AA79*W79*X79)</f>
        <v>3637.2225076954646</v>
      </c>
      <c r="AC79" s="15">
        <f>IF(F79="Gestor",SUMIFS(AC:AC,A:A,A79,B:B,B79,G:G,D79),
IF(E79="Saving",SUMIFS(Negócios!I:I,Negócios!A:A,A79,Negócios!B:B,B79,Negócios!P:P,D79,Negócios!H:H,"Curso") +
SUMIFS(Negócios!I:I,Negócios!A:A,A79,Negócios!B:B,B79,Negócios!P:P,D79,Negócios!H:H,"Serviço") +
SUMIFS(Negócios!I:I,Negócios!A:A,A79,Negócios!B:B,B79,Negócios!P:P,D79,Negócios!H:H,"Implantação"),
SUMIFS(Negócios!I:I,Negócios!A:A,A79,Negócios!B:B,B79,Negócios!P:P,D79,Negócios!H:H,"Implantação")))</f>
        <v>0</v>
      </c>
      <c r="AD79" s="16">
        <f>SUMIFS(Parâmetros!W:W,Parâmetros!A:A,A79,Parâmetros!B:B,B79,Parâmetros!D:D,D79) * AC79 * IF(K79 &gt;= SUMIFS(Parâmetros!V:V,Parâmetros!A:A,A79,Parâmetros!B:B,B79,Parâmetros!D:D,D79),1,0)</f>
        <v>0</v>
      </c>
      <c r="AE79" s="15">
        <f>SUMIFS('Recuperação de Canc e Divs'!D:D,'Recuperação de Canc e Divs'!A:A,A79,'Recuperação de Canc e Divs'!B:B,B79,'Recuperação de Canc e Divs'!C:C,D79)</f>
        <v>2366.1</v>
      </c>
      <c r="AF79" s="16">
        <f>IF(K79&gt;=SUMIFS(Parâmetros!J:J,Parâmetros!A:A,A79,Parâmetros!B:B,B79,Parâmetros!D:D,D79),AE79*0.025,0)</f>
        <v>59.152500000000003</v>
      </c>
      <c r="AG79" s="15">
        <f t="shared" si="25"/>
        <v>50580.479999999996</v>
      </c>
      <c r="AH79" s="16">
        <f t="shared" si="26"/>
        <v>38195.65</v>
      </c>
      <c r="AI79" s="90">
        <f t="shared" si="27"/>
        <v>1.3242471328541336</v>
      </c>
      <c r="AJ79" s="16">
        <f t="shared" si="28"/>
        <v>401430.54950979998</v>
      </c>
      <c r="AK79" s="16">
        <f t="shared" si="29"/>
        <v>296715.25</v>
      </c>
      <c r="AL79" s="90">
        <f t="shared" si="30"/>
        <v>1.3529151248875815</v>
      </c>
      <c r="AM79" s="93">
        <f>IF(AND(OR(B79=3,B79=6,B79=9,B79=12),AI79&gt;=1),
IF(F79="Gestor",AI79*0.6,AI79*0.3),"")</f>
        <v>0.3972741398562401</v>
      </c>
      <c r="AN79" s="94">
        <f>IF(OR(B79=3,B79=6,B79=9,B79=12),
IF(AND(AL79&gt;=1,AI79&gt;=SUMIFS(Parâmetros!G:G,Parâmetros!A:A,Comissões!A79,Parâmetros!B:B,Comissões!B79,Parâmetros!D:D,Comissões!D79,Parâmetros!E:E,Comissões!E79)),AI79*0.3,""),"")</f>
        <v>0.3972741398562401</v>
      </c>
    </row>
    <row r="80" spans="1:40" hidden="1">
      <c r="A80" s="7">
        <v>2026</v>
      </c>
      <c r="B80" s="7">
        <v>3</v>
      </c>
      <c r="C80" s="7" t="str">
        <v>Jaqueline Correa</v>
      </c>
      <c r="D80" s="7" t="str">
        <v>jaqueline.correa@altoqi.com.br</v>
      </c>
      <c r="E80" s="7" t="str">
        <v>Saving</v>
      </c>
      <c r="F80" s="7" t="str">
        <v>Consultor</v>
      </c>
      <c r="G80" s="7" t="str">
        <v>beatriz@altoqi.com.br</v>
      </c>
      <c r="H80" s="7" t="str">
        <v>MRR</v>
      </c>
      <c r="I80" s="86">
        <f>IF(AND(F80="Consultor",H80="MRR"),SUMIFS(Negócios!L:L,Negócios!A:A,A80,Negócios!B:B,B80,Negócios!P:P,D80),
IF(AND(F80="Consultor",H80="Opps"),SUMIFS('Realizado GD'!D:D,'Realizado GD'!A:A,A80,'Realizado GD'!B:B,B80,'Realizado GD'!C:C,D80),
IF(AND(F80="Gestor",E80="Sonia",H80="MRR"),SUMIFS(I:I,A:A,A80,B:B,B80,G:G,D80) + SUMIFS(I:I,A:A,A80,B:B,B80,G:G,"anderson.ortiz@altoqi.com.br"),
IF(AND(F80="Gestor",H80="MRR"),SUMIFS(I:I,A:A,A80,B:B,B80,G:G,D80)))))</f>
        <v>14799.325000000001</v>
      </c>
      <c r="J80" s="16">
        <f>SUMIFS(Metas!K:K,Metas!A:A,A80,Metas!B:B,B80,Metas!D:D,D80,Metas!H:H,H80)</f>
        <v>14619</v>
      </c>
      <c r="K80" s="10">
        <f t="shared" si="20"/>
        <v>1.0123349750324919</v>
      </c>
      <c r="L80" s="26" t="str" cm="1">
        <f t="array" ref="L80">_xlfn.LET(
 _xlpm.g,_xlfn.MAXIFS(Parâmetros!G:G,Parâmetros!A:A,A80,Parâmetros!B:B,B80,Parâmetros!D:D,D80,Parâmetros!E:E,E80),
 _xlpm.j,_xlfn.MAXIFS(Parâmetros!J:J,Parâmetros!A:A,A80,Parâmetros!B:B,B80,Parâmetros!D:D,D80,Parâmetros!E:E,E80),
 _xlpm.m,_xlfn.MAXIFS(Parâmetros!M:M,Parâmetros!A:A,A80,Parâmetros!B:B,B80,Parâmetros!D:D,D80,Parâmetros!E:E,E80),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60,00% | 75,00% | 100,00%</v>
      </c>
      <c r="M80" s="28">
        <f>IF(AND(F80="Gestor",E80="Sonia",H80="MRR"),SUMIFS(M:M,A:A,A80,B:B,B80,G:G,D80) + SUMIFS(M:M,A:A,A80,B:B,B80,G:G,"anderson.ortiz@altoqi.com.br"),
IF(AND(F80="Gestor",H80="MRR"),SUMIFS(M:M,A:A,A80,B:B,B80,G:G,D80),
SUMIFS(Negócios!L:L,Negócios!A:A,A80,Negócios!B:B,B80,Negócios!P:P,D80,Negócios!AG:AG,"À Vista")))</f>
        <v>2142.46</v>
      </c>
      <c r="N80" s="10">
        <f t="shared" si="21"/>
        <v>0.14476741337865071</v>
      </c>
      <c r="O80" s="30">
        <f>SUMIFS('Acel Form Pag'!D:D,'Acel Form Pag'!A:A,A80,'Acel Form Pag'!B:B,B80,'Acel Form Pag'!C:C,E80)</f>
        <v>1.2</v>
      </c>
      <c r="P80" s="87">
        <f>IF(AND(F80="Gestor",E80="Sonia",H80="MRR"),SUMIFS(P:P,A:A,A80,B:B,B80,G:G,D80) + SUMIFS(P:P,A:A,A80,B:B,B80,G:G,"anderson.ortiz@altoqi.com.br"),
IF(AND(F80="Gestor",H80="MRR"),SUMIFS(P:P,A:A,A80,B:B,B80,G:G,D80),
SUMIFS(Negócios!L:L,Negócios!A:A,A80,Negócios!B:B,B80,Negócios!P:P,D80,Negócios!AG:AG,"CC 3x")))</f>
        <v>0</v>
      </c>
      <c r="Q80" s="10">
        <f t="shared" si="22"/>
        <v>0</v>
      </c>
      <c r="R80" s="30">
        <f>SUMIFS('Acel Form Pag'!E:E,'Acel Form Pag'!A:A,A80,'Acel Form Pag'!B:B,B80,'Acel Form Pag'!C:C,E80)</f>
        <v>1.1499999999999999</v>
      </c>
      <c r="S80" s="32">
        <f>IF(AND(F80="Gestor",E80="Sonia",H80="MRR"),SUMIFS(S:S,A:A,A80,B:B,B80,G:G,D80) + SUMIFS(S:S,A:A,A80,B:B,B80,G:G,"anderson.ortiz@altoqi.com.br"),
IF(AND(F80="Gestor",H80="MRR"),SUMIFS(S:S,A:A,A80,B:B,B80,G:G,D80),
SUMIFS(Negócios!L:L,Negócios!A:A,A80,Negócios!B:B,B80,Negócios!P:P,D80,Negócios!AG:AG,"CC 12x")))</f>
        <v>7024.67</v>
      </c>
      <c r="T80" s="10">
        <f t="shared" si="23"/>
        <v>0.47466151327847722</v>
      </c>
      <c r="U80" s="30">
        <f>SUMIFS('Acel Form Pag'!F:F,'Acel Form Pag'!A:A,A80,'Acel Form Pag'!B:B,B80,'Acel Form Pag'!C:C,E80)</f>
        <v>1.1000000000000001</v>
      </c>
      <c r="V80" s="32">
        <f>IF(AND(F80="Gestor",E80="Sonia",H80="MRR"),SUMIFS(V:V,A:A,A80,B:B,B80,G:G,D80) + SUMIFS(V:V,A:A,A80,B:B,B80,G:G,"anderson.ortiz@altoqi.com.br"),
IF(AND(F80="Gestor",H80="MRR"),SUMIFS(V:V,A:A,A80,B:B,B80,G:G,D80),
SUMIFS(Negócios!L:L,Negócios!A:A,A80,Negócios!B:B,B80,Negócios!P:P,D80,Negócios!AG:AG,"Recorrente")))</f>
        <v>5632.1949999999997</v>
      </c>
      <c r="W80" s="10">
        <f t="shared" si="24"/>
        <v>0.38057107334287205</v>
      </c>
      <c r="X80" s="34">
        <f>SUMIFS('Acel Form Pag'!G:G,'Acel Form Pag'!A:A,A80,'Acel Form Pag'!B:B,B80,'Acel Form Pag'!C:C,E80)</f>
        <v>1</v>
      </c>
      <c r="Y80" s="24">
        <f>MAX(_xlfn.MAXIFS(Parâmetros!O:O,Parâmetros!A:A,A80,Parâmetros!B:B,B80,Parâmetros!D:D,D80,Parâmetros!M:M,"&lt;="&amp;K80),_xlfn.MAXIFS(Parâmetros!L:L,Parâmetros!A:A,A80,Parâmetros!B:B,B80,Parâmetros!D:D,D80,Parâmetros!J:J,"&lt;="&amp;K80),_xlfn.MAXIFS(Parâmetros!I:I,Parâmetros!A:A,A80,Parâmetros!B:B,B80,Parâmetros!D:D,D80))</f>
        <v>5400</v>
      </c>
      <c r="Z80" s="9">
        <f>MAX(_xlfn.MAXIFS(Parâmetros!Q:Q,Parâmetros!A:A,A80,Parâmetros!B:B,B80,Parâmetros!D:D,D80,Parâmetros!E:E,E80,Parâmetros!P:P,"&lt;="&amp;K80),
_xlfn.MAXIFS(Parâmetros!S:S,Parâmetros!A:A,A80,Parâmetros!B:B,B80,Parâmetros!D:D,D80,Parâmetros!E:E,E80,Parâmetros!R:R,"&lt;="&amp;K80),
_xlfn.MAXIFS(Parâmetros!U:U,Parâmetros!A:A,A80,Parâmetros!B:B,B80,Parâmetros!D:D,D80,Parâmetros!E:E,E80,Parâmetros!T:T,"&lt;="&amp;K80),1) * IF(K80 &gt;= SUMIFS(Parâmetros!G:G,Parâmetros!A:A,A80,Parâmetros!B:B,B80,Parâmetros!D:D,D80,Parâmetros!E:E,E80),1,0)</f>
        <v>1.05</v>
      </c>
      <c r="AA80" s="16">
        <f>Y80*Z80*K80</f>
        <v>5739.9393084342291</v>
      </c>
      <c r="AB80" s="16">
        <f>(AA80*N80*O80) + (AA80*Q80*R80) + (AA80*T80*U80) + (AA80*W80*X80)</f>
        <v>6178.5833695875226</v>
      </c>
      <c r="AC80" s="15">
        <f>IF(F80="Gestor",SUMIFS(AC:AC,A:A,A80,B:B,B80,G:G,D80),
IF(E80="Saving",SUMIFS(Negócios!I:I,Negócios!A:A,A80,Negócios!B:B,B80,Negócios!P:P,D80,Negócios!H:H,"Curso") +
SUMIFS(Negócios!I:I,Negócios!A:A,A80,Negócios!B:B,B80,Negócios!P:P,D80,Negócios!H:H,"Serviço") +
SUMIFS(Negócios!I:I,Negócios!A:A,A80,Negócios!B:B,B80,Negócios!P:P,D80,Negócios!H:H,"Implantação"),
SUMIFS(Negócios!I:I,Negócios!A:A,A80,Negócios!B:B,B80,Negócios!P:P,D80,Negócios!H:H,"Implantação")))</f>
        <v>0</v>
      </c>
      <c r="AD80" s="16">
        <f>SUMIFS(Parâmetros!W:W,Parâmetros!A:A,A80,Parâmetros!B:B,B80,Parâmetros!D:D,D80) * AC80 * IF(K80 &gt;= SUMIFS(Parâmetros!V:V,Parâmetros!A:A,A80,Parâmetros!B:B,B80,Parâmetros!D:D,D80),1,0)</f>
        <v>0</v>
      </c>
      <c r="AE80" s="15">
        <f>SUMIFS('Recuperação de Canc e Divs'!D:D,'Recuperação de Canc e Divs'!A:A,A80,'Recuperação de Canc e Divs'!B:B,B80,'Recuperação de Canc e Divs'!C:C,D80)</f>
        <v>14254.1</v>
      </c>
      <c r="AF80" s="16">
        <f>IF(K80&gt;=SUMIFS(Parâmetros!J:J,Parâmetros!A:A,A80,Parâmetros!B:B,B80,Parâmetros!D:D,D80),AE80*0.025,0)</f>
        <v>356.35250000000002</v>
      </c>
      <c r="AG80" s="15">
        <f t="shared" si="25"/>
        <v>56818.04329999999</v>
      </c>
      <c r="AH80" s="16">
        <f t="shared" si="26"/>
        <v>40165.64</v>
      </c>
      <c r="AI80" s="90">
        <f t="shared" si="27"/>
        <v>1.4145932518441133</v>
      </c>
      <c r="AJ80" s="16">
        <f t="shared" si="28"/>
        <v>401430.54950979998</v>
      </c>
      <c r="AK80" s="16">
        <f t="shared" si="29"/>
        <v>296715.25</v>
      </c>
      <c r="AL80" s="90">
        <f t="shared" si="30"/>
        <v>1.3529151248875815</v>
      </c>
      <c r="AM80" s="93">
        <f>IF(AND(OR(B80=3,B80=6,B80=9,B80=12),AI80&gt;=1),
IF(F80="Gestor",AI80*0.6,AI80*0.3),"")</f>
        <v>0.42437797555323398</v>
      </c>
      <c r="AN80" s="94">
        <f>IF(OR(B80=3,B80=6,B80=9,B80=12),
IF(AND(AL80&gt;=1,AI80&gt;=SUMIFS(Parâmetros!G:G,Parâmetros!A:A,Comissões!A80,Parâmetros!B:B,Comissões!B80,Parâmetros!D:D,Comissões!D80,Parâmetros!E:E,Comissões!E80)),AI80*0.3,""),"")</f>
        <v>0.42437797555323398</v>
      </c>
    </row>
    <row r="81" spans="1:42" hidden="1">
      <c r="A81" s="7">
        <v>2026</v>
      </c>
      <c r="B81" s="7">
        <v>3</v>
      </c>
      <c r="C81" s="7" t="str">
        <v>Marcela Accacio</v>
      </c>
      <c r="D81" s="7" t="str">
        <v>marcela@altoqi.com.br</v>
      </c>
      <c r="E81" s="7" t="str">
        <v>Saving</v>
      </c>
      <c r="F81" s="7" t="str">
        <v>Consultor</v>
      </c>
      <c r="G81" s="7" t="str">
        <v>beatriz@altoqi.com.br</v>
      </c>
      <c r="H81" s="7" t="str">
        <v>MRR</v>
      </c>
      <c r="I81" s="86">
        <f>IF(AND(F81="Consultor",H81="MRR"),SUMIFS(Negócios!L:L,Negócios!A:A,A81,Negócios!B:B,B81,Negócios!P:P,D81),
IF(AND(F81="Consultor",H81="Opps"),SUMIFS('Realizado GD'!D:D,'Realizado GD'!A:A,A81,'Realizado GD'!B:B,B81,'Realizado GD'!C:C,D81),
IF(AND(F81="Gestor",E81="Sonia",H81="MRR"),SUMIFS(I:I,A:A,A81,B:B,B81,G:G,D81) + SUMIFS(I:I,A:A,A81,B:B,B81,G:G,"anderson.ortiz@altoqi.com.br"),
IF(AND(F81="Gestor",H81="MRR"),SUMIFS(I:I,A:A,A81,B:B,B81,G:G,D81)))))</f>
        <v>21710.0799998</v>
      </c>
      <c r="J81" s="16">
        <f>SUMIFS(Metas!K:K,Metas!A:A,A81,Metas!B:B,B81,Metas!D:D,D81,Metas!H:H,H81)</f>
        <v>19022</v>
      </c>
      <c r="K81" s="10">
        <f t="shared" si="20"/>
        <v>1.1413142676795289</v>
      </c>
      <c r="L81" s="26" t="str" cm="1">
        <f t="array" ref="L81">_xlfn.LET(
 _xlpm.g,_xlfn.MAXIFS(Parâmetros!G:G,Parâmetros!A:A,A81,Parâmetros!B:B,B81,Parâmetros!D:D,D81,Parâmetros!E:E,E81),
 _xlpm.j,_xlfn.MAXIFS(Parâmetros!J:J,Parâmetros!A:A,A81,Parâmetros!B:B,B81,Parâmetros!D:D,D81,Parâmetros!E:E,E81),
 _xlpm.m,_xlfn.MAXIFS(Parâmetros!M:M,Parâmetros!A:A,A81,Parâmetros!B:B,B81,Parâmetros!D:D,D81,Parâmetros!E:E,E81),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60,00% | 75,00% | 100,00%</v>
      </c>
      <c r="M81" s="28">
        <f>IF(AND(F81="Gestor",E81="Sonia",H81="MRR"),SUMIFS(M:M,A:A,A81,B:B,B81,G:G,D81) + SUMIFS(M:M,A:A,A81,B:B,B81,G:G,"anderson.ortiz@altoqi.com.br"),
IF(AND(F81="Gestor",H81="MRR"),SUMIFS(M:M,A:A,A81,B:B,B81,G:G,D81),
SUMIFS(Negócios!L:L,Negócios!A:A,A81,Negócios!B:B,B81,Negócios!P:P,D81,Negócios!AG:AG,"À Vista")))</f>
        <v>4179.2199999999993</v>
      </c>
      <c r="N81" s="10">
        <f t="shared" si="21"/>
        <v>0.19250136342374138</v>
      </c>
      <c r="O81" s="30">
        <f>SUMIFS('Acel Form Pag'!D:D,'Acel Form Pag'!A:A,A81,'Acel Form Pag'!B:B,B81,'Acel Form Pag'!C:C,E81)</f>
        <v>1.2</v>
      </c>
      <c r="P81" s="87">
        <f>IF(AND(F81="Gestor",E81="Sonia",H81="MRR"),SUMIFS(P:P,A:A,A81,B:B,B81,G:G,D81) + SUMIFS(P:P,A:A,A81,B:B,B81,G:G,"anderson.ortiz@altoqi.com.br"),
IF(AND(F81="Gestor",H81="MRR"),SUMIFS(P:P,A:A,A81,B:B,B81,G:G,D81),
SUMIFS(Negócios!L:L,Negócios!A:A,A81,Negócios!B:B,B81,Negócios!P:P,D81,Negócios!AG:AG,"CC 3x")))</f>
        <v>173.04</v>
      </c>
      <c r="Q81" s="10">
        <f t="shared" si="22"/>
        <v>7.9704911267758603E-3</v>
      </c>
      <c r="R81" s="30">
        <f>SUMIFS('Acel Form Pag'!E:E,'Acel Form Pag'!A:A,A81,'Acel Form Pag'!B:B,B81,'Acel Form Pag'!C:C,E81)</f>
        <v>1.1499999999999999</v>
      </c>
      <c r="S81" s="32">
        <f>IF(AND(F81="Gestor",E81="Sonia",H81="MRR"),SUMIFS(S:S,A:A,A81,B:B,B81,G:G,D81) + SUMIFS(S:S,A:A,A81,B:B,B81,G:G,"anderson.ortiz@altoqi.com.br"),
IF(AND(F81="Gestor",H81="MRR"),SUMIFS(S:S,A:A,A81,B:B,B81,G:G,D81),
SUMIFS(Negócios!L:L,Negócios!A:A,A81,Negócios!B:B,B81,Negócios!P:P,D81,Negócios!AG:AG,"CC 12x")))</f>
        <v>7191.989999899999</v>
      </c>
      <c r="T81" s="10">
        <f t="shared" si="23"/>
        <v>0.33127422837531018</v>
      </c>
      <c r="U81" s="30">
        <f>SUMIFS('Acel Form Pag'!F:F,'Acel Form Pag'!A:A,A81,'Acel Form Pag'!B:B,B81,'Acel Form Pag'!C:C,E81)</f>
        <v>1.1000000000000001</v>
      </c>
      <c r="V81" s="32">
        <f>IF(AND(F81="Gestor",E81="Sonia",H81="MRR"),SUMIFS(V:V,A:A,A81,B:B,B81,G:G,D81) + SUMIFS(V:V,A:A,A81,B:B,B81,G:G,"anderson.ortiz@altoqi.com.br"),
IF(AND(F81="Gestor",H81="MRR"),SUMIFS(V:V,A:A,A81,B:B,B81,G:G,D81),
SUMIFS(Negócios!L:L,Negócios!A:A,A81,Negócios!B:B,B81,Negócios!P:P,D81,Negócios!AG:AG,"Recorrente")))</f>
        <v>10165.829999899999</v>
      </c>
      <c r="W81" s="10">
        <f t="shared" si="24"/>
        <v>0.46825391707417247</v>
      </c>
      <c r="X81" s="34">
        <f>SUMIFS('Acel Form Pag'!G:G,'Acel Form Pag'!A:A,A81,'Acel Form Pag'!B:B,B81,'Acel Form Pag'!C:C,E81)</f>
        <v>1</v>
      </c>
      <c r="Y81" s="24">
        <f>MAX(_xlfn.MAXIFS(Parâmetros!O:O,Parâmetros!A:A,A81,Parâmetros!B:B,B81,Parâmetros!D:D,D81,Parâmetros!M:M,"&lt;="&amp;K81),_xlfn.MAXIFS(Parâmetros!L:L,Parâmetros!A:A,A81,Parâmetros!B:B,B81,Parâmetros!D:D,D81,Parâmetros!J:J,"&lt;="&amp;K81),_xlfn.MAXIFS(Parâmetros!I:I,Parâmetros!A:A,A81,Parâmetros!B:B,B81,Parâmetros!D:D,D81))</f>
        <v>8100</v>
      </c>
      <c r="Z81" s="9">
        <f>MAX(_xlfn.MAXIFS(Parâmetros!Q:Q,Parâmetros!A:A,A81,Parâmetros!B:B,B81,Parâmetros!D:D,D81,Parâmetros!E:E,E81,Parâmetros!P:P,"&lt;="&amp;K81),
_xlfn.MAXIFS(Parâmetros!S:S,Parâmetros!A:A,A81,Parâmetros!B:B,B81,Parâmetros!D:D,D81,Parâmetros!E:E,E81,Parâmetros!R:R,"&lt;="&amp;K81),
_xlfn.MAXIFS(Parâmetros!U:U,Parâmetros!A:A,A81,Parâmetros!B:B,B81,Parâmetros!D:D,D81,Parâmetros!E:E,E81,Parâmetros!T:T,"&lt;="&amp;K81),1) * IF(K81 &gt;= SUMIFS(Parâmetros!G:G,Parâmetros!A:A,A81,Parâmetros!B:B,B81,Parâmetros!D:D,D81,Parâmetros!E:E,E81),1,0)</f>
        <v>1.1000000000000001</v>
      </c>
      <c r="AA81" s="16">
        <f>Y81*Z81*K81</f>
        <v>10169.110125024603</v>
      </c>
      <c r="AB81" s="16">
        <f>(AA81*N81*O81) + (AA81*Q81*R81) + (AA81*T81*U81) + (AA81*W81*X81)</f>
        <v>10909.657969095198</v>
      </c>
      <c r="AC81" s="15">
        <f>IF(F81="Gestor",SUMIFS(AC:AC,A:A,A81,B:B,B81,G:G,D81),
IF(E81="Saving",SUMIFS(Negócios!I:I,Negócios!A:A,A81,Negócios!B:B,B81,Negócios!P:P,D81,Negócios!H:H,"Curso") +
SUMIFS(Negócios!I:I,Negócios!A:A,A81,Negócios!B:B,B81,Negócios!P:P,D81,Negócios!H:H,"Serviço") +
SUMIFS(Negócios!I:I,Negócios!A:A,A81,Negócios!B:B,B81,Negócios!P:P,D81,Negócios!H:H,"Implantação"),
SUMIFS(Negócios!I:I,Negócios!A:A,A81,Negócios!B:B,B81,Negócios!P:P,D81,Negócios!H:H,"Implantação")))</f>
        <v>0</v>
      </c>
      <c r="AD81" s="16">
        <f>SUMIFS(Parâmetros!W:W,Parâmetros!A:A,A81,Parâmetros!B:B,B81,Parâmetros!D:D,D81) * AC81 * IF(K81 &gt;= SUMIFS(Parâmetros!V:V,Parâmetros!A:A,A81,Parâmetros!B:B,B81,Parâmetros!D:D,D81),1,0)</f>
        <v>0</v>
      </c>
      <c r="AE81" s="15">
        <f>SUMIFS('Recuperação de Canc e Divs'!D:D,'Recuperação de Canc e Divs'!A:A,A81,'Recuperação de Canc e Divs'!B:B,B81,'Recuperação de Canc e Divs'!C:C,D81)</f>
        <v>19952.52</v>
      </c>
      <c r="AF81" s="16">
        <f>IF(K81&gt;=SUMIFS(Parâmetros!J:J,Parâmetros!A:A,A81,Parâmetros!B:B,B81,Parâmetros!D:D,D81),AE81*0.025,0)</f>
        <v>498.81300000000005</v>
      </c>
      <c r="AG81" s="15">
        <f t="shared" si="25"/>
        <v>64445.559999799996</v>
      </c>
      <c r="AH81" s="16">
        <f t="shared" si="26"/>
        <v>46738.33</v>
      </c>
      <c r="AI81" s="90">
        <f t="shared" si="27"/>
        <v>1.3788588509645081</v>
      </c>
      <c r="AJ81" s="16">
        <f t="shared" si="28"/>
        <v>401430.54950979998</v>
      </c>
      <c r="AK81" s="16">
        <f t="shared" si="29"/>
        <v>296715.25</v>
      </c>
      <c r="AL81" s="90">
        <f t="shared" si="30"/>
        <v>1.3529151248875815</v>
      </c>
      <c r="AM81" s="93">
        <f>IF(AND(OR(B81=3,B81=6,B81=9,B81=12),AI81&gt;=1),
IF(F81="Gestor",AI81*0.6,AI81*0.3),"")</f>
        <v>0.41365765528935244</v>
      </c>
      <c r="AN81" s="94">
        <f>IF(OR(B81=3,B81=6,B81=9,B81=12),
IF(AND(AL81&gt;=1,AI81&gt;=SUMIFS(Parâmetros!G:G,Parâmetros!A:A,Comissões!A81,Parâmetros!B:B,Comissões!B81,Parâmetros!D:D,Comissões!D81,Parâmetros!E:E,Comissões!E81)),AI81*0.3,""),"")</f>
        <v>0.41365765528935244</v>
      </c>
    </row>
    <row r="82" spans="1:42" hidden="1">
      <c r="A82" s="7">
        <v>2026</v>
      </c>
      <c r="B82" s="7">
        <v>3</v>
      </c>
      <c r="C82" s="7" t="str">
        <v>Rosana Machado</v>
      </c>
      <c r="D82" s="7" t="str">
        <v>rosana@altoqi.com.br</v>
      </c>
      <c r="E82" s="7" t="str">
        <v>Saving</v>
      </c>
      <c r="F82" s="7" t="str">
        <v>Consultor</v>
      </c>
      <c r="G82" s="7" t="str">
        <v>beatriz@altoqi.com.br</v>
      </c>
      <c r="H82" s="7" t="str">
        <v>MRR</v>
      </c>
      <c r="I82" s="86">
        <f>IF(AND(F82="Consultor",H82="MRR"),SUMIFS(Negócios!L:L,Negócios!A:A,A82,Negócios!B:B,B82,Negócios!P:P,D82),
IF(AND(F82="Consultor",H82="Opps"),SUMIFS('Realizado GD'!D:D,'Realizado GD'!A:A,A82,'Realizado GD'!B:B,B82,'Realizado GD'!C:C,D82),
IF(AND(F82="Gestor",E82="Sonia",H82="MRR"),SUMIFS(I:I,A:A,A82,B:B,B82,G:G,D82) + SUMIFS(I:I,A:A,A82,B:B,B82,G:G,"anderson.ortiz@altoqi.com.br"),
IF(AND(F82="Gestor",H82="MRR"),SUMIFS(I:I,A:A,A82,B:B,B82,G:G,D82)))))</f>
        <v>14995.66</v>
      </c>
      <c r="J82" s="16">
        <f>SUMIFS(Metas!K:K,Metas!A:A,A82,Metas!B:B,B82,Metas!D:D,D82,Metas!H:H,H82)</f>
        <v>14619</v>
      </c>
      <c r="K82" s="10">
        <f t="shared" si="20"/>
        <v>1.0257651002120527</v>
      </c>
      <c r="L82" s="26" t="str" cm="1">
        <f t="array" ref="L82">_xlfn.LET(
 _xlpm.g,_xlfn.MAXIFS(Parâmetros!G:G,Parâmetros!A:A,A82,Parâmetros!B:B,B82,Parâmetros!D:D,D82,Parâmetros!E:E,E82),
 _xlpm.j,_xlfn.MAXIFS(Parâmetros!J:J,Parâmetros!A:A,A82,Parâmetros!B:B,B82,Parâmetros!D:D,D82,Parâmetros!E:E,E82),
 _xlpm.m,_xlfn.MAXIFS(Parâmetros!M:M,Parâmetros!A:A,A82,Parâmetros!B:B,B82,Parâmetros!D:D,D82,Parâmetros!E:E,E82),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60,00% | 75,00% | 100,00%</v>
      </c>
      <c r="M82" s="28">
        <f>IF(AND(F82="Gestor",E82="Sonia",H82="MRR"),SUMIFS(M:M,A:A,A82,B:B,B82,G:G,D82) + SUMIFS(M:M,A:A,A82,B:B,B82,G:G,"anderson.ortiz@altoqi.com.br"),
IF(AND(F82="Gestor",H82="MRR"),SUMIFS(M:M,A:A,A82,B:B,B82,G:G,D82),
SUMIFS(Negócios!L:L,Negócios!A:A,A82,Negócios!B:B,B82,Negócios!P:P,D82,Negócios!AG:AG,"À Vista")))</f>
        <v>2139.8200000000002</v>
      </c>
      <c r="N82" s="10">
        <f t="shared" si="21"/>
        <v>0.14269595336250623</v>
      </c>
      <c r="O82" s="30">
        <f>SUMIFS('Acel Form Pag'!D:D,'Acel Form Pag'!A:A,A82,'Acel Form Pag'!B:B,B82,'Acel Form Pag'!C:C,E82)</f>
        <v>1.2</v>
      </c>
      <c r="P82" s="87">
        <f>IF(AND(F82="Gestor",E82="Sonia",H82="MRR"),SUMIFS(P:P,A:A,A82,B:B,B82,G:G,D82) + SUMIFS(P:P,A:A,A82,B:B,B82,G:G,"anderson.ortiz@altoqi.com.br"),
IF(AND(F82="Gestor",H82="MRR"),SUMIFS(P:P,A:A,A82,B:B,B82,G:G,D82),
SUMIFS(Negócios!L:L,Negócios!A:A,A82,Negócios!B:B,B82,Negócios!P:P,D82,Negócios!AG:AG,"CC 3x")))</f>
        <v>0</v>
      </c>
      <c r="Q82" s="10">
        <f t="shared" si="22"/>
        <v>0</v>
      </c>
      <c r="R82" s="30">
        <f>SUMIFS('Acel Form Pag'!E:E,'Acel Form Pag'!A:A,A82,'Acel Form Pag'!B:B,B82,'Acel Form Pag'!C:C,E82)</f>
        <v>1.1499999999999999</v>
      </c>
      <c r="S82" s="32">
        <f>IF(AND(F82="Gestor",E82="Sonia",H82="MRR"),SUMIFS(S:S,A:A,A82,B:B,B82,G:G,D82) + SUMIFS(S:S,A:A,A82,B:B,B82,G:G,"anderson.ortiz@altoqi.com.br"),
IF(AND(F82="Gestor",H82="MRR"),SUMIFS(S:S,A:A,A82,B:B,B82,G:G,D82),
SUMIFS(Negócios!L:L,Negócios!A:A,A82,Negócios!B:B,B82,Negócios!P:P,D82,Negócios!AG:AG,"CC 12x")))</f>
        <v>6095.12</v>
      </c>
      <c r="T82" s="10">
        <f t="shared" si="23"/>
        <v>0.4064589354519908</v>
      </c>
      <c r="U82" s="30">
        <f>SUMIFS('Acel Form Pag'!F:F,'Acel Form Pag'!A:A,A82,'Acel Form Pag'!B:B,B82,'Acel Form Pag'!C:C,E82)</f>
        <v>1.1000000000000001</v>
      </c>
      <c r="V82" s="32">
        <f>IF(AND(F82="Gestor",E82="Sonia",H82="MRR"),SUMIFS(V:V,A:A,A82,B:B,B82,G:G,D82) + SUMIFS(V:V,A:A,A82,B:B,B82,G:G,"anderson.ortiz@altoqi.com.br"),
IF(AND(F82="Gestor",H82="MRR"),SUMIFS(V:V,A:A,A82,B:B,B82,G:G,D82),
SUMIFS(Negócios!L:L,Negócios!A:A,A82,Negócios!B:B,B82,Negócios!P:P,D82,Negócios!AG:AG,"Recorrente")))</f>
        <v>6760.72</v>
      </c>
      <c r="W82" s="10">
        <f t="shared" si="24"/>
        <v>0.45084511118550302</v>
      </c>
      <c r="X82" s="34">
        <f>SUMIFS('Acel Form Pag'!G:G,'Acel Form Pag'!A:A,A82,'Acel Form Pag'!B:B,B82,'Acel Form Pag'!C:C,E82)</f>
        <v>1</v>
      </c>
      <c r="Y82" s="24">
        <f>MAX(_xlfn.MAXIFS(Parâmetros!O:O,Parâmetros!A:A,A82,Parâmetros!B:B,B82,Parâmetros!D:D,D82,Parâmetros!M:M,"&lt;="&amp;K82),_xlfn.MAXIFS(Parâmetros!L:L,Parâmetros!A:A,A82,Parâmetros!B:B,B82,Parâmetros!D:D,D82,Parâmetros!J:J,"&lt;="&amp;K82),_xlfn.MAXIFS(Parâmetros!I:I,Parâmetros!A:A,A82,Parâmetros!B:B,B82,Parâmetros!D:D,D82))</f>
        <v>5400</v>
      </c>
      <c r="Z82" s="9">
        <f>MAX(_xlfn.MAXIFS(Parâmetros!Q:Q,Parâmetros!A:A,A82,Parâmetros!B:B,B82,Parâmetros!D:D,D82,Parâmetros!E:E,E82,Parâmetros!P:P,"&lt;="&amp;K82),
_xlfn.MAXIFS(Parâmetros!S:S,Parâmetros!A:A,A82,Parâmetros!B:B,B82,Parâmetros!D:D,D82,Parâmetros!E:E,E82,Parâmetros!R:R,"&lt;="&amp;K82),
_xlfn.MAXIFS(Parâmetros!U:U,Parâmetros!A:A,A82,Parâmetros!B:B,B82,Parâmetros!D:D,D82,Parâmetros!E:E,E82,Parâmetros!T:T,"&lt;="&amp;K82),1) * IF(K82 &gt;= SUMIFS(Parâmetros!G:G,Parâmetros!A:A,A82,Parâmetros!B:B,B82,Parâmetros!D:D,D82,Parâmetros!E:E,E82),1,0)</f>
        <v>1.05</v>
      </c>
      <c r="AA82" s="16">
        <f>Y82*Z82*K82</f>
        <v>5816.0881182023386</v>
      </c>
      <c r="AB82" s="16">
        <f>(AA82*N82*O82) + (AA82*Q82*R82) + (AA82*T82*U82) + (AA82*W82*X82)</f>
        <v>6218.4746644777342</v>
      </c>
      <c r="AC82" s="15">
        <f>IF(F82="Gestor",SUMIFS(AC:AC,A:A,A82,B:B,B82,G:G,D82),
IF(E82="Saving",SUMIFS(Negócios!I:I,Negócios!A:A,A82,Negócios!B:B,B82,Negócios!P:P,D82,Negócios!H:H,"Curso") +
SUMIFS(Negócios!I:I,Negócios!A:A,A82,Negócios!B:B,B82,Negócios!P:P,D82,Negócios!H:H,"Serviço") +
SUMIFS(Negócios!I:I,Negócios!A:A,A82,Negócios!B:B,B82,Negócios!P:P,D82,Negócios!H:H,"Implantação"),
SUMIFS(Negócios!I:I,Negócios!A:A,A82,Negócios!B:B,B82,Negócios!P:P,D82,Negócios!H:H,"Implantação")))</f>
        <v>0</v>
      </c>
      <c r="AD82" s="16">
        <f>SUMIFS(Parâmetros!W:W,Parâmetros!A:A,A82,Parâmetros!B:B,B82,Parâmetros!D:D,D82) * AC82 * IF(K82 &gt;= SUMIFS(Parâmetros!V:V,Parâmetros!A:A,A82,Parâmetros!B:B,B82,Parâmetros!D:D,D82),1,0)</f>
        <v>0</v>
      </c>
      <c r="AE82" s="15">
        <f>SUMIFS('Recuperação de Canc e Divs'!D:D,'Recuperação de Canc e Divs'!A:A,A82,'Recuperação de Canc e Divs'!B:B,B82,'Recuperação de Canc e Divs'!C:C,D82)</f>
        <v>49550.03</v>
      </c>
      <c r="AF82" s="16">
        <f>IF(K82&gt;=SUMIFS(Parâmetros!J:J,Parâmetros!A:A,A82,Parâmetros!B:B,B82,Parâmetros!D:D,D82),AE82*0.025,0)</f>
        <v>1238.7507500000002</v>
      </c>
      <c r="AG82" s="15">
        <f t="shared" si="25"/>
        <v>52432.640000099986</v>
      </c>
      <c r="AH82" s="16">
        <f t="shared" si="26"/>
        <v>37793.300000000003</v>
      </c>
      <c r="AI82" s="90">
        <f t="shared" si="27"/>
        <v>1.3873527847554985</v>
      </c>
      <c r="AJ82" s="16">
        <f t="shared" si="28"/>
        <v>401430.54950979998</v>
      </c>
      <c r="AK82" s="16">
        <f t="shared" si="29"/>
        <v>296715.25</v>
      </c>
      <c r="AL82" s="90">
        <f t="shared" si="30"/>
        <v>1.3529151248875815</v>
      </c>
      <c r="AM82" s="93">
        <f>IF(AND(OR(B82=3,B82=6,B82=9,B82=12),AI82&gt;=1),
IF(F82="Gestor",AI82*0.6,AI82*0.3),"")</f>
        <v>0.41620583542664952</v>
      </c>
      <c r="AN82" s="94">
        <f>IF(OR(B82=3,B82=6,B82=9,B82=12),
IF(AND(AL82&gt;=1,AI82&gt;=SUMIFS(Parâmetros!G:G,Parâmetros!A:A,Comissões!A82,Parâmetros!B:B,Comissões!B82,Parâmetros!D:D,Comissões!D82,Parâmetros!E:E,Comissões!E82)),AI82*0.3,""),"")</f>
        <v>0.41620583542664952</v>
      </c>
    </row>
    <row r="83" spans="1:42" hidden="1">
      <c r="A83" s="7">
        <v>2026</v>
      </c>
      <c r="B83" s="7">
        <v>3</v>
      </c>
      <c r="C83" s="7" t="str">
        <v>Rubia Estipe</v>
      </c>
      <c r="D83" s="7" t="str">
        <v>rubia.estipe@altoqi.com.br</v>
      </c>
      <c r="E83" s="7" t="str">
        <v>Saving</v>
      </c>
      <c r="F83" s="7" t="str">
        <v>Consultor</v>
      </c>
      <c r="G83" s="7" t="str">
        <v>beatriz@altoqi.com.br</v>
      </c>
      <c r="H83" s="7" t="str">
        <v>MRR</v>
      </c>
      <c r="I83" s="86">
        <f>IF(AND(F83="Consultor",H83="MRR"),SUMIFS(Negócios!L:L,Negócios!A:A,A83,Negócios!B:B,B83,Negócios!P:P,D83),
IF(AND(F83="Consultor",H83="Opps"),SUMIFS('Realizado GD'!D:D,'Realizado GD'!A:A,A83,'Realizado GD'!B:B,B83,'Realizado GD'!C:C,D83),
IF(AND(F83="Gestor",E83="Sonia",H83="MRR"),SUMIFS(I:I,A:A,A83,B:B,B83,G:G,D83) + SUMIFS(I:I,A:A,A83,B:B,B83,G:G,"anderson.ortiz@altoqi.com.br"),
IF(AND(F83="Gestor",H83="MRR"),SUMIFS(I:I,A:A,A83,B:B,B83,G:G,D83)))))</f>
        <v>23941.374999999993</v>
      </c>
      <c r="J83" s="16">
        <f>SUMIFS(Metas!K:K,Metas!A:A,A83,Metas!B:B,B83,Metas!D:D,D83,Metas!H:H,H83)</f>
        <v>19022</v>
      </c>
      <c r="K83" s="10">
        <f t="shared" si="20"/>
        <v>1.2586150247082322</v>
      </c>
      <c r="L83" s="26" t="str" cm="1">
        <f t="array" ref="L83">_xlfn.LET(
 _xlpm.g,_xlfn.MAXIFS(Parâmetros!G:G,Parâmetros!A:A,A83,Parâmetros!B:B,B83,Parâmetros!D:D,D83,Parâmetros!E:E,E83),
 _xlpm.j,_xlfn.MAXIFS(Parâmetros!J:J,Parâmetros!A:A,A83,Parâmetros!B:B,B83,Parâmetros!D:D,D83,Parâmetros!E:E,E83),
 _xlpm.m,_xlfn.MAXIFS(Parâmetros!M:M,Parâmetros!A:A,A83,Parâmetros!B:B,B83,Parâmetros!D:D,D83,Parâmetros!E:E,E83),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60,00% | 75,00% | 100,00%</v>
      </c>
      <c r="M83" s="28">
        <f>IF(AND(F83="Gestor",E83="Sonia",H83="MRR"),SUMIFS(M:M,A:A,A83,B:B,B83,G:G,D83) + SUMIFS(M:M,A:A,A83,B:B,B83,G:G,"anderson.ortiz@altoqi.com.br"),
IF(AND(F83="Gestor",H83="MRR"),SUMIFS(M:M,A:A,A83,B:B,B83,G:G,D83),
SUMIFS(Negócios!L:L,Negócios!A:A,A83,Negócios!B:B,B83,Negócios!P:P,D83,Negócios!AG:AG,"À Vista")))</f>
        <v>4824.24</v>
      </c>
      <c r="N83" s="10">
        <f t="shared" si="21"/>
        <v>0.20150221113031316</v>
      </c>
      <c r="O83" s="30">
        <f>SUMIFS('Acel Form Pag'!D:D,'Acel Form Pag'!A:A,A83,'Acel Form Pag'!B:B,B83,'Acel Form Pag'!C:C,E83)</f>
        <v>1.2</v>
      </c>
      <c r="P83" s="87">
        <f>IF(AND(F83="Gestor",E83="Sonia",H83="MRR"),SUMIFS(P:P,A:A,A83,B:B,B83,G:G,D83) + SUMIFS(P:P,A:A,A83,B:B,B83,G:G,"anderson.ortiz@altoqi.com.br"),
IF(AND(F83="Gestor",H83="MRR"),SUMIFS(P:P,A:A,A83,B:B,B83,G:G,D83),
SUMIFS(Negócios!L:L,Negócios!A:A,A83,Negócios!B:B,B83,Negócios!P:P,D83,Negócios!AG:AG,"CC 3x")))</f>
        <v>0</v>
      </c>
      <c r="Q83" s="10">
        <f t="shared" si="22"/>
        <v>0</v>
      </c>
      <c r="R83" s="30">
        <f>SUMIFS('Acel Form Pag'!E:E,'Acel Form Pag'!A:A,A83,'Acel Form Pag'!B:B,B83,'Acel Form Pag'!C:C,E83)</f>
        <v>1.1499999999999999</v>
      </c>
      <c r="S83" s="32">
        <f>IF(AND(F83="Gestor",E83="Sonia",H83="MRR"),SUMIFS(S:S,A:A,A83,B:B,B83,G:G,D83) + SUMIFS(S:S,A:A,A83,B:B,B83,G:G,"anderson.ortiz@altoqi.com.br"),
IF(AND(F83="Gestor",H83="MRR"),SUMIFS(S:S,A:A,A83,B:B,B83,G:G,D83),
SUMIFS(Negócios!L:L,Negócios!A:A,A83,Negócios!B:B,B83,Negócios!P:P,D83,Negócios!AG:AG,"CC 12x")))</f>
        <v>5784.9</v>
      </c>
      <c r="T83" s="10">
        <f t="shared" si="23"/>
        <v>0.24162772606001123</v>
      </c>
      <c r="U83" s="30">
        <f>SUMIFS('Acel Form Pag'!F:F,'Acel Form Pag'!A:A,A83,'Acel Form Pag'!B:B,B83,'Acel Form Pag'!C:C,E83)</f>
        <v>1.1000000000000001</v>
      </c>
      <c r="V83" s="32">
        <f>IF(AND(F83="Gestor",E83="Sonia",H83="MRR"),SUMIFS(V:V,A:A,A83,B:B,B83,G:G,D83) + SUMIFS(V:V,A:A,A83,B:B,B83,G:G,"anderson.ortiz@altoqi.com.br"),
IF(AND(F83="Gestor",H83="MRR"),SUMIFS(V:V,A:A,A83,B:B,B83,G:G,D83),
SUMIFS(Negócios!L:L,Negócios!A:A,A83,Negócios!B:B,B83,Negócios!P:P,D83,Negócios!AG:AG,"Recorrente")))</f>
        <v>13332.235000000002</v>
      </c>
      <c r="W83" s="10">
        <f t="shared" si="24"/>
        <v>0.55687006280967599</v>
      </c>
      <c r="X83" s="34">
        <f>SUMIFS('Acel Form Pag'!G:G,'Acel Form Pag'!A:A,A83,'Acel Form Pag'!B:B,B83,'Acel Form Pag'!C:C,E83)</f>
        <v>1</v>
      </c>
      <c r="Y83" s="24">
        <f>MAX(_xlfn.MAXIFS(Parâmetros!O:O,Parâmetros!A:A,A83,Parâmetros!B:B,B83,Parâmetros!D:D,D83,Parâmetros!M:M,"&lt;="&amp;K83),_xlfn.MAXIFS(Parâmetros!L:L,Parâmetros!A:A,A83,Parâmetros!B:B,B83,Parâmetros!D:D,D83,Parâmetros!J:J,"&lt;="&amp;K83),_xlfn.MAXIFS(Parâmetros!I:I,Parâmetros!A:A,A83,Parâmetros!B:B,B83,Parâmetros!D:D,D83))</f>
        <v>8100</v>
      </c>
      <c r="Z83" s="9">
        <f>MAX(_xlfn.MAXIFS(Parâmetros!Q:Q,Parâmetros!A:A,A83,Parâmetros!B:B,B83,Parâmetros!D:D,D83,Parâmetros!E:E,E83,Parâmetros!P:P,"&lt;="&amp;K83),
_xlfn.MAXIFS(Parâmetros!S:S,Parâmetros!A:A,A83,Parâmetros!B:B,B83,Parâmetros!D:D,D83,Parâmetros!E:E,E83,Parâmetros!R:R,"&lt;="&amp;K83),
_xlfn.MAXIFS(Parâmetros!U:U,Parâmetros!A:A,A83,Parâmetros!B:B,B83,Parâmetros!D:D,D83,Parâmetros!E:E,E83,Parâmetros!T:T,"&lt;="&amp;K83),1) * IF(K83 &gt;= SUMIFS(Parâmetros!G:G,Parâmetros!A:A,A83,Parâmetros!B:B,B83,Parâmetros!D:D,D83,Parâmetros!E:E,E83),1,0)</f>
        <v>1.1000000000000001</v>
      </c>
      <c r="AA83" s="16">
        <f>Y83*Z83*K83</f>
        <v>11214.259870150348</v>
      </c>
      <c r="AB83" s="16">
        <f>(AA83*N83*O83) + (AA83*Q83*R83) + (AA83*T83*U83) + (AA83*W83*X83)</f>
        <v>11937.167113342446</v>
      </c>
      <c r="AC83" s="15">
        <f>IF(F83="Gestor",SUMIFS(AC:AC,A:A,A83,B:B,B83,G:G,D83),
IF(E83="Saving",SUMIFS(Negócios!I:I,Negócios!A:A,A83,Negócios!B:B,B83,Negócios!P:P,D83,Negócios!H:H,"Curso") +
SUMIFS(Negócios!I:I,Negócios!A:A,A83,Negócios!B:B,B83,Negócios!P:P,D83,Negócios!H:H,"Serviço") +
SUMIFS(Negócios!I:I,Negócios!A:A,A83,Negócios!B:B,B83,Negócios!P:P,D83,Negócios!H:H,"Implantação"),
SUMIFS(Negócios!I:I,Negócios!A:A,A83,Negócios!B:B,B83,Negócios!P:P,D83,Negócios!H:H,"Implantação")))</f>
        <v>0</v>
      </c>
      <c r="AD83" s="16">
        <f>SUMIFS(Parâmetros!W:W,Parâmetros!A:A,A83,Parâmetros!B:B,B83,Parâmetros!D:D,D83) * AC83 * IF(K83 &gt;= SUMIFS(Parâmetros!V:V,Parâmetros!A:A,A83,Parâmetros!B:B,B83,Parâmetros!D:D,D83),1,0)</f>
        <v>0</v>
      </c>
      <c r="AE83" s="15">
        <f>SUMIFS('Recuperação de Canc e Divs'!D:D,'Recuperação de Canc e Divs'!A:A,A83,'Recuperação de Canc e Divs'!B:B,B83,'Recuperação de Canc e Divs'!C:C,D83)</f>
        <v>14739.3</v>
      </c>
      <c r="AF83" s="16">
        <f>IF(K83&gt;=SUMIFS(Parâmetros!J:J,Parâmetros!A:A,A83,Parâmetros!B:B,B83,Parâmetros!D:D,D83),AE83*0.025,0)</f>
        <v>368.48250000000002</v>
      </c>
      <c r="AG83" s="15">
        <f t="shared" si="25"/>
        <v>69952.074999899982</v>
      </c>
      <c r="AH83" s="16">
        <f t="shared" si="26"/>
        <v>48266.9</v>
      </c>
      <c r="AI83" s="90">
        <f t="shared" si="27"/>
        <v>1.4492763156510979</v>
      </c>
      <c r="AJ83" s="16">
        <f t="shared" si="28"/>
        <v>401430.54950979998</v>
      </c>
      <c r="AK83" s="16">
        <f t="shared" si="29"/>
        <v>296715.25</v>
      </c>
      <c r="AL83" s="90">
        <f t="shared" si="30"/>
        <v>1.3529151248875815</v>
      </c>
      <c r="AM83" s="93">
        <f>IF(AND(OR(B83=3,B83=6,B83=9,B83=12),AI83&gt;=1),
IF(F83="Gestor",AI83*0.6,AI83*0.3),"")</f>
        <v>0.43478289469532938</v>
      </c>
      <c r="AN83" s="94">
        <f>IF(OR(B83=3,B83=6,B83=9,B83=12),
IF(AND(AL83&gt;=1,AI83&gt;=SUMIFS(Parâmetros!G:G,Parâmetros!A:A,Comissões!A83,Parâmetros!B:B,Comissões!B83,Parâmetros!D:D,Comissões!D83,Parâmetros!E:E,Comissões!E83)),AI83*0.3,""),"")</f>
        <v>0.43478289469532938</v>
      </c>
    </row>
    <row r="84" spans="1:42" hidden="1">
      <c r="A84" s="7">
        <v>2026</v>
      </c>
      <c r="B84" s="7">
        <v>3</v>
      </c>
      <c r="C84" s="7" t="str">
        <v>Silvia Estipe</v>
      </c>
      <c r="D84" s="7" t="str">
        <v>silvia.estipe@altoqi.com.br</v>
      </c>
      <c r="E84" s="7" t="str">
        <v>Saving</v>
      </c>
      <c r="F84" s="7" t="str">
        <v>Consultor</v>
      </c>
      <c r="G84" s="7" t="str">
        <v>beatriz@altoqi.com.br</v>
      </c>
      <c r="H84" s="7" t="str">
        <v>MRR</v>
      </c>
      <c r="I84" s="86">
        <f>IF(AND(F84="Consultor",H84="MRR"),SUMIFS(Negócios!L:L,Negócios!A:A,A84,Negócios!B:B,B84,Negócios!P:P,D84),
IF(AND(F84="Consultor",H84="Opps"),SUMIFS('Realizado GD'!D:D,'Realizado GD'!A:A,A84,'Realizado GD'!B:B,B84,'Realizado GD'!C:C,D84),
IF(AND(F84="Gestor",E84="Sonia",H84="MRR"),SUMIFS(I:I,A:A,A84,B:B,B84,G:G,D84) + SUMIFS(I:I,A:A,A84,B:B,B84,G:G,"anderson.ortiz@altoqi.com.br"),
IF(AND(F84="Gestor",H84="MRR"),SUMIFS(I:I,A:A,A84,B:B,B84,G:G,D84)))))</f>
        <v>14639.759999999995</v>
      </c>
      <c r="J84" s="16">
        <f>SUMIFS(Metas!K:K,Metas!A:A,A84,Metas!B:B,B84,Metas!D:D,D84,Metas!H:H,H84)</f>
        <v>14619</v>
      </c>
      <c r="K84" s="10">
        <f t="shared" si="20"/>
        <v>1.001420069772214</v>
      </c>
      <c r="L84" s="26" t="str" cm="1">
        <f t="array" ref="L84">_xlfn.LET(
 _xlpm.g,_xlfn.MAXIFS(Parâmetros!G:G,Parâmetros!A:A,A84,Parâmetros!B:B,B84,Parâmetros!D:D,D84,Parâmetros!E:E,E84),
 _xlpm.j,_xlfn.MAXIFS(Parâmetros!J:J,Parâmetros!A:A,A84,Parâmetros!B:B,B84,Parâmetros!D:D,D84,Parâmetros!E:E,E84),
 _xlpm.m,_xlfn.MAXIFS(Parâmetros!M:M,Parâmetros!A:A,A84,Parâmetros!B:B,B84,Parâmetros!D:D,D84,Parâmetros!E:E,E84),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60,00% | 75,00% | 100,00%</v>
      </c>
      <c r="M84" s="28">
        <f>IF(AND(F84="Gestor",E84="Sonia",H84="MRR"),SUMIFS(M:M,A:A,A84,B:B,B84,G:G,D84) + SUMIFS(M:M,A:A,A84,B:B,B84,G:G,"anderson.ortiz@altoqi.com.br"),
IF(AND(F84="Gestor",H84="MRR"),SUMIFS(M:M,A:A,A84,B:B,B84,G:G,D84),
SUMIFS(Negócios!L:L,Negócios!A:A,A84,Negócios!B:B,B84,Negócios!P:P,D84,Negócios!AG:AG,"À Vista")))</f>
        <v>2599.25</v>
      </c>
      <c r="N84" s="10">
        <f t="shared" si="21"/>
        <v>0.17754730951873535</v>
      </c>
      <c r="O84" s="30">
        <f>SUMIFS('Acel Form Pag'!D:D,'Acel Form Pag'!A:A,A84,'Acel Form Pag'!B:B,B84,'Acel Form Pag'!C:C,E84)</f>
        <v>1.2</v>
      </c>
      <c r="P84" s="87">
        <f>IF(AND(F84="Gestor",E84="Sonia",H84="MRR"),SUMIFS(P:P,A:A,A84,B:B,B84,G:G,D84) + SUMIFS(P:P,A:A,A84,B:B,B84,G:G,"anderson.ortiz@altoqi.com.br"),
IF(AND(F84="Gestor",H84="MRR"),SUMIFS(P:P,A:A,A84,B:B,B84,G:G,D84),
SUMIFS(Negócios!L:L,Negócios!A:A,A84,Negócios!B:B,B84,Negócios!P:P,D84,Negócios!AG:AG,"CC 3x")))</f>
        <v>0</v>
      </c>
      <c r="Q84" s="10">
        <f t="shared" si="22"/>
        <v>0</v>
      </c>
      <c r="R84" s="30">
        <f>SUMIFS('Acel Form Pag'!E:E,'Acel Form Pag'!A:A,A84,'Acel Form Pag'!B:B,B84,'Acel Form Pag'!C:C,E84)</f>
        <v>1.1499999999999999</v>
      </c>
      <c r="S84" s="32">
        <f>IF(AND(F84="Gestor",E84="Sonia",H84="MRR"),SUMIFS(S:S,A:A,A84,B:B,B84,G:G,D84) + SUMIFS(S:S,A:A,A84,B:B,B84,G:G,"anderson.ortiz@altoqi.com.br"),
IF(AND(F84="Gestor",H84="MRR"),SUMIFS(S:S,A:A,A84,B:B,B84,G:G,D84),
SUMIFS(Negócios!L:L,Negócios!A:A,A84,Negócios!B:B,B84,Negócios!P:P,D84,Negócios!AG:AG,"CC 12x")))</f>
        <v>5443.89</v>
      </c>
      <c r="T84" s="10">
        <f t="shared" si="23"/>
        <v>0.37185650584435825</v>
      </c>
      <c r="U84" s="30">
        <f>SUMIFS('Acel Form Pag'!F:F,'Acel Form Pag'!A:A,A84,'Acel Form Pag'!B:B,B84,'Acel Form Pag'!C:C,E84)</f>
        <v>1.1000000000000001</v>
      </c>
      <c r="V84" s="32">
        <f>IF(AND(F84="Gestor",E84="Sonia",H84="MRR"),SUMIFS(V:V,A:A,A84,B:B,B84,G:G,D84) + SUMIFS(V:V,A:A,A84,B:B,B84,G:G,"anderson.ortiz@altoqi.com.br"),
IF(AND(F84="Gestor",H84="MRR"),SUMIFS(V:V,A:A,A84,B:B,B84,G:G,D84),
SUMIFS(Negócios!L:L,Negócios!A:A,A84,Negócios!B:B,B84,Negócios!P:P,D84,Negócios!AG:AG,"Recorrente")))</f>
        <v>6596.6200000000008</v>
      </c>
      <c r="W84" s="10">
        <f t="shared" si="24"/>
        <v>0.45059618463690682</v>
      </c>
      <c r="X84" s="34">
        <f>SUMIFS('Acel Form Pag'!G:G,'Acel Form Pag'!A:A,A84,'Acel Form Pag'!B:B,B84,'Acel Form Pag'!C:C,E84)</f>
        <v>1</v>
      </c>
      <c r="Y84" s="24">
        <f>MAX(_xlfn.MAXIFS(Parâmetros!O:O,Parâmetros!A:A,A84,Parâmetros!B:B,B84,Parâmetros!D:D,D84,Parâmetros!M:M,"&lt;="&amp;K84),_xlfn.MAXIFS(Parâmetros!L:L,Parâmetros!A:A,A84,Parâmetros!B:B,B84,Parâmetros!D:D,D84,Parâmetros!J:J,"&lt;="&amp;K84),_xlfn.MAXIFS(Parâmetros!I:I,Parâmetros!A:A,A84,Parâmetros!B:B,B84,Parâmetros!D:D,D84))</f>
        <v>5400</v>
      </c>
      <c r="Z84" s="9">
        <f>MAX(_xlfn.MAXIFS(Parâmetros!Q:Q,Parâmetros!A:A,A84,Parâmetros!B:B,B84,Parâmetros!D:D,D84,Parâmetros!E:E,E84,Parâmetros!P:P,"&lt;="&amp;K84),
_xlfn.MAXIFS(Parâmetros!S:S,Parâmetros!A:A,A84,Parâmetros!B:B,B84,Parâmetros!D:D,D84,Parâmetros!E:E,E84,Parâmetros!R:R,"&lt;="&amp;K84),
_xlfn.MAXIFS(Parâmetros!U:U,Parâmetros!A:A,A84,Parâmetros!B:B,B84,Parâmetros!D:D,D84,Parâmetros!E:E,E84,Parâmetros!T:T,"&lt;="&amp;K84),1) * IF(K84 &gt;= SUMIFS(Parâmetros!G:G,Parâmetros!A:A,A84,Parâmetros!B:B,B84,Parâmetros!D:D,D84,Parâmetros!E:E,E84),1,0)</f>
        <v>1.05</v>
      </c>
      <c r="AA84" s="16">
        <f>Y84*Z84*K84</f>
        <v>5678.0517956084532</v>
      </c>
      <c r="AB84" s="16">
        <f>(AA84*N84*O84) + (AA84*Q84*R84) + (AA84*T84*U84) + (AA84*W84*X84)</f>
        <v>6090.8184096039404</v>
      </c>
      <c r="AC84" s="15">
        <f>IF(F84="Gestor",SUMIFS(AC:AC,A:A,A84,B:B,B84,G:G,D84),
IF(E84="Saving",SUMIFS(Negócios!I:I,Negócios!A:A,A84,Negócios!B:B,B84,Negócios!P:P,D84,Negócios!H:H,"Curso") +
SUMIFS(Negócios!I:I,Negócios!A:A,A84,Negócios!B:B,B84,Negócios!P:P,D84,Negócios!H:H,"Serviço") +
SUMIFS(Negócios!I:I,Negócios!A:A,A84,Negócios!B:B,B84,Negócios!P:P,D84,Negócios!H:H,"Implantação"),
SUMIFS(Negócios!I:I,Negócios!A:A,A84,Negócios!B:B,B84,Negócios!P:P,D84,Negócios!H:H,"Implantação")))</f>
        <v>0</v>
      </c>
      <c r="AD84" s="16">
        <f>SUMIFS(Parâmetros!W:W,Parâmetros!A:A,A84,Parâmetros!B:B,B84,Parâmetros!D:D,D84) * AC84 * IF(K84 &gt;= SUMIFS(Parâmetros!V:V,Parâmetros!A:A,A84,Parâmetros!B:B,B84,Parâmetros!D:D,D84),1,0)</f>
        <v>0</v>
      </c>
      <c r="AE84" s="15">
        <f>SUMIFS('Recuperação de Canc e Divs'!D:D,'Recuperação de Canc e Divs'!A:A,A84,'Recuperação de Canc e Divs'!B:B,B84,'Recuperação de Canc e Divs'!C:C,D84)</f>
        <v>2856.84</v>
      </c>
      <c r="AF84" s="16">
        <f>IF(K84&gt;=SUMIFS(Parâmetros!J:J,Parâmetros!A:A,A84,Parâmetros!B:B,B84,Parâmetros!D:D,D84),AE84*0.025,0)</f>
        <v>71.421000000000006</v>
      </c>
      <c r="AG84" s="15">
        <f t="shared" si="25"/>
        <v>45868.089999999989</v>
      </c>
      <c r="AH84" s="16">
        <f t="shared" si="26"/>
        <v>38854.74</v>
      </c>
      <c r="AI84" s="90">
        <f t="shared" si="27"/>
        <v>1.1805017869119698</v>
      </c>
      <c r="AJ84" s="16">
        <f t="shared" si="28"/>
        <v>401430.54950979998</v>
      </c>
      <c r="AK84" s="16">
        <f t="shared" si="29"/>
        <v>296715.25</v>
      </c>
      <c r="AL84" s="90">
        <f t="shared" si="30"/>
        <v>1.3529151248875815</v>
      </c>
      <c r="AM84" s="93">
        <f>IF(AND(OR(B84=3,B84=6,B84=9,B84=12),AI84&gt;=1),
IF(F84="Gestor",AI84*0.6,AI84*0.3),"")</f>
        <v>0.35415053607359093</v>
      </c>
      <c r="AN84" s="94">
        <f>IF(OR(B84=3,B84=6,B84=9,B84=12),
IF(AND(AL84&gt;=1,AI84&gt;=SUMIFS(Parâmetros!G:G,Parâmetros!A:A,Comissões!A84,Parâmetros!B:B,Comissões!B84,Parâmetros!D:D,Comissões!D84,Parâmetros!E:E,Comissões!E84)),AI84*0.3,""),"")</f>
        <v>0.35415053607359093</v>
      </c>
    </row>
    <row r="85" spans="1:42" hidden="1">
      <c r="A85" s="7">
        <v>2026</v>
      </c>
      <c r="B85" s="7">
        <v>3</v>
      </c>
      <c r="C85" s="7" t="str">
        <v>Sonia Maria Zielinski Pockszevnicki</v>
      </c>
      <c r="D85" s="7" t="str">
        <v>sonia.zielinski@altoqi.com.br</v>
      </c>
      <c r="E85" s="7" t="str">
        <v>Sonia</v>
      </c>
      <c r="F85" s="7" t="str">
        <v>Gestor</v>
      </c>
      <c r="G85" s="7">
        <v>0</v>
      </c>
      <c r="H85" s="7" t="str">
        <v>MRR</v>
      </c>
      <c r="I85" s="86">
        <f>IF(AND(F85="Consultor",H85="MRR"),SUMIFS(Negócios!L:L,Negócios!A:A,A85,Negócios!B:B,B85,Negócios!P:P,D85),
IF(AND(F85="Consultor",H85="Opps"),SUMIFS('Realizado GD'!D:D,'Realizado GD'!A:A,A85,'Realizado GD'!B:B,B85,'Realizado GD'!C:C,D85),
IF(AND(F85="Gestor",E85="Sonia",H85="MRR"),SUMIFS(I:I,A:A,A85,B:B,B85,G:G,D85) + SUMIFS(I:I,A:A,A85,B:B,B85,G:G,"anderson.ortiz@altoqi.com.br"),
IF(AND(F85="Gestor",H85="MRR"),SUMIFS(I:I,A:A,A85,B:B,B85,G:G,D85)))))</f>
        <v>122352.30862125999</v>
      </c>
      <c r="J85" s="16">
        <f>SUMIFS(Metas!K:K,Metas!A:A,A85,Metas!B:B,B85,Metas!D:D,D85,Metas!H:H,H85)</f>
        <v>125557</v>
      </c>
      <c r="K85" s="10">
        <f t="shared" si="20"/>
        <v>0.97447620300946969</v>
      </c>
      <c r="L85" s="26" t="str" cm="1">
        <f t="array" ref="L85">_xlfn.LET(
 _xlpm.g,_xlfn.MAXIFS(Parâmetros!G:G,Parâmetros!A:A,A85,Parâmetros!B:B,B85,Parâmetros!D:D,D85,Parâmetros!E:E,E85),
 _xlpm.j,_xlfn.MAXIFS(Parâmetros!J:J,Parâmetros!A:A,A85,Parâmetros!B:B,B85,Parâmetros!D:D,D85,Parâmetros!E:E,E85),
 _xlpm.m,_xlfn.MAXIFS(Parâmetros!M:M,Parâmetros!A:A,A85,Parâmetros!B:B,B85,Parâmetros!D:D,D85,Parâmetros!E:E,E85),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55,00%</v>
      </c>
      <c r="M85" s="28">
        <f>IF(AND(F85="Gestor",E85="Sonia",H85="MRR"),SUMIFS(M:M,A:A,A85,B:B,B85,G:G,D85) + SUMIFS(M:M,A:A,A85,B:B,B85,G:G,"anderson.ortiz@altoqi.com.br"),
IF(AND(F85="Gestor",H85="MRR"),SUMIFS(M:M,A:A,A85,B:B,B85,G:G,D85),
SUMIFS(Negócios!L:L,Negócios!A:A,A85,Negócios!B:B,B85,Negócios!P:P,D85,Negócios!AG:AG,"À Vista")))</f>
        <v>12281.424199900001</v>
      </c>
      <c r="N85" s="10">
        <f t="shared" si="21"/>
        <v>0.10037754365483198</v>
      </c>
      <c r="O85" s="30">
        <f>SUMIFS('Acel Form Pag'!D:D,'Acel Form Pag'!A:A,A85,'Acel Form Pag'!B:B,B85,'Acel Form Pag'!C:C,E85)</f>
        <v>1.4</v>
      </c>
      <c r="P85" s="87">
        <f>IF(AND(F85="Gestor",E85="Sonia",H85="MRR"),SUMIFS(P:P,A:A,A85,B:B,B85,G:G,D85) + SUMIFS(P:P,A:A,A85,B:B,B85,G:G,"anderson.ortiz@altoqi.com.br"),
IF(AND(F85="Gestor",H85="MRR"),SUMIFS(P:P,A:A,A85,B:B,B85,G:G,D85),
SUMIFS(Negócios!L:L,Negócios!A:A,A85,Negócios!B:B,B85,Negócios!P:P,D85,Negócios!AG:AG,"CC 3x")))</f>
        <v>921.93000000000006</v>
      </c>
      <c r="Q85" s="10">
        <f t="shared" si="22"/>
        <v>7.5350437632838024E-3</v>
      </c>
      <c r="R85" s="30">
        <f>SUMIFS('Acel Form Pag'!E:E,'Acel Form Pag'!A:A,A85,'Acel Form Pag'!B:B,B85,'Acel Form Pag'!C:C,E85)</f>
        <v>1.3</v>
      </c>
      <c r="S85" s="32">
        <f>IF(AND(F85="Gestor",E85="Sonia",H85="MRR"),SUMIFS(S:S,A:A,A85,B:B,B85,G:G,D85) + SUMIFS(S:S,A:A,A85,B:B,B85,G:G,"anderson.ortiz@altoqi.com.br"),
IF(AND(F85="Gestor",H85="MRR"),SUMIFS(S:S,A:A,A85,B:B,B85,G:G,D85),
SUMIFS(Negócios!L:L,Negócios!A:A,A85,Negócios!B:B,B85,Negócios!P:P,D85,Negócios!AG:AG,"CC 12x")))</f>
        <v>33572.991174940005</v>
      </c>
      <c r="T85" s="10">
        <f t="shared" si="23"/>
        <v>0.2743960580168926</v>
      </c>
      <c r="U85" s="30">
        <f>SUMIFS('Acel Form Pag'!F:F,'Acel Form Pag'!A:A,A85,'Acel Form Pag'!B:B,B85,'Acel Form Pag'!C:C,E85)</f>
        <v>1.2</v>
      </c>
      <c r="V85" s="32">
        <f>IF(AND(F85="Gestor",E85="Sonia",H85="MRR"),SUMIFS(V:V,A:A,A85,B:B,B85,G:G,D85) + SUMIFS(V:V,A:A,A85,B:B,B85,G:G,"anderson.ortiz@altoqi.com.br"),
IF(AND(F85="Gestor",H85="MRR"),SUMIFS(V:V,A:A,A85,B:B,B85,G:G,D85),
SUMIFS(Negócios!L:L,Negócios!A:A,A85,Negócios!B:B,B85,Negócios!P:P,D85,Negócios!AG:AG,"Recorrente")))</f>
        <v>75575.963246419997</v>
      </c>
      <c r="W85" s="10">
        <f t="shared" si="24"/>
        <v>0.61769135456499169</v>
      </c>
      <c r="X85" s="34">
        <f>SUMIFS('Acel Form Pag'!G:G,'Acel Form Pag'!A:A,A85,'Acel Form Pag'!B:B,B85,'Acel Form Pag'!C:C,E85)</f>
        <v>1</v>
      </c>
      <c r="Y85" s="24">
        <f>MAX(_xlfn.MAXIFS(Parâmetros!O:O,Parâmetros!A:A,A85,Parâmetros!B:B,B85,Parâmetros!D:D,D85,Parâmetros!M:M,"&lt;="&amp;K85),_xlfn.MAXIFS(Parâmetros!L:L,Parâmetros!A:A,A85,Parâmetros!B:B,B85,Parâmetros!D:D,D85,Parâmetros!J:J,"&lt;="&amp;K85),_xlfn.MAXIFS(Parâmetros!I:I,Parâmetros!A:A,A85,Parâmetros!B:B,B85,Parâmetros!D:D,D85))</f>
        <v>8976</v>
      </c>
      <c r="Z85" s="9">
        <f>MAX(_xlfn.MAXIFS(Parâmetros!Q:Q,Parâmetros!A:A,A85,Parâmetros!B:B,B85,Parâmetros!D:D,D85,Parâmetros!E:E,E85,Parâmetros!P:P,"&lt;="&amp;K85),
_xlfn.MAXIFS(Parâmetros!S:S,Parâmetros!A:A,A85,Parâmetros!B:B,B85,Parâmetros!D:D,D85,Parâmetros!E:E,E85,Parâmetros!R:R,"&lt;="&amp;K85),
_xlfn.MAXIFS(Parâmetros!U:U,Parâmetros!A:A,A85,Parâmetros!B:B,B85,Parâmetros!D:D,D85,Parâmetros!E:E,E85,Parâmetros!T:T,"&lt;="&amp;K85),1) * IF(K85 &gt;= SUMIFS(Parâmetros!G:G,Parâmetros!A:A,A85,Parâmetros!B:B,B85,Parâmetros!D:D,D85,Parâmetros!E:E,E85),1,0)</f>
        <v>1.1499999999999999</v>
      </c>
      <c r="AA85" s="16">
        <f>Y85*Z85*K85</f>
        <v>10058.93315794495</v>
      </c>
      <c r="AB85" s="16">
        <f>(AA85*N85*O85) + (AA85*Q85*R85) + (AA85*T85*U85) + (AA85*W85*X85)</f>
        <v>11037.574230564232</v>
      </c>
      <c r="AC85" s="15">
        <f>IF(F85="Gestor",SUMIFS(AC:AC,A:A,A85,B:B,B85,G:G,D85),
IF(E85="Saving",SUMIFS(Negócios!I:I,Negócios!A:A,A85,Negócios!B:B,B85,Negócios!P:P,D85,Negócios!H:H,"Curso") +
SUMIFS(Negócios!I:I,Negócios!A:A,A85,Negócios!B:B,B85,Negócios!P:P,D85,Negócios!H:H,"Serviço") +
SUMIFS(Negócios!I:I,Negócios!A:A,A85,Negócios!B:B,B85,Negócios!P:P,D85,Negócios!H:H,"Implantação"),
SUMIFS(Negócios!I:I,Negócios!A:A,A85,Negócios!B:B,B85,Negócios!P:P,D85,Negócios!H:H,"Implantação")))</f>
        <v>6000</v>
      </c>
      <c r="AD85" s="16">
        <f>SUMIFS(Parâmetros!W:W,Parâmetros!A:A,A85,Parâmetros!B:B,B85,Parâmetros!D:D,D85) * AC85 * IF(K85 &gt;= SUMIFS(Parâmetros!V:V,Parâmetros!A:A,A85,Parâmetros!B:B,B85,Parâmetros!D:D,D85),1,0)</f>
        <v>30</v>
      </c>
      <c r="AE85" s="15">
        <f>SUMIFS('Recuperação de Canc e Divs'!D:D,'Recuperação de Canc e Divs'!A:A,A85,'Recuperação de Canc e Divs'!B:B,B85,'Recuperação de Canc e Divs'!C:C,D85)</f>
        <v>0</v>
      </c>
      <c r="AF85" s="16">
        <f>IF(K85&gt;=SUMIFS(Parâmetros!J:J,Parâmetros!A:A,A85,Parâmetros!B:B,B85,Parâmetros!D:D,D85),AE85*0.025,0)</f>
        <v>0</v>
      </c>
      <c r="AG85" s="15">
        <f t="shared" si="25"/>
        <v>329125.34548476001</v>
      </c>
      <c r="AH85" s="16">
        <f t="shared" si="26"/>
        <v>306884</v>
      </c>
      <c r="AI85" s="90">
        <f t="shared" si="27"/>
        <v>1.0724747640305783</v>
      </c>
      <c r="AJ85" s="16" t="str">
        <f t="shared" si="28"/>
        <v/>
      </c>
      <c r="AK85" s="16" t="str">
        <f t="shared" si="29"/>
        <v/>
      </c>
      <c r="AL85" s="90">
        <f t="shared" si="30"/>
        <v>0</v>
      </c>
      <c r="AM85" s="93">
        <f>IF(AND(OR(B85=3,B85=6,B85=9,B85=12),AI85&gt;=1),
IF(F85="Gestor",AI85*0.6,AI85*0.3),"")</f>
        <v>0.64348485841834691</v>
      </c>
      <c r="AN85" s="94" t="str">
        <f>IF(OR(B85=3,B85=6,B85=9,B85=12),
IF(AND(AL85&gt;=1,AI85&gt;=SUMIFS(Parâmetros!G:G,Parâmetros!A:A,Comissões!A85,Parâmetros!B:B,Comissões!B85,Parâmetros!D:D,Comissões!D85,Parâmetros!E:E,Comissões!E85)),AI85*0.3,""),"")</f>
        <v/>
      </c>
    </row>
    <row r="86" spans="1:42" hidden="1">
      <c r="A86" s="7">
        <v>2026</v>
      </c>
      <c r="B86" s="7">
        <v>4</v>
      </c>
      <c r="C86" s="7" t="str">
        <v>Rodrigo da Rosa Lima</v>
      </c>
      <c r="D86" s="7" t="str">
        <v>rodrigo.lima@altoqi.com.br</v>
      </c>
      <c r="E86" s="7" t="str">
        <v>Ares</v>
      </c>
      <c r="F86" s="7" t="str">
        <v>Consultor</v>
      </c>
      <c r="G86" s="7" t="str">
        <v>sonia.zielinski@altoqi.com.br</v>
      </c>
      <c r="H86" s="7" t="str">
        <v>MRR</v>
      </c>
      <c r="I86" s="86" cm="1">
        <f t="array" ref="I86">_xlfn.IFS(
  AND(F86="Consultor",H86="MRR",E86="Farmer"),
    SUMIFS(Negócios!M:M,Negócios!A:A,A86,Negócios!B:B,B86,Negócios!P:P,D86)
    +SUMIFS(Negócios!N:N,Negócios!A:A,A86,Negócios!B:B,B86,Negócios!P:P,D86),
  AND(F86="Consultor",H86="MRR"),
    SUMIFS(Negócios!L:L,Negócios!A:A,A86,Negócios!B:B,B86,Negócios!P:P,D86),
  AND(F86="Consultor",H86="Opps"),
    SUMIFS('Realizado GD'!D:D,'Realizado GD'!A:A,A86,'Realizado GD'!B:B,B86,'Realizado GD'!C:C,D86),
  D86="sonia.zielinski@altoqi.com.br",
    SUM(SUMIFS(Negócios!L:L,Negócios!A:A,A86,Negócios!B:B,B86,Negócios!R:R,{"FSB";"Ares"}))
    +SUMIFS(Negócios!M:M,Negócios!A:A,A86,Negócios!B:B,B86,Negócios!R:R,"Farmer")
    +SUMIFS(Negócios!N:N,Negócios!A:A,A86,Negócios!B:B,B86,Negócios!R:R,"Farmer"),
  OR(
    D86="anderson.ortiz@altoqi.com.br",
    D86="rafael.motta@altoqi.com.br",
    D86="beatriz@altoqi.com.br"
  ),
    SUMIFS(Negócios!L:L,Negócios!A:A,A86,Negócios!B:B,B86,Negócios!R:R,E86),
  AND(F86="Gestor",H86="MRR"),
    SUMIFS(I:I,A:A,A86,B:B,B86,G:G,D86),
  TRUE,
    ""
)</f>
        <v>10546.375000000002</v>
      </c>
      <c r="J86" s="16">
        <f>SUMIFS(Metas!K:K,Metas!A:A,A86,Metas!B:B,B86,Metas!D:D,D86,Metas!H:H,H86)</f>
        <v>9000</v>
      </c>
      <c r="K86" s="10">
        <f t="shared" si="20"/>
        <v>1.1718194444444447</v>
      </c>
      <c r="L86" s="26" t="str" cm="1">
        <f t="array" ref="L86">_xlfn.LET(
 _xlpm.g,_xlfn.MAXIFS(Parâmetros!G:G,Parâmetros!A:A,A86,Parâmetros!B:B,B86,Parâmetros!D:D,D86,Parâmetros!E:E,E86),
 _xlpm.j,_xlfn.MAXIFS(Parâmetros!J:J,Parâmetros!A:A,A86,Parâmetros!B:B,B86,Parâmetros!D:D,D86,Parâmetros!E:E,E86),
 _xlpm.m,_xlfn.MAXIFS(Parâmetros!M:M,Parâmetros!A:A,A86,Parâmetros!B:B,B86,Parâmetros!D:D,D86,Parâmetros!E:E,E86),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/>
      </c>
      <c r="M86" s="28" cm="1">
        <f t="array" ref="M86">_xlfn.IFS(
  AND(F86="Consultor",H86="MRR",E86="Farmer"),
    SUMIFS(Negócios!M:M,Negócios!A:A,A86,Negócios!B:B,B86,Negócios!P:P,D86,Negócios!AG:AG,"À Vista")
    +SUMIFS(Negócios!N:N,Negócios!A:A,A86,Negócios!B:B,B86,Negócios!P:P,D86,Negócios!AG:AG,"À Vista"),
  AND(F86="Consultor",H86="MRR"),
    SUMIFS(Negócios!L:L,Negócios!A:A,A86,Negócios!B:B,B86,Negócios!P:P,D86,Negócios!AG:AG,"À Vista"),
  AND(F86="Consultor",H86="Opps"),
    SUMIFS('Realizado GD'!D:D,'Realizado GD'!A:A,A86,'Realizado GD'!B:B,B86,'Realizado GD'!C:C,D86),
  D86="sonia.zielinski@altoqi.com.br",
    SUM(SUMIFS(Negócios!L:L,Negócios!A:A,A86,Negócios!B:B,B86,Negócios!R:R,{"FSB";"Ares"},Negócios!AG:AG,"À Vista"))
    +SUMIFS(Negócios!M:M,Negócios!A:A,A86,Negócios!B:B,B86,Negócios!R:R,"Farmer",Negócios!AG:AG,"À Vista")
    +SUMIFS(Negócios!N:N,Negócios!A:A,A86,Negócios!B:B,B86,Negócios!R:R,"Farmer",Negócios!AG:AG,"À Vista"),
  OR(
    D86="anderson.ortiz@altoqi.com.br",
    D86="rafael.motta@altoqi.com.br",
    D86="beatriz@altoqi.com.br"
  ),
    SUMIFS(Negócios!L:L,Negócios!A:A,A86,Negócios!B:B,B86,Negócios!R:R,E86,Negócios!AG:AG,"À Vista"),
  AND(F86="Gestor",H86="MRR"),
    SUMIFS(I:I,A:A,A86,B:B,B86,G:G,D86),
  TRUE,
    ""
)</f>
        <v>1191.7</v>
      </c>
      <c r="N86" s="10">
        <f t="shared" si="21"/>
        <v>0.11299617167036065</v>
      </c>
      <c r="O86" s="30">
        <f>SUMIFS('Acel Form Pag'!D:D,'Acel Form Pag'!A:A,A86,'Acel Form Pag'!B:B,B86,'Acel Form Pag'!C:C,E86)</f>
        <v>1.3</v>
      </c>
      <c r="P86" s="87" cm="1">
        <f t="array" ref="P86">_xlfn.IFS(
  AND(F86="Consultor",H86="MRR",E86="Farmer"),
    SUMIFS(Negócios!M:M,Negócios!A:A,A86,Negócios!B:B,B86,Negócios!P:P,D86,Negócios!AG:AG,"CC 3x")
    +SUMIFS(Negócios!N:N,Negócios!A:A,A86,Negócios!B:B,B86,Negócios!P:P,D86,Negócios!AG:AG,"CC 3x"),
  AND(F86="Consultor",H86="MRR"),
    SUMIFS(Negócios!L:L,Negócios!A:A,A86,Negócios!B:B,B86,Negócios!P:P,D86,Negócios!AG:AG,"CC 3x"),
  AND(F86="Consultor",H86="Opps"),
    SUMIFS('Realizado GD'!D:D,'Realizado GD'!A:A,A86,'Realizado GD'!B:B,B86,'Realizado GD'!C:C,D86),
  D86="sonia.zielinski@altoqi.com.br",
    SUM(SUMIFS(Negócios!L:L,Negócios!A:A,A86,Negócios!B:B,B86,Negócios!R:R,{"FSB";"Ares"},Negócios!AG:AG,"CC 3x"))
    +SUMIFS(Negócios!M:M,Negócios!A:A,A86,Negócios!B:B,B86,Negócios!R:R,"Farmer",Negócios!AG:AG,"CC 3x")
    +SUMIFS(Negócios!N:N,Negócios!A:A,A86,Negócios!B:B,B86,Negócios!R:R,"Farmer",Negócios!AG:AG,"CC 3x"),
  OR(
    D86="anderson.ortiz@altoqi.com.br",
    D86="rafael.motta@altoqi.com.br",
    D86="beatriz@altoqi.com.br"
  ),
    SUMIFS(Negócios!M:M,Negócios!A:A,A86,Negócios!B:B,B86,Negócios!R:R,E86,Negócios!AG:AG,"CC 3x"),
  AND(F86="Gestor",H86="MRR"),
    SUMIFS(I:I,A:A,A86,B:B,B86,G:G,D86),
  TRUE,
    ""
)</f>
        <v>0</v>
      </c>
      <c r="Q86" s="10">
        <f t="shared" si="22"/>
        <v>0</v>
      </c>
      <c r="R86" s="30">
        <f>SUMIFS('Acel Form Pag'!E:E,'Acel Form Pag'!A:A,A86,'Acel Form Pag'!B:B,B86,'Acel Form Pag'!C:C,E86)</f>
        <v>1.1499999999999999</v>
      </c>
      <c r="S86" s="32" cm="1">
        <f t="array" ref="S86">_xlfn.IFS(
  AND(F86="Consultor",H86="MRR",E86="Farmer"),
    SUMIFS(Negócios!M:M,Negócios!A:A,A86,Negócios!B:B,B86,Negócios!P:P,D86,Negócios!AG:AG,"CC 12x")
    +SUMIFS(Negócios!N:N,Negócios!A:A,A86,Negócios!B:B,B86,Negócios!P:P,D86,Negócios!AG:AG,"CC 12x"),
  AND(F86="Consultor",H86="MRR"),
    SUMIFS(Negócios!L:L,Negócios!A:A,A86,Negócios!B:B,B86,Negócios!P:P,D86,Negócios!AG:AG,"CC 12x"),
  AND(F86="Consultor",H86="Opps"),
    SUMIFS('Realizado GD'!D:D,'Realizado GD'!A:A,A86,'Realizado GD'!B:B,B86,'Realizado GD'!C:C,D86),
  D86="sonia.zielinski@altoqi.com.br",
    SUM(SUMIFS(Negócios!L:L,Negócios!A:A,A86,Negócios!B:B,B86,Negócios!R:R,{"FSB";"Ares"},Negócios!AG:AG,"CC 12x"))
    +SUMIFS(Negócios!M:M,Negócios!A:A,A86,Negócios!B:B,B86,Negócios!R:R,"Farmer",Negócios!AG:AG,"CC 12x")
    +SUMIFS(Negócios!N:N,Negócios!A:A,A86,Negócios!B:B,B86,Negócios!R:R,"Farmer",Negócios!AG:AG,"CC 12x"),
  OR(
    D86="anderson.ortiz@altoqi.com.br",
    D86="rafael.motta@altoqi.com.br",
    D86="beatriz@altoqi.com.br"
  ),
    SUMIFS(Negócios!L:L,Negócios!A:A,A86,Negócios!B:B,B86,Negócios!R:R,E86,Negócios!AG:AG,"CC 12x"),
  AND(F86="Gestor",H86="MRR"),
    SUMIFS(I:I,A:A,A86,B:B,B86,G:G,D86),
  TRUE,
    ""
)</f>
        <v>3971.8999999999996</v>
      </c>
      <c r="T86" s="10">
        <f t="shared" si="23"/>
        <v>0.37661281720022272</v>
      </c>
      <c r="U86" s="30">
        <f>SUMIFS('Acel Form Pag'!F:F,'Acel Form Pag'!A:A,A86,'Acel Form Pag'!B:B,B86,'Acel Form Pag'!C:C,E86)</f>
        <v>1.1499999999999999</v>
      </c>
      <c r="V86" s="32" cm="1">
        <f t="array" ref="V86">_xlfn.IFS(
  AND(F86="Consultor",H86="MRR",E86="Farmer"),
    SUMIFS(Negócios!M:M,Negócios!A:A,A86,Negócios!B:B,B86,Negócios!P:P,D86,Negócios!AG:AG,"Recorrente")
    +SUMIFS(Negócios!N:N,Negócios!A:A,A86,Negócios!B:B,B86,Negócios!P:P,D86,Negócios!AG:AG,"Recorrente"),
  AND(F86="Consultor",H86="MRR"),
    SUMIFS(Negócios!L:L,Negócios!A:A,A86,Negócios!B:B,B86,Negócios!P:P,D86,Negócios!AG:AG,"Recorrente"),
  AND(F86="Consultor",H86="Opps"),
    SUMIFS('Realizado GD'!D:D,'Realizado GD'!A:A,A86,'Realizado GD'!B:B,B86,'Realizado GD'!C:C,D86),
  D86="sonia.zielinski@altoqi.com.br",
    SUM(SUMIFS(Negócios!L:L,Negócios!A:A,A86,Negócios!B:B,B86,Negócios!R:R,{"FSB";"Ares"},Negócios!AG:AG,"Recorrente"))
    +SUMIFS(Negócios!M:M,Negócios!A:A,A86,Negócios!B:B,B86,Negócios!R:R,"Farmer",Negócios!AG:AG,"Recorrente")
    +SUMIFS(Negócios!N:N,Negócios!A:A,A86,Negócios!B:B,B86,Negócios!R:R,"Farmer",Negócios!AG:AG,"Recorrente"),
  OR(
    D86="anderson.ortiz@altoqi.com.br",
    D86="rafael.motta@altoqi.com.br",
    D86="beatriz@altoqi.com.br"
  ),
    SUMIFS(Negócios!L:L,Negócios!A:A,A86,Negócios!B:B,B86,Negócios!R:R,E86,Negócios!AG:AG,"Recorrente"),
  AND(F86="Gestor",H86="MRR"),
    SUMIFS(I:I,A:A,A86,B:B,B86,G:G,D86),
  TRUE,
    ""
)</f>
        <v>5382.7750000000015</v>
      </c>
      <c r="W86" s="10">
        <f t="shared" si="24"/>
        <v>0.51039101112941654</v>
      </c>
      <c r="X86" s="34">
        <f>SUMIFS('Acel Form Pag'!G:G,'Acel Form Pag'!A:A,A86,'Acel Form Pag'!B:B,B86,'Acel Form Pag'!C:C,E86)</f>
        <v>1</v>
      </c>
      <c r="Y86" s="24">
        <f>MAX(_xlfn.MAXIFS(Parâmetros!O:O,Parâmetros!A:A,A86,Parâmetros!B:B,B86,Parâmetros!D:D,D86,Parâmetros!M:M,"&lt;="&amp;K86),_xlfn.MAXIFS(Parâmetros!L:L,Parâmetros!A:A,A86,Parâmetros!B:B,B86,Parâmetros!D:D,D86,Parâmetros!J:J,"&lt;="&amp;K86),_xlfn.MAXIFS(Parâmetros!I:I,Parâmetros!A:A,A86,Parâmetros!B:B,B86,Parâmetros!D:D,D86))</f>
        <v>3742.2</v>
      </c>
      <c r="Z86" s="9">
        <f>MAX(_xlfn.MAXIFS(Parâmetros!Q:Q,Parâmetros!A:A,A86,Parâmetros!B:B,B86,Parâmetros!D:D,D86,Parâmetros!E:E,E86,Parâmetros!P:P,"&lt;="&amp;K86),
_xlfn.MAXIFS(Parâmetros!S:S,Parâmetros!A:A,A86,Parâmetros!B:B,B86,Parâmetros!D:D,D86,Parâmetros!E:E,E86,Parâmetros!R:R,"&lt;="&amp;K86),
_xlfn.MAXIFS(Parâmetros!U:U,Parâmetros!A:A,A86,Parâmetros!B:B,B86,Parâmetros!D:D,D86,Parâmetros!E:E,E86,Parâmetros!T:T,"&lt;="&amp;K86),1) * IF(K86 &gt;= SUMIFS(Parâmetros!G:G,Parâmetros!A:A,A86,Parâmetros!B:B,B86,Parâmetros!D:D,D86,Parâmetros!E:E,E86),1,0)</f>
        <v>1.2</v>
      </c>
      <c r="AA86" s="16">
        <f>Y86*Z86*K86</f>
        <v>5262.2192700000005</v>
      </c>
      <c r="AB86" s="16">
        <f>(AA86*N86*O86) + (AA86*Q86*R86) + (AA86*T86*U86) + (AA86*W86*X86)</f>
        <v>5737.8753431999994</v>
      </c>
      <c r="AC86" s="15">
        <f>IF(F86="Gestor",SUMIFS(AC:AC,A:A,A86,B:B,B86,G:G,D86),
IF(E86="Saving",SUMIFS(Negócios!I:I,Negócios!A:A,A86,Negócios!B:B,B86,Negócios!P:P,D86,Negócios!H:H,"Curso") +
SUMIFS(Negócios!I:I,Negócios!A:A,A86,Negócios!B:B,B86,Negócios!P:P,D86,Negócios!H:H,"Serviço") +
SUMIFS(Negócios!I:I,Negócios!A:A,A86,Negócios!B:B,B86,Negócios!P:P,D86,Negócios!H:H,"Implantação"),
SUMIFS(Negócios!I:I,Negócios!A:A,A86,Negócios!B:B,B86,Negócios!P:P,D86,Negócios!H:H,"Implantação")))</f>
        <v>0</v>
      </c>
      <c r="AD86" s="16">
        <f>SUMIFS(Parâmetros!W:W,Parâmetros!A:A,A86,Parâmetros!B:B,B86,Parâmetros!D:D,D86) * AC86 * IF(K86 &gt;= SUMIFS(Parâmetros!V:V,Parâmetros!A:A,A86,Parâmetros!B:B,B86,Parâmetros!D:D,D86),1,0)</f>
        <v>0</v>
      </c>
      <c r="AE86" s="15">
        <f>SUMIFS('Recuperação de Canc e Divs'!D:D,'Recuperação de Canc e Divs'!A:A,A86,'Recuperação de Canc e Divs'!B:B,B86,'Recuperação de Canc e Divs'!C:C,D86)</f>
        <v>0</v>
      </c>
      <c r="AF86" s="16">
        <f>IF(K86&gt;=SUMIFS(Parâmetros!J:J,Parâmetros!A:A,A86,Parâmetros!B:B,B86,Parâmetros!D:D,D86),AE86*0.025,0)</f>
        <v>0</v>
      </c>
      <c r="AG86" s="15" t="str">
        <f t="shared" ref="AG86:AG113" si="31">IF(OR(B86=3,B86=6,B86=9,B86=12),
SUMIFS(I:I,$A:$A,$A86,$B:$B,"&gt;="&amp;(B86-2),$B:$B,"&lt;="&amp;B86,$D:$D,$D86),"")</f>
        <v/>
      </c>
      <c r="AH86" s="16" t="str">
        <f t="shared" ref="AH86:AH113" si="32">IF(OR(B86=3,B86=6,B86=9,B86=12),
SUMIFS(J:J,$A:$A,$A86,$B:$B,"&gt;="&amp;(B86-2),$B:$B,"&lt;="&amp;B86,$D:$D,$D86),"")</f>
        <v/>
      </c>
      <c r="AI86" s="90">
        <f t="shared" ref="AI86:AI113" si="33">IFERROR(AG86/AH86,0)</f>
        <v>0</v>
      </c>
      <c r="AJ86" s="16" t="str">
        <f t="shared" ref="AJ86:AJ113" si="34">IF(F86="Gestor","",
IF(OR(B86=3,B86=6,B86=9,B86=12),
SUMIFS(I:I,$A:$A,$A86,$B:$B,"&gt;="&amp;(B86-2),$B:$B,"&lt;="&amp;B86,$E:$E,$E86,$F:$F,"&lt;&gt;Gestor"),
""))</f>
        <v/>
      </c>
      <c r="AK86" s="16" t="str">
        <f t="shared" ref="AK86:AK113" si="35">IF(F86="Gestor","",
IF(OR(B86=3,B86=6,B86=9,B86=12),
SUMIFS(J:J,$A:$A,$A86,$B:$B,"&gt;="&amp;(B86-2),$B:$B,"&lt;="&amp;B86,$E:$E,$E86,$F:$F,"&lt;&gt;Gestor"),
""))</f>
        <v/>
      </c>
      <c r="AL86" s="90">
        <f t="shared" ref="AL86:AL113" si="36">IFERROR(AJ86/AK86,0)</f>
        <v>0</v>
      </c>
      <c r="AM86" s="93" t="str">
        <f>IF(AND(OR(B86=3,B86=6,B86=9,B86=12),AI86&gt;=1),
IF(F86="Gestor",AI86*0.6,AI86*0.3),"")</f>
        <v/>
      </c>
      <c r="AN86" s="94" t="str">
        <f>IF(OR(B86=3,B86=6,B86=9,B86=12),
IF(AND(AL86&gt;=1,AI86&gt;=SUMIFS(Parâmetros!G:G,Parâmetros!A:A,Comissões!A86,Parâmetros!B:B,Comissões!B86,Parâmetros!D:D,Comissões!D86,Parâmetros!E:E,Comissões!E86)),AI86*0.3,""),"")</f>
        <v/>
      </c>
      <c r="AO86" s="16">
        <f>SUM(M86,P86,S86,V86)</f>
        <v>10546.375</v>
      </c>
      <c r="AP86" s="16">
        <f>SUM(N86,Q86,T86,W86)</f>
        <v>0.99999999999999989</v>
      </c>
    </row>
    <row r="87" spans="1:42" hidden="1">
      <c r="A87" s="7">
        <v>2026</v>
      </c>
      <c r="B87" s="7">
        <v>4</v>
      </c>
      <c r="C87" s="7" t="str">
        <v>Eloyse Silveira</v>
      </c>
      <c r="D87" s="7" t="str">
        <v>eloyse.silveira@altoqi.com.br</v>
      </c>
      <c r="E87" s="7" t="str">
        <v>B2B Construtora</v>
      </c>
      <c r="F87" s="7" t="str">
        <v>Consultor</v>
      </c>
      <c r="G87" s="7">
        <v>0</v>
      </c>
      <c r="H87" s="7" t="str">
        <v>MRR</v>
      </c>
      <c r="I87" s="86" cm="1">
        <f t="array" ref="I87">_xlfn.IFS(
  AND(F87="Consultor",H87="MRR",E87="Farmer"),
    SUMIFS(Negócios!M:M,Negócios!A:A,A87,Negócios!B:B,B87,Negócios!P:P,D87)
    +SUMIFS(Negócios!N:N,Negócios!A:A,A87,Negócios!B:B,B87,Negócios!P:P,D87),
  AND(F87="Consultor",H87="MRR"),
    SUMIFS(Negócios!L:L,Negócios!A:A,A87,Negócios!B:B,B87,Negócios!P:P,D87),
  AND(F87="Consultor",H87="Opps"),
    SUMIFS('Realizado GD'!D:D,'Realizado GD'!A:A,A87,'Realizado GD'!B:B,B87,'Realizado GD'!C:C,D87),
  D87="sonia.zielinski@altoqi.com.br",
    SUM(SUMIFS(Negócios!L:L,Negócios!A:A,A87,Negócios!B:B,B87,Negócios!R:R,{"FSB";"Ares"}))
    +SUMIFS(Negócios!M:M,Negócios!A:A,A87,Negócios!B:B,B87,Negócios!R:R,"Farmer")
    +SUMIFS(Negócios!N:N,Negócios!A:A,A87,Negócios!B:B,B87,Negócios!R:R,"Farmer"),
  OR(
    D87="anderson.ortiz@altoqi.com.br",
    D87="rafael.motta@altoqi.com.br",
    D87="beatriz@altoqi.com.br"
  ),
    SUMIFS(Negócios!L:L,Negócios!A:A,A87,Negócios!B:B,B87,Negócios!R:R,E87),
  AND(F87="Gestor",H87="MRR"),
    SUMIFS(I:I,A:A,A87,B:B,B87,G:G,D87),
  TRUE,
    ""
)</f>
        <v>7034.6850000000004</v>
      </c>
      <c r="J87" s="16">
        <f>SUMIFS(Metas!K:K,Metas!A:A,A87,Metas!B:B,B87,Metas!D:D,D87,Metas!H:H,H87)</f>
        <v>8000</v>
      </c>
      <c r="K87" s="10">
        <f t="shared" si="20"/>
        <v>0.87933562500000007</v>
      </c>
      <c r="L87" s="26" t="str" cm="1">
        <f t="array" ref="L87">_xlfn.LET(
 _xlpm.g,_xlfn.MAXIFS(Parâmetros!G:G,Parâmetros!A:A,A87,Parâmetros!B:B,B87,Parâmetros!D:D,D87,Parâmetros!E:E,E87),
 _xlpm.j,_xlfn.MAXIFS(Parâmetros!J:J,Parâmetros!A:A,A87,Parâmetros!B:B,B87,Parâmetros!D:D,D87,Parâmetros!E:E,E87),
 _xlpm.m,_xlfn.MAXIFS(Parâmetros!M:M,Parâmetros!A:A,A87,Parâmetros!B:B,B87,Parâmetros!D:D,D87,Parâmetros!E:E,E87),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/>
      </c>
      <c r="M87" s="28" cm="1">
        <f t="array" ref="M87">_xlfn.IFS(
  AND(F87="Consultor",H87="MRR",E87="Farmer"),
    SUMIFS(Negócios!M:M,Negócios!A:A,A87,Negócios!B:B,B87,Negócios!P:P,D87,Negócios!AG:AG,"À Vista")
    +SUMIFS(Negócios!N:N,Negócios!A:A,A87,Negócios!B:B,B87,Negócios!P:P,D87,Negócios!AG:AG,"À Vista"),
  AND(F87="Consultor",H87="MRR"),
    SUMIFS(Negócios!L:L,Negócios!A:A,A87,Negócios!B:B,B87,Negócios!P:P,D87,Negócios!AG:AG,"À Vista"),
  AND(F87="Consultor",H87="Opps"),
    SUMIFS('Realizado GD'!D:D,'Realizado GD'!A:A,A87,'Realizado GD'!B:B,B87,'Realizado GD'!C:C,D87),
  D87="sonia.zielinski@altoqi.com.br",
    SUM(SUMIFS(Negócios!L:L,Negócios!A:A,A87,Negócios!B:B,B87,Negócios!R:R,{"FSB";"Ares"},Negócios!AG:AG,"À Vista"))
    +SUMIFS(Negócios!M:M,Negócios!A:A,A87,Negócios!B:B,B87,Negócios!R:R,"Farmer",Negócios!AG:AG,"À Vista")
    +SUMIFS(Negócios!N:N,Negócios!A:A,A87,Negócios!B:B,B87,Negócios!R:R,"Farmer",Negócios!AG:AG,"À Vista"),
  OR(
    D87="anderson.ortiz@altoqi.com.br",
    D87="rafael.motta@altoqi.com.br",
    D87="beatriz@altoqi.com.br"
  ),
    SUMIFS(Negócios!L:L,Negócios!A:A,A87,Negócios!B:B,B87,Negócios!R:R,E87,Negócios!AG:AG,"À Vista"),
  AND(F87="Gestor",H87="MRR"),
    SUMIFS(I:I,A:A,A87,B:B,B87,G:G,D87),
  TRUE,
    ""
)</f>
        <v>421.96</v>
      </c>
      <c r="N87" s="10">
        <f t="shared" si="21"/>
        <v>5.9982785298844224E-2</v>
      </c>
      <c r="O87" s="30">
        <f>SUMIFS('Acel Form Pag'!D:D,'Acel Form Pag'!A:A,A87,'Acel Form Pag'!B:B,B87,'Acel Form Pag'!C:C,E87)</f>
        <v>1.3</v>
      </c>
      <c r="P87" s="87" cm="1">
        <f t="array" ref="P87">_xlfn.IFS(
  AND(F87="Consultor",H87="MRR",E87="Farmer"),
    SUMIFS(Negócios!M:M,Negócios!A:A,A87,Negócios!B:B,B87,Negócios!P:P,D87,Negócios!AG:AG,"CC 3x")
    +SUMIFS(Negócios!N:N,Negócios!A:A,A87,Negócios!B:B,B87,Negócios!P:P,D87,Negócios!AG:AG,"CC 3x"),
  AND(F87="Consultor",H87="MRR"),
    SUMIFS(Negócios!L:L,Negócios!A:A,A87,Negócios!B:B,B87,Negócios!P:P,D87,Negócios!AG:AG,"CC 3x"),
  AND(F87="Consultor",H87="Opps"),
    SUMIFS('Realizado GD'!D:D,'Realizado GD'!A:A,A87,'Realizado GD'!B:B,B87,'Realizado GD'!C:C,D87),
  D87="sonia.zielinski@altoqi.com.br",
    SUM(SUMIFS(Negócios!L:L,Negócios!A:A,A87,Negócios!B:B,B87,Negócios!R:R,{"FSB";"Ares"},Negócios!AG:AG,"CC 3x"))
    +SUMIFS(Negócios!M:M,Negócios!A:A,A87,Negócios!B:B,B87,Negócios!R:R,"Farmer",Negócios!AG:AG,"CC 3x")
    +SUMIFS(Negócios!N:N,Negócios!A:A,A87,Negócios!B:B,B87,Negócios!R:R,"Farmer",Negócios!AG:AG,"CC 3x"),
  OR(
    D87="anderson.ortiz@altoqi.com.br",
    D87="rafael.motta@altoqi.com.br",
    D87="beatriz@altoqi.com.br"
  ),
    SUMIFS(Negócios!M:M,Negócios!A:A,A87,Negócios!B:B,B87,Negócios!R:R,E87,Negócios!AG:AG,"CC 3x"),
  AND(F87="Gestor",H87="MRR"),
    SUMIFS(I:I,A:A,A87,B:B,B87,G:G,D87),
  TRUE,
    ""
)</f>
        <v>0</v>
      </c>
      <c r="Q87" s="10">
        <f t="shared" si="22"/>
        <v>0</v>
      </c>
      <c r="R87" s="30">
        <f>SUMIFS('Acel Form Pag'!E:E,'Acel Form Pag'!A:A,A87,'Acel Form Pag'!B:B,B87,'Acel Form Pag'!C:C,E87)</f>
        <v>1.1499999999999999</v>
      </c>
      <c r="S87" s="32" cm="1">
        <f t="array" ref="S87">_xlfn.IFS(
  AND(F87="Consultor",H87="MRR",E87="Farmer"),
    SUMIFS(Negócios!M:M,Negócios!A:A,A87,Negócios!B:B,B87,Negócios!P:P,D87,Negócios!AG:AG,"CC 12x")
    +SUMIFS(Negócios!N:N,Negócios!A:A,A87,Negócios!B:B,B87,Negócios!P:P,D87,Negócios!AG:AG,"CC 12x"),
  AND(F87="Consultor",H87="MRR"),
    SUMIFS(Negócios!L:L,Negócios!A:A,A87,Negócios!B:B,B87,Negócios!P:P,D87,Negócios!AG:AG,"CC 12x"),
  AND(F87="Consultor",H87="Opps"),
    SUMIFS('Realizado GD'!D:D,'Realizado GD'!A:A,A87,'Realizado GD'!B:B,B87,'Realizado GD'!C:C,D87),
  D87="sonia.zielinski@altoqi.com.br",
    SUM(SUMIFS(Negócios!L:L,Negócios!A:A,A87,Negócios!B:B,B87,Negócios!R:R,{"FSB";"Ares"},Negócios!AG:AG,"CC 12x"))
    +SUMIFS(Negócios!M:M,Negócios!A:A,A87,Negócios!B:B,B87,Negócios!R:R,"Farmer",Negócios!AG:AG,"CC 12x")
    +SUMIFS(Negócios!N:N,Negócios!A:A,A87,Negócios!B:B,B87,Negócios!R:R,"Farmer",Negócios!AG:AG,"CC 12x"),
  OR(
    D87="anderson.ortiz@altoqi.com.br",
    D87="rafael.motta@altoqi.com.br",
    D87="beatriz@altoqi.com.br"
  ),
    SUMIFS(Negócios!L:L,Negócios!A:A,A87,Negócios!B:B,B87,Negócios!R:R,E87,Negócios!AG:AG,"CC 12x"),
  AND(F87="Gestor",H87="MRR"),
    SUMIFS(I:I,A:A,A87,B:B,B87,G:G,D87),
  TRUE,
    ""
)</f>
        <v>3408.8249999999998</v>
      </c>
      <c r="T87" s="10">
        <f t="shared" si="23"/>
        <v>0.48457393614639455</v>
      </c>
      <c r="U87" s="30">
        <f>SUMIFS('Acel Form Pag'!F:F,'Acel Form Pag'!A:A,A87,'Acel Form Pag'!B:B,B87,'Acel Form Pag'!C:C,E87)</f>
        <v>1.1499999999999999</v>
      </c>
      <c r="V87" s="32" cm="1">
        <f t="array" ref="V87">_xlfn.IFS(
  AND(F87="Consultor",H87="MRR",E87="Farmer"),
    SUMIFS(Negócios!M:M,Negócios!A:A,A87,Negócios!B:B,B87,Negócios!P:P,D87,Negócios!AG:AG,"Recorrente")
    +SUMIFS(Negócios!N:N,Negócios!A:A,A87,Negócios!B:B,B87,Negócios!P:P,D87,Negócios!AG:AG,"Recorrente"),
  AND(F87="Consultor",H87="MRR"),
    SUMIFS(Negócios!L:L,Negócios!A:A,A87,Negócios!B:B,B87,Negócios!P:P,D87,Negócios!AG:AG,"Recorrente"),
  AND(F87="Consultor",H87="Opps"),
    SUMIFS('Realizado GD'!D:D,'Realizado GD'!A:A,A87,'Realizado GD'!B:B,B87,'Realizado GD'!C:C,D87),
  D87="sonia.zielinski@altoqi.com.br",
    SUM(SUMIFS(Negócios!L:L,Negócios!A:A,A87,Negócios!B:B,B87,Negócios!R:R,{"FSB";"Ares"},Negócios!AG:AG,"Recorrente"))
    +SUMIFS(Negócios!M:M,Negócios!A:A,A87,Negócios!B:B,B87,Negócios!R:R,"Farmer",Negócios!AG:AG,"Recorrente")
    +SUMIFS(Negócios!N:N,Negócios!A:A,A87,Negócios!B:B,B87,Negócios!R:R,"Farmer",Negócios!AG:AG,"Recorrente"),
  OR(
    D87="anderson.ortiz@altoqi.com.br",
    D87="rafael.motta@altoqi.com.br",
    D87="beatriz@altoqi.com.br"
  ),
    SUMIFS(Negócios!L:L,Negócios!A:A,A87,Negócios!B:B,B87,Negócios!R:R,E87,Negócios!AG:AG,"Recorrente"),
  AND(F87="Gestor",H87="MRR"),
    SUMIFS(I:I,A:A,A87,B:B,B87,G:G,D87),
  TRUE,
    ""
)</f>
        <v>3203.9</v>
      </c>
      <c r="W87" s="10">
        <f t="shared" si="24"/>
        <v>0.45544327855476113</v>
      </c>
      <c r="X87" s="34">
        <f>SUMIFS('Acel Form Pag'!G:G,'Acel Form Pag'!A:A,A87,'Acel Form Pag'!B:B,B87,'Acel Form Pag'!C:C,E87)</f>
        <v>1</v>
      </c>
      <c r="Y87" s="24">
        <f>MAX(_xlfn.MAXIFS(Parâmetros!O:O,Parâmetros!A:A,A87,Parâmetros!B:B,B87,Parâmetros!D:D,D87,Parâmetros!M:M,"&lt;="&amp;K87),_xlfn.MAXIFS(Parâmetros!L:L,Parâmetros!A:A,A87,Parâmetros!B:B,B87,Parâmetros!D:D,D87,Parâmetros!J:J,"&lt;="&amp;K87),_xlfn.MAXIFS(Parâmetros!I:I,Parâmetros!A:A,A87,Parâmetros!B:B,B87,Parâmetros!D:D,D87))</f>
        <v>4593.6000000000004</v>
      </c>
      <c r="Z87" s="9">
        <f>MAX(_xlfn.MAXIFS(Parâmetros!Q:Q,Parâmetros!A:A,A87,Parâmetros!B:B,B87,Parâmetros!D:D,D87,Parâmetros!E:E,E87,Parâmetros!P:P,"&lt;="&amp;K87),
_xlfn.MAXIFS(Parâmetros!S:S,Parâmetros!A:A,A87,Parâmetros!B:B,B87,Parâmetros!D:D,D87,Parâmetros!E:E,E87,Parâmetros!R:R,"&lt;="&amp;K87),
_xlfn.MAXIFS(Parâmetros!U:U,Parâmetros!A:A,A87,Parâmetros!B:B,B87,Parâmetros!D:D,D87,Parâmetros!E:E,E87,Parâmetros!T:T,"&lt;="&amp;K87),1) * IF(K87 &gt;= SUMIFS(Parâmetros!G:G,Parâmetros!A:A,A87,Parâmetros!B:B,B87,Parâmetros!D:D,D87,Parâmetros!E:E,E87),1,0)</f>
        <v>1</v>
      </c>
      <c r="AA87" s="16">
        <f>Y87*Z87*K87</f>
        <v>4039.3161270000005</v>
      </c>
      <c r="AB87" s="16">
        <f>(AA87*N87*O87) + (AA87*Q87*R87) + (AA87*T87*U87) + (AA87*W87*X87)</f>
        <v>4405.6050538500003</v>
      </c>
      <c r="AC87" s="15">
        <f>IF(F87="Gestor",SUMIFS(AC:AC,A:A,A87,B:B,B87,G:G,D87),
IF(E87="Saving",SUMIFS(Negócios!I:I,Negócios!A:A,A87,Negócios!B:B,B87,Negócios!P:P,D87,Negócios!H:H,"Curso") +
SUMIFS(Negócios!I:I,Negócios!A:A,A87,Negócios!B:B,B87,Negócios!P:P,D87,Negócios!H:H,"Serviço") +
SUMIFS(Negócios!I:I,Negócios!A:A,A87,Negócios!B:B,B87,Negócios!P:P,D87,Negócios!H:H,"Implantação"),
SUMIFS(Negócios!I:I,Negócios!A:A,A87,Negócios!B:B,B87,Negócios!P:P,D87,Negócios!H:H,"Implantação")))</f>
        <v>8960</v>
      </c>
      <c r="AD87" s="16">
        <f>SUMIFS(Parâmetros!W:W,Parâmetros!A:A,A87,Parâmetros!B:B,B87,Parâmetros!D:D,D87) * AC87 * IF(K87 &gt;= SUMIFS(Parâmetros!V:V,Parâmetros!A:A,A87,Parâmetros!B:B,B87,Parâmetros!D:D,D87),1,0)</f>
        <v>179.20000000000002</v>
      </c>
      <c r="AE87" s="15">
        <f>SUMIFS('Recuperação de Canc e Divs'!D:D,'Recuperação de Canc e Divs'!A:A,A87,'Recuperação de Canc e Divs'!B:B,B87,'Recuperação de Canc e Divs'!C:C,D87)</f>
        <v>0</v>
      </c>
      <c r="AF87" s="16">
        <f>IF(K87&gt;=SUMIFS(Parâmetros!J:J,Parâmetros!A:A,A87,Parâmetros!B:B,B87,Parâmetros!D:D,D87),AE87*0.025,0)</f>
        <v>0</v>
      </c>
      <c r="AG87" s="15" t="str">
        <f t="shared" si="31"/>
        <v/>
      </c>
      <c r="AH87" s="16" t="str">
        <f t="shared" si="32"/>
        <v/>
      </c>
      <c r="AI87" s="90">
        <f t="shared" si="33"/>
        <v>0</v>
      </c>
      <c r="AJ87" s="16" t="str">
        <f t="shared" si="34"/>
        <v/>
      </c>
      <c r="AK87" s="16" t="str">
        <f t="shared" si="35"/>
        <v/>
      </c>
      <c r="AL87" s="90">
        <f t="shared" si="36"/>
        <v>0</v>
      </c>
      <c r="AM87" s="93" t="str">
        <f>IF(AND(OR(B87=3,B87=6,B87=9,B87=12),AI87&gt;=1),
IF(F87="Gestor",AI87*0.6,AI87*0.3),"")</f>
        <v/>
      </c>
      <c r="AN87" s="94" t="str">
        <f>IF(OR(B87=3,B87=6,B87=9,B87=12),
IF(AND(AL87&gt;=1,AI87&gt;=SUMIFS(Parâmetros!G:G,Parâmetros!A:A,Comissões!A87,Parâmetros!B:B,Comissões!B87,Parâmetros!D:D,Comissões!D87,Parâmetros!E:E,Comissões!E87)),AI87*0.3,""),"")</f>
        <v/>
      </c>
      <c r="AO87" s="16">
        <f t="shared" ref="AO87:AO114" si="37">SUM(M87,P87,S87,V87)</f>
        <v>7034.6849999999995</v>
      </c>
      <c r="AP87" s="16">
        <f t="shared" ref="AP87:AP114" si="38">SUM(N87,Q87,T87,W87)</f>
        <v>1</v>
      </c>
    </row>
    <row r="88" spans="1:42" hidden="1">
      <c r="A88" s="7">
        <v>2026</v>
      </c>
      <c r="B88" s="7">
        <v>4</v>
      </c>
      <c r="C88" s="7" t="str">
        <v>Henrique Teixeira Silva</v>
      </c>
      <c r="D88" s="7" t="str">
        <v>henrique.silva@altoqi.com.br</v>
      </c>
      <c r="E88" s="7" t="str">
        <v>B2B Construtora</v>
      </c>
      <c r="F88" s="7" t="str">
        <v>Consultor</v>
      </c>
      <c r="G88" s="7">
        <v>0</v>
      </c>
      <c r="H88" s="7" t="str">
        <v>MRR</v>
      </c>
      <c r="I88" s="86" cm="1">
        <f t="array" ref="I88">_xlfn.IFS(
  AND(F88="Consultor",H88="MRR",E88="Farmer"),
    SUMIFS(Negócios!M:M,Negócios!A:A,A88,Negócios!B:B,B88,Negócios!P:P,D88)
    +SUMIFS(Negócios!N:N,Negócios!A:A,A88,Negócios!B:B,B88,Negócios!P:P,D88),
  AND(F88="Consultor",H88="MRR"),
    SUMIFS(Negócios!L:L,Negócios!A:A,A88,Negócios!B:B,B88,Negócios!P:P,D88),
  AND(F88="Consultor",H88="Opps"),
    SUMIFS('Realizado GD'!D:D,'Realizado GD'!A:A,A88,'Realizado GD'!B:B,B88,'Realizado GD'!C:C,D88),
  D88="sonia.zielinski@altoqi.com.br",
    SUM(SUMIFS(Negócios!L:L,Negócios!A:A,A88,Negócios!B:B,B88,Negócios!R:R,{"FSB";"Ares"}))
    +SUMIFS(Negócios!M:M,Negócios!A:A,A88,Negócios!B:B,B88,Negócios!R:R,"Farmer")
    +SUMIFS(Negócios!N:N,Negócios!A:A,A88,Negócios!B:B,B88,Negócios!R:R,"Farmer"),
  OR(
    D88="anderson.ortiz@altoqi.com.br",
    D88="rafael.motta@altoqi.com.br",
    D88="beatriz@altoqi.com.br"
  ),
    SUMIFS(Negócios!L:L,Negócios!A:A,A88,Negócios!B:B,B88,Negócios!R:R,E88),
  AND(F88="Gestor",H88="MRR"),
    SUMIFS(I:I,A:A,A88,B:B,B88,G:G,D88),
  TRUE,
    ""
)</f>
        <v>6462.27</v>
      </c>
      <c r="J88" s="16">
        <f>SUMIFS(Metas!K:K,Metas!A:A,A88,Metas!B:B,B88,Metas!D:D,D88,Metas!H:H,H88)</f>
        <v>8000</v>
      </c>
      <c r="K88" s="10">
        <f t="shared" si="20"/>
        <v>0.80778375000000002</v>
      </c>
      <c r="L88" s="26" t="str" cm="1">
        <f t="array" ref="L88">_xlfn.LET(
 _xlpm.g,_xlfn.MAXIFS(Parâmetros!G:G,Parâmetros!A:A,A88,Parâmetros!B:B,B88,Parâmetros!D:D,D88,Parâmetros!E:E,E88),
 _xlpm.j,_xlfn.MAXIFS(Parâmetros!J:J,Parâmetros!A:A,A88,Parâmetros!B:B,B88,Parâmetros!D:D,D88,Parâmetros!E:E,E88),
 _xlpm.m,_xlfn.MAXIFS(Parâmetros!M:M,Parâmetros!A:A,A88,Parâmetros!B:B,B88,Parâmetros!D:D,D88,Parâmetros!E:E,E88),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/>
      </c>
      <c r="M88" s="28" cm="1">
        <f t="array" ref="M88">_xlfn.IFS(
  AND(F88="Consultor",H88="MRR",E88="Farmer"),
    SUMIFS(Negócios!M:M,Negócios!A:A,A88,Negócios!B:B,B88,Negócios!P:P,D88,Negócios!AG:AG,"À Vista")
    +SUMIFS(Negócios!N:N,Negócios!A:A,A88,Negócios!B:B,B88,Negócios!P:P,D88,Negócios!AG:AG,"À Vista"),
  AND(F88="Consultor",H88="MRR"),
    SUMIFS(Negócios!L:L,Negócios!A:A,A88,Negócios!B:B,B88,Negócios!P:P,D88,Negócios!AG:AG,"À Vista"),
  AND(F88="Consultor",H88="Opps"),
    SUMIFS('Realizado GD'!D:D,'Realizado GD'!A:A,A88,'Realizado GD'!B:B,B88,'Realizado GD'!C:C,D88),
  D88="sonia.zielinski@altoqi.com.br",
    SUM(SUMIFS(Negócios!L:L,Negócios!A:A,A88,Negócios!B:B,B88,Negócios!R:R,{"FSB";"Ares"},Negócios!AG:AG,"À Vista"))
    +SUMIFS(Negócios!M:M,Negócios!A:A,A88,Negócios!B:B,B88,Negócios!R:R,"Farmer",Negócios!AG:AG,"À Vista")
    +SUMIFS(Negócios!N:N,Negócios!A:A,A88,Negócios!B:B,B88,Negócios!R:R,"Farmer",Negócios!AG:AG,"À Vista"),
  OR(
    D88="anderson.ortiz@altoqi.com.br",
    D88="rafael.motta@altoqi.com.br",
    D88="beatriz@altoqi.com.br"
  ),
    SUMIFS(Negócios!L:L,Negócios!A:A,A88,Negócios!B:B,B88,Negócios!R:R,E88,Negócios!AG:AG,"À Vista"),
  AND(F88="Gestor",H88="MRR"),
    SUMIFS(I:I,A:A,A88,B:B,B88,G:G,D88),
  TRUE,
    ""
)</f>
        <v>1369.425</v>
      </c>
      <c r="N88" s="10">
        <f t="shared" si="21"/>
        <v>0.21191083009530703</v>
      </c>
      <c r="O88" s="30">
        <f>SUMIFS('Acel Form Pag'!D:D,'Acel Form Pag'!A:A,A88,'Acel Form Pag'!B:B,B88,'Acel Form Pag'!C:C,E88)</f>
        <v>1.3</v>
      </c>
      <c r="P88" s="87" cm="1">
        <f t="array" ref="P88">_xlfn.IFS(
  AND(F88="Consultor",H88="MRR",E88="Farmer"),
    SUMIFS(Negócios!M:M,Negócios!A:A,A88,Negócios!B:B,B88,Negócios!P:P,D88,Negócios!AG:AG,"CC 3x")
    +SUMIFS(Negócios!N:N,Negócios!A:A,A88,Negócios!B:B,B88,Negócios!P:P,D88,Negócios!AG:AG,"CC 3x"),
  AND(F88="Consultor",H88="MRR"),
    SUMIFS(Negócios!L:L,Negócios!A:A,A88,Negócios!B:B,B88,Negócios!P:P,D88,Negócios!AG:AG,"CC 3x"),
  AND(F88="Consultor",H88="Opps"),
    SUMIFS('Realizado GD'!D:D,'Realizado GD'!A:A,A88,'Realizado GD'!B:B,B88,'Realizado GD'!C:C,D88),
  D88="sonia.zielinski@altoqi.com.br",
    SUM(SUMIFS(Negócios!L:L,Negócios!A:A,A88,Negócios!B:B,B88,Negócios!R:R,{"FSB";"Ares"},Negócios!AG:AG,"CC 3x"))
    +SUMIFS(Negócios!M:M,Negócios!A:A,A88,Negócios!B:B,B88,Negócios!R:R,"Farmer",Negócios!AG:AG,"CC 3x")
    +SUMIFS(Negócios!N:N,Negócios!A:A,A88,Negócios!B:B,B88,Negócios!R:R,"Farmer",Negócios!AG:AG,"CC 3x"),
  OR(
    D88="anderson.ortiz@altoqi.com.br",
    D88="rafael.motta@altoqi.com.br",
    D88="beatriz@altoqi.com.br"
  ),
    SUMIFS(Negócios!M:M,Negócios!A:A,A88,Negócios!B:B,B88,Negócios!R:R,E88,Negócios!AG:AG,"CC 3x"),
  AND(F88="Gestor",H88="MRR"),
    SUMIFS(I:I,A:A,A88,B:B,B88,G:G,D88),
  TRUE,
    ""
)</f>
        <v>0</v>
      </c>
      <c r="Q88" s="10">
        <f t="shared" si="22"/>
        <v>0</v>
      </c>
      <c r="R88" s="30">
        <f>SUMIFS('Acel Form Pag'!E:E,'Acel Form Pag'!A:A,A88,'Acel Form Pag'!B:B,B88,'Acel Form Pag'!C:C,E88)</f>
        <v>1.1499999999999999</v>
      </c>
      <c r="S88" s="32" cm="1">
        <f t="array" ref="S88">_xlfn.IFS(
  AND(F88="Consultor",H88="MRR",E88="Farmer"),
    SUMIFS(Negócios!M:M,Negócios!A:A,A88,Negócios!B:B,B88,Negócios!P:P,D88,Negócios!AG:AG,"CC 12x")
    +SUMIFS(Negócios!N:N,Negócios!A:A,A88,Negócios!B:B,B88,Negócios!P:P,D88,Negócios!AG:AG,"CC 12x"),
  AND(F88="Consultor",H88="MRR"),
    SUMIFS(Negócios!L:L,Negócios!A:A,A88,Negócios!B:B,B88,Negócios!P:P,D88,Negócios!AG:AG,"CC 12x"),
  AND(F88="Consultor",H88="Opps"),
    SUMIFS('Realizado GD'!D:D,'Realizado GD'!A:A,A88,'Realizado GD'!B:B,B88,'Realizado GD'!C:C,D88),
  D88="sonia.zielinski@altoqi.com.br",
    SUM(SUMIFS(Negócios!L:L,Negócios!A:A,A88,Negócios!B:B,B88,Negócios!R:R,{"FSB";"Ares"},Negócios!AG:AG,"CC 12x"))
    +SUMIFS(Negócios!M:M,Negócios!A:A,A88,Negócios!B:B,B88,Negócios!R:R,"Farmer",Negócios!AG:AG,"CC 12x")
    +SUMIFS(Negócios!N:N,Negócios!A:A,A88,Negócios!B:B,B88,Negócios!R:R,"Farmer",Negócios!AG:AG,"CC 12x"),
  OR(
    D88="anderson.ortiz@altoqi.com.br",
    D88="rafael.motta@altoqi.com.br",
    D88="beatriz@altoqi.com.br"
  ),
    SUMIFS(Negócios!L:L,Negócios!A:A,A88,Negócios!B:B,B88,Negócios!R:R,E88,Negócios!AG:AG,"CC 12x"),
  AND(F88="Gestor",H88="MRR"),
    SUMIFS(I:I,A:A,A88,B:B,B88,G:G,D88),
  TRUE,
    ""
)</f>
        <v>229.92</v>
      </c>
      <c r="T88" s="10">
        <f t="shared" si="23"/>
        <v>3.5578829111132769E-2</v>
      </c>
      <c r="U88" s="30">
        <f>SUMIFS('Acel Form Pag'!F:F,'Acel Form Pag'!A:A,A88,'Acel Form Pag'!B:B,B88,'Acel Form Pag'!C:C,E88)</f>
        <v>1.1499999999999999</v>
      </c>
      <c r="V88" s="32" cm="1">
        <f t="array" ref="V88">_xlfn.IFS(
  AND(F88="Consultor",H88="MRR",E88="Farmer"),
    SUMIFS(Negócios!M:M,Negócios!A:A,A88,Negócios!B:B,B88,Negócios!P:P,D88,Negócios!AG:AG,"Recorrente")
    +SUMIFS(Negócios!N:N,Negócios!A:A,A88,Negócios!B:B,B88,Negócios!P:P,D88,Negócios!AG:AG,"Recorrente"),
  AND(F88="Consultor",H88="MRR"),
    SUMIFS(Negócios!L:L,Negócios!A:A,A88,Negócios!B:B,B88,Negócios!P:P,D88,Negócios!AG:AG,"Recorrente"),
  AND(F88="Consultor",H88="Opps"),
    SUMIFS('Realizado GD'!D:D,'Realizado GD'!A:A,A88,'Realizado GD'!B:B,B88,'Realizado GD'!C:C,D88),
  D88="sonia.zielinski@altoqi.com.br",
    SUM(SUMIFS(Negócios!L:L,Negócios!A:A,A88,Negócios!B:B,B88,Negócios!R:R,{"FSB";"Ares"},Negócios!AG:AG,"Recorrente"))
    +SUMIFS(Negócios!M:M,Negócios!A:A,A88,Negócios!B:B,B88,Negócios!R:R,"Farmer",Negócios!AG:AG,"Recorrente")
    +SUMIFS(Negócios!N:N,Negócios!A:A,A88,Negócios!B:B,B88,Negócios!R:R,"Farmer",Negócios!AG:AG,"Recorrente"),
  OR(
    D88="anderson.ortiz@altoqi.com.br",
    D88="rafael.motta@altoqi.com.br",
    D88="beatriz@altoqi.com.br"
  ),
    SUMIFS(Negócios!L:L,Negócios!A:A,A88,Negócios!B:B,B88,Negócios!R:R,E88,Negócios!AG:AG,"Recorrente"),
  AND(F88="Gestor",H88="MRR"),
    SUMIFS(I:I,A:A,A88,B:B,B88,G:G,D88),
  TRUE,
    ""
)</f>
        <v>4862.9249999999993</v>
      </c>
      <c r="W88" s="10">
        <f t="shared" si="24"/>
        <v>0.75251034079355994</v>
      </c>
      <c r="X88" s="34">
        <f>SUMIFS('Acel Form Pag'!G:G,'Acel Form Pag'!A:A,A88,'Acel Form Pag'!B:B,B88,'Acel Form Pag'!C:C,E88)</f>
        <v>1</v>
      </c>
      <c r="Y88" s="24">
        <f>MAX(_xlfn.MAXIFS(Parâmetros!O:O,Parâmetros!A:A,A88,Parâmetros!B:B,B88,Parâmetros!D:D,D88,Parâmetros!M:M,"&lt;="&amp;K88),_xlfn.MAXIFS(Parâmetros!L:L,Parâmetros!A:A,A88,Parâmetros!B:B,B88,Parâmetros!D:D,D88,Parâmetros!J:J,"&lt;="&amp;K88),_xlfn.MAXIFS(Parâmetros!I:I,Parâmetros!A:A,A88,Parâmetros!B:B,B88,Parâmetros!D:D,D88))</f>
        <v>4593.6000000000004</v>
      </c>
      <c r="Z88" s="9">
        <f>MAX(_xlfn.MAXIFS(Parâmetros!Q:Q,Parâmetros!A:A,A88,Parâmetros!B:B,B88,Parâmetros!D:D,D88,Parâmetros!E:E,E88,Parâmetros!P:P,"&lt;="&amp;K88),
_xlfn.MAXIFS(Parâmetros!S:S,Parâmetros!A:A,A88,Parâmetros!B:B,B88,Parâmetros!D:D,D88,Parâmetros!E:E,E88,Parâmetros!R:R,"&lt;="&amp;K88),
_xlfn.MAXIFS(Parâmetros!U:U,Parâmetros!A:A,A88,Parâmetros!B:B,B88,Parâmetros!D:D,D88,Parâmetros!E:E,E88,Parâmetros!T:T,"&lt;="&amp;K88),1) * IF(K88 &gt;= SUMIFS(Parâmetros!G:G,Parâmetros!A:A,A88,Parâmetros!B:B,B88,Parâmetros!D:D,D88,Parâmetros!E:E,E88),1,0)</f>
        <v>1</v>
      </c>
      <c r="AA88" s="16">
        <f>Y88*Z88*K88</f>
        <v>3710.6354340000003</v>
      </c>
      <c r="AB88" s="16">
        <f>(AA88*N88*O88) + (AA88*Q88*R88) + (AA88*T88*U88) + (AA88*W88*X88)</f>
        <v>3966.3355940999991</v>
      </c>
      <c r="AC88" s="15">
        <f>IF(F88="Gestor",SUMIFS(AC:AC,A:A,A88,B:B,B88,G:G,D88),
IF(E88="Saving",SUMIFS(Negócios!I:I,Negócios!A:A,A88,Negócios!B:B,B88,Negócios!P:P,D88,Negócios!H:H,"Curso") +
SUMIFS(Negócios!I:I,Negócios!A:A,A88,Negócios!B:B,B88,Negócios!P:P,D88,Negócios!H:H,"Serviço") +
SUMIFS(Negócios!I:I,Negócios!A:A,A88,Negócios!B:B,B88,Negócios!P:P,D88,Negócios!H:H,"Implantação"),
SUMIFS(Negócios!I:I,Negócios!A:A,A88,Negócios!B:B,B88,Negócios!P:P,D88,Negócios!H:H,"Implantação")))</f>
        <v>7050.05</v>
      </c>
      <c r="AD88" s="16">
        <f>SUMIFS(Parâmetros!W:W,Parâmetros!A:A,A88,Parâmetros!B:B,B88,Parâmetros!D:D,D88) * AC88 * IF(K88 &gt;= SUMIFS(Parâmetros!V:V,Parâmetros!A:A,A88,Parâmetros!B:B,B88,Parâmetros!D:D,D88),1,0)</f>
        <v>141.001</v>
      </c>
      <c r="AE88" s="15">
        <f>SUMIFS('Recuperação de Canc e Divs'!D:D,'Recuperação de Canc e Divs'!A:A,A88,'Recuperação de Canc e Divs'!B:B,B88,'Recuperação de Canc e Divs'!C:C,D88)</f>
        <v>0</v>
      </c>
      <c r="AF88" s="16">
        <f>IF(K88&gt;=SUMIFS(Parâmetros!J:J,Parâmetros!A:A,A88,Parâmetros!B:B,B88,Parâmetros!D:D,D88),AE88*0.025,0)</f>
        <v>0</v>
      </c>
      <c r="AG88" s="15" t="str">
        <f t="shared" si="31"/>
        <v/>
      </c>
      <c r="AH88" s="16" t="str">
        <f t="shared" si="32"/>
        <v/>
      </c>
      <c r="AI88" s="90">
        <f t="shared" si="33"/>
        <v>0</v>
      </c>
      <c r="AJ88" s="16" t="str">
        <f t="shared" si="34"/>
        <v/>
      </c>
      <c r="AK88" s="16" t="str">
        <f t="shared" si="35"/>
        <v/>
      </c>
      <c r="AL88" s="90">
        <f t="shared" si="36"/>
        <v>0</v>
      </c>
      <c r="AM88" s="93" t="str">
        <f>IF(AND(OR(B88=3,B88=6,B88=9,B88=12),AI88&gt;=1),
IF(F88="Gestor",AI88*0.6,AI88*0.3),"")</f>
        <v/>
      </c>
      <c r="AN88" s="94" t="str">
        <f>IF(OR(B88=3,B88=6,B88=9,B88=12),
IF(AND(AL88&gt;=1,AI88&gt;=SUMIFS(Parâmetros!G:G,Parâmetros!A:A,Comissões!A88,Parâmetros!B:B,Comissões!B88,Parâmetros!D:D,Comissões!D88,Parâmetros!E:E,Comissões!E88)),AI88*0.3,""),"")</f>
        <v/>
      </c>
      <c r="AO88" s="16">
        <f t="shared" si="37"/>
        <v>6462.2699999999995</v>
      </c>
      <c r="AP88" s="16">
        <f t="shared" si="38"/>
        <v>0.99999999999999978</v>
      </c>
    </row>
    <row r="89" spans="1:42" hidden="1">
      <c r="A89" s="7">
        <v>2026</v>
      </c>
      <c r="B89" s="7">
        <v>4</v>
      </c>
      <c r="C89" s="7" t="str">
        <v>Rafael Acencio</v>
      </c>
      <c r="D89" s="7" t="str">
        <v>rafael.acencio@altoqi.com.br</v>
      </c>
      <c r="E89" s="7" t="str">
        <v>B2B Construtora</v>
      </c>
      <c r="F89" s="7" t="str">
        <v>Consultor</v>
      </c>
      <c r="G89" s="7">
        <v>0</v>
      </c>
      <c r="H89" s="7" t="str">
        <v>MRR</v>
      </c>
      <c r="I89" s="86" cm="1">
        <f t="array" ref="I89">_xlfn.IFS(
  AND(F89="Consultor",H89="MRR",E89="Farmer"),
    SUMIFS(Negócios!M:M,Negócios!A:A,A89,Negócios!B:B,B89,Negócios!P:P,D89)
    +SUMIFS(Negócios!N:N,Negócios!A:A,A89,Negócios!B:B,B89,Negócios!P:P,D89),
  AND(F89="Consultor",H89="MRR"),
    SUMIFS(Negócios!L:L,Negócios!A:A,A89,Negócios!B:B,B89,Negócios!P:P,D89),
  AND(F89="Consultor",H89="Opps"),
    SUMIFS('Realizado GD'!D:D,'Realizado GD'!A:A,A89,'Realizado GD'!B:B,B89,'Realizado GD'!C:C,D89),
  D89="sonia.zielinski@altoqi.com.br",
    SUM(SUMIFS(Negócios!L:L,Negócios!A:A,A89,Negócios!B:B,B89,Negócios!R:R,{"FSB";"Ares"}))
    +SUMIFS(Negócios!M:M,Negócios!A:A,A89,Negócios!B:B,B89,Negócios!R:R,"Farmer")
    +SUMIFS(Negócios!N:N,Negócios!A:A,A89,Negócios!B:B,B89,Negócios!R:R,"Farmer"),
  OR(
    D89="anderson.ortiz@altoqi.com.br",
    D89="rafael.motta@altoqi.com.br",
    D89="beatriz@altoqi.com.br"
  ),
    SUMIFS(Negócios!L:L,Negócios!A:A,A89,Negócios!B:B,B89,Negócios!R:R,E89),
  AND(F89="Gestor",H89="MRR"),
    SUMIFS(I:I,A:A,A89,B:B,B89,G:G,D89),
  TRUE,
    ""
)</f>
        <v>8801.1707500000011</v>
      </c>
      <c r="J89" s="16">
        <f>SUMIFS(Metas!K:K,Metas!A:A,A89,Metas!B:B,B89,Metas!D:D,D89,Metas!H:H,H89)</f>
        <v>8800</v>
      </c>
      <c r="K89" s="10">
        <f t="shared" si="20"/>
        <v>1.0001330397727275</v>
      </c>
      <c r="L89" s="26" t="str" cm="1">
        <f t="array" ref="L89">_xlfn.LET(
 _xlpm.g,_xlfn.MAXIFS(Parâmetros!G:G,Parâmetros!A:A,A89,Parâmetros!B:B,B89,Parâmetros!D:D,D89,Parâmetros!E:E,E89),
 _xlpm.j,_xlfn.MAXIFS(Parâmetros!J:J,Parâmetros!A:A,A89,Parâmetros!B:B,B89,Parâmetros!D:D,D89,Parâmetros!E:E,E89),
 _xlpm.m,_xlfn.MAXIFS(Parâmetros!M:M,Parâmetros!A:A,A89,Parâmetros!B:B,B89,Parâmetros!D:D,D89,Parâmetros!E:E,E89),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/>
      </c>
      <c r="M89" s="28" cm="1">
        <f t="array" ref="M89">_xlfn.IFS(
  AND(F89="Consultor",H89="MRR",E89="Farmer"),
    SUMIFS(Negócios!M:M,Negócios!A:A,A89,Negócios!B:B,B89,Negócios!P:P,D89,Negócios!AG:AG,"À Vista")
    +SUMIFS(Negócios!N:N,Negócios!A:A,A89,Negócios!B:B,B89,Negócios!P:P,D89,Negócios!AG:AG,"À Vista"),
  AND(F89="Consultor",H89="MRR"),
    SUMIFS(Negócios!L:L,Negócios!A:A,A89,Negócios!B:B,B89,Negócios!P:P,D89,Negócios!AG:AG,"À Vista"),
  AND(F89="Consultor",H89="Opps"),
    SUMIFS('Realizado GD'!D:D,'Realizado GD'!A:A,A89,'Realizado GD'!B:B,B89,'Realizado GD'!C:C,D89),
  D89="sonia.zielinski@altoqi.com.br",
    SUM(SUMIFS(Negócios!L:L,Negócios!A:A,A89,Negócios!B:B,B89,Negócios!R:R,{"FSB";"Ares"},Negócios!AG:AG,"À Vista"))
    +SUMIFS(Negócios!M:M,Negócios!A:A,A89,Negócios!B:B,B89,Negócios!R:R,"Farmer",Negócios!AG:AG,"À Vista")
    +SUMIFS(Negócios!N:N,Negócios!A:A,A89,Negócios!B:B,B89,Negócios!R:R,"Farmer",Negócios!AG:AG,"À Vista"),
  OR(
    D89="anderson.ortiz@altoqi.com.br",
    D89="rafael.motta@altoqi.com.br",
    D89="beatriz@altoqi.com.br"
  ),
    SUMIFS(Negócios!L:L,Negócios!A:A,A89,Negócios!B:B,B89,Negócios!R:R,E89,Negócios!AG:AG,"À Vista"),
  AND(F89="Gestor",H89="MRR"),
    SUMIFS(I:I,A:A,A89,B:B,B89,G:G,D89),
  TRUE,
    ""
)</f>
        <v>375</v>
      </c>
      <c r="N89" s="10">
        <f t="shared" si="21"/>
        <v>4.2607967809282637E-2</v>
      </c>
      <c r="O89" s="30">
        <f>SUMIFS('Acel Form Pag'!D:D,'Acel Form Pag'!A:A,A89,'Acel Form Pag'!B:B,B89,'Acel Form Pag'!C:C,E89)</f>
        <v>1.3</v>
      </c>
      <c r="P89" s="87" cm="1">
        <f t="array" ref="P89">_xlfn.IFS(
  AND(F89="Consultor",H89="MRR",E89="Farmer"),
    SUMIFS(Negócios!M:M,Negócios!A:A,A89,Negócios!B:B,B89,Negócios!P:P,D89,Negócios!AG:AG,"CC 3x")
    +SUMIFS(Negócios!N:N,Negócios!A:A,A89,Negócios!B:B,B89,Negócios!P:P,D89,Negócios!AG:AG,"CC 3x"),
  AND(F89="Consultor",H89="MRR"),
    SUMIFS(Negócios!L:L,Negócios!A:A,A89,Negócios!B:B,B89,Negócios!P:P,D89,Negócios!AG:AG,"CC 3x"),
  AND(F89="Consultor",H89="Opps"),
    SUMIFS('Realizado GD'!D:D,'Realizado GD'!A:A,A89,'Realizado GD'!B:B,B89,'Realizado GD'!C:C,D89),
  D89="sonia.zielinski@altoqi.com.br",
    SUM(SUMIFS(Negócios!L:L,Negócios!A:A,A89,Negócios!B:B,B89,Negócios!R:R,{"FSB";"Ares"},Negócios!AG:AG,"CC 3x"))
    +SUMIFS(Negócios!M:M,Negócios!A:A,A89,Negócios!B:B,B89,Negócios!R:R,"Farmer",Negócios!AG:AG,"CC 3x")
    +SUMIFS(Negócios!N:N,Negócios!A:A,A89,Negócios!B:B,B89,Negócios!R:R,"Farmer",Negócios!AG:AG,"CC 3x"),
  OR(
    D89="anderson.ortiz@altoqi.com.br",
    D89="rafael.motta@altoqi.com.br",
    D89="beatriz@altoqi.com.br"
  ),
    SUMIFS(Negócios!M:M,Negócios!A:A,A89,Negócios!B:B,B89,Negócios!R:R,E89,Negócios!AG:AG,"CC 3x"),
  AND(F89="Gestor",H89="MRR"),
    SUMIFS(I:I,A:A,A89,B:B,B89,G:G,D89),
  TRUE,
    ""
)</f>
        <v>0</v>
      </c>
      <c r="Q89" s="10">
        <f t="shared" si="22"/>
        <v>0</v>
      </c>
      <c r="R89" s="30">
        <f>SUMIFS('Acel Form Pag'!E:E,'Acel Form Pag'!A:A,A89,'Acel Form Pag'!B:B,B89,'Acel Form Pag'!C:C,E89)</f>
        <v>1.1499999999999999</v>
      </c>
      <c r="S89" s="32" cm="1">
        <f t="array" ref="S89">_xlfn.IFS(
  AND(F89="Consultor",H89="MRR",E89="Farmer"),
    SUMIFS(Negócios!M:M,Negócios!A:A,A89,Negócios!B:B,B89,Negócios!P:P,D89,Negócios!AG:AG,"CC 12x")
    +SUMIFS(Negócios!N:N,Negócios!A:A,A89,Negócios!B:B,B89,Negócios!P:P,D89,Negócios!AG:AG,"CC 12x"),
  AND(F89="Consultor",H89="MRR"),
    SUMIFS(Negócios!L:L,Negócios!A:A,A89,Negócios!B:B,B89,Negócios!P:P,D89,Negócios!AG:AG,"CC 12x"),
  AND(F89="Consultor",H89="Opps"),
    SUMIFS('Realizado GD'!D:D,'Realizado GD'!A:A,A89,'Realizado GD'!B:B,B89,'Realizado GD'!C:C,D89),
  D89="sonia.zielinski@altoqi.com.br",
    SUM(SUMIFS(Negócios!L:L,Negócios!A:A,A89,Negócios!B:B,B89,Negócios!R:R,{"FSB";"Ares"},Negócios!AG:AG,"CC 12x"))
    +SUMIFS(Negócios!M:M,Negócios!A:A,A89,Negócios!B:B,B89,Negócios!R:R,"Farmer",Negócios!AG:AG,"CC 12x")
    +SUMIFS(Negócios!N:N,Negócios!A:A,A89,Negócios!B:B,B89,Negócios!R:R,"Farmer",Negócios!AG:AG,"CC 12x"),
  OR(
    D89="anderson.ortiz@altoqi.com.br",
    D89="rafael.motta@altoqi.com.br",
    D89="beatriz@altoqi.com.br"
  ),
    SUMIFS(Negócios!L:L,Negócios!A:A,A89,Negócios!B:B,B89,Negócios!R:R,E89,Negócios!AG:AG,"CC 12x"),
  AND(F89="Gestor",H89="MRR"),
    SUMIFS(I:I,A:A,A89,B:B,B89,G:G,D89),
  TRUE,
    ""
)</f>
        <v>2880.12075</v>
      </c>
      <c r="T89" s="10">
        <f t="shared" si="23"/>
        <v>0.32724291254092525</v>
      </c>
      <c r="U89" s="30">
        <f>SUMIFS('Acel Form Pag'!F:F,'Acel Form Pag'!A:A,A89,'Acel Form Pag'!B:B,B89,'Acel Form Pag'!C:C,E89)</f>
        <v>1.1499999999999999</v>
      </c>
      <c r="V89" s="32" cm="1">
        <f t="array" ref="V89">_xlfn.IFS(
  AND(F89="Consultor",H89="MRR",E89="Farmer"),
    SUMIFS(Negócios!M:M,Negócios!A:A,A89,Negócios!B:B,B89,Negócios!P:P,D89,Negócios!AG:AG,"Recorrente")
    +SUMIFS(Negócios!N:N,Negócios!A:A,A89,Negócios!B:B,B89,Negócios!P:P,D89,Negócios!AG:AG,"Recorrente"),
  AND(F89="Consultor",H89="MRR"),
    SUMIFS(Negócios!L:L,Negócios!A:A,A89,Negócios!B:B,B89,Negócios!P:P,D89,Negócios!AG:AG,"Recorrente"),
  AND(F89="Consultor",H89="Opps"),
    SUMIFS('Realizado GD'!D:D,'Realizado GD'!A:A,A89,'Realizado GD'!B:B,B89,'Realizado GD'!C:C,D89),
  D89="sonia.zielinski@altoqi.com.br",
    SUM(SUMIFS(Negócios!L:L,Negócios!A:A,A89,Negócios!B:B,B89,Negócios!R:R,{"FSB";"Ares"},Negócios!AG:AG,"Recorrente"))
    +SUMIFS(Negócios!M:M,Negócios!A:A,A89,Negócios!B:B,B89,Negócios!R:R,"Farmer",Negócios!AG:AG,"Recorrente")
    +SUMIFS(Negócios!N:N,Negócios!A:A,A89,Negócios!B:B,B89,Negócios!R:R,"Farmer",Negócios!AG:AG,"Recorrente"),
  OR(
    D89="anderson.ortiz@altoqi.com.br",
    D89="rafael.motta@altoqi.com.br",
    D89="beatriz@altoqi.com.br"
  ),
    SUMIFS(Negócios!L:L,Negócios!A:A,A89,Negócios!B:B,B89,Negócios!R:R,E89,Negócios!AG:AG,"Recorrente"),
  AND(F89="Gestor",H89="MRR"),
    SUMIFS(I:I,A:A,A89,B:B,B89,G:G,D89),
  TRUE,
    ""
)</f>
        <v>5546.05</v>
      </c>
      <c r="W89" s="10">
        <f t="shared" si="24"/>
        <v>0.63014911964979203</v>
      </c>
      <c r="X89" s="34">
        <f>SUMIFS('Acel Form Pag'!G:G,'Acel Form Pag'!A:A,A89,'Acel Form Pag'!B:B,B89,'Acel Form Pag'!C:C,E89)</f>
        <v>1</v>
      </c>
      <c r="Y89" s="24">
        <f>MAX(_xlfn.MAXIFS(Parâmetros!O:O,Parâmetros!A:A,A89,Parâmetros!B:B,B89,Parâmetros!D:D,D89,Parâmetros!M:M,"&lt;="&amp;K89),_xlfn.MAXIFS(Parâmetros!L:L,Parâmetros!A:A,A89,Parâmetros!B:B,B89,Parâmetros!D:D,D89,Parâmetros!J:J,"&lt;="&amp;K89),_xlfn.MAXIFS(Parâmetros!I:I,Parâmetros!A:A,A89,Parâmetros!B:B,B89,Parâmetros!D:D,D89))</f>
        <v>5402.94</v>
      </c>
      <c r="Z89" s="9">
        <f>MAX(_xlfn.MAXIFS(Parâmetros!Q:Q,Parâmetros!A:A,A89,Parâmetros!B:B,B89,Parâmetros!D:D,D89,Parâmetros!E:E,E89,Parâmetros!P:P,"&lt;="&amp;K89),
_xlfn.MAXIFS(Parâmetros!S:S,Parâmetros!A:A,A89,Parâmetros!B:B,B89,Parâmetros!D:D,D89,Parâmetros!E:E,E89,Parâmetros!R:R,"&lt;="&amp;K89),
_xlfn.MAXIFS(Parâmetros!U:U,Parâmetros!A:A,A89,Parâmetros!B:B,B89,Parâmetros!D:D,D89,Parâmetros!E:E,E89,Parâmetros!T:T,"&lt;="&amp;K89),1) * IF(K89 &gt;= SUMIFS(Parâmetros!G:G,Parâmetros!A:A,A89,Parâmetros!B:B,B89,Parâmetros!D:D,D89,Parâmetros!E:E,E89),1,0)</f>
        <v>1.2</v>
      </c>
      <c r="AA89" s="16">
        <f>Y89*Z89*K89</f>
        <v>6484.3905670915919</v>
      </c>
      <c r="AB89" s="16">
        <f>(AA89*N89*O89) + (AA89*Q89*R89) + (AA89*T89*U89) + (AA89*W89*X89)</f>
        <v>6885.5722067394208</v>
      </c>
      <c r="AC89" s="15">
        <f>IF(F89="Gestor",SUMIFS(AC:AC,A:A,A89,B:B,B89,G:G,D89),
IF(E89="Saving",SUMIFS(Negócios!I:I,Negócios!A:A,A89,Negócios!B:B,B89,Negócios!P:P,D89,Negócios!H:H,"Curso") +
SUMIFS(Negócios!I:I,Negócios!A:A,A89,Negócios!B:B,B89,Negócios!P:P,D89,Negócios!H:H,"Serviço") +
SUMIFS(Negócios!I:I,Negócios!A:A,A89,Negócios!B:B,B89,Negócios!P:P,D89,Negócios!H:H,"Implantação"),
SUMIFS(Negócios!I:I,Negócios!A:A,A89,Negócios!B:B,B89,Negócios!P:P,D89,Negócios!H:H,"Implantação")))</f>
        <v>49000</v>
      </c>
      <c r="AD89" s="16">
        <f>SUMIFS(Parâmetros!W:W,Parâmetros!A:A,A89,Parâmetros!B:B,B89,Parâmetros!D:D,D89) * AC89 * IF(K89 &gt;= SUMIFS(Parâmetros!V:V,Parâmetros!A:A,A89,Parâmetros!B:B,B89,Parâmetros!D:D,D89),1,0)</f>
        <v>980</v>
      </c>
      <c r="AE89" s="15">
        <f>SUMIFS('Recuperação de Canc e Divs'!D:D,'Recuperação de Canc e Divs'!A:A,A89,'Recuperação de Canc e Divs'!B:B,B89,'Recuperação de Canc e Divs'!C:C,D89)</f>
        <v>0</v>
      </c>
      <c r="AF89" s="16">
        <f>IF(K89&gt;=SUMIFS(Parâmetros!J:J,Parâmetros!A:A,A89,Parâmetros!B:B,B89,Parâmetros!D:D,D89),AE89*0.025,0)</f>
        <v>0</v>
      </c>
      <c r="AG89" s="15" t="str">
        <f t="shared" si="31"/>
        <v/>
      </c>
      <c r="AH89" s="16" t="str">
        <f t="shared" si="32"/>
        <v/>
      </c>
      <c r="AI89" s="90">
        <f t="shared" si="33"/>
        <v>0</v>
      </c>
      <c r="AJ89" s="16" t="str">
        <f t="shared" si="34"/>
        <v/>
      </c>
      <c r="AK89" s="16" t="str">
        <f t="shared" si="35"/>
        <v/>
      </c>
      <c r="AL89" s="90">
        <f t="shared" si="36"/>
        <v>0</v>
      </c>
      <c r="AM89" s="93" t="str">
        <f>IF(AND(OR(B89=3,B89=6,B89=9,B89=12),AI89&gt;=1),
IF(F89="Gestor",AI89*0.6,AI89*0.3),"")</f>
        <v/>
      </c>
      <c r="AN89" s="94" t="str">
        <f>IF(OR(B89=3,B89=6,B89=9,B89=12),
IF(AND(AL89&gt;=1,AI89&gt;=SUMIFS(Parâmetros!G:G,Parâmetros!A:A,Comissões!A89,Parâmetros!B:B,Comissões!B89,Parâmetros!D:D,Comissões!D89,Parâmetros!E:E,Comissões!E89)),AI89*0.3,""),"")</f>
        <v/>
      </c>
      <c r="AO89" s="16">
        <f t="shared" si="37"/>
        <v>8801.1707500000011</v>
      </c>
      <c r="AP89" s="16">
        <f t="shared" si="38"/>
        <v>0.99999999999999989</v>
      </c>
    </row>
    <row r="90" spans="1:42" hidden="1">
      <c r="A90" s="7">
        <v>2026</v>
      </c>
      <c r="B90" s="7">
        <v>4</v>
      </c>
      <c r="C90" s="7" t="str">
        <v>Fernanda da Silva Fertonani</v>
      </c>
      <c r="D90" s="7" t="str">
        <v>fernanda.fertonani@altoqi.com.br</v>
      </c>
      <c r="E90" s="7" t="str">
        <v>B2B Escritório</v>
      </c>
      <c r="F90" s="7" t="str">
        <v>Consultor</v>
      </c>
      <c r="G90" s="7" t="str">
        <v>rafael.motta@altoqi.com.br</v>
      </c>
      <c r="H90" s="7" t="str">
        <v>MRR</v>
      </c>
      <c r="I90" s="86" cm="1">
        <f t="array" ref="I90">_xlfn.IFS(
  AND(F90="Consultor",H90="MRR",E90="Farmer"),
    SUMIFS(Negócios!M:M,Negócios!A:A,A90,Negócios!B:B,B90,Negócios!P:P,D90)
    +SUMIFS(Negócios!N:N,Negócios!A:A,A90,Negócios!B:B,B90,Negócios!P:P,D90),
  AND(F90="Consultor",H90="MRR"),
    SUMIFS(Negócios!L:L,Negócios!A:A,A90,Negócios!B:B,B90,Negócios!P:P,D90),
  AND(F90="Consultor",H90="Opps"),
    SUMIFS('Realizado GD'!D:D,'Realizado GD'!A:A,A90,'Realizado GD'!B:B,B90,'Realizado GD'!C:C,D90),
  D90="sonia.zielinski@altoqi.com.br",
    SUM(SUMIFS(Negócios!L:L,Negócios!A:A,A90,Negócios!B:B,B90,Negócios!R:R,{"FSB";"Ares"}))
    +SUMIFS(Negócios!M:M,Negócios!A:A,A90,Negócios!B:B,B90,Negócios!R:R,"Farmer")
    +SUMIFS(Negócios!N:N,Negócios!A:A,A90,Negócios!B:B,B90,Negócios!R:R,"Farmer"),
  OR(
    D90="anderson.ortiz@altoqi.com.br",
    D90="rafael.motta@altoqi.com.br",
    D90="beatriz@altoqi.com.br"
  ),
    SUMIFS(Negócios!L:L,Negócios!A:A,A90,Negócios!B:B,B90,Negócios!R:R,E90),
  AND(F90="Gestor",H90="MRR"),
    SUMIFS(I:I,A:A,A90,B:B,B90,G:G,D90),
  TRUE,
    ""
)</f>
        <v>7838.0000000000018</v>
      </c>
      <c r="J90" s="16">
        <f>SUMIFS(Metas!K:K,Metas!A:A,A90,Metas!B:B,B90,Metas!D:D,D90,Metas!H:H,H90)</f>
        <v>9500</v>
      </c>
      <c r="K90" s="10">
        <f t="shared" si="20"/>
        <v>0.82505263157894759</v>
      </c>
      <c r="L90" s="26" t="str" cm="1">
        <f t="array" ref="L90">_xlfn.LET(
 _xlpm.g,_xlfn.MAXIFS(Parâmetros!G:G,Parâmetros!A:A,A90,Parâmetros!B:B,B90,Parâmetros!D:D,D90,Parâmetros!E:E,E90),
 _xlpm.j,_xlfn.MAXIFS(Parâmetros!J:J,Parâmetros!A:A,A90,Parâmetros!B:B,B90,Parâmetros!D:D,D90,Parâmetros!E:E,E90),
 _xlpm.m,_xlfn.MAXIFS(Parâmetros!M:M,Parâmetros!A:A,A90,Parâmetros!B:B,B90,Parâmetros!D:D,D90,Parâmetros!E:E,E90),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/>
      </c>
      <c r="M90" s="28" cm="1">
        <f t="array" ref="M90">_xlfn.IFS(
  AND(F90="Consultor",H90="MRR",E90="Farmer"),
    SUMIFS(Negócios!M:M,Negócios!A:A,A90,Negócios!B:B,B90,Negócios!P:P,D90,Negócios!AG:AG,"À Vista")
    +SUMIFS(Negócios!N:N,Negócios!A:A,A90,Negócios!B:B,B90,Negócios!P:P,D90,Negócios!AG:AG,"À Vista"),
  AND(F90="Consultor",H90="MRR"),
    SUMIFS(Negócios!L:L,Negócios!A:A,A90,Negócios!B:B,B90,Negócios!P:P,D90,Negócios!AG:AG,"À Vista"),
  AND(F90="Consultor",H90="Opps"),
    SUMIFS('Realizado GD'!D:D,'Realizado GD'!A:A,A90,'Realizado GD'!B:B,B90,'Realizado GD'!C:C,D90),
  D90="sonia.zielinski@altoqi.com.br",
    SUM(SUMIFS(Negócios!L:L,Negócios!A:A,A90,Negócios!B:B,B90,Negócios!R:R,{"FSB";"Ares"},Negócios!AG:AG,"À Vista"))
    +SUMIFS(Negócios!M:M,Negócios!A:A,A90,Negócios!B:B,B90,Negócios!R:R,"Farmer",Negócios!AG:AG,"À Vista")
    +SUMIFS(Negócios!N:N,Negócios!A:A,A90,Negócios!B:B,B90,Negócios!R:R,"Farmer",Negócios!AG:AG,"À Vista"),
  OR(
    D90="anderson.ortiz@altoqi.com.br",
    D90="rafael.motta@altoqi.com.br",
    D90="beatriz@altoqi.com.br"
  ),
    SUMIFS(Negócios!L:L,Negócios!A:A,A90,Negócios!B:B,B90,Negócios!R:R,E90,Negócios!AG:AG,"À Vista"),
  AND(F90="Gestor",H90="MRR"),
    SUMIFS(I:I,A:A,A90,B:B,B90,G:G,D90),
  TRUE,
    ""
)</f>
        <v>801.15000000000009</v>
      </c>
      <c r="N90" s="10">
        <f t="shared" si="21"/>
        <v>0.10221357489155396</v>
      </c>
      <c r="O90" s="30">
        <f>SUMIFS('Acel Form Pag'!D:D,'Acel Form Pag'!A:A,A90,'Acel Form Pag'!B:B,B90,'Acel Form Pag'!C:C,E90)</f>
        <v>1.3</v>
      </c>
      <c r="P90" s="87" cm="1">
        <f t="array" ref="P90">_xlfn.IFS(
  AND(F90="Consultor",H90="MRR",E90="Farmer"),
    SUMIFS(Negócios!M:M,Negócios!A:A,A90,Negócios!B:B,B90,Negócios!P:P,D90,Negócios!AG:AG,"CC 3x")
    +SUMIFS(Negócios!N:N,Negócios!A:A,A90,Negócios!B:B,B90,Negócios!P:P,D90,Negócios!AG:AG,"CC 3x"),
  AND(F90="Consultor",H90="MRR"),
    SUMIFS(Negócios!L:L,Negócios!A:A,A90,Negócios!B:B,B90,Negócios!P:P,D90,Negócios!AG:AG,"CC 3x"),
  AND(F90="Consultor",H90="Opps"),
    SUMIFS('Realizado GD'!D:D,'Realizado GD'!A:A,A90,'Realizado GD'!B:B,B90,'Realizado GD'!C:C,D90),
  D90="sonia.zielinski@altoqi.com.br",
    SUM(SUMIFS(Negócios!L:L,Negócios!A:A,A90,Negócios!B:B,B90,Negócios!R:R,{"FSB";"Ares"},Negócios!AG:AG,"CC 3x"))
    +SUMIFS(Negócios!M:M,Negócios!A:A,A90,Negócios!B:B,B90,Negócios!R:R,"Farmer",Negócios!AG:AG,"CC 3x")
    +SUMIFS(Negócios!N:N,Negócios!A:A,A90,Negócios!B:B,B90,Negócios!R:R,"Farmer",Negócios!AG:AG,"CC 3x"),
  OR(
    D90="anderson.ortiz@altoqi.com.br",
    D90="rafael.motta@altoqi.com.br",
    D90="beatriz@altoqi.com.br"
  ),
    SUMIFS(Negócios!M:M,Negócios!A:A,A90,Negócios!B:B,B90,Negócios!R:R,E90,Negócios!AG:AG,"CC 3x"),
  AND(F90="Gestor",H90="MRR"),
    SUMIFS(I:I,A:A,A90,B:B,B90,G:G,D90),
  TRUE,
    ""
)</f>
        <v>0</v>
      </c>
      <c r="Q90" s="10">
        <f t="shared" si="22"/>
        <v>0</v>
      </c>
      <c r="R90" s="30">
        <f>SUMIFS('Acel Form Pag'!E:E,'Acel Form Pag'!A:A,A90,'Acel Form Pag'!B:B,B90,'Acel Form Pag'!C:C,E90)</f>
        <v>1.1499999999999999</v>
      </c>
      <c r="S90" s="32" cm="1">
        <f t="array" ref="S90">_xlfn.IFS(
  AND(F90="Consultor",H90="MRR",E90="Farmer"),
    SUMIFS(Negócios!M:M,Negócios!A:A,A90,Negócios!B:B,B90,Negócios!P:P,D90,Negócios!AG:AG,"CC 12x")
    +SUMIFS(Negócios!N:N,Negócios!A:A,A90,Negócios!B:B,B90,Negócios!P:P,D90,Negócios!AG:AG,"CC 12x"),
  AND(F90="Consultor",H90="MRR"),
    SUMIFS(Negócios!L:L,Negócios!A:A,A90,Negócios!B:B,B90,Negócios!P:P,D90,Negócios!AG:AG,"CC 12x"),
  AND(F90="Consultor",H90="Opps"),
    SUMIFS('Realizado GD'!D:D,'Realizado GD'!A:A,A90,'Realizado GD'!B:B,B90,'Realizado GD'!C:C,D90),
  D90="sonia.zielinski@altoqi.com.br",
    SUM(SUMIFS(Negócios!L:L,Negócios!A:A,A90,Negócios!B:B,B90,Negócios!R:R,{"FSB";"Ares"},Negócios!AG:AG,"CC 12x"))
    +SUMIFS(Negócios!M:M,Negócios!A:A,A90,Negócios!B:B,B90,Negócios!R:R,"Farmer",Negócios!AG:AG,"CC 12x")
    +SUMIFS(Negócios!N:N,Negócios!A:A,A90,Negócios!B:B,B90,Negócios!R:R,"Farmer",Negócios!AG:AG,"CC 12x"),
  OR(
    D90="anderson.ortiz@altoqi.com.br",
    D90="rafael.motta@altoqi.com.br",
    D90="beatriz@altoqi.com.br"
  ),
    SUMIFS(Negócios!L:L,Negócios!A:A,A90,Negócios!B:B,B90,Negócios!R:R,E90,Negócios!AG:AG,"CC 12x"),
  AND(F90="Gestor",H90="MRR"),
    SUMIFS(I:I,A:A,A90,B:B,B90,G:G,D90),
  TRUE,
    ""
)</f>
        <v>4239.3500000000004</v>
      </c>
      <c r="T90" s="10">
        <f t="shared" si="23"/>
        <v>0.54087139576422549</v>
      </c>
      <c r="U90" s="30">
        <f>SUMIFS('Acel Form Pag'!F:F,'Acel Form Pag'!A:A,A90,'Acel Form Pag'!B:B,B90,'Acel Form Pag'!C:C,E90)</f>
        <v>1.1499999999999999</v>
      </c>
      <c r="V90" s="32" cm="1">
        <f t="array" ref="V90">_xlfn.IFS(
  AND(F90="Consultor",H90="MRR",E90="Farmer"),
    SUMIFS(Negócios!M:M,Negócios!A:A,A90,Negócios!B:B,B90,Negócios!P:P,D90,Negócios!AG:AG,"Recorrente")
    +SUMIFS(Negócios!N:N,Negócios!A:A,A90,Negócios!B:B,B90,Negócios!P:P,D90,Negócios!AG:AG,"Recorrente"),
  AND(F90="Consultor",H90="MRR"),
    SUMIFS(Negócios!L:L,Negócios!A:A,A90,Negócios!B:B,B90,Negócios!P:P,D90,Negócios!AG:AG,"Recorrente"),
  AND(F90="Consultor",H90="Opps"),
    SUMIFS('Realizado GD'!D:D,'Realizado GD'!A:A,A90,'Realizado GD'!B:B,B90,'Realizado GD'!C:C,D90),
  D90="sonia.zielinski@altoqi.com.br",
    SUM(SUMIFS(Negócios!L:L,Negócios!A:A,A90,Negócios!B:B,B90,Negócios!R:R,{"FSB";"Ares"},Negócios!AG:AG,"Recorrente"))
    +SUMIFS(Negócios!M:M,Negócios!A:A,A90,Negócios!B:B,B90,Negócios!R:R,"Farmer",Negócios!AG:AG,"Recorrente")
    +SUMIFS(Negócios!N:N,Negócios!A:A,A90,Negócios!B:B,B90,Negócios!R:R,"Farmer",Negócios!AG:AG,"Recorrente"),
  OR(
    D90="anderson.ortiz@altoqi.com.br",
    D90="rafael.motta@altoqi.com.br",
    D90="beatriz@altoqi.com.br"
  ),
    SUMIFS(Negócios!L:L,Negócios!A:A,A90,Negócios!B:B,B90,Negócios!R:R,E90,Negócios!AG:AG,"Recorrente"),
  AND(F90="Gestor",H90="MRR"),
    SUMIFS(I:I,A:A,A90,B:B,B90,G:G,D90),
  TRUE,
    ""
)</f>
        <v>2797.5</v>
      </c>
      <c r="W90" s="10">
        <f t="shared" si="24"/>
        <v>0.35691502934422037</v>
      </c>
      <c r="X90" s="34">
        <f>SUMIFS('Acel Form Pag'!G:G,'Acel Form Pag'!A:A,A90,'Acel Form Pag'!B:B,B90,'Acel Form Pag'!C:C,E90)</f>
        <v>1</v>
      </c>
      <c r="Y90" s="24">
        <f>MAX(_xlfn.MAXIFS(Parâmetros!O:O,Parâmetros!A:A,A90,Parâmetros!B:B,B90,Parâmetros!D:D,D90,Parâmetros!M:M,"&lt;="&amp;K90),_xlfn.MAXIFS(Parâmetros!L:L,Parâmetros!A:A,A90,Parâmetros!B:B,B90,Parâmetros!D:D,D90,Parâmetros!J:J,"&lt;="&amp;K90),_xlfn.MAXIFS(Parâmetros!I:I,Parâmetros!A:A,A90,Parâmetros!B:B,B90,Parâmetros!D:D,D90))</f>
        <v>4593.6000000000004</v>
      </c>
      <c r="Z90" s="9">
        <f>MAX(_xlfn.MAXIFS(Parâmetros!Q:Q,Parâmetros!A:A,A90,Parâmetros!B:B,B90,Parâmetros!D:D,D90,Parâmetros!E:E,E90,Parâmetros!P:P,"&lt;="&amp;K90),
_xlfn.MAXIFS(Parâmetros!S:S,Parâmetros!A:A,A90,Parâmetros!B:B,B90,Parâmetros!D:D,D90,Parâmetros!E:E,E90,Parâmetros!R:R,"&lt;="&amp;K90),
_xlfn.MAXIFS(Parâmetros!U:U,Parâmetros!A:A,A90,Parâmetros!B:B,B90,Parâmetros!D:D,D90,Parâmetros!E:E,E90,Parâmetros!T:T,"&lt;="&amp;K90),1) * IF(K90 &gt;= SUMIFS(Parâmetros!G:G,Parâmetros!A:A,A90,Parâmetros!B:B,B90,Parâmetros!D:D,D90,Parâmetros!E:E,E90),1,0)</f>
        <v>1</v>
      </c>
      <c r="AA90" s="16">
        <f>Y90*Z90*K90</f>
        <v>3789.9617684210539</v>
      </c>
      <c r="AB90" s="16">
        <f>(AA90*N90*O90) + (AA90*Q90*R90) + (AA90*T90*U90) + (AA90*W90*X90)</f>
        <v>4213.6597174736853</v>
      </c>
      <c r="AC90" s="15">
        <f>IF(F90="Gestor",SUMIFS(AC:AC,A:A,A90,B:B,B90,G:G,D90),
IF(E90="Saving",SUMIFS(Negócios!I:I,Negócios!A:A,A90,Negócios!B:B,B90,Negócios!P:P,D90,Negócios!H:H,"Curso") +
SUMIFS(Negócios!I:I,Negócios!A:A,A90,Negócios!B:B,B90,Negócios!P:P,D90,Negócios!H:H,"Serviço") +
SUMIFS(Negócios!I:I,Negócios!A:A,A90,Negócios!B:B,B90,Negócios!P:P,D90,Negócios!H:H,"Implantação"),
SUMIFS(Negócios!I:I,Negócios!A:A,A90,Negócios!B:B,B90,Negócios!P:P,D90,Negócios!H:H,"Implantação")))</f>
        <v>0</v>
      </c>
      <c r="AD90" s="16">
        <f>SUMIFS(Parâmetros!W:W,Parâmetros!A:A,A90,Parâmetros!B:B,B90,Parâmetros!D:D,D90) * AC90 * IF(K90 &gt;= SUMIFS(Parâmetros!V:V,Parâmetros!A:A,A90,Parâmetros!B:B,B90,Parâmetros!D:D,D90),1,0)</f>
        <v>0</v>
      </c>
      <c r="AE90" s="15">
        <f>SUMIFS('Recuperação de Canc e Divs'!D:D,'Recuperação de Canc e Divs'!A:A,A90,'Recuperação de Canc e Divs'!B:B,B90,'Recuperação de Canc e Divs'!C:C,D90)</f>
        <v>0</v>
      </c>
      <c r="AF90" s="16">
        <f>IF(K90&gt;=SUMIFS(Parâmetros!J:J,Parâmetros!A:A,A90,Parâmetros!B:B,B90,Parâmetros!D:D,D90),AE90*0.025,0)</f>
        <v>0</v>
      </c>
      <c r="AG90" s="15" t="str">
        <f t="shared" si="31"/>
        <v/>
      </c>
      <c r="AH90" s="16" t="str">
        <f t="shared" si="32"/>
        <v/>
      </c>
      <c r="AI90" s="90">
        <f t="shared" si="33"/>
        <v>0</v>
      </c>
      <c r="AJ90" s="16" t="str">
        <f t="shared" si="34"/>
        <v/>
      </c>
      <c r="AK90" s="16" t="str">
        <f t="shared" si="35"/>
        <v/>
      </c>
      <c r="AL90" s="90">
        <f t="shared" si="36"/>
        <v>0</v>
      </c>
      <c r="AM90" s="93" t="str">
        <f>IF(AND(OR(B90=3,B90=6,B90=9,B90=12),AI90&gt;=1),
IF(F90="Gestor",AI90*0.6,AI90*0.3),"")</f>
        <v/>
      </c>
      <c r="AN90" s="94" t="str">
        <f>IF(OR(B90=3,B90=6,B90=9,B90=12),
IF(AND(AL90&gt;=1,AI90&gt;=SUMIFS(Parâmetros!G:G,Parâmetros!A:A,Comissões!A90,Parâmetros!B:B,Comissões!B90,Parâmetros!D:D,Comissões!D90,Parâmetros!E:E,Comissões!E90)),AI90*0.3,""),"")</f>
        <v/>
      </c>
      <c r="AO90" s="16">
        <f t="shared" si="37"/>
        <v>7838</v>
      </c>
      <c r="AP90" s="16">
        <f t="shared" si="38"/>
        <v>0.99999999999999978</v>
      </c>
    </row>
    <row r="91" spans="1:42" hidden="1">
      <c r="A91" s="7">
        <v>2026</v>
      </c>
      <c r="B91" s="7">
        <v>4</v>
      </c>
      <c r="C91" s="7" t="str">
        <v>Francisco Guilherme Junior</v>
      </c>
      <c r="D91" s="7" t="str">
        <v>francisco.junior@altoqi.com.br</v>
      </c>
      <c r="E91" s="7" t="str">
        <v>B2B Escritório</v>
      </c>
      <c r="F91" s="7" t="str">
        <v>Consultor</v>
      </c>
      <c r="G91" s="7" t="str">
        <v>rafael.motta@altoqi.com.br</v>
      </c>
      <c r="H91" s="7" t="str">
        <v>MRR</v>
      </c>
      <c r="I91" s="86" cm="1">
        <f t="array" ref="I91">_xlfn.IFS(
  AND(F91="Consultor",H91="MRR",E91="Farmer"),
    SUMIFS(Negócios!M:M,Negócios!A:A,A91,Negócios!B:B,B91,Negócios!P:P,D91)
    +SUMIFS(Negócios!N:N,Negócios!A:A,A91,Negócios!B:B,B91,Negócios!P:P,D91),
  AND(F91="Consultor",H91="MRR"),
    SUMIFS(Negócios!L:L,Negócios!A:A,A91,Negócios!B:B,B91,Negócios!P:P,D91),
  AND(F91="Consultor",H91="Opps"),
    SUMIFS('Realizado GD'!D:D,'Realizado GD'!A:A,A91,'Realizado GD'!B:B,B91,'Realizado GD'!C:C,D91),
  D91="sonia.zielinski@altoqi.com.br",
    SUM(SUMIFS(Negócios!L:L,Negócios!A:A,A91,Negócios!B:B,B91,Negócios!R:R,{"FSB";"Ares"}))
    +SUMIFS(Negócios!M:M,Negócios!A:A,A91,Negócios!B:B,B91,Negócios!R:R,"Farmer")
    +SUMIFS(Negócios!N:N,Negócios!A:A,A91,Negócios!B:B,B91,Negócios!R:R,"Farmer"),
  OR(
    D91="anderson.ortiz@altoqi.com.br",
    D91="rafael.motta@altoqi.com.br",
    D91="beatriz@altoqi.com.br"
  ),
    SUMIFS(Negócios!L:L,Negócios!A:A,A91,Negócios!B:B,B91,Negócios!R:R,E91),
  AND(F91="Gestor",H91="MRR"),
    SUMIFS(I:I,A:A,A91,B:B,B91,G:G,D91),
  TRUE,
    ""
)</f>
        <v>5377.0700000000006</v>
      </c>
      <c r="J91" s="16">
        <f>SUMIFS(Metas!K:K,Metas!A:A,A91,Metas!B:B,B91,Metas!D:D,D91,Metas!H:H,H91)</f>
        <v>3164.4499999999994</v>
      </c>
      <c r="K91" s="10">
        <f t="shared" si="20"/>
        <v>1.6992115533505039</v>
      </c>
      <c r="L91" s="26" t="str" cm="1">
        <f t="array" ref="L91">_xlfn.LET(
 _xlpm.g,_xlfn.MAXIFS(Parâmetros!G:G,Parâmetros!A:A,A91,Parâmetros!B:B,B91,Parâmetros!D:D,D91,Parâmetros!E:E,E91),
 _xlpm.j,_xlfn.MAXIFS(Parâmetros!J:J,Parâmetros!A:A,A91,Parâmetros!B:B,B91,Parâmetros!D:D,D91,Parâmetros!E:E,E91),
 _xlpm.m,_xlfn.MAXIFS(Parâmetros!M:M,Parâmetros!A:A,A91,Parâmetros!B:B,B91,Parâmetros!D:D,D91,Parâmetros!E:E,E91),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/>
      </c>
      <c r="M91" s="28" cm="1">
        <f t="array" ref="M91">_xlfn.IFS(
  AND(F91="Consultor",H91="MRR",E91="Farmer"),
    SUMIFS(Negócios!M:M,Negócios!A:A,A91,Negócios!B:B,B91,Negócios!P:P,D91,Negócios!AG:AG,"À Vista")
    +SUMIFS(Negócios!N:N,Negócios!A:A,A91,Negócios!B:B,B91,Negócios!P:P,D91,Negócios!AG:AG,"À Vista"),
  AND(F91="Consultor",H91="MRR"),
    SUMIFS(Negócios!L:L,Negócios!A:A,A91,Negócios!B:B,B91,Negócios!P:P,D91,Negócios!AG:AG,"À Vista"),
  AND(F91="Consultor",H91="Opps"),
    SUMIFS('Realizado GD'!D:D,'Realizado GD'!A:A,A91,'Realizado GD'!B:B,B91,'Realizado GD'!C:C,D91),
  D91="sonia.zielinski@altoqi.com.br",
    SUM(SUMIFS(Negócios!L:L,Negócios!A:A,A91,Negócios!B:B,B91,Negócios!R:R,{"FSB";"Ares"},Negócios!AG:AG,"À Vista"))
    +SUMIFS(Negócios!M:M,Negócios!A:A,A91,Negócios!B:B,B91,Negócios!R:R,"Farmer",Negócios!AG:AG,"À Vista")
    +SUMIFS(Negócios!N:N,Negócios!A:A,A91,Negócios!B:B,B91,Negócios!R:R,"Farmer",Negócios!AG:AG,"À Vista"),
  OR(
    D91="anderson.ortiz@altoqi.com.br",
    D91="rafael.motta@altoqi.com.br",
    D91="beatriz@altoqi.com.br"
  ),
    SUMIFS(Negócios!L:L,Negócios!A:A,A91,Negócios!B:B,B91,Negócios!R:R,E91,Negócios!AG:AG,"À Vista"),
  AND(F91="Gestor",H91="MRR"),
    SUMIFS(I:I,A:A,A91,B:B,B91,G:G,D91),
  TRUE,
    ""
)</f>
        <v>737.37</v>
      </c>
      <c r="N91" s="10">
        <f t="shared" si="21"/>
        <v>0.1371323043962604</v>
      </c>
      <c r="O91" s="30">
        <f>SUMIFS('Acel Form Pag'!D:D,'Acel Form Pag'!A:A,A91,'Acel Form Pag'!B:B,B91,'Acel Form Pag'!C:C,E91)</f>
        <v>1.3</v>
      </c>
      <c r="P91" s="87" cm="1">
        <f t="array" ref="P91">_xlfn.IFS(
  AND(F91="Consultor",H91="MRR",E91="Farmer"),
    SUMIFS(Negócios!M:M,Negócios!A:A,A91,Negócios!B:B,B91,Negócios!P:P,D91,Negócios!AG:AG,"CC 3x")
    +SUMIFS(Negócios!N:N,Negócios!A:A,A91,Negócios!B:B,B91,Negócios!P:P,D91,Negócios!AG:AG,"CC 3x"),
  AND(F91="Consultor",H91="MRR"),
    SUMIFS(Negócios!L:L,Negócios!A:A,A91,Negócios!B:B,B91,Negócios!P:P,D91,Negócios!AG:AG,"CC 3x"),
  AND(F91="Consultor",H91="Opps"),
    SUMIFS('Realizado GD'!D:D,'Realizado GD'!A:A,A91,'Realizado GD'!B:B,B91,'Realizado GD'!C:C,D91),
  D91="sonia.zielinski@altoqi.com.br",
    SUM(SUMIFS(Negócios!L:L,Negócios!A:A,A91,Negócios!B:B,B91,Negócios!R:R,{"FSB";"Ares"},Negócios!AG:AG,"CC 3x"))
    +SUMIFS(Negócios!M:M,Negócios!A:A,A91,Negócios!B:B,B91,Negócios!R:R,"Farmer",Negócios!AG:AG,"CC 3x")
    +SUMIFS(Negócios!N:N,Negócios!A:A,A91,Negócios!B:B,B91,Negócios!R:R,"Farmer",Negócios!AG:AG,"CC 3x"),
  OR(
    D91="anderson.ortiz@altoqi.com.br",
    D91="rafael.motta@altoqi.com.br",
    D91="beatriz@altoqi.com.br"
  ),
    SUMIFS(Negócios!M:M,Negócios!A:A,A91,Negócios!B:B,B91,Negócios!R:R,E91,Negócios!AG:AG,"CC 3x"),
  AND(F91="Gestor",H91="MRR"),
    SUMIFS(I:I,A:A,A91,B:B,B91,G:G,D91),
  TRUE,
    ""
)</f>
        <v>0</v>
      </c>
      <c r="Q91" s="10">
        <f t="shared" si="22"/>
        <v>0</v>
      </c>
      <c r="R91" s="30">
        <f>SUMIFS('Acel Form Pag'!E:E,'Acel Form Pag'!A:A,A91,'Acel Form Pag'!B:B,B91,'Acel Form Pag'!C:C,E91)</f>
        <v>1.1499999999999999</v>
      </c>
      <c r="S91" s="32" cm="1">
        <f t="array" ref="S91">_xlfn.IFS(
  AND(F91="Consultor",H91="MRR",E91="Farmer"),
    SUMIFS(Negócios!M:M,Negócios!A:A,A91,Negócios!B:B,B91,Negócios!P:P,D91,Negócios!AG:AG,"CC 12x")
    +SUMIFS(Negócios!N:N,Negócios!A:A,A91,Negócios!B:B,B91,Negócios!P:P,D91,Negócios!AG:AG,"CC 12x"),
  AND(F91="Consultor",H91="MRR"),
    SUMIFS(Negócios!L:L,Negócios!A:A,A91,Negócios!B:B,B91,Negócios!P:P,D91,Negócios!AG:AG,"CC 12x"),
  AND(F91="Consultor",H91="Opps"),
    SUMIFS('Realizado GD'!D:D,'Realizado GD'!A:A,A91,'Realizado GD'!B:B,B91,'Realizado GD'!C:C,D91),
  D91="sonia.zielinski@altoqi.com.br",
    SUM(SUMIFS(Negócios!L:L,Negócios!A:A,A91,Negócios!B:B,B91,Negócios!R:R,{"FSB";"Ares"},Negócios!AG:AG,"CC 12x"))
    +SUMIFS(Negócios!M:M,Negócios!A:A,A91,Negócios!B:B,B91,Negócios!R:R,"Farmer",Negócios!AG:AG,"CC 12x")
    +SUMIFS(Negócios!N:N,Negócios!A:A,A91,Negócios!B:B,B91,Negócios!R:R,"Farmer",Negócios!AG:AG,"CC 12x"),
  OR(
    D91="anderson.ortiz@altoqi.com.br",
    D91="rafael.motta@altoqi.com.br",
    D91="beatriz@altoqi.com.br"
  ),
    SUMIFS(Negócios!L:L,Negócios!A:A,A91,Negócios!B:B,B91,Negócios!R:R,E91,Negócios!AG:AG,"CC 12x"),
  AND(F91="Gestor",H91="MRR"),
    SUMIFS(I:I,A:A,A91,B:B,B91,G:G,D91),
  TRUE,
    ""
)</f>
        <v>952.5</v>
      </c>
      <c r="T91" s="10">
        <f t="shared" si="23"/>
        <v>0.17714108241105284</v>
      </c>
      <c r="U91" s="30">
        <f>SUMIFS('Acel Form Pag'!F:F,'Acel Form Pag'!A:A,A91,'Acel Form Pag'!B:B,B91,'Acel Form Pag'!C:C,E91)</f>
        <v>1.1499999999999999</v>
      </c>
      <c r="V91" s="32" cm="1">
        <f t="array" ref="V91">_xlfn.IFS(
  AND(F91="Consultor",H91="MRR",E91="Farmer"),
    SUMIFS(Negócios!M:M,Negócios!A:A,A91,Negócios!B:B,B91,Negócios!P:P,D91,Negócios!AG:AG,"Recorrente")
    +SUMIFS(Negócios!N:N,Negócios!A:A,A91,Negócios!B:B,B91,Negócios!P:P,D91,Negócios!AG:AG,"Recorrente"),
  AND(F91="Consultor",H91="MRR"),
    SUMIFS(Negócios!L:L,Negócios!A:A,A91,Negócios!B:B,B91,Negócios!P:P,D91,Negócios!AG:AG,"Recorrente"),
  AND(F91="Consultor",H91="Opps"),
    SUMIFS('Realizado GD'!D:D,'Realizado GD'!A:A,A91,'Realizado GD'!B:B,B91,'Realizado GD'!C:C,D91),
  D91="sonia.zielinski@altoqi.com.br",
    SUM(SUMIFS(Negócios!L:L,Negócios!A:A,A91,Negócios!B:B,B91,Negócios!R:R,{"FSB";"Ares"},Negócios!AG:AG,"Recorrente"))
    +SUMIFS(Negócios!M:M,Negócios!A:A,A91,Negócios!B:B,B91,Negócios!R:R,"Farmer",Negócios!AG:AG,"Recorrente")
    +SUMIFS(Negócios!N:N,Negócios!A:A,A91,Negócios!B:B,B91,Negócios!R:R,"Farmer",Negócios!AG:AG,"Recorrente"),
  OR(
    D91="anderson.ortiz@altoqi.com.br",
    D91="rafael.motta@altoqi.com.br",
    D91="beatriz@altoqi.com.br"
  ),
    SUMIFS(Negócios!L:L,Negócios!A:A,A91,Negócios!B:B,B91,Negócios!R:R,E91,Negócios!AG:AG,"Recorrente"),
  AND(F91="Gestor",H91="MRR"),
    SUMIFS(I:I,A:A,A91,B:B,B91,G:G,D91),
  TRUE,
    ""
)</f>
        <v>3687.2</v>
      </c>
      <c r="W91" s="10">
        <f t="shared" si="24"/>
        <v>0.68572661319268657</v>
      </c>
      <c r="X91" s="34">
        <f>SUMIFS('Acel Form Pag'!G:G,'Acel Form Pag'!A:A,A91,'Acel Form Pag'!B:B,B91,'Acel Form Pag'!C:C,E91)</f>
        <v>1</v>
      </c>
      <c r="Y91" s="24">
        <f>MAX(_xlfn.MAXIFS(Parâmetros!O:O,Parâmetros!A:A,A91,Parâmetros!B:B,B91,Parâmetros!D:D,D91,Parâmetros!M:M,"&lt;="&amp;K91),_xlfn.MAXIFS(Parâmetros!L:L,Parâmetros!A:A,A91,Parâmetros!B:B,B91,Parâmetros!D:D,D91,Parâmetros!J:J,"&lt;="&amp;K91),_xlfn.MAXIFS(Parâmetros!I:I,Parâmetros!A:A,A91,Parâmetros!B:B,B91,Parâmetros!D:D,D91))</f>
        <v>1530.12816</v>
      </c>
      <c r="Z91" s="9">
        <f>MAX(_xlfn.MAXIFS(Parâmetros!Q:Q,Parâmetros!A:A,A91,Parâmetros!B:B,B91,Parâmetros!D:D,D91,Parâmetros!E:E,E91,Parâmetros!P:P,"&lt;="&amp;K91),
_xlfn.MAXIFS(Parâmetros!S:S,Parâmetros!A:A,A91,Parâmetros!B:B,B91,Parâmetros!D:D,D91,Parâmetros!E:E,E91,Parâmetros!R:R,"&lt;="&amp;K91),
_xlfn.MAXIFS(Parâmetros!U:U,Parâmetros!A:A,A91,Parâmetros!B:B,B91,Parâmetros!D:D,D91,Parâmetros!E:E,E91,Parâmetros!T:T,"&lt;="&amp;K91),1) * IF(K91 &gt;= SUMIFS(Parâmetros!G:G,Parâmetros!A:A,A91,Parâmetros!B:B,B91,Parâmetros!D:D,D91,Parâmetros!E:E,E91),1,0)</f>
        <v>1.3</v>
      </c>
      <c r="AA91" s="16">
        <f>Y91*Z91*K91</f>
        <v>3380.0148818526327</v>
      </c>
      <c r="AB91" s="16">
        <f>(AA91*N91*O91) + (AA91*Q91*R91) + (AA91*T91*U91) + (AA91*W91*X91)</f>
        <v>3608.8785749557901</v>
      </c>
      <c r="AC91" s="15">
        <f>IF(F91="Gestor",SUMIFS(AC:AC,A:A,A91,B:B,B91,G:G,D91),
IF(E91="Saving",SUMIFS(Negócios!I:I,Negócios!A:A,A91,Negócios!B:B,B91,Negócios!P:P,D91,Negócios!H:H,"Curso") +
SUMIFS(Negócios!I:I,Negócios!A:A,A91,Negócios!B:B,B91,Negócios!P:P,D91,Negócios!H:H,"Serviço") +
SUMIFS(Negócios!I:I,Negócios!A:A,A91,Negócios!B:B,B91,Negócios!P:P,D91,Negócios!H:H,"Implantação"),
SUMIFS(Negócios!I:I,Negócios!A:A,A91,Negócios!B:B,B91,Negócios!P:P,D91,Negócios!H:H,"Implantação")))</f>
        <v>2064</v>
      </c>
      <c r="AD91" s="16">
        <f>SUMIFS(Parâmetros!W:W,Parâmetros!A:A,A91,Parâmetros!B:B,B91,Parâmetros!D:D,D91) * AC91 * IF(K91 &gt;= SUMIFS(Parâmetros!V:V,Parâmetros!A:A,A91,Parâmetros!B:B,B91,Parâmetros!D:D,D91),1,0)</f>
        <v>41.28</v>
      </c>
      <c r="AE91" s="15">
        <f>SUMIFS('Recuperação de Canc e Divs'!D:D,'Recuperação de Canc e Divs'!A:A,A91,'Recuperação de Canc e Divs'!B:B,B91,'Recuperação de Canc e Divs'!C:C,D91)</f>
        <v>0</v>
      </c>
      <c r="AF91" s="16">
        <f>IF(K91&gt;=SUMIFS(Parâmetros!J:J,Parâmetros!A:A,A91,Parâmetros!B:B,B91,Parâmetros!D:D,D91),AE91*0.025,0)</f>
        <v>0</v>
      </c>
      <c r="AG91" s="15" t="str">
        <f t="shared" si="31"/>
        <v/>
      </c>
      <c r="AH91" s="16" t="str">
        <f t="shared" si="32"/>
        <v/>
      </c>
      <c r="AI91" s="90">
        <f t="shared" si="33"/>
        <v>0</v>
      </c>
      <c r="AJ91" s="16" t="str">
        <f t="shared" si="34"/>
        <v/>
      </c>
      <c r="AK91" s="16" t="str">
        <f t="shared" si="35"/>
        <v/>
      </c>
      <c r="AL91" s="90">
        <f t="shared" si="36"/>
        <v>0</v>
      </c>
      <c r="AM91" s="93" t="str">
        <f>IF(AND(OR(B91=3,B91=6,B91=9,B91=12),AI91&gt;=1),
IF(F91="Gestor",AI91*0.6,AI91*0.3),"")</f>
        <v/>
      </c>
      <c r="AN91" s="94" t="str">
        <f>IF(OR(B91=3,B91=6,B91=9,B91=12),
IF(AND(AL91&gt;=1,AI91&gt;=SUMIFS(Parâmetros!G:G,Parâmetros!A:A,Comissões!A91,Parâmetros!B:B,Comissões!B91,Parâmetros!D:D,Comissões!D91,Parâmetros!E:E,Comissões!E91)),AI91*0.3,""),"")</f>
        <v/>
      </c>
      <c r="AO91" s="16">
        <f t="shared" si="37"/>
        <v>5377.07</v>
      </c>
      <c r="AP91" s="16">
        <f t="shared" si="38"/>
        <v>0.99999999999999978</v>
      </c>
    </row>
    <row r="92" spans="1:42" hidden="1">
      <c r="A92" s="7">
        <v>2026</v>
      </c>
      <c r="B92" s="7">
        <v>4</v>
      </c>
      <c r="C92" s="7" t="str">
        <v>Rafael Marquez Motta</v>
      </c>
      <c r="D92" s="7" t="str">
        <v>rafael.motta@altoqi.com.br</v>
      </c>
      <c r="E92" s="7" t="str">
        <v>B2B Escritório</v>
      </c>
      <c r="F92" s="7" t="str">
        <v>Gestor</v>
      </c>
      <c r="G92" s="7">
        <v>0</v>
      </c>
      <c r="H92" s="7" t="str">
        <v>MRR</v>
      </c>
      <c r="I92" s="86" cm="1">
        <f t="array" ref="I92">_xlfn.IFS(
  AND(F92="Consultor",H92="MRR",E92="Farmer"),
    SUMIFS(Negócios!M:M,Negócios!A:A,A92,Negócios!B:B,B92,Negócios!P:P,D92)
    +SUMIFS(Negócios!N:N,Negócios!A:A,A92,Negócios!B:B,B92,Negócios!P:P,D92),
  AND(F92="Consultor",H92="MRR"),
    SUMIFS(Negócios!L:L,Negócios!A:A,A92,Negócios!B:B,B92,Negócios!P:P,D92),
  AND(F92="Consultor",H92="Opps"),
    SUMIFS('Realizado GD'!D:D,'Realizado GD'!A:A,A92,'Realizado GD'!B:B,B92,'Realizado GD'!C:C,D92),
  D92="sonia.zielinski@altoqi.com.br",
    SUM(SUMIFS(Negócios!L:L,Negócios!A:A,A92,Negócios!B:B,B92,Negócios!R:R,{"FSB";"Ares"}))
    +SUMIFS(Negócios!M:M,Negócios!A:A,A92,Negócios!B:B,B92,Negócios!R:R,"Farmer")
    +SUMIFS(Negócios!N:N,Negócios!A:A,A92,Negócios!B:B,B92,Negócios!R:R,"Farmer"),
  OR(
    D92="anderson.ortiz@altoqi.com.br",
    D92="rafael.motta@altoqi.com.br",
    D92="beatriz@altoqi.com.br"
  ),
    SUMIFS(Negócios!L:L,Negócios!A:A,A92,Negócios!B:B,B92,Negócios!R:R,E92),
  AND(F92="Gestor",H92="MRR"),
    SUMIFS(I:I,A:A,A92,B:B,B92,G:G,D92),
  TRUE,
    ""
)</f>
        <v>12042.869999999999</v>
      </c>
      <c r="J92" s="16">
        <f>SUMIFS(Metas!K:K,Metas!A:A,A92,Metas!B:B,B92,Metas!D:D,D92,Metas!H:H,H92)</f>
        <v>20500</v>
      </c>
      <c r="K92" s="10">
        <f t="shared" si="20"/>
        <v>0.5874570731707317</v>
      </c>
      <c r="L92" s="26" t="str" cm="1">
        <f t="array" ref="L92">_xlfn.LET(
 _xlpm.g,_xlfn.MAXIFS(Parâmetros!G:G,Parâmetros!A:A,A92,Parâmetros!B:B,B92,Parâmetros!D:D,D92,Parâmetros!E:E,E92),
 _xlpm.j,_xlfn.MAXIFS(Parâmetros!J:J,Parâmetros!A:A,A92,Parâmetros!B:B,B92,Parâmetros!D:D,D92,Parâmetros!E:E,E92),
 _xlpm.m,_xlfn.MAXIFS(Parâmetros!M:M,Parâmetros!A:A,A92,Parâmetros!B:B,B92,Parâmetros!D:D,D92,Parâmetros!E:E,E92),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/>
      </c>
      <c r="M92" s="28" cm="1">
        <f t="array" ref="M92">_xlfn.IFS(
  AND(F92="Consultor",H92="MRR",E92="Farmer"),
    SUMIFS(Negócios!M:M,Negócios!A:A,A92,Negócios!B:B,B92,Negócios!P:P,D92,Negócios!AG:AG,"À Vista")
    +SUMIFS(Negócios!N:N,Negócios!A:A,A92,Negócios!B:B,B92,Negócios!P:P,D92,Negócios!AG:AG,"À Vista"),
  AND(F92="Consultor",H92="MRR"),
    SUMIFS(Negócios!L:L,Negócios!A:A,A92,Negócios!B:B,B92,Negócios!P:P,D92,Negócios!AG:AG,"À Vista"),
  AND(F92="Consultor",H92="Opps"),
    SUMIFS('Realizado GD'!D:D,'Realizado GD'!A:A,A92,'Realizado GD'!B:B,B92,'Realizado GD'!C:C,D92),
  D92="sonia.zielinski@altoqi.com.br",
    SUM(SUMIFS(Negócios!L:L,Negócios!A:A,A92,Negócios!B:B,B92,Negócios!R:R,{"FSB";"Ares"},Negócios!AG:AG,"À Vista"))
    +SUMIFS(Negócios!M:M,Negócios!A:A,A92,Negócios!B:B,B92,Negócios!R:R,"Farmer",Negócios!AG:AG,"À Vista")
    +SUMIFS(Negócios!N:N,Negócios!A:A,A92,Negócios!B:B,B92,Negócios!R:R,"Farmer",Negócios!AG:AG,"À Vista"),
  OR(
    D92="anderson.ortiz@altoqi.com.br",
    D92="rafael.motta@altoqi.com.br",
    D92="beatriz@altoqi.com.br"
  ),
    SUMIFS(Negócios!L:L,Negócios!A:A,A92,Negócios!B:B,B92,Negócios!R:R,E92,Negócios!AG:AG,"À Vista"),
  AND(F92="Gestor",H92="MRR"),
    SUMIFS(I:I,A:A,A92,B:B,B92,G:G,D92),
  TRUE,
    ""
)</f>
        <v>1213.52</v>
      </c>
      <c r="N92" s="10">
        <f t="shared" si="21"/>
        <v>0.10076667771054575</v>
      </c>
      <c r="O92" s="30">
        <f>SUMIFS('Acel Form Pag'!D:D,'Acel Form Pag'!A:A,A92,'Acel Form Pag'!B:B,B92,'Acel Form Pag'!C:C,E92)</f>
        <v>1.3</v>
      </c>
      <c r="P92" s="87" cm="1">
        <f t="array" ref="P92">_xlfn.IFS(
  AND(F92="Consultor",H92="MRR",E92="Farmer"),
    SUMIFS(Negócios!M:M,Negócios!A:A,A92,Negócios!B:B,B92,Negócios!P:P,D92,Negócios!AG:AG,"CC 3x")
    +SUMIFS(Negócios!N:N,Negócios!A:A,A92,Negócios!B:B,B92,Negócios!P:P,D92,Negócios!AG:AG,"CC 3x"),
  AND(F92="Consultor",H92="MRR"),
    SUMIFS(Negócios!L:L,Negócios!A:A,A92,Negócios!B:B,B92,Negócios!P:P,D92,Negócios!AG:AG,"CC 3x"),
  AND(F92="Consultor",H92="Opps"),
    SUMIFS('Realizado GD'!D:D,'Realizado GD'!A:A,A92,'Realizado GD'!B:B,B92,'Realizado GD'!C:C,D92),
  D92="sonia.zielinski@altoqi.com.br",
    SUM(SUMIFS(Negócios!L:L,Negócios!A:A,A92,Negócios!B:B,B92,Negócios!R:R,{"FSB";"Ares"},Negócios!AG:AG,"CC 3x"))
    +SUMIFS(Negócios!M:M,Negócios!A:A,A92,Negócios!B:B,B92,Negócios!R:R,"Farmer",Negócios!AG:AG,"CC 3x")
    +SUMIFS(Negócios!N:N,Negócios!A:A,A92,Negócios!B:B,B92,Negócios!R:R,"Farmer",Negócios!AG:AG,"CC 3x"),
  OR(
    D92="anderson.ortiz@altoqi.com.br",
    D92="rafael.motta@altoqi.com.br",
    D92="beatriz@altoqi.com.br"
  ),
    SUMIFS(Negócios!M:M,Negócios!A:A,A92,Negócios!B:B,B92,Negócios!R:R,E92,Negócios!AG:AG,"CC 3x"),
  AND(F92="Gestor",H92="MRR"),
    SUMIFS(I:I,A:A,A92,B:B,B92,G:G,D92),
  TRUE,
    ""
)</f>
        <v>0</v>
      </c>
      <c r="Q92" s="10">
        <f t="shared" si="22"/>
        <v>0</v>
      </c>
      <c r="R92" s="30">
        <f>SUMIFS('Acel Form Pag'!E:E,'Acel Form Pag'!A:A,A92,'Acel Form Pag'!B:B,B92,'Acel Form Pag'!C:C,E92)</f>
        <v>1.1499999999999999</v>
      </c>
      <c r="S92" s="32" cm="1">
        <f t="array" ref="S92">_xlfn.IFS(
  AND(F92="Consultor",H92="MRR",E92="Farmer"),
    SUMIFS(Negócios!M:M,Negócios!A:A,A92,Negócios!B:B,B92,Negócios!P:P,D92,Negócios!AG:AG,"CC 12x")
    +SUMIFS(Negócios!N:N,Negócios!A:A,A92,Negócios!B:B,B92,Negócios!P:P,D92,Negócios!AG:AG,"CC 12x"),
  AND(F92="Consultor",H92="MRR"),
    SUMIFS(Negócios!L:L,Negócios!A:A,A92,Negócios!B:B,B92,Negócios!P:P,D92,Negócios!AG:AG,"CC 12x"),
  AND(F92="Consultor",H92="Opps"),
    SUMIFS('Realizado GD'!D:D,'Realizado GD'!A:A,A92,'Realizado GD'!B:B,B92,'Realizado GD'!C:C,D92),
  D92="sonia.zielinski@altoqi.com.br",
    SUM(SUMIFS(Negócios!L:L,Negócios!A:A,A92,Negócios!B:B,B92,Negócios!R:R,{"FSB";"Ares"},Negócios!AG:AG,"CC 12x"))
    +SUMIFS(Negócios!M:M,Negócios!A:A,A92,Negócios!B:B,B92,Negócios!R:R,"Farmer",Negócios!AG:AG,"CC 12x")
    +SUMIFS(Negócios!N:N,Negócios!A:A,A92,Negócios!B:B,B92,Negócios!R:R,"Farmer",Negócios!AG:AG,"CC 12x"),
  OR(
    D92="anderson.ortiz@altoqi.com.br",
    D92="rafael.motta@altoqi.com.br",
    D92="beatriz@altoqi.com.br"
  ),
    SUMIFS(Negócios!L:L,Negócios!A:A,A92,Negócios!B:B,B92,Negócios!R:R,E92,Negócios!AG:AG,"CC 12x"),
  AND(F92="Gestor",H92="MRR"),
    SUMIFS(I:I,A:A,A92,B:B,B92,G:G,D92),
  TRUE,
    ""
)</f>
        <v>4344.6499999999996</v>
      </c>
      <c r="T92" s="10">
        <f t="shared" si="23"/>
        <v>0.36076533251625237</v>
      </c>
      <c r="U92" s="30">
        <f>SUMIFS('Acel Form Pag'!F:F,'Acel Form Pag'!A:A,A92,'Acel Form Pag'!B:B,B92,'Acel Form Pag'!C:C,E92)</f>
        <v>1.1499999999999999</v>
      </c>
      <c r="V92" s="32" cm="1">
        <f t="array" ref="V92">_xlfn.IFS(
  AND(F92="Consultor",H92="MRR",E92="Farmer"),
    SUMIFS(Negócios!M:M,Negócios!A:A,A92,Negócios!B:B,B92,Negócios!P:P,D92,Negócios!AG:AG,"Recorrente")
    +SUMIFS(Negócios!N:N,Negócios!A:A,A92,Negócios!B:B,B92,Negócios!P:P,D92,Negócios!AG:AG,"Recorrente"),
  AND(F92="Consultor",H92="MRR"),
    SUMIFS(Negócios!L:L,Negócios!A:A,A92,Negócios!B:B,B92,Negócios!P:P,D92,Negócios!AG:AG,"Recorrente"),
  AND(F92="Consultor",H92="Opps"),
    SUMIFS('Realizado GD'!D:D,'Realizado GD'!A:A,A92,'Realizado GD'!B:B,B92,'Realizado GD'!C:C,D92),
  D92="sonia.zielinski@altoqi.com.br",
    SUM(SUMIFS(Negócios!L:L,Negócios!A:A,A92,Negócios!B:B,B92,Negócios!R:R,{"FSB";"Ares"},Negócios!AG:AG,"Recorrente"))
    +SUMIFS(Negócios!M:M,Negócios!A:A,A92,Negócios!B:B,B92,Negócios!R:R,"Farmer",Negócios!AG:AG,"Recorrente")
    +SUMIFS(Negócios!N:N,Negócios!A:A,A92,Negócios!B:B,B92,Negócios!R:R,"Farmer",Negócios!AG:AG,"Recorrente"),
  OR(
    D92="anderson.ortiz@altoqi.com.br",
    D92="rafael.motta@altoqi.com.br",
    D92="beatriz@altoqi.com.br"
  ),
    SUMIFS(Negócios!L:L,Negócios!A:A,A92,Negócios!B:B,B92,Negócios!R:R,E92,Negócios!AG:AG,"Recorrente"),
  AND(F92="Gestor",H92="MRR"),
    SUMIFS(I:I,A:A,A92,B:B,B92,G:G,D92),
  TRUE,
    ""
)</f>
        <v>6484.7000000000016</v>
      </c>
      <c r="W92" s="10">
        <f t="shared" si="24"/>
        <v>0.53846798977320209</v>
      </c>
      <c r="X92" s="34">
        <f>SUMIFS('Acel Form Pag'!G:G,'Acel Form Pag'!A:A,A92,'Acel Form Pag'!B:B,B92,'Acel Form Pag'!C:C,E92)</f>
        <v>1</v>
      </c>
      <c r="Y92" s="24">
        <f>MAX(_xlfn.MAXIFS(Parâmetros!O:O,Parâmetros!A:A,A92,Parâmetros!B:B,B92,Parâmetros!D:D,D92,Parâmetros!M:M,"&lt;="&amp;K92),_xlfn.MAXIFS(Parâmetros!L:L,Parâmetros!A:A,A92,Parâmetros!B:B,B92,Parâmetros!D:D,D92,Parâmetros!J:J,"&lt;="&amp;K92),_xlfn.MAXIFS(Parâmetros!I:I,Parâmetros!A:A,A92,Parâmetros!B:B,B92,Parâmetros!D:D,D92))</f>
        <v>6600</v>
      </c>
      <c r="Z92" s="9">
        <f>MAX(_xlfn.MAXIFS(Parâmetros!Q:Q,Parâmetros!A:A,A92,Parâmetros!B:B,B92,Parâmetros!D:D,D92,Parâmetros!E:E,E92,Parâmetros!P:P,"&lt;="&amp;K92),
_xlfn.MAXIFS(Parâmetros!S:S,Parâmetros!A:A,A92,Parâmetros!B:B,B92,Parâmetros!D:D,D92,Parâmetros!E:E,E92,Parâmetros!R:R,"&lt;="&amp;K92),
_xlfn.MAXIFS(Parâmetros!U:U,Parâmetros!A:A,A92,Parâmetros!B:B,B92,Parâmetros!D:D,D92,Parâmetros!E:E,E92,Parâmetros!T:T,"&lt;="&amp;K92),1) * IF(K92 &gt;= SUMIFS(Parâmetros!G:G,Parâmetros!A:A,A92,Parâmetros!B:B,B92,Parâmetros!D:D,D92,Parâmetros!E:E,E92),1,0)</f>
        <v>1</v>
      </c>
      <c r="AA92" s="16">
        <f>Y92*Z92*K92</f>
        <v>3877.2166829268294</v>
      </c>
      <c r="AB92" s="16">
        <f>(AA92*N92*O92) + (AA92*Q92*R92) + (AA92*T92*U92) + (AA92*W92*X92)</f>
        <v>4204.2397609756108</v>
      </c>
      <c r="AC92" s="15">
        <f>IF(F92="Gestor",SUMIFS(AC:AC,A:A,A92,B:B,B92,G:G,D92),
IF(E92="Saving",SUMIFS(Negócios!I:I,Negócios!A:A,A92,Negócios!B:B,B92,Negócios!P:P,D92,Negócios!H:H,"Curso") +
SUMIFS(Negócios!I:I,Negócios!A:A,A92,Negócios!B:B,B92,Negócios!P:P,D92,Negócios!H:H,"Serviço") +
SUMIFS(Negócios!I:I,Negócios!A:A,A92,Negócios!B:B,B92,Negócios!P:P,D92,Negócios!H:H,"Implantação"),
SUMIFS(Negócios!I:I,Negócios!A:A,A92,Negócios!B:B,B92,Negócios!P:P,D92,Negócios!H:H,"Implantação")))</f>
        <v>2064</v>
      </c>
      <c r="AD92" s="16">
        <f>SUMIFS(Parâmetros!W:W,Parâmetros!A:A,A92,Parâmetros!B:B,B92,Parâmetros!D:D,D92) * AC92 * IF(K92 &gt;= SUMIFS(Parâmetros!V:V,Parâmetros!A:A,A92,Parâmetros!B:B,B92,Parâmetros!D:D,D92),1,0)</f>
        <v>41.28</v>
      </c>
      <c r="AE92" s="15">
        <f>SUMIFS('Recuperação de Canc e Divs'!D:D,'Recuperação de Canc e Divs'!A:A,A92,'Recuperação de Canc e Divs'!B:B,B92,'Recuperação de Canc e Divs'!C:C,D92)</f>
        <v>0</v>
      </c>
      <c r="AF92" s="16">
        <f>IF(K92&gt;=SUMIFS(Parâmetros!J:J,Parâmetros!A:A,A92,Parâmetros!B:B,B92,Parâmetros!D:D,D92),AE92*0.025,0)</f>
        <v>0</v>
      </c>
      <c r="AG92" s="15" t="str">
        <f t="shared" si="31"/>
        <v/>
      </c>
      <c r="AH92" s="16" t="str">
        <f t="shared" si="32"/>
        <v/>
      </c>
      <c r="AI92" s="90">
        <f t="shared" si="33"/>
        <v>0</v>
      </c>
      <c r="AJ92" s="16" t="str">
        <f t="shared" si="34"/>
        <v/>
      </c>
      <c r="AK92" s="16" t="str">
        <f t="shared" si="35"/>
        <v/>
      </c>
      <c r="AL92" s="90">
        <f t="shared" si="36"/>
        <v>0</v>
      </c>
      <c r="AM92" s="93" t="str">
        <f>IF(AND(OR(B92=3,B92=6,B92=9,B92=12),AI92&gt;=1),
IF(F92="Gestor",AI92*0.6,AI92*0.3),"")</f>
        <v/>
      </c>
      <c r="AN92" s="94" t="str">
        <f>IF(OR(B92=3,B92=6,B92=9,B92=12),
IF(AND(AL92&gt;=1,AI92&gt;=SUMIFS(Parâmetros!G:G,Parâmetros!A:A,Comissões!A92,Parâmetros!B:B,Comissões!B92,Parâmetros!D:D,Comissões!D92,Parâmetros!E:E,Comissões!E92)),AI92*0.3,""),"")</f>
        <v/>
      </c>
      <c r="AO92" s="16">
        <f t="shared" si="37"/>
        <v>12042.870000000003</v>
      </c>
      <c r="AP92" s="16">
        <f t="shared" si="38"/>
        <v>1.0000000000000002</v>
      </c>
    </row>
    <row r="93" spans="1:42" hidden="1">
      <c r="A93" s="7">
        <v>2026</v>
      </c>
      <c r="B93" s="7">
        <v>4</v>
      </c>
      <c r="C93" s="7" t="str">
        <v>Aline Castilho Pureza</v>
      </c>
      <c r="D93" s="7" t="str">
        <v>aline.pureza@altoqi.com.br</v>
      </c>
      <c r="E93" s="7" t="str">
        <v>Farmer</v>
      </c>
      <c r="F93" s="7" t="str">
        <v>Consultor</v>
      </c>
      <c r="G93" s="7" t="str">
        <v>sonia.zielinski@altoqi.com.br</v>
      </c>
      <c r="H93" s="7" t="str">
        <v>MRR</v>
      </c>
      <c r="I93" s="86" cm="1">
        <f t="array" ref="I93">_xlfn.IFS(
  AND(F93="Consultor",H93="MRR",E93="Farmer"),
    SUMIFS(Negócios!M:M,Negócios!A:A,A93,Negócios!B:B,B93,Negócios!P:P,D93)
    +SUMIFS(Negócios!N:N,Negócios!A:A,A93,Negócios!B:B,B93,Negócios!P:P,D93),
  AND(F93="Consultor",H93="MRR"),
    SUMIFS(Negócios!L:L,Negócios!A:A,A93,Negócios!B:B,B93,Negócios!P:P,D93),
  AND(F93="Consultor",H93="Opps"),
    SUMIFS('Realizado GD'!D:D,'Realizado GD'!A:A,A93,'Realizado GD'!B:B,B93,'Realizado GD'!C:C,D93),
  D93="sonia.zielinski@altoqi.com.br",
    SUM(SUMIFS(Negócios!L:L,Negócios!A:A,A93,Negócios!B:B,B93,Negócios!R:R,{"FSB";"Ares"}))
    +SUMIFS(Negócios!M:M,Negócios!A:A,A93,Negócios!B:B,B93,Negócios!R:R,"Farmer")
    +SUMIFS(Negócios!N:N,Negócios!A:A,A93,Negócios!B:B,B93,Negócios!R:R,"Farmer"),
  OR(
    D93="anderson.ortiz@altoqi.com.br",
    D93="rafael.motta@altoqi.com.br",
    D93="beatriz@altoqi.com.br"
  ),
    SUMIFS(Negócios!L:L,Negócios!A:A,A93,Negócios!B:B,B93,Negócios!R:R,E93),
  AND(F93="Gestor",H93="MRR"),
    SUMIFS(I:I,A:A,A93,B:B,B93,G:G,D93),
  TRUE,
    ""
)</f>
        <v>5398.6709778799996</v>
      </c>
      <c r="J93" s="16">
        <f>SUMIFS(Metas!K:K,Metas!A:A,A93,Metas!B:B,B93,Metas!D:D,D93,Metas!H:H,H93)</f>
        <v>6000</v>
      </c>
      <c r="K93" s="10">
        <f t="shared" si="20"/>
        <v>0.89977849631333329</v>
      </c>
      <c r="L93" s="26" t="str" cm="1">
        <f t="array" ref="L93">_xlfn.LET(
 _xlpm.g,_xlfn.MAXIFS(Parâmetros!G:G,Parâmetros!A:A,A93,Parâmetros!B:B,B93,Parâmetros!D:D,D93,Parâmetros!E:E,E93),
 _xlpm.j,_xlfn.MAXIFS(Parâmetros!J:J,Parâmetros!A:A,A93,Parâmetros!B:B,B93,Parâmetros!D:D,D93,Parâmetros!E:E,E93),
 _xlpm.m,_xlfn.MAXIFS(Parâmetros!M:M,Parâmetros!A:A,A93,Parâmetros!B:B,B93,Parâmetros!D:D,D93,Parâmetros!E:E,E93),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/>
      </c>
      <c r="M93" s="28" cm="1">
        <f t="array" ref="M93">_xlfn.IFS(
  AND(F93="Consultor",H93="MRR",E93="Farmer"),
    SUMIFS(Negócios!M:M,Negócios!A:A,A93,Negócios!B:B,B93,Negócios!P:P,D93,Negócios!AG:AG,"À Vista")
    +SUMIFS(Negócios!N:N,Negócios!A:A,A93,Negócios!B:B,B93,Negócios!P:P,D93,Negócios!AG:AG,"À Vista"),
  AND(F93="Consultor",H93="MRR"),
    SUMIFS(Negócios!L:L,Negócios!A:A,A93,Negócios!B:B,B93,Negócios!P:P,D93,Negócios!AG:AG,"À Vista"),
  AND(F93="Consultor",H93="Opps"),
    SUMIFS('Realizado GD'!D:D,'Realizado GD'!A:A,A93,'Realizado GD'!B:B,B93,'Realizado GD'!C:C,D93),
  D93="sonia.zielinski@altoqi.com.br",
    SUM(SUMIFS(Negócios!L:L,Negócios!A:A,A93,Negócios!B:B,B93,Negócios!R:R,{"FSB";"Ares"},Negócios!AG:AG,"À Vista"))
    +SUMIFS(Negócios!M:M,Negócios!A:A,A93,Negócios!B:B,B93,Negócios!R:R,"Farmer",Negócios!AG:AG,"À Vista")
    +SUMIFS(Negócios!N:N,Negócios!A:A,A93,Negócios!B:B,B93,Negócios!R:R,"Farmer",Negócios!AG:AG,"À Vista"),
  OR(
    D93="anderson.ortiz@altoqi.com.br",
    D93="rafael.motta@altoqi.com.br",
    D93="beatriz@altoqi.com.br"
  ),
    SUMIFS(Negócios!L:L,Negócios!A:A,A93,Negócios!B:B,B93,Negócios!R:R,E93,Negócios!AG:AG,"À Vista"),
  AND(F93="Gestor",H93="MRR"),
    SUMIFS(I:I,A:A,A93,B:B,B93,G:G,D93),
  TRUE,
    ""
)</f>
        <v>0</v>
      </c>
      <c r="N93" s="10">
        <f t="shared" si="21"/>
        <v>0</v>
      </c>
      <c r="O93" s="30">
        <f>SUMIFS('Acel Form Pag'!D:D,'Acel Form Pag'!A:A,A93,'Acel Form Pag'!B:B,B93,'Acel Form Pag'!C:C,E93)</f>
        <v>1.5</v>
      </c>
      <c r="P93" s="87" cm="1">
        <f t="array" ref="P93">_xlfn.IFS(
  AND(F93="Consultor",H93="MRR",E93="Farmer"),
    SUMIFS(Negócios!M:M,Negócios!A:A,A93,Negócios!B:B,B93,Negócios!P:P,D93,Negócios!AG:AG,"CC 3x")
    +SUMIFS(Negócios!N:N,Negócios!A:A,A93,Negócios!B:B,B93,Negócios!P:P,D93,Negócios!AG:AG,"CC 3x"),
  AND(F93="Consultor",H93="MRR"),
    SUMIFS(Negócios!L:L,Negócios!A:A,A93,Negócios!B:B,B93,Negócios!P:P,D93,Negócios!AG:AG,"CC 3x"),
  AND(F93="Consultor",H93="Opps"),
    SUMIFS('Realizado GD'!D:D,'Realizado GD'!A:A,A93,'Realizado GD'!B:B,B93,'Realizado GD'!C:C,D93),
  D93="sonia.zielinski@altoqi.com.br",
    SUM(SUMIFS(Negócios!L:L,Negócios!A:A,A93,Negócios!B:B,B93,Negócios!R:R,{"FSB";"Ares"},Negócios!AG:AG,"CC 3x"))
    +SUMIFS(Negócios!M:M,Negócios!A:A,A93,Negócios!B:B,B93,Negócios!R:R,"Farmer",Negócios!AG:AG,"CC 3x")
    +SUMIFS(Negócios!N:N,Negócios!A:A,A93,Negócios!B:B,B93,Negócios!R:R,"Farmer",Negócios!AG:AG,"CC 3x"),
  OR(
    D93="anderson.ortiz@altoqi.com.br",
    D93="rafael.motta@altoqi.com.br",
    D93="beatriz@altoqi.com.br"
  ),
    SUMIFS(Negócios!M:M,Negócios!A:A,A93,Negócios!B:B,B93,Negócios!R:R,E93,Negócios!AG:AG,"CC 3x"),
  AND(F93="Gestor",H93="MRR"),
    SUMIFS(I:I,A:A,A93,B:B,B93,G:G,D93),
  TRUE,
    ""
)</f>
        <v>0</v>
      </c>
      <c r="Q93" s="10">
        <f t="shared" si="22"/>
        <v>0</v>
      </c>
      <c r="R93" s="30">
        <f>SUMIFS('Acel Form Pag'!E:E,'Acel Form Pag'!A:A,A93,'Acel Form Pag'!B:B,B93,'Acel Form Pag'!C:C,E93)</f>
        <v>1.25</v>
      </c>
      <c r="S93" s="32" cm="1">
        <f t="array" ref="S93">_xlfn.IFS(
  AND(F93="Consultor",H93="MRR",E93="Farmer"),
    SUMIFS(Negócios!M:M,Negócios!A:A,A93,Negócios!B:B,B93,Negócios!P:P,D93,Negócios!AG:AG,"CC 12x")
    +SUMIFS(Negócios!N:N,Negócios!A:A,A93,Negócios!B:B,B93,Negócios!P:P,D93,Negócios!AG:AG,"CC 12x"),
  AND(F93="Consultor",H93="MRR"),
    SUMIFS(Negócios!L:L,Negócios!A:A,A93,Negócios!B:B,B93,Negócios!P:P,D93,Negócios!AG:AG,"CC 12x"),
  AND(F93="Consultor",H93="Opps"),
    SUMIFS('Realizado GD'!D:D,'Realizado GD'!A:A,A93,'Realizado GD'!B:B,B93,'Realizado GD'!C:C,D93),
  D93="sonia.zielinski@altoqi.com.br",
    SUM(SUMIFS(Negócios!L:L,Negócios!A:A,A93,Negócios!B:B,B93,Negócios!R:R,{"FSB";"Ares"},Negócios!AG:AG,"CC 12x"))
    +SUMIFS(Negócios!M:M,Negócios!A:A,A93,Negócios!B:B,B93,Negócios!R:R,"Farmer",Negócios!AG:AG,"CC 12x")
    +SUMIFS(Negócios!N:N,Negócios!A:A,A93,Negócios!B:B,B93,Negócios!R:R,"Farmer",Negócios!AG:AG,"CC 12x"),
  OR(
    D93="anderson.ortiz@altoqi.com.br",
    D93="rafael.motta@altoqi.com.br",
    D93="beatriz@altoqi.com.br"
  ),
    SUMIFS(Negócios!L:L,Negócios!A:A,A93,Negócios!B:B,B93,Negócios!R:R,E93,Negócios!AG:AG,"CC 12x"),
  AND(F93="Gestor",H93="MRR"),
    SUMIFS(I:I,A:A,A93,B:B,B93,G:G,D93),
  TRUE,
    ""
)</f>
        <v>1048.07</v>
      </c>
      <c r="T93" s="10">
        <f t="shared" si="23"/>
        <v>0.19413481656768158</v>
      </c>
      <c r="U93" s="30">
        <f>SUMIFS('Acel Form Pag'!F:F,'Acel Form Pag'!A:A,A93,'Acel Form Pag'!B:B,B93,'Acel Form Pag'!C:C,E93)</f>
        <v>1.25</v>
      </c>
      <c r="V93" s="32" cm="1">
        <f t="array" ref="V93">_xlfn.IFS(
  AND(F93="Consultor",H93="MRR",E93="Farmer"),
    SUMIFS(Negócios!M:M,Negócios!A:A,A93,Negócios!B:B,B93,Negócios!P:P,D93,Negócios!AG:AG,"Recorrente")
    +SUMIFS(Negócios!N:N,Negócios!A:A,A93,Negócios!B:B,B93,Negócios!P:P,D93,Negócios!AG:AG,"Recorrente"),
  AND(F93="Consultor",H93="MRR"),
    SUMIFS(Negócios!L:L,Negócios!A:A,A93,Negócios!B:B,B93,Negócios!P:P,D93,Negócios!AG:AG,"Recorrente"),
  AND(F93="Consultor",H93="Opps"),
    SUMIFS('Realizado GD'!D:D,'Realizado GD'!A:A,A93,'Realizado GD'!B:B,B93,'Realizado GD'!C:C,D93),
  D93="sonia.zielinski@altoqi.com.br",
    SUM(SUMIFS(Negócios!L:L,Negócios!A:A,A93,Negócios!B:B,B93,Negócios!R:R,{"FSB";"Ares"},Negócios!AG:AG,"Recorrente"))
    +SUMIFS(Negócios!M:M,Negócios!A:A,A93,Negócios!B:B,B93,Negócios!R:R,"Farmer",Negócios!AG:AG,"Recorrente")
    +SUMIFS(Negócios!N:N,Negócios!A:A,A93,Negócios!B:B,B93,Negócios!R:R,"Farmer",Negócios!AG:AG,"Recorrente"),
  OR(
    D93="anderson.ortiz@altoqi.com.br",
    D93="rafael.motta@altoqi.com.br",
    D93="beatriz@altoqi.com.br"
  ),
    SUMIFS(Negócios!L:L,Negócios!A:A,A93,Negócios!B:B,B93,Negócios!R:R,E93,Negócios!AG:AG,"Recorrente"),
  AND(F93="Gestor",H93="MRR"),
    SUMIFS(I:I,A:A,A93,B:B,B93,G:G,D93),
  TRUE,
    ""
)</f>
        <v>4350.6009778799998</v>
      </c>
      <c r="W93" s="10">
        <f t="shared" si="24"/>
        <v>0.8058651834323185</v>
      </c>
      <c r="X93" s="34">
        <f>SUMIFS('Acel Form Pag'!G:G,'Acel Form Pag'!A:A,A93,'Acel Form Pag'!B:B,B93,'Acel Form Pag'!C:C,E93)</f>
        <v>1</v>
      </c>
      <c r="Y93" s="24">
        <f>MAX(_xlfn.MAXIFS(Parâmetros!O:O,Parâmetros!A:A,A93,Parâmetros!B:B,B93,Parâmetros!D:D,D93,Parâmetros!M:M,"&lt;="&amp;K93),_xlfn.MAXIFS(Parâmetros!L:L,Parâmetros!A:A,A93,Parâmetros!B:B,B93,Parâmetros!D:D,D93,Parâmetros!J:J,"&lt;="&amp;K93),_xlfn.MAXIFS(Parâmetros!I:I,Parâmetros!A:A,A93,Parâmetros!B:B,B93,Parâmetros!D:D,D93))</f>
        <v>3746.2</v>
      </c>
      <c r="Z93" s="9">
        <f>MAX(_xlfn.MAXIFS(Parâmetros!Q:Q,Parâmetros!A:A,A93,Parâmetros!B:B,B93,Parâmetros!D:D,D93,Parâmetros!E:E,E93,Parâmetros!P:P,"&lt;="&amp;K93),
_xlfn.MAXIFS(Parâmetros!S:S,Parâmetros!A:A,A93,Parâmetros!B:B,B93,Parâmetros!D:D,D93,Parâmetros!E:E,E93,Parâmetros!R:R,"&lt;="&amp;K93),
_xlfn.MAXIFS(Parâmetros!U:U,Parâmetros!A:A,A93,Parâmetros!B:B,B93,Parâmetros!D:D,D93,Parâmetros!E:E,E93,Parâmetros!T:T,"&lt;="&amp;K93),1) * IF(K93 &gt;= SUMIFS(Parâmetros!G:G,Parâmetros!A:A,A93,Parâmetros!B:B,B93,Parâmetros!D:D,D93,Parâmetros!E:E,E93),1,0)</f>
        <v>1</v>
      </c>
      <c r="AA93" s="16">
        <f>Y93*Z93*K93</f>
        <v>3370.750202889009</v>
      </c>
      <c r="AB93" s="16">
        <f>(AA93*N93*O93) + (AA93*Q93*R93) + (AA93*T93*U93) + (AA93*W93*X93)</f>
        <v>3534.3451959723425</v>
      </c>
      <c r="AC93" s="15">
        <f>IF(F93="Gestor",SUMIFS(AC:AC,A:A,A93,B:B,B93,G:G,D93),
IF(E93="Saving",SUMIFS(Negócios!I:I,Negócios!A:A,A93,Negócios!B:B,B93,Negócios!P:P,D93,Negócios!H:H,"Curso") +
SUMIFS(Negócios!I:I,Negócios!A:A,A93,Negócios!B:B,B93,Negócios!P:P,D93,Negócios!H:H,"Serviço") +
SUMIFS(Negócios!I:I,Negócios!A:A,A93,Negócios!B:B,B93,Negócios!P:P,D93,Negócios!H:H,"Implantação"),
SUMIFS(Negócios!I:I,Negócios!A:A,A93,Negócios!B:B,B93,Negócios!P:P,D93,Negócios!H:H,"Implantação")))</f>
        <v>0</v>
      </c>
      <c r="AD93" s="16">
        <f>SUMIFS(Parâmetros!W:W,Parâmetros!A:A,A93,Parâmetros!B:B,B93,Parâmetros!D:D,D93) * AC93 * IF(K93 &gt;= SUMIFS(Parâmetros!V:V,Parâmetros!A:A,A93,Parâmetros!B:B,B93,Parâmetros!D:D,D93),1,0)</f>
        <v>0</v>
      </c>
      <c r="AE93" s="15">
        <f>SUMIFS('Recuperação de Canc e Divs'!D:D,'Recuperação de Canc e Divs'!A:A,A93,'Recuperação de Canc e Divs'!B:B,B93,'Recuperação de Canc e Divs'!C:C,D93)</f>
        <v>0</v>
      </c>
      <c r="AF93" s="16">
        <f>IF(K93&gt;=SUMIFS(Parâmetros!J:J,Parâmetros!A:A,A93,Parâmetros!B:B,B93,Parâmetros!D:D,D93),AE93*0.025,0)</f>
        <v>0</v>
      </c>
      <c r="AG93" s="15" t="str">
        <f t="shared" si="31"/>
        <v/>
      </c>
      <c r="AH93" s="16" t="str">
        <f t="shared" si="32"/>
        <v/>
      </c>
      <c r="AI93" s="90">
        <f t="shared" si="33"/>
        <v>0</v>
      </c>
      <c r="AJ93" s="16" t="str">
        <f t="shared" si="34"/>
        <v/>
      </c>
      <c r="AK93" s="16" t="str">
        <f t="shared" si="35"/>
        <v/>
      </c>
      <c r="AL93" s="90">
        <f t="shared" si="36"/>
        <v>0</v>
      </c>
      <c r="AM93" s="93" t="str">
        <f>IF(AND(OR(B93=3,B93=6,B93=9,B93=12),AI93&gt;=1),
IF(F93="Gestor",AI93*0.6,AI93*0.3),"")</f>
        <v/>
      </c>
      <c r="AN93" s="94" t="str">
        <f>IF(OR(B93=3,B93=6,B93=9,B93=12),
IF(AND(AL93&gt;=1,AI93&gt;=SUMIFS(Parâmetros!G:G,Parâmetros!A:A,Comissões!A93,Parâmetros!B:B,Comissões!B93,Parâmetros!D:D,Comissões!D93,Parâmetros!E:E,Comissões!E93)),AI93*0.3,""),"")</f>
        <v/>
      </c>
      <c r="AO93" s="16">
        <f t="shared" si="37"/>
        <v>5398.6709778799996</v>
      </c>
      <c r="AP93" s="16">
        <f t="shared" si="38"/>
        <v>1</v>
      </c>
    </row>
    <row r="94" spans="1:42" hidden="1">
      <c r="A94" s="7">
        <v>2026</v>
      </c>
      <c r="B94" s="7">
        <v>4</v>
      </c>
      <c r="C94" s="7" t="str">
        <v>Clidiani Costa</v>
      </c>
      <c r="D94" s="7" t="str">
        <v>clidiani@altoqi.com.br</v>
      </c>
      <c r="E94" s="7" t="str">
        <v>Farmer</v>
      </c>
      <c r="F94" s="7" t="str">
        <v>Consultor</v>
      </c>
      <c r="G94" s="7" t="str">
        <v>sonia.zielinski@altoqi.com.br</v>
      </c>
      <c r="H94" s="7" t="str">
        <v>MRR</v>
      </c>
      <c r="I94" s="86" cm="1">
        <f t="array" ref="I94">_xlfn.IFS(
  AND(F94="Consultor",H94="MRR",E94="Farmer"),
    SUMIFS(Negócios!M:M,Negócios!A:A,A94,Negócios!B:B,B94,Negócios!P:P,D94)
    +SUMIFS(Negócios!N:N,Negócios!A:A,A94,Negócios!B:B,B94,Negócios!P:P,D94),
  AND(F94="Consultor",H94="MRR"),
    SUMIFS(Negócios!L:L,Negócios!A:A,A94,Negócios!B:B,B94,Negócios!P:P,D94),
  AND(F94="Consultor",H94="Opps"),
    SUMIFS('Realizado GD'!D:D,'Realizado GD'!A:A,A94,'Realizado GD'!B:B,B94,'Realizado GD'!C:C,D94),
  D94="sonia.zielinski@altoqi.com.br",
    SUM(SUMIFS(Negócios!L:L,Negócios!A:A,A94,Negócios!B:B,B94,Negócios!R:R,{"FSB";"Ares"}))
    +SUMIFS(Negócios!M:M,Negócios!A:A,A94,Negócios!B:B,B94,Negócios!R:R,"Farmer")
    +SUMIFS(Negócios!N:N,Negócios!A:A,A94,Negócios!B:B,B94,Negócios!R:R,"Farmer"),
  OR(
    D94="anderson.ortiz@altoqi.com.br",
    D94="rafael.motta@altoqi.com.br",
    D94="beatriz@altoqi.com.br"
  ),
    SUMIFS(Negócios!L:L,Negócios!A:A,A94,Negócios!B:B,B94,Negócios!R:R,E94),
  AND(F94="Gestor",H94="MRR"),
    SUMIFS(I:I,A:A,A94,B:B,B94,G:G,D94),
  TRUE,
    ""
)</f>
        <v>3602.7799999999997</v>
      </c>
      <c r="J94" s="16">
        <f>SUMIFS(Metas!K:K,Metas!A:A,A94,Metas!B:B,B94,Metas!D:D,D94,Metas!H:H,H94)</f>
        <v>7700</v>
      </c>
      <c r="K94" s="10">
        <f t="shared" si="20"/>
        <v>0.46789350649350647</v>
      </c>
      <c r="L94" s="26" t="str" cm="1">
        <f t="array" ref="L94">_xlfn.LET(
 _xlpm.g,_xlfn.MAXIFS(Parâmetros!G:G,Parâmetros!A:A,A94,Parâmetros!B:B,B94,Parâmetros!D:D,D94,Parâmetros!E:E,E94),
 _xlpm.j,_xlfn.MAXIFS(Parâmetros!J:J,Parâmetros!A:A,A94,Parâmetros!B:B,B94,Parâmetros!D:D,D94,Parâmetros!E:E,E94),
 _xlpm.m,_xlfn.MAXIFS(Parâmetros!M:M,Parâmetros!A:A,A94,Parâmetros!B:B,B94,Parâmetros!D:D,D94,Parâmetros!E:E,E94),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100,00%</v>
      </c>
      <c r="M94" s="28" cm="1">
        <f t="array" ref="M94">_xlfn.IFS(
  AND(F94="Consultor",H94="MRR",E94="Farmer"),
    SUMIFS(Negócios!M:M,Negócios!A:A,A94,Negócios!B:B,B94,Negócios!P:P,D94,Negócios!AG:AG,"À Vista")
    +SUMIFS(Negócios!N:N,Negócios!A:A,A94,Negócios!B:B,B94,Negócios!P:P,D94,Negócios!AG:AG,"À Vista"),
  AND(F94="Consultor",H94="MRR"),
    SUMIFS(Negócios!L:L,Negócios!A:A,A94,Negócios!B:B,B94,Negócios!P:P,D94,Negócios!AG:AG,"À Vista"),
  AND(F94="Consultor",H94="Opps"),
    SUMIFS('Realizado GD'!D:D,'Realizado GD'!A:A,A94,'Realizado GD'!B:B,B94,'Realizado GD'!C:C,D94),
  D94="sonia.zielinski@altoqi.com.br",
    SUM(SUMIFS(Negócios!L:L,Negócios!A:A,A94,Negócios!B:B,B94,Negócios!R:R,{"FSB";"Ares"},Negócios!AG:AG,"À Vista"))
    +SUMIFS(Negócios!M:M,Negócios!A:A,A94,Negócios!B:B,B94,Negócios!R:R,"Farmer",Negócios!AG:AG,"À Vista")
    +SUMIFS(Negócios!N:N,Negócios!A:A,A94,Negócios!B:B,B94,Negócios!R:R,"Farmer",Negócios!AG:AG,"À Vista"),
  OR(
    D94="anderson.ortiz@altoqi.com.br",
    D94="rafael.motta@altoqi.com.br",
    D94="beatriz@altoqi.com.br"
  ),
    SUMIFS(Negócios!L:L,Negócios!A:A,A94,Negócios!B:B,B94,Negócios!R:R,E94,Negócios!AG:AG,"À Vista"),
  AND(F94="Gestor",H94="MRR"),
    SUMIFS(I:I,A:A,A94,B:B,B94,G:G,D94),
  TRUE,
    ""
)</f>
        <v>179.89</v>
      </c>
      <c r="N94" s="10">
        <f t="shared" si="21"/>
        <v>4.9930886704156234E-2</v>
      </c>
      <c r="O94" s="30">
        <f>SUMIFS('Acel Form Pag'!D:D,'Acel Form Pag'!A:A,A94,'Acel Form Pag'!B:B,B94,'Acel Form Pag'!C:C,E94)</f>
        <v>1.5</v>
      </c>
      <c r="P94" s="87" cm="1">
        <f t="array" ref="P94">_xlfn.IFS(
  AND(F94="Consultor",H94="MRR",E94="Farmer"),
    SUMIFS(Negócios!M:M,Negócios!A:A,A94,Negócios!B:B,B94,Negócios!P:P,D94,Negócios!AG:AG,"CC 3x")
    +SUMIFS(Negócios!N:N,Negócios!A:A,A94,Negócios!B:B,B94,Negócios!P:P,D94,Negócios!AG:AG,"CC 3x"),
  AND(F94="Consultor",H94="MRR"),
    SUMIFS(Negócios!L:L,Negócios!A:A,A94,Negócios!B:B,B94,Negócios!P:P,D94,Negócios!AG:AG,"CC 3x"),
  AND(F94="Consultor",H94="Opps"),
    SUMIFS('Realizado GD'!D:D,'Realizado GD'!A:A,A94,'Realizado GD'!B:B,B94,'Realizado GD'!C:C,D94),
  D94="sonia.zielinski@altoqi.com.br",
    SUM(SUMIFS(Negócios!L:L,Negócios!A:A,A94,Negócios!B:B,B94,Negócios!R:R,{"FSB";"Ares"},Negócios!AG:AG,"CC 3x"))
    +SUMIFS(Negócios!M:M,Negócios!A:A,A94,Negócios!B:B,B94,Negócios!R:R,"Farmer",Negócios!AG:AG,"CC 3x")
    +SUMIFS(Negócios!N:N,Negócios!A:A,A94,Negócios!B:B,B94,Negócios!R:R,"Farmer",Negócios!AG:AG,"CC 3x"),
  OR(
    D94="anderson.ortiz@altoqi.com.br",
    D94="rafael.motta@altoqi.com.br",
    D94="beatriz@altoqi.com.br"
  ),
    SUMIFS(Negócios!M:M,Negócios!A:A,A94,Negócios!B:B,B94,Negócios!R:R,E94,Negócios!AG:AG,"CC 3x"),
  AND(F94="Gestor",H94="MRR"),
    SUMIFS(I:I,A:A,A94,B:B,B94,G:G,D94),
  TRUE,
    ""
)</f>
        <v>540.03</v>
      </c>
      <c r="Q94" s="10">
        <f t="shared" si="22"/>
        <v>0.14989258294983318</v>
      </c>
      <c r="R94" s="30">
        <f>SUMIFS('Acel Form Pag'!E:E,'Acel Form Pag'!A:A,A94,'Acel Form Pag'!B:B,B94,'Acel Form Pag'!C:C,E94)</f>
        <v>1.25</v>
      </c>
      <c r="S94" s="32" cm="1">
        <f t="array" ref="S94">_xlfn.IFS(
  AND(F94="Consultor",H94="MRR",E94="Farmer"),
    SUMIFS(Negócios!M:M,Negócios!A:A,A94,Negócios!B:B,B94,Negócios!P:P,D94,Negócios!AG:AG,"CC 12x")
    +SUMIFS(Negócios!N:N,Negócios!A:A,A94,Negócios!B:B,B94,Negócios!P:P,D94,Negócios!AG:AG,"CC 12x"),
  AND(F94="Consultor",H94="MRR"),
    SUMIFS(Negócios!L:L,Negócios!A:A,A94,Negócios!B:B,B94,Negócios!P:P,D94,Negócios!AG:AG,"CC 12x"),
  AND(F94="Consultor",H94="Opps"),
    SUMIFS('Realizado GD'!D:D,'Realizado GD'!A:A,A94,'Realizado GD'!B:B,B94,'Realizado GD'!C:C,D94),
  D94="sonia.zielinski@altoqi.com.br",
    SUM(SUMIFS(Negócios!L:L,Negócios!A:A,A94,Negócios!B:B,B94,Negócios!R:R,{"FSB";"Ares"},Negócios!AG:AG,"CC 12x"))
    +SUMIFS(Negócios!M:M,Negócios!A:A,A94,Negócios!B:B,B94,Negócios!R:R,"Farmer",Negócios!AG:AG,"CC 12x")
    +SUMIFS(Negócios!N:N,Negócios!A:A,A94,Negócios!B:B,B94,Negócios!R:R,"Farmer",Negócios!AG:AG,"CC 12x"),
  OR(
    D94="anderson.ortiz@altoqi.com.br",
    D94="rafael.motta@altoqi.com.br",
    D94="beatriz@altoqi.com.br"
  ),
    SUMIFS(Negócios!L:L,Negócios!A:A,A94,Negócios!B:B,B94,Negócios!R:R,E94,Negócios!AG:AG,"CC 12x"),
  AND(F94="Gestor",H94="MRR"),
    SUMIFS(I:I,A:A,A94,B:B,B94,G:G,D94),
  TRUE,
    ""
)</f>
        <v>1325.76</v>
      </c>
      <c r="T94" s="10">
        <f t="shared" si="23"/>
        <v>0.36798250240092373</v>
      </c>
      <c r="U94" s="30">
        <f>SUMIFS('Acel Form Pag'!F:F,'Acel Form Pag'!A:A,A94,'Acel Form Pag'!B:B,B94,'Acel Form Pag'!C:C,E94)</f>
        <v>1.25</v>
      </c>
      <c r="V94" s="32" cm="1">
        <f t="array" ref="V94">_xlfn.IFS(
  AND(F94="Consultor",H94="MRR",E94="Farmer"),
    SUMIFS(Negócios!M:M,Negócios!A:A,A94,Negócios!B:B,B94,Negócios!P:P,D94,Negócios!AG:AG,"Recorrente")
    +SUMIFS(Negócios!N:N,Negócios!A:A,A94,Negócios!B:B,B94,Negócios!P:P,D94,Negócios!AG:AG,"Recorrente"),
  AND(F94="Consultor",H94="MRR"),
    SUMIFS(Negócios!L:L,Negócios!A:A,A94,Negócios!B:B,B94,Negócios!P:P,D94,Negócios!AG:AG,"Recorrente"),
  AND(F94="Consultor",H94="Opps"),
    SUMIFS('Realizado GD'!D:D,'Realizado GD'!A:A,A94,'Realizado GD'!B:B,B94,'Realizado GD'!C:C,D94),
  D94="sonia.zielinski@altoqi.com.br",
    SUM(SUMIFS(Negócios!L:L,Negócios!A:A,A94,Negócios!B:B,B94,Negócios!R:R,{"FSB";"Ares"},Negócios!AG:AG,"Recorrente"))
    +SUMIFS(Negócios!M:M,Negócios!A:A,A94,Negócios!B:B,B94,Negócios!R:R,"Farmer",Negócios!AG:AG,"Recorrente")
    +SUMIFS(Negócios!N:N,Negócios!A:A,A94,Negócios!B:B,B94,Negócios!R:R,"Farmer",Negócios!AG:AG,"Recorrente"),
  OR(
    D94="anderson.ortiz@altoqi.com.br",
    D94="rafael.motta@altoqi.com.br",
    D94="beatriz@altoqi.com.br"
  ),
    SUMIFS(Negócios!L:L,Negócios!A:A,A94,Negócios!B:B,B94,Negócios!R:R,E94,Negócios!AG:AG,"Recorrente"),
  AND(F94="Gestor",H94="MRR"),
    SUMIFS(I:I,A:A,A94,B:B,B94,G:G,D94),
  TRUE,
    ""
)</f>
        <v>1557.1</v>
      </c>
      <c r="W94" s="10">
        <f t="shared" si="24"/>
        <v>0.43219402794508688</v>
      </c>
      <c r="X94" s="34">
        <f>SUMIFS('Acel Form Pag'!G:G,'Acel Form Pag'!A:A,A94,'Acel Form Pag'!B:B,B94,'Acel Form Pag'!C:C,E94)</f>
        <v>1</v>
      </c>
      <c r="Y94" s="24">
        <f>MAX(_xlfn.MAXIFS(Parâmetros!O:O,Parâmetros!A:A,A94,Parâmetros!B:B,B94,Parâmetros!D:D,D94,Parâmetros!M:M,"&lt;="&amp;K94),_xlfn.MAXIFS(Parâmetros!L:L,Parâmetros!A:A,A94,Parâmetros!B:B,B94,Parâmetros!D:D,D94,Parâmetros!J:J,"&lt;="&amp;K94),_xlfn.MAXIFS(Parâmetros!I:I,Parâmetros!A:A,A94,Parâmetros!B:B,B94,Parâmetros!D:D,D94))</f>
        <v>6480</v>
      </c>
      <c r="Z94" s="9">
        <f>MAX(_xlfn.MAXIFS(Parâmetros!Q:Q,Parâmetros!A:A,A94,Parâmetros!B:B,B94,Parâmetros!D:D,D94,Parâmetros!E:E,E94,Parâmetros!P:P,"&lt;="&amp;K94),
_xlfn.MAXIFS(Parâmetros!S:S,Parâmetros!A:A,A94,Parâmetros!B:B,B94,Parâmetros!D:D,D94,Parâmetros!E:E,E94,Parâmetros!R:R,"&lt;="&amp;K94),
_xlfn.MAXIFS(Parâmetros!U:U,Parâmetros!A:A,A94,Parâmetros!B:B,B94,Parâmetros!D:D,D94,Parâmetros!E:E,E94,Parâmetros!T:T,"&lt;="&amp;K94),1) * IF(K94 &gt;= SUMIFS(Parâmetros!G:G,Parâmetros!A:A,A94,Parâmetros!B:B,B94,Parâmetros!D:D,D94,Parâmetros!E:E,E94),1,0)</f>
        <v>1</v>
      </c>
      <c r="AA94" s="16">
        <f>Y94*Z94*K94</f>
        <v>3031.9499220779221</v>
      </c>
      <c r="AB94" s="16">
        <f>(AA94*N94*O94) + (AA94*Q94*R94) + (AA94*T94*U94) + (AA94*W94*X94)</f>
        <v>3500.1867272727277</v>
      </c>
      <c r="AC94" s="15">
        <f>IF(F94="Gestor",SUMIFS(AC:AC,A:A,A94,B:B,B94,G:G,D94),
IF(E94="Saving",SUMIFS(Negócios!I:I,Negócios!A:A,A94,Negócios!B:B,B94,Negócios!P:P,D94,Negócios!H:H,"Curso") +
SUMIFS(Negócios!I:I,Negócios!A:A,A94,Negócios!B:B,B94,Negócios!P:P,D94,Negócios!H:H,"Serviço") +
SUMIFS(Negócios!I:I,Negócios!A:A,A94,Negócios!B:B,B94,Negócios!P:P,D94,Negócios!H:H,"Implantação"),
SUMIFS(Negócios!I:I,Negócios!A:A,A94,Negócios!B:B,B94,Negócios!P:P,D94,Negócios!H:H,"Implantação")))</f>
        <v>0</v>
      </c>
      <c r="AD94" s="16">
        <f>SUMIFS(Parâmetros!W:W,Parâmetros!A:A,A94,Parâmetros!B:B,B94,Parâmetros!D:D,D94) * AC94 * IF(K94 &gt;= SUMIFS(Parâmetros!V:V,Parâmetros!A:A,A94,Parâmetros!B:B,B94,Parâmetros!D:D,D94),1,0)</f>
        <v>0</v>
      </c>
      <c r="AE94" s="15">
        <f>SUMIFS('Recuperação de Canc e Divs'!D:D,'Recuperação de Canc e Divs'!A:A,A94,'Recuperação de Canc e Divs'!B:B,B94,'Recuperação de Canc e Divs'!C:C,D94)</f>
        <v>0</v>
      </c>
      <c r="AF94" s="16">
        <f>IF(K94&gt;=SUMIFS(Parâmetros!J:J,Parâmetros!A:A,A94,Parâmetros!B:B,B94,Parâmetros!D:D,D94),AE94*0.025,0)</f>
        <v>0</v>
      </c>
      <c r="AG94" s="15" t="str">
        <f t="shared" si="31"/>
        <v/>
      </c>
      <c r="AH94" s="16" t="str">
        <f t="shared" si="32"/>
        <v/>
      </c>
      <c r="AI94" s="90">
        <f t="shared" si="33"/>
        <v>0</v>
      </c>
      <c r="AJ94" s="16" t="str">
        <f t="shared" si="34"/>
        <v/>
      </c>
      <c r="AK94" s="16" t="str">
        <f t="shared" si="35"/>
        <v/>
      </c>
      <c r="AL94" s="90">
        <f t="shared" si="36"/>
        <v>0</v>
      </c>
      <c r="AM94" s="93" t="str">
        <f>IF(AND(OR(B94=3,B94=6,B94=9,B94=12),AI94&gt;=1),
IF(F94="Gestor",AI94*0.6,AI94*0.3),"")</f>
        <v/>
      </c>
      <c r="AN94" s="94" t="str">
        <f>IF(OR(B94=3,B94=6,B94=9,B94=12),
IF(AND(AL94&gt;=1,AI94&gt;=SUMIFS(Parâmetros!G:G,Parâmetros!A:A,Comissões!A94,Parâmetros!B:B,Comissões!B94,Parâmetros!D:D,Comissões!D94,Parâmetros!E:E,Comissões!E94)),AI94*0.3,""),"")</f>
        <v/>
      </c>
      <c r="AO94" s="16">
        <f t="shared" si="37"/>
        <v>3602.7799999999997</v>
      </c>
      <c r="AP94" s="16">
        <f t="shared" si="38"/>
        <v>1</v>
      </c>
    </row>
    <row r="95" spans="1:42" hidden="1">
      <c r="A95" s="7">
        <v>2026</v>
      </c>
      <c r="B95" s="7">
        <v>4</v>
      </c>
      <c r="C95" s="7" t="str">
        <v>Debora Vieira</v>
      </c>
      <c r="D95" s="7" t="str">
        <v>debora.vieira@altoqi.com.br</v>
      </c>
      <c r="E95" s="7" t="str">
        <v>Farmer</v>
      </c>
      <c r="F95" s="7" t="str">
        <v>Consultor</v>
      </c>
      <c r="G95" s="7" t="str">
        <v>sonia.zielinski@altoqi.com.br</v>
      </c>
      <c r="H95" s="7" t="str">
        <v>MRR</v>
      </c>
      <c r="I95" s="86" cm="1">
        <f t="array" ref="I95">_xlfn.IFS(
  AND(F95="Consultor",H95="MRR",E95="Farmer"),
    SUMIFS(Negócios!M:M,Negócios!A:A,A95,Negócios!B:B,B95,Negócios!P:P,D95)
    +SUMIFS(Negócios!N:N,Negócios!A:A,A95,Negócios!B:B,B95,Negócios!P:P,D95),
  AND(F95="Consultor",H95="MRR"),
    SUMIFS(Negócios!L:L,Negócios!A:A,A95,Negócios!B:B,B95,Negócios!P:P,D95),
  AND(F95="Consultor",H95="Opps"),
    SUMIFS('Realizado GD'!D:D,'Realizado GD'!A:A,A95,'Realizado GD'!B:B,B95,'Realizado GD'!C:C,D95),
  D95="sonia.zielinski@altoqi.com.br",
    SUM(SUMIFS(Negócios!L:L,Negócios!A:A,A95,Negócios!B:B,B95,Negócios!R:R,{"FSB";"Ares"}))
    +SUMIFS(Negócios!M:M,Negócios!A:A,A95,Negócios!B:B,B95,Negócios!R:R,"Farmer")
    +SUMIFS(Negócios!N:N,Negócios!A:A,A95,Negócios!B:B,B95,Negócios!R:R,"Farmer"),
  OR(
    D95="anderson.ortiz@altoqi.com.br",
    D95="rafael.motta@altoqi.com.br",
    D95="beatriz@altoqi.com.br"
  ),
    SUMIFS(Negócios!L:L,Negócios!A:A,A95,Negócios!B:B,B95,Negócios!R:R,E95),
  AND(F95="Gestor",H95="MRR"),
    SUMIFS(I:I,A:A,A95,B:B,B95,G:G,D95),
  TRUE,
    ""
)</f>
        <v>4027.4900000099997</v>
      </c>
      <c r="J95" s="16">
        <f>SUMIFS(Metas!K:K,Metas!A:A,A95,Metas!B:B,B95,Metas!D:D,D95,Metas!H:H,H95)</f>
        <v>7000</v>
      </c>
      <c r="K95" s="10">
        <f t="shared" si="20"/>
        <v>0.57535571428714283</v>
      </c>
      <c r="L95" s="26" t="str" cm="1">
        <f t="array" ref="L95">_xlfn.LET(
 _xlpm.g,_xlfn.MAXIFS(Parâmetros!G:G,Parâmetros!A:A,A95,Parâmetros!B:B,B95,Parâmetros!D:D,D95,Parâmetros!E:E,E95),
 _xlpm.j,_xlfn.MAXIFS(Parâmetros!J:J,Parâmetros!A:A,A95,Parâmetros!B:B,B95,Parâmetros!D:D,D95,Parâmetros!E:E,E95),
 _xlpm.m,_xlfn.MAXIFS(Parâmetros!M:M,Parâmetros!A:A,A95,Parâmetros!B:B,B95,Parâmetros!D:D,D95,Parâmetros!E:E,E95),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/>
      </c>
      <c r="M95" s="28" cm="1">
        <f t="array" ref="M95">_xlfn.IFS(
  AND(F95="Consultor",H95="MRR",E95="Farmer"),
    SUMIFS(Negócios!M:M,Negócios!A:A,A95,Negócios!B:B,B95,Negócios!P:P,D95,Negócios!AG:AG,"À Vista")
    +SUMIFS(Negócios!N:N,Negócios!A:A,A95,Negócios!B:B,B95,Negócios!P:P,D95,Negócios!AG:AG,"À Vista"),
  AND(F95="Consultor",H95="MRR"),
    SUMIFS(Negócios!L:L,Negócios!A:A,A95,Negócios!B:B,B95,Negócios!P:P,D95,Negócios!AG:AG,"À Vista"),
  AND(F95="Consultor",H95="Opps"),
    SUMIFS('Realizado GD'!D:D,'Realizado GD'!A:A,A95,'Realizado GD'!B:B,B95,'Realizado GD'!C:C,D95),
  D95="sonia.zielinski@altoqi.com.br",
    SUM(SUMIFS(Negócios!L:L,Negócios!A:A,A95,Negócios!B:B,B95,Negócios!R:R,{"FSB";"Ares"},Negócios!AG:AG,"À Vista"))
    +SUMIFS(Negócios!M:M,Negócios!A:A,A95,Negócios!B:B,B95,Negócios!R:R,"Farmer",Negócios!AG:AG,"À Vista")
    +SUMIFS(Negócios!N:N,Negócios!A:A,A95,Negócios!B:B,B95,Negócios!R:R,"Farmer",Negócios!AG:AG,"À Vista"),
  OR(
    D95="anderson.ortiz@altoqi.com.br",
    D95="rafael.motta@altoqi.com.br",
    D95="beatriz@altoqi.com.br"
  ),
    SUMIFS(Negócios!L:L,Negócios!A:A,A95,Negócios!B:B,B95,Negócios!R:R,E95,Negócios!AG:AG,"À Vista"),
  AND(F95="Gestor",H95="MRR"),
    SUMIFS(I:I,A:A,A95,B:B,B95,G:G,D95),
  TRUE,
    ""
)</f>
        <v>314.81</v>
      </c>
      <c r="N95" s="10">
        <f t="shared" si="21"/>
        <v>7.8165308914291132E-2</v>
      </c>
      <c r="O95" s="30">
        <f>SUMIFS('Acel Form Pag'!D:D,'Acel Form Pag'!A:A,A95,'Acel Form Pag'!B:B,B95,'Acel Form Pag'!C:C,E95)</f>
        <v>1.5</v>
      </c>
      <c r="P95" s="87" cm="1">
        <f t="array" ref="P95">_xlfn.IFS(
  AND(F95="Consultor",H95="MRR",E95="Farmer"),
    SUMIFS(Negócios!M:M,Negócios!A:A,A95,Negócios!B:B,B95,Negócios!P:P,D95,Negócios!AG:AG,"CC 3x")
    +SUMIFS(Negócios!N:N,Negócios!A:A,A95,Negócios!B:B,B95,Negócios!P:P,D95,Negócios!AG:AG,"CC 3x"),
  AND(F95="Consultor",H95="MRR"),
    SUMIFS(Negócios!L:L,Negócios!A:A,A95,Negócios!B:B,B95,Negócios!P:P,D95,Negócios!AG:AG,"CC 3x"),
  AND(F95="Consultor",H95="Opps"),
    SUMIFS('Realizado GD'!D:D,'Realizado GD'!A:A,A95,'Realizado GD'!B:B,B95,'Realizado GD'!C:C,D95),
  D95="sonia.zielinski@altoqi.com.br",
    SUM(SUMIFS(Negócios!L:L,Negócios!A:A,A95,Negócios!B:B,B95,Negócios!R:R,{"FSB";"Ares"},Negócios!AG:AG,"CC 3x"))
    +SUMIFS(Negócios!M:M,Negócios!A:A,A95,Negócios!B:B,B95,Negócios!R:R,"Farmer",Negócios!AG:AG,"CC 3x")
    +SUMIFS(Negócios!N:N,Negócios!A:A,A95,Negócios!B:B,B95,Negócios!R:R,"Farmer",Negócios!AG:AG,"CC 3x"),
  OR(
    D95="anderson.ortiz@altoqi.com.br",
    D95="rafael.motta@altoqi.com.br",
    D95="beatriz@altoqi.com.br"
  ),
    SUMIFS(Negócios!M:M,Negócios!A:A,A95,Negócios!B:B,B95,Negócios!R:R,E95,Negócios!AG:AG,"CC 3x"),
  AND(F95="Gestor",H95="MRR"),
    SUMIFS(I:I,A:A,A95,B:B,B95,G:G,D95),
  TRUE,
    ""
)</f>
        <v>0</v>
      </c>
      <c r="Q95" s="10">
        <f t="shared" si="22"/>
        <v>0</v>
      </c>
      <c r="R95" s="30">
        <f>SUMIFS('Acel Form Pag'!E:E,'Acel Form Pag'!A:A,A95,'Acel Form Pag'!B:B,B95,'Acel Form Pag'!C:C,E95)</f>
        <v>1.25</v>
      </c>
      <c r="S95" s="32" cm="1">
        <f t="array" ref="S95">_xlfn.IFS(
  AND(F95="Consultor",H95="MRR",E95="Farmer"),
    SUMIFS(Negócios!M:M,Negócios!A:A,A95,Negócios!B:B,B95,Negócios!P:P,D95,Negócios!AG:AG,"CC 12x")
    +SUMIFS(Negócios!N:N,Negócios!A:A,A95,Negócios!B:B,B95,Negócios!P:P,D95,Negócios!AG:AG,"CC 12x"),
  AND(F95="Consultor",H95="MRR"),
    SUMIFS(Negócios!L:L,Negócios!A:A,A95,Negócios!B:B,B95,Negócios!P:P,D95,Negócios!AG:AG,"CC 12x"),
  AND(F95="Consultor",H95="Opps"),
    SUMIFS('Realizado GD'!D:D,'Realizado GD'!A:A,A95,'Realizado GD'!B:B,B95,'Realizado GD'!C:C,D95),
  D95="sonia.zielinski@altoqi.com.br",
    SUM(SUMIFS(Negócios!L:L,Negócios!A:A,A95,Negócios!B:B,B95,Negócios!R:R,{"FSB";"Ares"},Negócios!AG:AG,"CC 12x"))
    +SUMIFS(Negócios!M:M,Negócios!A:A,A95,Negócios!B:B,B95,Negócios!R:R,"Farmer",Negócios!AG:AG,"CC 12x")
    +SUMIFS(Negócios!N:N,Negócios!A:A,A95,Negócios!B:B,B95,Negócios!R:R,"Farmer",Negócios!AG:AG,"CC 12x"),
  OR(
    D95="anderson.ortiz@altoqi.com.br",
    D95="rafael.motta@altoqi.com.br",
    D95="beatriz@altoqi.com.br"
  ),
    SUMIFS(Negócios!L:L,Negócios!A:A,A95,Negócios!B:B,B95,Negócios!R:R,E95,Negócios!AG:AG,"CC 12x"),
  AND(F95="Gestor",H95="MRR"),
    SUMIFS(I:I,A:A,A95,B:B,B95,G:G,D95),
  TRUE,
    ""
)</f>
        <v>320.22000000000003</v>
      </c>
      <c r="T95" s="10">
        <f t="shared" si="23"/>
        <v>7.9508577302291245E-2</v>
      </c>
      <c r="U95" s="30">
        <f>SUMIFS('Acel Form Pag'!F:F,'Acel Form Pag'!A:A,A95,'Acel Form Pag'!B:B,B95,'Acel Form Pag'!C:C,E95)</f>
        <v>1.25</v>
      </c>
      <c r="V95" s="32" cm="1">
        <f t="array" ref="V95">_xlfn.IFS(
  AND(F95="Consultor",H95="MRR",E95="Farmer"),
    SUMIFS(Negócios!M:M,Negócios!A:A,A95,Negócios!B:B,B95,Negócios!P:P,D95,Negócios!AG:AG,"Recorrente")
    +SUMIFS(Negócios!N:N,Negócios!A:A,A95,Negócios!B:B,B95,Negócios!P:P,D95,Negócios!AG:AG,"Recorrente"),
  AND(F95="Consultor",H95="MRR"),
    SUMIFS(Negócios!L:L,Negócios!A:A,A95,Negócios!B:B,B95,Negócios!P:P,D95,Negócios!AG:AG,"Recorrente"),
  AND(F95="Consultor",H95="Opps"),
    SUMIFS('Realizado GD'!D:D,'Realizado GD'!A:A,A95,'Realizado GD'!B:B,B95,'Realizado GD'!C:C,D95),
  D95="sonia.zielinski@altoqi.com.br",
    SUM(SUMIFS(Negócios!L:L,Negócios!A:A,A95,Negócios!B:B,B95,Negócios!R:R,{"FSB";"Ares"},Negócios!AG:AG,"Recorrente"))
    +SUMIFS(Negócios!M:M,Negócios!A:A,A95,Negócios!B:B,B95,Negócios!R:R,"Farmer",Negócios!AG:AG,"Recorrente")
    +SUMIFS(Negócios!N:N,Negócios!A:A,A95,Negócios!B:B,B95,Negócios!R:R,"Farmer",Negócios!AG:AG,"Recorrente"),
  OR(
    D95="anderson.ortiz@altoqi.com.br",
    D95="rafael.motta@altoqi.com.br",
    D95="beatriz@altoqi.com.br"
  ),
    SUMIFS(Negócios!L:L,Negócios!A:A,A95,Negócios!B:B,B95,Negócios!R:R,E95,Negócios!AG:AG,"Recorrente"),
  AND(F95="Gestor",H95="MRR"),
    SUMIFS(I:I,A:A,A95,B:B,B95,G:G,D95),
  TRUE,
    ""
)</f>
        <v>3392.4600000099999</v>
      </c>
      <c r="W95" s="10">
        <f t="shared" si="24"/>
        <v>0.84232611378341771</v>
      </c>
      <c r="X95" s="34">
        <f>SUMIFS('Acel Form Pag'!G:G,'Acel Form Pag'!A:A,A95,'Acel Form Pag'!B:B,B95,'Acel Form Pag'!C:C,E95)</f>
        <v>1</v>
      </c>
      <c r="Y95" s="24">
        <f>MAX(_xlfn.MAXIFS(Parâmetros!O:O,Parâmetros!A:A,A95,Parâmetros!B:B,B95,Parâmetros!D:D,D95,Parâmetros!M:M,"&lt;="&amp;K95),_xlfn.MAXIFS(Parâmetros!L:L,Parâmetros!A:A,A95,Parâmetros!B:B,B95,Parâmetros!D:D,D95,Parâmetros!J:J,"&lt;="&amp;K95),_xlfn.MAXIFS(Parâmetros!I:I,Parâmetros!A:A,A95,Parâmetros!B:B,B95,Parâmetros!D:D,D95))</f>
        <v>3746.2</v>
      </c>
      <c r="Z95" s="9">
        <f>MAX(_xlfn.MAXIFS(Parâmetros!Q:Q,Parâmetros!A:A,A95,Parâmetros!B:B,B95,Parâmetros!D:D,D95,Parâmetros!E:E,E95,Parâmetros!P:P,"&lt;="&amp;K95),
_xlfn.MAXIFS(Parâmetros!S:S,Parâmetros!A:A,A95,Parâmetros!B:B,B95,Parâmetros!D:D,D95,Parâmetros!E:E,E95,Parâmetros!R:R,"&lt;="&amp;K95),
_xlfn.MAXIFS(Parâmetros!U:U,Parâmetros!A:A,A95,Parâmetros!B:B,B95,Parâmetros!D:D,D95,Parâmetros!E:E,E95,Parâmetros!T:T,"&lt;="&amp;K95),1) * IF(K95 &gt;= SUMIFS(Parâmetros!G:G,Parâmetros!A:A,A95,Parâmetros!B:B,B95,Parâmetros!D:D,D95,Parâmetros!E:E,E95),1,0)</f>
        <v>1</v>
      </c>
      <c r="AA95" s="16">
        <f>Y95*Z95*K95</f>
        <v>2155.3975768624941</v>
      </c>
      <c r="AB95" s="16">
        <f>(AA95*N95*O95) + (AA95*Q95*R95) + (AA95*T95*U95) + (AA95*W95*X95)</f>
        <v>2282.4793842910658</v>
      </c>
      <c r="AC95" s="15">
        <f>IF(F95="Gestor",SUMIFS(AC:AC,A:A,A95,B:B,B95,G:G,D95),
IF(E95="Saving",SUMIFS(Negócios!I:I,Negócios!A:A,A95,Negócios!B:B,B95,Negócios!P:P,D95,Negócios!H:H,"Curso") +
SUMIFS(Negócios!I:I,Negócios!A:A,A95,Negócios!B:B,B95,Negócios!P:P,D95,Negócios!H:H,"Serviço") +
SUMIFS(Negócios!I:I,Negócios!A:A,A95,Negócios!B:B,B95,Negócios!P:P,D95,Negócios!H:H,"Implantação"),
SUMIFS(Negócios!I:I,Negócios!A:A,A95,Negócios!B:B,B95,Negócios!P:P,D95,Negócios!H:H,"Implantação")))</f>
        <v>0</v>
      </c>
      <c r="AD95" s="16">
        <f>SUMIFS(Parâmetros!W:W,Parâmetros!A:A,A95,Parâmetros!B:B,B95,Parâmetros!D:D,D95) * AC95 * IF(K95 &gt;= SUMIFS(Parâmetros!V:V,Parâmetros!A:A,A95,Parâmetros!B:B,B95,Parâmetros!D:D,D95),1,0)</f>
        <v>0</v>
      </c>
      <c r="AE95" s="15">
        <f>SUMIFS('Recuperação de Canc e Divs'!D:D,'Recuperação de Canc e Divs'!A:A,A95,'Recuperação de Canc e Divs'!B:B,B95,'Recuperação de Canc e Divs'!C:C,D95)</f>
        <v>0</v>
      </c>
      <c r="AF95" s="16">
        <f>IF(K95&gt;=SUMIFS(Parâmetros!J:J,Parâmetros!A:A,A95,Parâmetros!B:B,B95,Parâmetros!D:D,D95),AE95*0.025,0)</f>
        <v>0</v>
      </c>
      <c r="AG95" s="15" t="str">
        <f t="shared" si="31"/>
        <v/>
      </c>
      <c r="AH95" s="16" t="str">
        <f t="shared" si="32"/>
        <v/>
      </c>
      <c r="AI95" s="90">
        <f t="shared" si="33"/>
        <v>0</v>
      </c>
      <c r="AJ95" s="16" t="str">
        <f t="shared" si="34"/>
        <v/>
      </c>
      <c r="AK95" s="16" t="str">
        <f t="shared" si="35"/>
        <v/>
      </c>
      <c r="AL95" s="90">
        <f t="shared" si="36"/>
        <v>0</v>
      </c>
      <c r="AM95" s="93" t="str">
        <f>IF(AND(OR(B95=3,B95=6,B95=9,B95=12),AI95&gt;=1),
IF(F95="Gestor",AI95*0.6,AI95*0.3),"")</f>
        <v/>
      </c>
      <c r="AN95" s="94" t="str">
        <f>IF(OR(B95=3,B95=6,B95=9,B95=12),
IF(AND(AL95&gt;=1,AI95&gt;=SUMIFS(Parâmetros!G:G,Parâmetros!A:A,Comissões!A95,Parâmetros!B:B,Comissões!B95,Parâmetros!D:D,Comissões!D95,Parâmetros!E:E,Comissões!E95)),AI95*0.3,""),"")</f>
        <v/>
      </c>
      <c r="AO95" s="16">
        <f t="shared" si="37"/>
        <v>4027.4900000099997</v>
      </c>
      <c r="AP95" s="16">
        <f t="shared" si="38"/>
        <v>1</v>
      </c>
    </row>
    <row r="96" spans="1:42" hidden="1">
      <c r="A96" s="7">
        <v>2026</v>
      </c>
      <c r="B96" s="7">
        <v>4</v>
      </c>
      <c r="C96" s="7" t="str">
        <v>Mariana Rachadel</v>
      </c>
      <c r="D96" s="7" t="str">
        <v>mariana@altoqi.com.br</v>
      </c>
      <c r="E96" s="7" t="str">
        <v>Farmer</v>
      </c>
      <c r="F96" s="7" t="str">
        <v>Consultor</v>
      </c>
      <c r="G96" s="7" t="str">
        <v>sonia.zielinski@altoqi.com.br</v>
      </c>
      <c r="H96" s="7" t="str">
        <v>MRR</v>
      </c>
      <c r="I96" s="86" cm="1">
        <f t="array" ref="I96">_xlfn.IFS(
  AND(F96="Consultor",H96="MRR",E96="Farmer"),
    SUMIFS(Negócios!M:M,Negócios!A:A,A96,Negócios!B:B,B96,Negócios!P:P,D96)
    +SUMIFS(Negócios!N:N,Negócios!A:A,A96,Negócios!B:B,B96,Negócios!P:P,D96),
  AND(F96="Consultor",H96="MRR"),
    SUMIFS(Negócios!L:L,Negócios!A:A,A96,Negócios!B:B,B96,Negócios!P:P,D96),
  AND(F96="Consultor",H96="Opps"),
    SUMIFS('Realizado GD'!D:D,'Realizado GD'!A:A,A96,'Realizado GD'!B:B,B96,'Realizado GD'!C:C,D96),
  D96="sonia.zielinski@altoqi.com.br",
    SUM(SUMIFS(Negócios!L:L,Negócios!A:A,A96,Negócios!B:B,B96,Negócios!R:R,{"FSB";"Ares"}))
    +SUMIFS(Negócios!M:M,Negócios!A:A,A96,Negócios!B:B,B96,Negócios!R:R,"Farmer")
    +SUMIFS(Negócios!N:N,Negócios!A:A,A96,Negócios!B:B,B96,Negócios!R:R,"Farmer"),
  OR(
    D96="anderson.ortiz@altoqi.com.br",
    D96="rafael.motta@altoqi.com.br",
    D96="beatriz@altoqi.com.br"
  ),
    SUMIFS(Negócios!L:L,Negócios!A:A,A96,Negócios!B:B,B96,Negócios!R:R,E96),
  AND(F96="Gestor",H96="MRR"),
    SUMIFS(I:I,A:A,A96,B:B,B96,G:G,D96),
  TRUE,
    ""
)</f>
        <v>14009.902400919998</v>
      </c>
      <c r="J96" s="16">
        <f>SUMIFS(Metas!K:K,Metas!A:A,A96,Metas!B:B,B96,Metas!D:D,D96,Metas!H:H,H96)</f>
        <v>13125</v>
      </c>
      <c r="K96" s="10">
        <f t="shared" si="20"/>
        <v>1.0674211353081904</v>
      </c>
      <c r="L96" s="26" t="str" cm="1">
        <f t="array" ref="L96">_xlfn.LET(
 _xlpm.g,_xlfn.MAXIFS(Parâmetros!G:G,Parâmetros!A:A,A96,Parâmetros!B:B,B96,Parâmetros!D:D,D96,Parâmetros!E:E,E96),
 _xlpm.j,_xlfn.MAXIFS(Parâmetros!J:J,Parâmetros!A:A,A96,Parâmetros!B:B,B96,Parâmetros!D:D,D96,Parâmetros!E:E,E96),
 _xlpm.m,_xlfn.MAXIFS(Parâmetros!M:M,Parâmetros!A:A,A96,Parâmetros!B:B,B96,Parâmetros!D:D,D96,Parâmetros!E:E,E96),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100,00%</v>
      </c>
      <c r="M96" s="28" cm="1">
        <f t="array" ref="M96">_xlfn.IFS(
  AND(F96="Consultor",H96="MRR",E96="Farmer"),
    SUMIFS(Negócios!M:M,Negócios!A:A,A96,Negócios!B:B,B96,Negócios!P:P,D96,Negócios!AG:AG,"À Vista")
    +SUMIFS(Negócios!N:N,Negócios!A:A,A96,Negócios!B:B,B96,Negócios!P:P,D96,Negócios!AG:AG,"À Vista"),
  AND(F96="Consultor",H96="MRR"),
    SUMIFS(Negócios!L:L,Negócios!A:A,A96,Negócios!B:B,B96,Negócios!P:P,D96,Negócios!AG:AG,"À Vista"),
  AND(F96="Consultor",H96="Opps"),
    SUMIFS('Realizado GD'!D:D,'Realizado GD'!A:A,A96,'Realizado GD'!B:B,B96,'Realizado GD'!C:C,D96),
  D96="sonia.zielinski@altoqi.com.br",
    SUM(SUMIFS(Negócios!L:L,Negócios!A:A,A96,Negócios!B:B,B96,Negócios!R:R,{"FSB";"Ares"},Negócios!AG:AG,"À Vista"))
    +SUMIFS(Negócios!M:M,Negócios!A:A,A96,Negócios!B:B,B96,Negócios!R:R,"Farmer",Negócios!AG:AG,"À Vista")
    +SUMIFS(Negócios!N:N,Negócios!A:A,A96,Negócios!B:B,B96,Negócios!R:R,"Farmer",Negócios!AG:AG,"À Vista"),
  OR(
    D96="anderson.ortiz@altoqi.com.br",
    D96="rafael.motta@altoqi.com.br",
    D96="beatriz@altoqi.com.br"
  ),
    SUMIFS(Negócios!L:L,Negócios!A:A,A96,Negócios!B:B,B96,Negócios!R:R,E96,Negócios!AG:AG,"À Vista"),
  AND(F96="Gestor",H96="MRR"),
    SUMIFS(I:I,A:A,A96,B:B,B96,G:G,D96),
  TRUE,
    ""
)</f>
        <v>1302.4699999999998</v>
      </c>
      <c r="N96" s="10">
        <f t="shared" si="21"/>
        <v>9.2967813959536905E-2</v>
      </c>
      <c r="O96" s="30">
        <f>SUMIFS('Acel Form Pag'!D:D,'Acel Form Pag'!A:A,A96,'Acel Form Pag'!B:B,B96,'Acel Form Pag'!C:C,E96)</f>
        <v>1.5</v>
      </c>
      <c r="P96" s="87" cm="1">
        <f t="array" ref="P96">_xlfn.IFS(
  AND(F96="Consultor",H96="MRR",E96="Farmer"),
    SUMIFS(Negócios!M:M,Negócios!A:A,A96,Negócios!B:B,B96,Negócios!P:P,D96,Negócios!AG:AG,"CC 3x")
    +SUMIFS(Negócios!N:N,Negócios!A:A,A96,Negócios!B:B,B96,Negócios!P:P,D96,Negócios!AG:AG,"CC 3x"),
  AND(F96="Consultor",H96="MRR"),
    SUMIFS(Negócios!L:L,Negócios!A:A,A96,Negócios!B:B,B96,Negócios!P:P,D96,Negócios!AG:AG,"CC 3x"),
  AND(F96="Consultor",H96="Opps"),
    SUMIFS('Realizado GD'!D:D,'Realizado GD'!A:A,A96,'Realizado GD'!B:B,B96,'Realizado GD'!C:C,D96),
  D96="sonia.zielinski@altoqi.com.br",
    SUM(SUMIFS(Negócios!L:L,Negócios!A:A,A96,Negócios!B:B,B96,Negócios!R:R,{"FSB";"Ares"},Negócios!AG:AG,"CC 3x"))
    +SUMIFS(Negócios!M:M,Negócios!A:A,A96,Negócios!B:B,B96,Negócios!R:R,"Farmer",Negócios!AG:AG,"CC 3x")
    +SUMIFS(Negócios!N:N,Negócios!A:A,A96,Negócios!B:B,B96,Negócios!R:R,"Farmer",Negócios!AG:AG,"CC 3x"),
  OR(
    D96="anderson.ortiz@altoqi.com.br",
    D96="rafael.motta@altoqi.com.br",
    D96="beatriz@altoqi.com.br"
  ),
    SUMIFS(Negócios!M:M,Negócios!A:A,A96,Negócios!B:B,B96,Negócios!R:R,E96,Negócios!AG:AG,"CC 3x"),
  AND(F96="Gestor",H96="MRR"),
    SUMIFS(I:I,A:A,A96,B:B,B96,G:G,D96),
  TRUE,
    ""
)</f>
        <v>0</v>
      </c>
      <c r="Q96" s="10">
        <f t="shared" si="22"/>
        <v>0</v>
      </c>
      <c r="R96" s="30">
        <f>SUMIFS('Acel Form Pag'!E:E,'Acel Form Pag'!A:A,A96,'Acel Form Pag'!B:B,B96,'Acel Form Pag'!C:C,E96)</f>
        <v>1.25</v>
      </c>
      <c r="S96" s="32" cm="1">
        <f t="array" ref="S96">_xlfn.IFS(
  AND(F96="Consultor",H96="MRR",E96="Farmer"),
    SUMIFS(Negócios!M:M,Negócios!A:A,A96,Negócios!B:B,B96,Negócios!P:P,D96,Negócios!AG:AG,"CC 12x")
    +SUMIFS(Negócios!N:N,Negócios!A:A,A96,Negócios!B:B,B96,Negócios!P:P,D96,Negócios!AG:AG,"CC 12x"),
  AND(F96="Consultor",H96="MRR"),
    SUMIFS(Negócios!L:L,Negócios!A:A,A96,Negócios!B:B,B96,Negócios!P:P,D96,Negócios!AG:AG,"CC 12x"),
  AND(F96="Consultor",H96="Opps"),
    SUMIFS('Realizado GD'!D:D,'Realizado GD'!A:A,A96,'Realizado GD'!B:B,B96,'Realizado GD'!C:C,D96),
  D96="sonia.zielinski@altoqi.com.br",
    SUM(SUMIFS(Negócios!L:L,Negócios!A:A,A96,Negócios!B:B,B96,Negócios!R:R,{"FSB";"Ares"},Negócios!AG:AG,"CC 12x"))
    +SUMIFS(Negócios!M:M,Negócios!A:A,A96,Negócios!B:B,B96,Negócios!R:R,"Farmer",Negócios!AG:AG,"CC 12x")
    +SUMIFS(Negócios!N:N,Negócios!A:A,A96,Negócios!B:B,B96,Negócios!R:R,"Farmer",Negócios!AG:AG,"CC 12x"),
  OR(
    D96="anderson.ortiz@altoqi.com.br",
    D96="rafael.motta@altoqi.com.br",
    D96="beatriz@altoqi.com.br"
  ),
    SUMIFS(Negócios!L:L,Negócios!A:A,A96,Negócios!B:B,B96,Negócios!R:R,E96,Negócios!AG:AG,"CC 12x"),
  AND(F96="Gestor",H96="MRR"),
    SUMIFS(I:I,A:A,A96,B:B,B96,G:G,D96),
  TRUE,
    ""
)</f>
        <v>0</v>
      </c>
      <c r="T96" s="10">
        <f t="shared" si="23"/>
        <v>0</v>
      </c>
      <c r="U96" s="30">
        <f>SUMIFS('Acel Form Pag'!F:F,'Acel Form Pag'!A:A,A96,'Acel Form Pag'!B:B,B96,'Acel Form Pag'!C:C,E96)</f>
        <v>1.25</v>
      </c>
      <c r="V96" s="32" cm="1">
        <f t="array" ref="V96">_xlfn.IFS(
  AND(F96="Consultor",H96="MRR",E96="Farmer"),
    SUMIFS(Negócios!M:M,Negócios!A:A,A96,Negócios!B:B,B96,Negócios!P:P,D96,Negócios!AG:AG,"Recorrente")
    +SUMIFS(Negócios!N:N,Negócios!A:A,A96,Negócios!B:B,B96,Negócios!P:P,D96,Negócios!AG:AG,"Recorrente"),
  AND(F96="Consultor",H96="MRR"),
    SUMIFS(Negócios!L:L,Negócios!A:A,A96,Negócios!B:B,B96,Negócios!P:P,D96,Negócios!AG:AG,"Recorrente"),
  AND(F96="Consultor",H96="Opps"),
    SUMIFS('Realizado GD'!D:D,'Realizado GD'!A:A,A96,'Realizado GD'!B:B,B96,'Realizado GD'!C:C,D96),
  D96="sonia.zielinski@altoqi.com.br",
    SUM(SUMIFS(Negócios!L:L,Negócios!A:A,A96,Negócios!B:B,B96,Negócios!R:R,{"FSB";"Ares"},Negócios!AG:AG,"Recorrente"))
    +SUMIFS(Negócios!M:M,Negócios!A:A,A96,Negócios!B:B,B96,Negócios!R:R,"Farmer",Negócios!AG:AG,"Recorrente")
    +SUMIFS(Negócios!N:N,Negócios!A:A,A96,Negócios!B:B,B96,Negócios!R:R,"Farmer",Negócios!AG:AG,"Recorrente"),
  OR(
    D96="anderson.ortiz@altoqi.com.br",
    D96="rafael.motta@altoqi.com.br",
    D96="beatriz@altoqi.com.br"
  ),
    SUMIFS(Negócios!L:L,Negócios!A:A,A96,Negócios!B:B,B96,Negócios!R:R,E96,Negócios!AG:AG,"Recorrente"),
  AND(F96="Gestor",H96="MRR"),
    SUMIFS(I:I,A:A,A96,B:B,B96,G:G,D96),
  TRUE,
    ""
)</f>
        <v>12707.432400919997</v>
      </c>
      <c r="W96" s="10">
        <f t="shared" si="24"/>
        <v>0.90703218604046298</v>
      </c>
      <c r="X96" s="34">
        <f>SUMIFS('Acel Form Pag'!G:G,'Acel Form Pag'!A:A,A96,'Acel Form Pag'!B:B,B96,'Acel Form Pag'!C:C,E96)</f>
        <v>1</v>
      </c>
      <c r="Y96" s="24">
        <f>MAX(_xlfn.MAXIFS(Parâmetros!O:O,Parâmetros!A:A,A96,Parâmetros!B:B,B96,Parâmetros!D:D,D96,Parâmetros!M:M,"&lt;="&amp;K96),_xlfn.MAXIFS(Parâmetros!L:L,Parâmetros!A:A,A96,Parâmetros!B:B,B96,Parâmetros!D:D,D96,Parâmetros!J:J,"&lt;="&amp;K96),_xlfn.MAXIFS(Parâmetros!I:I,Parâmetros!A:A,A96,Parâmetros!B:B,B96,Parâmetros!D:D,D96))</f>
        <v>11500</v>
      </c>
      <c r="Z96" s="9">
        <f>MAX(_xlfn.MAXIFS(Parâmetros!Q:Q,Parâmetros!A:A,A96,Parâmetros!B:B,B96,Parâmetros!D:D,D96,Parâmetros!E:E,E96,Parâmetros!P:P,"&lt;="&amp;K96),
_xlfn.MAXIFS(Parâmetros!S:S,Parâmetros!A:A,A96,Parâmetros!B:B,B96,Parâmetros!D:D,D96,Parâmetros!E:E,E96,Parâmetros!R:R,"&lt;="&amp;K96),
_xlfn.MAXIFS(Parâmetros!U:U,Parâmetros!A:A,A96,Parâmetros!B:B,B96,Parâmetros!D:D,D96,Parâmetros!E:E,E96,Parâmetros!T:T,"&lt;="&amp;K96),1) * IF(K96 &gt;= SUMIFS(Parâmetros!G:G,Parâmetros!A:A,A96,Parâmetros!B:B,B96,Parâmetros!D:D,D96,Parâmetros!E:E,E96),1,0)</f>
        <v>1.25</v>
      </c>
      <c r="AA96" s="16">
        <f>Y96*Z96*K96</f>
        <v>15344.178820055236</v>
      </c>
      <c r="AB96" s="16">
        <f>(AA96*N96*O96) + (AA96*Q96*R96) + (AA96*T96*U96) + (AA96*W96*X96)</f>
        <v>16057.436201007615</v>
      </c>
      <c r="AC96" s="15">
        <f>IF(F96="Gestor",SUMIFS(AC:AC,A:A,A96,B:B,B96,G:G,D96),
IF(E96="Saving",SUMIFS(Negócios!I:I,Negócios!A:A,A96,Negócios!B:B,B96,Negócios!P:P,D96,Negócios!H:H,"Curso") +
SUMIFS(Negócios!I:I,Negócios!A:A,A96,Negócios!B:B,B96,Negócios!P:P,D96,Negócios!H:H,"Serviço") +
SUMIFS(Negócios!I:I,Negócios!A:A,A96,Negócios!B:B,B96,Negócios!P:P,D96,Negócios!H:H,"Implantação"),
SUMIFS(Negócios!I:I,Negócios!A:A,A96,Negócios!B:B,B96,Negócios!P:P,D96,Negócios!H:H,"Implantação")))</f>
        <v>11480</v>
      </c>
      <c r="AD96" s="16">
        <f>SUMIFS(Parâmetros!W:W,Parâmetros!A:A,A96,Parâmetros!B:B,B96,Parâmetros!D:D,D96) * AC96 * IF(K96 &gt;= SUMIFS(Parâmetros!V:V,Parâmetros!A:A,A96,Parâmetros!B:B,B96,Parâmetros!D:D,D96),1,0)</f>
        <v>229.6</v>
      </c>
      <c r="AE96" s="15">
        <f>SUMIFS('Recuperação de Canc e Divs'!D:D,'Recuperação de Canc e Divs'!A:A,A96,'Recuperação de Canc e Divs'!B:B,B96,'Recuperação de Canc e Divs'!C:C,D96)</f>
        <v>0</v>
      </c>
      <c r="AF96" s="16">
        <f>IF(K96&gt;=SUMIFS(Parâmetros!J:J,Parâmetros!A:A,A96,Parâmetros!B:B,B96,Parâmetros!D:D,D96),AE96*0.025,0)</f>
        <v>0</v>
      </c>
      <c r="AG96" s="15" t="str">
        <f t="shared" si="31"/>
        <v/>
      </c>
      <c r="AH96" s="16" t="str">
        <f t="shared" si="32"/>
        <v/>
      </c>
      <c r="AI96" s="90">
        <f t="shared" si="33"/>
        <v>0</v>
      </c>
      <c r="AJ96" s="16" t="str">
        <f t="shared" si="34"/>
        <v/>
      </c>
      <c r="AK96" s="16" t="str">
        <f t="shared" si="35"/>
        <v/>
      </c>
      <c r="AL96" s="90">
        <f t="shared" si="36"/>
        <v>0</v>
      </c>
      <c r="AM96" s="93" t="str">
        <f>IF(AND(OR(B96=3,B96=6,B96=9,B96=12),AI96&gt;=1),
IF(F96="Gestor",AI96*0.6,AI96*0.3),"")</f>
        <v/>
      </c>
      <c r="AN96" s="94" t="str">
        <f>IF(OR(B96=3,B96=6,B96=9,B96=12),
IF(AND(AL96&gt;=1,AI96&gt;=SUMIFS(Parâmetros!G:G,Parâmetros!A:A,Comissões!A96,Parâmetros!B:B,Comissões!B96,Parâmetros!D:D,Comissões!D96,Parâmetros!E:E,Comissões!E96)),AI96*0.3,""),"")</f>
        <v/>
      </c>
      <c r="AO96" s="16">
        <f t="shared" si="37"/>
        <v>14009.902400919997</v>
      </c>
      <c r="AP96" s="16">
        <f t="shared" si="38"/>
        <v>0.99999999999999989</v>
      </c>
    </row>
    <row r="97" spans="1:42" hidden="1">
      <c r="A97" s="7">
        <v>2026</v>
      </c>
      <c r="B97" s="7">
        <v>4</v>
      </c>
      <c r="C97" s="7" t="str">
        <v>Renata Parizotto</v>
      </c>
      <c r="D97" s="7" t="str">
        <v>renata.parizotto@altoqi.com.br</v>
      </c>
      <c r="E97" s="7" t="str">
        <v>Farmer</v>
      </c>
      <c r="F97" s="7" t="str">
        <v>Consultor</v>
      </c>
      <c r="G97" s="7" t="str">
        <v>sonia.zielinski@altoqi.com.br</v>
      </c>
      <c r="H97" s="7" t="str">
        <v>MRR</v>
      </c>
      <c r="I97" s="86" cm="1">
        <f t="array" ref="I97">_xlfn.IFS(
  AND(F97="Consultor",H97="MRR",E97="Farmer"),
    SUMIFS(Negócios!M:M,Negócios!A:A,A97,Negócios!B:B,B97,Negócios!P:P,D97)
    +SUMIFS(Negócios!N:N,Negócios!A:A,A97,Negócios!B:B,B97,Negócios!P:P,D97),
  AND(F97="Consultor",H97="MRR"),
    SUMIFS(Negócios!L:L,Negócios!A:A,A97,Negócios!B:B,B97,Negócios!P:P,D97),
  AND(F97="Consultor",H97="Opps"),
    SUMIFS('Realizado GD'!D:D,'Realizado GD'!A:A,A97,'Realizado GD'!B:B,B97,'Realizado GD'!C:C,D97),
  D97="sonia.zielinski@altoqi.com.br",
    SUM(SUMIFS(Negócios!L:L,Negócios!A:A,A97,Negócios!B:B,B97,Negócios!R:R,{"FSB";"Ares"}))
    +SUMIFS(Negócios!M:M,Negócios!A:A,A97,Negócios!B:B,B97,Negócios!R:R,"Farmer")
    +SUMIFS(Negócios!N:N,Negócios!A:A,A97,Negócios!B:B,B97,Negócios!R:R,"Farmer"),
  OR(
    D97="anderson.ortiz@altoqi.com.br",
    D97="rafael.motta@altoqi.com.br",
    D97="beatriz@altoqi.com.br"
  ),
    SUMIFS(Negócios!L:L,Negócios!A:A,A97,Negócios!B:B,B97,Negócios!R:R,E97),
  AND(F97="Gestor",H97="MRR"),
    SUMIFS(I:I,A:A,A97,B:B,B97,G:G,D97),
  TRUE,
    ""
)</f>
        <v>6734.9872748499993</v>
      </c>
      <c r="J97" s="16">
        <f>SUMIFS(Metas!K:K,Metas!A:A,A97,Metas!B:B,B97,Metas!D:D,D97,Metas!H:H,H97)</f>
        <v>11550</v>
      </c>
      <c r="K97" s="10">
        <f t="shared" si="20"/>
        <v>0.58311578137229436</v>
      </c>
      <c r="L97" s="26" t="str" cm="1">
        <f t="array" ref="L97">_xlfn.LET(
 _xlpm.g,_xlfn.MAXIFS(Parâmetros!G:G,Parâmetros!A:A,A97,Parâmetros!B:B,B97,Parâmetros!D:D,D97,Parâmetros!E:E,E97),
 _xlpm.j,_xlfn.MAXIFS(Parâmetros!J:J,Parâmetros!A:A,A97,Parâmetros!B:B,B97,Parâmetros!D:D,D97,Parâmetros!E:E,E97),
 _xlpm.m,_xlfn.MAXIFS(Parâmetros!M:M,Parâmetros!A:A,A97,Parâmetros!B:B,B97,Parâmetros!D:D,D97,Parâmetros!E:E,E97),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/>
      </c>
      <c r="M97" s="28" cm="1">
        <f t="array" ref="M97">_xlfn.IFS(
  AND(F97="Consultor",H97="MRR",E97="Farmer"),
    SUMIFS(Negócios!M:M,Negócios!A:A,A97,Negócios!B:B,B97,Negócios!P:P,D97,Negócios!AG:AG,"À Vista")
    +SUMIFS(Negócios!N:N,Negócios!A:A,A97,Negócios!B:B,B97,Negócios!P:P,D97,Negócios!AG:AG,"À Vista"),
  AND(F97="Consultor",H97="MRR"),
    SUMIFS(Negócios!L:L,Negócios!A:A,A97,Negócios!B:B,B97,Negócios!P:P,D97,Negócios!AG:AG,"À Vista"),
  AND(F97="Consultor",H97="Opps"),
    SUMIFS('Realizado GD'!D:D,'Realizado GD'!A:A,A97,'Realizado GD'!B:B,B97,'Realizado GD'!C:C,D97),
  D97="sonia.zielinski@altoqi.com.br",
    SUM(SUMIFS(Negócios!L:L,Negócios!A:A,A97,Negócios!B:B,B97,Negócios!R:R,{"FSB";"Ares"},Negócios!AG:AG,"À Vista"))
    +SUMIFS(Negócios!M:M,Negócios!A:A,A97,Negócios!B:B,B97,Negócios!R:R,"Farmer",Negócios!AG:AG,"À Vista")
    +SUMIFS(Negócios!N:N,Negócios!A:A,A97,Negócios!B:B,B97,Negócios!R:R,"Farmer",Negócios!AG:AG,"À Vista"),
  OR(
    D97="anderson.ortiz@altoqi.com.br",
    D97="rafael.motta@altoqi.com.br",
    D97="beatriz@altoqi.com.br"
  ),
    SUMIFS(Negócios!L:L,Negócios!A:A,A97,Negócios!B:B,B97,Negócios!R:R,E97,Negócios!AG:AG,"À Vista"),
  AND(F97="Gestor",H97="MRR"),
    SUMIFS(I:I,A:A,A97,B:B,B97,G:G,D97),
  TRUE,
    ""
)</f>
        <v>1464.7849999999999</v>
      </c>
      <c r="N97" s="10">
        <f t="shared" si="21"/>
        <v>0.21748890387214923</v>
      </c>
      <c r="O97" s="30">
        <f>SUMIFS('Acel Form Pag'!D:D,'Acel Form Pag'!A:A,A97,'Acel Form Pag'!B:B,B97,'Acel Form Pag'!C:C,E97)</f>
        <v>1.5</v>
      </c>
      <c r="P97" s="87" cm="1">
        <f t="array" ref="P97">_xlfn.IFS(
  AND(F97="Consultor",H97="MRR",E97="Farmer"),
    SUMIFS(Negócios!M:M,Negócios!A:A,A97,Negócios!B:B,B97,Negócios!P:P,D97,Negócios!AG:AG,"CC 3x")
    +SUMIFS(Negócios!N:N,Negócios!A:A,A97,Negócios!B:B,B97,Negócios!P:P,D97,Negócios!AG:AG,"CC 3x"),
  AND(F97="Consultor",H97="MRR"),
    SUMIFS(Negócios!L:L,Negócios!A:A,A97,Negócios!B:B,B97,Negócios!P:P,D97,Negócios!AG:AG,"CC 3x"),
  AND(F97="Consultor",H97="Opps"),
    SUMIFS('Realizado GD'!D:D,'Realizado GD'!A:A,A97,'Realizado GD'!B:B,B97,'Realizado GD'!C:C,D97),
  D97="sonia.zielinski@altoqi.com.br",
    SUM(SUMIFS(Negócios!L:L,Negócios!A:A,A97,Negócios!B:B,B97,Negócios!R:R,{"FSB";"Ares"},Negócios!AG:AG,"CC 3x"))
    +SUMIFS(Negócios!M:M,Negócios!A:A,A97,Negócios!B:B,B97,Negócios!R:R,"Farmer",Negócios!AG:AG,"CC 3x")
    +SUMIFS(Negócios!N:N,Negócios!A:A,A97,Negócios!B:B,B97,Negócios!R:R,"Farmer",Negócios!AG:AG,"CC 3x"),
  OR(
    D97="anderson.ortiz@altoqi.com.br",
    D97="rafael.motta@altoqi.com.br",
    D97="beatriz@altoqi.com.br"
  ),
    SUMIFS(Negócios!M:M,Negócios!A:A,A97,Negócios!B:B,B97,Negócios!R:R,E97,Negócios!AG:AG,"CC 3x"),
  AND(F97="Gestor",H97="MRR"),
    SUMIFS(I:I,A:A,A97,B:B,B97,G:G,D97),
  TRUE,
    ""
)</f>
        <v>179.91</v>
      </c>
      <c r="Q97" s="10">
        <f t="shared" si="22"/>
        <v>2.671274534872925E-2</v>
      </c>
      <c r="R97" s="30">
        <f>SUMIFS('Acel Form Pag'!E:E,'Acel Form Pag'!A:A,A97,'Acel Form Pag'!B:B,B97,'Acel Form Pag'!C:C,E97)</f>
        <v>1.25</v>
      </c>
      <c r="S97" s="32" cm="1">
        <f t="array" ref="S97">_xlfn.IFS(
  AND(F97="Consultor",H97="MRR",E97="Farmer"),
    SUMIFS(Negócios!M:M,Negócios!A:A,A97,Negócios!B:B,B97,Negócios!P:P,D97,Negócios!AG:AG,"CC 12x")
    +SUMIFS(Negócios!N:N,Negócios!A:A,A97,Negócios!B:B,B97,Negócios!P:P,D97,Negócios!AG:AG,"CC 12x"),
  AND(F97="Consultor",H97="MRR"),
    SUMIFS(Negócios!L:L,Negócios!A:A,A97,Negócios!B:B,B97,Negócios!P:P,D97,Negócios!AG:AG,"CC 12x"),
  AND(F97="Consultor",H97="Opps"),
    SUMIFS('Realizado GD'!D:D,'Realizado GD'!A:A,A97,'Realizado GD'!B:B,B97,'Realizado GD'!C:C,D97),
  D97="sonia.zielinski@altoqi.com.br",
    SUM(SUMIFS(Negócios!L:L,Negócios!A:A,A97,Negócios!B:B,B97,Negócios!R:R,{"FSB";"Ares"},Negócios!AG:AG,"CC 12x"))
    +SUMIFS(Negócios!M:M,Negócios!A:A,A97,Negócios!B:B,B97,Negócios!R:R,"Farmer",Negócios!AG:AG,"CC 12x")
    +SUMIFS(Negócios!N:N,Negócios!A:A,A97,Negócios!B:B,B97,Negócios!R:R,"Farmer",Negócios!AG:AG,"CC 12x"),
  OR(
    D97="anderson.ortiz@altoqi.com.br",
    D97="rafael.motta@altoqi.com.br",
    D97="beatriz@altoqi.com.br"
  ),
    SUMIFS(Negócios!L:L,Negócios!A:A,A97,Negócios!B:B,B97,Negócios!R:R,E97,Negócios!AG:AG,"CC 12x"),
  AND(F97="Gestor",H97="MRR"),
    SUMIFS(I:I,A:A,A97,B:B,B97,G:G,D97),
  TRUE,
    ""
)</f>
        <v>0</v>
      </c>
      <c r="T97" s="10">
        <f t="shared" si="23"/>
        <v>0</v>
      </c>
      <c r="U97" s="30">
        <f>SUMIFS('Acel Form Pag'!F:F,'Acel Form Pag'!A:A,A97,'Acel Form Pag'!B:B,B97,'Acel Form Pag'!C:C,E97)</f>
        <v>1.25</v>
      </c>
      <c r="V97" s="32" cm="1">
        <f t="array" ref="V97">_xlfn.IFS(
  AND(F97="Consultor",H97="MRR",E97="Farmer"),
    SUMIFS(Negócios!M:M,Negócios!A:A,A97,Negócios!B:B,B97,Negócios!P:P,D97,Negócios!AG:AG,"Recorrente")
    +SUMIFS(Negócios!N:N,Negócios!A:A,A97,Negócios!B:B,B97,Negócios!P:P,D97,Negócios!AG:AG,"Recorrente"),
  AND(F97="Consultor",H97="MRR"),
    SUMIFS(Negócios!L:L,Negócios!A:A,A97,Negócios!B:B,B97,Negócios!P:P,D97,Negócios!AG:AG,"Recorrente"),
  AND(F97="Consultor",H97="Opps"),
    SUMIFS('Realizado GD'!D:D,'Realizado GD'!A:A,A97,'Realizado GD'!B:B,B97,'Realizado GD'!C:C,D97),
  D97="sonia.zielinski@altoqi.com.br",
    SUM(SUMIFS(Negócios!L:L,Negócios!A:A,A97,Negócios!B:B,B97,Negócios!R:R,{"FSB";"Ares"},Negócios!AG:AG,"Recorrente"))
    +SUMIFS(Negócios!M:M,Negócios!A:A,A97,Negócios!B:B,B97,Negócios!R:R,"Farmer",Negócios!AG:AG,"Recorrente")
    +SUMIFS(Negócios!N:N,Negócios!A:A,A97,Negócios!B:B,B97,Negócios!R:R,"Farmer",Negócios!AG:AG,"Recorrente"),
  OR(
    D97="anderson.ortiz@altoqi.com.br",
    D97="rafael.motta@altoqi.com.br",
    D97="beatriz@altoqi.com.br"
  ),
    SUMIFS(Negócios!L:L,Negócios!A:A,A97,Negócios!B:B,B97,Negócios!R:R,E97,Negócios!AG:AG,"Recorrente"),
  AND(F97="Gestor",H97="MRR"),
    SUMIFS(I:I,A:A,A97,B:B,B97,G:G,D97),
  TRUE,
    ""
)</f>
        <v>5090.2922748500014</v>
      </c>
      <c r="W97" s="10">
        <f t="shared" si="24"/>
        <v>0.75579835077912183</v>
      </c>
      <c r="X97" s="34">
        <f>SUMIFS('Acel Form Pag'!G:G,'Acel Form Pag'!A:A,A97,'Acel Form Pag'!B:B,B97,'Acel Form Pag'!C:C,E97)</f>
        <v>1</v>
      </c>
      <c r="Y97" s="24">
        <f>MAX(_xlfn.MAXIFS(Parâmetros!O:O,Parâmetros!A:A,A97,Parâmetros!B:B,B97,Parâmetros!D:D,D97,Parâmetros!M:M,"&lt;="&amp;K97),_xlfn.MAXIFS(Parâmetros!L:L,Parâmetros!A:A,A97,Parâmetros!B:B,B97,Parâmetros!D:D,D97,Parâmetros!J:J,"&lt;="&amp;K97),_xlfn.MAXIFS(Parâmetros!I:I,Parâmetros!A:A,A97,Parâmetros!B:B,B97,Parâmetros!D:D,D97))</f>
        <v>4677.12</v>
      </c>
      <c r="Z97" s="9">
        <f>MAX(_xlfn.MAXIFS(Parâmetros!Q:Q,Parâmetros!A:A,A97,Parâmetros!B:B,B97,Parâmetros!D:D,D97,Parâmetros!E:E,E97,Parâmetros!P:P,"&lt;="&amp;K97),
_xlfn.MAXIFS(Parâmetros!S:S,Parâmetros!A:A,A97,Parâmetros!B:B,B97,Parâmetros!D:D,D97,Parâmetros!E:E,E97,Parâmetros!R:R,"&lt;="&amp;K97),
_xlfn.MAXIFS(Parâmetros!U:U,Parâmetros!A:A,A97,Parâmetros!B:B,B97,Parâmetros!D:D,D97,Parâmetros!E:E,E97,Parâmetros!T:T,"&lt;="&amp;K97),1) * IF(K97 &gt;= SUMIFS(Parâmetros!G:G,Parâmetros!A:A,A97,Parâmetros!B:B,B97,Parâmetros!D:D,D97,Parâmetros!E:E,E97),1,0)</f>
        <v>1</v>
      </c>
      <c r="AA97" s="16">
        <f>Y97*Z97*K97</f>
        <v>2727.3024833719855</v>
      </c>
      <c r="AB97" s="16">
        <f>(AA97*N97*O97) + (AA97*Q97*R97) + (AA97*T97*U97) + (AA97*W97*X97)</f>
        <v>3042.0949313719866</v>
      </c>
      <c r="AC97" s="15">
        <f>IF(F97="Gestor",SUMIFS(AC:AC,A:A,A97,B:B,B97,G:G,D97),
IF(E97="Saving",SUMIFS(Negócios!I:I,Negócios!A:A,A97,Negócios!B:B,B97,Negócios!P:P,D97,Negócios!H:H,"Curso") +
SUMIFS(Negócios!I:I,Negócios!A:A,A97,Negócios!B:B,B97,Negócios!P:P,D97,Negócios!H:H,"Serviço") +
SUMIFS(Negócios!I:I,Negócios!A:A,A97,Negócios!B:B,B97,Negócios!P:P,D97,Negócios!H:H,"Implantação"),
SUMIFS(Negócios!I:I,Negócios!A:A,A97,Negócios!B:B,B97,Negócios!P:P,D97,Negócios!H:H,"Implantação")))</f>
        <v>5000</v>
      </c>
      <c r="AD97" s="16">
        <f>SUMIFS(Parâmetros!W:W,Parâmetros!A:A,A97,Parâmetros!B:B,B97,Parâmetros!D:D,D97) * AC97 * IF(K97 &gt;= SUMIFS(Parâmetros!V:V,Parâmetros!A:A,A97,Parâmetros!B:B,B97,Parâmetros!D:D,D97),1,0)</f>
        <v>100</v>
      </c>
      <c r="AE97" s="15">
        <f>SUMIFS('Recuperação de Canc e Divs'!D:D,'Recuperação de Canc e Divs'!A:A,A97,'Recuperação de Canc e Divs'!B:B,B97,'Recuperação de Canc e Divs'!C:C,D97)</f>
        <v>0</v>
      </c>
      <c r="AF97" s="16">
        <f>IF(K97&gt;=SUMIFS(Parâmetros!J:J,Parâmetros!A:A,A97,Parâmetros!B:B,B97,Parâmetros!D:D,D97),AE97*0.025,0)</f>
        <v>0</v>
      </c>
      <c r="AG97" s="15" t="str">
        <f t="shared" si="31"/>
        <v/>
      </c>
      <c r="AH97" s="16" t="str">
        <f t="shared" si="32"/>
        <v/>
      </c>
      <c r="AI97" s="90">
        <f t="shared" si="33"/>
        <v>0</v>
      </c>
      <c r="AJ97" s="16" t="str">
        <f t="shared" si="34"/>
        <v/>
      </c>
      <c r="AK97" s="16" t="str">
        <f t="shared" si="35"/>
        <v/>
      </c>
      <c r="AL97" s="90">
        <f t="shared" si="36"/>
        <v>0</v>
      </c>
      <c r="AM97" s="93" t="str">
        <f>IF(AND(OR(B97=3,B97=6,B97=9,B97=12),AI97&gt;=1),
IF(F97="Gestor",AI97*0.6,AI97*0.3),"")</f>
        <v/>
      </c>
      <c r="AN97" s="94" t="str">
        <f>IF(OR(B97=3,B97=6,B97=9,B97=12),
IF(AND(AL97&gt;=1,AI97&gt;=SUMIFS(Parâmetros!G:G,Parâmetros!A:A,Comissões!A97,Parâmetros!B:B,Comissões!B97,Parâmetros!D:D,Comissões!D97,Parâmetros!E:E,Comissões!E97)),AI97*0.3,""),"")</f>
        <v/>
      </c>
      <c r="AO97" s="16">
        <f t="shared" si="37"/>
        <v>6734.9872748500011</v>
      </c>
      <c r="AP97" s="16">
        <f t="shared" si="38"/>
        <v>1.0000000000000002</v>
      </c>
    </row>
    <row r="98" spans="1:42" hidden="1">
      <c r="A98" s="7">
        <v>2026</v>
      </c>
      <c r="B98" s="7">
        <v>4</v>
      </c>
      <c r="C98" s="7" t="str">
        <v>Thales Mariante De Sá</v>
      </c>
      <c r="D98" s="7" t="str">
        <v>thales.sa@altoqi.com.br</v>
      </c>
      <c r="E98" s="7" t="str">
        <v>Farmer</v>
      </c>
      <c r="F98" s="7" t="str">
        <v>Consultor</v>
      </c>
      <c r="G98" s="7" t="str">
        <v>sonia.zielinski@altoqi.com.br</v>
      </c>
      <c r="H98" s="7" t="str">
        <v>MRR</v>
      </c>
      <c r="I98" s="86" cm="1">
        <f t="array" ref="I98">_xlfn.IFS(
  AND(F98="Consultor",H98="MRR",E98="Farmer"),
    SUMIFS(Negócios!M:M,Negócios!A:A,A98,Negócios!B:B,B98,Negócios!P:P,D98)
    +SUMIFS(Negócios!N:N,Negócios!A:A,A98,Negócios!B:B,B98,Negócios!P:P,D98),
  AND(F98="Consultor",H98="MRR"),
    SUMIFS(Negócios!L:L,Negócios!A:A,A98,Negócios!B:B,B98,Negócios!P:P,D98),
  AND(F98="Consultor",H98="Opps"),
    SUMIFS('Realizado GD'!D:D,'Realizado GD'!A:A,A98,'Realizado GD'!B:B,B98,'Realizado GD'!C:C,D98),
  D98="sonia.zielinski@altoqi.com.br",
    SUM(SUMIFS(Negócios!L:L,Negócios!A:A,A98,Negócios!B:B,B98,Negócios!R:R,{"FSB";"Ares"}))
    +SUMIFS(Negócios!M:M,Negócios!A:A,A98,Negócios!B:B,B98,Negócios!R:R,"Farmer")
    +SUMIFS(Negócios!N:N,Negócios!A:A,A98,Negócios!B:B,B98,Negócios!R:R,"Farmer"),
  OR(
    D98="anderson.ortiz@altoqi.com.br",
    D98="rafael.motta@altoqi.com.br",
    D98="beatriz@altoqi.com.br"
  ),
    SUMIFS(Negócios!L:L,Negócios!A:A,A98,Negócios!B:B,B98,Negócios!R:R,E98),
  AND(F98="Gestor",H98="MRR"),
    SUMIFS(I:I,A:A,A98,B:B,B98,G:G,D98),
  TRUE,
    ""
)</f>
        <v>3856.895</v>
      </c>
      <c r="J98" s="16">
        <f>SUMIFS(Metas!K:K,Metas!A:A,A98,Metas!B:B,B98,Metas!D:D,D98,Metas!H:H,H98)</f>
        <v>7000</v>
      </c>
      <c r="K98" s="10">
        <f t="shared" si="20"/>
        <v>0.55098499999999995</v>
      </c>
      <c r="L98" s="26" t="str" cm="1">
        <f t="array" ref="L98">_xlfn.LET(
 _xlpm.g,_xlfn.MAXIFS(Parâmetros!G:G,Parâmetros!A:A,A98,Parâmetros!B:B,B98,Parâmetros!D:D,D98,Parâmetros!E:E,E98),
 _xlpm.j,_xlfn.MAXIFS(Parâmetros!J:J,Parâmetros!A:A,A98,Parâmetros!B:B,B98,Parâmetros!D:D,D98,Parâmetros!E:E,E98),
 _xlpm.m,_xlfn.MAXIFS(Parâmetros!M:M,Parâmetros!A:A,A98,Parâmetros!B:B,B98,Parâmetros!D:D,D98,Parâmetros!E:E,E98),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/>
      </c>
      <c r="M98" s="28" cm="1">
        <f t="array" ref="M98">_xlfn.IFS(
  AND(F98="Consultor",H98="MRR",E98="Farmer"),
    SUMIFS(Negócios!M:M,Negócios!A:A,A98,Negócios!B:B,B98,Negócios!P:P,D98,Negócios!AG:AG,"À Vista")
    +SUMIFS(Negócios!N:N,Negócios!A:A,A98,Negócios!B:B,B98,Negócios!P:P,D98,Negócios!AG:AG,"À Vista"),
  AND(F98="Consultor",H98="MRR"),
    SUMIFS(Negócios!L:L,Negócios!A:A,A98,Negócios!B:B,B98,Negócios!P:P,D98,Negócios!AG:AG,"À Vista"),
  AND(F98="Consultor",H98="Opps"),
    SUMIFS('Realizado GD'!D:D,'Realizado GD'!A:A,A98,'Realizado GD'!B:B,B98,'Realizado GD'!C:C,D98),
  D98="sonia.zielinski@altoqi.com.br",
    SUM(SUMIFS(Negócios!L:L,Negócios!A:A,A98,Negócios!B:B,B98,Negócios!R:R,{"FSB";"Ares"},Negócios!AG:AG,"À Vista"))
    +SUMIFS(Negócios!M:M,Negócios!A:A,A98,Negócios!B:B,B98,Negócios!R:R,"Farmer",Negócios!AG:AG,"À Vista")
    +SUMIFS(Negócios!N:N,Negócios!A:A,A98,Negócios!B:B,B98,Negócios!R:R,"Farmer",Negócios!AG:AG,"À Vista"),
  OR(
    D98="anderson.ortiz@altoqi.com.br",
    D98="rafael.motta@altoqi.com.br",
    D98="beatriz@altoqi.com.br"
  ),
    SUMIFS(Negócios!L:L,Negócios!A:A,A98,Negócios!B:B,B98,Negócios!R:R,E98,Negócios!AG:AG,"À Vista"),
  AND(F98="Gestor",H98="MRR"),
    SUMIFS(I:I,A:A,A98,B:B,B98,G:G,D98),
  TRUE,
    ""
)</f>
        <v>99.85</v>
      </c>
      <c r="N98" s="10">
        <f t="shared" si="21"/>
        <v>2.5888700625762432E-2</v>
      </c>
      <c r="O98" s="30">
        <f>SUMIFS('Acel Form Pag'!D:D,'Acel Form Pag'!A:A,A98,'Acel Form Pag'!B:B,B98,'Acel Form Pag'!C:C,E98)</f>
        <v>1.5</v>
      </c>
      <c r="P98" s="87" cm="1">
        <f t="array" ref="P98">_xlfn.IFS(
  AND(F98="Consultor",H98="MRR",E98="Farmer"),
    SUMIFS(Negócios!M:M,Negócios!A:A,A98,Negócios!B:B,B98,Negócios!P:P,D98,Negócios!AG:AG,"CC 3x")
    +SUMIFS(Negócios!N:N,Negócios!A:A,A98,Negócios!B:B,B98,Negócios!P:P,D98,Negócios!AG:AG,"CC 3x"),
  AND(F98="Consultor",H98="MRR"),
    SUMIFS(Negócios!L:L,Negócios!A:A,A98,Negócios!B:B,B98,Negócios!P:P,D98,Negócios!AG:AG,"CC 3x"),
  AND(F98="Consultor",H98="Opps"),
    SUMIFS('Realizado GD'!D:D,'Realizado GD'!A:A,A98,'Realizado GD'!B:B,B98,'Realizado GD'!C:C,D98),
  D98="sonia.zielinski@altoqi.com.br",
    SUM(SUMIFS(Negócios!L:L,Negócios!A:A,A98,Negócios!B:B,B98,Negócios!R:R,{"FSB";"Ares"},Negócios!AG:AG,"CC 3x"))
    +SUMIFS(Negócios!M:M,Negócios!A:A,A98,Negócios!B:B,B98,Negócios!R:R,"Farmer",Negócios!AG:AG,"CC 3x")
    +SUMIFS(Negócios!N:N,Negócios!A:A,A98,Negócios!B:B,B98,Negócios!R:R,"Farmer",Negócios!AG:AG,"CC 3x"),
  OR(
    D98="anderson.ortiz@altoqi.com.br",
    D98="rafael.motta@altoqi.com.br",
    D98="beatriz@altoqi.com.br"
  ),
    SUMIFS(Negócios!M:M,Negócios!A:A,A98,Negócios!B:B,B98,Negócios!R:R,E98,Negócios!AG:AG,"CC 3x"),
  AND(F98="Gestor",H98="MRR"),
    SUMIFS(I:I,A:A,A98,B:B,B98,G:G,D98),
  TRUE,
    ""
)</f>
        <v>0</v>
      </c>
      <c r="Q98" s="10">
        <f t="shared" si="22"/>
        <v>0</v>
      </c>
      <c r="R98" s="30">
        <f>SUMIFS('Acel Form Pag'!E:E,'Acel Form Pag'!A:A,A98,'Acel Form Pag'!B:B,B98,'Acel Form Pag'!C:C,E98)</f>
        <v>1.25</v>
      </c>
      <c r="S98" s="32" cm="1">
        <f t="array" ref="S98">_xlfn.IFS(
  AND(F98="Consultor",H98="MRR",E98="Farmer"),
    SUMIFS(Negócios!M:M,Negócios!A:A,A98,Negócios!B:B,B98,Negócios!P:P,D98,Negócios!AG:AG,"CC 12x")
    +SUMIFS(Negócios!N:N,Negócios!A:A,A98,Negócios!B:B,B98,Negócios!P:P,D98,Negócios!AG:AG,"CC 12x"),
  AND(F98="Consultor",H98="MRR"),
    SUMIFS(Negócios!L:L,Negócios!A:A,A98,Negócios!B:B,B98,Negócios!P:P,D98,Negócios!AG:AG,"CC 12x"),
  AND(F98="Consultor",H98="Opps"),
    SUMIFS('Realizado GD'!D:D,'Realizado GD'!A:A,A98,'Realizado GD'!B:B,B98,'Realizado GD'!C:C,D98),
  D98="sonia.zielinski@altoqi.com.br",
    SUM(SUMIFS(Negócios!L:L,Negócios!A:A,A98,Negócios!B:B,B98,Negócios!R:R,{"FSB";"Ares"},Negócios!AG:AG,"CC 12x"))
    +SUMIFS(Negócios!M:M,Negócios!A:A,A98,Negócios!B:B,B98,Negócios!R:R,"Farmer",Negócios!AG:AG,"CC 12x")
    +SUMIFS(Negócios!N:N,Negócios!A:A,A98,Negócios!B:B,B98,Negócios!R:R,"Farmer",Negócios!AG:AG,"CC 12x"),
  OR(
    D98="anderson.ortiz@altoqi.com.br",
    D98="rafael.motta@altoqi.com.br",
    D98="beatriz@altoqi.com.br"
  ),
    SUMIFS(Negócios!L:L,Negócios!A:A,A98,Negócios!B:B,B98,Negócios!R:R,E98,Negócios!AG:AG,"CC 12x"),
  AND(F98="Gestor",H98="MRR"),
    SUMIFS(I:I,A:A,A98,B:B,B98,G:G,D98),
  TRUE,
    ""
)</f>
        <v>914.3</v>
      </c>
      <c r="T98" s="10">
        <f t="shared" si="23"/>
        <v>0.23705597378201895</v>
      </c>
      <c r="U98" s="30">
        <f>SUMIFS('Acel Form Pag'!F:F,'Acel Form Pag'!A:A,A98,'Acel Form Pag'!B:B,B98,'Acel Form Pag'!C:C,E98)</f>
        <v>1.25</v>
      </c>
      <c r="V98" s="32" cm="1">
        <f t="array" ref="V98">_xlfn.IFS(
  AND(F98="Consultor",H98="MRR",E98="Farmer"),
    SUMIFS(Negócios!M:M,Negócios!A:A,A98,Negócios!B:B,B98,Negócios!P:P,D98,Negócios!AG:AG,"Recorrente")
    +SUMIFS(Negócios!N:N,Negócios!A:A,A98,Negócios!B:B,B98,Negócios!P:P,D98,Negócios!AG:AG,"Recorrente"),
  AND(F98="Consultor",H98="MRR"),
    SUMIFS(Negócios!L:L,Negócios!A:A,A98,Negócios!B:B,B98,Negócios!P:P,D98,Negócios!AG:AG,"Recorrente"),
  AND(F98="Consultor",H98="Opps"),
    SUMIFS('Realizado GD'!D:D,'Realizado GD'!A:A,A98,'Realizado GD'!B:B,B98,'Realizado GD'!C:C,D98),
  D98="sonia.zielinski@altoqi.com.br",
    SUM(SUMIFS(Negócios!L:L,Negócios!A:A,A98,Negócios!B:B,B98,Negócios!R:R,{"FSB";"Ares"},Negócios!AG:AG,"Recorrente"))
    +SUMIFS(Negócios!M:M,Negócios!A:A,A98,Negócios!B:B,B98,Negócios!R:R,"Farmer",Negócios!AG:AG,"Recorrente")
    +SUMIFS(Negócios!N:N,Negócios!A:A,A98,Negócios!B:B,B98,Negócios!R:R,"Farmer",Negócios!AG:AG,"Recorrente"),
  OR(
    D98="anderson.ortiz@altoqi.com.br",
    D98="rafael.motta@altoqi.com.br",
    D98="beatriz@altoqi.com.br"
  ),
    SUMIFS(Negócios!L:L,Negócios!A:A,A98,Negócios!B:B,B98,Negócios!R:R,E98,Negócios!AG:AG,"Recorrente"),
  AND(F98="Gestor",H98="MRR"),
    SUMIFS(I:I,A:A,A98,B:B,B98,G:G,D98),
  TRUE,
    ""
)</f>
        <v>2842.7450000000003</v>
      </c>
      <c r="W98" s="10">
        <f t="shared" si="24"/>
        <v>0.73705532559221876</v>
      </c>
      <c r="X98" s="34">
        <f>SUMIFS('Acel Form Pag'!G:G,'Acel Form Pag'!A:A,A98,'Acel Form Pag'!B:B,B98,'Acel Form Pag'!C:C,E98)</f>
        <v>1</v>
      </c>
      <c r="Y98" s="24">
        <f>MAX(_xlfn.MAXIFS(Parâmetros!O:O,Parâmetros!A:A,A98,Parâmetros!B:B,B98,Parâmetros!D:D,D98,Parâmetros!M:M,"&lt;="&amp;K98),_xlfn.MAXIFS(Parâmetros!L:L,Parâmetros!A:A,A98,Parâmetros!B:B,B98,Parâmetros!D:D,D98,Parâmetros!J:J,"&lt;="&amp;K98),_xlfn.MAXIFS(Parâmetros!I:I,Parâmetros!A:A,A98,Parâmetros!B:B,B98,Parâmetros!D:D,D98))</f>
        <v>3746.2</v>
      </c>
      <c r="Z98" s="9">
        <f>MAX(_xlfn.MAXIFS(Parâmetros!Q:Q,Parâmetros!A:A,A98,Parâmetros!B:B,B98,Parâmetros!D:D,D98,Parâmetros!E:E,E98,Parâmetros!P:P,"&lt;="&amp;K98),
_xlfn.MAXIFS(Parâmetros!S:S,Parâmetros!A:A,A98,Parâmetros!B:B,B98,Parâmetros!D:D,D98,Parâmetros!E:E,E98,Parâmetros!R:R,"&lt;="&amp;K98),
_xlfn.MAXIFS(Parâmetros!U:U,Parâmetros!A:A,A98,Parâmetros!B:B,B98,Parâmetros!D:D,D98,Parâmetros!E:E,E98,Parâmetros!T:T,"&lt;="&amp;K98),1) * IF(K98 &gt;= SUMIFS(Parâmetros!G:G,Parâmetros!A:A,A98,Parâmetros!B:B,B98,Parâmetros!D:D,D98,Parâmetros!E:E,E98),1,0)</f>
        <v>1</v>
      </c>
      <c r="AA98" s="16">
        <f>Y98*Z98*K98</f>
        <v>2064.1000069999996</v>
      </c>
      <c r="AB98" s="16">
        <f>(AA98*N98*O98) + (AA98*Q98*R98) + (AA98*T98*U98) + (AA98*W98*X98)</f>
        <v>2213.1452498571425</v>
      </c>
      <c r="AC98" s="15">
        <f>IF(F98="Gestor",SUMIFS(AC:AC,A:A,A98,B:B,B98,G:G,D98),
IF(E98="Saving",SUMIFS(Negócios!I:I,Negócios!A:A,A98,Negócios!B:B,B98,Negócios!P:P,D98,Negócios!H:H,"Curso") +
SUMIFS(Negócios!I:I,Negócios!A:A,A98,Negócios!B:B,B98,Negócios!P:P,D98,Negócios!H:H,"Serviço") +
SUMIFS(Negócios!I:I,Negócios!A:A,A98,Negócios!B:B,B98,Negócios!P:P,D98,Negócios!H:H,"Implantação"),
SUMIFS(Negócios!I:I,Negócios!A:A,A98,Negócios!B:B,B98,Negócios!P:P,D98,Negócios!H:H,"Implantação")))</f>
        <v>0</v>
      </c>
      <c r="AD98" s="16">
        <f>SUMIFS(Parâmetros!W:W,Parâmetros!A:A,A98,Parâmetros!B:B,B98,Parâmetros!D:D,D98) * AC98 * IF(K98 &gt;= SUMIFS(Parâmetros!V:V,Parâmetros!A:A,A98,Parâmetros!B:B,B98,Parâmetros!D:D,D98),1,0)</f>
        <v>0</v>
      </c>
      <c r="AE98" s="15">
        <f>SUMIFS('Recuperação de Canc e Divs'!D:D,'Recuperação de Canc e Divs'!A:A,A98,'Recuperação de Canc e Divs'!B:B,B98,'Recuperação de Canc e Divs'!C:C,D98)</f>
        <v>0</v>
      </c>
      <c r="AF98" s="16">
        <f>IF(K98&gt;=SUMIFS(Parâmetros!J:J,Parâmetros!A:A,A98,Parâmetros!B:B,B98,Parâmetros!D:D,D98),AE98*0.025,0)</f>
        <v>0</v>
      </c>
      <c r="AG98" s="15" t="str">
        <f t="shared" si="31"/>
        <v/>
      </c>
      <c r="AH98" s="16" t="str">
        <f t="shared" si="32"/>
        <v/>
      </c>
      <c r="AI98" s="90">
        <f t="shared" si="33"/>
        <v>0</v>
      </c>
      <c r="AJ98" s="16" t="str">
        <f t="shared" si="34"/>
        <v/>
      </c>
      <c r="AK98" s="16" t="str">
        <f t="shared" si="35"/>
        <v/>
      </c>
      <c r="AL98" s="90">
        <f t="shared" si="36"/>
        <v>0</v>
      </c>
      <c r="AM98" s="93" t="str">
        <f>IF(AND(OR(B98=3,B98=6,B98=9,B98=12),AI98&gt;=1),
IF(F98="Gestor",AI98*0.6,AI98*0.3),"")</f>
        <v/>
      </c>
      <c r="AN98" s="94" t="str">
        <f>IF(OR(B98=3,B98=6,B98=9,B98=12),
IF(AND(AL98&gt;=1,AI98&gt;=SUMIFS(Parâmetros!G:G,Parâmetros!A:A,Comissões!A98,Parâmetros!B:B,Comissões!B98,Parâmetros!D:D,Comissões!D98,Parâmetros!E:E,Comissões!E98)),AI98*0.3,""),"")</f>
        <v/>
      </c>
      <c r="AO98" s="16">
        <f t="shared" si="37"/>
        <v>3856.8950000000004</v>
      </c>
      <c r="AP98" s="16">
        <f t="shared" si="38"/>
        <v>1.0000000000000002</v>
      </c>
    </row>
    <row r="99" spans="1:42" hidden="1">
      <c r="A99" s="7">
        <v>2026</v>
      </c>
      <c r="B99" s="7">
        <v>4</v>
      </c>
      <c r="C99" s="7" t="str">
        <v>Anderson Ortiz</v>
      </c>
      <c r="D99" s="7" t="str">
        <v>anderson.ortiz@altoqi.com.br</v>
      </c>
      <c r="E99" s="7" t="str">
        <v>FSB</v>
      </c>
      <c r="F99" s="7" t="str">
        <v>Gestor</v>
      </c>
      <c r="G99" s="7">
        <v>0</v>
      </c>
      <c r="H99" s="7" t="str">
        <v>MRR</v>
      </c>
      <c r="I99" s="86" cm="1">
        <f t="array" ref="I99">_xlfn.IFS(
  AND(F99="Consultor",H99="MRR",E99="Farmer"),
    SUMIFS(Negócios!M:M,Negócios!A:A,A99,Negócios!B:B,B99,Negócios!P:P,D99)
    +SUMIFS(Negócios!N:N,Negócios!A:A,A99,Negócios!B:B,B99,Negócios!P:P,D99),
  AND(F99="Consultor",H99="MRR"),
    SUMIFS(Negócios!L:L,Negócios!A:A,A99,Negócios!B:B,B99,Negócios!P:P,D99),
  AND(F99="Consultor",H99="Opps"),
    SUMIFS('Realizado GD'!D:D,'Realizado GD'!A:A,A99,'Realizado GD'!B:B,B99,'Realizado GD'!C:C,D99),
  D99="sonia.zielinski@altoqi.com.br",
    SUM(SUMIFS(Negócios!L:L,Negócios!A:A,A99,Negócios!B:B,B99,Negócios!R:R,{"FSB";"Ares"}))
    +SUMIFS(Negócios!M:M,Negócios!A:A,A99,Negócios!B:B,B99,Negócios!R:R,"Farmer")
    +SUMIFS(Negócios!N:N,Negócios!A:A,A99,Negócios!B:B,B99,Negócios!R:R,"Farmer"),
  OR(
    D99="anderson.ortiz@altoqi.com.br",
    D99="rafael.motta@altoqi.com.br",
    D99="beatriz@altoqi.com.br"
  ),
    SUMIFS(Negócios!L:L,Negócios!A:A,A99,Negócios!B:B,B99,Negócios!R:R,E99),
  AND(F99="Gestor",H99="MRR"),
    SUMIFS(I:I,A:A,A99,B:B,B99,G:G,D99),
  TRUE,
    ""
)</f>
        <v>71097.587774999978</v>
      </c>
      <c r="J99" s="16">
        <f>SUMIFS(Metas!K:K,Metas!A:A,A99,Metas!B:B,B99,Metas!D:D,D99,Metas!H:H,H99)</f>
        <v>58570</v>
      </c>
      <c r="K99" s="10">
        <f t="shared" si="20"/>
        <v>1.2138908617893116</v>
      </c>
      <c r="L99" s="26" t="str" cm="1">
        <f t="array" ref="L99">_xlfn.LET(
 _xlpm.g,_xlfn.MAXIFS(Parâmetros!G:G,Parâmetros!A:A,A99,Parâmetros!B:B,B99,Parâmetros!D:D,D99,Parâmetros!E:E,E99),
 _xlpm.j,_xlfn.MAXIFS(Parâmetros!J:J,Parâmetros!A:A,A99,Parâmetros!B:B,B99,Parâmetros!D:D,D99,Parâmetros!E:E,E99),
 _xlpm.m,_xlfn.MAXIFS(Parâmetros!M:M,Parâmetros!A:A,A99,Parâmetros!B:B,B99,Parâmetros!D:D,D99,Parâmetros!E:E,E99),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/>
      </c>
      <c r="M99" s="28" cm="1">
        <f t="array" ref="M99">_xlfn.IFS(
  AND(F99="Consultor",H99="MRR",E99="Farmer"),
    SUMIFS(Negócios!M:M,Negócios!A:A,A99,Negócios!B:B,B99,Negócios!P:P,D99,Negócios!AG:AG,"À Vista")
    +SUMIFS(Negócios!N:N,Negócios!A:A,A99,Negócios!B:B,B99,Negócios!P:P,D99,Negócios!AG:AG,"À Vista"),
  AND(F99="Consultor",H99="MRR"),
    SUMIFS(Negócios!L:L,Negócios!A:A,A99,Negócios!B:B,B99,Negócios!P:P,D99,Negócios!AG:AG,"À Vista"),
  AND(F99="Consultor",H99="Opps"),
    SUMIFS('Realizado GD'!D:D,'Realizado GD'!A:A,A99,'Realizado GD'!B:B,B99,'Realizado GD'!C:C,D99),
  D99="sonia.zielinski@altoqi.com.br",
    SUM(SUMIFS(Negócios!L:L,Negócios!A:A,A99,Negócios!B:B,B99,Negócios!R:R,{"FSB";"Ares"},Negócios!AG:AG,"À Vista"))
    +SUMIFS(Negócios!M:M,Negócios!A:A,A99,Negócios!B:B,B99,Negócios!R:R,"Farmer",Negócios!AG:AG,"À Vista")
    +SUMIFS(Negócios!N:N,Negócios!A:A,A99,Negócios!B:B,B99,Negócios!R:R,"Farmer",Negócios!AG:AG,"À Vista"),
  OR(
    D99="anderson.ortiz@altoqi.com.br",
    D99="rafael.motta@altoqi.com.br",
    D99="beatriz@altoqi.com.br"
  ),
    SUMIFS(Negócios!L:L,Negócios!A:A,A99,Negócios!B:B,B99,Negócios!R:R,E99,Negócios!AG:AG,"À Vista"),
  AND(F99="Gestor",H99="MRR"),
    SUMIFS(I:I,A:A,A99,B:B,B99,G:G,D99),
  TRUE,
    ""
)</f>
        <v>7760.6753099999996</v>
      </c>
      <c r="N99" s="10">
        <f t="shared" si="21"/>
        <v>0.10915525481061235</v>
      </c>
      <c r="O99" s="30">
        <f>SUMIFS('Acel Form Pag'!D:D,'Acel Form Pag'!A:A,A99,'Acel Form Pag'!B:B,B99,'Acel Form Pag'!C:C,E99)</f>
        <v>1.3</v>
      </c>
      <c r="P99" s="87" cm="1">
        <f t="array" ref="P99">_xlfn.IFS(
  AND(F99="Consultor",H99="MRR",E99="Farmer"),
    SUMIFS(Negócios!M:M,Negócios!A:A,A99,Negócios!B:B,B99,Negócios!P:P,D99,Negócios!AG:AG,"CC 3x")
    +SUMIFS(Negócios!N:N,Negócios!A:A,A99,Negócios!B:B,B99,Negócios!P:P,D99,Negócios!AG:AG,"CC 3x"),
  AND(F99="Consultor",H99="MRR"),
    SUMIFS(Negócios!L:L,Negócios!A:A,A99,Negócios!B:B,B99,Negócios!P:P,D99,Negócios!AG:AG,"CC 3x"),
  AND(F99="Consultor",H99="Opps"),
    SUMIFS('Realizado GD'!D:D,'Realizado GD'!A:A,A99,'Realizado GD'!B:B,B99,'Realizado GD'!C:C,D99),
  D99="sonia.zielinski@altoqi.com.br",
    SUM(SUMIFS(Negócios!L:L,Negócios!A:A,A99,Negócios!B:B,B99,Negócios!R:R,{"FSB";"Ares"},Negócios!AG:AG,"CC 3x"))
    +SUMIFS(Negócios!M:M,Negócios!A:A,A99,Negócios!B:B,B99,Negócios!R:R,"Farmer",Negócios!AG:AG,"CC 3x")
    +SUMIFS(Negócios!N:N,Negócios!A:A,A99,Negócios!B:B,B99,Negócios!R:R,"Farmer",Negócios!AG:AG,"CC 3x"),
  OR(
    D99="anderson.ortiz@altoqi.com.br",
    D99="rafael.motta@altoqi.com.br",
    D99="beatriz@altoqi.com.br"
  ),
    SUMIFS(Negócios!M:M,Negócios!A:A,A99,Negócios!B:B,B99,Negócios!R:R,E99,Negócios!AG:AG,"CC 3x"),
  AND(F99="Gestor",H99="MRR"),
    SUMIFS(I:I,A:A,A99,B:B,B99,G:G,D99),
  TRUE,
    ""
)</f>
        <v>220.34</v>
      </c>
      <c r="Q99" s="10">
        <f t="shared" si="22"/>
        <v>3.0991206156993989E-3</v>
      </c>
      <c r="R99" s="30">
        <f>SUMIFS('Acel Form Pag'!E:E,'Acel Form Pag'!A:A,A99,'Acel Form Pag'!B:B,B99,'Acel Form Pag'!C:C,E99)</f>
        <v>1.1499999999999999</v>
      </c>
      <c r="S99" s="32" cm="1">
        <f t="array" ref="S99">_xlfn.IFS(
  AND(F99="Consultor",H99="MRR",E99="Farmer"),
    SUMIFS(Negócios!M:M,Negócios!A:A,A99,Negócios!B:B,B99,Negócios!P:P,D99,Negócios!AG:AG,"CC 12x")
    +SUMIFS(Negócios!N:N,Negócios!A:A,A99,Negócios!B:B,B99,Negócios!P:P,D99,Negócios!AG:AG,"CC 12x"),
  AND(F99="Consultor",H99="MRR"),
    SUMIFS(Negócios!L:L,Negócios!A:A,A99,Negócios!B:B,B99,Negócios!P:P,D99,Negócios!AG:AG,"CC 12x"),
  AND(F99="Consultor",H99="Opps"),
    SUMIFS('Realizado GD'!D:D,'Realizado GD'!A:A,A99,'Realizado GD'!B:B,B99,'Realizado GD'!C:C,D99),
  D99="sonia.zielinski@altoqi.com.br",
    SUM(SUMIFS(Negócios!L:L,Negócios!A:A,A99,Negócios!B:B,B99,Negócios!R:R,{"FSB";"Ares"},Negócios!AG:AG,"CC 12x"))
    +SUMIFS(Negócios!M:M,Negócios!A:A,A99,Negócios!B:B,B99,Negócios!R:R,"Farmer",Negócios!AG:AG,"CC 12x")
    +SUMIFS(Negócios!N:N,Negócios!A:A,A99,Negócios!B:B,B99,Negócios!R:R,"Farmer",Negócios!AG:AG,"CC 12x"),
  OR(
    D99="anderson.ortiz@altoqi.com.br",
    D99="rafael.motta@altoqi.com.br",
    D99="beatriz@altoqi.com.br"
  ),
    SUMIFS(Negócios!L:L,Negócios!A:A,A99,Negócios!B:B,B99,Negócios!R:R,E99,Negócios!AG:AG,"CC 12x"),
  AND(F99="Gestor",H99="MRR"),
    SUMIFS(I:I,A:A,A99,B:B,B99,G:G,D99),
  TRUE,
    ""
)</f>
        <v>28673.400659999992</v>
      </c>
      <c r="T99" s="10">
        <f t="shared" si="23"/>
        <v>0.40329639242813259</v>
      </c>
      <c r="U99" s="30">
        <f>SUMIFS('Acel Form Pag'!F:F,'Acel Form Pag'!A:A,A99,'Acel Form Pag'!B:B,B99,'Acel Form Pag'!C:C,E99)</f>
        <v>1.1499999999999999</v>
      </c>
      <c r="V99" s="32" cm="1">
        <f t="array" ref="V99">_xlfn.IFS(
  AND(F99="Consultor",H99="MRR",E99="Farmer"),
    SUMIFS(Negócios!M:M,Negócios!A:A,A99,Negócios!B:B,B99,Negócios!P:P,D99,Negócios!AG:AG,"Recorrente")
    +SUMIFS(Negócios!N:N,Negócios!A:A,A99,Negócios!B:B,B99,Negócios!P:P,D99,Negócios!AG:AG,"Recorrente"),
  AND(F99="Consultor",H99="MRR"),
    SUMIFS(Negócios!L:L,Negócios!A:A,A99,Negócios!B:B,B99,Negócios!P:P,D99,Negócios!AG:AG,"Recorrente"),
  AND(F99="Consultor",H99="Opps"),
    SUMIFS('Realizado GD'!D:D,'Realizado GD'!A:A,A99,'Realizado GD'!B:B,B99,'Realizado GD'!C:C,D99),
  D99="sonia.zielinski@altoqi.com.br",
    SUM(SUMIFS(Negócios!L:L,Negócios!A:A,A99,Negócios!B:B,B99,Negócios!R:R,{"FSB";"Ares"},Negócios!AG:AG,"Recorrente"))
    +SUMIFS(Negócios!M:M,Negócios!A:A,A99,Negócios!B:B,B99,Negócios!R:R,"Farmer",Negócios!AG:AG,"Recorrente")
    +SUMIFS(Negócios!N:N,Negócios!A:A,A99,Negócios!B:B,B99,Negócios!R:R,"Farmer",Negócios!AG:AG,"Recorrente"),
  OR(
    D99="anderson.ortiz@altoqi.com.br",
    D99="rafael.motta@altoqi.com.br",
    D99="beatriz@altoqi.com.br"
  ),
    SUMIFS(Negócios!L:L,Negócios!A:A,A99,Negócios!B:B,B99,Negócios!R:R,E99,Negócios!AG:AG,"Recorrente"),
  AND(F99="Gestor",H99="MRR"),
    SUMIFS(I:I,A:A,A99,B:B,B99,G:G,D99),
  TRUE,
    ""
)</f>
        <v>34443.171804999991</v>
      </c>
      <c r="W99" s="10">
        <f t="shared" si="24"/>
        <v>0.48444923214555574</v>
      </c>
      <c r="X99" s="34">
        <f>SUMIFS('Acel Form Pag'!G:G,'Acel Form Pag'!A:A,A99,'Acel Form Pag'!B:B,B99,'Acel Form Pag'!C:C,E99)</f>
        <v>1</v>
      </c>
      <c r="Y99" s="24">
        <f>MAX(_xlfn.MAXIFS(Parâmetros!O:O,Parâmetros!A:A,A99,Parâmetros!B:B,B99,Parâmetros!D:D,D99,Parâmetros!M:M,"&lt;="&amp;K99),_xlfn.MAXIFS(Parâmetros!L:L,Parâmetros!A:A,A99,Parâmetros!B:B,B99,Parâmetros!D:D,D99,Parâmetros!J:J,"&lt;="&amp;K99),_xlfn.MAXIFS(Parâmetros!I:I,Parâmetros!A:A,A99,Parâmetros!B:B,B99,Parâmetros!D:D,D99))</f>
        <v>5122.95</v>
      </c>
      <c r="Z99" s="9">
        <f>MAX(_xlfn.MAXIFS(Parâmetros!Q:Q,Parâmetros!A:A,A99,Parâmetros!B:B,B99,Parâmetros!D:D,D99,Parâmetros!E:E,E99,Parâmetros!P:P,"&lt;="&amp;K99),
_xlfn.MAXIFS(Parâmetros!S:S,Parâmetros!A:A,A99,Parâmetros!B:B,B99,Parâmetros!D:D,D99,Parâmetros!E:E,E99,Parâmetros!R:R,"&lt;="&amp;K99),
_xlfn.MAXIFS(Parâmetros!U:U,Parâmetros!A:A,A99,Parâmetros!B:B,B99,Parâmetros!D:D,D99,Parâmetros!E:E,E99,Parâmetros!T:T,"&lt;="&amp;K99),1) * IF(K99 &gt;= SUMIFS(Parâmetros!G:G,Parâmetros!A:A,A99,Parâmetros!B:B,B99,Parâmetros!D:D,D99,Parâmetros!E:E,E99),1,0)</f>
        <v>1.3</v>
      </c>
      <c r="AA99" s="16">
        <f>Y99*Z99*K99</f>
        <v>8084.3128475246203</v>
      </c>
      <c r="AB99" s="16">
        <f>(AA99*N99*O99) + (AA99*Q99*R99) + (AA99*T99*U99) + (AA99*W99*X99)</f>
        <v>8841.86068626819</v>
      </c>
      <c r="AC99" s="15">
        <f>IF(F99="Gestor",SUMIFS(AC:AC,A:A,A99,B:B,B99,G:G,D99),
IF(E99="Saving",SUMIFS(Negócios!I:I,Negócios!A:A,A99,Negócios!B:B,B99,Negócios!P:P,D99,Negócios!H:H,"Curso") +
SUMIFS(Negócios!I:I,Negócios!A:A,A99,Negócios!B:B,B99,Negócios!P:P,D99,Negócios!H:H,"Serviço") +
SUMIFS(Negócios!I:I,Negócios!A:A,A99,Negócios!B:B,B99,Negócios!P:P,D99,Negócios!H:H,"Implantação"),
SUMIFS(Negócios!I:I,Negócios!A:A,A99,Negócios!B:B,B99,Negócios!P:P,D99,Negócios!H:H,"Implantação")))</f>
        <v>0</v>
      </c>
      <c r="AD99" s="16">
        <f>SUMIFS(Parâmetros!W:W,Parâmetros!A:A,A99,Parâmetros!B:B,B99,Parâmetros!D:D,D99) * AC99 * IF(K99 &gt;= SUMIFS(Parâmetros!V:V,Parâmetros!A:A,A99,Parâmetros!B:B,B99,Parâmetros!D:D,D99),1,0)</f>
        <v>0</v>
      </c>
      <c r="AE99" s="15">
        <f>SUMIFS('Recuperação de Canc e Divs'!D:D,'Recuperação de Canc e Divs'!A:A,A99,'Recuperação de Canc e Divs'!B:B,B99,'Recuperação de Canc e Divs'!C:C,D99)</f>
        <v>0</v>
      </c>
      <c r="AF99" s="16">
        <f>IF(K99&gt;=SUMIFS(Parâmetros!J:J,Parâmetros!A:A,A99,Parâmetros!B:B,B99,Parâmetros!D:D,D99),AE99*0.025,0)</f>
        <v>0</v>
      </c>
      <c r="AG99" s="15" t="str">
        <f t="shared" si="31"/>
        <v/>
      </c>
      <c r="AH99" s="16" t="str">
        <f t="shared" si="32"/>
        <v/>
      </c>
      <c r="AI99" s="90">
        <f t="shared" si="33"/>
        <v>0</v>
      </c>
      <c r="AJ99" s="16" t="str">
        <f t="shared" si="34"/>
        <v/>
      </c>
      <c r="AK99" s="16" t="str">
        <f t="shared" si="35"/>
        <v/>
      </c>
      <c r="AL99" s="90">
        <f t="shared" si="36"/>
        <v>0</v>
      </c>
      <c r="AM99" s="93" t="str">
        <f>IF(AND(OR(B99=3,B99=6,B99=9,B99=12),AI99&gt;=1),
IF(F99="Gestor",AI99*0.6,AI99*0.3),"")</f>
        <v/>
      </c>
      <c r="AN99" s="94" t="str">
        <f>IF(OR(B99=3,B99=6,B99=9,B99=12),
IF(AND(AL99&gt;=1,AI99&gt;=SUMIFS(Parâmetros!G:G,Parâmetros!A:A,Comissões!A99,Parâmetros!B:B,Comissões!B99,Parâmetros!D:D,Comissões!D99,Parâmetros!E:E,Comissões!E99)),AI99*0.3,""),"")</f>
        <v/>
      </c>
      <c r="AO99" s="16">
        <f t="shared" si="37"/>
        <v>71097.587774999993</v>
      </c>
      <c r="AP99" s="16">
        <f t="shared" si="38"/>
        <v>1</v>
      </c>
    </row>
    <row r="100" spans="1:42" hidden="1">
      <c r="A100" s="7">
        <v>2026</v>
      </c>
      <c r="B100" s="7">
        <v>4</v>
      </c>
      <c r="C100" s="7" t="str">
        <v>Artur Machado</v>
      </c>
      <c r="D100" s="7" t="str">
        <v>artur.francisco@altoqi.com.br</v>
      </c>
      <c r="E100" s="7" t="str">
        <v>FSB</v>
      </c>
      <c r="F100" s="7" t="str">
        <v>Consultor</v>
      </c>
      <c r="G100" s="7" t="str">
        <v>anderson.ortiz@altoqi.com.br</v>
      </c>
      <c r="H100" s="7" t="str">
        <v>MRR</v>
      </c>
      <c r="I100" s="86" cm="1">
        <f t="array" ref="I100">_xlfn.IFS(
  AND(F100="Consultor",H100="MRR",E100="Farmer"),
    SUMIFS(Negócios!M:M,Negócios!A:A,A100,Negócios!B:B,B100,Negócios!P:P,D100)
    +SUMIFS(Negócios!N:N,Negócios!A:A,A100,Negócios!B:B,B100,Negócios!P:P,D100),
  AND(F100="Consultor",H100="MRR"),
    SUMIFS(Negócios!L:L,Negócios!A:A,A100,Negócios!B:B,B100,Negócios!P:P,D100),
  AND(F100="Consultor",H100="Opps"),
    SUMIFS('Realizado GD'!D:D,'Realizado GD'!A:A,A100,'Realizado GD'!B:B,B100,'Realizado GD'!C:C,D100),
  D100="sonia.zielinski@altoqi.com.br",
    SUM(SUMIFS(Negócios!L:L,Negócios!A:A,A100,Negócios!B:B,B100,Negócios!R:R,{"FSB";"Ares"}))
    +SUMIFS(Negócios!M:M,Negócios!A:A,A100,Negócios!B:B,B100,Negócios!R:R,"Farmer")
    +SUMIFS(Negócios!N:N,Negócios!A:A,A100,Negócios!B:B,B100,Negócios!R:R,"Farmer"),
  OR(
    D100="anderson.ortiz@altoqi.com.br",
    D100="rafael.motta@altoqi.com.br",
    D100="beatriz@altoqi.com.br"
  ),
    SUMIFS(Negócios!L:L,Negócios!A:A,A100,Negócios!B:B,B100,Negócios!R:R,E100),
  AND(F100="Gestor",H100="MRR"),
    SUMIFS(I:I,A:A,A100,B:B,B100,G:G,D100),
  TRUE,
    ""
)</f>
        <v>0</v>
      </c>
      <c r="J100" s="16">
        <f>SUMIFS(Metas!K:K,Metas!A:A,A100,Metas!B:B,B100,Metas!D:D,D100,Metas!H:H,H100)</f>
        <v>10000</v>
      </c>
      <c r="K100" s="10">
        <f t="shared" si="20"/>
        <v>0</v>
      </c>
      <c r="L100" s="26" t="str" cm="1">
        <f t="array" ref="L100">_xlfn.LET(
 _xlpm.g,_xlfn.MAXIFS(Parâmetros!G:G,Parâmetros!A:A,A100,Parâmetros!B:B,B100,Parâmetros!D:D,D100,Parâmetros!E:E,E100),
 _xlpm.j,_xlfn.MAXIFS(Parâmetros!J:J,Parâmetros!A:A,A100,Parâmetros!B:B,B100,Parâmetros!D:D,D100,Parâmetros!E:E,E100),
 _xlpm.m,_xlfn.MAXIFS(Parâmetros!M:M,Parâmetros!A:A,A100,Parâmetros!B:B,B100,Parâmetros!D:D,D100,Parâmetros!E:E,E100),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/>
      </c>
      <c r="M100" s="28" cm="1">
        <f t="array" ref="M100">_xlfn.IFS(
  AND(F100="Consultor",H100="MRR",E100="Farmer"),
    SUMIFS(Negócios!M:M,Negócios!A:A,A100,Negócios!B:B,B100,Negócios!P:P,D100,Negócios!AG:AG,"À Vista")
    +SUMIFS(Negócios!N:N,Negócios!A:A,A100,Negócios!B:B,B100,Negócios!P:P,D100,Negócios!AG:AG,"À Vista"),
  AND(F100="Consultor",H100="MRR"),
    SUMIFS(Negócios!L:L,Negócios!A:A,A100,Negócios!B:B,B100,Negócios!P:P,D100,Negócios!AG:AG,"À Vista"),
  AND(F100="Consultor",H100="Opps"),
    SUMIFS('Realizado GD'!D:D,'Realizado GD'!A:A,A100,'Realizado GD'!B:B,B100,'Realizado GD'!C:C,D100),
  D100="sonia.zielinski@altoqi.com.br",
    SUM(SUMIFS(Negócios!L:L,Negócios!A:A,A100,Negócios!B:B,B100,Negócios!R:R,{"FSB";"Ares"},Negócios!AG:AG,"À Vista"))
    +SUMIFS(Negócios!M:M,Negócios!A:A,A100,Negócios!B:B,B100,Negócios!R:R,"Farmer",Negócios!AG:AG,"À Vista")
    +SUMIFS(Negócios!N:N,Negócios!A:A,A100,Negócios!B:B,B100,Negócios!R:R,"Farmer",Negócios!AG:AG,"À Vista"),
  OR(
    D100="anderson.ortiz@altoqi.com.br",
    D100="rafael.motta@altoqi.com.br",
    D100="beatriz@altoqi.com.br"
  ),
    SUMIFS(Negócios!L:L,Negócios!A:A,A100,Negócios!B:B,B100,Negócios!R:R,E100,Negócios!AG:AG,"À Vista"),
  AND(F100="Gestor",H100="MRR"),
    SUMIFS(I:I,A:A,A100,B:B,B100,G:G,D100),
  TRUE,
    ""
)</f>
        <v>0</v>
      </c>
      <c r="N100" s="10">
        <f t="shared" si="21"/>
        <v>0</v>
      </c>
      <c r="O100" s="30">
        <f>SUMIFS('Acel Form Pag'!D:D,'Acel Form Pag'!A:A,A100,'Acel Form Pag'!B:B,B100,'Acel Form Pag'!C:C,E100)</f>
        <v>1.3</v>
      </c>
      <c r="P100" s="87" cm="1">
        <f t="array" ref="P100">_xlfn.IFS(
  AND(F100="Consultor",H100="MRR",E100="Farmer"),
    SUMIFS(Negócios!M:M,Negócios!A:A,A100,Negócios!B:B,B100,Negócios!P:P,D100,Negócios!AG:AG,"CC 3x")
    +SUMIFS(Negócios!N:N,Negócios!A:A,A100,Negócios!B:B,B100,Negócios!P:P,D100,Negócios!AG:AG,"CC 3x"),
  AND(F100="Consultor",H100="MRR"),
    SUMIFS(Negócios!L:L,Negócios!A:A,A100,Negócios!B:B,B100,Negócios!P:P,D100,Negócios!AG:AG,"CC 3x"),
  AND(F100="Consultor",H100="Opps"),
    SUMIFS('Realizado GD'!D:D,'Realizado GD'!A:A,A100,'Realizado GD'!B:B,B100,'Realizado GD'!C:C,D100),
  D100="sonia.zielinski@altoqi.com.br",
    SUM(SUMIFS(Negócios!L:L,Negócios!A:A,A100,Negócios!B:B,B100,Negócios!R:R,{"FSB";"Ares"},Negócios!AG:AG,"CC 3x"))
    +SUMIFS(Negócios!M:M,Negócios!A:A,A100,Negócios!B:B,B100,Negócios!R:R,"Farmer",Negócios!AG:AG,"CC 3x")
    +SUMIFS(Negócios!N:N,Negócios!A:A,A100,Negócios!B:B,B100,Negócios!R:R,"Farmer",Negócios!AG:AG,"CC 3x"),
  OR(
    D100="anderson.ortiz@altoqi.com.br",
    D100="rafael.motta@altoqi.com.br",
    D100="beatriz@altoqi.com.br"
  ),
    SUMIFS(Negócios!M:M,Negócios!A:A,A100,Negócios!B:B,B100,Negócios!R:R,E100,Negócios!AG:AG,"CC 3x"),
  AND(F100="Gestor",H100="MRR"),
    SUMIFS(I:I,A:A,A100,B:B,B100,G:G,D100),
  TRUE,
    ""
)</f>
        <v>0</v>
      </c>
      <c r="Q100" s="10">
        <f t="shared" si="22"/>
        <v>0</v>
      </c>
      <c r="R100" s="30">
        <f>SUMIFS('Acel Form Pag'!E:E,'Acel Form Pag'!A:A,A100,'Acel Form Pag'!B:B,B100,'Acel Form Pag'!C:C,E100)</f>
        <v>1.1499999999999999</v>
      </c>
      <c r="S100" s="32" cm="1">
        <f t="array" ref="S100">_xlfn.IFS(
  AND(F100="Consultor",H100="MRR",E100="Farmer"),
    SUMIFS(Negócios!M:M,Negócios!A:A,A100,Negócios!B:B,B100,Negócios!P:P,D100,Negócios!AG:AG,"CC 12x")
    +SUMIFS(Negócios!N:N,Negócios!A:A,A100,Negócios!B:B,B100,Negócios!P:P,D100,Negócios!AG:AG,"CC 12x"),
  AND(F100="Consultor",H100="MRR"),
    SUMIFS(Negócios!L:L,Negócios!A:A,A100,Negócios!B:B,B100,Negócios!P:P,D100,Negócios!AG:AG,"CC 12x"),
  AND(F100="Consultor",H100="Opps"),
    SUMIFS('Realizado GD'!D:D,'Realizado GD'!A:A,A100,'Realizado GD'!B:B,B100,'Realizado GD'!C:C,D100),
  D100="sonia.zielinski@altoqi.com.br",
    SUM(SUMIFS(Negócios!L:L,Negócios!A:A,A100,Negócios!B:B,B100,Negócios!R:R,{"FSB";"Ares"},Negócios!AG:AG,"CC 12x"))
    +SUMIFS(Negócios!M:M,Negócios!A:A,A100,Negócios!B:B,B100,Negócios!R:R,"Farmer",Negócios!AG:AG,"CC 12x")
    +SUMIFS(Negócios!N:N,Negócios!A:A,A100,Negócios!B:B,B100,Negócios!R:R,"Farmer",Negócios!AG:AG,"CC 12x"),
  OR(
    D100="anderson.ortiz@altoqi.com.br",
    D100="rafael.motta@altoqi.com.br",
    D100="beatriz@altoqi.com.br"
  ),
    SUMIFS(Negócios!L:L,Negócios!A:A,A100,Negócios!B:B,B100,Negócios!R:R,E100,Negócios!AG:AG,"CC 12x"),
  AND(F100="Gestor",H100="MRR"),
    SUMIFS(I:I,A:A,A100,B:B,B100,G:G,D100),
  TRUE,
    ""
)</f>
        <v>0</v>
      </c>
      <c r="T100" s="10">
        <f t="shared" si="23"/>
        <v>0</v>
      </c>
      <c r="U100" s="30">
        <f>SUMIFS('Acel Form Pag'!F:F,'Acel Form Pag'!A:A,A100,'Acel Form Pag'!B:B,B100,'Acel Form Pag'!C:C,E100)</f>
        <v>1.1499999999999999</v>
      </c>
      <c r="V100" s="32" cm="1">
        <f t="array" ref="V100">_xlfn.IFS(
  AND(F100="Consultor",H100="MRR",E100="Farmer"),
    SUMIFS(Negócios!M:M,Negócios!A:A,A100,Negócios!B:B,B100,Negócios!P:P,D100,Negócios!AG:AG,"Recorrente")
    +SUMIFS(Negócios!N:N,Negócios!A:A,A100,Negócios!B:B,B100,Negócios!P:P,D100,Negócios!AG:AG,"Recorrente"),
  AND(F100="Consultor",H100="MRR"),
    SUMIFS(Negócios!L:L,Negócios!A:A,A100,Negócios!B:B,B100,Negócios!P:P,D100,Negócios!AG:AG,"Recorrente"),
  AND(F100="Consultor",H100="Opps"),
    SUMIFS('Realizado GD'!D:D,'Realizado GD'!A:A,A100,'Realizado GD'!B:B,B100,'Realizado GD'!C:C,D100),
  D100="sonia.zielinski@altoqi.com.br",
    SUM(SUMIFS(Negócios!L:L,Negócios!A:A,A100,Negócios!B:B,B100,Negócios!R:R,{"FSB";"Ares"},Negócios!AG:AG,"Recorrente"))
    +SUMIFS(Negócios!M:M,Negócios!A:A,A100,Negócios!B:B,B100,Negócios!R:R,"Farmer",Negócios!AG:AG,"Recorrente")
    +SUMIFS(Negócios!N:N,Negócios!A:A,A100,Negócios!B:B,B100,Negócios!R:R,"Farmer",Negócios!AG:AG,"Recorrente"),
  OR(
    D100="anderson.ortiz@altoqi.com.br",
    D100="rafael.motta@altoqi.com.br",
    D100="beatriz@altoqi.com.br"
  ),
    SUMIFS(Negócios!L:L,Negócios!A:A,A100,Negócios!B:B,B100,Negócios!R:R,E100,Negócios!AG:AG,"Recorrente"),
  AND(F100="Gestor",H100="MRR"),
    SUMIFS(I:I,A:A,A100,B:B,B100,G:G,D100),
  TRUE,
    ""
)</f>
        <v>0</v>
      </c>
      <c r="W100" s="10">
        <f t="shared" si="24"/>
        <v>0</v>
      </c>
      <c r="X100" s="34">
        <f>SUMIFS('Acel Form Pag'!G:G,'Acel Form Pag'!A:A,A100,'Acel Form Pag'!B:B,B100,'Acel Form Pag'!C:C,E100)</f>
        <v>1</v>
      </c>
      <c r="Y100" s="24">
        <f>MAX(_xlfn.MAXIFS(Parâmetros!O:O,Parâmetros!A:A,A100,Parâmetros!B:B,B100,Parâmetros!D:D,D100,Parâmetros!M:M,"&lt;="&amp;K100),_xlfn.MAXIFS(Parâmetros!L:L,Parâmetros!A:A,A100,Parâmetros!B:B,B100,Parâmetros!D:D,D100,Parâmetros!J:J,"&lt;="&amp;K100),_xlfn.MAXIFS(Parâmetros!I:I,Parâmetros!A:A,A100,Parâmetros!B:B,B100,Parâmetros!D:D,D100))</f>
        <v>0</v>
      </c>
      <c r="Z100" s="9">
        <f>MAX(_xlfn.MAXIFS(Parâmetros!Q:Q,Parâmetros!A:A,A100,Parâmetros!B:B,B100,Parâmetros!D:D,D100,Parâmetros!E:E,E100,Parâmetros!P:P,"&lt;="&amp;K100),
_xlfn.MAXIFS(Parâmetros!S:S,Parâmetros!A:A,A100,Parâmetros!B:B,B100,Parâmetros!D:D,D100,Parâmetros!E:E,E100,Parâmetros!R:R,"&lt;="&amp;K100),
_xlfn.MAXIFS(Parâmetros!U:U,Parâmetros!A:A,A100,Parâmetros!B:B,B100,Parâmetros!D:D,D100,Parâmetros!E:E,E100,Parâmetros!T:T,"&lt;="&amp;K100),1) * IF(K100 &gt;= SUMIFS(Parâmetros!G:G,Parâmetros!A:A,A100,Parâmetros!B:B,B100,Parâmetros!D:D,D100,Parâmetros!E:E,E100),1,0)</f>
        <v>1</v>
      </c>
      <c r="AA100" s="16">
        <f>Y100*Z100*K100</f>
        <v>0</v>
      </c>
      <c r="AB100" s="16">
        <f>(AA100*N100*O100) + (AA100*Q100*R100) + (AA100*T100*U100) + (AA100*W100*X100)</f>
        <v>0</v>
      </c>
      <c r="AC100" s="15">
        <f>IF(F100="Gestor",SUMIFS(AC:AC,A:A,A100,B:B,B100,G:G,D100),
IF(E100="Saving",SUMIFS(Negócios!I:I,Negócios!A:A,A100,Negócios!B:B,B100,Negócios!P:P,D100,Negócios!H:H,"Curso") +
SUMIFS(Negócios!I:I,Negócios!A:A,A100,Negócios!B:B,B100,Negócios!P:P,D100,Negócios!H:H,"Serviço") +
SUMIFS(Negócios!I:I,Negócios!A:A,A100,Negócios!B:B,B100,Negócios!P:P,D100,Negócios!H:H,"Implantação"),
SUMIFS(Negócios!I:I,Negócios!A:A,A100,Negócios!B:B,B100,Negócios!P:P,D100,Negócios!H:H,"Implantação")))</f>
        <v>0</v>
      </c>
      <c r="AD100" s="16">
        <f>SUMIFS(Parâmetros!W:W,Parâmetros!A:A,A100,Parâmetros!B:B,B100,Parâmetros!D:D,D100) * AC100 * IF(K100 &gt;= SUMIFS(Parâmetros!V:V,Parâmetros!A:A,A100,Parâmetros!B:B,B100,Parâmetros!D:D,D100),1,0)</f>
        <v>0</v>
      </c>
      <c r="AE100" s="15">
        <f>SUMIFS('Recuperação de Canc e Divs'!D:D,'Recuperação de Canc e Divs'!A:A,A100,'Recuperação de Canc e Divs'!B:B,B100,'Recuperação de Canc e Divs'!C:C,D100)</f>
        <v>0</v>
      </c>
      <c r="AF100" s="16">
        <f>IF(K100&gt;=SUMIFS(Parâmetros!J:J,Parâmetros!A:A,A100,Parâmetros!B:B,B100,Parâmetros!D:D,D100),AE100*0.025,0)</f>
        <v>0</v>
      </c>
      <c r="AG100" s="15" t="str">
        <f t="shared" si="31"/>
        <v/>
      </c>
      <c r="AH100" s="16" t="str">
        <f t="shared" si="32"/>
        <v/>
      </c>
      <c r="AI100" s="90">
        <f t="shared" si="33"/>
        <v>0</v>
      </c>
      <c r="AJ100" s="16" t="str">
        <f t="shared" si="34"/>
        <v/>
      </c>
      <c r="AK100" s="16" t="str">
        <f t="shared" si="35"/>
        <v/>
      </c>
      <c r="AL100" s="90">
        <f t="shared" si="36"/>
        <v>0</v>
      </c>
      <c r="AM100" s="93" t="str">
        <f>IF(AND(OR(B100=3,B100=6,B100=9,B100=12),AI100&gt;=1),
IF(F100="Gestor",AI100*0.6,AI100*0.3),"")</f>
        <v/>
      </c>
      <c r="AN100" s="94" t="str">
        <f>IF(OR(B100=3,B100=6,B100=9,B100=12),
IF(AND(AL100&gt;=1,AI100&gt;=SUMIFS(Parâmetros!G:G,Parâmetros!A:A,Comissões!A100,Parâmetros!B:B,Comissões!B100,Parâmetros!D:D,Comissões!D100,Parâmetros!E:E,Comissões!E100)),AI100*0.3,""),"")</f>
        <v/>
      </c>
      <c r="AO100" s="16">
        <f t="shared" si="37"/>
        <v>0</v>
      </c>
      <c r="AP100" s="16">
        <f t="shared" si="38"/>
        <v>0</v>
      </c>
    </row>
    <row r="101" spans="1:42" hidden="1">
      <c r="A101" s="7">
        <v>2026</v>
      </c>
      <c r="B101" s="7">
        <v>4</v>
      </c>
      <c r="C101" s="7" t="str">
        <v>Eliane Guinther</v>
      </c>
      <c r="D101" s="7" t="str">
        <v>eliane.guinther@altoqi.com.br</v>
      </c>
      <c r="E101" s="7" t="str">
        <v>FSB</v>
      </c>
      <c r="F101" s="7" t="str">
        <v>Consultor</v>
      </c>
      <c r="G101" s="7" t="str">
        <v>anderson.ortiz@altoqi.com.br</v>
      </c>
      <c r="H101" s="7" t="str">
        <v>MRR</v>
      </c>
      <c r="I101" s="86" cm="1">
        <f t="array" ref="I101">_xlfn.IFS(
  AND(F101="Consultor",H101="MRR",E101="Farmer"),
    SUMIFS(Negócios!M:M,Negócios!A:A,A101,Negócios!B:B,B101,Negócios!P:P,D101)
    +SUMIFS(Negócios!N:N,Negócios!A:A,A101,Negócios!B:B,B101,Negócios!P:P,D101),
  AND(F101="Consultor",H101="MRR"),
    SUMIFS(Negócios!L:L,Negócios!A:A,A101,Negócios!B:B,B101,Negócios!P:P,D101),
  AND(F101="Consultor",H101="Opps"),
    SUMIFS('Realizado GD'!D:D,'Realizado GD'!A:A,A101,'Realizado GD'!B:B,B101,'Realizado GD'!C:C,D101),
  D101="sonia.zielinski@altoqi.com.br",
    SUM(SUMIFS(Negócios!L:L,Negócios!A:A,A101,Negócios!B:B,B101,Negócios!R:R,{"FSB";"Ares"}))
    +SUMIFS(Negócios!M:M,Negócios!A:A,A101,Negócios!B:B,B101,Negócios!R:R,"Farmer")
    +SUMIFS(Negócios!N:N,Negócios!A:A,A101,Negócios!B:B,B101,Negócios!R:R,"Farmer"),
  OR(
    D101="anderson.ortiz@altoqi.com.br",
    D101="rafael.motta@altoqi.com.br",
    D101="beatriz@altoqi.com.br"
  ),
    SUMIFS(Negócios!L:L,Negócios!A:A,A101,Negócios!B:B,B101,Negócios!R:R,E101),
  AND(F101="Gestor",H101="MRR"),
    SUMIFS(I:I,A:A,A101,B:B,B101,G:G,D101),
  TRUE,
    ""
)</f>
        <v>19740.040999999994</v>
      </c>
      <c r="J101" s="16">
        <f>SUMIFS(Metas!K:K,Metas!A:A,A101,Metas!B:B,B101,Metas!D:D,D101,Metas!H:H,H101)</f>
        <v>10000</v>
      </c>
      <c r="K101" s="10">
        <f t="shared" si="20"/>
        <v>1.9740040999999995</v>
      </c>
      <c r="L101" s="26" t="str" cm="1">
        <f t="array" ref="L101">_xlfn.LET(
 _xlpm.g,_xlfn.MAXIFS(Parâmetros!G:G,Parâmetros!A:A,A101,Parâmetros!B:B,B101,Parâmetros!D:D,D101,Parâmetros!E:E,E101),
 _xlpm.j,_xlfn.MAXIFS(Parâmetros!J:J,Parâmetros!A:A,A101,Parâmetros!B:B,B101,Parâmetros!D:D,D101,Parâmetros!E:E,E101),
 _xlpm.m,_xlfn.MAXIFS(Parâmetros!M:M,Parâmetros!A:A,A101,Parâmetros!B:B,B101,Parâmetros!D:D,D101,Parâmetros!E:E,E101),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/>
      </c>
      <c r="M101" s="28" cm="1">
        <f t="array" ref="M101">_xlfn.IFS(
  AND(F101="Consultor",H101="MRR",E101="Farmer"),
    SUMIFS(Negócios!M:M,Negócios!A:A,A101,Negócios!B:B,B101,Negócios!P:P,D101,Negócios!AG:AG,"À Vista")
    +SUMIFS(Negócios!N:N,Negócios!A:A,A101,Negócios!B:B,B101,Negócios!P:P,D101,Negócios!AG:AG,"À Vista"),
  AND(F101="Consultor",H101="MRR"),
    SUMIFS(Negócios!L:L,Negócios!A:A,A101,Negócios!B:B,B101,Negócios!P:P,D101,Negócios!AG:AG,"À Vista"),
  AND(F101="Consultor",H101="Opps"),
    SUMIFS('Realizado GD'!D:D,'Realizado GD'!A:A,A101,'Realizado GD'!B:B,B101,'Realizado GD'!C:C,D101),
  D101="sonia.zielinski@altoqi.com.br",
    SUM(SUMIFS(Negócios!L:L,Negócios!A:A,A101,Negócios!B:B,B101,Negócios!R:R,{"FSB";"Ares"},Negócios!AG:AG,"À Vista"))
    +SUMIFS(Negócios!M:M,Negócios!A:A,A101,Negócios!B:B,B101,Negócios!R:R,"Farmer",Negócios!AG:AG,"À Vista")
    +SUMIFS(Negócios!N:N,Negócios!A:A,A101,Negócios!B:B,B101,Negócios!R:R,"Farmer",Negócios!AG:AG,"À Vista"),
  OR(
    D101="anderson.ortiz@altoqi.com.br",
    D101="rafael.motta@altoqi.com.br",
    D101="beatriz@altoqi.com.br"
  ),
    SUMIFS(Negócios!L:L,Negócios!A:A,A101,Negócios!B:B,B101,Negócios!R:R,E101,Negócios!AG:AG,"À Vista"),
  AND(F101="Gestor",H101="MRR"),
    SUMIFS(I:I,A:A,A101,B:B,B101,G:G,D101),
  TRUE,
    ""
)</f>
        <v>2738.6096000000002</v>
      </c>
      <c r="N101" s="10">
        <f t="shared" si="21"/>
        <v>0.13873373413966067</v>
      </c>
      <c r="O101" s="30">
        <f>SUMIFS('Acel Form Pag'!D:D,'Acel Form Pag'!A:A,A101,'Acel Form Pag'!B:B,B101,'Acel Form Pag'!C:C,E101)</f>
        <v>1.3</v>
      </c>
      <c r="P101" s="87" cm="1">
        <f t="array" ref="P101">_xlfn.IFS(
  AND(F101="Consultor",H101="MRR",E101="Farmer"),
    SUMIFS(Negócios!M:M,Negócios!A:A,A101,Negócios!B:B,B101,Negócios!P:P,D101,Negócios!AG:AG,"CC 3x")
    +SUMIFS(Negócios!N:N,Negócios!A:A,A101,Negócios!B:B,B101,Negócios!P:P,D101,Negócios!AG:AG,"CC 3x"),
  AND(F101="Consultor",H101="MRR"),
    SUMIFS(Negócios!L:L,Negócios!A:A,A101,Negócios!B:B,B101,Negócios!P:P,D101,Negócios!AG:AG,"CC 3x"),
  AND(F101="Consultor",H101="Opps"),
    SUMIFS('Realizado GD'!D:D,'Realizado GD'!A:A,A101,'Realizado GD'!B:B,B101,'Realizado GD'!C:C,D101),
  D101="sonia.zielinski@altoqi.com.br",
    SUM(SUMIFS(Negócios!L:L,Negócios!A:A,A101,Negócios!B:B,B101,Negócios!R:R,{"FSB";"Ares"},Negócios!AG:AG,"CC 3x"))
    +SUMIFS(Negócios!M:M,Negócios!A:A,A101,Negócios!B:B,B101,Negócios!R:R,"Farmer",Negócios!AG:AG,"CC 3x")
    +SUMIFS(Negócios!N:N,Negócios!A:A,A101,Negócios!B:B,B101,Negócios!R:R,"Farmer",Negócios!AG:AG,"CC 3x"),
  OR(
    D101="anderson.ortiz@altoqi.com.br",
    D101="rafael.motta@altoqi.com.br",
    D101="beatriz@altoqi.com.br"
  ),
    SUMIFS(Negócios!M:M,Negócios!A:A,A101,Negócios!B:B,B101,Negócios!R:R,E101,Negócios!AG:AG,"CC 3x"),
  AND(F101="Gestor",H101="MRR"),
    SUMIFS(I:I,A:A,A101,B:B,B101,G:G,D101),
  TRUE,
    ""
)</f>
        <v>220.34</v>
      </c>
      <c r="Q101" s="10">
        <f t="shared" si="22"/>
        <v>1.1162084212489735E-2</v>
      </c>
      <c r="R101" s="30">
        <f>SUMIFS('Acel Form Pag'!E:E,'Acel Form Pag'!A:A,A101,'Acel Form Pag'!B:B,B101,'Acel Form Pag'!C:C,E101)</f>
        <v>1.1499999999999999</v>
      </c>
      <c r="S101" s="32" cm="1">
        <f t="array" ref="S101">_xlfn.IFS(
  AND(F101="Consultor",H101="MRR",E101="Farmer"),
    SUMIFS(Negócios!M:M,Negócios!A:A,A101,Negócios!B:B,B101,Negócios!P:P,D101,Negócios!AG:AG,"CC 12x")
    +SUMIFS(Negócios!N:N,Negócios!A:A,A101,Negócios!B:B,B101,Negócios!P:P,D101,Negócios!AG:AG,"CC 12x"),
  AND(F101="Consultor",H101="MRR"),
    SUMIFS(Negócios!L:L,Negócios!A:A,A101,Negócios!B:B,B101,Negócios!P:P,D101,Negócios!AG:AG,"CC 12x"),
  AND(F101="Consultor",H101="Opps"),
    SUMIFS('Realizado GD'!D:D,'Realizado GD'!A:A,A101,'Realizado GD'!B:B,B101,'Realizado GD'!C:C,D101),
  D101="sonia.zielinski@altoqi.com.br",
    SUM(SUMIFS(Negócios!L:L,Negócios!A:A,A101,Negócios!B:B,B101,Negócios!R:R,{"FSB";"Ares"},Negócios!AG:AG,"CC 12x"))
    +SUMIFS(Negócios!M:M,Negócios!A:A,A101,Negócios!B:B,B101,Negócios!R:R,"Farmer",Negócios!AG:AG,"CC 12x")
    +SUMIFS(Negócios!N:N,Negócios!A:A,A101,Negócios!B:B,B101,Negócios!R:R,"Farmer",Negócios!AG:AG,"CC 12x"),
  OR(
    D101="anderson.ortiz@altoqi.com.br",
    D101="rafael.motta@altoqi.com.br",
    D101="beatriz@altoqi.com.br"
  ),
    SUMIFS(Negócios!L:L,Negócios!A:A,A101,Negócios!B:B,B101,Negócios!R:R,E101,Negócios!AG:AG,"CC 12x"),
  AND(F101="Gestor",H101="MRR"),
    SUMIFS(I:I,A:A,A101,B:B,B101,G:G,D101),
  TRUE,
    ""
)</f>
        <v>6893.550400000001</v>
      </c>
      <c r="T101" s="10">
        <f t="shared" si="23"/>
        <v>0.34921662016811428</v>
      </c>
      <c r="U101" s="30">
        <f>SUMIFS('Acel Form Pag'!F:F,'Acel Form Pag'!A:A,A101,'Acel Form Pag'!B:B,B101,'Acel Form Pag'!C:C,E101)</f>
        <v>1.1499999999999999</v>
      </c>
      <c r="V101" s="32" cm="1">
        <f t="array" ref="V101">_xlfn.IFS(
  AND(F101="Consultor",H101="MRR",E101="Farmer"),
    SUMIFS(Negócios!M:M,Negócios!A:A,A101,Negócios!B:B,B101,Negócios!P:P,D101,Negócios!AG:AG,"Recorrente")
    +SUMIFS(Negócios!N:N,Negócios!A:A,A101,Negócios!B:B,B101,Negócios!P:P,D101,Negócios!AG:AG,"Recorrente"),
  AND(F101="Consultor",H101="MRR"),
    SUMIFS(Negócios!L:L,Negócios!A:A,A101,Negócios!B:B,B101,Negócios!P:P,D101,Negócios!AG:AG,"Recorrente"),
  AND(F101="Consultor",H101="Opps"),
    SUMIFS('Realizado GD'!D:D,'Realizado GD'!A:A,A101,'Realizado GD'!B:B,B101,'Realizado GD'!C:C,D101),
  D101="sonia.zielinski@altoqi.com.br",
    SUM(SUMIFS(Negócios!L:L,Negócios!A:A,A101,Negócios!B:B,B101,Negócios!R:R,{"FSB";"Ares"},Negócios!AG:AG,"Recorrente"))
    +SUMIFS(Negócios!M:M,Negócios!A:A,A101,Negócios!B:B,B101,Negócios!R:R,"Farmer",Negócios!AG:AG,"Recorrente")
    +SUMIFS(Negócios!N:N,Negócios!A:A,A101,Negócios!B:B,B101,Negócios!R:R,"Farmer",Negócios!AG:AG,"Recorrente"),
  OR(
    D101="anderson.ortiz@altoqi.com.br",
    D101="rafael.motta@altoqi.com.br",
    D101="beatriz@altoqi.com.br"
  ),
    SUMIFS(Negócios!L:L,Negócios!A:A,A101,Negócios!B:B,B101,Negócios!R:R,E101,Negócios!AG:AG,"Recorrente"),
  AND(F101="Gestor",H101="MRR"),
    SUMIFS(I:I,A:A,A101,B:B,B101,G:G,D101),
  TRUE,
    ""
)</f>
        <v>9887.5409999999974</v>
      </c>
      <c r="W101" s="10">
        <f t="shared" si="24"/>
        <v>0.50088756147973557</v>
      </c>
      <c r="X101" s="34">
        <f>SUMIFS('Acel Form Pag'!G:G,'Acel Form Pag'!A:A,A101,'Acel Form Pag'!B:B,B101,'Acel Form Pag'!C:C,E101)</f>
        <v>1</v>
      </c>
      <c r="Y101" s="24">
        <f>MAX(_xlfn.MAXIFS(Parâmetros!O:O,Parâmetros!A:A,A101,Parâmetros!B:B,B101,Parâmetros!D:D,D101,Parâmetros!M:M,"&lt;="&amp;K101),_xlfn.MAXIFS(Parâmetros!L:L,Parâmetros!A:A,A101,Parâmetros!B:B,B101,Parâmetros!D:D,D101,Parâmetros!J:J,"&lt;="&amp;K101),_xlfn.MAXIFS(Parâmetros!I:I,Parâmetros!A:A,A101,Parâmetros!B:B,B101,Parâmetros!D:D,D101))</f>
        <v>3742.2</v>
      </c>
      <c r="Z101" s="9">
        <f>MAX(_xlfn.MAXIFS(Parâmetros!Q:Q,Parâmetros!A:A,A101,Parâmetros!B:B,B101,Parâmetros!D:D,D101,Parâmetros!E:E,E101,Parâmetros!P:P,"&lt;="&amp;K101),
_xlfn.MAXIFS(Parâmetros!S:S,Parâmetros!A:A,A101,Parâmetros!B:B,B101,Parâmetros!D:D,D101,Parâmetros!E:E,E101,Parâmetros!R:R,"&lt;="&amp;K101),
_xlfn.MAXIFS(Parâmetros!U:U,Parâmetros!A:A,A101,Parâmetros!B:B,B101,Parâmetros!D:D,D101,Parâmetros!E:E,E101,Parâmetros!T:T,"&lt;="&amp;K101),1) * IF(K101 &gt;= SUMIFS(Parâmetros!G:G,Parâmetros!A:A,A101,Parâmetros!B:B,B101,Parâmetros!D:D,D101,Parâmetros!E:E,E101),1,0)</f>
        <v>1.3</v>
      </c>
      <c r="AA101" s="16">
        <f>Y101*Z101*K101</f>
        <v>9603.253585925997</v>
      </c>
      <c r="AB101" s="16">
        <f>(AA101*N101*O101) + (AA101*Q101*R101) + (AA101*T101*U101) + (AA101*W101*X101)</f>
        <v>10522.063367655839</v>
      </c>
      <c r="AC101" s="15">
        <f>IF(F101="Gestor",SUMIFS(AC:AC,A:A,A101,B:B,B101,G:G,D101),
IF(E101="Saving",SUMIFS(Negócios!I:I,Negócios!A:A,A101,Negócios!B:B,B101,Negócios!P:P,D101,Negócios!H:H,"Curso") +
SUMIFS(Negócios!I:I,Negócios!A:A,A101,Negócios!B:B,B101,Negócios!P:P,D101,Negócios!H:H,"Serviço") +
SUMIFS(Negócios!I:I,Negócios!A:A,A101,Negócios!B:B,B101,Negócios!P:P,D101,Negócios!H:H,"Implantação"),
SUMIFS(Negócios!I:I,Negócios!A:A,A101,Negócios!B:B,B101,Negócios!P:P,D101,Negócios!H:H,"Implantação")))</f>
        <v>0</v>
      </c>
      <c r="AD101" s="16">
        <f>SUMIFS(Parâmetros!W:W,Parâmetros!A:A,A101,Parâmetros!B:B,B101,Parâmetros!D:D,D101) * AC101 * IF(K101 &gt;= SUMIFS(Parâmetros!V:V,Parâmetros!A:A,A101,Parâmetros!B:B,B101,Parâmetros!D:D,D101),1,0)</f>
        <v>0</v>
      </c>
      <c r="AE101" s="15">
        <f>SUMIFS('Recuperação de Canc e Divs'!D:D,'Recuperação de Canc e Divs'!A:A,A101,'Recuperação de Canc e Divs'!B:B,B101,'Recuperação de Canc e Divs'!C:C,D101)</f>
        <v>0</v>
      </c>
      <c r="AF101" s="16">
        <f>IF(K101&gt;=SUMIFS(Parâmetros!J:J,Parâmetros!A:A,A101,Parâmetros!B:B,B101,Parâmetros!D:D,D101),AE101*0.025,0)</f>
        <v>0</v>
      </c>
      <c r="AG101" s="15" t="str">
        <f t="shared" si="31"/>
        <v/>
      </c>
      <c r="AH101" s="16" t="str">
        <f t="shared" si="32"/>
        <v/>
      </c>
      <c r="AI101" s="90">
        <f t="shared" si="33"/>
        <v>0</v>
      </c>
      <c r="AJ101" s="16" t="str">
        <f t="shared" si="34"/>
        <v/>
      </c>
      <c r="AK101" s="16" t="str">
        <f t="shared" si="35"/>
        <v/>
      </c>
      <c r="AL101" s="90">
        <f t="shared" si="36"/>
        <v>0</v>
      </c>
      <c r="AM101" s="93" t="str">
        <f>IF(AND(OR(B101=3,B101=6,B101=9,B101=12),AI101&gt;=1),
IF(F101="Gestor",AI101*0.6,AI101*0.3),"")</f>
        <v/>
      </c>
      <c r="AN101" s="94" t="str">
        <f>IF(OR(B101=3,B101=6,B101=9,B101=12),
IF(AND(AL101&gt;=1,AI101&gt;=SUMIFS(Parâmetros!G:G,Parâmetros!A:A,Comissões!A101,Parâmetros!B:B,Comissões!B101,Parâmetros!D:D,Comissões!D101,Parâmetros!E:E,Comissões!E101)),AI101*0.3,""),"")</f>
        <v/>
      </c>
      <c r="AO101" s="16">
        <f t="shared" si="37"/>
        <v>19740.040999999997</v>
      </c>
      <c r="AP101" s="16">
        <f t="shared" si="38"/>
        <v>1.0000000000000002</v>
      </c>
    </row>
    <row r="102" spans="1:42" hidden="1">
      <c r="A102" s="7">
        <v>2026</v>
      </c>
      <c r="B102" s="7">
        <v>4</v>
      </c>
      <c r="C102" s="7" t="str">
        <v>Felipe Labes</v>
      </c>
      <c r="D102" s="7" t="str">
        <v>felipe.labes@altoqi.com.br</v>
      </c>
      <c r="E102" s="7" t="str">
        <v>FSB</v>
      </c>
      <c r="F102" s="7" t="str">
        <v>Consultor</v>
      </c>
      <c r="G102" s="7" t="str">
        <v>anderson.ortiz@altoqi.com.br</v>
      </c>
      <c r="H102" s="7" t="str">
        <v>MRR</v>
      </c>
      <c r="I102" s="86" cm="1">
        <f t="array" ref="I102">_xlfn.IFS(
  AND(F102="Consultor",H102="MRR",E102="Farmer"),
    SUMIFS(Negócios!M:M,Negócios!A:A,A102,Negócios!B:B,B102,Negócios!P:P,D102)
    +SUMIFS(Negócios!N:N,Negócios!A:A,A102,Negócios!B:B,B102,Negócios!P:P,D102),
  AND(F102="Consultor",H102="MRR"),
    SUMIFS(Negócios!L:L,Negócios!A:A,A102,Negócios!B:B,B102,Negócios!P:P,D102),
  AND(F102="Consultor",H102="Opps"),
    SUMIFS('Realizado GD'!D:D,'Realizado GD'!A:A,A102,'Realizado GD'!B:B,B102,'Realizado GD'!C:C,D102),
  D102="sonia.zielinski@altoqi.com.br",
    SUM(SUMIFS(Negócios!L:L,Negócios!A:A,A102,Negócios!B:B,B102,Negócios!R:R,{"FSB";"Ares"}))
    +SUMIFS(Negócios!M:M,Negócios!A:A,A102,Negócios!B:B,B102,Negócios!R:R,"Farmer")
    +SUMIFS(Negócios!N:N,Negócios!A:A,A102,Negócios!B:B,B102,Negócios!R:R,"Farmer"),
  OR(
    D102="anderson.ortiz@altoqi.com.br",
    D102="rafael.motta@altoqi.com.br",
    D102="beatriz@altoqi.com.br"
  ),
    SUMIFS(Negócios!L:L,Negócios!A:A,A102,Negócios!B:B,B102,Negócios!R:R,E102),
  AND(F102="Gestor",H102="MRR"),
    SUMIFS(I:I,A:A,A102,B:B,B102,G:G,D102),
  TRUE,
    ""
)</f>
        <v>17415.460000000006</v>
      </c>
      <c r="J102" s="16">
        <f>SUMIFS(Metas!K:K,Metas!A:A,A102,Metas!B:B,B102,Metas!D:D,D102,Metas!H:H,H102)</f>
        <v>8250</v>
      </c>
      <c r="K102" s="10">
        <f t="shared" si="20"/>
        <v>2.1109648484848491</v>
      </c>
      <c r="L102" s="26" t="str" cm="1">
        <f t="array" ref="L102">_xlfn.LET(
 _xlpm.g,_xlfn.MAXIFS(Parâmetros!G:G,Parâmetros!A:A,A102,Parâmetros!B:B,B102,Parâmetros!D:D,D102,Parâmetros!E:E,E102),
 _xlpm.j,_xlfn.MAXIFS(Parâmetros!J:J,Parâmetros!A:A,A102,Parâmetros!B:B,B102,Parâmetros!D:D,D102,Parâmetros!E:E,E102),
 _xlpm.m,_xlfn.MAXIFS(Parâmetros!M:M,Parâmetros!A:A,A102,Parâmetros!B:B,B102,Parâmetros!D:D,D102,Parâmetros!E:E,E102),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/>
      </c>
      <c r="M102" s="28" cm="1">
        <f t="array" ref="M102">_xlfn.IFS(
  AND(F102="Consultor",H102="MRR",E102="Farmer"),
    SUMIFS(Negócios!M:M,Negócios!A:A,A102,Negócios!B:B,B102,Negócios!P:P,D102,Negócios!AG:AG,"À Vista")
    +SUMIFS(Negócios!N:N,Negócios!A:A,A102,Negócios!B:B,B102,Negócios!P:P,D102,Negócios!AG:AG,"À Vista"),
  AND(F102="Consultor",H102="MRR"),
    SUMIFS(Negócios!L:L,Negócios!A:A,A102,Negócios!B:B,B102,Negócios!P:P,D102,Negócios!AG:AG,"À Vista"),
  AND(F102="Consultor",H102="Opps"),
    SUMIFS('Realizado GD'!D:D,'Realizado GD'!A:A,A102,'Realizado GD'!B:B,B102,'Realizado GD'!C:C,D102),
  D102="sonia.zielinski@altoqi.com.br",
    SUM(SUMIFS(Negócios!L:L,Negócios!A:A,A102,Negócios!B:B,B102,Negócios!R:R,{"FSB";"Ares"},Negócios!AG:AG,"À Vista"))
    +SUMIFS(Negócios!M:M,Negócios!A:A,A102,Negócios!B:B,B102,Negócios!R:R,"Farmer",Negócios!AG:AG,"À Vista")
    +SUMIFS(Negócios!N:N,Negócios!A:A,A102,Negócios!B:B,B102,Negócios!R:R,"Farmer",Negócios!AG:AG,"À Vista"),
  OR(
    D102="anderson.ortiz@altoqi.com.br",
    D102="rafael.motta@altoqi.com.br",
    D102="beatriz@altoqi.com.br"
  ),
    SUMIFS(Negócios!L:L,Negócios!A:A,A102,Negócios!B:B,B102,Negócios!R:R,E102,Negócios!AG:AG,"À Vista"),
  AND(F102="Gestor",H102="MRR"),
    SUMIFS(I:I,A:A,A102,B:B,B102,G:G,D102),
  TRUE,
    ""
)</f>
        <v>1981.49</v>
      </c>
      <c r="N102" s="10">
        <f t="shared" si="21"/>
        <v>0.11377764354200229</v>
      </c>
      <c r="O102" s="30">
        <f>SUMIFS('Acel Form Pag'!D:D,'Acel Form Pag'!A:A,A102,'Acel Form Pag'!B:B,B102,'Acel Form Pag'!C:C,E102)</f>
        <v>1.3</v>
      </c>
      <c r="P102" s="87" cm="1">
        <f t="array" ref="P102">_xlfn.IFS(
  AND(F102="Consultor",H102="MRR",E102="Farmer"),
    SUMIFS(Negócios!M:M,Negócios!A:A,A102,Negócios!B:B,B102,Negócios!P:P,D102,Negócios!AG:AG,"CC 3x")
    +SUMIFS(Negócios!N:N,Negócios!A:A,A102,Negócios!B:B,B102,Negócios!P:P,D102,Negócios!AG:AG,"CC 3x"),
  AND(F102="Consultor",H102="MRR"),
    SUMIFS(Negócios!L:L,Negócios!A:A,A102,Negócios!B:B,B102,Negócios!P:P,D102,Negócios!AG:AG,"CC 3x"),
  AND(F102="Consultor",H102="Opps"),
    SUMIFS('Realizado GD'!D:D,'Realizado GD'!A:A,A102,'Realizado GD'!B:B,B102,'Realizado GD'!C:C,D102),
  D102="sonia.zielinski@altoqi.com.br",
    SUM(SUMIFS(Negócios!L:L,Negócios!A:A,A102,Negócios!B:B,B102,Negócios!R:R,{"FSB";"Ares"},Negócios!AG:AG,"CC 3x"))
    +SUMIFS(Negócios!M:M,Negócios!A:A,A102,Negócios!B:B,B102,Negócios!R:R,"Farmer",Negócios!AG:AG,"CC 3x")
    +SUMIFS(Negócios!N:N,Negócios!A:A,A102,Negócios!B:B,B102,Negócios!R:R,"Farmer",Negócios!AG:AG,"CC 3x"),
  OR(
    D102="anderson.ortiz@altoqi.com.br",
    D102="rafael.motta@altoqi.com.br",
    D102="beatriz@altoqi.com.br"
  ),
    SUMIFS(Negócios!M:M,Negócios!A:A,A102,Negócios!B:B,B102,Negócios!R:R,E102,Negócios!AG:AG,"CC 3x"),
  AND(F102="Gestor",H102="MRR"),
    SUMIFS(I:I,A:A,A102,B:B,B102,G:G,D102),
  TRUE,
    ""
)</f>
        <v>0</v>
      </c>
      <c r="Q102" s="10">
        <f t="shared" si="22"/>
        <v>0</v>
      </c>
      <c r="R102" s="30">
        <f>SUMIFS('Acel Form Pag'!E:E,'Acel Form Pag'!A:A,A102,'Acel Form Pag'!B:B,B102,'Acel Form Pag'!C:C,E102)</f>
        <v>1.1499999999999999</v>
      </c>
      <c r="S102" s="32" cm="1">
        <f t="array" ref="S102">_xlfn.IFS(
  AND(F102="Consultor",H102="MRR",E102="Farmer"),
    SUMIFS(Negócios!M:M,Negócios!A:A,A102,Negócios!B:B,B102,Negócios!P:P,D102,Negócios!AG:AG,"CC 12x")
    +SUMIFS(Negócios!N:N,Negócios!A:A,A102,Negócios!B:B,B102,Negócios!P:P,D102,Negócios!AG:AG,"CC 12x"),
  AND(F102="Consultor",H102="MRR"),
    SUMIFS(Negócios!L:L,Negócios!A:A,A102,Negócios!B:B,B102,Negócios!P:P,D102,Negócios!AG:AG,"CC 12x"),
  AND(F102="Consultor",H102="Opps"),
    SUMIFS('Realizado GD'!D:D,'Realizado GD'!A:A,A102,'Realizado GD'!B:B,B102,'Realizado GD'!C:C,D102),
  D102="sonia.zielinski@altoqi.com.br",
    SUM(SUMIFS(Negócios!L:L,Negócios!A:A,A102,Negócios!B:B,B102,Negócios!R:R,{"FSB";"Ares"},Negócios!AG:AG,"CC 12x"))
    +SUMIFS(Negócios!M:M,Negócios!A:A,A102,Negócios!B:B,B102,Negócios!R:R,"Farmer",Negócios!AG:AG,"CC 12x")
    +SUMIFS(Negócios!N:N,Negócios!A:A,A102,Negócios!B:B,B102,Negócios!R:R,"Farmer",Negócios!AG:AG,"CC 12x"),
  OR(
    D102="anderson.ortiz@altoqi.com.br",
    D102="rafael.motta@altoqi.com.br",
    D102="beatriz@altoqi.com.br"
  ),
    SUMIFS(Negócios!L:L,Negócios!A:A,A102,Negócios!B:B,B102,Negócios!R:R,E102,Negócios!AG:AG,"CC 12x"),
  AND(F102="Gestor",H102="MRR"),
    SUMIFS(I:I,A:A,A102,B:B,B102,G:G,D102),
  TRUE,
    ""
)</f>
        <v>5737.1449999999986</v>
      </c>
      <c r="T102" s="10">
        <f t="shared" si="23"/>
        <v>0.32942827809314235</v>
      </c>
      <c r="U102" s="30">
        <f>SUMIFS('Acel Form Pag'!F:F,'Acel Form Pag'!A:A,A102,'Acel Form Pag'!B:B,B102,'Acel Form Pag'!C:C,E102)</f>
        <v>1.1499999999999999</v>
      </c>
      <c r="V102" s="32" cm="1">
        <f t="array" ref="V102">_xlfn.IFS(
  AND(F102="Consultor",H102="MRR",E102="Farmer"),
    SUMIFS(Negócios!M:M,Negócios!A:A,A102,Negócios!B:B,B102,Negócios!P:P,D102,Negócios!AG:AG,"Recorrente")
    +SUMIFS(Negócios!N:N,Negócios!A:A,A102,Negócios!B:B,B102,Negócios!P:P,D102,Negócios!AG:AG,"Recorrente"),
  AND(F102="Consultor",H102="MRR"),
    SUMIFS(Negócios!L:L,Negócios!A:A,A102,Negócios!B:B,B102,Negócios!P:P,D102,Negócios!AG:AG,"Recorrente"),
  AND(F102="Consultor",H102="Opps"),
    SUMIFS('Realizado GD'!D:D,'Realizado GD'!A:A,A102,'Realizado GD'!B:B,B102,'Realizado GD'!C:C,D102),
  D102="sonia.zielinski@altoqi.com.br",
    SUM(SUMIFS(Negócios!L:L,Negócios!A:A,A102,Negócios!B:B,B102,Negócios!R:R,{"FSB";"Ares"},Negócios!AG:AG,"Recorrente"))
    +SUMIFS(Negócios!M:M,Negócios!A:A,A102,Negócios!B:B,B102,Negócios!R:R,"Farmer",Negócios!AG:AG,"Recorrente")
    +SUMIFS(Negócios!N:N,Negócios!A:A,A102,Negócios!B:B,B102,Negócios!R:R,"Farmer",Negócios!AG:AG,"Recorrente"),
  OR(
    D102="anderson.ortiz@altoqi.com.br",
    D102="rafael.motta@altoqi.com.br",
    D102="beatriz@altoqi.com.br"
  ),
    SUMIFS(Negócios!L:L,Negócios!A:A,A102,Negócios!B:B,B102,Negócios!R:R,E102,Negócios!AG:AG,"Recorrente"),
  AND(F102="Gestor",H102="MRR"),
    SUMIFS(I:I,A:A,A102,B:B,B102,G:G,D102),
  TRUE,
    ""
)</f>
        <v>9696.8250000000007</v>
      </c>
      <c r="W102" s="10">
        <f t="shared" si="24"/>
        <v>0.55679407836485495</v>
      </c>
      <c r="X102" s="34">
        <f>SUMIFS('Acel Form Pag'!G:G,'Acel Form Pag'!A:A,A102,'Acel Form Pag'!B:B,B102,'Acel Form Pag'!C:C,E102)</f>
        <v>1</v>
      </c>
      <c r="Y102" s="24">
        <f>MAX(_xlfn.MAXIFS(Parâmetros!O:O,Parâmetros!A:A,A102,Parâmetros!B:B,B102,Parâmetros!D:D,D102,Parâmetros!M:M,"&lt;="&amp;K102),_xlfn.MAXIFS(Parâmetros!L:L,Parâmetros!A:A,A102,Parâmetros!B:B,B102,Parâmetros!D:D,D102,Parâmetros!J:J,"&lt;="&amp;K102),_xlfn.MAXIFS(Parâmetros!I:I,Parâmetros!A:A,A102,Parâmetros!B:B,B102,Parâmetros!D:D,D102))</f>
        <v>3267</v>
      </c>
      <c r="Z102" s="9">
        <f>MAX(_xlfn.MAXIFS(Parâmetros!Q:Q,Parâmetros!A:A,A102,Parâmetros!B:B,B102,Parâmetros!D:D,D102,Parâmetros!E:E,E102,Parâmetros!P:P,"&lt;="&amp;K102),
_xlfn.MAXIFS(Parâmetros!S:S,Parâmetros!A:A,A102,Parâmetros!B:B,B102,Parâmetros!D:D,D102,Parâmetros!E:E,E102,Parâmetros!R:R,"&lt;="&amp;K102),
_xlfn.MAXIFS(Parâmetros!U:U,Parâmetros!A:A,A102,Parâmetros!B:B,B102,Parâmetros!D:D,D102,Parâmetros!E:E,E102,Parâmetros!T:T,"&lt;="&amp;K102),1) * IF(K102 &gt;= SUMIFS(Parâmetros!G:G,Parâmetros!A:A,A102,Parâmetros!B:B,B102,Parâmetros!D:D,D102,Parâmetros!E:E,E102),1,0)</f>
        <v>1.3</v>
      </c>
      <c r="AA102" s="16">
        <f>Y102*Z102*K102</f>
        <v>8965.4788080000035</v>
      </c>
      <c r="AB102" s="16">
        <f>(AA102*N102*O102) + (AA102*Q102*R102) + (AA102*T102*U102) + (AA102*W102*X102)</f>
        <v>9714.5224605000003</v>
      </c>
      <c r="AC102" s="15">
        <f>IF(F102="Gestor",SUMIFS(AC:AC,A:A,A102,B:B,B102,G:G,D102),
IF(E102="Saving",SUMIFS(Negócios!I:I,Negócios!A:A,A102,Negócios!B:B,B102,Negócios!P:P,D102,Negócios!H:H,"Curso") +
SUMIFS(Negócios!I:I,Negócios!A:A,A102,Negócios!B:B,B102,Negócios!P:P,D102,Negócios!H:H,"Serviço") +
SUMIFS(Negócios!I:I,Negócios!A:A,A102,Negócios!B:B,B102,Negócios!P:P,D102,Negócios!H:H,"Implantação"),
SUMIFS(Negócios!I:I,Negócios!A:A,A102,Negócios!B:B,B102,Negócios!P:P,D102,Negócios!H:H,"Implantação")))</f>
        <v>0</v>
      </c>
      <c r="AD102" s="16">
        <f>SUMIFS(Parâmetros!W:W,Parâmetros!A:A,A102,Parâmetros!B:B,B102,Parâmetros!D:D,D102) * AC102 * IF(K102 &gt;= SUMIFS(Parâmetros!V:V,Parâmetros!A:A,A102,Parâmetros!B:B,B102,Parâmetros!D:D,D102),1,0)</f>
        <v>0</v>
      </c>
      <c r="AE102" s="15">
        <f>SUMIFS('Recuperação de Canc e Divs'!D:D,'Recuperação de Canc e Divs'!A:A,A102,'Recuperação de Canc e Divs'!B:B,B102,'Recuperação de Canc e Divs'!C:C,D102)</f>
        <v>0</v>
      </c>
      <c r="AF102" s="16">
        <f>IF(K102&gt;=SUMIFS(Parâmetros!J:J,Parâmetros!A:A,A102,Parâmetros!B:B,B102,Parâmetros!D:D,D102),AE102*0.025,0)</f>
        <v>0</v>
      </c>
      <c r="AG102" s="15" t="str">
        <f t="shared" si="31"/>
        <v/>
      </c>
      <c r="AH102" s="16" t="str">
        <f t="shared" si="32"/>
        <v/>
      </c>
      <c r="AI102" s="90">
        <f t="shared" si="33"/>
        <v>0</v>
      </c>
      <c r="AJ102" s="16" t="str">
        <f t="shared" si="34"/>
        <v/>
      </c>
      <c r="AK102" s="16" t="str">
        <f t="shared" si="35"/>
        <v/>
      </c>
      <c r="AL102" s="90">
        <f t="shared" si="36"/>
        <v>0</v>
      </c>
      <c r="AM102" s="93" t="str">
        <f>IF(AND(OR(B102=3,B102=6,B102=9,B102=12),AI102&gt;=1),
IF(F102="Gestor",AI102*0.6,AI102*0.3),"")</f>
        <v/>
      </c>
      <c r="AN102" s="94" t="str">
        <f>IF(OR(B102=3,B102=6,B102=9,B102=12),
IF(AND(AL102&gt;=1,AI102&gt;=SUMIFS(Parâmetros!G:G,Parâmetros!A:A,Comissões!A102,Parâmetros!B:B,Comissões!B102,Parâmetros!D:D,Comissões!D102,Parâmetros!E:E,Comissões!E102)),AI102*0.3,""),"")</f>
        <v/>
      </c>
      <c r="AO102" s="16">
        <f t="shared" si="37"/>
        <v>17415.46</v>
      </c>
      <c r="AP102" s="16">
        <f t="shared" si="38"/>
        <v>0.99999999999999956</v>
      </c>
    </row>
    <row r="103" spans="1:42" hidden="1">
      <c r="A103" s="7">
        <v>2026</v>
      </c>
      <c r="B103" s="7">
        <v>4</v>
      </c>
      <c r="C103" s="7" t="str">
        <v>Maicon Rodrigo Fentzke</v>
      </c>
      <c r="D103" s="7" t="str">
        <v>maicon.fentzke@altoqi.com.br</v>
      </c>
      <c r="E103" s="7" t="str">
        <v>FSB</v>
      </c>
      <c r="F103" s="7" t="str">
        <v>Consultor</v>
      </c>
      <c r="G103" s="7" t="str">
        <v>anderson.ortiz@altoqi.com.br</v>
      </c>
      <c r="H103" s="7" t="str">
        <v>MRR</v>
      </c>
      <c r="I103" s="86" cm="1">
        <f t="array" ref="I103">_xlfn.IFS(
  AND(F103="Consultor",H103="MRR",E103="Farmer"),
    SUMIFS(Negócios!M:M,Negócios!A:A,A103,Negócios!B:B,B103,Negócios!P:P,D103)
    +SUMIFS(Negócios!N:N,Negócios!A:A,A103,Negócios!B:B,B103,Negócios!P:P,D103),
  AND(F103="Consultor",H103="MRR"),
    SUMIFS(Negócios!L:L,Negócios!A:A,A103,Negócios!B:B,B103,Negócios!P:P,D103),
  AND(F103="Consultor",H103="Opps"),
    SUMIFS('Realizado GD'!D:D,'Realizado GD'!A:A,A103,'Realizado GD'!B:B,B103,'Realizado GD'!C:C,D103),
  D103="sonia.zielinski@altoqi.com.br",
    SUM(SUMIFS(Negócios!L:L,Negócios!A:A,A103,Negócios!B:B,B103,Negócios!R:R,{"FSB";"Ares"}))
    +SUMIFS(Negócios!M:M,Negócios!A:A,A103,Negócios!B:B,B103,Negócios!R:R,"Farmer")
    +SUMIFS(Negócios!N:N,Negócios!A:A,A103,Negócios!B:B,B103,Negócios!R:R,"Farmer"),
  OR(
    D103="anderson.ortiz@altoqi.com.br",
    D103="rafael.motta@altoqi.com.br",
    D103="beatriz@altoqi.com.br"
  ),
    SUMIFS(Negócios!L:L,Negócios!A:A,A103,Negócios!B:B,B103,Negócios!R:R,E103),
  AND(F103="Gestor",H103="MRR"),
    SUMIFS(I:I,A:A,A103,B:B,B103,G:G,D103),
  TRUE,
    ""
)</f>
        <v>2043.8600000000001</v>
      </c>
      <c r="J103" s="16">
        <f>SUMIFS(Metas!K:K,Metas!A:A,A103,Metas!B:B,B103,Metas!D:D,D103,Metas!H:H,H103)</f>
        <v>2199.9999999999995</v>
      </c>
      <c r="K103" s="10">
        <f t="shared" si="20"/>
        <v>0.92902727272727292</v>
      </c>
      <c r="L103" s="26" t="str" cm="1">
        <f t="array" ref="L103">_xlfn.LET(
 _xlpm.g,_xlfn.MAXIFS(Parâmetros!G:G,Parâmetros!A:A,A103,Parâmetros!B:B,B103,Parâmetros!D:D,D103,Parâmetros!E:E,E103),
 _xlpm.j,_xlfn.MAXIFS(Parâmetros!J:J,Parâmetros!A:A,A103,Parâmetros!B:B,B103,Parâmetros!D:D,D103,Parâmetros!E:E,E103),
 _xlpm.m,_xlfn.MAXIFS(Parâmetros!M:M,Parâmetros!A:A,A103,Parâmetros!B:B,B103,Parâmetros!D:D,D103,Parâmetros!E:E,E103),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/>
      </c>
      <c r="M103" s="28" cm="1">
        <f t="array" ref="M103">_xlfn.IFS(
  AND(F103="Consultor",H103="MRR",E103="Farmer"),
    SUMIFS(Negócios!M:M,Negócios!A:A,A103,Negócios!B:B,B103,Negócios!P:P,D103,Negócios!AG:AG,"À Vista")
    +SUMIFS(Negócios!N:N,Negócios!A:A,A103,Negócios!B:B,B103,Negócios!P:P,D103,Negócios!AG:AG,"À Vista"),
  AND(F103="Consultor",H103="MRR"),
    SUMIFS(Negócios!L:L,Negócios!A:A,A103,Negócios!B:B,B103,Negócios!P:P,D103,Negócios!AG:AG,"À Vista"),
  AND(F103="Consultor",H103="Opps"),
    SUMIFS('Realizado GD'!D:D,'Realizado GD'!A:A,A103,'Realizado GD'!B:B,B103,'Realizado GD'!C:C,D103),
  D103="sonia.zielinski@altoqi.com.br",
    SUM(SUMIFS(Negócios!L:L,Negócios!A:A,A103,Negócios!B:B,B103,Negócios!R:R,{"FSB";"Ares"},Negócios!AG:AG,"À Vista"))
    +SUMIFS(Negócios!M:M,Negócios!A:A,A103,Negócios!B:B,B103,Negócios!R:R,"Farmer",Negócios!AG:AG,"À Vista")
    +SUMIFS(Negócios!N:N,Negócios!A:A,A103,Negócios!B:B,B103,Negócios!R:R,"Farmer",Negócios!AG:AG,"À Vista"),
  OR(
    D103="anderson.ortiz@altoqi.com.br",
    D103="rafael.motta@altoqi.com.br",
    D103="beatriz@altoqi.com.br"
  ),
    SUMIFS(Negócios!L:L,Negócios!A:A,A103,Negócios!B:B,B103,Negócios!R:R,E103,Negócios!AG:AG,"À Vista"),
  AND(F103="Gestor",H103="MRR"),
    SUMIFS(I:I,A:A,A103,B:B,B103,G:G,D103),
  TRUE,
    ""
)</f>
        <v>0</v>
      </c>
      <c r="N103" s="10">
        <f t="shared" si="21"/>
        <v>0</v>
      </c>
      <c r="O103" s="30">
        <f>SUMIFS('Acel Form Pag'!D:D,'Acel Form Pag'!A:A,A103,'Acel Form Pag'!B:B,B103,'Acel Form Pag'!C:C,E103)</f>
        <v>1.3</v>
      </c>
      <c r="P103" s="87" cm="1">
        <f t="array" ref="P103">_xlfn.IFS(
  AND(F103="Consultor",H103="MRR",E103="Farmer"),
    SUMIFS(Negócios!M:M,Negócios!A:A,A103,Negócios!B:B,B103,Negócios!P:P,D103,Negócios!AG:AG,"CC 3x")
    +SUMIFS(Negócios!N:N,Negócios!A:A,A103,Negócios!B:B,B103,Negócios!P:P,D103,Negócios!AG:AG,"CC 3x"),
  AND(F103="Consultor",H103="MRR"),
    SUMIFS(Negócios!L:L,Negócios!A:A,A103,Negócios!B:B,B103,Negócios!P:P,D103,Negócios!AG:AG,"CC 3x"),
  AND(F103="Consultor",H103="Opps"),
    SUMIFS('Realizado GD'!D:D,'Realizado GD'!A:A,A103,'Realizado GD'!B:B,B103,'Realizado GD'!C:C,D103),
  D103="sonia.zielinski@altoqi.com.br",
    SUM(SUMIFS(Negócios!L:L,Negócios!A:A,A103,Negócios!B:B,B103,Negócios!R:R,{"FSB";"Ares"},Negócios!AG:AG,"CC 3x"))
    +SUMIFS(Negócios!M:M,Negócios!A:A,A103,Negócios!B:B,B103,Negócios!R:R,"Farmer",Negócios!AG:AG,"CC 3x")
    +SUMIFS(Negócios!N:N,Negócios!A:A,A103,Negócios!B:B,B103,Negócios!R:R,"Farmer",Negócios!AG:AG,"CC 3x"),
  OR(
    D103="anderson.ortiz@altoqi.com.br",
    D103="rafael.motta@altoqi.com.br",
    D103="beatriz@altoqi.com.br"
  ),
    SUMIFS(Negócios!M:M,Negócios!A:A,A103,Negócios!B:B,B103,Negócios!R:R,E103,Negócios!AG:AG,"CC 3x"),
  AND(F103="Gestor",H103="MRR"),
    SUMIFS(I:I,A:A,A103,B:B,B103,G:G,D103),
  TRUE,
    ""
)</f>
        <v>0</v>
      </c>
      <c r="Q103" s="10">
        <f t="shared" si="22"/>
        <v>0</v>
      </c>
      <c r="R103" s="30">
        <f>SUMIFS('Acel Form Pag'!E:E,'Acel Form Pag'!A:A,A103,'Acel Form Pag'!B:B,B103,'Acel Form Pag'!C:C,E103)</f>
        <v>1.1499999999999999</v>
      </c>
      <c r="S103" s="32" cm="1">
        <f t="array" ref="S103">_xlfn.IFS(
  AND(F103="Consultor",H103="MRR",E103="Farmer"),
    SUMIFS(Negócios!M:M,Negócios!A:A,A103,Negócios!B:B,B103,Negócios!P:P,D103,Negócios!AG:AG,"CC 12x")
    +SUMIFS(Negócios!N:N,Negócios!A:A,A103,Negócios!B:B,B103,Negócios!P:P,D103,Negócios!AG:AG,"CC 12x"),
  AND(F103="Consultor",H103="MRR"),
    SUMIFS(Negócios!L:L,Negócios!A:A,A103,Negócios!B:B,B103,Negócios!P:P,D103,Negócios!AG:AG,"CC 12x"),
  AND(F103="Consultor",H103="Opps"),
    SUMIFS('Realizado GD'!D:D,'Realizado GD'!A:A,A103,'Realizado GD'!B:B,B103,'Realizado GD'!C:C,D103),
  D103="sonia.zielinski@altoqi.com.br",
    SUM(SUMIFS(Negócios!L:L,Negócios!A:A,A103,Negócios!B:B,B103,Negócios!R:R,{"FSB";"Ares"},Negócios!AG:AG,"CC 12x"))
    +SUMIFS(Negócios!M:M,Negócios!A:A,A103,Negócios!B:B,B103,Negócios!R:R,"Farmer",Negócios!AG:AG,"CC 12x")
    +SUMIFS(Negócios!N:N,Negócios!A:A,A103,Negócios!B:B,B103,Negócios!R:R,"Farmer",Negócios!AG:AG,"CC 12x"),
  OR(
    D103="anderson.ortiz@altoqi.com.br",
    D103="rafael.motta@altoqi.com.br",
    D103="beatriz@altoqi.com.br"
  ),
    SUMIFS(Negócios!L:L,Negócios!A:A,A103,Negócios!B:B,B103,Negócios!R:R,E103,Negócios!AG:AG,"CC 12x"),
  AND(F103="Gestor",H103="MRR"),
    SUMIFS(I:I,A:A,A103,B:B,B103,G:G,D103),
  TRUE,
    ""
)</f>
        <v>1524.8600000000001</v>
      </c>
      <c r="T103" s="10">
        <f t="shared" si="23"/>
        <v>0.746068713121251</v>
      </c>
      <c r="U103" s="30">
        <f>SUMIFS('Acel Form Pag'!F:F,'Acel Form Pag'!A:A,A103,'Acel Form Pag'!B:B,B103,'Acel Form Pag'!C:C,E103)</f>
        <v>1.1499999999999999</v>
      </c>
      <c r="V103" s="32" cm="1">
        <f t="array" ref="V103">_xlfn.IFS(
  AND(F103="Consultor",H103="MRR",E103="Farmer"),
    SUMIFS(Negócios!M:M,Negócios!A:A,A103,Negócios!B:B,B103,Negócios!P:P,D103,Negócios!AG:AG,"Recorrente")
    +SUMIFS(Negócios!N:N,Negócios!A:A,A103,Negócios!B:B,B103,Negócios!P:P,D103,Negócios!AG:AG,"Recorrente"),
  AND(F103="Consultor",H103="MRR"),
    SUMIFS(Negócios!L:L,Negócios!A:A,A103,Negócios!B:B,B103,Negócios!P:P,D103,Negócios!AG:AG,"Recorrente"),
  AND(F103="Consultor",H103="Opps"),
    SUMIFS('Realizado GD'!D:D,'Realizado GD'!A:A,A103,'Realizado GD'!B:B,B103,'Realizado GD'!C:C,D103),
  D103="sonia.zielinski@altoqi.com.br",
    SUM(SUMIFS(Negócios!L:L,Negócios!A:A,A103,Negócios!B:B,B103,Negócios!R:R,{"FSB";"Ares"},Negócios!AG:AG,"Recorrente"))
    +SUMIFS(Negócios!M:M,Negócios!A:A,A103,Negócios!B:B,B103,Negócios!R:R,"Farmer",Negócios!AG:AG,"Recorrente")
    +SUMIFS(Negócios!N:N,Negócios!A:A,A103,Negócios!B:B,B103,Negócios!R:R,"Farmer",Negócios!AG:AG,"Recorrente"),
  OR(
    D103="anderson.ortiz@altoqi.com.br",
    D103="rafael.motta@altoqi.com.br",
    D103="beatriz@altoqi.com.br"
  ),
    SUMIFS(Negócios!L:L,Negócios!A:A,A103,Negócios!B:B,B103,Negócios!R:R,E103,Negócios!AG:AG,"Recorrente"),
  AND(F103="Gestor",H103="MRR"),
    SUMIFS(I:I,A:A,A103,B:B,B103,G:G,D103),
  TRUE,
    ""
)</f>
        <v>519</v>
      </c>
      <c r="W103" s="10">
        <f t="shared" si="24"/>
        <v>0.253931286878749</v>
      </c>
      <c r="X103" s="34">
        <f>SUMIFS('Acel Form Pag'!G:G,'Acel Form Pag'!A:A,A103,'Acel Form Pag'!B:B,B103,'Acel Form Pag'!C:C,E103)</f>
        <v>1</v>
      </c>
      <c r="Y103" s="24">
        <f>MAX(_xlfn.MAXIFS(Parâmetros!O:O,Parâmetros!A:A,A103,Parâmetros!B:B,B103,Parâmetros!D:D,D103,Parâmetros!M:M,"&lt;="&amp;K103),_xlfn.MAXIFS(Parâmetros!L:L,Parâmetros!A:A,A103,Parâmetros!B:B,B103,Parâmetros!D:D,D103,Parâmetros!J:J,"&lt;="&amp;K103),_xlfn.MAXIFS(Parâmetros!I:I,Parâmetros!A:A,A103,Parâmetros!B:B,B103,Parâmetros!D:D,D103))</f>
        <v>871.19999999999982</v>
      </c>
      <c r="Z103" s="9">
        <f>MAX(_xlfn.MAXIFS(Parâmetros!Q:Q,Parâmetros!A:A,A103,Parâmetros!B:B,B103,Parâmetros!D:D,D103,Parâmetros!E:E,E103,Parâmetros!P:P,"&lt;="&amp;K103),
_xlfn.MAXIFS(Parâmetros!S:S,Parâmetros!A:A,A103,Parâmetros!B:B,B103,Parâmetros!D:D,D103,Parâmetros!E:E,E103,Parâmetros!R:R,"&lt;="&amp;K103),
_xlfn.MAXIFS(Parâmetros!U:U,Parâmetros!A:A,A103,Parâmetros!B:B,B103,Parâmetros!D:D,D103,Parâmetros!E:E,E103,Parâmetros!T:T,"&lt;="&amp;K103),1) * IF(K103 &gt;= SUMIFS(Parâmetros!G:G,Parâmetros!A:A,A103,Parâmetros!B:B,B103,Parâmetros!D:D,D103,Parâmetros!E:E,E103),1,0)</f>
        <v>1</v>
      </c>
      <c r="AA103" s="16">
        <f>Y103*Z103*K103</f>
        <v>809.36856</v>
      </c>
      <c r="AB103" s="16">
        <f>(AA103*N103*O103) + (AA103*Q103*R103) + (AA103*T103*U103) + (AA103*W103*X103)</f>
        <v>899.945244</v>
      </c>
      <c r="AC103" s="15">
        <f>IF(F103="Gestor",SUMIFS(AC:AC,A:A,A103,B:B,B103,G:G,D103),
IF(E103="Saving",SUMIFS(Negócios!I:I,Negócios!A:A,A103,Negócios!B:B,B103,Negócios!P:P,D103,Negócios!H:H,"Curso") +
SUMIFS(Negócios!I:I,Negócios!A:A,A103,Negócios!B:B,B103,Negócios!P:P,D103,Negócios!H:H,"Serviço") +
SUMIFS(Negócios!I:I,Negócios!A:A,A103,Negócios!B:B,B103,Negócios!P:P,D103,Negócios!H:H,"Implantação"),
SUMIFS(Negócios!I:I,Negócios!A:A,A103,Negócios!B:B,B103,Negócios!P:P,D103,Negócios!H:H,"Implantação")))</f>
        <v>0</v>
      </c>
      <c r="AD103" s="16">
        <f>SUMIFS(Parâmetros!W:W,Parâmetros!A:A,A103,Parâmetros!B:B,B103,Parâmetros!D:D,D103) * AC103 * IF(K103 &gt;= SUMIFS(Parâmetros!V:V,Parâmetros!A:A,A103,Parâmetros!B:B,B103,Parâmetros!D:D,D103),1,0)</f>
        <v>0</v>
      </c>
      <c r="AE103" s="15">
        <f>SUMIFS('Recuperação de Canc e Divs'!D:D,'Recuperação de Canc e Divs'!A:A,A103,'Recuperação de Canc e Divs'!B:B,B103,'Recuperação de Canc e Divs'!C:C,D103)</f>
        <v>0</v>
      </c>
      <c r="AF103" s="16">
        <f>IF(K103&gt;=SUMIFS(Parâmetros!J:J,Parâmetros!A:A,A103,Parâmetros!B:B,B103,Parâmetros!D:D,D103),AE103*0.025,0)</f>
        <v>0</v>
      </c>
      <c r="AG103" s="15" t="str">
        <f t="shared" si="31"/>
        <v/>
      </c>
      <c r="AH103" s="16" t="str">
        <f t="shared" si="32"/>
        <v/>
      </c>
      <c r="AI103" s="90">
        <f t="shared" si="33"/>
        <v>0</v>
      </c>
      <c r="AJ103" s="16" t="str">
        <f t="shared" si="34"/>
        <v/>
      </c>
      <c r="AK103" s="16" t="str">
        <f t="shared" si="35"/>
        <v/>
      </c>
      <c r="AL103" s="90">
        <f t="shared" si="36"/>
        <v>0</v>
      </c>
      <c r="AM103" s="93" t="str">
        <f>IF(AND(OR(B103=3,B103=6,B103=9,B103=12),AI103&gt;=1),
IF(F103="Gestor",AI103*0.6,AI103*0.3),"")</f>
        <v/>
      </c>
      <c r="AN103" s="94" t="str">
        <f>IF(OR(B103=3,B103=6,B103=9,B103=12),
IF(AND(AL103&gt;=1,AI103&gt;=SUMIFS(Parâmetros!G:G,Parâmetros!A:A,Comissões!A103,Parâmetros!B:B,Comissões!B103,Parâmetros!D:D,Comissões!D103,Parâmetros!E:E,Comissões!E103)),AI103*0.3,""),"")</f>
        <v/>
      </c>
      <c r="AO103" s="16">
        <f t="shared" si="37"/>
        <v>2043.8600000000001</v>
      </c>
      <c r="AP103" s="16">
        <f t="shared" si="38"/>
        <v>1</v>
      </c>
    </row>
    <row r="104" spans="1:42" hidden="1">
      <c r="A104" s="7">
        <v>2026</v>
      </c>
      <c r="B104" s="7">
        <v>4</v>
      </c>
      <c r="C104" s="7" t="str">
        <v>Renata Scheffer</v>
      </c>
      <c r="D104" s="7" t="str">
        <v>renata.scheffer@altoqi.com.br</v>
      </c>
      <c r="E104" s="7" t="str">
        <v>FSB</v>
      </c>
      <c r="F104" s="7" t="str">
        <v>Consultor</v>
      </c>
      <c r="G104" s="7" t="str">
        <v>anderson.ortiz@altoqi.com.br</v>
      </c>
      <c r="H104" s="7" t="str">
        <v>MRR</v>
      </c>
      <c r="I104" s="86" cm="1">
        <f t="array" ref="I104">_xlfn.IFS(
  AND(F104="Consultor",H104="MRR",E104="Farmer"),
    SUMIFS(Negócios!M:M,Negócios!A:A,A104,Negócios!B:B,B104,Negócios!P:P,D104)
    +SUMIFS(Negócios!N:N,Negócios!A:A,A104,Negócios!B:B,B104,Negócios!P:P,D104),
  AND(F104="Consultor",H104="MRR"),
    SUMIFS(Negócios!L:L,Negócios!A:A,A104,Negócios!B:B,B104,Negócios!P:P,D104),
  AND(F104="Consultor",H104="Opps"),
    SUMIFS('Realizado GD'!D:D,'Realizado GD'!A:A,A104,'Realizado GD'!B:B,B104,'Realizado GD'!C:C,D104),
  D104="sonia.zielinski@altoqi.com.br",
    SUM(SUMIFS(Negócios!L:L,Negócios!A:A,A104,Negócios!B:B,B104,Negócios!R:R,{"FSB";"Ares"}))
    +SUMIFS(Negócios!M:M,Negócios!A:A,A104,Negócios!B:B,B104,Negócios!R:R,"Farmer")
    +SUMIFS(Negócios!N:N,Negócios!A:A,A104,Negócios!B:B,B104,Negócios!R:R,"Farmer"),
  OR(
    D104="anderson.ortiz@altoqi.com.br",
    D104="rafael.motta@altoqi.com.br",
    D104="beatriz@altoqi.com.br"
  ),
    SUMIFS(Negócios!L:L,Negócios!A:A,A104,Negócios!B:B,B104,Negócios!R:R,E104),
  AND(F104="Gestor",H104="MRR"),
    SUMIFS(I:I,A:A,A104,B:B,B104,G:G,D104),
  TRUE,
    ""
)</f>
        <v>16729.715</v>
      </c>
      <c r="J104" s="16">
        <f>SUMIFS(Metas!K:K,Metas!A:A,A104,Metas!B:B,B104,Metas!D:D,D104,Metas!H:H,H104)</f>
        <v>10000</v>
      </c>
      <c r="K104" s="10">
        <f t="shared" si="20"/>
        <v>1.6729715000000001</v>
      </c>
      <c r="L104" s="26" t="str" cm="1">
        <f t="array" ref="L104">_xlfn.LET(
 _xlpm.g,_xlfn.MAXIFS(Parâmetros!G:G,Parâmetros!A:A,A104,Parâmetros!B:B,B104,Parâmetros!D:D,D104,Parâmetros!E:E,E104),
 _xlpm.j,_xlfn.MAXIFS(Parâmetros!J:J,Parâmetros!A:A,A104,Parâmetros!B:B,B104,Parâmetros!D:D,D104,Parâmetros!E:E,E104),
 _xlpm.m,_xlfn.MAXIFS(Parâmetros!M:M,Parâmetros!A:A,A104,Parâmetros!B:B,B104,Parâmetros!D:D,D104,Parâmetros!E:E,E104),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/>
      </c>
      <c r="M104" s="28" cm="1">
        <f t="array" ref="M104">_xlfn.IFS(
  AND(F104="Consultor",H104="MRR",E104="Farmer"),
    SUMIFS(Negócios!M:M,Negócios!A:A,A104,Negócios!B:B,B104,Negócios!P:P,D104,Negócios!AG:AG,"À Vista")
    +SUMIFS(Negócios!N:N,Negócios!A:A,A104,Negócios!B:B,B104,Negócios!P:P,D104,Negócios!AG:AG,"À Vista"),
  AND(F104="Consultor",H104="MRR"),
    SUMIFS(Negócios!L:L,Negócios!A:A,A104,Negócios!B:B,B104,Negócios!P:P,D104,Negócios!AG:AG,"À Vista"),
  AND(F104="Consultor",H104="Opps"),
    SUMIFS('Realizado GD'!D:D,'Realizado GD'!A:A,A104,'Realizado GD'!B:B,B104,'Realizado GD'!C:C,D104),
  D104="sonia.zielinski@altoqi.com.br",
    SUM(SUMIFS(Negócios!L:L,Negócios!A:A,A104,Negócios!B:B,B104,Negócios!R:R,{"FSB";"Ares"},Negócios!AG:AG,"À Vista"))
    +SUMIFS(Negócios!M:M,Negócios!A:A,A104,Negócios!B:B,B104,Negócios!R:R,"Farmer",Negócios!AG:AG,"À Vista")
    +SUMIFS(Negócios!N:N,Negócios!A:A,A104,Negócios!B:B,B104,Negócios!R:R,"Farmer",Negócios!AG:AG,"À Vista"),
  OR(
    D104="anderson.ortiz@altoqi.com.br",
    D104="rafael.motta@altoqi.com.br",
    D104="beatriz@altoqi.com.br"
  ),
    SUMIFS(Negócios!L:L,Negócios!A:A,A104,Negócios!B:B,B104,Negócios!R:R,E104,Negócios!AG:AG,"À Vista"),
  AND(F104="Gestor",H104="MRR"),
    SUMIFS(I:I,A:A,A104,B:B,B104,G:G,D104),
  TRUE,
    ""
)</f>
        <v>1110.4950000000001</v>
      </c>
      <c r="N104" s="10">
        <f t="shared" si="21"/>
        <v>6.6378596407649509E-2</v>
      </c>
      <c r="O104" s="30">
        <f>SUMIFS('Acel Form Pag'!D:D,'Acel Form Pag'!A:A,A104,'Acel Form Pag'!B:B,B104,'Acel Form Pag'!C:C,E104)</f>
        <v>1.3</v>
      </c>
      <c r="P104" s="87" cm="1">
        <f t="array" ref="P104">_xlfn.IFS(
  AND(F104="Consultor",H104="MRR",E104="Farmer"),
    SUMIFS(Negócios!M:M,Negócios!A:A,A104,Negócios!B:B,B104,Negócios!P:P,D104,Negócios!AG:AG,"CC 3x")
    +SUMIFS(Negócios!N:N,Negócios!A:A,A104,Negócios!B:B,B104,Negócios!P:P,D104,Negócios!AG:AG,"CC 3x"),
  AND(F104="Consultor",H104="MRR"),
    SUMIFS(Negócios!L:L,Negócios!A:A,A104,Negócios!B:B,B104,Negócios!P:P,D104,Negócios!AG:AG,"CC 3x"),
  AND(F104="Consultor",H104="Opps"),
    SUMIFS('Realizado GD'!D:D,'Realizado GD'!A:A,A104,'Realizado GD'!B:B,B104,'Realizado GD'!C:C,D104),
  D104="sonia.zielinski@altoqi.com.br",
    SUM(SUMIFS(Negócios!L:L,Negócios!A:A,A104,Negócios!B:B,B104,Negócios!R:R,{"FSB";"Ares"},Negócios!AG:AG,"CC 3x"))
    +SUMIFS(Negócios!M:M,Negócios!A:A,A104,Negócios!B:B,B104,Negócios!R:R,"Farmer",Negócios!AG:AG,"CC 3x")
    +SUMIFS(Negócios!N:N,Negócios!A:A,A104,Negócios!B:B,B104,Negócios!R:R,"Farmer",Negócios!AG:AG,"CC 3x"),
  OR(
    D104="anderson.ortiz@altoqi.com.br",
    D104="rafael.motta@altoqi.com.br",
    D104="beatriz@altoqi.com.br"
  ),
    SUMIFS(Negócios!M:M,Negócios!A:A,A104,Negócios!B:B,B104,Negócios!R:R,E104,Negócios!AG:AG,"CC 3x"),
  AND(F104="Gestor",H104="MRR"),
    SUMIFS(I:I,A:A,A104,B:B,B104,G:G,D104),
  TRUE,
    ""
)</f>
        <v>0</v>
      </c>
      <c r="Q104" s="10">
        <f t="shared" si="22"/>
        <v>0</v>
      </c>
      <c r="R104" s="30">
        <f>SUMIFS('Acel Form Pag'!E:E,'Acel Form Pag'!A:A,A104,'Acel Form Pag'!B:B,B104,'Acel Form Pag'!C:C,E104)</f>
        <v>1.1499999999999999</v>
      </c>
      <c r="S104" s="32" cm="1">
        <f t="array" ref="S104">_xlfn.IFS(
  AND(F104="Consultor",H104="MRR",E104="Farmer"),
    SUMIFS(Negócios!M:M,Negócios!A:A,A104,Negócios!B:B,B104,Negócios!P:P,D104,Negócios!AG:AG,"CC 12x")
    +SUMIFS(Negócios!N:N,Negócios!A:A,A104,Negócios!B:B,B104,Negócios!P:P,D104,Negócios!AG:AG,"CC 12x"),
  AND(F104="Consultor",H104="MRR"),
    SUMIFS(Negócios!L:L,Negócios!A:A,A104,Negócios!B:B,B104,Negócios!P:P,D104,Negócios!AG:AG,"CC 12x"),
  AND(F104="Consultor",H104="Opps"),
    SUMIFS('Realizado GD'!D:D,'Realizado GD'!A:A,A104,'Realizado GD'!B:B,B104,'Realizado GD'!C:C,D104),
  D104="sonia.zielinski@altoqi.com.br",
    SUM(SUMIFS(Negócios!L:L,Negócios!A:A,A104,Negócios!B:B,B104,Negócios!R:R,{"FSB";"Ares"},Negócios!AG:AG,"CC 12x"))
    +SUMIFS(Negócios!M:M,Negócios!A:A,A104,Negócios!B:B,B104,Negócios!R:R,"Farmer",Negócios!AG:AG,"CC 12x")
    +SUMIFS(Negócios!N:N,Negócios!A:A,A104,Negócios!B:B,B104,Negócios!R:R,"Farmer",Negócios!AG:AG,"CC 12x"),
  OR(
    D104="anderson.ortiz@altoqi.com.br",
    D104="rafael.motta@altoqi.com.br",
    D104="beatriz@altoqi.com.br"
  ),
    SUMIFS(Negócios!L:L,Negócios!A:A,A104,Negócios!B:B,B104,Negócios!R:R,E104,Negócios!AG:AG,"CC 12x"),
  AND(F104="Gestor",H104="MRR"),
    SUMIFS(I:I,A:A,A104,B:B,B104,G:G,D104),
  TRUE,
    ""
)</f>
        <v>9516.9750000000022</v>
      </c>
      <c r="T104" s="10">
        <f t="shared" si="23"/>
        <v>0.56886653478555982</v>
      </c>
      <c r="U104" s="30">
        <f>SUMIFS('Acel Form Pag'!F:F,'Acel Form Pag'!A:A,A104,'Acel Form Pag'!B:B,B104,'Acel Form Pag'!C:C,E104)</f>
        <v>1.1499999999999999</v>
      </c>
      <c r="V104" s="32" cm="1">
        <f t="array" ref="V104">_xlfn.IFS(
  AND(F104="Consultor",H104="MRR",E104="Farmer"),
    SUMIFS(Negócios!M:M,Negócios!A:A,A104,Negócios!B:B,B104,Negócios!P:P,D104,Negócios!AG:AG,"Recorrente")
    +SUMIFS(Negócios!N:N,Negócios!A:A,A104,Negócios!B:B,B104,Negócios!P:P,D104,Negócios!AG:AG,"Recorrente"),
  AND(F104="Consultor",H104="MRR"),
    SUMIFS(Negócios!L:L,Negócios!A:A,A104,Negócios!B:B,B104,Negócios!P:P,D104,Negócios!AG:AG,"Recorrente"),
  AND(F104="Consultor",H104="Opps"),
    SUMIFS('Realizado GD'!D:D,'Realizado GD'!A:A,A104,'Realizado GD'!B:B,B104,'Realizado GD'!C:C,D104),
  D104="sonia.zielinski@altoqi.com.br",
    SUM(SUMIFS(Negócios!L:L,Negócios!A:A,A104,Negócios!B:B,B104,Negócios!R:R,{"FSB";"Ares"},Negócios!AG:AG,"Recorrente"))
    +SUMIFS(Negócios!M:M,Negócios!A:A,A104,Negócios!B:B,B104,Negócios!R:R,"Farmer",Negócios!AG:AG,"Recorrente")
    +SUMIFS(Negócios!N:N,Negócios!A:A,A104,Negócios!B:B,B104,Negócios!R:R,"Farmer",Negócios!AG:AG,"Recorrente"),
  OR(
    D104="anderson.ortiz@altoqi.com.br",
    D104="rafael.motta@altoqi.com.br",
    D104="beatriz@altoqi.com.br"
  ),
    SUMIFS(Negócios!L:L,Negócios!A:A,A104,Negócios!B:B,B104,Negócios!R:R,E104,Negócios!AG:AG,"Recorrente"),
  AND(F104="Gestor",H104="MRR"),
    SUMIFS(I:I,A:A,A104,B:B,B104,G:G,D104),
  TRUE,
    ""
)</f>
        <v>6102.2450000000008</v>
      </c>
      <c r="W104" s="10">
        <f t="shared" si="24"/>
        <v>0.36475486880679081</v>
      </c>
      <c r="X104" s="34">
        <f>SUMIFS('Acel Form Pag'!G:G,'Acel Form Pag'!A:A,A104,'Acel Form Pag'!B:B,B104,'Acel Form Pag'!C:C,E104)</f>
        <v>1</v>
      </c>
      <c r="Y104" s="24">
        <f>MAX(_xlfn.MAXIFS(Parâmetros!O:O,Parâmetros!A:A,A104,Parâmetros!B:B,B104,Parâmetros!D:D,D104,Parâmetros!M:M,"&lt;="&amp;K104),_xlfn.MAXIFS(Parâmetros!L:L,Parâmetros!A:A,A104,Parâmetros!B:B,B104,Parâmetros!D:D,D104,Parâmetros!J:J,"&lt;="&amp;K104),_xlfn.MAXIFS(Parâmetros!I:I,Parâmetros!A:A,A104,Parâmetros!B:B,B104,Parâmetros!D:D,D104))</f>
        <v>3742.2</v>
      </c>
      <c r="Z104" s="9">
        <f>MAX(_xlfn.MAXIFS(Parâmetros!Q:Q,Parâmetros!A:A,A104,Parâmetros!B:B,B104,Parâmetros!D:D,D104,Parâmetros!E:E,E104,Parâmetros!P:P,"&lt;="&amp;K104),
_xlfn.MAXIFS(Parâmetros!S:S,Parâmetros!A:A,A104,Parâmetros!B:B,B104,Parâmetros!D:D,D104,Parâmetros!E:E,E104,Parâmetros!R:R,"&lt;="&amp;K104),
_xlfn.MAXIFS(Parâmetros!U:U,Parâmetros!A:A,A104,Parâmetros!B:B,B104,Parâmetros!D:D,D104,Parâmetros!E:E,E104,Parâmetros!T:T,"&lt;="&amp;K104),1) * IF(K104 &gt;= SUMIFS(Parâmetros!G:G,Parâmetros!A:A,A104,Parâmetros!B:B,B104,Parâmetros!D:D,D104,Parâmetros!E:E,E104),1,0)</f>
        <v>1.3</v>
      </c>
      <c r="AA104" s="16">
        <f>Y104*Z104*K104</f>
        <v>8138.77213149</v>
      </c>
      <c r="AB104" s="16">
        <f>(AA104*N104*O104) + (AA104*Q104*R104) + (AA104*T104*U104) + (AA104*W104*X104)</f>
        <v>8995.3254776385002</v>
      </c>
      <c r="AC104" s="15">
        <f>IF(F104="Gestor",SUMIFS(AC:AC,A:A,A104,B:B,B104,G:G,D104),
IF(E104="Saving",SUMIFS(Negócios!I:I,Negócios!A:A,A104,Negócios!B:B,B104,Negócios!P:P,D104,Negócios!H:H,"Curso") +
SUMIFS(Negócios!I:I,Negócios!A:A,A104,Negócios!B:B,B104,Negócios!P:P,D104,Negócios!H:H,"Serviço") +
SUMIFS(Negócios!I:I,Negócios!A:A,A104,Negócios!B:B,B104,Negócios!P:P,D104,Negócios!H:H,"Implantação"),
SUMIFS(Negócios!I:I,Negócios!A:A,A104,Negócios!B:B,B104,Negócios!P:P,D104,Negócios!H:H,"Implantação")))</f>
        <v>0</v>
      </c>
      <c r="AD104" s="16">
        <f>SUMIFS(Parâmetros!W:W,Parâmetros!A:A,A104,Parâmetros!B:B,B104,Parâmetros!D:D,D104) * AC104 * IF(K104 &gt;= SUMIFS(Parâmetros!V:V,Parâmetros!A:A,A104,Parâmetros!B:B,B104,Parâmetros!D:D,D104),1,0)</f>
        <v>0</v>
      </c>
      <c r="AE104" s="15">
        <f>SUMIFS('Recuperação de Canc e Divs'!D:D,'Recuperação de Canc e Divs'!A:A,A104,'Recuperação de Canc e Divs'!B:B,B104,'Recuperação de Canc e Divs'!C:C,D104)</f>
        <v>0</v>
      </c>
      <c r="AF104" s="16">
        <f>IF(K104&gt;=SUMIFS(Parâmetros!J:J,Parâmetros!A:A,A104,Parâmetros!B:B,B104,Parâmetros!D:D,D104),AE104*0.025,0)</f>
        <v>0</v>
      </c>
      <c r="AG104" s="15" t="str">
        <f t="shared" si="31"/>
        <v/>
      </c>
      <c r="AH104" s="16" t="str">
        <f t="shared" si="32"/>
        <v/>
      </c>
      <c r="AI104" s="90">
        <f t="shared" si="33"/>
        <v>0</v>
      </c>
      <c r="AJ104" s="16" t="str">
        <f t="shared" si="34"/>
        <v/>
      </c>
      <c r="AK104" s="16" t="str">
        <f t="shared" si="35"/>
        <v/>
      </c>
      <c r="AL104" s="90">
        <f t="shared" si="36"/>
        <v>0</v>
      </c>
      <c r="AM104" s="93" t="str">
        <f>IF(AND(OR(B104=3,B104=6,B104=9,B104=12),AI104&gt;=1),
IF(F104="Gestor",AI104*0.6,AI104*0.3),"")</f>
        <v/>
      </c>
      <c r="AN104" s="94" t="str">
        <f>IF(OR(B104=3,B104=6,B104=9,B104=12),
IF(AND(AL104&gt;=1,AI104&gt;=SUMIFS(Parâmetros!G:G,Parâmetros!A:A,Comissões!A104,Parâmetros!B:B,Comissões!B104,Parâmetros!D:D,Comissões!D104,Parâmetros!E:E,Comissões!E104)),AI104*0.3,""),"")</f>
        <v/>
      </c>
      <c r="AO104" s="16">
        <f t="shared" si="37"/>
        <v>16729.715000000004</v>
      </c>
      <c r="AP104" s="16">
        <f t="shared" si="38"/>
        <v>1.0000000000000002</v>
      </c>
    </row>
    <row r="105" spans="1:42" hidden="1">
      <c r="A105" s="7">
        <v>2026</v>
      </c>
      <c r="B105" s="7">
        <v>4</v>
      </c>
      <c r="C105" s="7" t="str">
        <v>Susana Alves Becker</v>
      </c>
      <c r="D105" s="7" t="str">
        <v>susana.becker@altoqi.com.br</v>
      </c>
      <c r="E105" s="7" t="str">
        <v>FSB</v>
      </c>
      <c r="F105" s="7" t="str">
        <v>Consultor</v>
      </c>
      <c r="G105" s="7" t="str">
        <v>anderson.ortiz@altoqi.com.br</v>
      </c>
      <c r="H105" s="7" t="str">
        <v>MRR</v>
      </c>
      <c r="I105" s="86" cm="1">
        <f t="array" ref="I105">_xlfn.IFS(
  AND(F105="Consultor",H105="MRR",E105="Farmer"),
    SUMIFS(Negócios!M:M,Negócios!A:A,A105,Negócios!B:B,B105,Negócios!P:P,D105)
    +SUMIFS(Negócios!N:N,Negócios!A:A,A105,Negócios!B:B,B105,Negócios!P:P,D105),
  AND(F105="Consultor",H105="MRR"),
    SUMIFS(Negócios!L:L,Negócios!A:A,A105,Negócios!B:B,B105,Negócios!P:P,D105),
  AND(F105="Consultor",H105="Opps"),
    SUMIFS('Realizado GD'!D:D,'Realizado GD'!A:A,A105,'Realizado GD'!B:B,B105,'Realizado GD'!C:C,D105),
  D105="sonia.zielinski@altoqi.com.br",
    SUM(SUMIFS(Negócios!L:L,Negócios!A:A,A105,Negócios!B:B,B105,Negócios!R:R,{"FSB";"Ares"}))
    +SUMIFS(Negócios!M:M,Negócios!A:A,A105,Negócios!B:B,B105,Negócios!R:R,"Farmer")
    +SUMIFS(Negócios!N:N,Negócios!A:A,A105,Negócios!B:B,B105,Negócios!R:R,"Farmer"),
  OR(
    D105="anderson.ortiz@altoqi.com.br",
    D105="rafael.motta@altoqi.com.br",
    D105="beatriz@altoqi.com.br"
  ),
    SUMIFS(Negócios!L:L,Negócios!A:A,A105,Negócios!B:B,B105,Negócios!R:R,E105),
  AND(F105="Gestor",H105="MRR"),
    SUMIFS(I:I,A:A,A105,B:B,B105,G:G,D105),
  TRUE,
    ""
)</f>
        <v>14993.917919999998</v>
      </c>
      <c r="J105" s="16">
        <f>SUMIFS(Metas!K:K,Metas!A:A,A105,Metas!B:B,B105,Metas!D:D,D105,Metas!H:H,H105)</f>
        <v>11000</v>
      </c>
      <c r="K105" s="10">
        <f t="shared" si="20"/>
        <v>1.3630834472727271</v>
      </c>
      <c r="L105" s="26" t="str" cm="1">
        <f t="array" ref="L105">_xlfn.LET(
 _xlpm.g,_xlfn.MAXIFS(Parâmetros!G:G,Parâmetros!A:A,A105,Parâmetros!B:B,B105,Parâmetros!D:D,D105,Parâmetros!E:E,E105),
 _xlpm.j,_xlfn.MAXIFS(Parâmetros!J:J,Parâmetros!A:A,A105,Parâmetros!B:B,B105,Parâmetros!D:D,D105,Parâmetros!E:E,E105),
 _xlpm.m,_xlfn.MAXIFS(Parâmetros!M:M,Parâmetros!A:A,A105,Parâmetros!B:B,B105,Parâmetros!D:D,D105,Parâmetros!E:E,E105),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/>
      </c>
      <c r="M105" s="28" cm="1">
        <f t="array" ref="M105">_xlfn.IFS(
  AND(F105="Consultor",H105="MRR",E105="Farmer"),
    SUMIFS(Negócios!M:M,Negócios!A:A,A105,Negócios!B:B,B105,Negócios!P:P,D105,Negócios!AG:AG,"À Vista")
    +SUMIFS(Negócios!N:N,Negócios!A:A,A105,Negócios!B:B,B105,Negócios!P:P,D105,Negócios!AG:AG,"À Vista"),
  AND(F105="Consultor",H105="MRR"),
    SUMIFS(Negócios!L:L,Negócios!A:A,A105,Negócios!B:B,B105,Negócios!P:P,D105,Negócios!AG:AG,"À Vista"),
  AND(F105="Consultor",H105="Opps"),
    SUMIFS('Realizado GD'!D:D,'Realizado GD'!A:A,A105,'Realizado GD'!B:B,B105,'Realizado GD'!C:C,D105),
  D105="sonia.zielinski@altoqi.com.br",
    SUM(SUMIFS(Negócios!L:L,Negócios!A:A,A105,Negócios!B:B,B105,Negócios!R:R,{"FSB";"Ares"},Negócios!AG:AG,"À Vista"))
    +SUMIFS(Negócios!M:M,Negócios!A:A,A105,Negócios!B:B,B105,Negócios!R:R,"Farmer",Negócios!AG:AG,"À Vista")
    +SUMIFS(Negócios!N:N,Negócios!A:A,A105,Negócios!B:B,B105,Negócios!R:R,"Farmer",Negócios!AG:AG,"À Vista"),
  OR(
    D105="anderson.ortiz@altoqi.com.br",
    D105="rafael.motta@altoqi.com.br",
    D105="beatriz@altoqi.com.br"
  ),
    SUMIFS(Negócios!L:L,Negócios!A:A,A105,Negócios!B:B,B105,Negócios!R:R,E105,Negócios!AG:AG,"À Vista"),
  AND(F105="Gestor",H105="MRR"),
    SUMIFS(I:I,A:A,A105,B:B,B105,G:G,D105),
  TRUE,
    ""
)</f>
        <v>1605.08071</v>
      </c>
      <c r="N105" s="10">
        <f t="shared" si="21"/>
        <v>0.10704878595200421</v>
      </c>
      <c r="O105" s="30">
        <f>SUMIFS('Acel Form Pag'!D:D,'Acel Form Pag'!A:A,A105,'Acel Form Pag'!B:B,B105,'Acel Form Pag'!C:C,E105)</f>
        <v>1.3</v>
      </c>
      <c r="P105" s="87" cm="1">
        <f t="array" ref="P105">_xlfn.IFS(
  AND(F105="Consultor",H105="MRR",E105="Farmer"),
    SUMIFS(Negócios!M:M,Negócios!A:A,A105,Negócios!B:B,B105,Negócios!P:P,D105,Negócios!AG:AG,"CC 3x")
    +SUMIFS(Negócios!N:N,Negócios!A:A,A105,Negócios!B:B,B105,Negócios!P:P,D105,Negócios!AG:AG,"CC 3x"),
  AND(F105="Consultor",H105="MRR"),
    SUMIFS(Negócios!L:L,Negócios!A:A,A105,Negócios!B:B,B105,Negócios!P:P,D105,Negócios!AG:AG,"CC 3x"),
  AND(F105="Consultor",H105="Opps"),
    SUMIFS('Realizado GD'!D:D,'Realizado GD'!A:A,A105,'Realizado GD'!B:B,B105,'Realizado GD'!C:C,D105),
  D105="sonia.zielinski@altoqi.com.br",
    SUM(SUMIFS(Negócios!L:L,Negócios!A:A,A105,Negócios!B:B,B105,Negócios!R:R,{"FSB";"Ares"},Negócios!AG:AG,"CC 3x"))
    +SUMIFS(Negócios!M:M,Negócios!A:A,A105,Negócios!B:B,B105,Negócios!R:R,"Farmer",Negócios!AG:AG,"CC 3x")
    +SUMIFS(Negócios!N:N,Negócios!A:A,A105,Negócios!B:B,B105,Negócios!R:R,"Farmer",Negócios!AG:AG,"CC 3x"),
  OR(
    D105="anderson.ortiz@altoqi.com.br",
    D105="rafael.motta@altoqi.com.br",
    D105="beatriz@altoqi.com.br"
  ),
    SUMIFS(Negócios!M:M,Negócios!A:A,A105,Negócios!B:B,B105,Negócios!R:R,E105,Negócios!AG:AG,"CC 3x"),
  AND(F105="Gestor",H105="MRR"),
    SUMIFS(I:I,A:A,A105,B:B,B105,G:G,D105),
  TRUE,
    ""
)</f>
        <v>0</v>
      </c>
      <c r="Q105" s="10">
        <f t="shared" si="22"/>
        <v>0</v>
      </c>
      <c r="R105" s="30">
        <f>SUMIFS('Acel Form Pag'!E:E,'Acel Form Pag'!A:A,A105,'Acel Form Pag'!B:B,B105,'Acel Form Pag'!C:C,E105)</f>
        <v>1.1499999999999999</v>
      </c>
      <c r="S105" s="32" cm="1">
        <f t="array" ref="S105">_xlfn.IFS(
  AND(F105="Consultor",H105="MRR",E105="Farmer"),
    SUMIFS(Negócios!M:M,Negócios!A:A,A105,Negócios!B:B,B105,Negócios!P:P,D105,Negócios!AG:AG,"CC 12x")
    +SUMIFS(Negócios!N:N,Negócios!A:A,A105,Negócios!B:B,B105,Negócios!P:P,D105,Negócios!AG:AG,"CC 12x"),
  AND(F105="Consultor",H105="MRR"),
    SUMIFS(Negócios!L:L,Negócios!A:A,A105,Negócios!B:B,B105,Negócios!P:P,D105,Negócios!AG:AG,"CC 12x"),
  AND(F105="Consultor",H105="Opps"),
    SUMIFS('Realizado GD'!D:D,'Realizado GD'!A:A,A105,'Realizado GD'!B:B,B105,'Realizado GD'!C:C,D105),
  D105="sonia.zielinski@altoqi.com.br",
    SUM(SUMIFS(Negócios!L:L,Negócios!A:A,A105,Negócios!B:B,B105,Negócios!R:R,{"FSB";"Ares"},Negócios!AG:AG,"CC 12x"))
    +SUMIFS(Negócios!M:M,Negócios!A:A,A105,Negócios!B:B,B105,Negócios!R:R,"Farmer",Negócios!AG:AG,"CC 12x")
    +SUMIFS(Negócios!N:N,Negócios!A:A,A105,Negócios!B:B,B105,Negócios!R:R,"Farmer",Negócios!AG:AG,"CC 12x"),
  OR(
    D105="anderson.ortiz@altoqi.com.br",
    D105="rafael.motta@altoqi.com.br",
    D105="beatriz@altoqi.com.br"
  ),
    SUMIFS(Negócios!L:L,Negócios!A:A,A105,Negócios!B:B,B105,Negócios!R:R,E105,Negócios!AG:AG,"CC 12x"),
  AND(F105="Gestor",H105="MRR"),
    SUMIFS(I:I,A:A,A105,B:B,B105,G:G,D105),
  TRUE,
    ""
)</f>
        <v>5102.4722100000008</v>
      </c>
      <c r="T105" s="10">
        <f t="shared" si="23"/>
        <v>0.34030279725580903</v>
      </c>
      <c r="U105" s="30">
        <f>SUMIFS('Acel Form Pag'!F:F,'Acel Form Pag'!A:A,A105,'Acel Form Pag'!B:B,B105,'Acel Form Pag'!C:C,E105)</f>
        <v>1.1499999999999999</v>
      </c>
      <c r="V105" s="32" cm="1">
        <f t="array" ref="V105">_xlfn.IFS(
  AND(F105="Consultor",H105="MRR",E105="Farmer"),
    SUMIFS(Negócios!M:M,Negócios!A:A,A105,Negócios!B:B,B105,Negócios!P:P,D105,Negócios!AG:AG,"Recorrente")
    +SUMIFS(Negócios!N:N,Negócios!A:A,A105,Negócios!B:B,B105,Negócios!P:P,D105,Negócios!AG:AG,"Recorrente"),
  AND(F105="Consultor",H105="MRR"),
    SUMIFS(Negócios!L:L,Negócios!A:A,A105,Negócios!B:B,B105,Negócios!P:P,D105,Negócios!AG:AG,"Recorrente"),
  AND(F105="Consultor",H105="Opps"),
    SUMIFS('Realizado GD'!D:D,'Realizado GD'!A:A,A105,'Realizado GD'!B:B,B105,'Realizado GD'!C:C,D105),
  D105="sonia.zielinski@altoqi.com.br",
    SUM(SUMIFS(Negócios!L:L,Negócios!A:A,A105,Negócios!B:B,B105,Negócios!R:R,{"FSB";"Ares"},Negócios!AG:AG,"Recorrente"))
    +SUMIFS(Negócios!M:M,Negócios!A:A,A105,Negócios!B:B,B105,Negócios!R:R,"Farmer",Negócios!AG:AG,"Recorrente")
    +SUMIFS(Negócios!N:N,Negócios!A:A,A105,Negócios!B:B,B105,Negócios!R:R,"Farmer",Negócios!AG:AG,"Recorrente"),
  OR(
    D105="anderson.ortiz@altoqi.com.br",
    D105="rafael.motta@altoqi.com.br",
    D105="beatriz@altoqi.com.br"
  ),
    SUMIFS(Negócios!L:L,Negócios!A:A,A105,Negócios!B:B,B105,Negócios!R:R,E105,Negócios!AG:AG,"Recorrente"),
  AND(F105="Gestor",H105="MRR"),
    SUMIFS(I:I,A:A,A105,B:B,B105,G:G,D105),
  TRUE,
    ""
)</f>
        <v>8286.3649999999998</v>
      </c>
      <c r="W105" s="10">
        <f t="shared" si="24"/>
        <v>0.5526484167921869</v>
      </c>
      <c r="X105" s="34">
        <f>SUMIFS('Acel Form Pag'!G:G,'Acel Form Pag'!A:A,A105,'Acel Form Pag'!B:B,B105,'Acel Form Pag'!C:C,E105)</f>
        <v>1</v>
      </c>
      <c r="Y105" s="24">
        <f>MAX(_xlfn.MAXIFS(Parâmetros!O:O,Parâmetros!A:A,A105,Parâmetros!B:B,B105,Parâmetros!D:D,D105,Parâmetros!M:M,"&lt;="&amp;K105),_xlfn.MAXIFS(Parâmetros!L:L,Parâmetros!A:A,A105,Parâmetros!B:B,B105,Parâmetros!D:D,D105,Parâmetros!J:J,"&lt;="&amp;K105),_xlfn.MAXIFS(Parâmetros!I:I,Parâmetros!A:A,A105,Parâmetros!B:B,B105,Parâmetros!D:D,D105))</f>
        <v>4356</v>
      </c>
      <c r="Z105" s="9">
        <f>MAX(_xlfn.MAXIFS(Parâmetros!Q:Q,Parâmetros!A:A,A105,Parâmetros!B:B,B105,Parâmetros!D:D,D105,Parâmetros!E:E,E105,Parâmetros!P:P,"&lt;="&amp;K105),
_xlfn.MAXIFS(Parâmetros!S:S,Parâmetros!A:A,A105,Parâmetros!B:B,B105,Parâmetros!D:D,D105,Parâmetros!E:E,E105,Parâmetros!R:R,"&lt;="&amp;K105),
_xlfn.MAXIFS(Parâmetros!U:U,Parâmetros!A:A,A105,Parâmetros!B:B,B105,Parâmetros!D:D,D105,Parâmetros!E:E,E105,Parâmetros!T:T,"&lt;="&amp;K105),1) * IF(K105 &gt;= SUMIFS(Parâmetros!G:G,Parâmetros!A:A,A105,Parâmetros!B:B,B105,Parâmetros!D:D,D105,Parâmetros!E:E,E105),1,0)</f>
        <v>1.3</v>
      </c>
      <c r="AA105" s="16">
        <f>Y105*Z105*K105</f>
        <v>7718.8689452159997</v>
      </c>
      <c r="AB105" s="16">
        <f>(AA105*N105*O105) + (AA105*Q105*R105) + (AA105*T105*U105) + (AA105*W105*X105)</f>
        <v>8360.7705141246006</v>
      </c>
      <c r="AC105" s="15">
        <f>IF(F105="Gestor",SUMIFS(AC:AC,A:A,A105,B:B,B105,G:G,D105),
IF(E105="Saving",SUMIFS(Negócios!I:I,Negócios!A:A,A105,Negócios!B:B,B105,Negócios!P:P,D105,Negócios!H:H,"Curso") +
SUMIFS(Negócios!I:I,Negócios!A:A,A105,Negócios!B:B,B105,Negócios!P:P,D105,Negócios!H:H,"Serviço") +
SUMIFS(Negócios!I:I,Negócios!A:A,A105,Negócios!B:B,B105,Negócios!P:P,D105,Negócios!H:H,"Implantação"),
SUMIFS(Negócios!I:I,Negócios!A:A,A105,Negócios!B:B,B105,Negócios!P:P,D105,Negócios!H:H,"Implantação")))</f>
        <v>0</v>
      </c>
      <c r="AD105" s="16">
        <f>SUMIFS(Parâmetros!W:W,Parâmetros!A:A,A105,Parâmetros!B:B,B105,Parâmetros!D:D,D105) * AC105 * IF(K105 &gt;= SUMIFS(Parâmetros!V:V,Parâmetros!A:A,A105,Parâmetros!B:B,B105,Parâmetros!D:D,D105),1,0)</f>
        <v>0</v>
      </c>
      <c r="AE105" s="15">
        <f>SUMIFS('Recuperação de Canc e Divs'!D:D,'Recuperação de Canc e Divs'!A:A,A105,'Recuperação de Canc e Divs'!B:B,B105,'Recuperação de Canc e Divs'!C:C,D105)</f>
        <v>0</v>
      </c>
      <c r="AF105" s="16">
        <f>IF(K105&gt;=SUMIFS(Parâmetros!J:J,Parâmetros!A:A,A105,Parâmetros!B:B,B105,Parâmetros!D:D,D105),AE105*0.025,0)</f>
        <v>0</v>
      </c>
      <c r="AG105" s="15" t="str">
        <f t="shared" si="31"/>
        <v/>
      </c>
      <c r="AH105" s="16" t="str">
        <f t="shared" si="32"/>
        <v/>
      </c>
      <c r="AI105" s="90">
        <f t="shared" si="33"/>
        <v>0</v>
      </c>
      <c r="AJ105" s="16" t="str">
        <f t="shared" si="34"/>
        <v/>
      </c>
      <c r="AK105" s="16" t="str">
        <f t="shared" si="35"/>
        <v/>
      </c>
      <c r="AL105" s="90">
        <f t="shared" si="36"/>
        <v>0</v>
      </c>
      <c r="AM105" s="93" t="str">
        <f>IF(AND(OR(B105=3,B105=6,B105=9,B105=12),AI105&gt;=1),
IF(F105="Gestor",AI105*0.6,AI105*0.3),"")</f>
        <v/>
      </c>
      <c r="AN105" s="94" t="str">
        <f>IF(OR(B105=3,B105=6,B105=9,B105=12),
IF(AND(AL105&gt;=1,AI105&gt;=SUMIFS(Parâmetros!G:G,Parâmetros!A:A,Comissões!A105,Parâmetros!B:B,Comissões!B105,Parâmetros!D:D,Comissões!D105,Parâmetros!E:E,Comissões!E105)),AI105*0.3,""),"")</f>
        <v/>
      </c>
      <c r="AO105" s="16">
        <f t="shared" si="37"/>
        <v>14993.91792</v>
      </c>
      <c r="AP105" s="16">
        <f t="shared" si="38"/>
        <v>1</v>
      </c>
    </row>
    <row r="106" spans="1:42" hidden="1">
      <c r="A106" s="7">
        <v>2026</v>
      </c>
      <c r="B106" s="7">
        <v>4</v>
      </c>
      <c r="C106" s="7" t="str">
        <v>Beatriz Nau</v>
      </c>
      <c r="D106" s="7" t="str">
        <v>beatriz@altoqi.com.br</v>
      </c>
      <c r="E106" s="7" t="str">
        <v>Saving</v>
      </c>
      <c r="F106" s="7" t="str">
        <v>Gestor</v>
      </c>
      <c r="G106" s="7">
        <v>0</v>
      </c>
      <c r="H106" s="7" t="str">
        <v>MRR</v>
      </c>
      <c r="I106" s="86" cm="1">
        <f t="array" ref="I106">_xlfn.IFS(
  AND(F106="Consultor",H106="MRR",E106="Farmer"),
    SUMIFS(Negócios!M:M,Negócios!A:A,A106,Negócios!B:B,B106,Negócios!P:P,D106)
    +SUMIFS(Negócios!N:N,Negócios!A:A,A106,Negócios!B:B,B106,Negócios!P:P,D106),
  AND(F106="Consultor",H106="MRR"),
    SUMIFS(Negócios!L:L,Negócios!A:A,A106,Negócios!B:B,B106,Negócios!P:P,D106),
  AND(F106="Consultor",H106="Opps"),
    SUMIFS('Realizado GD'!D:D,'Realizado GD'!A:A,A106,'Realizado GD'!B:B,B106,'Realizado GD'!C:C,D106),
  D106="sonia.zielinski@altoqi.com.br",
    SUM(SUMIFS(Negócios!L:L,Negócios!A:A,A106,Negócios!B:B,B106,Negócios!R:R,{"FSB";"Ares"}))
    +SUMIFS(Negócios!M:M,Negócios!A:A,A106,Negócios!B:B,B106,Negócios!R:R,"Farmer")
    +SUMIFS(Negócios!N:N,Negócios!A:A,A106,Negócios!B:B,B106,Negócios!R:R,"Farmer"),
  OR(
    D106="anderson.ortiz@altoqi.com.br",
    D106="rafael.motta@altoqi.com.br",
    D106="beatriz@altoqi.com.br"
  ),
    SUMIFS(Negócios!L:L,Negócios!A:A,A106,Negócios!B:B,B106,Negócios!R:R,E106),
  AND(F106="Gestor",H106="MRR"),
    SUMIFS(I:I,A:A,A106,B:B,B106,G:G,D106),
  TRUE,
    ""
)</f>
        <v>124244.16300000023</v>
      </c>
      <c r="J106" s="16">
        <f>SUMIFS(Metas!K:K,Metas!A:A,A106,Metas!B:B,B106,Metas!D:D,D106,Metas!H:H,H106)</f>
        <v>102138</v>
      </c>
      <c r="K106" s="10">
        <f t="shared" ref="K86:K113" si="39">IFERROR(I106/J106,0)</f>
        <v>1.2164342654056299</v>
      </c>
      <c r="L106" s="26" t="str" cm="1">
        <f t="array" ref="L106">_xlfn.LET(
 _xlpm.g,_xlfn.MAXIFS(Parâmetros!G:G,Parâmetros!A:A,A106,Parâmetros!B:B,B106,Parâmetros!D:D,D106,Parâmetros!E:E,E106),
 _xlpm.j,_xlfn.MAXIFS(Parâmetros!J:J,Parâmetros!A:A,A106,Parâmetros!B:B,B106,Parâmetros!D:D,D106,Parâmetros!E:E,E106),
 _xlpm.m,_xlfn.MAXIFS(Parâmetros!M:M,Parâmetros!A:A,A106,Parâmetros!B:B,B106,Parâmetros!D:D,D106,Parâmetros!E:E,E106),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60,00%</v>
      </c>
      <c r="M106" s="28" cm="1">
        <f t="array" ref="M106">_xlfn.IFS(
  AND(F106="Consultor",H106="MRR",E106="Farmer"),
    SUMIFS(Negócios!M:M,Negócios!A:A,A106,Negócios!B:B,B106,Negócios!P:P,D106,Negócios!AG:AG,"À Vista")
    +SUMIFS(Negócios!N:N,Negócios!A:A,A106,Negócios!B:B,B106,Negócios!P:P,D106,Negócios!AG:AG,"À Vista"),
  AND(F106="Consultor",H106="MRR"),
    SUMIFS(Negócios!L:L,Negócios!A:A,A106,Negócios!B:B,B106,Negócios!P:P,D106,Negócios!AG:AG,"À Vista"),
  AND(F106="Consultor",H106="Opps"),
    SUMIFS('Realizado GD'!D:D,'Realizado GD'!A:A,A106,'Realizado GD'!B:B,B106,'Realizado GD'!C:C,D106),
  D106="sonia.zielinski@altoqi.com.br",
    SUM(SUMIFS(Negócios!L:L,Negócios!A:A,A106,Negócios!B:B,B106,Negócios!R:R,{"FSB";"Ares"},Negócios!AG:AG,"À Vista"))
    +SUMIFS(Negócios!M:M,Negócios!A:A,A106,Negócios!B:B,B106,Negócios!R:R,"Farmer",Negócios!AG:AG,"À Vista")
    +SUMIFS(Negócios!N:N,Negócios!A:A,A106,Negócios!B:B,B106,Negócios!R:R,"Farmer",Negócios!AG:AG,"À Vista"),
  OR(
    D106="anderson.ortiz@altoqi.com.br",
    D106="rafael.motta@altoqi.com.br",
    D106="beatriz@altoqi.com.br"
  ),
    SUMIFS(Negócios!L:L,Negócios!A:A,A106,Negócios!B:B,B106,Negócios!R:R,E106,Negócios!AG:AG,"À Vista"),
  AND(F106="Gestor",H106="MRR"),
    SUMIFS(I:I,A:A,A106,B:B,B106,G:G,D106),
  TRUE,
    ""
)</f>
        <v>16342.212999999996</v>
      </c>
      <c r="N106" s="10">
        <f t="shared" ref="N100:N114" si="40">IFERROR(M106/$I106,0)</f>
        <v>0.13153304433303611</v>
      </c>
      <c r="O106" s="30">
        <f>SUMIFS('Acel Form Pag'!D:D,'Acel Form Pag'!A:A,A106,'Acel Form Pag'!B:B,B106,'Acel Form Pag'!C:C,E106)</f>
        <v>0</v>
      </c>
      <c r="P106" s="87" cm="1">
        <f t="array" ref="P106">_xlfn.IFS(
  AND(F106="Consultor",H106="MRR",E106="Farmer"),
    SUMIFS(Negócios!M:M,Negócios!A:A,A106,Negócios!B:B,B106,Negócios!P:P,D106,Negócios!AG:AG,"CC 3x")
    +SUMIFS(Negócios!N:N,Negócios!A:A,A106,Negócios!B:B,B106,Negócios!P:P,D106,Negócios!AG:AG,"CC 3x"),
  AND(F106="Consultor",H106="MRR"),
    SUMIFS(Negócios!L:L,Negócios!A:A,A106,Negócios!B:B,B106,Negócios!P:P,D106,Negócios!AG:AG,"CC 3x"),
  AND(F106="Consultor",H106="Opps"),
    SUMIFS('Realizado GD'!D:D,'Realizado GD'!A:A,A106,'Realizado GD'!B:B,B106,'Realizado GD'!C:C,D106),
  D106="sonia.zielinski@altoqi.com.br",
    SUM(SUMIFS(Negócios!L:L,Negócios!A:A,A106,Negócios!B:B,B106,Negócios!R:R,{"FSB";"Ares"},Negócios!AG:AG,"CC 3x"))
    +SUMIFS(Negócios!M:M,Negócios!A:A,A106,Negócios!B:B,B106,Negócios!R:R,"Farmer",Negócios!AG:AG,"CC 3x")
    +SUMIFS(Negócios!N:N,Negócios!A:A,A106,Negócios!B:B,B106,Negócios!R:R,"Farmer",Negócios!AG:AG,"CC 3x"),
  OR(
    D106="anderson.ortiz@altoqi.com.br",
    D106="rafael.motta@altoqi.com.br",
    D106="beatriz@altoqi.com.br"
  ),
    SUMIFS(Negócios!M:M,Negócios!A:A,A106,Negócios!B:B,B106,Negócios!R:R,E106,Negócios!AG:AG,"CC 3x"),
  AND(F106="Gestor",H106="MRR"),
    SUMIFS(I:I,A:A,A106,B:B,B106,G:G,D106),
  TRUE,
    ""
)</f>
        <v>0</v>
      </c>
      <c r="Q106" s="10">
        <f t="shared" ref="Q100:Q114" si="41">IFERROR(P106/$I106,0)</f>
        <v>0</v>
      </c>
      <c r="R106" s="30">
        <f>SUMIFS('Acel Form Pag'!E:E,'Acel Form Pag'!A:A,A106,'Acel Form Pag'!B:B,B106,'Acel Form Pag'!C:C,E106)</f>
        <v>0</v>
      </c>
      <c r="S106" s="32" cm="1">
        <f t="array" ref="S106">_xlfn.IFS(
  AND(F106="Consultor",H106="MRR",E106="Farmer"),
    SUMIFS(Negócios!M:M,Negócios!A:A,A106,Negócios!B:B,B106,Negócios!P:P,D106,Negócios!AG:AG,"CC 12x")
    +SUMIFS(Negócios!N:N,Negócios!A:A,A106,Negócios!B:B,B106,Negócios!P:P,D106,Negócios!AG:AG,"CC 12x"),
  AND(F106="Consultor",H106="MRR"),
    SUMIFS(Negócios!L:L,Negócios!A:A,A106,Negócios!B:B,B106,Negócios!P:P,D106,Negócios!AG:AG,"CC 12x"),
  AND(F106="Consultor",H106="Opps"),
    SUMIFS('Realizado GD'!D:D,'Realizado GD'!A:A,A106,'Realizado GD'!B:B,B106,'Realizado GD'!C:C,D106),
  D106="sonia.zielinski@altoqi.com.br",
    SUM(SUMIFS(Negócios!L:L,Negócios!A:A,A106,Negócios!B:B,B106,Negócios!R:R,{"FSB";"Ares"},Negócios!AG:AG,"CC 12x"))
    +SUMIFS(Negócios!M:M,Negócios!A:A,A106,Negócios!B:B,B106,Negócios!R:R,"Farmer",Negócios!AG:AG,"CC 12x")
    +SUMIFS(Negócios!N:N,Negócios!A:A,A106,Negócios!B:B,B106,Negócios!R:R,"Farmer",Negócios!AG:AG,"CC 12x"),
  OR(
    D106="anderson.ortiz@altoqi.com.br",
    D106="rafael.motta@altoqi.com.br",
    D106="beatriz@altoqi.com.br"
  ),
    SUMIFS(Negócios!L:L,Negócios!A:A,A106,Negócios!B:B,B106,Negócios!R:R,E106,Negócios!AG:AG,"CC 12x"),
  AND(F106="Gestor",H106="MRR"),
    SUMIFS(I:I,A:A,A106,B:B,B106,G:G,D106),
  TRUE,
    ""
)</f>
        <v>44521.990000000013</v>
      </c>
      <c r="T106" s="10">
        <f t="shared" ref="T100:T114" si="42">IFERROR(S106/$I106,0)</f>
        <v>0.35834270942772523</v>
      </c>
      <c r="U106" s="30">
        <f>SUMIFS('Acel Form Pag'!F:F,'Acel Form Pag'!A:A,A106,'Acel Form Pag'!B:B,B106,'Acel Form Pag'!C:C,E106)</f>
        <v>0</v>
      </c>
      <c r="V106" s="32" cm="1">
        <f t="array" ref="V106">_xlfn.IFS(
  AND(F106="Consultor",H106="MRR",E106="Farmer"),
    SUMIFS(Negócios!M:M,Negócios!A:A,A106,Negócios!B:B,B106,Negócios!P:P,D106,Negócios!AG:AG,"Recorrente")
    +SUMIFS(Negócios!N:N,Negócios!A:A,A106,Negócios!B:B,B106,Negócios!P:P,D106,Negócios!AG:AG,"Recorrente"),
  AND(F106="Consultor",H106="MRR"),
    SUMIFS(Negócios!L:L,Negócios!A:A,A106,Negócios!B:B,B106,Negócios!P:P,D106,Negócios!AG:AG,"Recorrente"),
  AND(F106="Consultor",H106="Opps"),
    SUMIFS('Realizado GD'!D:D,'Realizado GD'!A:A,A106,'Realizado GD'!B:B,B106,'Realizado GD'!C:C,D106),
  D106="sonia.zielinski@altoqi.com.br",
    SUM(SUMIFS(Negócios!L:L,Negócios!A:A,A106,Negócios!B:B,B106,Negócios!R:R,{"FSB";"Ares"},Negócios!AG:AG,"Recorrente"))
    +SUMIFS(Negócios!M:M,Negócios!A:A,A106,Negócios!B:B,B106,Negócios!R:R,"Farmer",Negócios!AG:AG,"Recorrente")
    +SUMIFS(Negócios!N:N,Negócios!A:A,A106,Negócios!B:B,B106,Negócios!R:R,"Farmer",Negócios!AG:AG,"Recorrente"),
  OR(
    D106="anderson.ortiz@altoqi.com.br",
    D106="rafael.motta@altoqi.com.br",
    D106="beatriz@altoqi.com.br"
  ),
    SUMIFS(Negócios!L:L,Negócios!A:A,A106,Negócios!B:B,B106,Negócios!R:R,E106,Negócios!AG:AG,"Recorrente"),
  AND(F106="Gestor",H106="MRR"),
    SUMIFS(I:I,A:A,A106,B:B,B106,G:G,D106),
  TRUE,
    ""
)</f>
        <v>62868.170000000035</v>
      </c>
      <c r="W106" s="10">
        <f t="shared" ref="W100:W114" si="43">IFERROR(V106/$I106,0)</f>
        <v>0.50600501852147306</v>
      </c>
      <c r="X106" s="34">
        <f>SUMIFS('Acel Form Pag'!G:G,'Acel Form Pag'!A:A,A106,'Acel Form Pag'!B:B,B106,'Acel Form Pag'!C:C,E106)</f>
        <v>0</v>
      </c>
      <c r="Y106" s="24">
        <f>MAX(_xlfn.MAXIFS(Parâmetros!O:O,Parâmetros!A:A,A106,Parâmetros!B:B,B106,Parâmetros!D:D,D106,Parâmetros!M:M,"&lt;="&amp;K106),_xlfn.MAXIFS(Parâmetros!L:L,Parâmetros!A:A,A106,Parâmetros!B:B,B106,Parâmetros!D:D,D106,Parâmetros!J:J,"&lt;="&amp;K106),_xlfn.MAXIFS(Parâmetros!I:I,Parâmetros!A:A,A106,Parâmetros!B:B,B106,Parâmetros!D:D,D106))</f>
        <v>12000</v>
      </c>
      <c r="Z106" s="9">
        <f>MAX(_xlfn.MAXIFS(Parâmetros!Q:Q,Parâmetros!A:A,A106,Parâmetros!B:B,B106,Parâmetros!D:D,D106,Parâmetros!E:E,E106,Parâmetros!P:P,"&lt;="&amp;K106),
_xlfn.MAXIFS(Parâmetros!S:S,Parâmetros!A:A,A106,Parâmetros!B:B,B106,Parâmetros!D:D,D106,Parâmetros!E:E,E106,Parâmetros!R:R,"&lt;="&amp;K106),
_xlfn.MAXIFS(Parâmetros!U:U,Parâmetros!A:A,A106,Parâmetros!B:B,B106,Parâmetros!D:D,D106,Parâmetros!E:E,E106,Parâmetros!T:T,"&lt;="&amp;K106),1) * IF(K106 &gt;= SUMIFS(Parâmetros!G:G,Parâmetros!A:A,A106,Parâmetros!B:B,B106,Parâmetros!D:D,D106,Parâmetros!E:E,E106),1,0)</f>
        <v>1</v>
      </c>
      <c r="AA106" s="16">
        <f>Y106*Z106*K106</f>
        <v>14597.211184867559</v>
      </c>
      <c r="AB106" s="16">
        <f>(AA106*N106*O106) + (AA106*Q106*R106) + (AA106*T106*U106) + (AA106*W106*X106)</f>
        <v>0</v>
      </c>
      <c r="AC106" s="15">
        <f>IF(F106="Gestor",SUMIFS(AC:AC,A:A,A106,B:B,B106,G:G,D106),
IF(E106="Saving",SUMIFS(Negócios!I:I,Negócios!A:A,A106,Negócios!B:B,B106,Negócios!P:P,D106,Negócios!H:H,"Curso") +
SUMIFS(Negócios!I:I,Negócios!A:A,A106,Negócios!B:B,B106,Negócios!P:P,D106,Negócios!H:H,"Serviço") +
SUMIFS(Negócios!I:I,Negócios!A:A,A106,Negócios!B:B,B106,Negócios!P:P,D106,Negócios!H:H,"Implantação"),
SUMIFS(Negócios!I:I,Negócios!A:A,A106,Negócios!B:B,B106,Negócios!P:P,D106,Negócios!H:H,"Implantação")))</f>
        <v>0</v>
      </c>
      <c r="AD106" s="16">
        <f>SUMIFS(Parâmetros!W:W,Parâmetros!A:A,A106,Parâmetros!B:B,B106,Parâmetros!D:D,D106) * AC106 * IF(K106 &gt;= SUMIFS(Parâmetros!V:V,Parâmetros!A:A,A106,Parâmetros!B:B,B106,Parâmetros!D:D,D106),1,0)</f>
        <v>0</v>
      </c>
      <c r="AE106" s="15">
        <f>SUMIFS('Recuperação de Canc e Divs'!D:D,'Recuperação de Canc e Divs'!A:A,A106,'Recuperação de Canc e Divs'!B:B,B106,'Recuperação de Canc e Divs'!C:C,D106)</f>
        <v>0</v>
      </c>
      <c r="AF106" s="16">
        <f>IF(K106&gt;=SUMIFS(Parâmetros!J:J,Parâmetros!A:A,A106,Parâmetros!B:B,B106,Parâmetros!D:D,D106),AE106*0.025,0)</f>
        <v>0</v>
      </c>
      <c r="AG106" s="15" t="str">
        <f t="shared" si="31"/>
        <v/>
      </c>
      <c r="AH106" s="16" t="str">
        <f t="shared" si="32"/>
        <v/>
      </c>
      <c r="AI106" s="90">
        <f t="shared" si="33"/>
        <v>0</v>
      </c>
      <c r="AJ106" s="16" t="str">
        <f t="shared" si="34"/>
        <v/>
      </c>
      <c r="AK106" s="16" t="str">
        <f t="shared" si="35"/>
        <v/>
      </c>
      <c r="AL106" s="90">
        <f t="shared" si="36"/>
        <v>0</v>
      </c>
      <c r="AM106" s="93" t="str">
        <f>IF(AND(OR(B106=3,B106=6,B106=9,B106=12),AI106&gt;=1),
IF(F106="Gestor",AI106*0.6,AI106*0.3),"")</f>
        <v/>
      </c>
      <c r="AN106" s="94" t="str">
        <f>IF(OR(B106=3,B106=6,B106=9,B106=12),
IF(AND(AL106&gt;=1,AI106&gt;=SUMIFS(Parâmetros!G:G,Parâmetros!A:A,Comissões!A106,Parâmetros!B:B,Comissões!B106,Parâmetros!D:D,Comissões!D106,Parâmetros!E:E,Comissões!E106)),AI106*0.3,""),"")</f>
        <v/>
      </c>
      <c r="AO106" s="16">
        <f t="shared" si="37"/>
        <v>123732.37300000005</v>
      </c>
      <c r="AP106" s="16">
        <f t="shared" si="38"/>
        <v>0.99588077228223437</v>
      </c>
    </row>
    <row r="107" spans="1:42" hidden="1">
      <c r="A107" s="7">
        <v>2026</v>
      </c>
      <c r="B107" s="7">
        <v>4</v>
      </c>
      <c r="C107" s="7" t="str">
        <v>Cintia Faraco</v>
      </c>
      <c r="D107" s="7" t="str">
        <v>cintia@altoqi.com.br</v>
      </c>
      <c r="E107" s="7" t="str">
        <v>Saving</v>
      </c>
      <c r="F107" s="7" t="str">
        <v>Consultor</v>
      </c>
      <c r="G107" s="7" t="str">
        <v>beatriz@altoqi.com.br</v>
      </c>
      <c r="H107" s="7" t="str">
        <v>MRR</v>
      </c>
      <c r="I107" s="86" cm="1">
        <f t="array" ref="I107">_xlfn.IFS(
  AND(F107="Consultor",H107="MRR",E107="Farmer"),
    SUMIFS(Negócios!M:M,Negócios!A:A,A107,Negócios!B:B,B107,Negócios!P:P,D107)
    +SUMIFS(Negócios!N:N,Negócios!A:A,A107,Negócios!B:B,B107,Negócios!P:P,D107),
  AND(F107="Consultor",H107="MRR"),
    SUMIFS(Negócios!L:L,Negócios!A:A,A107,Negócios!B:B,B107,Negócios!P:P,D107),
  AND(F107="Consultor",H107="Opps"),
    SUMIFS('Realizado GD'!D:D,'Realizado GD'!A:A,A107,'Realizado GD'!B:B,B107,'Realizado GD'!C:C,D107),
  D107="sonia.zielinski@altoqi.com.br",
    SUM(SUMIFS(Negócios!L:L,Negócios!A:A,A107,Negócios!B:B,B107,Negócios!R:R,{"FSB";"Ares"}))
    +SUMIFS(Negócios!M:M,Negócios!A:A,A107,Negócios!B:B,B107,Negócios!R:R,"Farmer")
    +SUMIFS(Negócios!N:N,Negócios!A:A,A107,Negócios!B:B,B107,Negócios!R:R,"Farmer"),
  OR(
    D107="anderson.ortiz@altoqi.com.br",
    D107="rafael.motta@altoqi.com.br",
    D107="beatriz@altoqi.com.br"
  ),
    SUMIFS(Negócios!L:L,Negócios!A:A,A107,Negócios!B:B,B107,Negócios!R:R,E107),
  AND(F107="Gestor",H107="MRR"),
    SUMIFS(I:I,A:A,A107,B:B,B107,G:G,D107),
  TRUE,
    ""
)</f>
        <v>21473.603000000003</v>
      </c>
      <c r="J107" s="16">
        <f>SUMIFS(Metas!K:K,Metas!A:A,A107,Metas!B:B,B107,Metas!D:D,D107,Metas!H:H,H107)</f>
        <v>16812</v>
      </c>
      <c r="K107" s="10">
        <f t="shared" ref="K107:K114" si="44">IFERROR(I107/J107,0)</f>
        <v>1.2772783131096836</v>
      </c>
      <c r="L107" s="26" t="str" cm="1">
        <f t="array" ref="L107">_xlfn.LET(
 _xlpm.g,_xlfn.MAXIFS(Parâmetros!G:G,Parâmetros!A:A,A107,Parâmetros!B:B,B107,Parâmetros!D:D,D107,Parâmetros!E:E,E107),
 _xlpm.j,_xlfn.MAXIFS(Parâmetros!J:J,Parâmetros!A:A,A107,Parâmetros!B:B,B107,Parâmetros!D:D,D107,Parâmetros!E:E,E107),
 _xlpm.m,_xlfn.MAXIFS(Parâmetros!M:M,Parâmetros!A:A,A107,Parâmetros!B:B,B107,Parâmetros!D:D,D107,Parâmetros!E:E,E107),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60,00%</v>
      </c>
      <c r="M107" s="28" cm="1">
        <f t="array" ref="M107">_xlfn.IFS(
  AND(F107="Consultor",H107="MRR",E107="Farmer"),
    SUMIFS(Negócios!M:M,Negócios!A:A,A107,Negócios!B:B,B107,Negócios!P:P,D107,Negócios!AG:AG,"À Vista")
    +SUMIFS(Negócios!N:N,Negócios!A:A,A107,Negócios!B:B,B107,Negócios!P:P,D107,Negócios!AG:AG,"À Vista"),
  AND(F107="Consultor",H107="MRR"),
    SUMIFS(Negócios!L:L,Negócios!A:A,A107,Negócios!B:B,B107,Negócios!P:P,D107,Negócios!AG:AG,"À Vista"),
  AND(F107="Consultor",H107="Opps"),
    SUMIFS('Realizado GD'!D:D,'Realizado GD'!A:A,A107,'Realizado GD'!B:B,B107,'Realizado GD'!C:C,D107),
  D107="sonia.zielinski@altoqi.com.br",
    SUM(SUMIFS(Negócios!L:L,Negócios!A:A,A107,Negócios!B:B,B107,Negócios!R:R,{"FSB";"Ares"},Negócios!AG:AG,"À Vista"))
    +SUMIFS(Negócios!M:M,Negócios!A:A,A107,Negócios!B:B,B107,Negócios!R:R,"Farmer",Negócios!AG:AG,"À Vista")
    +SUMIFS(Negócios!N:N,Negócios!A:A,A107,Negócios!B:B,B107,Negócios!R:R,"Farmer",Negócios!AG:AG,"À Vista"),
  OR(
    D107="anderson.ortiz@altoqi.com.br",
    D107="rafael.motta@altoqi.com.br",
    D107="beatriz@altoqi.com.br"
  ),
    SUMIFS(Negócios!L:L,Negócios!A:A,A107,Negócios!B:B,B107,Negócios!R:R,E107,Negócios!AG:AG,"À Vista"),
  AND(F107="Gestor",H107="MRR"),
    SUMIFS(I:I,A:A,A107,B:B,B107,G:G,D107),
  TRUE,
    ""
)</f>
        <v>1659.223</v>
      </c>
      <c r="N107" s="10">
        <f t="shared" ref="N107:N116" si="45">IFERROR(M107/$I107,0)</f>
        <v>7.7268029962181933E-2</v>
      </c>
      <c r="O107" s="30">
        <f>SUMIFS('Acel Form Pag'!D:D,'Acel Form Pag'!A:A,A107,'Acel Form Pag'!B:B,B107,'Acel Form Pag'!C:C,E107)</f>
        <v>0</v>
      </c>
      <c r="P107" s="87" cm="1">
        <f t="array" ref="P107">_xlfn.IFS(
  AND(F107="Consultor",H107="MRR",E107="Farmer"),
    SUMIFS(Negócios!M:M,Negócios!A:A,A107,Negócios!B:B,B107,Negócios!P:P,D107,Negócios!AG:AG,"CC 3x")
    +SUMIFS(Negócios!N:N,Negócios!A:A,A107,Negócios!B:B,B107,Negócios!P:P,D107,Negócios!AG:AG,"CC 3x"),
  AND(F107="Consultor",H107="MRR"),
    SUMIFS(Negócios!L:L,Negócios!A:A,A107,Negócios!B:B,B107,Negócios!P:P,D107,Negócios!AG:AG,"CC 3x"),
  AND(F107="Consultor",H107="Opps"),
    SUMIFS('Realizado GD'!D:D,'Realizado GD'!A:A,A107,'Realizado GD'!B:B,B107,'Realizado GD'!C:C,D107),
  D107="sonia.zielinski@altoqi.com.br",
    SUM(SUMIFS(Negócios!L:L,Negócios!A:A,A107,Negócios!B:B,B107,Negócios!R:R,{"FSB";"Ares"},Negócios!AG:AG,"CC 3x"))
    +SUMIFS(Negócios!M:M,Negócios!A:A,A107,Negócios!B:B,B107,Negócios!R:R,"Farmer",Negócios!AG:AG,"CC 3x")
    +SUMIFS(Negócios!N:N,Negócios!A:A,A107,Negócios!B:B,B107,Negócios!R:R,"Farmer",Negócios!AG:AG,"CC 3x"),
  OR(
    D107="anderson.ortiz@altoqi.com.br",
    D107="rafael.motta@altoqi.com.br",
    D107="beatriz@altoqi.com.br"
  ),
    SUMIFS(Negócios!M:M,Negócios!A:A,A107,Negócios!B:B,B107,Negócios!R:R,E107,Negócios!AG:AG,"CC 3x"),
  AND(F107="Gestor",H107="MRR"),
    SUMIFS(I:I,A:A,A107,B:B,B107,G:G,D107),
  TRUE,
    ""
)</f>
        <v>0</v>
      </c>
      <c r="Q107" s="10">
        <f t="shared" ref="Q107:Q116" si="46">IFERROR(P107/$I107,0)</f>
        <v>0</v>
      </c>
      <c r="R107" s="30">
        <f>SUMIFS('Acel Form Pag'!E:E,'Acel Form Pag'!A:A,A107,'Acel Form Pag'!B:B,B107,'Acel Form Pag'!C:C,E107)</f>
        <v>0</v>
      </c>
      <c r="S107" s="32" cm="1">
        <f t="array" ref="S107">_xlfn.IFS(
  AND(F107="Consultor",H107="MRR",E107="Farmer"),
    SUMIFS(Negócios!M:M,Negócios!A:A,A107,Negócios!B:B,B107,Negócios!P:P,D107,Negócios!AG:AG,"CC 12x")
    +SUMIFS(Negócios!N:N,Negócios!A:A,A107,Negócios!B:B,B107,Negócios!P:P,D107,Negócios!AG:AG,"CC 12x"),
  AND(F107="Consultor",H107="MRR"),
    SUMIFS(Negócios!L:L,Negócios!A:A,A107,Negócios!B:B,B107,Negócios!P:P,D107,Negócios!AG:AG,"CC 12x"),
  AND(F107="Consultor",H107="Opps"),
    SUMIFS('Realizado GD'!D:D,'Realizado GD'!A:A,A107,'Realizado GD'!B:B,B107,'Realizado GD'!C:C,D107),
  D107="sonia.zielinski@altoqi.com.br",
    SUM(SUMIFS(Negócios!L:L,Negócios!A:A,A107,Negócios!B:B,B107,Negócios!R:R,{"FSB";"Ares"},Negócios!AG:AG,"CC 12x"))
    +SUMIFS(Negócios!M:M,Negócios!A:A,A107,Negócios!B:B,B107,Negócios!R:R,"Farmer",Negócios!AG:AG,"CC 12x")
    +SUMIFS(Negócios!N:N,Negócios!A:A,A107,Negócios!B:B,B107,Negócios!R:R,"Farmer",Negócios!AG:AG,"CC 12x"),
  OR(
    D107="anderson.ortiz@altoqi.com.br",
    D107="rafael.motta@altoqi.com.br",
    D107="beatriz@altoqi.com.br"
  ),
    SUMIFS(Negócios!L:L,Negócios!A:A,A107,Negócios!B:B,B107,Negócios!R:R,E107,Negócios!AG:AG,"CC 12x"),
  AND(F107="Gestor",H107="MRR"),
    SUMIFS(I:I,A:A,A107,B:B,B107,G:G,D107),
  TRUE,
    ""
)</f>
        <v>14078.409999999996</v>
      </c>
      <c r="T107" s="10">
        <f t="shared" ref="T107:T116" si="47">IFERROR(S107/$I107,0)</f>
        <v>0.65561470983700287</v>
      </c>
      <c r="U107" s="30">
        <f>SUMIFS('Acel Form Pag'!F:F,'Acel Form Pag'!A:A,A107,'Acel Form Pag'!B:B,B107,'Acel Form Pag'!C:C,E107)</f>
        <v>0</v>
      </c>
      <c r="V107" s="32" cm="1">
        <f t="array" ref="V107">_xlfn.IFS(
  AND(F107="Consultor",H107="MRR",E107="Farmer"),
    SUMIFS(Negócios!M:M,Negócios!A:A,A107,Negócios!B:B,B107,Negócios!P:P,D107,Negócios!AG:AG,"Recorrente")
    +SUMIFS(Negócios!N:N,Negócios!A:A,A107,Negócios!B:B,B107,Negócios!P:P,D107,Negócios!AG:AG,"Recorrente"),
  AND(F107="Consultor",H107="MRR"),
    SUMIFS(Negócios!L:L,Negócios!A:A,A107,Negócios!B:B,B107,Negócios!P:P,D107,Negócios!AG:AG,"Recorrente"),
  AND(F107="Consultor",H107="Opps"),
    SUMIFS('Realizado GD'!D:D,'Realizado GD'!A:A,A107,'Realizado GD'!B:B,B107,'Realizado GD'!C:C,D107),
  D107="sonia.zielinski@altoqi.com.br",
    SUM(SUMIFS(Negócios!L:L,Negócios!A:A,A107,Negócios!B:B,B107,Negócios!R:R,{"FSB";"Ares"},Negócios!AG:AG,"Recorrente"))
    +SUMIFS(Negócios!M:M,Negócios!A:A,A107,Negócios!B:B,B107,Negócios!R:R,"Farmer",Negócios!AG:AG,"Recorrente")
    +SUMIFS(Negócios!N:N,Negócios!A:A,A107,Negócios!B:B,B107,Negócios!R:R,"Farmer",Negócios!AG:AG,"Recorrente"),
  OR(
    D107="anderson.ortiz@altoqi.com.br",
    D107="rafael.motta@altoqi.com.br",
    D107="beatriz@altoqi.com.br"
  ),
    SUMIFS(Negócios!L:L,Negócios!A:A,A107,Negócios!B:B,B107,Negócios!R:R,E107,Negócios!AG:AG,"Recorrente"),
  AND(F107="Gestor",H107="MRR"),
    SUMIFS(I:I,A:A,A107,B:B,B107,G:G,D107),
  TRUE,
    ""
)</f>
        <v>5735.97</v>
      </c>
      <c r="W107" s="10">
        <f t="shared" ref="W107:W116" si="48">IFERROR(V107/$I107,0)</f>
        <v>0.26711726020081489</v>
      </c>
      <c r="X107" s="34">
        <f>SUMIFS('Acel Form Pag'!G:G,'Acel Form Pag'!A:A,A107,'Acel Form Pag'!B:B,B107,'Acel Form Pag'!C:C,E107)</f>
        <v>0</v>
      </c>
      <c r="Y107" s="24">
        <f>MAX(_xlfn.MAXIFS(Parâmetros!O:O,Parâmetros!A:A,A107,Parâmetros!B:B,B107,Parâmetros!D:D,D107,Parâmetros!M:M,"&lt;="&amp;K107),_xlfn.MAXIFS(Parâmetros!L:L,Parâmetros!A:A,A107,Parâmetros!B:B,B107,Parâmetros!D:D,D107,Parâmetros!J:J,"&lt;="&amp;K107),_xlfn.MAXIFS(Parâmetros!I:I,Parâmetros!A:A,A107,Parâmetros!B:B,B107,Parâmetros!D:D,D107))</f>
        <v>8100</v>
      </c>
      <c r="Z107" s="9">
        <f>MAX(_xlfn.MAXIFS(Parâmetros!Q:Q,Parâmetros!A:A,A107,Parâmetros!B:B,B107,Parâmetros!D:D,D107,Parâmetros!E:E,E107,Parâmetros!P:P,"&lt;="&amp;K107),
_xlfn.MAXIFS(Parâmetros!S:S,Parâmetros!A:A,A107,Parâmetros!B:B,B107,Parâmetros!D:D,D107,Parâmetros!E:E,E107,Parâmetros!R:R,"&lt;="&amp;K107),
_xlfn.MAXIFS(Parâmetros!U:U,Parâmetros!A:A,A107,Parâmetros!B:B,B107,Parâmetros!D:D,D107,Parâmetros!E:E,E107,Parâmetros!T:T,"&lt;="&amp;K107),1) * IF(K107 &gt;= SUMIFS(Parâmetros!G:G,Parâmetros!A:A,A107,Parâmetros!B:B,B107,Parâmetros!D:D,D107,Parâmetros!E:E,E107),1,0)</f>
        <v>1</v>
      </c>
      <c r="AA107" s="16">
        <f>Y107*Z107*K107</f>
        <v>10345.954336188437</v>
      </c>
      <c r="AB107" s="16">
        <f>(AA107*N107*O107) + (AA107*Q107*R107) + (AA107*T107*U107) + (AA107*W107*X107)</f>
        <v>0</v>
      </c>
      <c r="AC107" s="15">
        <f>IF(F107="Gestor",SUMIFS(AC:AC,A:A,A107,B:B,B107,G:G,D107),
IF(E107="Saving",SUMIFS(Negócios!I:I,Negócios!A:A,A107,Negócios!B:B,B107,Negócios!P:P,D107,Negócios!H:H,"Curso") +
SUMIFS(Negócios!I:I,Negócios!A:A,A107,Negócios!B:B,B107,Negócios!P:P,D107,Negócios!H:H,"Serviço") +
SUMIFS(Negócios!I:I,Negócios!A:A,A107,Negócios!B:B,B107,Negócios!P:P,D107,Negócios!H:H,"Implantação"),
SUMIFS(Negócios!I:I,Negócios!A:A,A107,Negócios!B:B,B107,Negócios!P:P,D107,Negócios!H:H,"Implantação")))</f>
        <v>0</v>
      </c>
      <c r="AD107" s="16">
        <f>SUMIFS(Parâmetros!W:W,Parâmetros!A:A,A107,Parâmetros!B:B,B107,Parâmetros!D:D,D107) * AC107 * IF(K107 &gt;= SUMIFS(Parâmetros!V:V,Parâmetros!A:A,A107,Parâmetros!B:B,B107,Parâmetros!D:D,D107),1,0)</f>
        <v>0</v>
      </c>
      <c r="AE107" s="15">
        <f>SUMIFS('Recuperação de Canc e Divs'!D:D,'Recuperação de Canc e Divs'!A:A,A107,'Recuperação de Canc e Divs'!B:B,B107,'Recuperação de Canc e Divs'!C:C,D107)</f>
        <v>9426.4</v>
      </c>
      <c r="AF107" s="16">
        <f>IF(K107&gt;=SUMIFS(Parâmetros!J:J,Parâmetros!A:A,A107,Parâmetros!B:B,B107,Parâmetros!D:D,D107),AE107*0.025,0)</f>
        <v>235.66</v>
      </c>
      <c r="AG107" s="15" t="str">
        <f t="shared" si="31"/>
        <v/>
      </c>
      <c r="AH107" s="16" t="str">
        <f t="shared" si="32"/>
        <v/>
      </c>
      <c r="AI107" s="90">
        <f t="shared" si="33"/>
        <v>0</v>
      </c>
      <c r="AJ107" s="16" t="str">
        <f t="shared" si="34"/>
        <v/>
      </c>
      <c r="AK107" s="16" t="str">
        <f t="shared" si="35"/>
        <v/>
      </c>
      <c r="AL107" s="90">
        <f t="shared" si="36"/>
        <v>0</v>
      </c>
      <c r="AM107" s="93" t="str">
        <f>IF(AND(OR(B107=3,B107=6,B107=9,B107=12),AI107&gt;=1),
IF(F107="Gestor",AI107*0.6,AI107*0.3),"")</f>
        <v/>
      </c>
      <c r="AN107" s="94" t="str">
        <f>IF(OR(B107=3,B107=6,B107=9,B107=12),
IF(AND(AL107&gt;=1,AI107&gt;=SUMIFS(Parâmetros!G:G,Parâmetros!A:A,Comissões!A107,Parâmetros!B:B,Comissões!B107,Parâmetros!D:D,Comissões!D107,Parâmetros!E:E,Comissões!E107)),AI107*0.3,""),"")</f>
        <v/>
      </c>
      <c r="AO107" s="16">
        <f t="shared" si="37"/>
        <v>21473.602999999996</v>
      </c>
      <c r="AP107" s="16">
        <f t="shared" si="38"/>
        <v>0.99999999999999978</v>
      </c>
    </row>
    <row r="108" spans="1:42" hidden="1">
      <c r="A108" s="7">
        <v>2026</v>
      </c>
      <c r="B108" s="7">
        <v>4</v>
      </c>
      <c r="C108" s="7" t="str">
        <v>Francyellen Batista</v>
      </c>
      <c r="D108" s="7" t="str">
        <v>francyellen@altoqi.com.br</v>
      </c>
      <c r="E108" s="7" t="str">
        <v>Saving</v>
      </c>
      <c r="F108" s="7" t="str">
        <v>Consultor</v>
      </c>
      <c r="G108" s="7" t="str">
        <v>beatriz@altoqi.com.br</v>
      </c>
      <c r="H108" s="7" t="str">
        <v>MRR</v>
      </c>
      <c r="I108" s="86" cm="1">
        <f t="array" ref="I108">_xlfn.IFS(
  AND(F108="Consultor",H108="MRR",E108="Farmer"),
    SUMIFS(Negócios!M:M,Negócios!A:A,A108,Negócios!B:B,B108,Negócios!P:P,D108)
    +SUMIFS(Negócios!N:N,Negócios!A:A,A108,Negócios!B:B,B108,Negócios!P:P,D108),
  AND(F108="Consultor",H108="MRR"),
    SUMIFS(Negócios!L:L,Negócios!A:A,A108,Negócios!B:B,B108,Negócios!P:P,D108),
  AND(F108="Consultor",H108="Opps"),
    SUMIFS('Realizado GD'!D:D,'Realizado GD'!A:A,A108,'Realizado GD'!B:B,B108,'Realizado GD'!C:C,D108),
  D108="sonia.zielinski@altoqi.com.br",
    SUM(SUMIFS(Negócios!L:L,Negócios!A:A,A108,Negócios!B:B,B108,Negócios!R:R,{"FSB";"Ares"}))
    +SUMIFS(Negócios!M:M,Negócios!A:A,A108,Negócios!B:B,B108,Negócios!R:R,"Farmer")
    +SUMIFS(Negócios!N:N,Negócios!A:A,A108,Negócios!B:B,B108,Negócios!R:R,"Farmer"),
  OR(
    D108="anderson.ortiz@altoqi.com.br",
    D108="rafael.motta@altoqi.com.br",
    D108="beatriz@altoqi.com.br"
  ),
    SUMIFS(Negócios!L:L,Negócios!A:A,A108,Negócios!B:B,B108,Negócios!R:R,E108),
  AND(F108="Gestor",H108="MRR"),
    SUMIFS(I:I,A:A,A108,B:B,B108,G:G,D108),
  TRUE,
    ""
)</f>
        <v>15505.199999999995</v>
      </c>
      <c r="J108" s="16">
        <f>SUMIFS(Metas!K:K,Metas!A:A,A108,Metas!B:B,B108,Metas!D:D,D108,Metas!H:H,H108)</f>
        <v>12920</v>
      </c>
      <c r="K108" s="10">
        <f t="shared" si="44"/>
        <v>1.2000928792569656</v>
      </c>
      <c r="L108" s="26" t="str" cm="1">
        <f t="array" ref="L108">_xlfn.LET(
 _xlpm.g,_xlfn.MAXIFS(Parâmetros!G:G,Parâmetros!A:A,A108,Parâmetros!B:B,B108,Parâmetros!D:D,D108,Parâmetros!E:E,E108),
 _xlpm.j,_xlfn.MAXIFS(Parâmetros!J:J,Parâmetros!A:A,A108,Parâmetros!B:B,B108,Parâmetros!D:D,D108,Parâmetros!E:E,E108),
 _xlpm.m,_xlfn.MAXIFS(Parâmetros!M:M,Parâmetros!A:A,A108,Parâmetros!B:B,B108,Parâmetros!D:D,D108,Parâmetros!E:E,E108),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60,00%</v>
      </c>
      <c r="M108" s="28" cm="1">
        <f t="array" ref="M108">_xlfn.IFS(
  AND(F108="Consultor",H108="MRR",E108="Farmer"),
    SUMIFS(Negócios!M:M,Negócios!A:A,A108,Negócios!B:B,B108,Negócios!P:P,D108,Negócios!AG:AG,"À Vista")
    +SUMIFS(Negócios!N:N,Negócios!A:A,A108,Negócios!B:B,B108,Negócios!P:P,D108,Negócios!AG:AG,"À Vista"),
  AND(F108="Consultor",H108="MRR"),
    SUMIFS(Negócios!L:L,Negócios!A:A,A108,Negócios!B:B,B108,Negócios!P:P,D108,Negócios!AG:AG,"À Vista"),
  AND(F108="Consultor",H108="Opps"),
    SUMIFS('Realizado GD'!D:D,'Realizado GD'!A:A,A108,'Realizado GD'!B:B,B108,'Realizado GD'!C:C,D108),
  D108="sonia.zielinski@altoqi.com.br",
    SUM(SUMIFS(Negócios!L:L,Negócios!A:A,A108,Negócios!B:B,B108,Negócios!R:R,{"FSB";"Ares"},Negócios!AG:AG,"À Vista"))
    +SUMIFS(Negócios!M:M,Negócios!A:A,A108,Negócios!B:B,B108,Negócios!R:R,"Farmer",Negócios!AG:AG,"À Vista")
    +SUMIFS(Negócios!N:N,Negócios!A:A,A108,Negócios!B:B,B108,Negócios!R:R,"Farmer",Negócios!AG:AG,"À Vista"),
  OR(
    D108="anderson.ortiz@altoqi.com.br",
    D108="rafael.motta@altoqi.com.br",
    D108="beatriz@altoqi.com.br"
  ),
    SUMIFS(Negócios!L:L,Negócios!A:A,A108,Negócios!B:B,B108,Negócios!R:R,E108,Negócios!AG:AG,"À Vista"),
  AND(F108="Gestor",H108="MRR"),
    SUMIFS(I:I,A:A,A108,B:B,B108,G:G,D108),
  TRUE,
    ""
)</f>
        <v>896.47</v>
      </c>
      <c r="N108" s="10">
        <f t="shared" si="45"/>
        <v>5.7817377395970405E-2</v>
      </c>
      <c r="O108" s="30">
        <f>SUMIFS('Acel Form Pag'!D:D,'Acel Form Pag'!A:A,A108,'Acel Form Pag'!B:B,B108,'Acel Form Pag'!C:C,E108)</f>
        <v>0</v>
      </c>
      <c r="P108" s="87" cm="1">
        <f t="array" ref="P108">_xlfn.IFS(
  AND(F108="Consultor",H108="MRR",E108="Farmer"),
    SUMIFS(Negócios!M:M,Negócios!A:A,A108,Negócios!B:B,B108,Negócios!P:P,D108,Negócios!AG:AG,"CC 3x")
    +SUMIFS(Negócios!N:N,Negócios!A:A,A108,Negócios!B:B,B108,Negócios!P:P,D108,Negócios!AG:AG,"CC 3x"),
  AND(F108="Consultor",H108="MRR"),
    SUMIFS(Negócios!L:L,Negócios!A:A,A108,Negócios!B:B,B108,Negócios!P:P,D108,Negócios!AG:AG,"CC 3x"),
  AND(F108="Consultor",H108="Opps"),
    SUMIFS('Realizado GD'!D:D,'Realizado GD'!A:A,A108,'Realizado GD'!B:B,B108,'Realizado GD'!C:C,D108),
  D108="sonia.zielinski@altoqi.com.br",
    SUM(SUMIFS(Negócios!L:L,Negócios!A:A,A108,Negócios!B:B,B108,Negócios!R:R,{"FSB";"Ares"},Negócios!AG:AG,"CC 3x"))
    +SUMIFS(Negócios!M:M,Negócios!A:A,A108,Negócios!B:B,B108,Negócios!R:R,"Farmer",Negócios!AG:AG,"CC 3x")
    +SUMIFS(Negócios!N:N,Negócios!A:A,A108,Negócios!B:B,B108,Negócios!R:R,"Farmer",Negócios!AG:AG,"CC 3x"),
  OR(
    D108="anderson.ortiz@altoqi.com.br",
    D108="rafael.motta@altoqi.com.br",
    D108="beatriz@altoqi.com.br"
  ),
    SUMIFS(Negócios!M:M,Negócios!A:A,A108,Negócios!B:B,B108,Negócios!R:R,E108,Negócios!AG:AG,"CC 3x"),
  AND(F108="Gestor",H108="MRR"),
    SUMIFS(I:I,A:A,A108,B:B,B108,G:G,D108),
  TRUE,
    ""
)</f>
        <v>0</v>
      </c>
      <c r="Q108" s="10">
        <f t="shared" si="46"/>
        <v>0</v>
      </c>
      <c r="R108" s="30">
        <f>SUMIFS('Acel Form Pag'!E:E,'Acel Form Pag'!A:A,A108,'Acel Form Pag'!B:B,B108,'Acel Form Pag'!C:C,E108)</f>
        <v>0</v>
      </c>
      <c r="S108" s="32" cm="1">
        <f t="array" ref="S108">_xlfn.IFS(
  AND(F108="Consultor",H108="MRR",E108="Farmer"),
    SUMIFS(Negócios!M:M,Negócios!A:A,A108,Negócios!B:B,B108,Negócios!P:P,D108,Negócios!AG:AG,"CC 12x")
    +SUMIFS(Negócios!N:N,Negócios!A:A,A108,Negócios!B:B,B108,Negócios!P:P,D108,Negócios!AG:AG,"CC 12x"),
  AND(F108="Consultor",H108="MRR"),
    SUMIFS(Negócios!L:L,Negócios!A:A,A108,Negócios!B:B,B108,Negócios!P:P,D108,Negócios!AG:AG,"CC 12x"),
  AND(F108="Consultor",H108="Opps"),
    SUMIFS('Realizado GD'!D:D,'Realizado GD'!A:A,A108,'Realizado GD'!B:B,B108,'Realizado GD'!C:C,D108),
  D108="sonia.zielinski@altoqi.com.br",
    SUM(SUMIFS(Negócios!L:L,Negócios!A:A,A108,Negócios!B:B,B108,Negócios!R:R,{"FSB";"Ares"},Negócios!AG:AG,"CC 12x"))
    +SUMIFS(Negócios!M:M,Negócios!A:A,A108,Negócios!B:B,B108,Negócios!R:R,"Farmer",Negócios!AG:AG,"CC 12x")
    +SUMIFS(Negócios!N:N,Negócios!A:A,A108,Negócios!B:B,B108,Negócios!R:R,"Farmer",Negócios!AG:AG,"CC 12x"),
  OR(
    D108="anderson.ortiz@altoqi.com.br",
    D108="rafael.motta@altoqi.com.br",
    D108="beatriz@altoqi.com.br"
  ),
    SUMIFS(Negócios!L:L,Negócios!A:A,A108,Negócios!B:B,B108,Negócios!R:R,E108,Negócios!AG:AG,"CC 12x"),
  AND(F108="Gestor",H108="MRR"),
    SUMIFS(I:I,A:A,A108,B:B,B108,G:G,D108),
  TRUE,
    ""
)</f>
        <v>4034.63</v>
      </c>
      <c r="T108" s="10">
        <f t="shared" si="47"/>
        <v>0.26021141294533456</v>
      </c>
      <c r="U108" s="30">
        <f>SUMIFS('Acel Form Pag'!F:F,'Acel Form Pag'!A:A,A108,'Acel Form Pag'!B:B,B108,'Acel Form Pag'!C:C,E108)</f>
        <v>0</v>
      </c>
      <c r="V108" s="32" cm="1">
        <f t="array" ref="V108">_xlfn.IFS(
  AND(F108="Consultor",H108="MRR",E108="Farmer"),
    SUMIFS(Negócios!M:M,Negócios!A:A,A108,Negócios!B:B,B108,Negócios!P:P,D108,Negócios!AG:AG,"Recorrente")
    +SUMIFS(Negócios!N:N,Negócios!A:A,A108,Negócios!B:B,B108,Negócios!P:P,D108,Negócios!AG:AG,"Recorrente"),
  AND(F108="Consultor",H108="MRR"),
    SUMIFS(Negócios!L:L,Negócios!A:A,A108,Negócios!B:B,B108,Negócios!P:P,D108,Negócios!AG:AG,"Recorrente"),
  AND(F108="Consultor",H108="Opps"),
    SUMIFS('Realizado GD'!D:D,'Realizado GD'!A:A,A108,'Realizado GD'!B:B,B108,'Realizado GD'!C:C,D108),
  D108="sonia.zielinski@altoqi.com.br",
    SUM(SUMIFS(Negócios!L:L,Negócios!A:A,A108,Negócios!B:B,B108,Negócios!R:R,{"FSB";"Ares"},Negócios!AG:AG,"Recorrente"))
    +SUMIFS(Negócios!M:M,Negócios!A:A,A108,Negócios!B:B,B108,Negócios!R:R,"Farmer",Negócios!AG:AG,"Recorrente")
    +SUMIFS(Negócios!N:N,Negócios!A:A,A108,Negócios!B:B,B108,Negócios!R:R,"Farmer",Negócios!AG:AG,"Recorrente"),
  OR(
    D108="anderson.ortiz@altoqi.com.br",
    D108="rafael.motta@altoqi.com.br",
    D108="beatriz@altoqi.com.br"
  ),
    SUMIFS(Negócios!L:L,Negócios!A:A,A108,Negócios!B:B,B108,Negócios!R:R,E108,Negócios!AG:AG,"Recorrente"),
  AND(F108="Gestor",H108="MRR"),
    SUMIFS(I:I,A:A,A108,B:B,B108,G:G,D108),
  TRUE,
    ""
)</f>
        <v>10574.099999999999</v>
      </c>
      <c r="W108" s="10">
        <f t="shared" si="48"/>
        <v>0.68197120965869529</v>
      </c>
      <c r="X108" s="34">
        <f>SUMIFS('Acel Form Pag'!G:G,'Acel Form Pag'!A:A,A108,'Acel Form Pag'!B:B,B108,'Acel Form Pag'!C:C,E108)</f>
        <v>0</v>
      </c>
      <c r="Y108" s="24">
        <f>MAX(_xlfn.MAXIFS(Parâmetros!O:O,Parâmetros!A:A,A108,Parâmetros!B:B,B108,Parâmetros!D:D,D108,Parâmetros!M:M,"&lt;="&amp;K108),_xlfn.MAXIFS(Parâmetros!L:L,Parâmetros!A:A,A108,Parâmetros!B:B,B108,Parâmetros!D:D,D108,Parâmetros!J:J,"&lt;="&amp;K108),_xlfn.MAXIFS(Parâmetros!I:I,Parâmetros!A:A,A108,Parâmetros!B:B,B108,Parâmetros!D:D,D108))</f>
        <v>5400</v>
      </c>
      <c r="Z108" s="9">
        <f>MAX(_xlfn.MAXIFS(Parâmetros!Q:Q,Parâmetros!A:A,A108,Parâmetros!B:B,B108,Parâmetros!D:D,D108,Parâmetros!E:E,E108,Parâmetros!P:P,"&lt;="&amp;K108),
_xlfn.MAXIFS(Parâmetros!S:S,Parâmetros!A:A,A108,Parâmetros!B:B,B108,Parâmetros!D:D,D108,Parâmetros!E:E,E108,Parâmetros!R:R,"&lt;="&amp;K108),
_xlfn.MAXIFS(Parâmetros!U:U,Parâmetros!A:A,A108,Parâmetros!B:B,B108,Parâmetros!D:D,D108,Parâmetros!E:E,E108,Parâmetros!T:T,"&lt;="&amp;K108),1) * IF(K108 &gt;= SUMIFS(Parâmetros!G:G,Parâmetros!A:A,A108,Parâmetros!B:B,B108,Parâmetros!D:D,D108,Parâmetros!E:E,E108),1,0)</f>
        <v>1</v>
      </c>
      <c r="AA108" s="16">
        <f>Y108*Z108*K108</f>
        <v>6480.5015479876147</v>
      </c>
      <c r="AB108" s="16">
        <f>(AA108*N108*O108) + (AA108*Q108*R108) + (AA108*T108*U108) + (AA108*W108*X108)</f>
        <v>0</v>
      </c>
      <c r="AC108" s="15">
        <f>IF(F108="Gestor",SUMIFS(AC:AC,A:A,A108,B:B,B108,G:G,D108),
IF(E108="Saving",SUMIFS(Negócios!I:I,Negócios!A:A,A108,Negócios!B:B,B108,Negócios!P:P,D108,Negócios!H:H,"Curso") +
SUMIFS(Negócios!I:I,Negócios!A:A,A108,Negócios!B:B,B108,Negócios!P:P,D108,Negócios!H:H,"Serviço") +
SUMIFS(Negócios!I:I,Negócios!A:A,A108,Negócios!B:B,B108,Negócios!P:P,D108,Negócios!H:H,"Implantação"),
SUMIFS(Negócios!I:I,Negócios!A:A,A108,Negócios!B:B,B108,Negócios!P:P,D108,Negócios!H:H,"Implantação")))</f>
        <v>0</v>
      </c>
      <c r="AD108" s="16">
        <f>SUMIFS(Parâmetros!W:W,Parâmetros!A:A,A108,Parâmetros!B:B,B108,Parâmetros!D:D,D108) * AC108 * IF(K108 &gt;= SUMIFS(Parâmetros!V:V,Parâmetros!A:A,A108,Parâmetros!B:B,B108,Parâmetros!D:D,D108),1,0)</f>
        <v>0</v>
      </c>
      <c r="AE108" s="15">
        <f>SUMIFS('Recuperação de Canc e Divs'!D:D,'Recuperação de Canc e Divs'!A:A,A108,'Recuperação de Canc e Divs'!B:B,B108,'Recuperação de Canc e Divs'!C:C,D108)</f>
        <v>1053.08</v>
      </c>
      <c r="AF108" s="16">
        <f>IF(K108&gt;=SUMIFS(Parâmetros!J:J,Parâmetros!A:A,A108,Parâmetros!B:B,B108,Parâmetros!D:D,D108),AE108*0.025,0)</f>
        <v>26.326999999999998</v>
      </c>
      <c r="AG108" s="15" t="str">
        <f t="shared" si="31"/>
        <v/>
      </c>
      <c r="AH108" s="16" t="str">
        <f t="shared" si="32"/>
        <v/>
      </c>
      <c r="AI108" s="90">
        <f t="shared" si="33"/>
        <v>0</v>
      </c>
      <c r="AJ108" s="16" t="str">
        <f t="shared" si="34"/>
        <v/>
      </c>
      <c r="AK108" s="16" t="str">
        <f t="shared" si="35"/>
        <v/>
      </c>
      <c r="AL108" s="90">
        <f t="shared" si="36"/>
        <v>0</v>
      </c>
      <c r="AM108" s="93" t="str">
        <f>IF(AND(OR(B108=3,B108=6,B108=9,B108=12),AI108&gt;=1),
IF(F108="Gestor",AI108*0.6,AI108*0.3),"")</f>
        <v/>
      </c>
      <c r="AN108" s="94" t="str">
        <f>IF(OR(B108=3,B108=6,B108=9,B108=12),
IF(AND(AL108&gt;=1,AI108&gt;=SUMIFS(Parâmetros!G:G,Parâmetros!A:A,Comissões!A108,Parâmetros!B:B,Comissões!B108,Parâmetros!D:D,Comissões!D108,Parâmetros!E:E,Comissões!E108)),AI108*0.3,""),"")</f>
        <v/>
      </c>
      <c r="AO108" s="16">
        <f t="shared" si="37"/>
        <v>15505.199999999999</v>
      </c>
      <c r="AP108" s="16">
        <f t="shared" si="38"/>
        <v>1.0000000000000002</v>
      </c>
    </row>
    <row r="109" spans="1:42" hidden="1">
      <c r="A109" s="7">
        <v>2026</v>
      </c>
      <c r="B109" s="7">
        <v>4</v>
      </c>
      <c r="C109" s="7" t="str">
        <v>Jaqueline Correa</v>
      </c>
      <c r="D109" s="7" t="str">
        <v>jaqueline.correa@altoqi.com.br</v>
      </c>
      <c r="E109" s="7" t="str">
        <v>Saving</v>
      </c>
      <c r="F109" s="7" t="str">
        <v>Consultor</v>
      </c>
      <c r="G109" s="7" t="str">
        <v>beatriz@altoqi.com.br</v>
      </c>
      <c r="H109" s="7" t="str">
        <v>MRR</v>
      </c>
      <c r="I109" s="86" cm="1">
        <f t="array" ref="I109">_xlfn.IFS(
  AND(F109="Consultor",H109="MRR",E109="Farmer"),
    SUMIFS(Negócios!M:M,Negócios!A:A,A109,Negócios!B:B,B109,Negócios!P:P,D109)
    +SUMIFS(Negócios!N:N,Negócios!A:A,A109,Negócios!B:B,B109,Negócios!P:P,D109),
  AND(F109="Consultor",H109="MRR"),
    SUMIFS(Negócios!L:L,Negócios!A:A,A109,Negócios!B:B,B109,Negócios!P:P,D109),
  AND(F109="Consultor",H109="Opps"),
    SUMIFS('Realizado GD'!D:D,'Realizado GD'!A:A,A109,'Realizado GD'!B:B,B109,'Realizado GD'!C:C,D109),
  D109="sonia.zielinski@altoqi.com.br",
    SUM(SUMIFS(Negócios!L:L,Negócios!A:A,A109,Negócios!B:B,B109,Negócios!R:R,{"FSB";"Ares"}))
    +SUMIFS(Negócios!M:M,Negócios!A:A,A109,Negócios!B:B,B109,Negócios!R:R,"Farmer")
    +SUMIFS(Negócios!N:N,Negócios!A:A,A109,Negócios!B:B,B109,Negócios!R:R,"Farmer"),
  OR(
    D109="anderson.ortiz@altoqi.com.br",
    D109="rafael.motta@altoqi.com.br",
    D109="beatriz@altoqi.com.br"
  ),
    SUMIFS(Negócios!L:L,Negócios!A:A,A109,Negócios!B:B,B109,Negócios!R:R,E109),
  AND(F109="Gestor",H109="MRR"),
    SUMIFS(I:I,A:A,A109,B:B,B109,G:G,D109),
  TRUE,
    ""
)</f>
        <v>16598.599999999995</v>
      </c>
      <c r="J109" s="16">
        <f>SUMIFS(Metas!K:K,Metas!A:A,A109,Metas!B:B,B109,Metas!D:D,D109,Metas!H:H,H109)</f>
        <v>12920</v>
      </c>
      <c r="K109" s="10">
        <f t="shared" si="44"/>
        <v>1.2847213622291018</v>
      </c>
      <c r="L109" s="26" t="str" cm="1">
        <f t="array" ref="L109">_xlfn.LET(
 _xlpm.g,_xlfn.MAXIFS(Parâmetros!G:G,Parâmetros!A:A,A109,Parâmetros!B:B,B109,Parâmetros!D:D,D109,Parâmetros!E:E,E109),
 _xlpm.j,_xlfn.MAXIFS(Parâmetros!J:J,Parâmetros!A:A,A109,Parâmetros!B:B,B109,Parâmetros!D:D,D109,Parâmetros!E:E,E109),
 _xlpm.m,_xlfn.MAXIFS(Parâmetros!M:M,Parâmetros!A:A,A109,Parâmetros!B:B,B109,Parâmetros!D:D,D109,Parâmetros!E:E,E109),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60,00%</v>
      </c>
      <c r="M109" s="28" cm="1">
        <f t="array" ref="M109">_xlfn.IFS(
  AND(F109="Consultor",H109="MRR",E109="Farmer"),
    SUMIFS(Negócios!M:M,Negócios!A:A,A109,Negócios!B:B,B109,Negócios!P:P,D109,Negócios!AG:AG,"À Vista")
    +SUMIFS(Negócios!N:N,Negócios!A:A,A109,Negócios!B:B,B109,Negócios!P:P,D109,Negócios!AG:AG,"À Vista"),
  AND(F109="Consultor",H109="MRR"),
    SUMIFS(Negócios!L:L,Negócios!A:A,A109,Negócios!B:B,B109,Negócios!P:P,D109,Negócios!AG:AG,"À Vista"),
  AND(F109="Consultor",H109="Opps"),
    SUMIFS('Realizado GD'!D:D,'Realizado GD'!A:A,A109,'Realizado GD'!B:B,B109,'Realizado GD'!C:C,D109),
  D109="sonia.zielinski@altoqi.com.br",
    SUM(SUMIFS(Negócios!L:L,Negócios!A:A,A109,Negócios!B:B,B109,Negócios!R:R,{"FSB";"Ares"},Negócios!AG:AG,"À Vista"))
    +SUMIFS(Negócios!M:M,Negócios!A:A,A109,Negócios!B:B,B109,Negócios!R:R,"Farmer",Negócios!AG:AG,"À Vista")
    +SUMIFS(Negócios!N:N,Negócios!A:A,A109,Negócios!B:B,B109,Negócios!R:R,"Farmer",Negócios!AG:AG,"À Vista"),
  OR(
    D109="anderson.ortiz@altoqi.com.br",
    D109="rafael.motta@altoqi.com.br",
    D109="beatriz@altoqi.com.br"
  ),
    SUMIFS(Negócios!L:L,Negócios!A:A,A109,Negócios!B:B,B109,Negócios!R:R,E109,Negócios!AG:AG,"À Vista"),
  AND(F109="Gestor",H109="MRR"),
    SUMIFS(I:I,A:A,A109,B:B,B109,G:G,D109),
  TRUE,
    ""
)</f>
        <v>3983.41</v>
      </c>
      <c r="N109" s="10">
        <f t="shared" si="45"/>
        <v>0.23998469750460888</v>
      </c>
      <c r="O109" s="30">
        <f>SUMIFS('Acel Form Pag'!D:D,'Acel Form Pag'!A:A,A109,'Acel Form Pag'!B:B,B109,'Acel Form Pag'!C:C,E109)</f>
        <v>0</v>
      </c>
      <c r="P109" s="87" cm="1">
        <f t="array" ref="P109">_xlfn.IFS(
  AND(F109="Consultor",H109="MRR",E109="Farmer"),
    SUMIFS(Negócios!M:M,Negócios!A:A,A109,Negócios!B:B,B109,Negócios!P:P,D109,Negócios!AG:AG,"CC 3x")
    +SUMIFS(Negócios!N:N,Negócios!A:A,A109,Negócios!B:B,B109,Negócios!P:P,D109,Negócios!AG:AG,"CC 3x"),
  AND(F109="Consultor",H109="MRR"),
    SUMIFS(Negócios!L:L,Negócios!A:A,A109,Negócios!B:B,B109,Negócios!P:P,D109,Negócios!AG:AG,"CC 3x"),
  AND(F109="Consultor",H109="Opps"),
    SUMIFS('Realizado GD'!D:D,'Realizado GD'!A:A,A109,'Realizado GD'!B:B,B109,'Realizado GD'!C:C,D109),
  D109="sonia.zielinski@altoqi.com.br",
    SUM(SUMIFS(Negócios!L:L,Negócios!A:A,A109,Negócios!B:B,B109,Negócios!R:R,{"FSB";"Ares"},Negócios!AG:AG,"CC 3x"))
    +SUMIFS(Negócios!M:M,Negócios!A:A,A109,Negócios!B:B,B109,Negócios!R:R,"Farmer",Negócios!AG:AG,"CC 3x")
    +SUMIFS(Negócios!N:N,Negócios!A:A,A109,Negócios!B:B,B109,Negócios!R:R,"Farmer",Negócios!AG:AG,"CC 3x"),
  OR(
    D109="anderson.ortiz@altoqi.com.br",
    D109="rafael.motta@altoqi.com.br",
    D109="beatriz@altoqi.com.br"
  ),
    SUMIFS(Negócios!M:M,Negócios!A:A,A109,Negócios!B:B,B109,Negócios!R:R,E109,Negócios!AG:AG,"CC 3x"),
  AND(F109="Gestor",H109="MRR"),
    SUMIFS(I:I,A:A,A109,B:B,B109,G:G,D109),
  TRUE,
    ""
)</f>
        <v>0</v>
      </c>
      <c r="Q109" s="10">
        <f t="shared" si="46"/>
        <v>0</v>
      </c>
      <c r="R109" s="30">
        <f>SUMIFS('Acel Form Pag'!E:E,'Acel Form Pag'!A:A,A109,'Acel Form Pag'!B:B,B109,'Acel Form Pag'!C:C,E109)</f>
        <v>0</v>
      </c>
      <c r="S109" s="32" cm="1">
        <f t="array" ref="S109">_xlfn.IFS(
  AND(F109="Consultor",H109="MRR",E109="Farmer"),
    SUMIFS(Negócios!M:M,Negócios!A:A,A109,Negócios!B:B,B109,Negócios!P:P,D109,Negócios!AG:AG,"CC 12x")
    +SUMIFS(Negócios!N:N,Negócios!A:A,A109,Negócios!B:B,B109,Negócios!P:P,D109,Negócios!AG:AG,"CC 12x"),
  AND(F109="Consultor",H109="MRR"),
    SUMIFS(Negócios!L:L,Negócios!A:A,A109,Negócios!B:B,B109,Negócios!P:P,D109,Negócios!AG:AG,"CC 12x"),
  AND(F109="Consultor",H109="Opps"),
    SUMIFS('Realizado GD'!D:D,'Realizado GD'!A:A,A109,'Realizado GD'!B:B,B109,'Realizado GD'!C:C,D109),
  D109="sonia.zielinski@altoqi.com.br",
    SUM(SUMIFS(Negócios!L:L,Negócios!A:A,A109,Negócios!B:B,B109,Negócios!R:R,{"FSB";"Ares"},Negócios!AG:AG,"CC 12x"))
    +SUMIFS(Negócios!M:M,Negócios!A:A,A109,Negócios!B:B,B109,Negócios!R:R,"Farmer",Negócios!AG:AG,"CC 12x")
    +SUMIFS(Negócios!N:N,Negócios!A:A,A109,Negócios!B:B,B109,Negócios!R:R,"Farmer",Negócios!AG:AG,"CC 12x"),
  OR(
    D109="anderson.ortiz@altoqi.com.br",
    D109="rafael.motta@altoqi.com.br",
    D109="beatriz@altoqi.com.br"
  ),
    SUMIFS(Negócios!L:L,Negócios!A:A,A109,Negócios!B:B,B109,Negócios!R:R,E109,Negócios!AG:AG,"CC 12x"),
  AND(F109="Gestor",H109="MRR"),
    SUMIFS(I:I,A:A,A109,B:B,B109,G:G,D109),
  TRUE,
    ""
)</f>
        <v>2738.15</v>
      </c>
      <c r="T109" s="10">
        <f t="shared" si="47"/>
        <v>0.16496270769823967</v>
      </c>
      <c r="U109" s="30">
        <f>SUMIFS('Acel Form Pag'!F:F,'Acel Form Pag'!A:A,A109,'Acel Form Pag'!B:B,B109,'Acel Form Pag'!C:C,E109)</f>
        <v>0</v>
      </c>
      <c r="V109" s="32" cm="1">
        <f t="array" ref="V109">_xlfn.IFS(
  AND(F109="Consultor",H109="MRR",E109="Farmer"),
    SUMIFS(Negócios!M:M,Negócios!A:A,A109,Negócios!B:B,B109,Negócios!P:P,D109,Negócios!AG:AG,"Recorrente")
    +SUMIFS(Negócios!N:N,Negócios!A:A,A109,Negócios!B:B,B109,Negócios!P:P,D109,Negócios!AG:AG,"Recorrente"),
  AND(F109="Consultor",H109="MRR"),
    SUMIFS(Negócios!L:L,Negócios!A:A,A109,Negócios!B:B,B109,Negócios!P:P,D109,Negócios!AG:AG,"Recorrente"),
  AND(F109="Consultor",H109="Opps"),
    SUMIFS('Realizado GD'!D:D,'Realizado GD'!A:A,A109,'Realizado GD'!B:B,B109,'Realizado GD'!C:C,D109),
  D109="sonia.zielinski@altoqi.com.br",
    SUM(SUMIFS(Negócios!L:L,Negócios!A:A,A109,Negócios!B:B,B109,Negócios!R:R,{"FSB";"Ares"},Negócios!AG:AG,"Recorrente"))
    +SUMIFS(Negócios!M:M,Negócios!A:A,A109,Negócios!B:B,B109,Negócios!R:R,"Farmer",Negócios!AG:AG,"Recorrente")
    +SUMIFS(Negócios!N:N,Negócios!A:A,A109,Negócios!B:B,B109,Negócios!R:R,"Farmer",Negócios!AG:AG,"Recorrente"),
  OR(
    D109="anderson.ortiz@altoqi.com.br",
    D109="rafael.motta@altoqi.com.br",
    D109="beatriz@altoqi.com.br"
  ),
    SUMIFS(Negócios!L:L,Negócios!A:A,A109,Negócios!B:B,B109,Negócios!R:R,E109,Negócios!AG:AG,"Recorrente"),
  AND(F109="Gestor",H109="MRR"),
    SUMIFS(I:I,A:A,A109,B:B,B109,G:G,D109),
  TRUE,
    ""
)</f>
        <v>9877.0399999999991</v>
      </c>
      <c r="W109" s="10">
        <f t="shared" si="48"/>
        <v>0.59505259479715167</v>
      </c>
      <c r="X109" s="34">
        <f>SUMIFS('Acel Form Pag'!G:G,'Acel Form Pag'!A:A,A109,'Acel Form Pag'!B:B,B109,'Acel Form Pag'!C:C,E109)</f>
        <v>0</v>
      </c>
      <c r="Y109" s="24">
        <f>MAX(_xlfn.MAXIFS(Parâmetros!O:O,Parâmetros!A:A,A109,Parâmetros!B:B,B109,Parâmetros!D:D,D109,Parâmetros!M:M,"&lt;="&amp;K109),_xlfn.MAXIFS(Parâmetros!L:L,Parâmetros!A:A,A109,Parâmetros!B:B,B109,Parâmetros!D:D,D109,Parâmetros!J:J,"&lt;="&amp;K109),_xlfn.MAXIFS(Parâmetros!I:I,Parâmetros!A:A,A109,Parâmetros!B:B,B109,Parâmetros!D:D,D109))</f>
        <v>5400</v>
      </c>
      <c r="Z109" s="9">
        <f>MAX(_xlfn.MAXIFS(Parâmetros!Q:Q,Parâmetros!A:A,A109,Parâmetros!B:B,B109,Parâmetros!D:D,D109,Parâmetros!E:E,E109,Parâmetros!P:P,"&lt;="&amp;K109),
_xlfn.MAXIFS(Parâmetros!S:S,Parâmetros!A:A,A109,Parâmetros!B:B,B109,Parâmetros!D:D,D109,Parâmetros!E:E,E109,Parâmetros!R:R,"&lt;="&amp;K109),
_xlfn.MAXIFS(Parâmetros!U:U,Parâmetros!A:A,A109,Parâmetros!B:B,B109,Parâmetros!D:D,D109,Parâmetros!E:E,E109,Parâmetros!T:T,"&lt;="&amp;K109),1) * IF(K109 &gt;= SUMIFS(Parâmetros!G:G,Parâmetros!A:A,A109,Parâmetros!B:B,B109,Parâmetros!D:D,D109,Parâmetros!E:E,E109),1,0)</f>
        <v>1</v>
      </c>
      <c r="AA109" s="16">
        <f>Y109*Z109*K109</f>
        <v>6937.4953560371496</v>
      </c>
      <c r="AB109" s="16">
        <f>(AA109*N109*O109) + (AA109*Q109*R109) + (AA109*T109*U109) + (AA109*W109*X109)</f>
        <v>0</v>
      </c>
      <c r="AC109" s="15">
        <f>IF(F109="Gestor",SUMIFS(AC:AC,A:A,A109,B:B,B109,G:G,D109),
IF(E109="Saving",SUMIFS(Negócios!I:I,Negócios!A:A,A109,Negócios!B:B,B109,Negócios!P:P,D109,Negócios!H:H,"Curso") +
SUMIFS(Negócios!I:I,Negócios!A:A,A109,Negócios!B:B,B109,Negócios!P:P,D109,Negócios!H:H,"Serviço") +
SUMIFS(Negócios!I:I,Negócios!A:A,A109,Negócios!B:B,B109,Negócios!P:P,D109,Negócios!H:H,"Implantação"),
SUMIFS(Negócios!I:I,Negócios!A:A,A109,Negócios!B:B,B109,Negócios!P:P,D109,Negócios!H:H,"Implantação")))</f>
        <v>0</v>
      </c>
      <c r="AD109" s="16">
        <f>SUMIFS(Parâmetros!W:W,Parâmetros!A:A,A109,Parâmetros!B:B,B109,Parâmetros!D:D,D109) * AC109 * IF(K109 &gt;= SUMIFS(Parâmetros!V:V,Parâmetros!A:A,A109,Parâmetros!B:B,B109,Parâmetros!D:D,D109),1,0)</f>
        <v>0</v>
      </c>
      <c r="AE109" s="15">
        <f>SUMIFS('Recuperação de Canc e Divs'!D:D,'Recuperação de Canc e Divs'!A:A,A109,'Recuperação de Canc e Divs'!B:B,B109,'Recuperação de Canc e Divs'!C:C,D109)</f>
        <v>7440.95</v>
      </c>
      <c r="AF109" s="16">
        <f>IF(K109&gt;=SUMIFS(Parâmetros!J:J,Parâmetros!A:A,A109,Parâmetros!B:B,B109,Parâmetros!D:D,D109),AE109*0.025,0)</f>
        <v>186.02375000000001</v>
      </c>
      <c r="AG109" s="15" t="str">
        <f t="shared" si="31"/>
        <v/>
      </c>
      <c r="AH109" s="16" t="str">
        <f t="shared" si="32"/>
        <v/>
      </c>
      <c r="AI109" s="90">
        <f t="shared" si="33"/>
        <v>0</v>
      </c>
      <c r="AJ109" s="16" t="str">
        <f t="shared" si="34"/>
        <v/>
      </c>
      <c r="AK109" s="16" t="str">
        <f t="shared" si="35"/>
        <v/>
      </c>
      <c r="AL109" s="90">
        <f t="shared" si="36"/>
        <v>0</v>
      </c>
      <c r="AM109" s="93" t="str">
        <f>IF(AND(OR(B109=3,B109=6,B109=9,B109=12),AI109&gt;=1),
IF(F109="Gestor",AI109*0.6,AI109*0.3),"")</f>
        <v/>
      </c>
      <c r="AN109" s="94" t="str">
        <f>IF(OR(B109=3,B109=6,B109=9,B109=12),
IF(AND(AL109&gt;=1,AI109&gt;=SUMIFS(Parâmetros!G:G,Parâmetros!A:A,Comissões!A109,Parâmetros!B:B,Comissões!B109,Parâmetros!D:D,Comissões!D109,Parâmetros!E:E,Comissões!E109)),AI109*0.3,""),"")</f>
        <v/>
      </c>
      <c r="AO109" s="16">
        <f t="shared" si="37"/>
        <v>16598.599999999999</v>
      </c>
      <c r="AP109" s="16">
        <f t="shared" si="38"/>
        <v>1.0000000000000002</v>
      </c>
    </row>
    <row r="110" spans="1:42" hidden="1">
      <c r="A110" s="7">
        <v>2026</v>
      </c>
      <c r="B110" s="7">
        <v>4</v>
      </c>
      <c r="C110" s="7" t="str">
        <v>Marcela Accacio</v>
      </c>
      <c r="D110" s="7" t="str">
        <v>marcela@altoqi.com.br</v>
      </c>
      <c r="E110" s="7" t="str">
        <v>Saving</v>
      </c>
      <c r="F110" s="7" t="str">
        <v>Consultor</v>
      </c>
      <c r="G110" s="7" t="str">
        <v>beatriz@altoqi.com.br</v>
      </c>
      <c r="H110" s="7" t="str">
        <v>MRR</v>
      </c>
      <c r="I110" s="86" cm="1">
        <f t="array" ref="I110">_xlfn.IFS(
  AND(F110="Consultor",H110="MRR",E110="Farmer"),
    SUMIFS(Negócios!M:M,Negócios!A:A,A110,Negócios!B:B,B110,Negócios!P:P,D110)
    +SUMIFS(Negócios!N:N,Negócios!A:A,A110,Negócios!B:B,B110,Negócios!P:P,D110),
  AND(F110="Consultor",H110="MRR"),
    SUMIFS(Negócios!L:L,Negócios!A:A,A110,Negócios!B:B,B110,Negócios!P:P,D110),
  AND(F110="Consultor",H110="Opps"),
    SUMIFS('Realizado GD'!D:D,'Realizado GD'!A:A,A110,'Realizado GD'!B:B,B110,'Realizado GD'!C:C,D110),
  D110="sonia.zielinski@altoqi.com.br",
    SUM(SUMIFS(Negócios!L:L,Negócios!A:A,A110,Negócios!B:B,B110,Negócios!R:R,{"FSB";"Ares"}))
    +SUMIFS(Negócios!M:M,Negócios!A:A,A110,Negócios!B:B,B110,Negócios!R:R,"Farmer")
    +SUMIFS(Negócios!N:N,Negócios!A:A,A110,Negócios!B:B,B110,Negócios!R:R,"Farmer"),
  OR(
    D110="anderson.ortiz@altoqi.com.br",
    D110="rafael.motta@altoqi.com.br",
    D110="beatriz@altoqi.com.br"
  ),
    SUMIFS(Negócios!L:L,Negócios!A:A,A110,Negócios!B:B,B110,Negócios!R:R,E110),
  AND(F110="Gestor",H110="MRR"),
    SUMIFS(I:I,A:A,A110,B:B,B110,G:G,D110),
  TRUE,
    ""
)</f>
        <v>20627.629999999994</v>
      </c>
      <c r="J110" s="16">
        <f>SUMIFS(Metas!K:K,Metas!A:A,A110,Metas!B:B,B110,Metas!D:D,D110,Metas!H:H,H110)</f>
        <v>16812</v>
      </c>
      <c r="K110" s="10">
        <f t="shared" si="44"/>
        <v>1.2269587199619316</v>
      </c>
      <c r="L110" s="26" t="str" cm="1">
        <f t="array" ref="L110">_xlfn.LET(
 _xlpm.g,_xlfn.MAXIFS(Parâmetros!G:G,Parâmetros!A:A,A110,Parâmetros!B:B,B110,Parâmetros!D:D,D110,Parâmetros!E:E,E110),
 _xlpm.j,_xlfn.MAXIFS(Parâmetros!J:J,Parâmetros!A:A,A110,Parâmetros!B:B,B110,Parâmetros!D:D,D110,Parâmetros!E:E,E110),
 _xlpm.m,_xlfn.MAXIFS(Parâmetros!M:M,Parâmetros!A:A,A110,Parâmetros!B:B,B110,Parâmetros!D:D,D110,Parâmetros!E:E,E110),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60,00%</v>
      </c>
      <c r="M110" s="28" cm="1">
        <f t="array" ref="M110">_xlfn.IFS(
  AND(F110="Consultor",H110="MRR",E110="Farmer"),
    SUMIFS(Negócios!M:M,Negócios!A:A,A110,Negócios!B:B,B110,Negócios!P:P,D110,Negócios!AG:AG,"À Vista")
    +SUMIFS(Negócios!N:N,Negócios!A:A,A110,Negócios!B:B,B110,Negócios!P:P,D110,Negócios!AG:AG,"À Vista"),
  AND(F110="Consultor",H110="MRR"),
    SUMIFS(Negócios!L:L,Negócios!A:A,A110,Negócios!B:B,B110,Negócios!P:P,D110,Negócios!AG:AG,"À Vista"),
  AND(F110="Consultor",H110="Opps"),
    SUMIFS('Realizado GD'!D:D,'Realizado GD'!A:A,A110,'Realizado GD'!B:B,B110,'Realizado GD'!C:C,D110),
  D110="sonia.zielinski@altoqi.com.br",
    SUM(SUMIFS(Negócios!L:L,Negócios!A:A,A110,Negócios!B:B,B110,Negócios!R:R,{"FSB";"Ares"},Negócios!AG:AG,"À Vista"))
    +SUMIFS(Negócios!M:M,Negócios!A:A,A110,Negócios!B:B,B110,Negócios!R:R,"Farmer",Negócios!AG:AG,"À Vista")
    +SUMIFS(Negócios!N:N,Negócios!A:A,A110,Negócios!B:B,B110,Negócios!R:R,"Farmer",Negócios!AG:AG,"À Vista"),
  OR(
    D110="anderson.ortiz@altoqi.com.br",
    D110="rafael.motta@altoqi.com.br",
    D110="beatriz@altoqi.com.br"
  ),
    SUMIFS(Negócios!L:L,Negócios!A:A,A110,Negócios!B:B,B110,Negócios!R:R,E110,Negócios!AG:AG,"À Vista"),
  AND(F110="Gestor",H110="MRR"),
    SUMIFS(I:I,A:A,A110,B:B,B110,G:G,D110),
  TRUE,
    ""
)</f>
        <v>3563.68</v>
      </c>
      <c r="N110" s="10">
        <f t="shared" si="45"/>
        <v>0.17276245501785717</v>
      </c>
      <c r="O110" s="30">
        <f>SUMIFS('Acel Form Pag'!D:D,'Acel Form Pag'!A:A,A110,'Acel Form Pag'!B:B,B110,'Acel Form Pag'!C:C,E110)</f>
        <v>0</v>
      </c>
      <c r="P110" s="87" cm="1">
        <f t="array" ref="P110">_xlfn.IFS(
  AND(F110="Consultor",H110="MRR",E110="Farmer"),
    SUMIFS(Negócios!M:M,Negócios!A:A,A110,Negócios!B:B,B110,Negócios!P:P,D110,Negócios!AG:AG,"CC 3x")
    +SUMIFS(Negócios!N:N,Negócios!A:A,A110,Negócios!B:B,B110,Negócios!P:P,D110,Negócios!AG:AG,"CC 3x"),
  AND(F110="Consultor",H110="MRR"),
    SUMIFS(Negócios!L:L,Negócios!A:A,A110,Negócios!B:B,B110,Negócios!P:P,D110,Negócios!AG:AG,"CC 3x"),
  AND(F110="Consultor",H110="Opps"),
    SUMIFS('Realizado GD'!D:D,'Realizado GD'!A:A,A110,'Realizado GD'!B:B,B110,'Realizado GD'!C:C,D110),
  D110="sonia.zielinski@altoqi.com.br",
    SUM(SUMIFS(Negócios!L:L,Negócios!A:A,A110,Negócios!B:B,B110,Negócios!R:R,{"FSB";"Ares"},Negócios!AG:AG,"CC 3x"))
    +SUMIFS(Negócios!M:M,Negócios!A:A,A110,Negócios!B:B,B110,Negócios!R:R,"Farmer",Negócios!AG:AG,"CC 3x")
    +SUMIFS(Negócios!N:N,Negócios!A:A,A110,Negócios!B:B,B110,Negócios!R:R,"Farmer",Negócios!AG:AG,"CC 3x"),
  OR(
    D110="anderson.ortiz@altoqi.com.br",
    D110="rafael.motta@altoqi.com.br",
    D110="beatriz@altoqi.com.br"
  ),
    SUMIFS(Negócios!M:M,Negócios!A:A,A110,Negócios!B:B,B110,Negócios!R:R,E110,Negócios!AG:AG,"CC 3x"),
  AND(F110="Gestor",H110="MRR"),
    SUMIFS(I:I,A:A,A110,B:B,B110,G:G,D110),
  TRUE,
    ""
)</f>
        <v>328.57</v>
      </c>
      <c r="Q110" s="10">
        <f t="shared" si="46"/>
        <v>1.5928635524294361E-2</v>
      </c>
      <c r="R110" s="30">
        <f>SUMIFS('Acel Form Pag'!E:E,'Acel Form Pag'!A:A,A110,'Acel Form Pag'!B:B,B110,'Acel Form Pag'!C:C,E110)</f>
        <v>0</v>
      </c>
      <c r="S110" s="32" cm="1">
        <f t="array" ref="S110">_xlfn.IFS(
  AND(F110="Consultor",H110="MRR",E110="Farmer"),
    SUMIFS(Negócios!M:M,Negócios!A:A,A110,Negócios!B:B,B110,Negócios!P:P,D110,Negócios!AG:AG,"CC 12x")
    +SUMIFS(Negócios!N:N,Negócios!A:A,A110,Negócios!B:B,B110,Negócios!P:P,D110,Negócios!AG:AG,"CC 12x"),
  AND(F110="Consultor",H110="MRR"),
    SUMIFS(Negócios!L:L,Negócios!A:A,A110,Negócios!B:B,B110,Negócios!P:P,D110,Negócios!AG:AG,"CC 12x"),
  AND(F110="Consultor",H110="Opps"),
    SUMIFS('Realizado GD'!D:D,'Realizado GD'!A:A,A110,'Realizado GD'!B:B,B110,'Realizado GD'!C:C,D110),
  D110="sonia.zielinski@altoqi.com.br",
    SUM(SUMIFS(Negócios!L:L,Negócios!A:A,A110,Negócios!B:B,B110,Negócios!R:R,{"FSB";"Ares"},Negócios!AG:AG,"CC 12x"))
    +SUMIFS(Negócios!M:M,Negócios!A:A,A110,Negócios!B:B,B110,Negócios!R:R,"Farmer",Negócios!AG:AG,"CC 12x")
    +SUMIFS(Negócios!N:N,Negócios!A:A,A110,Negócios!B:B,B110,Negócios!R:R,"Farmer",Negócios!AG:AG,"CC 12x"),
  OR(
    D110="anderson.ortiz@altoqi.com.br",
    D110="rafael.motta@altoqi.com.br",
    D110="beatriz@altoqi.com.br"
  ),
    SUMIFS(Negócios!L:L,Negócios!A:A,A110,Negócios!B:B,B110,Negócios!R:R,E110,Negócios!AG:AG,"CC 12x"),
  AND(F110="Gestor",H110="MRR"),
    SUMIFS(I:I,A:A,A110,B:B,B110,G:G,D110),
  TRUE,
    ""
)</f>
        <v>7261.6799999999994</v>
      </c>
      <c r="T110" s="10">
        <f t="shared" si="47"/>
        <v>0.35203656454958721</v>
      </c>
      <c r="U110" s="30">
        <f>SUMIFS('Acel Form Pag'!F:F,'Acel Form Pag'!A:A,A110,'Acel Form Pag'!B:B,B110,'Acel Form Pag'!C:C,E110)</f>
        <v>0</v>
      </c>
      <c r="V110" s="32" cm="1">
        <f t="array" ref="V110">_xlfn.IFS(
  AND(F110="Consultor",H110="MRR",E110="Farmer"),
    SUMIFS(Negócios!M:M,Negócios!A:A,A110,Negócios!B:B,B110,Negócios!P:P,D110,Negócios!AG:AG,"Recorrente")
    +SUMIFS(Negócios!N:N,Negócios!A:A,A110,Negócios!B:B,B110,Negócios!P:P,D110,Negócios!AG:AG,"Recorrente"),
  AND(F110="Consultor",H110="MRR"),
    SUMIFS(Negócios!L:L,Negócios!A:A,A110,Negócios!B:B,B110,Negócios!P:P,D110,Negócios!AG:AG,"Recorrente"),
  AND(F110="Consultor",H110="Opps"),
    SUMIFS('Realizado GD'!D:D,'Realizado GD'!A:A,A110,'Realizado GD'!B:B,B110,'Realizado GD'!C:C,D110),
  D110="sonia.zielinski@altoqi.com.br",
    SUM(SUMIFS(Negócios!L:L,Negócios!A:A,A110,Negócios!B:B,B110,Negócios!R:R,{"FSB";"Ares"},Negócios!AG:AG,"Recorrente"))
    +SUMIFS(Negócios!M:M,Negócios!A:A,A110,Negócios!B:B,B110,Negócios!R:R,"Farmer",Negócios!AG:AG,"Recorrente")
    +SUMIFS(Negócios!N:N,Negócios!A:A,A110,Negócios!B:B,B110,Negócios!R:R,"Farmer",Negócios!AG:AG,"Recorrente"),
  OR(
    D110="anderson.ortiz@altoqi.com.br",
    D110="rafael.motta@altoqi.com.br",
    D110="beatriz@altoqi.com.br"
  ),
    SUMIFS(Negócios!L:L,Negócios!A:A,A110,Negócios!B:B,B110,Negócios!R:R,E110,Negócios!AG:AG,"Recorrente"),
  AND(F110="Gestor",H110="MRR"),
    SUMIFS(I:I,A:A,A110,B:B,B110,G:G,D110),
  TRUE,
    ""
)</f>
        <v>9473.6999999999971</v>
      </c>
      <c r="W110" s="10">
        <f t="shared" si="48"/>
        <v>0.45927234490826141</v>
      </c>
      <c r="X110" s="34">
        <f>SUMIFS('Acel Form Pag'!G:G,'Acel Form Pag'!A:A,A110,'Acel Form Pag'!B:B,B110,'Acel Form Pag'!C:C,E110)</f>
        <v>0</v>
      </c>
      <c r="Y110" s="24">
        <f>MAX(_xlfn.MAXIFS(Parâmetros!O:O,Parâmetros!A:A,A110,Parâmetros!B:B,B110,Parâmetros!D:D,D110,Parâmetros!M:M,"&lt;="&amp;K110),_xlfn.MAXIFS(Parâmetros!L:L,Parâmetros!A:A,A110,Parâmetros!B:B,B110,Parâmetros!D:D,D110,Parâmetros!J:J,"&lt;="&amp;K110),_xlfn.MAXIFS(Parâmetros!I:I,Parâmetros!A:A,A110,Parâmetros!B:B,B110,Parâmetros!D:D,D110))</f>
        <v>8100</v>
      </c>
      <c r="Z110" s="9">
        <f>MAX(_xlfn.MAXIFS(Parâmetros!Q:Q,Parâmetros!A:A,A110,Parâmetros!B:B,B110,Parâmetros!D:D,D110,Parâmetros!E:E,E110,Parâmetros!P:P,"&lt;="&amp;K110),
_xlfn.MAXIFS(Parâmetros!S:S,Parâmetros!A:A,A110,Parâmetros!B:B,B110,Parâmetros!D:D,D110,Parâmetros!E:E,E110,Parâmetros!R:R,"&lt;="&amp;K110),
_xlfn.MAXIFS(Parâmetros!U:U,Parâmetros!A:A,A110,Parâmetros!B:B,B110,Parâmetros!D:D,D110,Parâmetros!E:E,E110,Parâmetros!T:T,"&lt;="&amp;K110),1) * IF(K110 &gt;= SUMIFS(Parâmetros!G:G,Parâmetros!A:A,A110,Parâmetros!B:B,B110,Parâmetros!D:D,D110,Parâmetros!E:E,E110),1,0)</f>
        <v>1</v>
      </c>
      <c r="AA110" s="16">
        <f>Y110*Z110*K110</f>
        <v>9938.3656316916458</v>
      </c>
      <c r="AB110" s="16">
        <f>(AA110*N110*O110) + (AA110*Q110*R110) + (AA110*T110*U110) + (AA110*W110*X110)</f>
        <v>0</v>
      </c>
      <c r="AC110" s="15">
        <f>IF(F110="Gestor",SUMIFS(AC:AC,A:A,A110,B:B,B110,G:G,D110),
IF(E110="Saving",SUMIFS(Negócios!I:I,Negócios!A:A,A110,Negócios!B:B,B110,Negócios!P:P,D110,Negócios!H:H,"Curso") +
SUMIFS(Negócios!I:I,Negócios!A:A,A110,Negócios!B:B,B110,Negócios!P:P,D110,Negócios!H:H,"Serviço") +
SUMIFS(Negócios!I:I,Negócios!A:A,A110,Negócios!B:B,B110,Negócios!P:P,D110,Negócios!H:H,"Implantação"),
SUMIFS(Negócios!I:I,Negócios!A:A,A110,Negócios!B:B,B110,Negócios!P:P,D110,Negócios!H:H,"Implantação")))</f>
        <v>0</v>
      </c>
      <c r="AD110" s="16">
        <f>SUMIFS(Parâmetros!W:W,Parâmetros!A:A,A110,Parâmetros!B:B,B110,Parâmetros!D:D,D110) * AC110 * IF(K110 &gt;= SUMIFS(Parâmetros!V:V,Parâmetros!A:A,A110,Parâmetros!B:B,B110,Parâmetros!D:D,D110),1,0)</f>
        <v>0</v>
      </c>
      <c r="AE110" s="15">
        <f>SUMIFS('Recuperação de Canc e Divs'!D:D,'Recuperação de Canc e Divs'!A:A,A110,'Recuperação de Canc e Divs'!B:B,B110,'Recuperação de Canc e Divs'!C:C,D110)</f>
        <v>3136.2</v>
      </c>
      <c r="AF110" s="16">
        <f>IF(K110&gt;=SUMIFS(Parâmetros!J:J,Parâmetros!A:A,A110,Parâmetros!B:B,B110,Parâmetros!D:D,D110),AE110*0.025,0)</f>
        <v>78.405000000000001</v>
      </c>
      <c r="AG110" s="15" t="str">
        <f t="shared" si="31"/>
        <v/>
      </c>
      <c r="AH110" s="16" t="str">
        <f t="shared" si="32"/>
        <v/>
      </c>
      <c r="AI110" s="90">
        <f t="shared" si="33"/>
        <v>0</v>
      </c>
      <c r="AJ110" s="16" t="str">
        <f t="shared" si="34"/>
        <v/>
      </c>
      <c r="AK110" s="16" t="str">
        <f t="shared" si="35"/>
        <v/>
      </c>
      <c r="AL110" s="90">
        <f t="shared" si="36"/>
        <v>0</v>
      </c>
      <c r="AM110" s="93" t="str">
        <f>IF(AND(OR(B110=3,B110=6,B110=9,B110=12),AI110&gt;=1),
IF(F110="Gestor",AI110*0.6,AI110*0.3),"")</f>
        <v/>
      </c>
      <c r="AN110" s="94" t="str">
        <f>IF(OR(B110=3,B110=6,B110=9,B110=12),
IF(AND(AL110&gt;=1,AI110&gt;=SUMIFS(Parâmetros!G:G,Parâmetros!A:A,Comissões!A110,Parâmetros!B:B,Comissões!B110,Parâmetros!D:D,Comissões!D110,Parâmetros!E:E,Comissões!E110)),AI110*0.3,""),"")</f>
        <v/>
      </c>
      <c r="AO110" s="16">
        <f t="shared" si="37"/>
        <v>20627.629999999997</v>
      </c>
      <c r="AP110" s="16">
        <f t="shared" si="38"/>
        <v>1</v>
      </c>
    </row>
    <row r="111" spans="1:42" hidden="1">
      <c r="A111" s="7">
        <v>2026</v>
      </c>
      <c r="B111" s="7">
        <v>4</v>
      </c>
      <c r="C111" s="7" t="str">
        <v>Rosana Machado</v>
      </c>
      <c r="D111" s="7" t="str">
        <v>rosana@altoqi.com.br</v>
      </c>
      <c r="E111" s="7" t="str">
        <v>Saving</v>
      </c>
      <c r="F111" s="7" t="str">
        <v>Consultor</v>
      </c>
      <c r="G111" s="7" t="str">
        <v>beatriz@altoqi.com.br</v>
      </c>
      <c r="H111" s="7" t="str">
        <v>MRR</v>
      </c>
      <c r="I111" s="86" cm="1">
        <f t="array" ref="I111">_xlfn.IFS(
  AND(F111="Consultor",H111="MRR",E111="Farmer"),
    SUMIFS(Negócios!M:M,Negócios!A:A,A111,Negócios!B:B,B111,Negócios!P:P,D111)
    +SUMIFS(Negócios!N:N,Negócios!A:A,A111,Negócios!B:B,B111,Negócios!P:P,D111),
  AND(F111="Consultor",H111="MRR"),
    SUMIFS(Negócios!L:L,Negócios!A:A,A111,Negócios!B:B,B111,Negócios!P:P,D111),
  AND(F111="Consultor",H111="Opps"),
    SUMIFS('Realizado GD'!D:D,'Realizado GD'!A:A,A111,'Realizado GD'!B:B,B111,'Realizado GD'!C:C,D111),
  D111="sonia.zielinski@altoqi.com.br",
    SUM(SUMIFS(Negócios!L:L,Negócios!A:A,A111,Negócios!B:B,B111,Negócios!R:R,{"FSB";"Ares"}))
    +SUMIFS(Negócios!M:M,Negócios!A:A,A111,Negócios!B:B,B111,Negócios!R:R,"Farmer")
    +SUMIFS(Negócios!N:N,Negócios!A:A,A111,Negócios!B:B,B111,Negócios!R:R,"Farmer"),
  OR(
    D111="anderson.ortiz@altoqi.com.br",
    D111="rafael.motta@altoqi.com.br",
    D111="beatriz@altoqi.com.br"
  ),
    SUMIFS(Negócios!L:L,Negócios!A:A,A111,Negócios!B:B,B111,Negócios!R:R,E111),
  AND(F111="Gestor",H111="MRR"),
    SUMIFS(I:I,A:A,A111,B:B,B111,G:G,D111),
  TRUE,
    ""
)</f>
        <v>13465.269999999995</v>
      </c>
      <c r="J111" s="16">
        <f>SUMIFS(Metas!K:K,Metas!A:A,A111,Metas!B:B,B111,Metas!D:D,D111,Metas!H:H,H111)</f>
        <v>12920</v>
      </c>
      <c r="K111" s="10">
        <f t="shared" si="44"/>
        <v>1.0422035603715167</v>
      </c>
      <c r="L111" s="26" t="str" cm="1">
        <f t="array" ref="L111">_xlfn.LET(
 _xlpm.g,_xlfn.MAXIFS(Parâmetros!G:G,Parâmetros!A:A,A111,Parâmetros!B:B,B111,Parâmetros!D:D,D111,Parâmetros!E:E,E111),
 _xlpm.j,_xlfn.MAXIFS(Parâmetros!J:J,Parâmetros!A:A,A111,Parâmetros!B:B,B111,Parâmetros!D:D,D111,Parâmetros!E:E,E111),
 _xlpm.m,_xlfn.MAXIFS(Parâmetros!M:M,Parâmetros!A:A,A111,Parâmetros!B:B,B111,Parâmetros!D:D,D111,Parâmetros!E:E,E111),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60,00%</v>
      </c>
      <c r="M111" s="28" cm="1">
        <f t="array" ref="M111">_xlfn.IFS(
  AND(F111="Consultor",H111="MRR",E111="Farmer"),
    SUMIFS(Negócios!M:M,Negócios!A:A,A111,Negócios!B:B,B111,Negócios!P:P,D111,Negócios!AG:AG,"À Vista")
    +SUMIFS(Negócios!N:N,Negócios!A:A,A111,Negócios!B:B,B111,Negócios!P:P,D111,Negócios!AG:AG,"À Vista"),
  AND(F111="Consultor",H111="MRR"),
    SUMIFS(Negócios!L:L,Negócios!A:A,A111,Negócios!B:B,B111,Negócios!P:P,D111,Negócios!AG:AG,"À Vista"),
  AND(F111="Consultor",H111="Opps"),
    SUMIFS('Realizado GD'!D:D,'Realizado GD'!A:A,A111,'Realizado GD'!B:B,B111,'Realizado GD'!C:C,D111),
  D111="sonia.zielinski@altoqi.com.br",
    SUM(SUMIFS(Negócios!L:L,Negócios!A:A,A111,Negócios!B:B,B111,Negócios!R:R,{"FSB";"Ares"},Negócios!AG:AG,"À Vista"))
    +SUMIFS(Negócios!M:M,Negócios!A:A,A111,Negócios!B:B,B111,Negócios!R:R,"Farmer",Negócios!AG:AG,"À Vista")
    +SUMIFS(Negócios!N:N,Negócios!A:A,A111,Negócios!B:B,B111,Negócios!R:R,"Farmer",Negócios!AG:AG,"À Vista"),
  OR(
    D111="anderson.ortiz@altoqi.com.br",
    D111="rafael.motta@altoqi.com.br",
    D111="beatriz@altoqi.com.br"
  ),
    SUMIFS(Negócios!L:L,Negócios!A:A,A111,Negócios!B:B,B111,Negócios!R:R,E111,Negócios!AG:AG,"À Vista"),
  AND(F111="Gestor",H111="MRR"),
    SUMIFS(I:I,A:A,A111,B:B,B111,G:G,D111),
  TRUE,
    ""
)</f>
        <v>2040.27</v>
      </c>
      <c r="N111" s="10">
        <f t="shared" si="45"/>
        <v>0.15152091268871704</v>
      </c>
      <c r="O111" s="30">
        <f>SUMIFS('Acel Form Pag'!D:D,'Acel Form Pag'!A:A,A111,'Acel Form Pag'!B:B,B111,'Acel Form Pag'!C:C,E111)</f>
        <v>0</v>
      </c>
      <c r="P111" s="87" cm="1">
        <f t="array" ref="P111">_xlfn.IFS(
  AND(F111="Consultor",H111="MRR",E111="Farmer"),
    SUMIFS(Negócios!M:M,Negócios!A:A,A111,Negócios!B:B,B111,Negócios!P:P,D111,Negócios!AG:AG,"CC 3x")
    +SUMIFS(Negócios!N:N,Negócios!A:A,A111,Negócios!B:B,B111,Negócios!P:P,D111,Negócios!AG:AG,"CC 3x"),
  AND(F111="Consultor",H111="MRR"),
    SUMIFS(Negócios!L:L,Negócios!A:A,A111,Negócios!B:B,B111,Negócios!P:P,D111,Negócios!AG:AG,"CC 3x"),
  AND(F111="Consultor",H111="Opps"),
    SUMIFS('Realizado GD'!D:D,'Realizado GD'!A:A,A111,'Realizado GD'!B:B,B111,'Realizado GD'!C:C,D111),
  D111="sonia.zielinski@altoqi.com.br",
    SUM(SUMIFS(Negócios!L:L,Negócios!A:A,A111,Negócios!B:B,B111,Negócios!R:R,{"FSB";"Ares"},Negócios!AG:AG,"CC 3x"))
    +SUMIFS(Negócios!M:M,Negócios!A:A,A111,Negócios!B:B,B111,Negócios!R:R,"Farmer",Negócios!AG:AG,"CC 3x")
    +SUMIFS(Negócios!N:N,Negócios!A:A,A111,Negócios!B:B,B111,Negócios!R:R,"Farmer",Negócios!AG:AG,"CC 3x"),
  OR(
    D111="anderson.ortiz@altoqi.com.br",
    D111="rafael.motta@altoqi.com.br",
    D111="beatriz@altoqi.com.br"
  ),
    SUMIFS(Negócios!M:M,Negócios!A:A,A111,Negócios!B:B,B111,Negócios!R:R,E111,Negócios!AG:AG,"CC 3x"),
  AND(F111="Gestor",H111="MRR"),
    SUMIFS(I:I,A:A,A111,B:B,B111,G:G,D111),
  TRUE,
    ""
)</f>
        <v>0</v>
      </c>
      <c r="Q111" s="10">
        <f t="shared" si="46"/>
        <v>0</v>
      </c>
      <c r="R111" s="30">
        <f>SUMIFS('Acel Form Pag'!E:E,'Acel Form Pag'!A:A,A111,'Acel Form Pag'!B:B,B111,'Acel Form Pag'!C:C,E111)</f>
        <v>0</v>
      </c>
      <c r="S111" s="32" cm="1">
        <f t="array" ref="S111">_xlfn.IFS(
  AND(F111="Consultor",H111="MRR",E111="Farmer"),
    SUMIFS(Negócios!M:M,Negócios!A:A,A111,Negócios!B:B,B111,Negócios!P:P,D111,Negócios!AG:AG,"CC 12x")
    +SUMIFS(Negócios!N:N,Negócios!A:A,A111,Negócios!B:B,B111,Negócios!P:P,D111,Negócios!AG:AG,"CC 12x"),
  AND(F111="Consultor",H111="MRR"),
    SUMIFS(Negócios!L:L,Negócios!A:A,A111,Negócios!B:B,B111,Negócios!P:P,D111,Negócios!AG:AG,"CC 12x"),
  AND(F111="Consultor",H111="Opps"),
    SUMIFS('Realizado GD'!D:D,'Realizado GD'!A:A,A111,'Realizado GD'!B:B,B111,'Realizado GD'!C:C,D111),
  D111="sonia.zielinski@altoqi.com.br",
    SUM(SUMIFS(Negócios!L:L,Negócios!A:A,A111,Negócios!B:B,B111,Negócios!R:R,{"FSB";"Ares"},Negócios!AG:AG,"CC 12x"))
    +SUMIFS(Negócios!M:M,Negócios!A:A,A111,Negócios!B:B,B111,Negócios!R:R,"Farmer",Negócios!AG:AG,"CC 12x")
    +SUMIFS(Negócios!N:N,Negócios!A:A,A111,Negócios!B:B,B111,Negócios!R:R,"Farmer",Negócios!AG:AG,"CC 12x"),
  OR(
    D111="anderson.ortiz@altoqi.com.br",
    D111="rafael.motta@altoqi.com.br",
    D111="beatriz@altoqi.com.br"
  ),
    SUMIFS(Negócios!L:L,Negócios!A:A,A111,Negócios!B:B,B111,Negócios!R:R,E111,Negócios!AG:AG,"CC 12x"),
  AND(F111="Gestor",H111="MRR"),
    SUMIFS(I:I,A:A,A111,B:B,B111,G:G,D111),
  TRUE,
    ""
)</f>
        <v>3340.24</v>
      </c>
      <c r="T111" s="10">
        <f t="shared" si="47"/>
        <v>0.24806335112478256</v>
      </c>
      <c r="U111" s="30">
        <f>SUMIFS('Acel Form Pag'!F:F,'Acel Form Pag'!A:A,A111,'Acel Form Pag'!B:B,B111,'Acel Form Pag'!C:C,E111)</f>
        <v>0</v>
      </c>
      <c r="V111" s="32" cm="1">
        <f t="array" ref="V111">_xlfn.IFS(
  AND(F111="Consultor",H111="MRR",E111="Farmer"),
    SUMIFS(Negócios!M:M,Negócios!A:A,A111,Negócios!B:B,B111,Negócios!P:P,D111,Negócios!AG:AG,"Recorrente")
    +SUMIFS(Negócios!N:N,Negócios!A:A,A111,Negócios!B:B,B111,Negócios!P:P,D111,Negócios!AG:AG,"Recorrente"),
  AND(F111="Consultor",H111="MRR"),
    SUMIFS(Negócios!L:L,Negócios!A:A,A111,Negócios!B:B,B111,Negócios!P:P,D111,Negócios!AG:AG,"Recorrente"),
  AND(F111="Consultor",H111="Opps"),
    SUMIFS('Realizado GD'!D:D,'Realizado GD'!A:A,A111,'Realizado GD'!B:B,B111,'Realizado GD'!C:C,D111),
  D111="sonia.zielinski@altoqi.com.br",
    SUM(SUMIFS(Negócios!L:L,Negócios!A:A,A111,Negócios!B:B,B111,Negócios!R:R,{"FSB";"Ares"},Negócios!AG:AG,"Recorrente"))
    +SUMIFS(Negócios!M:M,Negócios!A:A,A111,Negócios!B:B,B111,Negócios!R:R,"Farmer",Negócios!AG:AG,"Recorrente")
    +SUMIFS(Negócios!N:N,Negócios!A:A,A111,Negócios!B:B,B111,Negócios!R:R,"Farmer",Negócios!AG:AG,"Recorrente"),
  OR(
    D111="anderson.ortiz@altoqi.com.br",
    D111="rafael.motta@altoqi.com.br",
    D111="beatriz@altoqi.com.br"
  ),
    SUMIFS(Negócios!L:L,Negócios!A:A,A111,Negócios!B:B,B111,Negócios!R:R,E111,Negócios!AG:AG,"Recorrente"),
  AND(F111="Gestor",H111="MRR"),
    SUMIFS(I:I,A:A,A111,B:B,B111,G:G,D111),
  TRUE,
    ""
)</f>
        <v>8084.7600000000011</v>
      </c>
      <c r="W111" s="10">
        <f t="shared" si="48"/>
        <v>0.60041573618650079</v>
      </c>
      <c r="X111" s="34">
        <f>SUMIFS('Acel Form Pag'!G:G,'Acel Form Pag'!A:A,A111,'Acel Form Pag'!B:B,B111,'Acel Form Pag'!C:C,E111)</f>
        <v>0</v>
      </c>
      <c r="Y111" s="24">
        <f>MAX(_xlfn.MAXIFS(Parâmetros!O:O,Parâmetros!A:A,A111,Parâmetros!B:B,B111,Parâmetros!D:D,D111,Parâmetros!M:M,"&lt;="&amp;K111),_xlfn.MAXIFS(Parâmetros!L:L,Parâmetros!A:A,A111,Parâmetros!B:B,B111,Parâmetros!D:D,D111,Parâmetros!J:J,"&lt;="&amp;K111),_xlfn.MAXIFS(Parâmetros!I:I,Parâmetros!A:A,A111,Parâmetros!B:B,B111,Parâmetros!D:D,D111))</f>
        <v>5400</v>
      </c>
      <c r="Z111" s="9">
        <f>MAX(_xlfn.MAXIFS(Parâmetros!Q:Q,Parâmetros!A:A,A111,Parâmetros!B:B,B111,Parâmetros!D:D,D111,Parâmetros!E:E,E111,Parâmetros!P:P,"&lt;="&amp;K111),
_xlfn.MAXIFS(Parâmetros!S:S,Parâmetros!A:A,A111,Parâmetros!B:B,B111,Parâmetros!D:D,D111,Parâmetros!E:E,E111,Parâmetros!R:R,"&lt;="&amp;K111),
_xlfn.MAXIFS(Parâmetros!U:U,Parâmetros!A:A,A111,Parâmetros!B:B,B111,Parâmetros!D:D,D111,Parâmetros!E:E,E111,Parâmetros!T:T,"&lt;="&amp;K111),1) * IF(K111 &gt;= SUMIFS(Parâmetros!G:G,Parâmetros!A:A,A111,Parâmetros!B:B,B111,Parâmetros!D:D,D111,Parâmetros!E:E,E111),1,0)</f>
        <v>1</v>
      </c>
      <c r="AA111" s="16">
        <f>Y111*Z111*K111</f>
        <v>5627.8992260061905</v>
      </c>
      <c r="AB111" s="16">
        <f>(AA111*N111*O111) + (AA111*Q111*R111) + (AA111*T111*U111) + (AA111*W111*X111)</f>
        <v>0</v>
      </c>
      <c r="AC111" s="15">
        <f>IF(F111="Gestor",SUMIFS(AC:AC,A:A,A111,B:B,B111,G:G,D111),
IF(E111="Saving",SUMIFS(Negócios!I:I,Negócios!A:A,A111,Negócios!B:B,B111,Negócios!P:P,D111,Negócios!H:H,"Curso") +
SUMIFS(Negócios!I:I,Negócios!A:A,A111,Negócios!B:B,B111,Negócios!P:P,D111,Negócios!H:H,"Serviço") +
SUMIFS(Negócios!I:I,Negócios!A:A,A111,Negócios!B:B,B111,Negócios!P:P,D111,Negócios!H:H,"Implantação"),
SUMIFS(Negócios!I:I,Negócios!A:A,A111,Negócios!B:B,B111,Negócios!P:P,D111,Negócios!H:H,"Implantação")))</f>
        <v>0</v>
      </c>
      <c r="AD111" s="16">
        <f>SUMIFS(Parâmetros!W:W,Parâmetros!A:A,A111,Parâmetros!B:B,B111,Parâmetros!D:D,D111) * AC111 * IF(K111 &gt;= SUMIFS(Parâmetros!V:V,Parâmetros!A:A,A111,Parâmetros!B:B,B111,Parâmetros!D:D,D111),1,0)</f>
        <v>0</v>
      </c>
      <c r="AE111" s="15">
        <f>SUMIFS('Recuperação de Canc e Divs'!D:D,'Recuperação de Canc e Divs'!A:A,A111,'Recuperação de Canc e Divs'!B:B,B111,'Recuperação de Canc e Divs'!C:C,D111)</f>
        <v>21057.37</v>
      </c>
      <c r="AF111" s="16">
        <f>IF(K111&gt;=SUMIFS(Parâmetros!J:J,Parâmetros!A:A,A111,Parâmetros!B:B,B111,Parâmetros!D:D,D111),AE111*0.025,0)</f>
        <v>526.43425000000002</v>
      </c>
      <c r="AG111" s="15" t="str">
        <f t="shared" si="31"/>
        <v/>
      </c>
      <c r="AH111" s="16" t="str">
        <f t="shared" si="32"/>
        <v/>
      </c>
      <c r="AI111" s="90">
        <f t="shared" si="33"/>
        <v>0</v>
      </c>
      <c r="AJ111" s="16" t="str">
        <f t="shared" si="34"/>
        <v/>
      </c>
      <c r="AK111" s="16" t="str">
        <f t="shared" si="35"/>
        <v/>
      </c>
      <c r="AL111" s="90">
        <f t="shared" si="36"/>
        <v>0</v>
      </c>
      <c r="AM111" s="93" t="str">
        <f>IF(AND(OR(B111=3,B111=6,B111=9,B111=12),AI111&gt;=1),
IF(F111="Gestor",AI111*0.6,AI111*0.3),"")</f>
        <v/>
      </c>
      <c r="AN111" s="94" t="str">
        <f>IF(OR(B111=3,B111=6,B111=9,B111=12),
IF(AND(AL111&gt;=1,AI111&gt;=SUMIFS(Parâmetros!G:G,Parâmetros!A:A,Comissões!A111,Parâmetros!B:B,Comissões!B111,Parâmetros!D:D,Comissões!D111,Parâmetros!E:E,Comissões!E111)),AI111*0.3,""),"")</f>
        <v/>
      </c>
      <c r="AO111" s="16">
        <f t="shared" si="37"/>
        <v>13465.27</v>
      </c>
      <c r="AP111" s="16">
        <f t="shared" si="38"/>
        <v>1.0000000000000004</v>
      </c>
    </row>
    <row r="112" spans="1:42" hidden="1">
      <c r="A112" s="7">
        <v>2026</v>
      </c>
      <c r="B112" s="7">
        <v>4</v>
      </c>
      <c r="C112" s="7" t="str">
        <v>Rubia Estipe</v>
      </c>
      <c r="D112" s="7" t="str">
        <v>rubia.estipe@altoqi.com.br</v>
      </c>
      <c r="E112" s="7" t="str">
        <v>Saving</v>
      </c>
      <c r="F112" s="7" t="str">
        <v>Consultor</v>
      </c>
      <c r="G112" s="7" t="str">
        <v>beatriz@altoqi.com.br</v>
      </c>
      <c r="H112" s="7" t="str">
        <v>MRR</v>
      </c>
      <c r="I112" s="86" cm="1">
        <f t="array" ref="I112">_xlfn.IFS(
  AND(F112="Consultor",H112="MRR",E112="Farmer"),
    SUMIFS(Negócios!M:M,Negócios!A:A,A112,Negócios!B:B,B112,Negócios!P:P,D112)
    +SUMIFS(Negócios!N:N,Negócios!A:A,A112,Negócios!B:B,B112,Negócios!P:P,D112),
  AND(F112="Consultor",H112="MRR"),
    SUMIFS(Negócios!L:L,Negócios!A:A,A112,Negócios!B:B,B112,Negócios!P:P,D112),
  AND(F112="Consultor",H112="Opps"),
    SUMIFS('Realizado GD'!D:D,'Realizado GD'!A:A,A112,'Realizado GD'!B:B,B112,'Realizado GD'!C:C,D112),
  D112="sonia.zielinski@altoqi.com.br",
    SUM(SUMIFS(Negócios!L:L,Negócios!A:A,A112,Negócios!B:B,B112,Negócios!R:R,{"FSB";"Ares"}))
    +SUMIFS(Negócios!M:M,Negócios!A:A,A112,Negócios!B:B,B112,Negócios!R:R,"Farmer")
    +SUMIFS(Negócios!N:N,Negócios!A:A,A112,Negócios!B:B,B112,Negócios!R:R,"Farmer"),
  OR(
    D112="anderson.ortiz@altoqi.com.br",
    D112="rafael.motta@altoqi.com.br",
    D112="beatriz@altoqi.com.br"
  ),
    SUMIFS(Negócios!L:L,Negócios!A:A,A112,Negócios!B:B,B112,Negócios!R:R,E112),
  AND(F112="Gestor",H112="MRR"),
    SUMIFS(I:I,A:A,A112,B:B,B112,G:G,D112),
  TRUE,
    ""
)</f>
        <v>18544.989999999994</v>
      </c>
      <c r="J112" s="16">
        <f>SUMIFS(Metas!K:K,Metas!A:A,A112,Metas!B:B,B112,Metas!D:D,D112,Metas!H:H,H112)</f>
        <v>16812</v>
      </c>
      <c r="K112" s="10">
        <f t="shared" si="44"/>
        <v>1.1030805377111583</v>
      </c>
      <c r="L112" s="26" t="str" cm="1">
        <f t="array" ref="L112">_xlfn.LET(
 _xlpm.g,_xlfn.MAXIFS(Parâmetros!G:G,Parâmetros!A:A,A112,Parâmetros!B:B,B112,Parâmetros!D:D,D112,Parâmetros!E:E,E112),
 _xlpm.j,_xlfn.MAXIFS(Parâmetros!J:J,Parâmetros!A:A,A112,Parâmetros!B:B,B112,Parâmetros!D:D,D112,Parâmetros!E:E,E112),
 _xlpm.m,_xlfn.MAXIFS(Parâmetros!M:M,Parâmetros!A:A,A112,Parâmetros!B:B,B112,Parâmetros!D:D,D112,Parâmetros!E:E,E112),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60,00%</v>
      </c>
      <c r="M112" s="28" cm="1">
        <f t="array" ref="M112">_xlfn.IFS(
  AND(F112="Consultor",H112="MRR",E112="Farmer"),
    SUMIFS(Negócios!M:M,Negócios!A:A,A112,Negócios!B:B,B112,Negócios!P:P,D112,Negócios!AG:AG,"À Vista")
    +SUMIFS(Negócios!N:N,Negócios!A:A,A112,Negócios!B:B,B112,Negócios!P:P,D112,Negócios!AG:AG,"À Vista"),
  AND(F112="Consultor",H112="MRR"),
    SUMIFS(Negócios!L:L,Negócios!A:A,A112,Negócios!B:B,B112,Negócios!P:P,D112,Negócios!AG:AG,"À Vista"),
  AND(F112="Consultor",H112="Opps"),
    SUMIFS('Realizado GD'!D:D,'Realizado GD'!A:A,A112,'Realizado GD'!B:B,B112,'Realizado GD'!C:C,D112),
  D112="sonia.zielinski@altoqi.com.br",
    SUM(SUMIFS(Negócios!L:L,Negócios!A:A,A112,Negócios!B:B,B112,Negócios!R:R,{"FSB";"Ares"},Negócios!AG:AG,"À Vista"))
    +SUMIFS(Negócios!M:M,Negócios!A:A,A112,Negócios!B:B,B112,Negócios!R:R,"Farmer",Negócios!AG:AG,"À Vista")
    +SUMIFS(Negócios!N:N,Negócios!A:A,A112,Negócios!B:B,B112,Negócios!R:R,"Farmer",Negócios!AG:AG,"À Vista"),
  OR(
    D112="anderson.ortiz@altoqi.com.br",
    D112="rafael.motta@altoqi.com.br",
    D112="beatriz@altoqi.com.br"
  ),
    SUMIFS(Negócios!L:L,Negócios!A:A,A112,Negócios!B:B,B112,Negócios!R:R,E112,Negócios!AG:AG,"À Vista"),
  AND(F112="Gestor",H112="MRR"),
    SUMIFS(I:I,A:A,A112,B:B,B112,G:G,D112),
  TRUE,
    ""
)</f>
        <v>2287.87</v>
      </c>
      <c r="N112" s="10">
        <f t="shared" si="45"/>
        <v>0.12336862947890512</v>
      </c>
      <c r="O112" s="30">
        <f>SUMIFS('Acel Form Pag'!D:D,'Acel Form Pag'!A:A,A112,'Acel Form Pag'!B:B,B112,'Acel Form Pag'!C:C,E112)</f>
        <v>0</v>
      </c>
      <c r="P112" s="87" cm="1">
        <f t="array" ref="P112">_xlfn.IFS(
  AND(F112="Consultor",H112="MRR",E112="Farmer"),
    SUMIFS(Negócios!M:M,Negócios!A:A,A112,Negócios!B:B,B112,Negócios!P:P,D112,Negócios!AG:AG,"CC 3x")
    +SUMIFS(Negócios!N:N,Negócios!A:A,A112,Negócios!B:B,B112,Negócios!P:P,D112,Negócios!AG:AG,"CC 3x"),
  AND(F112="Consultor",H112="MRR"),
    SUMIFS(Negócios!L:L,Negócios!A:A,A112,Negócios!B:B,B112,Negócios!P:P,D112,Negócios!AG:AG,"CC 3x"),
  AND(F112="Consultor",H112="Opps"),
    SUMIFS('Realizado GD'!D:D,'Realizado GD'!A:A,A112,'Realizado GD'!B:B,B112,'Realizado GD'!C:C,D112),
  D112="sonia.zielinski@altoqi.com.br",
    SUM(SUMIFS(Negócios!L:L,Negócios!A:A,A112,Negócios!B:B,B112,Negócios!R:R,{"FSB";"Ares"},Negócios!AG:AG,"CC 3x"))
    +SUMIFS(Negócios!M:M,Negócios!A:A,A112,Negócios!B:B,B112,Negócios!R:R,"Farmer",Negócios!AG:AG,"CC 3x")
    +SUMIFS(Negócios!N:N,Negócios!A:A,A112,Negócios!B:B,B112,Negócios!R:R,"Farmer",Negócios!AG:AG,"CC 3x"),
  OR(
    D112="anderson.ortiz@altoqi.com.br",
    D112="rafael.motta@altoqi.com.br",
    D112="beatriz@altoqi.com.br"
  ),
    SUMIFS(Negócios!M:M,Negócios!A:A,A112,Negócios!B:B,B112,Negócios!R:R,E112,Negócios!AG:AG,"CC 3x"),
  AND(F112="Gestor",H112="MRR"),
    SUMIFS(I:I,A:A,A112,B:B,B112,G:G,D112),
  TRUE,
    ""
)</f>
        <v>183.22</v>
      </c>
      <c r="Q112" s="10">
        <f t="shared" si="46"/>
        <v>9.8797572821554529E-3</v>
      </c>
      <c r="R112" s="30">
        <f>SUMIFS('Acel Form Pag'!E:E,'Acel Form Pag'!A:A,A112,'Acel Form Pag'!B:B,B112,'Acel Form Pag'!C:C,E112)</f>
        <v>0</v>
      </c>
      <c r="S112" s="32" cm="1">
        <f t="array" ref="S112">_xlfn.IFS(
  AND(F112="Consultor",H112="MRR",E112="Farmer"),
    SUMIFS(Negócios!M:M,Negócios!A:A,A112,Negócios!B:B,B112,Negócios!P:P,D112,Negócios!AG:AG,"CC 12x")
    +SUMIFS(Negócios!N:N,Negócios!A:A,A112,Negócios!B:B,B112,Negócios!P:P,D112,Negócios!AG:AG,"CC 12x"),
  AND(F112="Consultor",H112="MRR"),
    SUMIFS(Negócios!L:L,Negócios!A:A,A112,Negócios!B:B,B112,Negócios!P:P,D112,Negócios!AG:AG,"CC 12x"),
  AND(F112="Consultor",H112="Opps"),
    SUMIFS('Realizado GD'!D:D,'Realizado GD'!A:A,A112,'Realizado GD'!B:B,B112,'Realizado GD'!C:C,D112),
  D112="sonia.zielinski@altoqi.com.br",
    SUM(SUMIFS(Negócios!L:L,Negócios!A:A,A112,Negócios!B:B,B112,Negócios!R:R,{"FSB";"Ares"},Negócios!AG:AG,"CC 12x"))
    +SUMIFS(Negócios!M:M,Negócios!A:A,A112,Negócios!B:B,B112,Negócios!R:R,"Farmer",Negócios!AG:AG,"CC 12x")
    +SUMIFS(Negócios!N:N,Negócios!A:A,A112,Negócios!B:B,B112,Negócios!R:R,"Farmer",Negócios!AG:AG,"CC 12x"),
  OR(
    D112="anderson.ortiz@altoqi.com.br",
    D112="rafael.motta@altoqi.com.br",
    D112="beatriz@altoqi.com.br"
  ),
    SUMIFS(Negócios!L:L,Negócios!A:A,A112,Negócios!B:B,B112,Negócios!R:R,E112,Negócios!AG:AG,"CC 12x"),
  AND(F112="Gestor",H112="MRR"),
    SUMIFS(I:I,A:A,A112,B:B,B112,G:G,D112),
  TRUE,
    ""
)</f>
        <v>7257.0699999999988</v>
      </c>
      <c r="T112" s="10">
        <f t="shared" si="47"/>
        <v>0.39132240028169341</v>
      </c>
      <c r="U112" s="30">
        <f>SUMIFS('Acel Form Pag'!F:F,'Acel Form Pag'!A:A,A112,'Acel Form Pag'!B:B,B112,'Acel Form Pag'!C:C,E112)</f>
        <v>0</v>
      </c>
      <c r="V112" s="32" cm="1">
        <f t="array" ref="V112">_xlfn.IFS(
  AND(F112="Consultor",H112="MRR",E112="Farmer"),
    SUMIFS(Negócios!M:M,Negócios!A:A,A112,Negócios!B:B,B112,Negócios!P:P,D112,Negócios!AG:AG,"Recorrente")
    +SUMIFS(Negócios!N:N,Negócios!A:A,A112,Negócios!B:B,B112,Negócios!P:P,D112,Negócios!AG:AG,"Recorrente"),
  AND(F112="Consultor",H112="MRR"),
    SUMIFS(Negócios!L:L,Negócios!A:A,A112,Negócios!B:B,B112,Negócios!P:P,D112,Negócios!AG:AG,"Recorrente"),
  AND(F112="Consultor",H112="Opps"),
    SUMIFS('Realizado GD'!D:D,'Realizado GD'!A:A,A112,'Realizado GD'!B:B,B112,'Realizado GD'!C:C,D112),
  D112="sonia.zielinski@altoqi.com.br",
    SUM(SUMIFS(Negócios!L:L,Negócios!A:A,A112,Negócios!B:B,B112,Negócios!R:R,{"FSB";"Ares"},Negócios!AG:AG,"Recorrente"))
    +SUMIFS(Negócios!M:M,Negócios!A:A,A112,Negócios!B:B,B112,Negócios!R:R,"Farmer",Negócios!AG:AG,"Recorrente")
    +SUMIFS(Negócios!N:N,Negócios!A:A,A112,Negócios!B:B,B112,Negócios!R:R,"Farmer",Negócios!AG:AG,"Recorrente"),
  OR(
    D112="anderson.ortiz@altoqi.com.br",
    D112="rafael.motta@altoqi.com.br",
    D112="beatriz@altoqi.com.br"
  ),
    SUMIFS(Negócios!L:L,Negócios!A:A,A112,Negócios!B:B,B112,Negócios!R:R,E112,Negócios!AG:AG,"Recorrente"),
  AND(F112="Gestor",H112="MRR"),
    SUMIFS(I:I,A:A,A112,B:B,B112,G:G,D112),
  TRUE,
    ""
)</f>
        <v>8816.83</v>
      </c>
      <c r="W112" s="10">
        <f t="shared" si="48"/>
        <v>0.47542921295724627</v>
      </c>
      <c r="X112" s="34">
        <f>SUMIFS('Acel Form Pag'!G:G,'Acel Form Pag'!A:A,A112,'Acel Form Pag'!B:B,B112,'Acel Form Pag'!C:C,E112)</f>
        <v>0</v>
      </c>
      <c r="Y112" s="24">
        <f>MAX(_xlfn.MAXIFS(Parâmetros!O:O,Parâmetros!A:A,A112,Parâmetros!B:B,B112,Parâmetros!D:D,D112,Parâmetros!M:M,"&lt;="&amp;K112),_xlfn.MAXIFS(Parâmetros!L:L,Parâmetros!A:A,A112,Parâmetros!B:B,B112,Parâmetros!D:D,D112,Parâmetros!J:J,"&lt;="&amp;K112),_xlfn.MAXIFS(Parâmetros!I:I,Parâmetros!A:A,A112,Parâmetros!B:B,B112,Parâmetros!D:D,D112))</f>
        <v>8100</v>
      </c>
      <c r="Z112" s="9">
        <f>MAX(_xlfn.MAXIFS(Parâmetros!Q:Q,Parâmetros!A:A,A112,Parâmetros!B:B,B112,Parâmetros!D:D,D112,Parâmetros!E:E,E112,Parâmetros!P:P,"&lt;="&amp;K112),
_xlfn.MAXIFS(Parâmetros!S:S,Parâmetros!A:A,A112,Parâmetros!B:B,B112,Parâmetros!D:D,D112,Parâmetros!E:E,E112,Parâmetros!R:R,"&lt;="&amp;K112),
_xlfn.MAXIFS(Parâmetros!U:U,Parâmetros!A:A,A112,Parâmetros!B:B,B112,Parâmetros!D:D,D112,Parâmetros!E:E,E112,Parâmetros!T:T,"&lt;="&amp;K112),1) * IF(K112 &gt;= SUMIFS(Parâmetros!G:G,Parâmetros!A:A,A112,Parâmetros!B:B,B112,Parâmetros!D:D,D112,Parâmetros!E:E,E112),1,0)</f>
        <v>1</v>
      </c>
      <c r="AA112" s="16">
        <f>Y112*Z112*K112</f>
        <v>8934.952355460382</v>
      </c>
      <c r="AB112" s="16">
        <f>(AA112*N112*O112) + (AA112*Q112*R112) + (AA112*T112*U112) + (AA112*W112*X112)</f>
        <v>0</v>
      </c>
      <c r="AC112" s="15">
        <f>IF(F112="Gestor",SUMIFS(AC:AC,A:A,A112,B:B,B112,G:G,D112),
IF(E112="Saving",SUMIFS(Negócios!I:I,Negócios!A:A,A112,Negócios!B:B,B112,Negócios!P:P,D112,Negócios!H:H,"Curso") +
SUMIFS(Negócios!I:I,Negócios!A:A,A112,Negócios!B:B,B112,Negócios!P:P,D112,Negócios!H:H,"Serviço") +
SUMIFS(Negócios!I:I,Negócios!A:A,A112,Negócios!B:B,B112,Negócios!P:P,D112,Negócios!H:H,"Implantação"),
SUMIFS(Negócios!I:I,Negócios!A:A,A112,Negócios!B:B,B112,Negócios!P:P,D112,Negócios!H:H,"Implantação")))</f>
        <v>0</v>
      </c>
      <c r="AD112" s="16">
        <f>SUMIFS(Parâmetros!W:W,Parâmetros!A:A,A112,Parâmetros!B:B,B112,Parâmetros!D:D,D112) * AC112 * IF(K112 &gt;= SUMIFS(Parâmetros!V:V,Parâmetros!A:A,A112,Parâmetros!B:B,B112,Parâmetros!D:D,D112),1,0)</f>
        <v>0</v>
      </c>
      <c r="AE112" s="15">
        <f>SUMIFS('Recuperação de Canc e Divs'!D:D,'Recuperação de Canc e Divs'!A:A,A112,'Recuperação de Canc e Divs'!B:B,B112,'Recuperação de Canc e Divs'!C:C,D112)</f>
        <v>1371.23</v>
      </c>
      <c r="AF112" s="16">
        <f>IF(K112&gt;=SUMIFS(Parâmetros!J:J,Parâmetros!A:A,A112,Parâmetros!B:B,B112,Parâmetros!D:D,D112),AE112*0.025,0)</f>
        <v>34.280750000000005</v>
      </c>
      <c r="AG112" s="15" t="str">
        <f t="shared" si="31"/>
        <v/>
      </c>
      <c r="AH112" s="16" t="str">
        <f t="shared" si="32"/>
        <v/>
      </c>
      <c r="AI112" s="90">
        <f t="shared" si="33"/>
        <v>0</v>
      </c>
      <c r="AJ112" s="16" t="str">
        <f t="shared" si="34"/>
        <v/>
      </c>
      <c r="AK112" s="16" t="str">
        <f t="shared" si="35"/>
        <v/>
      </c>
      <c r="AL112" s="90">
        <f t="shared" si="36"/>
        <v>0</v>
      </c>
      <c r="AM112" s="93" t="str">
        <f>IF(AND(OR(B112=3,B112=6,B112=9,B112=12),AI112&gt;=1),
IF(F112="Gestor",AI112*0.6,AI112*0.3),"")</f>
        <v/>
      </c>
      <c r="AN112" s="94" t="str">
        <f>IF(OR(B112=3,B112=6,B112=9,B112=12),
IF(AND(AL112&gt;=1,AI112&gt;=SUMIFS(Parâmetros!G:G,Parâmetros!A:A,Comissões!A112,Parâmetros!B:B,Comissões!B112,Parâmetros!D:D,Comissões!D112,Parâmetros!E:E,Comissões!E112)),AI112*0.3,""),"")</f>
        <v/>
      </c>
      <c r="AO112" s="16">
        <f t="shared" si="37"/>
        <v>18544.989999999998</v>
      </c>
      <c r="AP112" s="16">
        <f t="shared" si="38"/>
        <v>1.0000000000000002</v>
      </c>
    </row>
    <row r="113" spans="1:42" hidden="1">
      <c r="A113" s="7">
        <v>2026</v>
      </c>
      <c r="B113" s="7">
        <v>4</v>
      </c>
      <c r="C113" s="7" t="str">
        <v>Silvia Estipe</v>
      </c>
      <c r="D113" s="7" t="str">
        <v>silvia.estipe@altoqi.com.br</v>
      </c>
      <c r="E113" s="7" t="str">
        <v>Saving</v>
      </c>
      <c r="F113" s="7" t="str">
        <v>Consultor</v>
      </c>
      <c r="G113" s="7" t="str">
        <v>beatriz@altoqi.com.br</v>
      </c>
      <c r="H113" s="7" t="str">
        <v>MRR</v>
      </c>
      <c r="I113" s="86" cm="1">
        <f t="array" ref="I113">_xlfn.IFS(
  AND(F113="Consultor",H113="MRR",E113="Farmer"),
    SUMIFS(Negócios!M:M,Negócios!A:A,A113,Negócios!B:B,B113,Negócios!P:P,D113)
    +SUMIFS(Negócios!N:N,Negócios!A:A,A113,Negócios!B:B,B113,Negócios!P:P,D113),
  AND(F113="Consultor",H113="MRR"),
    SUMIFS(Negócios!L:L,Negócios!A:A,A113,Negócios!B:B,B113,Negócios!P:P,D113),
  AND(F113="Consultor",H113="Opps"),
    SUMIFS('Realizado GD'!D:D,'Realizado GD'!A:A,A113,'Realizado GD'!B:B,B113,'Realizado GD'!C:C,D113),
  D113="sonia.zielinski@altoqi.com.br",
    SUM(SUMIFS(Negócios!L:L,Negócios!A:A,A113,Negócios!B:B,B113,Negócios!R:R,{"FSB";"Ares"}))
    +SUMIFS(Negócios!M:M,Negócios!A:A,A113,Negócios!B:B,B113,Negócios!R:R,"Farmer")
    +SUMIFS(Negócios!N:N,Negócios!A:A,A113,Negócios!B:B,B113,Negócios!R:R,"Farmer"),
  OR(
    D113="anderson.ortiz@altoqi.com.br",
    D113="rafael.motta@altoqi.com.br",
    D113="beatriz@altoqi.com.br"
  ),
    SUMIFS(Negócios!L:L,Negócios!A:A,A113,Negócios!B:B,B113,Negócios!R:R,E113),
  AND(F113="Gestor",H113="MRR"),
    SUMIFS(I:I,A:A,A113,B:B,B113,G:G,D113),
  TRUE,
    ""
)</f>
        <v>17597.319999999996</v>
      </c>
      <c r="J113" s="16">
        <f>SUMIFS(Metas!K:K,Metas!A:A,A113,Metas!B:B,B113,Metas!D:D,D113,Metas!H:H,H113)</f>
        <v>12920</v>
      </c>
      <c r="K113" s="10">
        <f t="shared" si="44"/>
        <v>1.3620216718266251</v>
      </c>
      <c r="L113" s="26" t="str" cm="1">
        <f t="array" ref="L113">_xlfn.LET(
 _xlpm.g,_xlfn.MAXIFS(Parâmetros!G:G,Parâmetros!A:A,A113,Parâmetros!B:B,B113,Parâmetros!D:D,D113,Parâmetros!E:E,E113),
 _xlpm.j,_xlfn.MAXIFS(Parâmetros!J:J,Parâmetros!A:A,A113,Parâmetros!B:B,B113,Parâmetros!D:D,D113,Parâmetros!E:E,E113),
 _xlpm.m,_xlfn.MAXIFS(Parâmetros!M:M,Parâmetros!A:A,A113,Parâmetros!B:B,B113,Parâmetros!D:D,D113,Parâmetros!E:E,E113),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60,00%</v>
      </c>
      <c r="M113" s="28" cm="1">
        <f t="array" ref="M113">_xlfn.IFS(
  AND(F113="Consultor",H113="MRR",E113="Farmer"),
    SUMIFS(Negócios!M:M,Negócios!A:A,A113,Negócios!B:B,B113,Negócios!P:P,D113,Negócios!AG:AG,"À Vista")
    +SUMIFS(Negócios!N:N,Negócios!A:A,A113,Negócios!B:B,B113,Negócios!P:P,D113,Negócios!AG:AG,"À Vista"),
  AND(F113="Consultor",H113="MRR"),
    SUMIFS(Negócios!L:L,Negócios!A:A,A113,Negócios!B:B,B113,Negócios!P:P,D113,Negócios!AG:AG,"À Vista"),
  AND(F113="Consultor",H113="Opps"),
    SUMIFS('Realizado GD'!D:D,'Realizado GD'!A:A,A113,'Realizado GD'!B:B,B113,'Realizado GD'!C:C,D113),
  D113="sonia.zielinski@altoqi.com.br",
    SUM(SUMIFS(Negócios!L:L,Negócios!A:A,A113,Negócios!B:B,B113,Negócios!R:R,{"FSB";"Ares"},Negócios!AG:AG,"À Vista"))
    +SUMIFS(Negócios!M:M,Negócios!A:A,A113,Negócios!B:B,B113,Negócios!R:R,"Farmer",Negócios!AG:AG,"À Vista")
    +SUMIFS(Negócios!N:N,Negócios!A:A,A113,Negócios!B:B,B113,Negócios!R:R,"Farmer",Negócios!AG:AG,"À Vista"),
  OR(
    D113="anderson.ortiz@altoqi.com.br",
    D113="rafael.motta@altoqi.com.br",
    D113="beatriz@altoqi.com.br"
  ),
    SUMIFS(Negócios!L:L,Negócios!A:A,A113,Negócios!B:B,B113,Negócios!R:R,E113,Negócios!AG:AG,"À Vista"),
  AND(F113="Gestor",H113="MRR"),
    SUMIFS(I:I,A:A,A113,B:B,B113,G:G,D113),
  TRUE,
    ""
)</f>
        <v>1911.29</v>
      </c>
      <c r="N113" s="10">
        <f t="shared" si="45"/>
        <v>0.10861256145822207</v>
      </c>
      <c r="O113" s="30">
        <f>SUMIFS('Acel Form Pag'!D:D,'Acel Form Pag'!A:A,A113,'Acel Form Pag'!B:B,B113,'Acel Form Pag'!C:C,E113)</f>
        <v>0</v>
      </c>
      <c r="P113" s="87" cm="1">
        <f t="array" ref="P113">_xlfn.IFS(
  AND(F113="Consultor",H113="MRR",E113="Farmer"),
    SUMIFS(Negócios!M:M,Negócios!A:A,A113,Negócios!B:B,B113,Negócios!P:P,D113,Negócios!AG:AG,"CC 3x")
    +SUMIFS(Negócios!N:N,Negócios!A:A,A113,Negócios!B:B,B113,Negócios!P:P,D113,Negócios!AG:AG,"CC 3x"),
  AND(F113="Consultor",H113="MRR"),
    SUMIFS(Negócios!L:L,Negócios!A:A,A113,Negócios!B:B,B113,Negócios!P:P,D113,Negócios!AG:AG,"CC 3x"),
  AND(F113="Consultor",H113="Opps"),
    SUMIFS('Realizado GD'!D:D,'Realizado GD'!A:A,A113,'Realizado GD'!B:B,B113,'Realizado GD'!C:C,D113),
  D113="sonia.zielinski@altoqi.com.br",
    SUM(SUMIFS(Negócios!L:L,Negócios!A:A,A113,Negócios!B:B,B113,Negócios!R:R,{"FSB";"Ares"},Negócios!AG:AG,"CC 3x"))
    +SUMIFS(Negócios!M:M,Negócios!A:A,A113,Negócios!B:B,B113,Negócios!R:R,"Farmer",Negócios!AG:AG,"CC 3x")
    +SUMIFS(Negócios!N:N,Negócios!A:A,A113,Negócios!B:B,B113,Negócios!R:R,"Farmer",Negócios!AG:AG,"CC 3x"),
  OR(
    D113="anderson.ortiz@altoqi.com.br",
    D113="rafael.motta@altoqi.com.br",
    D113="beatriz@altoqi.com.br"
  ),
    SUMIFS(Negócios!M:M,Negócios!A:A,A113,Negócios!B:B,B113,Negócios!R:R,E113,Negócios!AG:AG,"CC 3x"),
  AND(F113="Gestor",H113="MRR"),
    SUMIFS(I:I,A:A,A113,B:B,B113,G:G,D113),
  TRUE,
    ""
)</f>
        <v>0</v>
      </c>
      <c r="Q113" s="10">
        <f t="shared" si="46"/>
        <v>0</v>
      </c>
      <c r="R113" s="30">
        <f>SUMIFS('Acel Form Pag'!E:E,'Acel Form Pag'!A:A,A113,'Acel Form Pag'!B:B,B113,'Acel Form Pag'!C:C,E113)</f>
        <v>0</v>
      </c>
      <c r="S113" s="32" cm="1">
        <f t="array" ref="S113">_xlfn.IFS(
  AND(F113="Consultor",H113="MRR",E113="Farmer"),
    SUMIFS(Negócios!M:M,Negócios!A:A,A113,Negócios!B:B,B113,Negócios!P:P,D113,Negócios!AG:AG,"CC 12x")
    +SUMIFS(Negócios!N:N,Negócios!A:A,A113,Negócios!B:B,B113,Negócios!P:P,D113,Negócios!AG:AG,"CC 12x"),
  AND(F113="Consultor",H113="MRR"),
    SUMIFS(Negócios!L:L,Negócios!A:A,A113,Negócios!B:B,B113,Negócios!P:P,D113,Negócios!AG:AG,"CC 12x"),
  AND(F113="Consultor",H113="Opps"),
    SUMIFS('Realizado GD'!D:D,'Realizado GD'!A:A,A113,'Realizado GD'!B:B,B113,'Realizado GD'!C:C,D113),
  D113="sonia.zielinski@altoqi.com.br",
    SUM(SUMIFS(Negócios!L:L,Negócios!A:A,A113,Negócios!B:B,B113,Negócios!R:R,{"FSB";"Ares"},Negócios!AG:AG,"CC 12x"))
    +SUMIFS(Negócios!M:M,Negócios!A:A,A113,Negócios!B:B,B113,Negócios!R:R,"Farmer",Negócios!AG:AG,"CC 12x")
    +SUMIFS(Negócios!N:N,Negócios!A:A,A113,Negócios!B:B,B113,Negócios!R:R,"Farmer",Negócios!AG:AG,"CC 12x"),
  OR(
    D113="anderson.ortiz@altoqi.com.br",
    D113="rafael.motta@altoqi.com.br",
    D113="beatriz@altoqi.com.br"
  ),
    SUMIFS(Negócios!L:L,Negócios!A:A,A113,Negócios!B:B,B113,Negócios!R:R,E113,Negócios!AG:AG,"CC 12x"),
  AND(F113="Gestor",H113="MRR"),
    SUMIFS(I:I,A:A,A113,B:B,B113,G:G,D113),
  TRUE,
    ""
)</f>
        <v>5811.81</v>
      </c>
      <c r="T113" s="10">
        <f t="shared" si="47"/>
        <v>0.33026676789420217</v>
      </c>
      <c r="U113" s="30">
        <f>SUMIFS('Acel Form Pag'!F:F,'Acel Form Pag'!A:A,A113,'Acel Form Pag'!B:B,B113,'Acel Form Pag'!C:C,E113)</f>
        <v>0</v>
      </c>
      <c r="V113" s="32" cm="1">
        <f t="array" ref="V113">_xlfn.IFS(
  AND(F113="Consultor",H113="MRR",E113="Farmer"),
    SUMIFS(Negócios!M:M,Negócios!A:A,A113,Negócios!B:B,B113,Negócios!P:P,D113,Negócios!AG:AG,"Recorrente")
    +SUMIFS(Negócios!N:N,Negócios!A:A,A113,Negócios!B:B,B113,Negócios!P:P,D113,Negócios!AG:AG,"Recorrente"),
  AND(F113="Consultor",H113="MRR"),
    SUMIFS(Negócios!L:L,Negócios!A:A,A113,Negócios!B:B,B113,Negócios!P:P,D113,Negócios!AG:AG,"Recorrente"),
  AND(F113="Consultor",H113="Opps"),
    SUMIFS('Realizado GD'!D:D,'Realizado GD'!A:A,A113,'Realizado GD'!B:B,B113,'Realizado GD'!C:C,D113),
  D113="sonia.zielinski@altoqi.com.br",
    SUM(SUMIFS(Negócios!L:L,Negócios!A:A,A113,Negócios!B:B,B113,Negócios!R:R,{"FSB";"Ares"},Negócios!AG:AG,"Recorrente"))
    +SUMIFS(Negócios!M:M,Negócios!A:A,A113,Negócios!B:B,B113,Negócios!R:R,"Farmer",Negócios!AG:AG,"Recorrente")
    +SUMIFS(Negócios!N:N,Negócios!A:A,A113,Negócios!B:B,B113,Negócios!R:R,"Farmer",Negócios!AG:AG,"Recorrente"),
  OR(
    D113="anderson.ortiz@altoqi.com.br",
    D113="rafael.motta@altoqi.com.br",
    D113="beatriz@altoqi.com.br"
  ),
    SUMIFS(Negócios!L:L,Negócios!A:A,A113,Negócios!B:B,B113,Negócios!R:R,E113,Negócios!AG:AG,"Recorrente"),
  AND(F113="Gestor",H113="MRR"),
    SUMIFS(I:I,A:A,A113,B:B,B113,G:G,D113),
  TRUE,
    ""
)</f>
        <v>9874.2199999999975</v>
      </c>
      <c r="W113" s="10">
        <f t="shared" si="48"/>
        <v>0.56112067064757587</v>
      </c>
      <c r="X113" s="34">
        <f>SUMIFS('Acel Form Pag'!G:G,'Acel Form Pag'!A:A,A113,'Acel Form Pag'!B:B,B113,'Acel Form Pag'!C:C,E113)</f>
        <v>0</v>
      </c>
      <c r="Y113" s="24">
        <f>MAX(_xlfn.MAXIFS(Parâmetros!O:O,Parâmetros!A:A,A113,Parâmetros!B:B,B113,Parâmetros!D:D,D113,Parâmetros!M:M,"&lt;="&amp;K113),_xlfn.MAXIFS(Parâmetros!L:L,Parâmetros!A:A,A113,Parâmetros!B:B,B113,Parâmetros!D:D,D113,Parâmetros!J:J,"&lt;="&amp;K113),_xlfn.MAXIFS(Parâmetros!I:I,Parâmetros!A:A,A113,Parâmetros!B:B,B113,Parâmetros!D:D,D113))</f>
        <v>5400</v>
      </c>
      <c r="Z113" s="9">
        <f>MAX(_xlfn.MAXIFS(Parâmetros!Q:Q,Parâmetros!A:A,A113,Parâmetros!B:B,B113,Parâmetros!D:D,D113,Parâmetros!E:E,E113,Parâmetros!P:P,"&lt;="&amp;K113),
_xlfn.MAXIFS(Parâmetros!S:S,Parâmetros!A:A,A113,Parâmetros!B:B,B113,Parâmetros!D:D,D113,Parâmetros!E:E,E113,Parâmetros!R:R,"&lt;="&amp;K113),
_xlfn.MAXIFS(Parâmetros!U:U,Parâmetros!A:A,A113,Parâmetros!B:B,B113,Parâmetros!D:D,D113,Parâmetros!E:E,E113,Parâmetros!T:T,"&lt;="&amp;K113),1) * IF(K113 &gt;= SUMIFS(Parâmetros!G:G,Parâmetros!A:A,A113,Parâmetros!B:B,B113,Parâmetros!D:D,D113,Parâmetros!E:E,E113),1,0)</f>
        <v>1</v>
      </c>
      <c r="AA113" s="16">
        <f>Y113*Z113*K113</f>
        <v>7354.9170278637757</v>
      </c>
      <c r="AB113" s="16">
        <f>(AA113*N113*O113) + (AA113*Q113*R113) + (AA113*T113*U113) + (AA113*W113*X113)</f>
        <v>0</v>
      </c>
      <c r="AC113" s="15">
        <f>IF(F113="Gestor",SUMIFS(AC:AC,A:A,A113,B:B,B113,G:G,D113),
IF(E113="Saving",SUMIFS(Negócios!I:I,Negócios!A:A,A113,Negócios!B:B,B113,Negócios!P:P,D113,Negócios!H:H,"Curso") +
SUMIFS(Negócios!I:I,Negócios!A:A,A113,Negócios!B:B,B113,Negócios!P:P,D113,Negócios!H:H,"Serviço") +
SUMIFS(Negócios!I:I,Negócios!A:A,A113,Negócios!B:B,B113,Negócios!P:P,D113,Negócios!H:H,"Implantação"),
SUMIFS(Negócios!I:I,Negócios!A:A,A113,Negócios!B:B,B113,Negócios!P:P,D113,Negócios!H:H,"Implantação")))</f>
        <v>0</v>
      </c>
      <c r="AD113" s="16">
        <f>SUMIFS(Parâmetros!W:W,Parâmetros!A:A,A113,Parâmetros!B:B,B113,Parâmetros!D:D,D113) * AC113 * IF(K113 &gt;= SUMIFS(Parâmetros!V:V,Parâmetros!A:A,A113,Parâmetros!B:B,B113,Parâmetros!D:D,D113),1,0)</f>
        <v>0</v>
      </c>
      <c r="AE113" s="15">
        <f>SUMIFS('Recuperação de Canc e Divs'!D:D,'Recuperação de Canc e Divs'!A:A,A113,'Recuperação de Canc e Divs'!B:B,B113,'Recuperação de Canc e Divs'!C:C,D113)</f>
        <v>4053.18</v>
      </c>
      <c r="AF113" s="16">
        <f>IF(K113&gt;=SUMIFS(Parâmetros!J:J,Parâmetros!A:A,A113,Parâmetros!B:B,B113,Parâmetros!D:D,D113),AE113*0.025,0)</f>
        <v>101.3295</v>
      </c>
      <c r="AG113" s="15" t="str">
        <f t="shared" si="31"/>
        <v/>
      </c>
      <c r="AH113" s="16" t="str">
        <f t="shared" si="32"/>
        <v/>
      </c>
      <c r="AI113" s="90">
        <f t="shared" si="33"/>
        <v>0</v>
      </c>
      <c r="AJ113" s="16" t="str">
        <f t="shared" si="34"/>
        <v/>
      </c>
      <c r="AK113" s="16" t="str">
        <f t="shared" si="35"/>
        <v/>
      </c>
      <c r="AL113" s="90">
        <f t="shared" si="36"/>
        <v>0</v>
      </c>
      <c r="AM113" s="93" t="str">
        <f>IF(AND(OR(B113=3,B113=6,B113=9,B113=12),AI113&gt;=1),
IF(F113="Gestor",AI113*0.6,AI113*0.3),"")</f>
        <v/>
      </c>
      <c r="AN113" s="94" t="str">
        <f>IF(OR(B113=3,B113=6,B113=9,B113=12),
IF(AND(AL113&gt;=1,AI113&gt;=SUMIFS(Parâmetros!G:G,Parâmetros!A:A,Comissões!A113,Parâmetros!B:B,Comissões!B113,Parâmetros!D:D,Comissões!D113,Parâmetros!E:E,Comissões!E113)),AI113*0.3,""),"")</f>
        <v/>
      </c>
      <c r="AO113" s="16">
        <f t="shared" si="37"/>
        <v>17597.32</v>
      </c>
      <c r="AP113" s="16">
        <f t="shared" si="38"/>
        <v>1</v>
      </c>
    </row>
    <row r="114" spans="1:42" hidden="1">
      <c r="A114" s="7">
        <v>2026</v>
      </c>
      <c r="B114" s="7">
        <v>4</v>
      </c>
      <c r="C114" s="7" t="str">
        <v>Sonia Maria Zielinski Pockszevnicki</v>
      </c>
      <c r="D114" s="7" t="str">
        <v>sonia.zielinski@altoqi.com.br</v>
      </c>
      <c r="E114" s="7" t="str">
        <v>Sonia</v>
      </c>
      <c r="F114" s="7" t="str">
        <v>Gestor</v>
      </c>
      <c r="G114" s="7">
        <v>0</v>
      </c>
      <c r="H114" s="7" t="str">
        <v>MRR</v>
      </c>
      <c r="I114" s="86" cm="1">
        <f t="array" ref="I114">_xlfn.IFS(
  AND(F114="Consultor",H114="MRR",E114="Farmer"),
    SUMIFS(Negócios!M:M,Negócios!A:A,A114,Negócios!B:B,B114,Negócios!P:P,D114)
    +SUMIFS(Negócios!N:N,Negócios!A:A,A114,Negócios!B:B,B114,Negócios!P:P,D114),
  AND(F114="Consultor",H114="MRR"),
    SUMIFS(Negócios!L:L,Negócios!A:A,A114,Negócios!B:B,B114,Negócios!P:P,D114),
  AND(F114="Consultor",H114="Opps"),
    SUMIFS('Realizado GD'!D:D,'Realizado GD'!A:A,A114,'Realizado GD'!B:B,B114,'Realizado GD'!C:C,D114),
  D114="sonia.zielinski@altoqi.com.br",
    SUM(SUMIFS(Negócios!L:L,Negócios!A:A,A114,Negócios!B:B,B114,Negócios!R:R,{"FSB";"Ares"}))
    +SUMIFS(Negócios!M:M,Negócios!A:A,A114,Negócios!B:B,B114,Negócios!R:R,"Farmer")
    +SUMIFS(Negócios!N:N,Negócios!A:A,A114,Negócios!B:B,B114,Negócios!R:R,"Farmer"),
  OR(
    D114="anderson.ortiz@altoqi.com.br",
    D114="rafael.motta@altoqi.com.br",
    D114="beatriz@altoqi.com.br"
  ),
    SUMIFS(Negócios!L:L,Negócios!A:A,A114,Negócios!B:B,B114,Negócios!R:R,E114),
  AND(F114="Gestor",H114="MRR"),
    SUMIFS(I:I,A:A,A114,B:B,B114,G:G,D114),
  TRUE,
    ""
)</f>
        <v>119667.29457365998</v>
      </c>
      <c r="J114" s="16">
        <f>SUMIFS(Metas!K:K,Metas!A:A,A114,Metas!B:B,B114,Metas!D:D,D114,Metas!H:H,H114)</f>
        <v>127751</v>
      </c>
      <c r="K114" s="10">
        <f t="shared" si="44"/>
        <v>0.93672295773543834</v>
      </c>
      <c r="L114" s="26" t="str" cm="1">
        <f t="array" ref="L114">_xlfn.LET(
 _xlpm.g,_xlfn.MAXIFS(Parâmetros!G:G,Parâmetros!A:A,A114,Parâmetros!B:B,B114,Parâmetros!D:D,D114,Parâmetros!E:E,E114),
 _xlpm.j,_xlfn.MAXIFS(Parâmetros!J:J,Parâmetros!A:A,A114,Parâmetros!B:B,B114,Parâmetros!D:D,D114,Parâmetros!E:E,E114),
 _xlpm.m,_xlfn.MAXIFS(Parâmetros!M:M,Parâmetros!A:A,A114,Parâmetros!B:B,B114,Parâmetros!D:D,D114,Parâmetros!E:E,E114),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/>
      </c>
      <c r="M114" s="28" cm="1">
        <f t="array" ref="M114">_xlfn.IFS(
  AND(F114="Consultor",H114="MRR",E114="Farmer"),
    SUMIFS(Negócios!M:M,Negócios!A:A,A114,Negócios!B:B,B114,Negócios!P:P,D114,Negócios!AG:AG,"À Vista")
    +SUMIFS(Negócios!N:N,Negócios!A:A,A114,Negócios!B:B,B114,Negócios!P:P,D114,Negócios!AG:AG,"À Vista"),
  AND(F114="Consultor",H114="MRR"),
    SUMIFS(Negócios!L:L,Negócios!A:A,A114,Negócios!B:B,B114,Negócios!P:P,D114,Negócios!AG:AG,"À Vista"),
  AND(F114="Consultor",H114="Opps"),
    SUMIFS('Realizado GD'!D:D,'Realizado GD'!A:A,A114,'Realizado GD'!B:B,B114,'Realizado GD'!C:C,D114),
  D114="sonia.zielinski@altoqi.com.br",
    SUM(SUMIFS(Negócios!L:L,Negócios!A:A,A114,Negócios!B:B,B114,Negócios!R:R,{"FSB";"Ares"},Negócios!AG:AG,"À Vista"))
    +SUMIFS(Negócios!M:M,Negócios!A:A,A114,Negócios!B:B,B114,Negócios!R:R,"Farmer",Negócios!AG:AG,"À Vista")
    +SUMIFS(Negócios!N:N,Negócios!A:A,A114,Negócios!B:B,B114,Negócios!R:R,"Farmer",Negócios!AG:AG,"À Vista"),
  OR(
    D114="anderson.ortiz@altoqi.com.br",
    D114="rafael.motta@altoqi.com.br",
    D114="beatriz@altoqi.com.br"
  ),
    SUMIFS(Negócios!L:L,Negócios!A:A,A114,Negócios!B:B,B114,Negócios!R:R,E114,Negócios!AG:AG,"À Vista"),
  AND(F114="Gestor",H114="MRR"),
    SUMIFS(I:I,A:A,A114,B:B,B114,G:G,D114),
  TRUE,
    ""
)</f>
        <v>12314.18031</v>
      </c>
      <c r="N114" s="10">
        <f t="shared" si="45"/>
        <v>0.10290347378431065</v>
      </c>
      <c r="O114" s="30">
        <f>SUMIFS('Acel Form Pag'!D:D,'Acel Form Pag'!A:A,A114,'Acel Form Pag'!B:B,B114,'Acel Form Pag'!C:C,E114)</f>
        <v>1.4</v>
      </c>
      <c r="P114" s="87" cm="1">
        <f t="array" ref="P114">_xlfn.IFS(
  AND(F114="Consultor",H114="MRR",E114="Farmer"),
    SUMIFS(Negócios!M:M,Negócios!A:A,A114,Negócios!B:B,B114,Negócios!P:P,D114,Negócios!AG:AG,"CC 3x")
    +SUMIFS(Negócios!N:N,Negócios!A:A,A114,Negócios!B:B,B114,Negócios!P:P,D114,Negócios!AG:AG,"CC 3x"),
  AND(F114="Consultor",H114="MRR"),
    SUMIFS(Negócios!L:L,Negócios!A:A,A114,Negócios!B:B,B114,Negócios!P:P,D114,Negócios!AG:AG,"CC 3x"),
  AND(F114="Consultor",H114="Opps"),
    SUMIFS('Realizado GD'!D:D,'Realizado GD'!A:A,A114,'Realizado GD'!B:B,B114,'Realizado GD'!C:C,D114),
  D114="sonia.zielinski@altoqi.com.br",
    SUM(SUMIFS(Negócios!L:L,Negócios!A:A,A114,Negócios!B:B,B114,Negócios!R:R,{"FSB";"Ares"},Negócios!AG:AG,"CC 3x"))
    +SUMIFS(Negócios!M:M,Negócios!A:A,A114,Negócios!B:B,B114,Negócios!R:R,"Farmer",Negócios!AG:AG,"CC 3x")
    +SUMIFS(Negócios!N:N,Negócios!A:A,A114,Negócios!B:B,B114,Negócios!R:R,"Farmer",Negócios!AG:AG,"CC 3x"),
  OR(
    D114="anderson.ortiz@altoqi.com.br",
    D114="rafael.motta@altoqi.com.br",
    D114="beatriz@altoqi.com.br"
  ),
    SUMIFS(Negócios!M:M,Negócios!A:A,A114,Negócios!B:B,B114,Negócios!R:R,E114,Negócios!AG:AG,"CC 3x"),
  AND(F114="Gestor",H114="MRR"),
    SUMIFS(I:I,A:A,A114,B:B,B114,G:G,D114),
  TRUE,
    ""
)</f>
        <v>940.28000000000009</v>
      </c>
      <c r="Q114" s="10">
        <f t="shared" si="46"/>
        <v>7.857451807111929E-3</v>
      </c>
      <c r="R114" s="30">
        <f>SUMIFS('Acel Form Pag'!E:E,'Acel Form Pag'!A:A,A114,'Acel Form Pag'!B:B,B114,'Acel Form Pag'!C:C,E114)</f>
        <v>1.3</v>
      </c>
      <c r="S114" s="32" cm="1">
        <f t="array" ref="S114">_xlfn.IFS(
  AND(F114="Consultor",H114="MRR",E114="Farmer"),
    SUMIFS(Negócios!M:M,Negócios!A:A,A114,Negócios!B:B,B114,Negócios!P:P,D114,Negócios!AG:AG,"CC 12x")
    +SUMIFS(Negócios!N:N,Negócios!A:A,A114,Negócios!B:B,B114,Negócios!P:P,D114,Negócios!AG:AG,"CC 12x"),
  AND(F114="Consultor",H114="MRR"),
    SUMIFS(Negócios!L:L,Negócios!A:A,A114,Negócios!B:B,B114,Negócios!P:P,D114,Negócios!AG:AG,"CC 12x"),
  AND(F114="Consultor",H114="Opps"),
    SUMIFS('Realizado GD'!D:D,'Realizado GD'!A:A,A114,'Realizado GD'!B:B,B114,'Realizado GD'!C:C,D114),
  D114="sonia.zielinski@altoqi.com.br",
    SUM(SUMIFS(Negócios!L:L,Negócios!A:A,A114,Negócios!B:B,B114,Negócios!R:R,{"FSB";"Ares"},Negócios!AG:AG,"CC 12x"))
    +SUMIFS(Negócios!M:M,Negócios!A:A,A114,Negócios!B:B,B114,Negócios!R:R,"Farmer",Negócios!AG:AG,"CC 12x")
    +SUMIFS(Negócios!N:N,Negócios!A:A,A114,Negócios!B:B,B114,Negócios!R:R,"Farmer",Negócios!AG:AG,"CC 12x"),
  OR(
    D114="anderson.ortiz@altoqi.com.br",
    D114="rafael.motta@altoqi.com.br",
    D114="beatriz@altoqi.com.br"
  ),
    SUMIFS(Negócios!L:L,Negócios!A:A,A114,Negócios!B:B,B114,Negócios!R:R,E114,Negócios!AG:AG,"CC 12x"),
  AND(F114="Gestor",H114="MRR"),
    SUMIFS(I:I,A:A,A114,B:B,B114,G:G,D114),
  TRUE,
    ""
)</f>
        <v>36355.252609999996</v>
      </c>
      <c r="T114" s="10">
        <f t="shared" si="47"/>
        <v>0.30380274526572415</v>
      </c>
      <c r="U114" s="30">
        <f>SUMIFS('Acel Form Pag'!F:F,'Acel Form Pag'!A:A,A114,'Acel Form Pag'!B:B,B114,'Acel Form Pag'!C:C,E114)</f>
        <v>1.2</v>
      </c>
      <c r="V114" s="32" cm="1">
        <f t="array" ref="V114">_xlfn.IFS(
  AND(F114="Consultor",H114="MRR",E114="Farmer"),
    SUMIFS(Negócios!M:M,Negócios!A:A,A114,Negócios!B:B,B114,Negócios!P:P,D114,Negócios!AG:AG,"Recorrente")
    +SUMIFS(Negócios!N:N,Negócios!A:A,A114,Negócios!B:B,B114,Negócios!P:P,D114,Negócios!AG:AG,"Recorrente"),
  AND(F114="Consultor",H114="MRR"),
    SUMIFS(Negócios!L:L,Negócios!A:A,A114,Negócios!B:B,B114,Negócios!P:P,D114,Negócios!AG:AG,"Recorrente"),
  AND(F114="Consultor",H114="Opps"),
    SUMIFS('Realizado GD'!D:D,'Realizado GD'!A:A,A114,'Realizado GD'!B:B,B114,'Realizado GD'!C:C,D114),
  D114="sonia.zielinski@altoqi.com.br",
    SUM(SUMIFS(Negócios!L:L,Negócios!A:A,A114,Negócios!B:B,B114,Negócios!R:R,{"FSB";"Ares"},Negócios!AG:AG,"Recorrente"))
    +SUMIFS(Negócios!M:M,Negócios!A:A,A114,Negócios!B:B,B114,Negócios!R:R,"Farmer",Negócios!AG:AG,"Recorrente")
    +SUMIFS(Negócios!N:N,Negócios!A:A,A114,Negócios!B:B,B114,Negócios!R:R,"Farmer",Negócios!AG:AG,"Recorrente"),
  OR(
    D114="anderson.ortiz@altoqi.com.br",
    D114="rafael.motta@altoqi.com.br",
    D114="beatriz@altoqi.com.br"
  ),
    SUMIFS(Negócios!L:L,Negócios!A:A,A114,Negócios!B:B,B114,Negócios!R:R,E114,Negócios!AG:AG,"Recorrente"),
  AND(F114="Gestor",H114="MRR"),
    SUMIFS(I:I,A:A,A114,B:B,B114,G:G,D114),
  TRUE,
    ""
)</f>
        <v>70057.581653659989</v>
      </c>
      <c r="W114" s="10">
        <f t="shared" si="48"/>
        <v>0.58543632914285337</v>
      </c>
      <c r="X114" s="34">
        <f>SUMIFS('Acel Form Pag'!G:G,'Acel Form Pag'!A:A,A114,'Acel Form Pag'!B:B,B114,'Acel Form Pag'!C:C,E114)</f>
        <v>1</v>
      </c>
      <c r="Y114" s="24">
        <f>MAX(_xlfn.MAXIFS(Parâmetros!O:O,Parâmetros!A:A,A114,Parâmetros!B:B,B114,Parâmetros!D:D,D114,Parâmetros!M:M,"&lt;="&amp;K114),_xlfn.MAXIFS(Parâmetros!L:L,Parâmetros!A:A,A114,Parâmetros!B:B,B114,Parâmetros!D:D,D114,Parâmetros!J:J,"&lt;="&amp;K114),_xlfn.MAXIFS(Parâmetros!I:I,Parâmetros!A:A,A114,Parâmetros!B:B,B114,Parâmetros!D:D,D114))</f>
        <v>9424.7999999999993</v>
      </c>
      <c r="Z114" s="9">
        <f>MAX(_xlfn.MAXIFS(Parâmetros!Q:Q,Parâmetros!A:A,A114,Parâmetros!B:B,B114,Parâmetros!D:D,D114,Parâmetros!E:E,E114,Parâmetros!P:P,"&lt;="&amp;K114),
_xlfn.MAXIFS(Parâmetros!S:S,Parâmetros!A:A,A114,Parâmetros!B:B,B114,Parâmetros!D:D,D114,Parâmetros!E:E,E114,Parâmetros!R:R,"&lt;="&amp;K114),
_xlfn.MAXIFS(Parâmetros!U:U,Parâmetros!A:A,A114,Parâmetros!B:B,B114,Parâmetros!D:D,D114,Parâmetros!E:E,E114,Parâmetros!T:T,"&lt;="&amp;K114),1) * IF(K114 &gt;= SUMIFS(Parâmetros!G:G,Parâmetros!A:A,A114,Parâmetros!B:B,B114,Parâmetros!D:D,D114,Parâmetros!E:E,E114),1,0)</f>
        <v>1</v>
      </c>
      <c r="AA114" s="16">
        <f>Y114*Z114*K114</f>
        <v>8828.4265320649592</v>
      </c>
      <c r="AB114" s="16">
        <f>(AA114*N114*O114) + (AA114*Q114*R114) + (AA114*T114*U114) + (AA114*W114*X114)</f>
        <v>9749.0475595107018</v>
      </c>
      <c r="AC114" s="15">
        <f>IF(F114="Gestor",SUMIFS(AC:AC,A:A,A114,B:B,B114,G:G,D114),
IF(E114="Saving",SUMIFS(Negócios!I:I,Negócios!A:A,A114,Negócios!B:B,B114,Negócios!P:P,D114,Negócios!H:H,"Curso") +
SUMIFS(Negócios!I:I,Negócios!A:A,A114,Negócios!B:B,B114,Negócios!P:P,D114,Negócios!H:H,"Serviço") +
SUMIFS(Negócios!I:I,Negócios!A:A,A114,Negócios!B:B,B114,Negócios!P:P,D114,Negócios!H:H,"Implantação"),
SUMIFS(Negócios!I:I,Negócios!A:A,A114,Negócios!B:B,B114,Negócios!P:P,D114,Negócios!H:H,"Implantação")))</f>
        <v>16480</v>
      </c>
      <c r="AD114" s="16">
        <f>SUMIFS(Parâmetros!W:W,Parâmetros!A:A,A114,Parâmetros!B:B,B114,Parâmetros!D:D,D114) * AC114 * IF(K114 &gt;= SUMIFS(Parâmetros!V:V,Parâmetros!A:A,A114,Parâmetros!B:B,B114,Parâmetros!D:D,D114),1,0)</f>
        <v>82.4</v>
      </c>
      <c r="AE114" s="15">
        <f>SUMIFS('Recuperação de Canc e Divs'!D:D,'Recuperação de Canc e Divs'!A:A,A114,'Recuperação de Canc e Divs'!B:B,B114,'Recuperação de Canc e Divs'!C:C,D114)</f>
        <v>0</v>
      </c>
      <c r="AF114" s="16">
        <f>IF(K114&gt;=SUMIFS(Parâmetros!J:J,Parâmetros!A:A,A114,Parâmetros!B:B,B114,Parâmetros!D:D,D114),AE114*0.025,0)</f>
        <v>0</v>
      </c>
      <c r="AG114" s="15" t="str">
        <f t="shared" ref="AG114" si="49">IF(OR(B114=3,B114=6,B114=9,B114=12),
SUMIFS(I:I,$A:$A,$A114,$B:$B,"&gt;="&amp;(B114-2),$B:$B,"&lt;="&amp;B114,$D:$D,$D114),"")</f>
        <v/>
      </c>
      <c r="AH114" s="16" t="str">
        <f t="shared" ref="AH114" si="50">IF(OR(B114=3,B114=6,B114=9,B114=12),
SUMIFS(J:J,$A:$A,$A114,$B:$B,"&gt;="&amp;(B114-2),$B:$B,"&lt;="&amp;B114,$D:$D,$D114),"")</f>
        <v/>
      </c>
      <c r="AI114" s="90">
        <f t="shared" ref="AI114" si="51">IFERROR(AG114/AH114,0)</f>
        <v>0</v>
      </c>
      <c r="AJ114" s="16" t="str">
        <f t="shared" ref="AJ114" si="52">IF(F114="Gestor","",
IF(OR(B114=3,B114=6,B114=9,B114=12),
SUMIFS(I:I,$A:$A,$A114,$B:$B,"&gt;="&amp;(B114-2),$B:$B,"&lt;="&amp;B114,$E:$E,$E114,$F:$F,"&lt;&gt;Gestor"),
""))</f>
        <v/>
      </c>
      <c r="AK114" s="16" t="str">
        <f t="shared" ref="AK114" si="53">IF(F114="Gestor","",
IF(OR(B114=3,B114=6,B114=9,B114=12),
SUMIFS(J:J,$A:$A,$A114,$B:$B,"&gt;="&amp;(B114-2),$B:$B,"&lt;="&amp;B114,$E:$E,$E114,$F:$F,"&lt;&gt;Gestor"),
""))</f>
        <v/>
      </c>
      <c r="AL114" s="90">
        <f t="shared" ref="AL114" si="54">IFERROR(AJ114/AK114,0)</f>
        <v>0</v>
      </c>
      <c r="AM114" s="93" t="str">
        <f>IF(AND(OR(B114=3,B114=6,B114=9,B114=12),AI114&gt;=1),
IF(F114="Gestor",AI114*0.6,AI114*0.3),"")</f>
        <v/>
      </c>
      <c r="AN114" s="94" t="str">
        <f>IF(OR(B114=3,B114=6,B114=9,B114=12),
IF(AND(AL114&gt;=1,AI114&gt;=SUMIFS(Parâmetros!G:G,Parâmetros!A:A,Comissões!A114,Parâmetros!B:B,Comissões!B114,Parâmetros!D:D,Comissões!D114,Parâmetros!E:E,Comissões!E114)),AI114*0.3,""),"")</f>
        <v/>
      </c>
      <c r="AO114" s="16">
        <f t="shared" si="37"/>
        <v>119667.29457365998</v>
      </c>
      <c r="AP114" s="16">
        <f t="shared" si="38"/>
        <v>1</v>
      </c>
    </row>
    <row r="115" spans="1:42" hidden="1">
      <c r="A115" s="7">
        <v>2026</v>
      </c>
      <c r="B115" s="7">
        <v>5</v>
      </c>
      <c r="C115" s="7" t="str">
        <v>Eloyse Silveira</v>
      </c>
      <c r="D115" s="7" t="str">
        <v>eloyse.silveira@altoqi.com.br</v>
      </c>
      <c r="E115" s="7" t="str">
        <v>B2B Construtora</v>
      </c>
      <c r="F115" s="7" t="str">
        <v>Consultor</v>
      </c>
      <c r="G115" s="7" t="str">
        <v>rafael.acencio@altoqi.com.br</v>
      </c>
      <c r="H115" s="7" t="str">
        <v>MRR</v>
      </c>
      <c r="I115" s="86" cm="1">
        <f t="array" ref="I115">IF(
  D115="rafael.acencio@altoqi.com.br",
  SUMIFS(Negócios!L:L,Negócios!A:A,A115,Negócios!B:B,B115,Negócios!Q:Q,E115,Negócios!AH:AH,"&lt;&gt;n"),
  _xlfn.IFS(
    AND(F115="Consultor",H115="MRR",E115="Farmer"),
      SUMIFS(Negócios!M:M,Negócios!A:A,A115,Negócios!B:B,B115,Negócios!P:P,D115,Negócios!AH:AH,"&lt;&gt;n")
      +SUMIFS(Negócios!N:N,Negócios!A:A,A115,Negócios!B:B,B115,Negócios!P:P,D115,Negócios!AH:AH,"&lt;&gt;n"),
    AND(F115="Consultor",H115="MRR"),
      SUMIFS(Negócios!L:L,Negócios!A:A,A115,Negócios!B:B,B115,Negócios!P:P,D115,Negócios!AH:AH,"&lt;&gt;n"),
    AND(F115="Consultor",H115="Opps"),
      SUMIFS('Realizado GD'!D:D,'Realizado GD'!A:A,A115,'Realizado GD'!B:B,B115,'Realizado GD'!C:C,D115),
    D115="sonia.zielinski@altoqi.com.br",
      SUM(SUMIFS(Negócios!L:L,Negócios!A:A,A115,Negócios!B:B,B115,Negócios!R:R,{"FSB";"Ares"},Negócios!AH:AH,"&lt;&gt;n"))
      +SUMIFS(Negócios!M:M,Negócios!A:A,A115,Negócios!B:B,B115,Negócios!R:R,"Farmer",Negócios!AH:AH,"&lt;&gt;n")
      +SUMIFS(Negócios!N:N,Negócios!A:A,A115,Negócios!B:B,B115,Negócios!R:R,"Farmer",Negócios!AH:AH,"&lt;&gt;n"),
    OR(
      D115="anderson.ortiz@altoqi.com.br",
      D115="rafael.motta@altoqi.com.br",
      D115="beatriz@altoqi.com.br"
    ),
      SUMIFS(Negócios!L:L,Negócios!A:A,A115,Negócios!B:B,B115,Negócios!R:R,E115,Negócios!AH:AH,"&lt;&gt;n"),
    AND(F115="Gestor",H115="MRR"),
      SUMIFS(I:I,A:A,A115,B:B,B115,G:G,D115),
    TRUE,
      ""
  )
)</f>
        <v>8206.0650000000005</v>
      </c>
      <c r="J115" s="16">
        <f>SUMIFS(Metas!K:K,Metas!A:A,A115,Metas!B:B,B115,Metas!D:D,D115,Metas!H:H,H115)</f>
        <v>8800</v>
      </c>
      <c r="K115" s="10">
        <f t="shared" ref="K115:K142" si="55">IFERROR(I115/J115,0)</f>
        <v>0.93250738636363639</v>
      </c>
      <c r="L115" s="26" t="str" cm="1">
        <f t="array" ref="L115">_xlfn.LET(
 _xlpm.g,_xlfn.MAXIFS(Parâmetros!G:G,Parâmetros!A:A,A115,Parâmetros!B:B,B115,Parâmetros!D:D,D115,Parâmetros!E:E,E115),
 _xlpm.j,_xlfn.MAXIFS(Parâmetros!J:J,Parâmetros!A:A,A115,Parâmetros!B:B,B115,Parâmetros!D:D,D115,Parâmetros!E:E,E115),
 _xlpm.m,_xlfn.MAXIFS(Parâmetros!M:M,Parâmetros!A:A,A115,Parâmetros!B:B,B115,Parâmetros!D:D,D115,Parâmetros!E:E,E115),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/>
      </c>
      <c r="M115" s="28" cm="1">
        <f t="array" ref="M115">IF(
  D115="rafael.acencio@altoqi.com.br",
  SUMIFS(Negócios!L:L,Negócios!A:A,A115,Negócios!B:B,B115,Negócios!Q:Q,E115,Negócios!AG:AG,"À Vista",Negócios!AH:AH,"&lt;&gt;n"),
  _xlfn.IFS(
    AND(F115="Consultor",H115="MRR",E115="Farmer"),
      SUMIFS(Negócios!M:M,Negócios!A:A,A115,Negócios!B:B,B115,Negócios!P:P,D115,Negócios!AG:AG,"À Vista",Negócios!AH:AH,"&lt;&gt;n")
      +SUMIFS(Negócios!N:N,Negócios!A:A,A115,Negócios!B:B,B115,Negócios!P:P,D115,Negócios!AG:AG,"À Vista",Negócios!AH:AH,"&lt;&gt;n"),
    AND(F115="Consultor",H115="MRR"),
      SUMIFS(Negócios!L:L,Negócios!A:A,A115,Negócios!B:B,B115,Negócios!P:P,D115,Negócios!AG:AG,"À Vista",Negócios!AH:AH,"&lt;&gt;n"),
    AND(F115="Consultor",H115="Opps"),
      SUMIFS('Realizado GD'!D:D,'Realizado GD'!A:A,A115,'Realizado GD'!B:B,B115,'Realizado GD'!C:C,D115),
    D115="sonia.zielinski@altoqi.com.br",
      SUM(SUMIFS(Negócios!L:L,Negócios!A:A,A115,Negócios!B:B,B115,Negócios!R:R,{"FSB";"Ares"},Negócios!AG:AG,"À Vista",Negócios!AH:AH,"&lt;&gt;n"))
      +SUMIFS(Negócios!M:M,Negócios!A:A,A115,Negócios!B:B,B115,Negócios!R:R,"Farmer",Negócios!AG:AG,"À Vista",Negócios!AH:AH,"&lt;&gt;n")
      +SUMIFS(Negócios!N:N,Negócios!A:A,A115,Negócios!B:B,B115,Negócios!R:R,"Farmer",Negócios!AG:AG,"À Vista",Negócios!AH:AH,"&lt;&gt;n"),
    OR(
      D115="anderson.ortiz@altoqi.com.br",
      D115="rafael.motta@altoqi.com.br",
      D115="beatriz@altoqi.com.br"
    ),
      SUMIFS(Negócios!L:L,Negócios!A:A,A115,Negócios!B:B,B115,Negócios!R:R,E115,Negócios!AG:AG,"À Vista",Negócios!AH:AH,"&lt;&gt;n"),
    AND(F115="Gestor",H115="MRR"),
      SUMIFS(I:I,A:A,A115,B:B,B115,G:G,D115),
    TRUE,
      ""
  )
)</f>
        <v>639.46500000000003</v>
      </c>
      <c r="N115" s="10">
        <f t="shared" si="45"/>
        <v>7.7925899928894052E-2</v>
      </c>
      <c r="O115" s="30">
        <f>SUMIFS('Acel Form Pag'!D:D,'Acel Form Pag'!A:A,A115,'Acel Form Pag'!B:B,B115,'Acel Form Pag'!C:C,E115)</f>
        <v>1.3</v>
      </c>
      <c r="P115" s="87" cm="1">
        <f t="array" ref="P115">IF(
  D115="rafael.acencio@altoqi.com.br",
  SUMIFS(Negócios!M:M,Negócios!A:A,A115,Negócios!B:B,B115,Negócios!Q:Q,E115,Negócios!AG:AG,"CC 3x",Negócios!AH:AH,"&lt;&gt;n"),
  _xlfn.IFS(
    AND(F115="Consultor",H115="MRR",E115="Farmer"),
      SUMIFS(Negócios!M:M,Negócios!A:A,A115,Negócios!B:B,B115,Negócios!P:P,D115,Negócios!AG:AG,"CC 3x",Negócios!AH:AH,"&lt;&gt;n")
      +SUMIFS(Negócios!N:N,Negócios!A:A,A115,Negócios!B:B,B115,Negócios!P:P,D115,Negócios!AG:AG,"CC 3x",Negócios!AH:AH,"&lt;&gt;n"),
    AND(F115="Consultor",H115="MRR"),
      SUMIFS(Negócios!L:L,Negócios!A:A,A115,Negócios!B:B,B115,Negócios!P:P,D115,Negócios!AG:AG,"CC 3x",Negócios!AH:AH,"&lt;&gt;n"),
    AND(F115="Consultor",H115="Opps"),
      SUMIFS('Realizado GD'!D:D,'Realizado GD'!A:A,A115,'Realizado GD'!B:B,B115,'Realizado GD'!C:C,D115),
    D115="sonia.zielinski@altoqi.com.br",
      SUM(SUMIFS(Negócios!L:L,Negócios!A:A,A115,Negócios!B:B,B115,Negócios!R:R,{"FSB";"Ares"},Negócios!AG:AG,"CC 3x",Negócios!AH:AH,"&lt;&gt;n"))
      +SUMIFS(Negócios!M:M,Negócios!A:A,A115,Negócios!B:B,B115,Negócios!R:R,"Farmer",Negócios!AG:AG,"CC 3x",Negócios!AH:AH,"&lt;&gt;n")
      +SUMIFS(Negócios!N:N,Negócios!A:A,A115,Negócios!B:B,B115,Negócios!R:R,"Farmer",Negócios!AG:AG,"CC 3x",Negócios!AH:AH,"&lt;&gt;n"),
    OR(
      D115="anderson.ortiz@altoqi.com.br",
      D115="rafael.motta@altoqi.com.br",
      D115="beatriz@altoqi.com.br"
    ),
      SUMIFS(Negócios!M:M,Negócios!A:A,A115,Negócios!B:B,B115,Negócios!R:R,E115,Negócios!AG:AG,"CC 3x",Negócios!AH:AH,"&lt;&gt;n"),
    AND(F115="Gestor",H115="MRR"),
      SUMIFS(I:I,A:A,A115,B:B,B115,G:G,D115),
    TRUE,
      ""
  )
)</f>
        <v>0</v>
      </c>
      <c r="Q115" s="10">
        <f t="shared" si="46"/>
        <v>0</v>
      </c>
      <c r="R115" s="30">
        <f>SUMIFS('Acel Form Pag'!E:E,'Acel Form Pag'!A:A,A115,'Acel Form Pag'!B:B,B115,'Acel Form Pag'!C:C,E115)</f>
        <v>1.1499999999999999</v>
      </c>
      <c r="S115" s="32" cm="1">
        <f t="array" ref="S115">IF(
  D115="rafael.acencio@altoqi.com.br",
  SUMIFS(Negócios!L:L,Negócios!A:A,A115,Negócios!B:B,B115,Negócios!Q:Q,E115,Negócios!AG:AG,"CC 12x",Negócios!AH:AH,"&lt;&gt;n"),
  _xlfn.IFS(
    AND(F115="Consultor",H115="MRR",E115="Farmer"),
      SUMIFS(Negócios!M:M,Negócios!A:A,A115,Negócios!B:B,B115,Negócios!P:P,D115,Negócios!AG:AG,"CC 12x",Negócios!AH:AH,"&lt;&gt;n")
      +SUMIFS(Negócios!N:N,Negócios!A:A,A115,Negócios!B:B,B115,Negócios!P:P,D115,Negócios!AG:AG,"CC 12x",Negócios!AH:AH,"&lt;&gt;n"),
    AND(F115="Consultor",H115="MRR"),
      SUMIFS(Negócios!L:L,Negócios!A:A,A115,Negócios!B:B,B115,Negócios!P:P,D115,Negócios!AG:AG,"CC 12x",Negócios!AH:AH,"&lt;&gt;n"),
    AND(F115="Consultor",H115="Opps"),
      SUMIFS('Realizado GD'!D:D,'Realizado GD'!A:A,A115,'Realizado GD'!B:B,B115,'Realizado GD'!C:C,D115),
    D115="sonia.zielinski@altoqi.com.br",
      SUM(SUMIFS(Negócios!L:L,Negócios!A:A,A115,Negócios!B:B,B115,Negócios!R:R,{"FSB";"Ares"},Negócios!AG:AG,"CC 12x",Negócios!AH:AH,"&lt;&gt;n"))
      +SUMIFS(Negócios!M:M,Negócios!A:A,A115,Negócios!B:B,B115,Negócios!R:R,"Farmer",Negócios!AG:AG,"CC 12x",Negócios!AH:AH,"&lt;&gt;n")
      +SUMIFS(Negócios!N:N,Negócios!A:A,A115,Negócios!B:B,B115,Negócios!R:R,"Farmer",Negócios!AG:AG,"CC 12x",Negócios!AH:AH,"&lt;&gt;n"),
    OR(
      D115="anderson.ortiz@altoqi.com.br",
      D115="rafael.motta@altoqi.com.br",
      D115="beatriz@altoqi.com.br"
    ),
      SUMIFS(Negócios!L:L,Negócios!A:A,A115,Negócios!B:B,B115,Negócios!R:R,E115,Negócios!AG:AG,"CC 12x",Negócios!AH:AH,"&lt;&gt;n"),
    AND(F115="Gestor",H115="MRR"),
      SUMIFS(I:I,A:A,A115,B:B,B115,G:G,D115),
    TRUE,
      ""
  )
)</f>
        <v>917.89499999999998</v>
      </c>
      <c r="T115" s="10">
        <f t="shared" si="47"/>
        <v>0.11185568235201646</v>
      </c>
      <c r="U115" s="30">
        <f>SUMIFS('Acel Form Pag'!F:F,'Acel Form Pag'!A:A,A115,'Acel Form Pag'!B:B,B115,'Acel Form Pag'!C:C,E115)</f>
        <v>1.1499999999999999</v>
      </c>
      <c r="V115" s="32" cm="1">
        <f t="array" ref="V115">IF(
  D115="rafael.acencio@altoqi.com.br",
  SUMIFS(Negócios!L:L,Negócios!A:A,A115,Negócios!B:B,B115,Negócios!Q:Q,E115,Negócios!AG:AG,"Recorrente",Negócios!AH:AH,"&lt;&gt;n"),
  _xlfn.IFS(
    AND(F115="Consultor",H115="MRR",E115="Farmer"),
      SUMIFS(Negócios!M:M,Negócios!A:A,A115,Negócios!B:B,B115,Negócios!P:P,D115,Negócios!AG:AG,"Recorrente",Negócios!AH:AH,"&lt;&gt;n")
      +SUMIFS(Negócios!N:N,Negócios!A:A,A115,Negócios!B:B,B115,Negócios!P:P,D115,Negócios!AG:AG,"Recorrente",Negócios!AH:AH,"&lt;&gt;n"),
    AND(F115="Consultor",H115="MRR"),
      SUMIFS(Negócios!L:L,Negócios!A:A,A115,Negócios!B:B,B115,Negócios!P:P,D115,Negócios!AG:AG,"Recorrente",Negócios!AH:AH,"&lt;&gt;n"),
    AND(F115="Consultor",H115="Opps"),
      SUMIFS('Realizado GD'!D:D,'Realizado GD'!A:A,A115,'Realizado GD'!B:B,B115,'Realizado GD'!C:C,D115),
    D115="sonia.zielinski@altoqi.com.br",
      SUM(SUMIFS(Negócios!L:L,Negócios!A:A,A115,Negócios!B:B,B115,Negócios!R:R,{"FSB";"Ares"},Negócios!AG:AG,"Recorrente",Negócios!AH:AH,"&lt;&gt;n"))
      +SUMIFS(Negócios!M:M,Negócios!A:A,A115,Negócios!B:B,B115,Negócios!R:R,"Farmer",Negócios!AG:AG,"Recorrente",Negócios!AH:AH,"&lt;&gt;n")
      +SUMIFS(Negócios!N:N,Negócios!A:A,A115,Negócios!B:B,B115,Negócios!R:R,"Farmer",Negócios!AG:AG,"Recorrente",Negócios!AH:AH,"&lt;&gt;n"),
    OR(
      D115="anderson.ortiz@altoqi.com.br",
      D115="rafael.motta@altoqi.com.br",
      D115="beatriz@altoqi.com.br"
    ),
      SUMIFS(Negócios!L:L,Negócios!A:A,A115,Negócios!B:B,B115,Negócios!R:R,E115,Negócios!AG:AG,"Recorrente",Negócios!AH:AH,"&lt;&gt;n"),
    AND(F115="Gestor",H115="MRR"),
      SUMIFS(I:I,A:A,A115,B:B,B115,G:G,D115),
    TRUE,
      ""
  )
)</f>
        <v>6648.7049999999999</v>
      </c>
      <c r="W115" s="10">
        <f t="shared" si="48"/>
        <v>0.81021841771908942</v>
      </c>
      <c r="X115" s="34">
        <f>SUMIFS('Acel Form Pag'!G:G,'Acel Form Pag'!A:A,A115,'Acel Form Pag'!B:B,B115,'Acel Form Pag'!C:C,E115)</f>
        <v>1</v>
      </c>
      <c r="Y115" s="24">
        <f>MAX(_xlfn.MAXIFS(Parâmetros!O:O,Parâmetros!A:A,A115,Parâmetros!B:B,B115,Parâmetros!D:D,D115,Parâmetros!M:M,"&lt;="&amp;K115),_xlfn.MAXIFS(Parâmetros!L:L,Parâmetros!A:A,A115,Parâmetros!B:B,B115,Parâmetros!D:D,D115,Parâmetros!J:J,"&lt;="&amp;K115),_xlfn.MAXIFS(Parâmetros!I:I,Parâmetros!A:A,A115,Parâmetros!B:B,B115,Parâmetros!D:D,D115))</f>
        <v>4593.6000000000004</v>
      </c>
      <c r="Z115" s="9">
        <f>MAX(_xlfn.MAXIFS(Parâmetros!Q:Q,Parâmetros!A:A,A115,Parâmetros!B:B,B115,Parâmetros!D:D,D115,Parâmetros!E:E,E115,Parâmetros!P:P,"&lt;="&amp;K115),
_xlfn.MAXIFS(Parâmetros!S:S,Parâmetros!A:A,A115,Parâmetros!B:B,B115,Parâmetros!D:D,D115,Parâmetros!E:E,E115,Parâmetros!R:R,"&lt;="&amp;K115),
_xlfn.MAXIFS(Parâmetros!U:U,Parâmetros!A:A,A115,Parâmetros!B:B,B115,Parâmetros!D:D,D115,Parâmetros!E:E,E115,Parâmetros!T:T,"&lt;="&amp;K115),1) * IF(K115 &gt;= SUMIFS(Parâmetros!G:G,Parâmetros!A:A,A115,Parâmetros!B:B,B115,Parâmetros!D:D,D115,Parâmetros!E:E,E115),1,0)</f>
        <v>1</v>
      </c>
      <c r="AA115" s="16">
        <f t="shared" ref="AA115:AA142" si="56">Y115*Z115*K115</f>
        <v>4283.5659300000007</v>
      </c>
      <c r="AB115" s="16">
        <f t="shared" ref="AB115:AB142" si="57">(AA115*N115*O115) + (AA115*Q115*R115) + (AA115*T115*U115) + (AA115*W115*X115)</f>
        <v>4455.5773275000001</v>
      </c>
      <c r="AC115" s="15">
        <f>IF(F115="Gestor",SUMIFS(AC:AC,A:A,A115,B:B,B115,G:G,D115),
IF(E115="Saving",SUMIFS(Negócios!I:I,Negócios!A:A,A115,Negócios!B:B,B115,Negócios!P:P,D115,Negócios!H:H,"Curso",Negócios!AH:AH,"&lt;&gt;n") +
SUMIFS(Negócios!I:I,Negócios!A:A,A115,Negócios!B:B,B115,Negócios!P:P,D115,Negócios!H:H,"Serviço",Negócios!AH:AH,"&lt;&gt;n") +
SUMIFS(Negócios!I:I,Negócios!A:A,A115,Negócios!B:B,B115,Negócios!P:P,D115,Negócios!H:H,"Implantação",Negócios!AH:AH,"&lt;&gt;n"),
SUMIFS(Negócios!I:I,Negócios!A:A,A115,Negócios!B:B,B115,Negócios!P:P,D115,Negócios!H:H,"Implantação",Negócios!AH:AH,"&lt;&gt;n")))</f>
        <v>0</v>
      </c>
      <c r="AD115" s="16">
        <f>SUMIFS(Parâmetros!W:W,Parâmetros!A:A,A115,Parâmetros!B:B,B115,Parâmetros!D:D,D115) * AC115 * IF(K115 &gt;= SUMIFS(Parâmetros!V:V,Parâmetros!A:A,A115,Parâmetros!B:B,B115,Parâmetros!D:D,D115),1,0)</f>
        <v>0</v>
      </c>
      <c r="AE115" s="15">
        <f>SUMIFS('Recuperação de Canc e Divs'!D:D,'Recuperação de Canc e Divs'!A:A,A115,'Recuperação de Canc e Divs'!B:B,B115,'Recuperação de Canc e Divs'!C:C,D115)</f>
        <v>0</v>
      </c>
      <c r="AF115" s="16">
        <f>IF(K115&gt;=SUMIFS(Parâmetros!J:J,Parâmetros!A:A,A115,Parâmetros!B:B,B115,Parâmetros!D:D,D115),AE115*0.025,0)</f>
        <v>0</v>
      </c>
      <c r="AG115" s="15" t="str">
        <f t="shared" ref="AG115:AG142" si="58">IF(OR(B115=3,B115=6,B115=9,B115=12),
SUMIFS(I:I,$A:$A,$A115,$B:$B,"&gt;="&amp;(B115-2),$B:$B,"&lt;="&amp;B115,$D:$D,$D115),"")</f>
        <v/>
      </c>
      <c r="AH115" s="16" t="str">
        <f t="shared" ref="AH115:AH142" si="59">IF(OR(B115=3,B115=6,B115=9,B115=12),
SUMIFS(J:J,$A:$A,$A115,$B:$B,"&gt;="&amp;(B115-2),$B:$B,"&lt;="&amp;B115,$D:$D,$D115),"")</f>
        <v/>
      </c>
      <c r="AI115" s="90">
        <f t="shared" ref="AI115:AI142" si="60">IFERROR(AG115/AH115,0)</f>
        <v>0</v>
      </c>
      <c r="AJ115" s="16" t="str">
        <f t="shared" ref="AJ115:AJ142" si="61">IF(F115="Gestor","",
IF(OR(B115=3,B115=6,B115=9,B115=12),
SUMIFS(I:I,$A:$A,$A115,$B:$B,"&gt;="&amp;(B115-2),$B:$B,"&lt;="&amp;B115,$E:$E,$E115,$F:$F,"&lt;&gt;Gestor"),
""))</f>
        <v/>
      </c>
      <c r="AK115" s="16" t="str">
        <f t="shared" ref="AK115:AK142" si="62">IF(F115="Gestor","",
IF(OR(B115=3,B115=6,B115=9,B115=12),
SUMIFS(J:J,$A:$A,$A115,$B:$B,"&gt;="&amp;(B115-2),$B:$B,"&lt;="&amp;B115,$E:$E,$E115,$F:$F,"&lt;&gt;Gestor"),
""))</f>
        <v/>
      </c>
      <c r="AL115" s="90">
        <f t="shared" ref="AL115:AL142" si="63">IFERROR(AJ115/AK115,0)</f>
        <v>0</v>
      </c>
      <c r="AM115" s="93" t="str">
        <f t="shared" ref="AM115:AM142" si="64">IF(AND(OR(B115=3,B115=6,B115=9,B115=12),AI115&gt;=1),
IF(F115="Gestor",AI115*0.6,AI115*0.3),"")</f>
        <v/>
      </c>
      <c r="AN115" s="94" t="str">
        <f>IF(OR(B115=3,B115=6,B115=9,B115=12),
IF(AND(AL115&gt;=1,AI115&gt;=SUMIFS(Parâmetros!G:G,Parâmetros!A:A,Comissões!A115,Parâmetros!B:B,Comissões!B115,Parâmetros!D:D,Comissões!D115,Parâmetros!E:E,Comissões!E115)),AI115*0.3,""),"")</f>
        <v/>
      </c>
      <c r="AO115" s="16">
        <f t="shared" ref="AO115:AO142" si="65">SUM(M115,P115,S115,V115)</f>
        <v>8206.0650000000005</v>
      </c>
      <c r="AP115" s="16">
        <f t="shared" ref="AP115:AP142" si="66">SUM(N115,Q115,T115,W115)</f>
        <v>1</v>
      </c>
    </row>
    <row r="116" spans="1:42" hidden="1">
      <c r="A116" s="7">
        <v>2026</v>
      </c>
      <c r="B116" s="7">
        <v>5</v>
      </c>
      <c r="C116" s="7" t="str">
        <v>Henrique Teixeira Silva</v>
      </c>
      <c r="D116" s="7" t="str">
        <v>henrique.silva@altoqi.com.br</v>
      </c>
      <c r="E116" s="7" t="str">
        <v>B2B Construtora</v>
      </c>
      <c r="F116" s="7" t="str">
        <v>Consultor</v>
      </c>
      <c r="G116" s="7" t="str">
        <v>rafael.acencio@altoqi.com.br</v>
      </c>
      <c r="H116" s="7" t="str">
        <v>MRR</v>
      </c>
      <c r="I116" s="86" cm="1">
        <f t="array" ref="I116">IF(
  D116="rafael.acencio@altoqi.com.br",
  SUMIFS(Negócios!L:L,Negócios!A:A,A116,Negócios!B:B,B116,Negócios!Q:Q,E116,Negócios!AH:AH,"&lt;&gt;n"),
  _xlfn.IFS(
    AND(F116="Consultor",H116="MRR",E116="Farmer"),
      SUMIFS(Negócios!M:M,Negócios!A:A,A116,Negócios!B:B,B116,Negócios!P:P,D116,Negócios!AH:AH,"&lt;&gt;n")
      +SUMIFS(Negócios!N:N,Negócios!A:A,A116,Negócios!B:B,B116,Negócios!P:P,D116,Negócios!AH:AH,"&lt;&gt;n"),
    AND(F116="Consultor",H116="MRR"),
      SUMIFS(Negócios!L:L,Negócios!A:A,A116,Negócios!B:B,B116,Negócios!P:P,D116,Negócios!AH:AH,"&lt;&gt;n"),
    AND(F116="Consultor",H116="Opps"),
      SUMIFS('Realizado GD'!D:D,'Realizado GD'!A:A,A116,'Realizado GD'!B:B,B116,'Realizado GD'!C:C,D116),
    D116="sonia.zielinski@altoqi.com.br",
      SUM(SUMIFS(Negócios!L:L,Negócios!A:A,A116,Negócios!B:B,B116,Negócios!R:R,{"FSB";"Ares"},Negócios!AH:AH,"&lt;&gt;n"))
      +SUMIFS(Negócios!M:M,Negócios!A:A,A116,Negócios!B:B,B116,Negócios!R:R,"Farmer",Negócios!AH:AH,"&lt;&gt;n")
      +SUMIFS(Negócios!N:N,Negócios!A:A,A116,Negócios!B:B,B116,Negócios!R:R,"Farmer",Negócios!AH:AH,"&lt;&gt;n"),
    OR(
      D116="anderson.ortiz@altoqi.com.br",
      D116="rafael.motta@altoqi.com.br",
      D116="beatriz@altoqi.com.br"
    ),
      SUMIFS(Negócios!L:L,Negócios!A:A,A116,Negócios!B:B,B116,Negócios!R:R,E116,Negócios!AH:AH,"&lt;&gt;n"),
    AND(F116="Gestor",H116="MRR"),
      SUMIFS(I:I,A:A,A116,B:B,B116,G:G,D116),
    TRUE,
      ""
  )
)</f>
        <v>3130.0454</v>
      </c>
      <c r="J116" s="16">
        <f>SUMIFS(Metas!K:K,Metas!A:A,A116,Metas!B:B,B116,Metas!D:D,D116,Metas!H:H,H116)</f>
        <v>8800</v>
      </c>
      <c r="K116" s="10">
        <f t="shared" si="55"/>
        <v>0.35568697727272724</v>
      </c>
      <c r="L116" s="26" t="str" cm="1">
        <f t="array" ref="L116">_xlfn.LET(
 _xlpm.g,_xlfn.MAXIFS(Parâmetros!G:G,Parâmetros!A:A,A116,Parâmetros!B:B,B116,Parâmetros!D:D,D116,Parâmetros!E:E,E116),
 _xlpm.j,_xlfn.MAXIFS(Parâmetros!J:J,Parâmetros!A:A,A116,Parâmetros!B:B,B116,Parâmetros!D:D,D116,Parâmetros!E:E,E116),
 _xlpm.m,_xlfn.MAXIFS(Parâmetros!M:M,Parâmetros!A:A,A116,Parâmetros!B:B,B116,Parâmetros!D:D,D116,Parâmetros!E:E,E116),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/>
      </c>
      <c r="M116" s="28" cm="1">
        <f t="array" ref="M116">IF(
  D116="rafael.acencio@altoqi.com.br",
  SUMIFS(Negócios!L:L,Negócios!A:A,A116,Negócios!B:B,B116,Negócios!Q:Q,E116,Negócios!AG:AG,"À Vista",Negócios!AH:AH,"&lt;&gt;n"),
  _xlfn.IFS(
    AND(F116="Consultor",H116="MRR",E116="Farmer"),
      SUMIFS(Negócios!M:M,Negócios!A:A,A116,Negócios!B:B,B116,Negócios!P:P,D116,Negócios!AG:AG,"À Vista",Negócios!AH:AH,"&lt;&gt;n")
      +SUMIFS(Negócios!N:N,Negócios!A:A,A116,Negócios!B:B,B116,Negócios!P:P,D116,Negócios!AG:AG,"À Vista",Negócios!AH:AH,"&lt;&gt;n"),
    AND(F116="Consultor",H116="MRR"),
      SUMIFS(Negócios!L:L,Negócios!A:A,A116,Negócios!B:B,B116,Negócios!P:P,D116,Negócios!AG:AG,"À Vista",Negócios!AH:AH,"&lt;&gt;n"),
    AND(F116="Consultor",H116="Opps"),
      SUMIFS('Realizado GD'!D:D,'Realizado GD'!A:A,A116,'Realizado GD'!B:B,B116,'Realizado GD'!C:C,D116),
    D116="sonia.zielinski@altoqi.com.br",
      SUM(SUMIFS(Negócios!L:L,Negócios!A:A,A116,Negócios!B:B,B116,Negócios!R:R,{"FSB";"Ares"},Negócios!AG:AG,"À Vista",Negócios!AH:AH,"&lt;&gt;n"))
      +SUMIFS(Negócios!M:M,Negócios!A:A,A116,Negócios!B:B,B116,Negócios!R:R,"Farmer",Negócios!AG:AG,"À Vista",Negócios!AH:AH,"&lt;&gt;n")
      +SUMIFS(Negócios!N:N,Negócios!A:A,A116,Negócios!B:B,B116,Negócios!R:R,"Farmer",Negócios!AG:AG,"À Vista",Negócios!AH:AH,"&lt;&gt;n"),
    OR(
      D116="anderson.ortiz@altoqi.com.br",
      D116="rafael.motta@altoqi.com.br",
      D116="beatriz@altoqi.com.br"
    ),
      SUMIFS(Negócios!L:L,Negócios!A:A,A116,Negócios!B:B,B116,Negócios!R:R,E116,Negócios!AG:AG,"À Vista",Negócios!AH:AH,"&lt;&gt;n"),
    AND(F116="Gestor",H116="MRR"),
      SUMIFS(I:I,A:A,A116,B:B,B116,G:G,D116),
    TRUE,
      ""
  )
)</f>
        <v>431.1</v>
      </c>
      <c r="N116" s="10">
        <f t="shared" si="45"/>
        <v>0.13772963165326613</v>
      </c>
      <c r="O116" s="30">
        <f>SUMIFS('Acel Form Pag'!D:D,'Acel Form Pag'!A:A,A116,'Acel Form Pag'!B:B,B116,'Acel Form Pag'!C:C,E116)</f>
        <v>1.3</v>
      </c>
      <c r="P116" s="87" cm="1">
        <f t="array" ref="P116">IF(
  D116="rafael.acencio@altoqi.com.br",
  SUMIFS(Negócios!M:M,Negócios!A:A,A116,Negócios!B:B,B116,Negócios!Q:Q,E116,Negócios!AG:AG,"CC 3x",Negócios!AH:AH,"&lt;&gt;n"),
  _xlfn.IFS(
    AND(F116="Consultor",H116="MRR",E116="Farmer"),
      SUMIFS(Negócios!M:M,Negócios!A:A,A116,Negócios!B:B,B116,Negócios!P:P,D116,Negócios!AG:AG,"CC 3x",Negócios!AH:AH,"&lt;&gt;n")
      +SUMIFS(Negócios!N:N,Negócios!A:A,A116,Negócios!B:B,B116,Negócios!P:P,D116,Negócios!AG:AG,"CC 3x",Negócios!AH:AH,"&lt;&gt;n"),
    AND(F116="Consultor",H116="MRR"),
      SUMIFS(Negócios!L:L,Negócios!A:A,A116,Negócios!B:B,B116,Negócios!P:P,D116,Negócios!AG:AG,"CC 3x",Negócios!AH:AH,"&lt;&gt;n"),
    AND(F116="Consultor",H116="Opps"),
      SUMIFS('Realizado GD'!D:D,'Realizado GD'!A:A,A116,'Realizado GD'!B:B,B116,'Realizado GD'!C:C,D116),
    D116="sonia.zielinski@altoqi.com.br",
      SUM(SUMIFS(Negócios!L:L,Negócios!A:A,A116,Negócios!B:B,B116,Negócios!R:R,{"FSB";"Ares"},Negócios!AG:AG,"CC 3x",Negócios!AH:AH,"&lt;&gt;n"))
      +SUMIFS(Negócios!M:M,Negócios!A:A,A116,Negócios!B:B,B116,Negócios!R:R,"Farmer",Negócios!AG:AG,"CC 3x",Negócios!AH:AH,"&lt;&gt;n")
      +SUMIFS(Negócios!N:N,Negócios!A:A,A116,Negócios!B:B,B116,Negócios!R:R,"Farmer",Negócios!AG:AG,"CC 3x",Negócios!AH:AH,"&lt;&gt;n"),
    OR(
      D116="anderson.ortiz@altoqi.com.br",
      D116="rafael.motta@altoqi.com.br",
      D116="beatriz@altoqi.com.br"
    ),
      SUMIFS(Negócios!M:M,Negócios!A:A,A116,Negócios!B:B,B116,Negócios!R:R,E116,Negócios!AG:AG,"CC 3x",Negócios!AH:AH,"&lt;&gt;n"),
    AND(F116="Gestor",H116="MRR"),
      SUMIFS(I:I,A:A,A116,B:B,B116,G:G,D116),
    TRUE,
      ""
  )
)</f>
        <v>0</v>
      </c>
      <c r="Q116" s="10">
        <f t="shared" si="46"/>
        <v>0</v>
      </c>
      <c r="R116" s="30">
        <f>SUMIFS('Acel Form Pag'!E:E,'Acel Form Pag'!A:A,A116,'Acel Form Pag'!B:B,B116,'Acel Form Pag'!C:C,E116)</f>
        <v>1.1499999999999999</v>
      </c>
      <c r="S116" s="32" cm="1">
        <f t="array" ref="S116">IF(
  D116="rafael.acencio@altoqi.com.br",
  SUMIFS(Negócios!L:L,Negócios!A:A,A116,Negócios!B:B,B116,Negócios!Q:Q,E116,Negócios!AG:AG,"CC 12x",Negócios!AH:AH,"&lt;&gt;n"),
  _xlfn.IFS(
    AND(F116="Consultor",H116="MRR",E116="Farmer"),
      SUMIFS(Negócios!M:M,Negócios!A:A,A116,Negócios!B:B,B116,Negócios!P:P,D116,Negócios!AG:AG,"CC 12x",Negócios!AH:AH,"&lt;&gt;n")
      +SUMIFS(Negócios!N:N,Negócios!A:A,A116,Negócios!B:B,B116,Negócios!P:P,D116,Negócios!AG:AG,"CC 12x",Negócios!AH:AH,"&lt;&gt;n"),
    AND(F116="Consultor",H116="MRR"),
      SUMIFS(Negócios!L:L,Negócios!A:A,A116,Negócios!B:B,B116,Negócios!P:P,D116,Negócios!AG:AG,"CC 12x",Negócios!AH:AH,"&lt;&gt;n"),
    AND(F116="Consultor",H116="Opps"),
      SUMIFS('Realizado GD'!D:D,'Realizado GD'!A:A,A116,'Realizado GD'!B:B,B116,'Realizado GD'!C:C,D116),
    D116="sonia.zielinski@altoqi.com.br",
      SUM(SUMIFS(Negócios!L:L,Negócios!A:A,A116,Negócios!B:B,B116,Negócios!R:R,{"FSB";"Ares"},Negócios!AG:AG,"CC 12x",Negócios!AH:AH,"&lt;&gt;n"))
      +SUMIFS(Negócios!M:M,Negócios!A:A,A116,Negócios!B:B,B116,Negócios!R:R,"Farmer",Negócios!AG:AG,"CC 12x",Negócios!AH:AH,"&lt;&gt;n")
      +SUMIFS(Negócios!N:N,Negócios!A:A,A116,Negócios!B:B,B116,Negócios!R:R,"Farmer",Negócios!AG:AG,"CC 12x",Negócios!AH:AH,"&lt;&gt;n"),
    OR(
      D116="anderson.ortiz@altoqi.com.br",
      D116="rafael.motta@altoqi.com.br",
      D116="beatriz@altoqi.com.br"
    ),
      SUMIFS(Negócios!L:L,Negócios!A:A,A116,Negócios!B:B,B116,Negócios!R:R,E116,Negócios!AG:AG,"CC 12x",Negócios!AH:AH,"&lt;&gt;n"),
    AND(F116="Gestor",H116="MRR"),
      SUMIFS(I:I,A:A,A116,B:B,B116,G:G,D116),
    TRUE,
      ""
  )
)</f>
        <v>0</v>
      </c>
      <c r="T116" s="10">
        <f t="shared" si="47"/>
        <v>0</v>
      </c>
      <c r="U116" s="30">
        <f>SUMIFS('Acel Form Pag'!F:F,'Acel Form Pag'!A:A,A116,'Acel Form Pag'!B:B,B116,'Acel Form Pag'!C:C,E116)</f>
        <v>1.1499999999999999</v>
      </c>
      <c r="V116" s="32" cm="1">
        <f t="array" ref="V116">IF(
  D116="rafael.acencio@altoqi.com.br",
  SUMIFS(Negócios!L:L,Negócios!A:A,A116,Negócios!B:B,B116,Negócios!Q:Q,E116,Negócios!AG:AG,"Recorrente",Negócios!AH:AH,"&lt;&gt;n"),
  _xlfn.IFS(
    AND(F116="Consultor",H116="MRR",E116="Farmer"),
      SUMIFS(Negócios!M:M,Negócios!A:A,A116,Negócios!B:B,B116,Negócios!P:P,D116,Negócios!AG:AG,"Recorrente",Negócios!AH:AH,"&lt;&gt;n")
      +SUMIFS(Negócios!N:N,Negócios!A:A,A116,Negócios!B:B,B116,Negócios!P:P,D116,Negócios!AG:AG,"Recorrente",Negócios!AH:AH,"&lt;&gt;n"),
    AND(F116="Consultor",H116="MRR"),
      SUMIFS(Negócios!L:L,Negócios!A:A,A116,Negócios!B:B,B116,Negócios!P:P,D116,Negócios!AG:AG,"Recorrente",Negócios!AH:AH,"&lt;&gt;n"),
    AND(F116="Consultor",H116="Opps"),
      SUMIFS('Realizado GD'!D:D,'Realizado GD'!A:A,A116,'Realizado GD'!B:B,B116,'Realizado GD'!C:C,D116),
    D116="sonia.zielinski@altoqi.com.br",
      SUM(SUMIFS(Negócios!L:L,Negócios!A:A,A116,Negócios!B:B,B116,Negócios!R:R,{"FSB";"Ares"},Negócios!AG:AG,"Recorrente",Negócios!AH:AH,"&lt;&gt;n"))
      +SUMIFS(Negócios!M:M,Negócios!A:A,A116,Negócios!B:B,B116,Negócios!R:R,"Farmer",Negócios!AG:AG,"Recorrente",Negócios!AH:AH,"&lt;&gt;n")
      +SUMIFS(Negócios!N:N,Negócios!A:A,A116,Negócios!B:B,B116,Negócios!R:R,"Farmer",Negócios!AG:AG,"Recorrente",Negócios!AH:AH,"&lt;&gt;n"),
    OR(
      D116="anderson.ortiz@altoqi.com.br",
      D116="rafael.motta@altoqi.com.br",
      D116="beatriz@altoqi.com.br"
    ),
      SUMIFS(Negócios!L:L,Negócios!A:A,A116,Negócios!B:B,B116,Negócios!R:R,E116,Negócios!AG:AG,"Recorrente",Negócios!AH:AH,"&lt;&gt;n"),
    AND(F116="Gestor",H116="MRR"),
      SUMIFS(I:I,A:A,A116,B:B,B116,G:G,D116),
    TRUE,
      ""
  )
)</f>
        <v>2698.9453999999996</v>
      </c>
      <c r="W116" s="10">
        <f t="shared" si="48"/>
        <v>0.86227036834673376</v>
      </c>
      <c r="X116" s="34">
        <f>SUMIFS('Acel Form Pag'!G:G,'Acel Form Pag'!A:A,A116,'Acel Form Pag'!B:B,B116,'Acel Form Pag'!C:C,E116)</f>
        <v>1</v>
      </c>
      <c r="Y116" s="24">
        <f>MAX(_xlfn.MAXIFS(Parâmetros!O:O,Parâmetros!A:A,A116,Parâmetros!B:B,B116,Parâmetros!D:D,D116,Parâmetros!M:M,"&lt;="&amp;K116),_xlfn.MAXIFS(Parâmetros!L:L,Parâmetros!A:A,A116,Parâmetros!B:B,B116,Parâmetros!D:D,D116,Parâmetros!J:J,"&lt;="&amp;K116),_xlfn.MAXIFS(Parâmetros!I:I,Parâmetros!A:A,A116,Parâmetros!B:B,B116,Parâmetros!D:D,D116))</f>
        <v>4593.6000000000004</v>
      </c>
      <c r="Z116" s="9">
        <f>MAX(_xlfn.MAXIFS(Parâmetros!Q:Q,Parâmetros!A:A,A116,Parâmetros!B:B,B116,Parâmetros!D:D,D116,Parâmetros!E:E,E116,Parâmetros!P:P,"&lt;="&amp;K116),
_xlfn.MAXIFS(Parâmetros!S:S,Parâmetros!A:A,A116,Parâmetros!B:B,B116,Parâmetros!D:D,D116,Parâmetros!E:E,E116,Parâmetros!R:R,"&lt;="&amp;K116),
_xlfn.MAXIFS(Parâmetros!U:U,Parâmetros!A:A,A116,Parâmetros!B:B,B116,Parâmetros!D:D,D116,Parâmetros!E:E,E116,Parâmetros!T:T,"&lt;="&amp;K116),1) * IF(K116 &gt;= SUMIFS(Parâmetros!G:G,Parâmetros!A:A,A116,Parâmetros!B:B,B116,Parâmetros!D:D,D116,Parâmetros!E:E,E116),1,0)</f>
        <v>1</v>
      </c>
      <c r="AA116" s="16">
        <f t="shared" si="56"/>
        <v>1633.8836988</v>
      </c>
      <c r="AB116" s="16">
        <f t="shared" si="57"/>
        <v>1701.3939587999998</v>
      </c>
      <c r="AC116" s="15">
        <f>IF(F116="Gestor",SUMIFS(AC:AC,A:A,A116,B:B,B116,G:G,D116),
IF(E116="Saving",SUMIFS(Negócios!I:I,Negócios!A:A,A116,Negócios!B:B,B116,Negócios!P:P,D116,Negócios!H:H,"Curso",Negócios!AH:AH,"&lt;&gt;n") +
SUMIFS(Negócios!I:I,Negócios!A:A,A116,Negócios!B:B,B116,Negócios!P:P,D116,Negócios!H:H,"Serviço",Negócios!AH:AH,"&lt;&gt;n") +
SUMIFS(Negócios!I:I,Negócios!A:A,A116,Negócios!B:B,B116,Negócios!P:P,D116,Negócios!H:H,"Implantação",Negócios!AH:AH,"&lt;&gt;n"),
SUMIFS(Negócios!I:I,Negócios!A:A,A116,Negócios!B:B,B116,Negócios!P:P,D116,Negócios!H:H,"Implantação",Negócios!AH:AH,"&lt;&gt;n")))</f>
        <v>10640</v>
      </c>
      <c r="AD116" s="16">
        <f>SUMIFS(Parâmetros!W:W,Parâmetros!A:A,A116,Parâmetros!B:B,B116,Parâmetros!D:D,D116) * AC116 * IF(K116 &gt;= SUMIFS(Parâmetros!V:V,Parâmetros!A:A,A116,Parâmetros!B:B,B116,Parâmetros!D:D,D116),1,0)</f>
        <v>212.8</v>
      </c>
      <c r="AE116" s="15">
        <f>SUMIFS('Recuperação de Canc e Divs'!D:D,'Recuperação de Canc e Divs'!A:A,A116,'Recuperação de Canc e Divs'!B:B,B116,'Recuperação de Canc e Divs'!C:C,D116)</f>
        <v>0</v>
      </c>
      <c r="AF116" s="16">
        <f>IF(K116&gt;=SUMIFS(Parâmetros!J:J,Parâmetros!A:A,A116,Parâmetros!B:B,B116,Parâmetros!D:D,D116),AE116*0.025,0)</f>
        <v>0</v>
      </c>
      <c r="AG116" s="15" t="str">
        <f t="shared" si="58"/>
        <v/>
      </c>
      <c r="AH116" s="16" t="str">
        <f t="shared" si="59"/>
        <v/>
      </c>
      <c r="AI116" s="90">
        <f t="shared" si="60"/>
        <v>0</v>
      </c>
      <c r="AJ116" s="16" t="str">
        <f t="shared" si="61"/>
        <v/>
      </c>
      <c r="AK116" s="16" t="str">
        <f t="shared" si="62"/>
        <v/>
      </c>
      <c r="AL116" s="90">
        <f t="shared" si="63"/>
        <v>0</v>
      </c>
      <c r="AM116" s="93" t="str">
        <f t="shared" si="64"/>
        <v/>
      </c>
      <c r="AN116" s="94" t="str">
        <f>IF(OR(B116=3,B116=6,B116=9,B116=12),
IF(AND(AL116&gt;=1,AI116&gt;=SUMIFS(Parâmetros!G:G,Parâmetros!A:A,Comissões!A116,Parâmetros!B:B,Comissões!B116,Parâmetros!D:D,Comissões!D116,Parâmetros!E:E,Comissões!E116)),AI116*0.3,""),"")</f>
        <v/>
      </c>
      <c r="AO116" s="16">
        <f t="shared" si="65"/>
        <v>3130.0453999999995</v>
      </c>
      <c r="AP116" s="16">
        <f t="shared" si="66"/>
        <v>0.99999999999999989</v>
      </c>
    </row>
    <row r="117" spans="1:42" hidden="1">
      <c r="A117" s="7">
        <v>2026</v>
      </c>
      <c r="B117" s="7">
        <v>5</v>
      </c>
      <c r="C117" s="7" t="str">
        <v>Rafael Acencio</v>
      </c>
      <c r="D117" s="7" t="str">
        <v>rafael.acencio@altoqi.com.br</v>
      </c>
      <c r="E117" s="7" t="str">
        <v>B2B Construtora</v>
      </c>
      <c r="F117" s="7" t="str">
        <v>Consultor</v>
      </c>
      <c r="G117" s="7">
        <v>0</v>
      </c>
      <c r="H117" s="7" t="str">
        <v>MRR</v>
      </c>
      <c r="I117" s="86" cm="1">
        <f t="array" ref="I117">IF(
  D117="rafael.acencio@altoqi.com.br",
  SUMIFS(Negócios!L:L,Negócios!A:A,A117,Negócios!B:B,B117,Negócios!Q:Q,E117,Negócios!AH:AH,"&lt;&gt;n"),
  _xlfn.IFS(
    AND(F117="Consultor",H117="MRR",E117="Farmer"),
      SUMIFS(Negócios!M:M,Negócios!A:A,A117,Negócios!B:B,B117,Negócios!P:P,D117,Negócios!AH:AH,"&lt;&gt;n")
      +SUMIFS(Negócios!N:N,Negócios!A:A,A117,Negócios!B:B,B117,Negócios!P:P,D117,Negócios!AH:AH,"&lt;&gt;n"),
    AND(F117="Consultor",H117="MRR"),
      SUMIFS(Negócios!L:L,Negócios!A:A,A117,Negócios!B:B,B117,Negócios!P:P,D117,Negócios!AH:AH,"&lt;&gt;n"),
    AND(F117="Consultor",H117="Opps"),
      SUMIFS('Realizado GD'!D:D,'Realizado GD'!A:A,A117,'Realizado GD'!B:B,B117,'Realizado GD'!C:C,D117),
    D117="sonia.zielinski@altoqi.com.br",
      SUM(SUMIFS(Negócios!L:L,Negócios!A:A,A117,Negócios!B:B,B117,Negócios!R:R,{"FSB";"Ares"},Negócios!AH:AH,"&lt;&gt;n"))
      +SUMIFS(Negócios!M:M,Negócios!A:A,A117,Negócios!B:B,B117,Negócios!R:R,"Farmer",Negócios!AH:AH,"&lt;&gt;n")
      +SUMIFS(Negócios!N:N,Negócios!A:A,A117,Negócios!B:B,B117,Negócios!R:R,"Farmer",Negócios!AH:AH,"&lt;&gt;n"),
    OR(
      D117="anderson.ortiz@altoqi.com.br",
      D117="rafael.motta@altoqi.com.br",
      D117="beatriz@altoqi.com.br"
    ),
      SUMIFS(Negócios!L:L,Negócios!A:A,A117,Negócios!B:B,B117,Negócios!R:R,E117,Negócios!AH:AH,"&lt;&gt;n"),
    AND(F117="Gestor",H117="MRR"),
      SUMIFS(I:I,A:A,A117,B:B,B117,G:G,D117),
    TRUE,
      ""
  )
)</f>
        <v>44066.526390000021</v>
      </c>
      <c r="J117" s="16">
        <f>SUMIFS(Metas!K:K,Metas!A:A,A117,Metas!B:B,B117,Metas!D:D,D117,Metas!H:H,H117)</f>
        <v>10000</v>
      </c>
      <c r="K117" s="10">
        <f t="shared" si="55"/>
        <v>4.4066526390000025</v>
      </c>
      <c r="L117" s="26" t="str" cm="1">
        <f t="array" ref="L117">_xlfn.LET(
 _xlpm.g,_xlfn.MAXIFS(Parâmetros!G:G,Parâmetros!A:A,A117,Parâmetros!B:B,B117,Parâmetros!D:D,D117,Parâmetros!E:E,E117),
 _xlpm.j,_xlfn.MAXIFS(Parâmetros!J:J,Parâmetros!A:A,A117,Parâmetros!B:B,B117,Parâmetros!D:D,D117,Parâmetros!E:E,E117),
 _xlpm.m,_xlfn.MAXIFS(Parâmetros!M:M,Parâmetros!A:A,A117,Parâmetros!B:B,B117,Parâmetros!D:D,D117,Parâmetros!E:E,E117),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/>
      </c>
      <c r="M117" s="28" cm="1">
        <f t="array" ref="M117">_xlfn.IFS(
  AND(F117="Consultor",H117="MRR",E117="Farmer"),
    SUMIFS(Negócios!M:M,Negócios!A:A,A117,Negócios!B:B,B117,Negócios!P:P,D117,Negócios!AG:AG,"À Vista")
    +SUMIFS(Negócios!N:N,Negócios!A:A,A117,Negócios!B:B,B117,Negócios!P:P,D117,Negócios!AG:AG,"À Vista"),
  AND(F117="Consultor",H117="MRR"),
    SUMIFS(Negócios!L:L,Negócios!A:A,A117,Negócios!B:B,B117,Negócios!P:P,D117,Negócios!AG:AG,"À Vista"),
  AND(F117="Consultor",H117="Opps"),
    SUMIFS('Realizado GD'!D:D,'Realizado GD'!A:A,A117,'Realizado GD'!B:B,B117,'Realizado GD'!C:C,D117),
  D117="sonia.zielinski@altoqi.com.br",
    SUM(SUMIFS(Negócios!L:L,Negócios!A:A,A117,Negócios!B:B,B117,Negócios!R:R,{"FSB";"Ares"},Negócios!AG:AG,"À Vista"))
    +SUMIFS(Negócios!M:M,Negócios!A:A,A117,Negócios!B:B,B117,Negócios!R:R,"Farmer",Negócios!AG:AG,"À Vista")
    +SUMIFS(Negócios!N:N,Negócios!A:A,A117,Negócios!B:B,B117,Negócios!R:R,"Farmer",Negócios!AG:AG,"À Vista"),
  OR(
    D117="anderson.ortiz@altoqi.com.br",
    D117="rafael.motta@altoqi.com.br",
    D117="beatriz@altoqi.com.br"
  ),
    SUMIFS(Negócios!L:L,Negócios!A:A,A117,Negócios!B:B,B117,Negócios!R:R,E117,Negócios!AG:AG,"À Vista"),
  AND(F117="Gestor",H117="MRR"),
    SUMIFS(I:I,A:A,A117,B:B,B117,G:G,D117),
  TRUE,
    ""
)</f>
        <v>0</v>
      </c>
      <c r="N117" s="10">
        <f t="shared" ref="N117" si="67">IFERROR(M117/$I117,0)</f>
        <v>0</v>
      </c>
      <c r="O117" s="30">
        <f>SUMIFS('Acel Form Pag'!D:D,'Acel Form Pag'!A:A,A117,'Acel Form Pag'!B:B,B117,'Acel Form Pag'!C:C,E117)</f>
        <v>1.3</v>
      </c>
      <c r="P117" s="87" cm="1">
        <f t="array" ref="P117">_xlfn.IFS(
  AND(F117="Consultor",H117="MRR",E117="Farmer"),
    SUMIFS(Negócios!M:M,Negócios!A:A,A117,Negócios!B:B,B117,Negócios!P:P,D117,Negócios!AG:AG,"CC 3x")
    +SUMIFS(Negócios!N:N,Negócios!A:A,A117,Negócios!B:B,B117,Negócios!P:P,D117,Negócios!AG:AG,"CC 3x"),
  AND(F117="Consultor",H117="MRR"),
    SUMIFS(Negócios!L:L,Negócios!A:A,A117,Negócios!B:B,B117,Negócios!P:P,D117,Negócios!AG:AG,"CC 3x"),
  AND(F117="Consultor",H117="Opps"),
    SUMIFS('Realizado GD'!D:D,'Realizado GD'!A:A,A117,'Realizado GD'!B:B,B117,'Realizado GD'!C:C,D117),
  D117="sonia.zielinski@altoqi.com.br",
    SUM(SUMIFS(Negócios!L:L,Negócios!A:A,A117,Negócios!B:B,B117,Negócios!R:R,{"FSB";"Ares"},Negócios!AG:AG,"CC 3x"))
    +SUMIFS(Negócios!M:M,Negócios!A:A,A117,Negócios!B:B,B117,Negócios!R:R,"Farmer",Negócios!AG:AG,"CC 3x")
    +SUMIFS(Negócios!N:N,Negócios!A:A,A117,Negócios!B:B,B117,Negócios!R:R,"Farmer",Negócios!AG:AG,"CC 3x"),
  OR(
    D117="anderson.ortiz@altoqi.com.br",
    D117="rafael.motta@altoqi.com.br",
    D117="beatriz@altoqi.com.br"
  ),
    SUMIFS(Negócios!M:M,Negócios!A:A,A117,Negócios!B:B,B117,Negócios!R:R,E117,Negócios!AG:AG,"CC 3x"),
  AND(F117="Gestor",H117="MRR"),
    SUMIFS(I:I,A:A,A117,B:B,B117,G:G,D117),
  TRUE,
    ""
)</f>
        <v>0</v>
      </c>
      <c r="Q117" s="10">
        <f t="shared" ref="Q117" si="68">IFERROR(P117/$I117,0)</f>
        <v>0</v>
      </c>
      <c r="R117" s="30">
        <f>SUMIFS('Acel Form Pag'!E:E,'Acel Form Pag'!A:A,A117,'Acel Form Pag'!B:B,B117,'Acel Form Pag'!C:C,E117)</f>
        <v>1.1499999999999999</v>
      </c>
      <c r="S117" s="32" cm="1">
        <f t="array" ref="S117">_xlfn.IFS(
  AND(F117="Consultor",H117="MRR",E117="Farmer"),
    SUMIFS(Negócios!M:M,Negócios!A:A,A117,Negócios!B:B,B117,Negócios!P:P,D117,Negócios!AG:AG,"CC 12x")
    +SUMIFS(Negócios!N:N,Negócios!A:A,A117,Negócios!B:B,B117,Negócios!P:P,D117,Negócios!AG:AG,"CC 12x"),
  AND(F117="Consultor",H117="MRR"),
    SUMIFS(Negócios!L:L,Negócios!A:A,A117,Negócios!B:B,B117,Negócios!P:P,D117,Negócios!AG:AG,"CC 12x"),
  AND(F117="Consultor",H117="Opps"),
    SUMIFS('Realizado GD'!D:D,'Realizado GD'!A:A,A117,'Realizado GD'!B:B,B117,'Realizado GD'!C:C,D117),
  D117="sonia.zielinski@altoqi.com.br",
    SUM(SUMIFS(Negócios!L:L,Negócios!A:A,A117,Negócios!B:B,B117,Negócios!R:R,{"FSB";"Ares"},Negócios!AG:AG,"CC 12x"))
    +SUMIFS(Negócios!M:M,Negócios!A:A,A117,Negócios!B:B,B117,Negócios!R:R,"Farmer",Negócios!AG:AG,"CC 12x")
    +SUMIFS(Negócios!N:N,Negócios!A:A,A117,Negócios!B:B,B117,Negócios!R:R,"Farmer",Negócios!AG:AG,"CC 12x"),
  OR(
    D117="anderson.ortiz@altoqi.com.br",
    D117="rafael.motta@altoqi.com.br",
    D117="beatriz@altoqi.com.br"
  ),
    SUMIFS(Negócios!L:L,Negócios!A:A,A117,Negócios!B:B,B117,Negócios!R:R,E117,Negócios!AG:AG,"CC 12x"),
  AND(F117="Gestor",H117="MRR"),
    SUMIFS(I:I,A:A,A117,B:B,B117,G:G,D117),
  TRUE,
    ""
)</f>
        <v>0</v>
      </c>
      <c r="T117" s="10">
        <f t="shared" ref="T117" si="69">IFERROR(S117/$I117,0)</f>
        <v>0</v>
      </c>
      <c r="U117" s="30">
        <f>SUMIFS('Acel Form Pag'!F:F,'Acel Form Pag'!A:A,A117,'Acel Form Pag'!B:B,B117,'Acel Form Pag'!C:C,E117)</f>
        <v>1.1499999999999999</v>
      </c>
      <c r="V117" s="32" cm="1">
        <f t="array" ref="V117">_xlfn.IFS(
  AND(F117="Consultor",H117="MRR",E117="Farmer"),
    SUMIFS(Negócios!M:M,Negócios!A:A,A117,Negócios!B:B,B117,Negócios!P:P,D117,Negócios!AG:AG,"Recorrente")
    +SUMIFS(Negócios!N:N,Negócios!A:A,A117,Negócios!B:B,B117,Negócios!P:P,D117,Negócios!AG:AG,"Recorrente"),
  AND(F117="Consultor",H117="MRR"),
    SUMIFS(Negócios!L:L,Negócios!A:A,A117,Negócios!B:B,B117,Negócios!P:P,D117,Negócios!AG:AG,"Recorrente"),
  AND(F117="Consultor",H117="Opps"),
    SUMIFS('Realizado GD'!D:D,'Realizado GD'!A:A,A117,'Realizado GD'!B:B,B117,'Realizado GD'!C:C,D117),
  D117="sonia.zielinski@altoqi.com.br",
    SUM(SUMIFS(Negócios!L:L,Negócios!A:A,A117,Negócios!B:B,B117,Negócios!R:R,{"FSB";"Ares"},Negócios!AG:AG,"Recorrente"))
    +SUMIFS(Negócios!M:M,Negócios!A:A,A117,Negócios!B:B,B117,Negócios!R:R,"Farmer",Negócios!AG:AG,"Recorrente")
    +SUMIFS(Negócios!N:N,Negócios!A:A,A117,Negócios!B:B,B117,Negócios!R:R,"Farmer",Negócios!AG:AG,"Recorrente"),
  OR(
    D117="anderson.ortiz@altoqi.com.br",
    D117="rafael.motta@altoqi.com.br",
    D117="beatriz@altoqi.com.br"
  ),
    SUMIFS(Negócios!L:L,Negócios!A:A,A117,Negócios!B:B,B117,Negócios!R:R,E117,Negócios!AG:AG,"Recorrente"),
  AND(F117="Gestor",H117="MRR"),
    SUMIFS(I:I,A:A,A117,B:B,B117,G:G,D117),
  TRUE,
    ""
)</f>
        <v>32730.415990000001</v>
      </c>
      <c r="W117" s="10">
        <f t="shared" ref="W117" si="70">IFERROR(V117/$I117,0)</f>
        <v>0.74275007973915286</v>
      </c>
      <c r="X117" s="34">
        <f>SUMIFS('Acel Form Pag'!G:G,'Acel Form Pag'!A:A,A117,'Acel Form Pag'!B:B,B117,'Acel Form Pag'!C:C,E117)</f>
        <v>1</v>
      </c>
      <c r="Y117" s="24">
        <f>MAX(_xlfn.MAXIFS(Parâmetros!O:O,Parâmetros!A:A,A117,Parâmetros!B:B,B117,Parâmetros!D:D,D117,Parâmetros!M:M,"&lt;="&amp;K117),_xlfn.MAXIFS(Parâmetros!L:L,Parâmetros!A:A,A117,Parâmetros!B:B,B117,Parâmetros!D:D,D117,Parâmetros!J:J,"&lt;="&amp;K117),_xlfn.MAXIFS(Parâmetros!I:I,Parâmetros!A:A,A117,Parâmetros!B:B,B117,Parâmetros!D:D,D117))</f>
        <v>5402.94</v>
      </c>
      <c r="Z117" s="9">
        <f>MAX(_xlfn.MAXIFS(Parâmetros!Q:Q,Parâmetros!A:A,A117,Parâmetros!B:B,B117,Parâmetros!D:D,D117,Parâmetros!E:E,E117,Parâmetros!P:P,"&lt;="&amp;K117),
_xlfn.MAXIFS(Parâmetros!S:S,Parâmetros!A:A,A117,Parâmetros!B:B,B117,Parâmetros!D:D,D117,Parâmetros!E:E,E117,Parâmetros!R:R,"&lt;="&amp;K117),
_xlfn.MAXIFS(Parâmetros!U:U,Parâmetros!A:A,A117,Parâmetros!B:B,B117,Parâmetros!D:D,D117,Parâmetros!E:E,E117,Parâmetros!T:T,"&lt;="&amp;K117),1) * IF(K117 &gt;= SUMIFS(Parâmetros!G:G,Parâmetros!A:A,A117,Parâmetros!B:B,B117,Parâmetros!D:D,D117,Parâmetros!E:E,E117),1,0)</f>
        <v>1.3</v>
      </c>
      <c r="AA117" s="16">
        <f>Y117*Z117*K117</f>
        <v>30951.543752166275</v>
      </c>
      <c r="AB117" s="16">
        <f>(AA117*N117*O117) + (AA117*Q117*R117) + (AA117*T117*U117) + (AA117*W117*X117)</f>
        <v>22989.261589971378</v>
      </c>
      <c r="AC117" s="15">
        <f>IF(F117="Gestor",SUMIFS(AC:AC,A:A,A117,B:B,B117,G:G,D117),
IF(E117="Saving",SUMIFS(Negócios!I:I,Negócios!A:A,A117,Negócios!B:B,B117,Negócios!P:P,D117,Negócios!H:H,"Curso") +
SUMIFS(Negócios!I:I,Negócios!A:A,A117,Negócios!B:B,B117,Negócios!P:P,D117,Negócios!H:H,"Serviço") +
SUMIFS(Negócios!I:I,Negócios!A:A,A117,Negócios!B:B,B117,Negócios!P:P,D117,Negócios!H:H,"Implantação"),
SUMIFS(Negócios!I:I,Negócios!A:A,A117,Negócios!B:B,B117,Negócios!P:P,D117,Negócios!H:H,"Implantação")))</f>
        <v>2020880</v>
      </c>
      <c r="AD117" s="16">
        <f>SUMIFS(Parâmetros!W:W,Parâmetros!A:A,A117,Parâmetros!B:B,B117,Parâmetros!D:D,D117) * AC117 * IF(K117 &gt;= SUMIFS(Parâmetros!V:V,Parâmetros!A:A,A117,Parâmetros!B:B,B117,Parâmetros!D:D,D117),1,0)</f>
        <v>40417.599999999999</v>
      </c>
      <c r="AE117" s="15">
        <f>SUMIFS('Recuperação de Canc e Divs'!D:D,'Recuperação de Canc e Divs'!A:A,A117,'Recuperação de Canc e Divs'!B:B,B117,'Recuperação de Canc e Divs'!C:C,D117)</f>
        <v>0</v>
      </c>
      <c r="AF117" s="16">
        <f>IF(K117&gt;=SUMIFS(Parâmetros!J:J,Parâmetros!A:A,A117,Parâmetros!B:B,B117,Parâmetros!D:D,D117),AE117*0.025,0)</f>
        <v>0</v>
      </c>
      <c r="AG117" s="15" t="str">
        <f t="shared" si="58"/>
        <v/>
      </c>
      <c r="AH117" s="16" t="str">
        <f t="shared" si="59"/>
        <v/>
      </c>
      <c r="AI117" s="90">
        <f t="shared" si="60"/>
        <v>0</v>
      </c>
      <c r="AJ117" s="16" t="str">
        <f t="shared" si="61"/>
        <v/>
      </c>
      <c r="AK117" s="16" t="str">
        <f t="shared" si="62"/>
        <v/>
      </c>
      <c r="AL117" s="90">
        <f t="shared" si="63"/>
        <v>0</v>
      </c>
      <c r="AM117" s="93" t="str">
        <f t="shared" si="64"/>
        <v/>
      </c>
      <c r="AN117" s="94" t="str">
        <f>IF(OR(B117=3,B117=6,B117=9,B117=12),
IF(AND(AL117&gt;=1,AI117&gt;=SUMIFS(Parâmetros!G:G,Parâmetros!A:A,Comissões!A117,Parâmetros!B:B,Comissões!B117,Parâmetros!D:D,Comissões!D117,Parâmetros!E:E,Comissões!E117)),AI117*0.3,""),"")</f>
        <v/>
      </c>
      <c r="AO117" s="16">
        <f t="shared" si="65"/>
        <v>32730.415990000001</v>
      </c>
      <c r="AP117" s="16">
        <f t="shared" si="66"/>
        <v>0.74275007973915286</v>
      </c>
    </row>
    <row r="118" spans="1:42" hidden="1">
      <c r="A118" s="7">
        <v>2026</v>
      </c>
      <c r="B118" s="7">
        <v>5</v>
      </c>
      <c r="C118" s="7" t="str">
        <v>Fernanda da Silva Fertonani</v>
      </c>
      <c r="D118" s="7" t="str">
        <v>fernanda.fertonani@altoqi.com.br</v>
      </c>
      <c r="E118" s="7" t="str">
        <v>B2B Escritório</v>
      </c>
      <c r="F118" s="7" t="str">
        <v>Consultor</v>
      </c>
      <c r="G118" s="7" t="str">
        <v>rafael.motta@altoqi.com.br</v>
      </c>
      <c r="H118" s="7" t="str">
        <v>MRR</v>
      </c>
      <c r="I118" s="86" cm="1">
        <f t="array" ref="I118">IF(
  D118="rafael.acencio@altoqi.com.br",
  SUMIFS(Negócios!L:L,Negócios!A:A,A118,Negócios!B:B,B118,Negócios!Q:Q,E118,Negócios!AH:AH,"&lt;&gt;n"),
  _xlfn.IFS(
    AND(F118="Consultor",H118="MRR",E118="Farmer"),
      SUMIFS(Negócios!M:M,Negócios!A:A,A118,Negócios!B:B,B118,Negócios!P:P,D118,Negócios!AH:AH,"&lt;&gt;n")
      +SUMIFS(Negócios!N:N,Negócios!A:A,A118,Negócios!B:B,B118,Negócios!P:P,D118,Negócios!AH:AH,"&lt;&gt;n"),
    AND(F118="Consultor",H118="MRR"),
      SUMIFS(Negócios!L:L,Negócios!A:A,A118,Negócios!B:B,B118,Negócios!P:P,D118,Negócios!AH:AH,"&lt;&gt;n"),
    AND(F118="Consultor",H118="Opps"),
      SUMIFS('Realizado GD'!D:D,'Realizado GD'!A:A,A118,'Realizado GD'!B:B,B118,'Realizado GD'!C:C,D118),
    D118="sonia.zielinski@altoqi.com.br",
      SUM(SUMIFS(Negócios!L:L,Negócios!A:A,A118,Negócios!B:B,B118,Negócios!R:R,{"FSB";"Ares"},Negócios!AH:AH,"&lt;&gt;n"))
      +SUMIFS(Negócios!M:M,Negócios!A:A,A118,Negócios!B:B,B118,Negócios!R:R,"Farmer",Negócios!AH:AH,"&lt;&gt;n")
      +SUMIFS(Negócios!N:N,Negócios!A:A,A118,Negócios!B:B,B118,Negócios!R:R,"Farmer",Negócios!AH:AH,"&lt;&gt;n"),
    OR(
      D118="anderson.ortiz@altoqi.com.br",
      D118="rafael.motta@altoqi.com.br",
      D118="beatriz@altoqi.com.br"
    ),
      SUMIFS(Negócios!L:L,Negócios!A:A,A118,Negócios!B:B,B118,Negócios!R:R,E118,Negócios!AH:AH,"&lt;&gt;n"),
    AND(F118="Gestor",H118="MRR"),
      SUMIFS(I:I,A:A,A118,B:B,B118,G:G,D118),
    TRUE,
      ""
  )
)</f>
        <v>12017.100000000002</v>
      </c>
      <c r="J118" s="16">
        <f>SUMIFS(Metas!K:K,Metas!A:A,A118,Metas!B:B,B118,Metas!D:D,D118,Metas!H:H,H118)</f>
        <v>9500</v>
      </c>
      <c r="K118" s="10">
        <f>IFERROR(I118/J118,0)</f>
        <v>1.2649578947368423</v>
      </c>
      <c r="L118" s="26" t="str" cm="1">
        <f t="array" ref="L118">_xlfn.LET(
 _xlpm.g,_xlfn.MAXIFS(Parâmetros!G:G,Parâmetros!A:A,A118,Parâmetros!B:B,B118,Parâmetros!D:D,D118,Parâmetros!E:E,E118),
 _xlpm.j,_xlfn.MAXIFS(Parâmetros!J:J,Parâmetros!A:A,A118,Parâmetros!B:B,B118,Parâmetros!D:D,D118,Parâmetros!E:E,E118),
 _xlpm.m,_xlfn.MAXIFS(Parâmetros!M:M,Parâmetros!A:A,A118,Parâmetros!B:B,B118,Parâmetros!D:D,D118,Parâmetros!E:E,E118),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/>
      </c>
      <c r="M118" s="28" cm="1">
        <f t="array" ref="M118">IF(
  D118="rafael.acencio@altoqi.com.br",
  SUMIFS(Negócios!L:L,Negócios!A:A,A118,Negócios!B:B,B118,Negócios!Q:Q,E118,Negócios!AG:AG,"À Vista",Negócios!AH:AH,"&lt;&gt;n"),
  _xlfn.IFS(
    AND(F118="Consultor",H118="MRR",E118="Farmer"),
      SUMIFS(Negócios!M:M,Negócios!A:A,A118,Negócios!B:B,B118,Negócios!P:P,D118,Negócios!AG:AG,"À Vista",Negócios!AH:AH,"&lt;&gt;n")
      +SUMIFS(Negócios!N:N,Negócios!A:A,A118,Negócios!B:B,B118,Negócios!P:P,D118,Negócios!AG:AG,"À Vista",Negócios!AH:AH,"&lt;&gt;n"),
    AND(F118="Consultor",H118="MRR"),
      SUMIFS(Negócios!L:L,Negócios!A:A,A118,Negócios!B:B,B118,Negócios!P:P,D118,Negócios!AG:AG,"À Vista",Negócios!AH:AH,"&lt;&gt;n"),
    AND(F118="Consultor",H118="Opps"),
      SUMIFS('Realizado GD'!D:D,'Realizado GD'!A:A,A118,'Realizado GD'!B:B,B118,'Realizado GD'!C:C,D118),
    D118="sonia.zielinski@altoqi.com.br",
      SUM(SUMIFS(Negócios!L:L,Negócios!A:A,A118,Negócios!B:B,B118,Negócios!R:R,{"FSB";"Ares"},Negócios!AG:AG,"À Vista",Negócios!AH:AH,"&lt;&gt;n"))
      +SUMIFS(Negócios!M:M,Negócios!A:A,A118,Negócios!B:B,B118,Negócios!R:R,"Farmer",Negócios!AG:AG,"À Vista",Negócios!AH:AH,"&lt;&gt;n")
      +SUMIFS(Negócios!N:N,Negócios!A:A,A118,Negócios!B:B,B118,Negócios!R:R,"Farmer",Negócios!AG:AG,"À Vista",Negócios!AH:AH,"&lt;&gt;n"),
    OR(
      D118="anderson.ortiz@altoqi.com.br",
      D118="rafael.motta@altoqi.com.br",
      D118="beatriz@altoqi.com.br"
    ),
      SUMIFS(Negócios!L:L,Negócios!A:A,A118,Negócios!B:B,B118,Negócios!R:R,E118,Negócios!AG:AG,"À Vista",Negócios!AH:AH,"&lt;&gt;n"),
    AND(F118="Gestor",H118="MRR"),
      SUMIFS(I:I,A:A,A118,B:B,B118,G:G,D118),
    TRUE,
      ""
  )
)</f>
        <v>3090.4249999999997</v>
      </c>
      <c r="N118" s="10">
        <f t="shared" ref="N118:N134" si="71">IFERROR(M118/$I118,0)</f>
        <v>0.25716895091161757</v>
      </c>
      <c r="O118" s="30">
        <f>SUMIFS('Acel Form Pag'!D:D,'Acel Form Pag'!A:A,A118,'Acel Form Pag'!B:B,B118,'Acel Form Pag'!C:C,E118)</f>
        <v>1.3</v>
      </c>
      <c r="P118" s="87" cm="1">
        <f t="array" ref="P118">IF(
  D118="rafael.acencio@altoqi.com.br",
  SUMIFS(Negócios!M:M,Negócios!A:A,A118,Negócios!B:B,B118,Negócios!Q:Q,E118,Negócios!AG:AG,"CC 3x",Negócios!AH:AH,"&lt;&gt;n"),
  _xlfn.IFS(
    AND(F118="Consultor",H118="MRR",E118="Farmer"),
      SUMIFS(Negócios!M:M,Negócios!A:A,A118,Negócios!B:B,B118,Negócios!P:P,D118,Negócios!AG:AG,"CC 3x",Negócios!AH:AH,"&lt;&gt;n")
      +SUMIFS(Negócios!N:N,Negócios!A:A,A118,Negócios!B:B,B118,Negócios!P:P,D118,Negócios!AG:AG,"CC 3x",Negócios!AH:AH,"&lt;&gt;n"),
    AND(F118="Consultor",H118="MRR"),
      SUMIFS(Negócios!L:L,Negócios!A:A,A118,Negócios!B:B,B118,Negócios!P:P,D118,Negócios!AG:AG,"CC 3x",Negócios!AH:AH,"&lt;&gt;n"),
    AND(F118="Consultor",H118="Opps"),
      SUMIFS('Realizado GD'!D:D,'Realizado GD'!A:A,A118,'Realizado GD'!B:B,B118,'Realizado GD'!C:C,D118),
    D118="sonia.zielinski@altoqi.com.br",
      SUM(SUMIFS(Negócios!L:L,Negócios!A:A,A118,Negócios!B:B,B118,Negócios!R:R,{"FSB";"Ares"},Negócios!AG:AG,"CC 3x",Negócios!AH:AH,"&lt;&gt;n"))
      +SUMIFS(Negócios!M:M,Negócios!A:A,A118,Negócios!B:B,B118,Negócios!R:R,"Farmer",Negócios!AG:AG,"CC 3x",Negócios!AH:AH,"&lt;&gt;n")
      +SUMIFS(Negócios!N:N,Negócios!A:A,A118,Negócios!B:B,B118,Negócios!R:R,"Farmer",Negócios!AG:AG,"CC 3x",Negócios!AH:AH,"&lt;&gt;n"),
    OR(
      D118="anderson.ortiz@altoqi.com.br",
      D118="rafael.motta@altoqi.com.br",
      D118="beatriz@altoqi.com.br"
    ),
      SUMIFS(Negócios!M:M,Negócios!A:A,A118,Negócios!B:B,B118,Negócios!R:R,E118,Negócios!AG:AG,"CC 3x",Negócios!AH:AH,"&lt;&gt;n"),
    AND(F118="Gestor",H118="MRR"),
      SUMIFS(I:I,A:A,A118,B:B,B118,G:G,D118),
    TRUE,
      ""
  )
)</f>
        <v>0</v>
      </c>
      <c r="Q118" s="10">
        <f t="shared" ref="Q118:Q134" si="72">IFERROR(P118/$I118,0)</f>
        <v>0</v>
      </c>
      <c r="R118" s="30">
        <f>SUMIFS('Acel Form Pag'!E:E,'Acel Form Pag'!A:A,A118,'Acel Form Pag'!B:B,B118,'Acel Form Pag'!C:C,E118)</f>
        <v>1.1499999999999999</v>
      </c>
      <c r="S118" s="32" cm="1">
        <f t="array" ref="S118">IF(
  D118="rafael.acencio@altoqi.com.br",
  SUMIFS(Negócios!L:L,Negócios!A:A,A118,Negócios!B:B,B118,Negócios!Q:Q,E118,Negócios!AG:AG,"CC 12x",Negócios!AH:AH,"&lt;&gt;n"),
  _xlfn.IFS(
    AND(F118="Consultor",H118="MRR",E118="Farmer"),
      SUMIFS(Negócios!M:M,Negócios!A:A,A118,Negócios!B:B,B118,Negócios!P:P,D118,Negócios!AG:AG,"CC 12x",Negócios!AH:AH,"&lt;&gt;n")
      +SUMIFS(Negócios!N:N,Negócios!A:A,A118,Negócios!B:B,B118,Negócios!P:P,D118,Negócios!AG:AG,"CC 12x",Negócios!AH:AH,"&lt;&gt;n"),
    AND(F118="Consultor",H118="MRR"),
      SUMIFS(Negócios!L:L,Negócios!A:A,A118,Negócios!B:B,B118,Negócios!P:P,D118,Negócios!AG:AG,"CC 12x",Negócios!AH:AH,"&lt;&gt;n"),
    AND(F118="Consultor",H118="Opps"),
      SUMIFS('Realizado GD'!D:D,'Realizado GD'!A:A,A118,'Realizado GD'!B:B,B118,'Realizado GD'!C:C,D118),
    D118="sonia.zielinski@altoqi.com.br",
      SUM(SUMIFS(Negócios!L:L,Negócios!A:A,A118,Negócios!B:B,B118,Negócios!R:R,{"FSB";"Ares"},Negócios!AG:AG,"CC 12x",Negócios!AH:AH,"&lt;&gt;n"))
      +SUMIFS(Negócios!M:M,Negócios!A:A,A118,Negócios!B:B,B118,Negócios!R:R,"Farmer",Negócios!AG:AG,"CC 12x",Negócios!AH:AH,"&lt;&gt;n")
      +SUMIFS(Negócios!N:N,Negócios!A:A,A118,Negócios!B:B,B118,Negócios!R:R,"Farmer",Negócios!AG:AG,"CC 12x",Negócios!AH:AH,"&lt;&gt;n"),
    OR(
      D118="anderson.ortiz@altoqi.com.br",
      D118="rafael.motta@altoqi.com.br",
      D118="beatriz@altoqi.com.br"
    ),
      SUMIFS(Negócios!L:L,Negócios!A:A,A118,Negócios!B:B,B118,Negócios!R:R,E118,Negócios!AG:AG,"CC 12x",Negócios!AH:AH,"&lt;&gt;n"),
    AND(F118="Gestor",H118="MRR"),
      SUMIFS(I:I,A:A,A118,B:B,B118,G:G,D118),
    TRUE,
      ""
  )
)</f>
        <v>7876.7150000000001</v>
      </c>
      <c r="T118" s="10">
        <f t="shared" ref="T118:T134" si="73">IFERROR(S118/$I118,0)</f>
        <v>0.65545888775162053</v>
      </c>
      <c r="U118" s="30">
        <f>SUMIFS('Acel Form Pag'!F:F,'Acel Form Pag'!A:A,A118,'Acel Form Pag'!B:B,B118,'Acel Form Pag'!C:C,E118)</f>
        <v>1.1499999999999999</v>
      </c>
      <c r="V118" s="32" cm="1">
        <f t="array" ref="V118">IF(
  D118="rafael.acencio@altoqi.com.br",
  SUMIFS(Negócios!L:L,Negócios!A:A,A118,Negócios!B:B,B118,Negócios!Q:Q,E118,Negócios!AG:AG,"Recorrente",Negócios!AH:AH,"&lt;&gt;n"),
  _xlfn.IFS(
    AND(F118="Consultor",H118="MRR",E118="Farmer"),
      SUMIFS(Negócios!M:M,Negócios!A:A,A118,Negócios!B:B,B118,Negócios!P:P,D118,Negócios!AG:AG,"Recorrente",Negócios!AH:AH,"&lt;&gt;n")
      +SUMIFS(Negócios!N:N,Negócios!A:A,A118,Negócios!B:B,B118,Negócios!P:P,D118,Negócios!AG:AG,"Recorrente",Negócios!AH:AH,"&lt;&gt;n"),
    AND(F118="Consultor",H118="MRR"),
      SUMIFS(Negócios!L:L,Negócios!A:A,A118,Negócios!B:B,B118,Negócios!P:P,D118,Negócios!AG:AG,"Recorrente",Negócios!AH:AH,"&lt;&gt;n"),
    AND(F118="Consultor",H118="Opps"),
      SUMIFS('Realizado GD'!D:D,'Realizado GD'!A:A,A118,'Realizado GD'!B:B,B118,'Realizado GD'!C:C,D118),
    D118="sonia.zielinski@altoqi.com.br",
      SUM(SUMIFS(Negócios!L:L,Negócios!A:A,A118,Negócios!B:B,B118,Negócios!R:R,{"FSB";"Ares"},Negócios!AG:AG,"Recorrente",Negócios!AH:AH,"&lt;&gt;n"))
      +SUMIFS(Negócios!M:M,Negócios!A:A,A118,Negócios!B:B,B118,Negócios!R:R,"Farmer",Negócios!AG:AG,"Recorrente",Negócios!AH:AH,"&lt;&gt;n")
      +SUMIFS(Negócios!N:N,Negócios!A:A,A118,Negócios!B:B,B118,Negócios!R:R,"Farmer",Negócios!AG:AG,"Recorrente",Negócios!AH:AH,"&lt;&gt;n"),
    OR(
      D118="anderson.ortiz@altoqi.com.br",
      D118="rafael.motta@altoqi.com.br",
      D118="beatriz@altoqi.com.br"
    ),
      SUMIFS(Negócios!L:L,Negócios!A:A,A118,Negócios!B:B,B118,Negócios!R:R,E118,Negócios!AG:AG,"Recorrente",Negócios!AH:AH,"&lt;&gt;n"),
    AND(F118="Gestor",H118="MRR"),
      SUMIFS(I:I,A:A,A118,B:B,B118,G:G,D118),
    TRUE,
      ""
  )
)</f>
        <v>1049.96</v>
      </c>
      <c r="W118" s="10">
        <f t="shared" ref="W118:W134" si="74">IFERROR(V118/$I118,0)</f>
        <v>8.7372161336761775E-2</v>
      </c>
      <c r="X118" s="34">
        <f>SUMIFS('Acel Form Pag'!G:G,'Acel Form Pag'!A:A,A118,'Acel Form Pag'!B:B,B118,'Acel Form Pag'!C:C,E118)</f>
        <v>1</v>
      </c>
      <c r="Y118" s="24">
        <f>MAX(_xlfn.MAXIFS(Parâmetros!O:O,Parâmetros!A:A,A118,Parâmetros!B:B,B118,Parâmetros!D:D,D118,Parâmetros!M:M,"&lt;="&amp;K118),_xlfn.MAXIFS(Parâmetros!L:L,Parâmetros!A:A,A118,Parâmetros!B:B,B118,Parâmetros!D:D,D118,Parâmetros!J:J,"&lt;="&amp;K118),_xlfn.MAXIFS(Parâmetros!I:I,Parâmetros!A:A,A118,Parâmetros!B:B,B118,Parâmetros!D:D,D118))</f>
        <v>4593.6000000000004</v>
      </c>
      <c r="Z118" s="9">
        <f>MAX(_xlfn.MAXIFS(Parâmetros!Q:Q,Parâmetros!A:A,A118,Parâmetros!B:B,B118,Parâmetros!D:D,D118,Parâmetros!E:E,E118,Parâmetros!P:P,"&lt;="&amp;K118),
_xlfn.MAXIFS(Parâmetros!S:S,Parâmetros!A:A,A118,Parâmetros!B:B,B118,Parâmetros!D:D,D118,Parâmetros!E:E,E118,Parâmetros!R:R,"&lt;="&amp;K118),
_xlfn.MAXIFS(Parâmetros!U:U,Parâmetros!A:A,A118,Parâmetros!B:B,B118,Parâmetros!D:D,D118,Parâmetros!E:E,E118,Parâmetros!T:T,"&lt;="&amp;K118),1) * IF(K118 &gt;= SUMIFS(Parâmetros!G:G,Parâmetros!A:A,A118,Parâmetros!B:B,B118,Parâmetros!D:D,D118,Parâmetros!E:E,E118),1,0)</f>
        <v>1.3</v>
      </c>
      <c r="AA118" s="16">
        <f t="shared" si="56"/>
        <v>7553.9237608421063</v>
      </c>
      <c r="AB118" s="16">
        <f t="shared" si="57"/>
        <v>8879.4071254610517</v>
      </c>
      <c r="AC118" s="15">
        <f>IF(F118="Gestor",SUMIFS(AC:AC,A:A,A118,B:B,B118,G:G,D118),
IF(E118="Saving",SUMIFS(Negócios!I:I,Negócios!A:A,A118,Negócios!B:B,B118,Negócios!P:P,D118,Negócios!H:H,"Curso",Negócios!AH:AH,"&lt;&gt;n") +
SUMIFS(Negócios!I:I,Negócios!A:A,A118,Negócios!B:B,B118,Negócios!P:P,D118,Negócios!H:H,"Serviço",Negócios!AH:AH,"&lt;&gt;n") +
SUMIFS(Negócios!I:I,Negócios!A:A,A118,Negócios!B:B,B118,Negócios!P:P,D118,Negócios!H:H,"Implantação",Negócios!AH:AH,"&lt;&gt;n"),
SUMIFS(Negócios!I:I,Negócios!A:A,A118,Negócios!B:B,B118,Negócios!P:P,D118,Negócios!H:H,"Implantação",Negócios!AH:AH,"&lt;&gt;n")))</f>
        <v>0</v>
      </c>
      <c r="AD118" s="16">
        <f>SUMIFS(Parâmetros!W:W,Parâmetros!A:A,A118,Parâmetros!B:B,B118,Parâmetros!D:D,D118) * AC118 * IF(K118 &gt;= SUMIFS(Parâmetros!V:V,Parâmetros!A:A,A118,Parâmetros!B:B,B118,Parâmetros!D:D,D118),1,0)</f>
        <v>0</v>
      </c>
      <c r="AE118" s="15">
        <f>SUMIFS('Recuperação de Canc e Divs'!D:D,'Recuperação de Canc e Divs'!A:A,A118,'Recuperação de Canc e Divs'!B:B,B118,'Recuperação de Canc e Divs'!C:C,D118)</f>
        <v>0</v>
      </c>
      <c r="AF118" s="16">
        <f>IF(K118&gt;=SUMIFS(Parâmetros!J:J,Parâmetros!A:A,A118,Parâmetros!B:B,B118,Parâmetros!D:D,D118),AE118*0.025,0)</f>
        <v>0</v>
      </c>
      <c r="AG118" s="15" t="str">
        <f t="shared" si="58"/>
        <v/>
      </c>
      <c r="AH118" s="16" t="str">
        <f t="shared" si="59"/>
        <v/>
      </c>
      <c r="AI118" s="90">
        <f t="shared" si="60"/>
        <v>0</v>
      </c>
      <c r="AJ118" s="16" t="str">
        <f t="shared" si="61"/>
        <v/>
      </c>
      <c r="AK118" s="16" t="str">
        <f t="shared" si="62"/>
        <v/>
      </c>
      <c r="AL118" s="90">
        <f t="shared" si="63"/>
        <v>0</v>
      </c>
      <c r="AM118" s="93" t="str">
        <f t="shared" si="64"/>
        <v/>
      </c>
      <c r="AN118" s="94" t="str">
        <f>IF(OR(B118=3,B118=6,B118=9,B118=12),
IF(AND(AL118&gt;=1,AI118&gt;=SUMIFS(Parâmetros!G:G,Parâmetros!A:A,Comissões!A118,Parâmetros!B:B,Comissões!B118,Parâmetros!D:D,Comissões!D118,Parâmetros!E:E,Comissões!E118)),AI118*0.3,""),"")</f>
        <v/>
      </c>
      <c r="AO118" s="16">
        <f t="shared" si="65"/>
        <v>12017.099999999999</v>
      </c>
      <c r="AP118" s="16">
        <f t="shared" si="66"/>
        <v>0.99999999999999978</v>
      </c>
    </row>
    <row r="119" spans="1:42" hidden="1">
      <c r="A119" s="7">
        <v>2026</v>
      </c>
      <c r="B119" s="7">
        <v>5</v>
      </c>
      <c r="C119" s="7" t="str">
        <v>Francisco Guilherme Junior</v>
      </c>
      <c r="D119" s="7" t="str">
        <v>francisco.junior@altoqi.com.br</v>
      </c>
      <c r="E119" s="7" t="str">
        <v>B2B Escritório</v>
      </c>
      <c r="F119" s="7" t="str">
        <v>Consultor</v>
      </c>
      <c r="G119" s="7" t="str">
        <v>rafael.motta@altoqi.com.br</v>
      </c>
      <c r="H119" s="7" t="str">
        <v>MRR</v>
      </c>
      <c r="I119" s="86" cm="1">
        <f t="array" ref="I119">IF(
  D119="rafael.acencio@altoqi.com.br",
  SUMIFS(Negócios!L:L,Negócios!A:A,A119,Negócios!B:B,B119,Negócios!Q:Q,E119,Negócios!AH:AH,"&lt;&gt;n"),
  _xlfn.IFS(
    AND(F119="Consultor",H119="MRR",E119="Farmer"),
      SUMIFS(Negócios!M:M,Negócios!A:A,A119,Negócios!B:B,B119,Negócios!P:P,D119,Negócios!AH:AH,"&lt;&gt;n")
      +SUMIFS(Negócios!N:N,Negócios!A:A,A119,Negócios!B:B,B119,Negócios!P:P,D119,Negócios!AH:AH,"&lt;&gt;n"),
    AND(F119="Consultor",H119="MRR"),
      SUMIFS(Negócios!L:L,Negócios!A:A,A119,Negócios!B:B,B119,Negócios!P:P,D119,Negócios!AH:AH,"&lt;&gt;n"),
    AND(F119="Consultor",H119="Opps"),
      SUMIFS('Realizado GD'!D:D,'Realizado GD'!A:A,A119,'Realizado GD'!B:B,B119,'Realizado GD'!C:C,D119),
    D119="sonia.zielinski@altoqi.com.br",
      SUM(SUMIFS(Negócios!L:L,Negócios!A:A,A119,Negócios!B:B,B119,Negócios!R:R,{"FSB";"Ares"},Negócios!AH:AH,"&lt;&gt;n"))
      +SUMIFS(Negócios!M:M,Negócios!A:A,A119,Negócios!B:B,B119,Negócios!R:R,"Farmer",Negócios!AH:AH,"&lt;&gt;n")
      +SUMIFS(Negócios!N:N,Negócios!A:A,A119,Negócios!B:B,B119,Negócios!R:R,"Farmer",Negócios!AH:AH,"&lt;&gt;n"),
    OR(
      D119="anderson.ortiz@altoqi.com.br",
      D119="rafael.motta@altoqi.com.br",
      D119="beatriz@altoqi.com.br"
    ),
      SUMIFS(Negócios!L:L,Negócios!A:A,A119,Negócios!B:B,B119,Negócios!R:R,E119,Negócios!AH:AH,"&lt;&gt;n"),
    AND(F119="Gestor",H119="MRR"),
      SUMIFS(I:I,A:A,A119,B:B,B119,G:G,D119),
    TRUE,
      ""
  )
)</f>
        <v>4720.55</v>
      </c>
      <c r="J119" s="16">
        <f>SUMIFS(Metas!K:K,Metas!A:A,A119,Metas!B:B,B119,Metas!D:D,D119,Metas!H:H,H119)</f>
        <v>6270</v>
      </c>
      <c r="K119" s="10">
        <f t="shared" si="55"/>
        <v>0.75287878787878793</v>
      </c>
      <c r="L119" s="26" t="str" cm="1">
        <f t="array" ref="L119">_xlfn.LET(
 _xlpm.g,_xlfn.MAXIFS(Parâmetros!G:G,Parâmetros!A:A,A119,Parâmetros!B:B,B119,Parâmetros!D:D,D119,Parâmetros!E:E,E119),
 _xlpm.j,_xlfn.MAXIFS(Parâmetros!J:J,Parâmetros!A:A,A119,Parâmetros!B:B,B119,Parâmetros!D:D,D119,Parâmetros!E:E,E119),
 _xlpm.m,_xlfn.MAXIFS(Parâmetros!M:M,Parâmetros!A:A,A119,Parâmetros!B:B,B119,Parâmetros!D:D,D119,Parâmetros!E:E,E119),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/>
      </c>
      <c r="M119" s="28" cm="1">
        <f t="array" ref="M119">IF(
  D119="rafael.acencio@altoqi.com.br",
  SUMIFS(Negócios!L:L,Negócios!A:A,A119,Negócios!B:B,B119,Negócios!Q:Q,E119,Negócios!AG:AG,"À Vista",Negócios!AH:AH,"&lt;&gt;n"),
  _xlfn.IFS(
    AND(F119="Consultor",H119="MRR",E119="Farmer"),
      SUMIFS(Negócios!M:M,Negócios!A:A,A119,Negócios!B:B,B119,Negócios!P:P,D119,Negócios!AG:AG,"À Vista",Negócios!AH:AH,"&lt;&gt;n")
      +SUMIFS(Negócios!N:N,Negócios!A:A,A119,Negócios!B:B,B119,Negócios!P:P,D119,Negócios!AG:AG,"À Vista",Negócios!AH:AH,"&lt;&gt;n"),
    AND(F119="Consultor",H119="MRR"),
      SUMIFS(Negócios!L:L,Negócios!A:A,A119,Negócios!B:B,B119,Negócios!P:P,D119,Negócios!AG:AG,"À Vista",Negócios!AH:AH,"&lt;&gt;n"),
    AND(F119="Consultor",H119="Opps"),
      SUMIFS('Realizado GD'!D:D,'Realizado GD'!A:A,A119,'Realizado GD'!B:B,B119,'Realizado GD'!C:C,D119),
    D119="sonia.zielinski@altoqi.com.br",
      SUM(SUMIFS(Negócios!L:L,Negócios!A:A,A119,Negócios!B:B,B119,Negócios!R:R,{"FSB";"Ares"},Negócios!AG:AG,"À Vista",Negócios!AH:AH,"&lt;&gt;n"))
      +SUMIFS(Negócios!M:M,Negócios!A:A,A119,Negócios!B:B,B119,Negócios!R:R,"Farmer",Negócios!AG:AG,"À Vista",Negócios!AH:AH,"&lt;&gt;n")
      +SUMIFS(Negócios!N:N,Negócios!A:A,A119,Negócios!B:B,B119,Negócios!R:R,"Farmer",Negócios!AG:AG,"À Vista",Negócios!AH:AH,"&lt;&gt;n"),
    OR(
      D119="anderson.ortiz@altoqi.com.br",
      D119="rafael.motta@altoqi.com.br",
      D119="beatriz@altoqi.com.br"
    ),
      SUMIFS(Negócios!L:L,Negócios!A:A,A119,Negócios!B:B,B119,Negócios!R:R,E119,Negócios!AG:AG,"À Vista",Negócios!AH:AH,"&lt;&gt;n"),
    AND(F119="Gestor",H119="MRR"),
      SUMIFS(I:I,A:A,A119,B:B,B119,G:G,D119),
    TRUE,
      ""
  )
)</f>
        <v>500</v>
      </c>
      <c r="N119" s="10">
        <f t="shared" si="71"/>
        <v>0.10591986103314233</v>
      </c>
      <c r="O119" s="30">
        <f>SUMIFS('Acel Form Pag'!D:D,'Acel Form Pag'!A:A,A119,'Acel Form Pag'!B:B,B119,'Acel Form Pag'!C:C,E119)</f>
        <v>1.3</v>
      </c>
      <c r="P119" s="87" cm="1">
        <f t="array" ref="P119">IF(
  D119="rafael.acencio@altoqi.com.br",
  SUMIFS(Negócios!M:M,Negócios!A:A,A119,Negócios!B:B,B119,Negócios!Q:Q,E119,Negócios!AG:AG,"CC 3x",Negócios!AH:AH,"&lt;&gt;n"),
  _xlfn.IFS(
    AND(F119="Consultor",H119="MRR",E119="Farmer"),
      SUMIFS(Negócios!M:M,Negócios!A:A,A119,Negócios!B:B,B119,Negócios!P:P,D119,Negócios!AG:AG,"CC 3x",Negócios!AH:AH,"&lt;&gt;n")
      +SUMIFS(Negócios!N:N,Negócios!A:A,A119,Negócios!B:B,B119,Negócios!P:P,D119,Negócios!AG:AG,"CC 3x",Negócios!AH:AH,"&lt;&gt;n"),
    AND(F119="Consultor",H119="MRR"),
      SUMIFS(Negócios!L:L,Negócios!A:A,A119,Negócios!B:B,B119,Negócios!P:P,D119,Negócios!AG:AG,"CC 3x",Negócios!AH:AH,"&lt;&gt;n"),
    AND(F119="Consultor",H119="Opps"),
      SUMIFS('Realizado GD'!D:D,'Realizado GD'!A:A,A119,'Realizado GD'!B:B,B119,'Realizado GD'!C:C,D119),
    D119="sonia.zielinski@altoqi.com.br",
      SUM(SUMIFS(Negócios!L:L,Negócios!A:A,A119,Negócios!B:B,B119,Negócios!R:R,{"FSB";"Ares"},Negócios!AG:AG,"CC 3x",Negócios!AH:AH,"&lt;&gt;n"))
      +SUMIFS(Negócios!M:M,Negócios!A:A,A119,Negócios!B:B,B119,Negócios!R:R,"Farmer",Negócios!AG:AG,"CC 3x",Negócios!AH:AH,"&lt;&gt;n")
      +SUMIFS(Negócios!N:N,Negócios!A:A,A119,Negócios!B:B,B119,Negócios!R:R,"Farmer",Negócios!AG:AG,"CC 3x",Negócios!AH:AH,"&lt;&gt;n"),
    OR(
      D119="anderson.ortiz@altoqi.com.br",
      D119="rafael.motta@altoqi.com.br",
      D119="beatriz@altoqi.com.br"
    ),
      SUMIFS(Negócios!M:M,Negócios!A:A,A119,Negócios!B:B,B119,Negócios!R:R,E119,Negócios!AG:AG,"CC 3x",Negócios!AH:AH,"&lt;&gt;n"),
    AND(F119="Gestor",H119="MRR"),
      SUMIFS(I:I,A:A,A119,B:B,B119,G:G,D119),
    TRUE,
      ""
  )
)</f>
        <v>0</v>
      </c>
      <c r="Q119" s="10">
        <f t="shared" si="72"/>
        <v>0</v>
      </c>
      <c r="R119" s="30">
        <f>SUMIFS('Acel Form Pag'!E:E,'Acel Form Pag'!A:A,A119,'Acel Form Pag'!B:B,B119,'Acel Form Pag'!C:C,E119)</f>
        <v>1.1499999999999999</v>
      </c>
      <c r="S119" s="32" cm="1">
        <f t="array" ref="S119">IF(
  D119="rafael.acencio@altoqi.com.br",
  SUMIFS(Negócios!L:L,Negócios!A:A,A119,Negócios!B:B,B119,Negócios!Q:Q,E119,Negócios!AG:AG,"CC 12x",Negócios!AH:AH,"&lt;&gt;n"),
  _xlfn.IFS(
    AND(F119="Consultor",H119="MRR",E119="Farmer"),
      SUMIFS(Negócios!M:M,Negócios!A:A,A119,Negócios!B:B,B119,Negócios!P:P,D119,Negócios!AG:AG,"CC 12x",Negócios!AH:AH,"&lt;&gt;n")
      +SUMIFS(Negócios!N:N,Negócios!A:A,A119,Negócios!B:B,B119,Negócios!P:P,D119,Negócios!AG:AG,"CC 12x",Negócios!AH:AH,"&lt;&gt;n"),
    AND(F119="Consultor",H119="MRR"),
      SUMIFS(Negócios!L:L,Negócios!A:A,A119,Negócios!B:B,B119,Negócios!P:P,D119,Negócios!AG:AG,"CC 12x",Negócios!AH:AH,"&lt;&gt;n"),
    AND(F119="Consultor",H119="Opps"),
      SUMIFS('Realizado GD'!D:D,'Realizado GD'!A:A,A119,'Realizado GD'!B:B,B119,'Realizado GD'!C:C,D119),
    D119="sonia.zielinski@altoqi.com.br",
      SUM(SUMIFS(Negócios!L:L,Negócios!A:A,A119,Negócios!B:B,B119,Negócios!R:R,{"FSB";"Ares"},Negócios!AG:AG,"CC 12x",Negócios!AH:AH,"&lt;&gt;n"))
      +SUMIFS(Negócios!M:M,Negócios!A:A,A119,Negócios!B:B,B119,Negócios!R:R,"Farmer",Negócios!AG:AG,"CC 12x",Negócios!AH:AH,"&lt;&gt;n")
      +SUMIFS(Negócios!N:N,Negócios!A:A,A119,Negócios!B:B,B119,Negócios!R:R,"Farmer",Negócios!AG:AG,"CC 12x",Negócios!AH:AH,"&lt;&gt;n"),
    OR(
      D119="anderson.ortiz@altoqi.com.br",
      D119="rafael.motta@altoqi.com.br",
      D119="beatriz@altoqi.com.br"
    ),
      SUMIFS(Negócios!L:L,Negócios!A:A,A119,Negócios!B:B,B119,Negócios!R:R,E119,Negócios!AG:AG,"CC 12x",Negócios!AH:AH,"&lt;&gt;n"),
    AND(F119="Gestor",H119="MRR"),
      SUMIFS(I:I,A:A,A119,B:B,B119,G:G,D119),
    TRUE,
      ""
  )
)</f>
        <v>1449.5</v>
      </c>
      <c r="T119" s="10">
        <f t="shared" si="73"/>
        <v>0.30706167713507959</v>
      </c>
      <c r="U119" s="30">
        <f>SUMIFS('Acel Form Pag'!F:F,'Acel Form Pag'!A:A,A119,'Acel Form Pag'!B:B,B119,'Acel Form Pag'!C:C,E119)</f>
        <v>1.1499999999999999</v>
      </c>
      <c r="V119" s="32" cm="1">
        <f t="array" ref="V119">IF(
  D119="rafael.acencio@altoqi.com.br",
  SUMIFS(Negócios!L:L,Negócios!A:A,A119,Negócios!B:B,B119,Negócios!Q:Q,E119,Negócios!AG:AG,"Recorrente",Negócios!AH:AH,"&lt;&gt;n"),
  _xlfn.IFS(
    AND(F119="Consultor",H119="MRR",E119="Farmer"),
      SUMIFS(Negócios!M:M,Negócios!A:A,A119,Negócios!B:B,B119,Negócios!P:P,D119,Negócios!AG:AG,"Recorrente",Negócios!AH:AH,"&lt;&gt;n")
      +SUMIFS(Negócios!N:N,Negócios!A:A,A119,Negócios!B:B,B119,Negócios!P:P,D119,Negócios!AG:AG,"Recorrente",Negócios!AH:AH,"&lt;&gt;n"),
    AND(F119="Consultor",H119="MRR"),
      SUMIFS(Negócios!L:L,Negócios!A:A,A119,Negócios!B:B,B119,Negócios!P:P,D119,Negócios!AG:AG,"Recorrente",Negócios!AH:AH,"&lt;&gt;n"),
    AND(F119="Consultor",H119="Opps"),
      SUMIFS('Realizado GD'!D:D,'Realizado GD'!A:A,A119,'Realizado GD'!B:B,B119,'Realizado GD'!C:C,D119),
    D119="sonia.zielinski@altoqi.com.br",
      SUM(SUMIFS(Negócios!L:L,Negócios!A:A,A119,Negócios!B:B,B119,Negócios!R:R,{"FSB";"Ares"},Negócios!AG:AG,"Recorrente",Negócios!AH:AH,"&lt;&gt;n"))
      +SUMIFS(Negócios!M:M,Negócios!A:A,A119,Negócios!B:B,B119,Negócios!R:R,"Farmer",Negócios!AG:AG,"Recorrente",Negócios!AH:AH,"&lt;&gt;n")
      +SUMIFS(Negócios!N:N,Negócios!A:A,A119,Negócios!B:B,B119,Negócios!R:R,"Farmer",Negócios!AG:AG,"Recorrente",Negócios!AH:AH,"&lt;&gt;n"),
    OR(
      D119="anderson.ortiz@altoqi.com.br",
      D119="rafael.motta@altoqi.com.br",
      D119="beatriz@altoqi.com.br"
    ),
      SUMIFS(Negócios!L:L,Negócios!A:A,A119,Negócios!B:B,B119,Negócios!R:R,E119,Negócios!AG:AG,"Recorrente",Negócios!AH:AH,"&lt;&gt;n"),
    AND(F119="Gestor",H119="MRR"),
      SUMIFS(I:I,A:A,A119,B:B,B119,G:G,D119),
    TRUE,
      ""
  )
)</f>
        <v>2771.05</v>
      </c>
      <c r="W119" s="10">
        <f t="shared" si="74"/>
        <v>0.58701846183177808</v>
      </c>
      <c r="X119" s="34">
        <f>SUMIFS('Acel Form Pag'!G:G,'Acel Form Pag'!A:A,A119,'Acel Form Pag'!B:B,B119,'Acel Form Pag'!C:C,E119)</f>
        <v>1</v>
      </c>
      <c r="Y119" s="24">
        <f>MAX(_xlfn.MAXIFS(Parâmetros!O:O,Parâmetros!A:A,A119,Parâmetros!B:B,B119,Parâmetros!D:D,D119,Parâmetros!M:M,"&lt;="&amp;K119),_xlfn.MAXIFS(Parâmetros!L:L,Parâmetros!A:A,A119,Parâmetros!B:B,B119,Parâmetros!D:D,D119,Parâmetros!J:J,"&lt;="&amp;K119),_xlfn.MAXIFS(Parâmetros!I:I,Parâmetros!A:A,A119,Parâmetros!B:B,B119,Parâmetros!D:D,D119))</f>
        <v>3031.7760000000003</v>
      </c>
      <c r="Z119" s="9">
        <f>MAX(_xlfn.MAXIFS(Parâmetros!Q:Q,Parâmetros!A:A,A119,Parâmetros!B:B,B119,Parâmetros!D:D,D119,Parâmetros!E:E,E119,Parâmetros!P:P,"&lt;="&amp;K119),
_xlfn.MAXIFS(Parâmetros!S:S,Parâmetros!A:A,A119,Parâmetros!B:B,B119,Parâmetros!D:D,D119,Parâmetros!E:E,E119,Parâmetros!R:R,"&lt;="&amp;K119),
_xlfn.MAXIFS(Parâmetros!U:U,Parâmetros!A:A,A119,Parâmetros!B:B,B119,Parâmetros!D:D,D119,Parâmetros!E:E,E119,Parâmetros!T:T,"&lt;="&amp;K119),1) * IF(K119 &gt;= SUMIFS(Parâmetros!G:G,Parâmetros!A:A,A119,Parâmetros!B:B,B119,Parâmetros!D:D,D119,Parâmetros!E:E,E119),1,0)</f>
        <v>1</v>
      </c>
      <c r="AA119" s="16">
        <f>Y119*Z119*K119</f>
        <v>2282.5598400000003</v>
      </c>
      <c r="AB119" s="16">
        <f>(AA119*N119*O119) + (AA119*Q119*R119) + (AA119*T119*U119) + (AA119*W119*X119)</f>
        <v>2460.2233642105266</v>
      </c>
      <c r="AC119" s="15">
        <f>IF(F119="Gestor",SUMIFS(AC:AC,A:A,A119,B:B,B119,G:G,D119),
IF(E119="Saving",SUMIFS(Negócios!I:I,Negócios!A:A,A119,Negócios!B:B,B119,Negócios!P:P,D119,Negócios!H:H,"Curso",Negócios!AH:AH,"&lt;&gt;n") +
SUMIFS(Negócios!I:I,Negócios!A:A,A119,Negócios!B:B,B119,Negócios!P:P,D119,Negócios!H:H,"Serviço",Negócios!AH:AH,"&lt;&gt;n") +
SUMIFS(Negócios!I:I,Negócios!A:A,A119,Negócios!B:B,B119,Negócios!P:P,D119,Negócios!H:H,"Implantação",Negócios!AH:AH,"&lt;&gt;n"),
SUMIFS(Negócios!I:I,Negócios!A:A,A119,Negócios!B:B,B119,Negócios!P:P,D119,Negócios!H:H,"Implantação",Negócios!AH:AH,"&lt;&gt;n")))</f>
        <v>0</v>
      </c>
      <c r="AD119" s="16">
        <f>SUMIFS(Parâmetros!W:W,Parâmetros!A:A,A119,Parâmetros!B:B,B119,Parâmetros!D:D,D119) * AC119 * IF(K119 &gt;= SUMIFS(Parâmetros!V:V,Parâmetros!A:A,A119,Parâmetros!B:B,B119,Parâmetros!D:D,D119),1,0)</f>
        <v>0</v>
      </c>
      <c r="AE119" s="15">
        <f>SUMIFS('Recuperação de Canc e Divs'!D:D,'Recuperação de Canc e Divs'!A:A,A119,'Recuperação de Canc e Divs'!B:B,B119,'Recuperação de Canc e Divs'!C:C,D119)</f>
        <v>0</v>
      </c>
      <c r="AF119" s="16">
        <f>IF(K119&gt;=SUMIFS(Parâmetros!J:J,Parâmetros!A:A,A119,Parâmetros!B:B,B119,Parâmetros!D:D,D119),AE119*0.025,0)</f>
        <v>0</v>
      </c>
      <c r="AG119" s="15" t="str">
        <f t="shared" si="58"/>
        <v/>
      </c>
      <c r="AH119" s="16" t="str">
        <f t="shared" si="59"/>
        <v/>
      </c>
      <c r="AI119" s="90">
        <f t="shared" si="60"/>
        <v>0</v>
      </c>
      <c r="AJ119" s="16" t="str">
        <f t="shared" si="61"/>
        <v/>
      </c>
      <c r="AK119" s="16" t="str">
        <f t="shared" si="62"/>
        <v/>
      </c>
      <c r="AL119" s="90">
        <f t="shared" si="63"/>
        <v>0</v>
      </c>
      <c r="AM119" s="93" t="str">
        <f t="shared" si="64"/>
        <v/>
      </c>
      <c r="AN119" s="94" t="str">
        <f>IF(OR(B119=3,B119=6,B119=9,B119=12),
IF(AND(AL119&gt;=1,AI119&gt;=SUMIFS(Parâmetros!G:G,Parâmetros!A:A,Comissões!A119,Parâmetros!B:B,Comissões!B119,Parâmetros!D:D,Comissões!D119,Parâmetros!E:E,Comissões!E119)),AI119*0.3,""),"")</f>
        <v/>
      </c>
      <c r="AO119" s="16">
        <f t="shared" si="65"/>
        <v>4720.55</v>
      </c>
      <c r="AP119" s="16">
        <f t="shared" si="66"/>
        <v>1</v>
      </c>
    </row>
    <row r="120" spans="1:42" hidden="1">
      <c r="A120" s="7">
        <v>2026</v>
      </c>
      <c r="B120" s="7">
        <v>5</v>
      </c>
      <c r="C120" s="7" t="str">
        <v>Rafael Marquez Motta</v>
      </c>
      <c r="D120" s="7" t="str">
        <v>rafael.motta@altoqi.com.br</v>
      </c>
      <c r="E120" s="7" t="str">
        <v>B2B Escritório</v>
      </c>
      <c r="F120" s="7" t="str">
        <v>Gestor</v>
      </c>
      <c r="G120" s="7">
        <v>0</v>
      </c>
      <c r="H120" s="7" t="str">
        <v>MRR</v>
      </c>
      <c r="I120" s="86" cm="1">
        <f t="array" ref="I120">IF(
  D120="rafael.acencio@altoqi.com.br",
  SUMIFS(Negócios!L:L,Negócios!A:A,A120,Negócios!B:B,B120,Negócios!Q:Q,E120,Negócios!AH:AH,"&lt;&gt;n"),
  _xlfn.IFS(
    AND(F120="Consultor",H120="MRR",E120="Farmer"),
      SUMIFS(Negócios!M:M,Negócios!A:A,A120,Negócios!B:B,B120,Negócios!P:P,D120,Negócios!AH:AH,"&lt;&gt;n")
      +SUMIFS(Negócios!N:N,Negócios!A:A,A120,Negócios!B:B,B120,Negócios!P:P,D120,Negócios!AH:AH,"&lt;&gt;n"),
    AND(F120="Consultor",H120="MRR"),
      SUMIFS(Negócios!L:L,Negócios!A:A,A120,Negócios!B:B,B120,Negócios!P:P,D120,Negócios!AH:AH,"&lt;&gt;n"),
    AND(F120="Consultor",H120="Opps"),
      SUMIFS('Realizado GD'!D:D,'Realizado GD'!A:A,A120,'Realizado GD'!B:B,B120,'Realizado GD'!C:C,D120),
    D120="sonia.zielinski@altoqi.com.br",
      SUM(SUMIFS(Negócios!L:L,Negócios!A:A,A120,Negócios!B:B,B120,Negócios!R:R,{"FSB";"Ares"},Negócios!AH:AH,"&lt;&gt;n"))
      +SUMIFS(Negócios!M:M,Negócios!A:A,A120,Negócios!B:B,B120,Negócios!R:R,"Farmer",Negócios!AH:AH,"&lt;&gt;n")
      +SUMIFS(Negócios!N:N,Negócios!A:A,A120,Negócios!B:B,B120,Negócios!R:R,"Farmer",Negócios!AH:AH,"&lt;&gt;n"),
    OR(
      D120="anderson.ortiz@altoqi.com.br",
      D120="rafael.motta@altoqi.com.br",
      D120="beatriz@altoqi.com.br"
    ),
      SUMIFS(Negócios!L:L,Negócios!A:A,A120,Negócios!B:B,B120,Negócios!R:R,E120,Negócios!AH:AH,"&lt;&gt;n"),
    AND(F120="Gestor",H120="MRR"),
      SUMIFS(I:I,A:A,A120,B:B,B120,G:G,D120),
    TRUE,
      ""
  )
)</f>
        <v>15457.65</v>
      </c>
      <c r="J120" s="16">
        <f>SUMIFS(Metas!K:K,Metas!A:A,A120,Metas!B:B,B120,Metas!D:D,D120,Metas!H:H,H120)</f>
        <v>16500</v>
      </c>
      <c r="K120" s="10">
        <f t="shared" si="55"/>
        <v>0.93682727272727273</v>
      </c>
      <c r="L120" s="26" t="str" cm="1">
        <f t="array" ref="L120">_xlfn.LET(
 _xlpm.g,_xlfn.MAXIFS(Parâmetros!G:G,Parâmetros!A:A,A120,Parâmetros!B:B,B120,Parâmetros!D:D,D120,Parâmetros!E:E,E120),
 _xlpm.j,_xlfn.MAXIFS(Parâmetros!J:J,Parâmetros!A:A,A120,Parâmetros!B:B,B120,Parâmetros!D:D,D120,Parâmetros!E:E,E120),
 _xlpm.m,_xlfn.MAXIFS(Parâmetros!M:M,Parâmetros!A:A,A120,Parâmetros!B:B,B120,Parâmetros!D:D,D120,Parâmetros!E:E,E120),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/>
      </c>
      <c r="M120" s="28" cm="1">
        <f t="array" ref="M120">IF(
  D120="rafael.acencio@altoqi.com.br",
  SUMIFS(Negócios!L:L,Negócios!A:A,A120,Negócios!B:B,B120,Negócios!Q:Q,E120,Negócios!AG:AG,"À Vista",Negócios!AH:AH,"&lt;&gt;n"),
  _xlfn.IFS(
    AND(F120="Consultor",H120="MRR",E120="Farmer"),
      SUMIFS(Negócios!M:M,Negócios!A:A,A120,Negócios!B:B,B120,Negócios!P:P,D120,Negócios!AG:AG,"À Vista",Negócios!AH:AH,"&lt;&gt;n")
      +SUMIFS(Negócios!N:N,Negócios!A:A,A120,Negócios!B:B,B120,Negócios!P:P,D120,Negócios!AG:AG,"À Vista",Negócios!AH:AH,"&lt;&gt;n"),
    AND(F120="Consultor",H120="MRR"),
      SUMIFS(Negócios!L:L,Negócios!A:A,A120,Negócios!B:B,B120,Negócios!P:P,D120,Negócios!AG:AG,"À Vista",Negócios!AH:AH,"&lt;&gt;n"),
    AND(F120="Consultor",H120="Opps"),
      SUMIFS('Realizado GD'!D:D,'Realizado GD'!A:A,A120,'Realizado GD'!B:B,B120,'Realizado GD'!C:C,D120),
    D120="sonia.zielinski@altoqi.com.br",
      SUM(SUMIFS(Negócios!L:L,Negócios!A:A,A120,Negócios!B:B,B120,Negócios!R:R,{"FSB";"Ares"},Negócios!AG:AG,"À Vista",Negócios!AH:AH,"&lt;&gt;n"))
      +SUMIFS(Negócios!M:M,Negócios!A:A,A120,Negócios!B:B,B120,Negócios!R:R,"Farmer",Negócios!AG:AG,"À Vista",Negócios!AH:AH,"&lt;&gt;n")
      +SUMIFS(Negócios!N:N,Negócios!A:A,A120,Negócios!B:B,B120,Negócios!R:R,"Farmer",Negócios!AG:AG,"À Vista",Negócios!AH:AH,"&lt;&gt;n"),
    OR(
      D120="anderson.ortiz@altoqi.com.br",
      D120="rafael.motta@altoqi.com.br",
      D120="beatriz@altoqi.com.br"
    ),
      SUMIFS(Negócios!L:L,Negócios!A:A,A120,Negócios!B:B,B120,Negócios!R:R,E120,Negócios!AG:AG,"À Vista",Negócios!AH:AH,"&lt;&gt;n"),
    AND(F120="Gestor",H120="MRR"),
      SUMIFS(I:I,A:A,A120,B:B,B120,G:G,D120),
    TRUE,
      ""
  )
)</f>
        <v>3390.4249999999997</v>
      </c>
      <c r="N120" s="10">
        <f t="shared" si="71"/>
        <v>0.21933638036829659</v>
      </c>
      <c r="O120" s="30">
        <f>SUMIFS('Acel Form Pag'!D:D,'Acel Form Pag'!A:A,A120,'Acel Form Pag'!B:B,B120,'Acel Form Pag'!C:C,E120)</f>
        <v>1.3</v>
      </c>
      <c r="P120" s="87" cm="1">
        <f t="array" ref="P120">IF(
  D120="rafael.acencio@altoqi.com.br",
  SUMIFS(Negócios!M:M,Negócios!A:A,A120,Negócios!B:B,B120,Negócios!Q:Q,E120,Negócios!AG:AG,"CC 3x",Negócios!AH:AH,"&lt;&gt;n"),
  _xlfn.IFS(
    AND(F120="Consultor",H120="MRR",E120="Farmer"),
      SUMIFS(Negócios!M:M,Negócios!A:A,A120,Negócios!B:B,B120,Negócios!P:P,D120,Negócios!AG:AG,"CC 3x",Negócios!AH:AH,"&lt;&gt;n")
      +SUMIFS(Negócios!N:N,Negócios!A:A,A120,Negócios!B:B,B120,Negócios!P:P,D120,Negócios!AG:AG,"CC 3x",Negócios!AH:AH,"&lt;&gt;n"),
    AND(F120="Consultor",H120="MRR"),
      SUMIFS(Negócios!L:L,Negócios!A:A,A120,Negócios!B:B,B120,Negócios!P:P,D120,Negócios!AG:AG,"CC 3x",Negócios!AH:AH,"&lt;&gt;n"),
    AND(F120="Consultor",H120="Opps"),
      SUMIFS('Realizado GD'!D:D,'Realizado GD'!A:A,A120,'Realizado GD'!B:B,B120,'Realizado GD'!C:C,D120),
    D120="sonia.zielinski@altoqi.com.br",
      SUM(SUMIFS(Negócios!L:L,Negócios!A:A,A120,Negócios!B:B,B120,Negócios!R:R,{"FSB";"Ares"},Negócios!AG:AG,"CC 3x",Negócios!AH:AH,"&lt;&gt;n"))
      +SUMIFS(Negócios!M:M,Negócios!A:A,A120,Negócios!B:B,B120,Negócios!R:R,"Farmer",Negócios!AG:AG,"CC 3x",Negócios!AH:AH,"&lt;&gt;n")
      +SUMIFS(Negócios!N:N,Negócios!A:A,A120,Negócios!B:B,B120,Negócios!R:R,"Farmer",Negócios!AG:AG,"CC 3x",Negócios!AH:AH,"&lt;&gt;n"),
    OR(
      D120="anderson.ortiz@altoqi.com.br",
      D120="rafael.motta@altoqi.com.br",
      D120="beatriz@altoqi.com.br"
    ),
      SUMIFS(Negócios!M:M,Negócios!A:A,A120,Negócios!B:B,B120,Negócios!R:R,E120,Negócios!AG:AG,"CC 3x",Negócios!AH:AH,"&lt;&gt;n"),
    AND(F120="Gestor",H120="MRR"),
      SUMIFS(I:I,A:A,A120,B:B,B120,G:G,D120),
    TRUE,
      ""
  )
)</f>
        <v>0</v>
      </c>
      <c r="Q120" s="10">
        <f t="shared" si="72"/>
        <v>0</v>
      </c>
      <c r="R120" s="30">
        <f>SUMIFS('Acel Form Pag'!E:E,'Acel Form Pag'!A:A,A120,'Acel Form Pag'!B:B,B120,'Acel Form Pag'!C:C,E120)</f>
        <v>1.1499999999999999</v>
      </c>
      <c r="S120" s="32" cm="1">
        <f t="array" ref="S120">IF(
  D120="rafael.acencio@altoqi.com.br",
  SUMIFS(Negócios!L:L,Negócios!A:A,A120,Negócios!B:B,B120,Negócios!Q:Q,E120,Negócios!AG:AG,"CC 12x",Negócios!AH:AH,"&lt;&gt;n"),
  _xlfn.IFS(
    AND(F120="Consultor",H120="MRR",E120="Farmer"),
      SUMIFS(Negócios!M:M,Negócios!A:A,A120,Negócios!B:B,B120,Negócios!P:P,D120,Negócios!AG:AG,"CC 12x",Negócios!AH:AH,"&lt;&gt;n")
      +SUMIFS(Negócios!N:N,Negócios!A:A,A120,Negócios!B:B,B120,Negócios!P:P,D120,Negócios!AG:AG,"CC 12x",Negócios!AH:AH,"&lt;&gt;n"),
    AND(F120="Consultor",H120="MRR"),
      SUMIFS(Negócios!L:L,Negócios!A:A,A120,Negócios!B:B,B120,Negócios!P:P,D120,Negócios!AG:AG,"CC 12x",Negócios!AH:AH,"&lt;&gt;n"),
    AND(F120="Consultor",H120="Opps"),
      SUMIFS('Realizado GD'!D:D,'Realizado GD'!A:A,A120,'Realizado GD'!B:B,B120,'Realizado GD'!C:C,D120),
    D120="sonia.zielinski@altoqi.com.br",
      SUM(SUMIFS(Negócios!L:L,Negócios!A:A,A120,Negócios!B:B,B120,Negócios!R:R,{"FSB";"Ares"},Negócios!AG:AG,"CC 12x",Negócios!AH:AH,"&lt;&gt;n"))
      +SUMIFS(Negócios!M:M,Negócios!A:A,A120,Negócios!B:B,B120,Negócios!R:R,"Farmer",Negócios!AG:AG,"CC 12x",Negócios!AH:AH,"&lt;&gt;n")
      +SUMIFS(Negócios!N:N,Negócios!A:A,A120,Negócios!B:B,B120,Negócios!R:R,"Farmer",Negócios!AG:AG,"CC 12x",Negócios!AH:AH,"&lt;&gt;n"),
    OR(
      D120="anderson.ortiz@altoqi.com.br",
      D120="rafael.motta@altoqi.com.br",
      D120="beatriz@altoqi.com.br"
    ),
      SUMIFS(Negócios!L:L,Negócios!A:A,A120,Negócios!B:B,B120,Negócios!R:R,E120,Negócios!AG:AG,"CC 12x",Negócios!AH:AH,"&lt;&gt;n"),
    AND(F120="Gestor",H120="MRR"),
      SUMIFS(I:I,A:A,A120,B:B,B120,G:G,D120),
    TRUE,
      ""
  )
)</f>
        <v>9326.215000000002</v>
      </c>
      <c r="T120" s="10">
        <f t="shared" si="73"/>
        <v>0.60333977027555952</v>
      </c>
      <c r="U120" s="30">
        <f>SUMIFS('Acel Form Pag'!F:F,'Acel Form Pag'!A:A,A120,'Acel Form Pag'!B:B,B120,'Acel Form Pag'!C:C,E120)</f>
        <v>1.1499999999999999</v>
      </c>
      <c r="V120" s="32" cm="1">
        <f t="array" ref="V120">IF(
  D120="rafael.acencio@altoqi.com.br",
  SUMIFS(Negócios!L:L,Negócios!A:A,A120,Negócios!B:B,B120,Negócios!Q:Q,E120,Negócios!AG:AG,"Recorrente",Negócios!AH:AH,"&lt;&gt;n"),
  _xlfn.IFS(
    AND(F120="Consultor",H120="MRR",E120="Farmer"),
      SUMIFS(Negócios!M:M,Negócios!A:A,A120,Negócios!B:B,B120,Negócios!P:P,D120,Negócios!AG:AG,"Recorrente",Negócios!AH:AH,"&lt;&gt;n")
      +SUMIFS(Negócios!N:N,Negócios!A:A,A120,Negócios!B:B,B120,Negócios!P:P,D120,Negócios!AG:AG,"Recorrente",Negócios!AH:AH,"&lt;&gt;n"),
    AND(F120="Consultor",H120="MRR"),
      SUMIFS(Negócios!L:L,Negócios!A:A,A120,Negócios!B:B,B120,Negócios!P:P,D120,Negócios!AG:AG,"Recorrente",Negócios!AH:AH,"&lt;&gt;n"),
    AND(F120="Consultor",H120="Opps"),
      SUMIFS('Realizado GD'!D:D,'Realizado GD'!A:A,A120,'Realizado GD'!B:B,B120,'Realizado GD'!C:C,D120),
    D120="sonia.zielinski@altoqi.com.br",
      SUM(SUMIFS(Negócios!L:L,Negócios!A:A,A120,Negócios!B:B,B120,Negócios!R:R,{"FSB";"Ares"},Negócios!AG:AG,"Recorrente",Negócios!AH:AH,"&lt;&gt;n"))
      +SUMIFS(Negócios!M:M,Negócios!A:A,A120,Negócios!B:B,B120,Negócios!R:R,"Farmer",Negócios!AG:AG,"Recorrente",Negócios!AH:AH,"&lt;&gt;n")
      +SUMIFS(Negócios!N:N,Negócios!A:A,A120,Negócios!B:B,B120,Negócios!R:R,"Farmer",Negócios!AG:AG,"Recorrente",Negócios!AH:AH,"&lt;&gt;n"),
    OR(
      D120="anderson.ortiz@altoqi.com.br",
      D120="rafael.motta@altoqi.com.br",
      D120="beatriz@altoqi.com.br"
    ),
      SUMIFS(Negócios!L:L,Negócios!A:A,A120,Negócios!B:B,B120,Negócios!R:R,E120,Negócios!AG:AG,"Recorrente",Negócios!AH:AH,"&lt;&gt;n"),
    AND(F120="Gestor",H120="MRR"),
      SUMIFS(I:I,A:A,A120,B:B,B120,G:G,D120),
    TRUE,
      ""
  )
)</f>
        <v>2741.0099999999998</v>
      </c>
      <c r="W120" s="10">
        <f t="shared" si="74"/>
        <v>0.17732384935614404</v>
      </c>
      <c r="X120" s="34">
        <f>SUMIFS('Acel Form Pag'!G:G,'Acel Form Pag'!A:A,A120,'Acel Form Pag'!B:B,B120,'Acel Form Pag'!C:C,E120)</f>
        <v>1</v>
      </c>
      <c r="Y120" s="24">
        <f>MAX(_xlfn.MAXIFS(Parâmetros!O:O,Parâmetros!A:A,A120,Parâmetros!B:B,B120,Parâmetros!D:D,D120,Parâmetros!M:M,"&lt;="&amp;K120),_xlfn.MAXIFS(Parâmetros!L:L,Parâmetros!A:A,A120,Parâmetros!B:B,B120,Parâmetros!D:D,D120,Parâmetros!J:J,"&lt;="&amp;K120),_xlfn.MAXIFS(Parâmetros!I:I,Parâmetros!A:A,A120,Parâmetros!B:B,B120,Parâmetros!D:D,D120))</f>
        <v>6600</v>
      </c>
      <c r="Z120" s="9">
        <f>MAX(_xlfn.MAXIFS(Parâmetros!Q:Q,Parâmetros!A:A,A120,Parâmetros!B:B,B120,Parâmetros!D:D,D120,Parâmetros!E:E,E120,Parâmetros!P:P,"&lt;="&amp;K120),
_xlfn.MAXIFS(Parâmetros!S:S,Parâmetros!A:A,A120,Parâmetros!B:B,B120,Parâmetros!D:D,D120,Parâmetros!E:E,E120,Parâmetros!R:R,"&lt;="&amp;K120),
_xlfn.MAXIFS(Parâmetros!U:U,Parâmetros!A:A,A120,Parâmetros!B:B,B120,Parâmetros!D:D,D120,Parâmetros!E:E,E120,Parâmetros!T:T,"&lt;="&amp;K120),1) * IF(K120 &gt;= SUMIFS(Parâmetros!G:G,Parâmetros!A:A,A120,Parâmetros!B:B,B120,Parâmetros!D:D,D120,Parâmetros!E:E,E120),1,0)</f>
        <v>1</v>
      </c>
      <c r="AA120" s="16">
        <f t="shared" si="56"/>
        <v>6183.06</v>
      </c>
      <c r="AB120" s="16">
        <f t="shared" si="57"/>
        <v>7149.4839000000011</v>
      </c>
      <c r="AC120" s="15">
        <f>IF(F120="Gestor",SUMIFS(AC:AC,A:A,A120,B:B,B120,G:G,D120),
IF(E120="Saving",SUMIFS(Negócios!I:I,Negócios!A:A,A120,Negócios!B:B,B120,Negócios!P:P,D120,Negócios!H:H,"Curso",Negócios!AH:AH,"&lt;&gt;n") +
SUMIFS(Negócios!I:I,Negócios!A:A,A120,Negócios!B:B,B120,Negócios!P:P,D120,Negócios!H:H,"Serviço",Negócios!AH:AH,"&lt;&gt;n") +
SUMIFS(Negócios!I:I,Negócios!A:A,A120,Negócios!B:B,B120,Negócios!P:P,D120,Negócios!H:H,"Implantação",Negócios!AH:AH,"&lt;&gt;n"),
SUMIFS(Negócios!I:I,Negócios!A:A,A120,Negócios!B:B,B120,Negócios!P:P,D120,Negócios!H:H,"Implantação",Negócios!AH:AH,"&lt;&gt;n")))</f>
        <v>0</v>
      </c>
      <c r="AD120" s="16">
        <f>SUMIFS(Parâmetros!W:W,Parâmetros!A:A,A120,Parâmetros!B:B,B120,Parâmetros!D:D,D120) * AC120 * IF(K120 &gt;= SUMIFS(Parâmetros!V:V,Parâmetros!A:A,A120,Parâmetros!B:B,B120,Parâmetros!D:D,D120),1,0)</f>
        <v>0</v>
      </c>
      <c r="AE120" s="15">
        <f>SUMIFS('Recuperação de Canc e Divs'!D:D,'Recuperação de Canc e Divs'!A:A,A120,'Recuperação de Canc e Divs'!B:B,B120,'Recuperação de Canc e Divs'!C:C,D120)</f>
        <v>0</v>
      </c>
      <c r="AF120" s="16">
        <f>IF(K120&gt;=SUMIFS(Parâmetros!J:J,Parâmetros!A:A,A120,Parâmetros!B:B,B120,Parâmetros!D:D,D120),AE120*0.025,0)</f>
        <v>0</v>
      </c>
      <c r="AG120" s="15" t="str">
        <f t="shared" si="58"/>
        <v/>
      </c>
      <c r="AH120" s="16" t="str">
        <f t="shared" si="59"/>
        <v/>
      </c>
      <c r="AI120" s="90">
        <f t="shared" si="60"/>
        <v>0</v>
      </c>
      <c r="AJ120" s="16" t="str">
        <f t="shared" si="61"/>
        <v/>
      </c>
      <c r="AK120" s="16" t="str">
        <f t="shared" si="62"/>
        <v/>
      </c>
      <c r="AL120" s="90">
        <f t="shared" si="63"/>
        <v>0</v>
      </c>
      <c r="AM120" s="93" t="str">
        <f t="shared" si="64"/>
        <v/>
      </c>
      <c r="AN120" s="94" t="str">
        <f>IF(OR(B120=3,B120=6,B120=9,B120=12),
IF(AND(AL120&gt;=1,AI120&gt;=SUMIFS(Parâmetros!G:G,Parâmetros!A:A,Comissões!A120,Parâmetros!B:B,Comissões!B120,Parâmetros!D:D,Comissões!D120,Parâmetros!E:E,Comissões!E120)),AI120*0.3,""),"")</f>
        <v/>
      </c>
      <c r="AO120" s="16">
        <f t="shared" si="65"/>
        <v>15457.650000000001</v>
      </c>
      <c r="AP120" s="16">
        <f t="shared" si="66"/>
        <v>1.0000000000000002</v>
      </c>
    </row>
    <row r="121" spans="1:42" hidden="1">
      <c r="A121" s="7">
        <v>2026</v>
      </c>
      <c r="B121" s="7">
        <v>5</v>
      </c>
      <c r="C121" s="7" t="str">
        <v>Aline Castilho Pureza</v>
      </c>
      <c r="D121" s="7" t="str">
        <v>aline.pureza@altoqi.com.br</v>
      </c>
      <c r="E121" s="7" t="str">
        <v>Farmer</v>
      </c>
      <c r="F121" s="7" t="str">
        <v>Consultor</v>
      </c>
      <c r="G121" s="7" t="str">
        <v>sonia.zielinski@altoqi.com.br</v>
      </c>
      <c r="H121" s="7" t="str">
        <v>MRR</v>
      </c>
      <c r="I121" s="86" cm="1">
        <f t="array" ref="I121">IF(
  D121="rafael.acencio@altoqi.com.br",
  SUMIFS(Negócios!L:L,Negócios!A:A,A121,Negócios!B:B,B121,Negócios!Q:Q,E121,Negócios!AH:AH,"&lt;&gt;n"),
  _xlfn.IFS(
    AND(F121="Consultor",H121="MRR",E121="Farmer"),
      SUMIFS(Negócios!M:M,Negócios!A:A,A121,Negócios!B:B,B121,Negócios!P:P,D121,Negócios!AH:AH,"&lt;&gt;n")
      +SUMIFS(Negócios!N:N,Negócios!A:A,A121,Negócios!B:B,B121,Negócios!P:P,D121,Negócios!AH:AH,"&lt;&gt;n"),
    AND(F121="Consultor",H121="MRR"),
      SUMIFS(Negócios!L:L,Negócios!A:A,A121,Negócios!B:B,B121,Negócios!P:P,D121,Negócios!AH:AH,"&lt;&gt;n"),
    AND(F121="Consultor",H121="Opps"),
      SUMIFS('Realizado GD'!D:D,'Realizado GD'!A:A,A121,'Realizado GD'!B:B,B121,'Realizado GD'!C:C,D121),
    D121="sonia.zielinski@altoqi.com.br",
      SUM(SUMIFS(Negócios!L:L,Negócios!A:A,A121,Negócios!B:B,B121,Negócios!R:R,{"FSB";"Ares"},Negócios!AH:AH,"&lt;&gt;n"))
      +SUMIFS(Negócios!M:M,Negócios!A:A,A121,Negócios!B:B,B121,Negócios!R:R,"Farmer",Negócios!AH:AH,"&lt;&gt;n")
      +SUMIFS(Negócios!N:N,Negócios!A:A,A121,Negócios!B:B,B121,Negócios!R:R,"Farmer",Negócios!AH:AH,"&lt;&gt;n"),
    OR(
      D121="anderson.ortiz@altoqi.com.br",
      D121="rafael.motta@altoqi.com.br",
      D121="beatriz@altoqi.com.br"
    ),
      SUMIFS(Negócios!L:L,Negócios!A:A,A121,Negócios!B:B,B121,Negócios!R:R,E121,Negócios!AH:AH,"&lt;&gt;n"),
    AND(F121="Gestor",H121="MRR"),
      SUMIFS(I:I,A:A,A121,B:B,B121,G:G,D121),
    TRUE,
      ""
  )
)</f>
        <v>2491.5691667000001</v>
      </c>
      <c r="J121" s="16">
        <f>SUMIFS(Metas!K:K,Metas!A:A,A121,Metas!B:B,B121,Metas!D:D,D121,Metas!H:H,H121)</f>
        <v>6600</v>
      </c>
      <c r="K121" s="10">
        <f t="shared" si="55"/>
        <v>0.37751047980303032</v>
      </c>
      <c r="L121" s="26" t="str" cm="1">
        <f t="array" ref="L121">_xlfn.LET(
 _xlpm.g,_xlfn.MAXIFS(Parâmetros!G:G,Parâmetros!A:A,A121,Parâmetros!B:B,B121,Parâmetros!D:D,D121,Parâmetros!E:E,E121),
 _xlpm.j,_xlfn.MAXIFS(Parâmetros!J:J,Parâmetros!A:A,A121,Parâmetros!B:B,B121,Parâmetros!D:D,D121,Parâmetros!E:E,E121),
 _xlpm.m,_xlfn.MAXIFS(Parâmetros!M:M,Parâmetros!A:A,A121,Parâmetros!B:B,B121,Parâmetros!D:D,D121,Parâmetros!E:E,E121),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/>
      </c>
      <c r="M121" s="28" cm="1">
        <f t="array" ref="M121">IF(
  D121="rafael.acencio@altoqi.com.br",
  SUMIFS(Negócios!L:L,Negócios!A:A,A121,Negócios!B:B,B121,Negócios!Q:Q,E121,Negócios!AG:AG,"À Vista",Negócios!AH:AH,"&lt;&gt;n"),
  _xlfn.IFS(
    AND(F121="Consultor",H121="MRR",E121="Farmer"),
      SUMIFS(Negócios!M:M,Negócios!A:A,A121,Negócios!B:B,B121,Negócios!P:P,D121,Negócios!AG:AG,"À Vista",Negócios!AH:AH,"&lt;&gt;n")
      +SUMIFS(Negócios!N:N,Negócios!A:A,A121,Negócios!B:B,B121,Negócios!P:P,D121,Negócios!AG:AG,"À Vista",Negócios!AH:AH,"&lt;&gt;n"),
    AND(F121="Consultor",H121="MRR"),
      SUMIFS(Negócios!L:L,Negócios!A:A,A121,Negócios!B:B,B121,Negócios!P:P,D121,Negócios!AG:AG,"À Vista",Negócios!AH:AH,"&lt;&gt;n"),
    AND(F121="Consultor",H121="Opps"),
      SUMIFS('Realizado GD'!D:D,'Realizado GD'!A:A,A121,'Realizado GD'!B:B,B121,'Realizado GD'!C:C,D121),
    D121="sonia.zielinski@altoqi.com.br",
      SUM(SUMIFS(Negócios!L:L,Negócios!A:A,A121,Negócios!B:B,B121,Negócios!R:R,{"FSB";"Ares"},Negócios!AG:AG,"À Vista",Negócios!AH:AH,"&lt;&gt;n"))
      +SUMIFS(Negócios!M:M,Negócios!A:A,A121,Negócios!B:B,B121,Negócios!R:R,"Farmer",Negócios!AG:AG,"À Vista",Negócios!AH:AH,"&lt;&gt;n")
      +SUMIFS(Negócios!N:N,Negócios!A:A,A121,Negócios!B:B,B121,Negócios!R:R,"Farmer",Negócios!AG:AG,"À Vista",Negócios!AH:AH,"&lt;&gt;n"),
    OR(
      D121="anderson.ortiz@altoqi.com.br",
      D121="rafael.motta@altoqi.com.br",
      D121="beatriz@altoqi.com.br"
    ),
      SUMIFS(Negócios!L:L,Negócios!A:A,A121,Negócios!B:B,B121,Negócios!R:R,E121,Negócios!AG:AG,"À Vista",Negócios!AH:AH,"&lt;&gt;n"),
    AND(F121="Gestor",H121="MRR"),
      SUMIFS(I:I,A:A,A121,B:B,B121,G:G,D121),
    TRUE,
      ""
  )
)</f>
        <v>0</v>
      </c>
      <c r="N121" s="10">
        <f t="shared" si="71"/>
        <v>0</v>
      </c>
      <c r="O121" s="30">
        <f>SUMIFS('Acel Form Pag'!D:D,'Acel Form Pag'!A:A,A121,'Acel Form Pag'!B:B,B121,'Acel Form Pag'!C:C,E121)</f>
        <v>1.5</v>
      </c>
      <c r="P121" s="87" cm="1">
        <f t="array" ref="P121">IF(
  D121="rafael.acencio@altoqi.com.br",
  SUMIFS(Negócios!M:M,Negócios!A:A,A121,Negócios!B:B,B121,Negócios!Q:Q,E121,Negócios!AG:AG,"CC 3x",Negócios!AH:AH,"&lt;&gt;n"),
  _xlfn.IFS(
    AND(F121="Consultor",H121="MRR",E121="Farmer"),
      SUMIFS(Negócios!M:M,Negócios!A:A,A121,Negócios!B:B,B121,Negócios!P:P,D121,Negócios!AG:AG,"CC 3x",Negócios!AH:AH,"&lt;&gt;n")
      +SUMIFS(Negócios!N:N,Negócios!A:A,A121,Negócios!B:B,B121,Negócios!P:P,D121,Negócios!AG:AG,"CC 3x",Negócios!AH:AH,"&lt;&gt;n"),
    AND(F121="Consultor",H121="MRR"),
      SUMIFS(Negócios!L:L,Negócios!A:A,A121,Negócios!B:B,B121,Negócios!P:P,D121,Negócios!AG:AG,"CC 3x",Negócios!AH:AH,"&lt;&gt;n"),
    AND(F121="Consultor",H121="Opps"),
      SUMIFS('Realizado GD'!D:D,'Realizado GD'!A:A,A121,'Realizado GD'!B:B,B121,'Realizado GD'!C:C,D121),
    D121="sonia.zielinski@altoqi.com.br",
      SUM(SUMIFS(Negócios!L:L,Negócios!A:A,A121,Negócios!B:B,B121,Negócios!R:R,{"FSB";"Ares"},Negócios!AG:AG,"CC 3x",Negócios!AH:AH,"&lt;&gt;n"))
      +SUMIFS(Negócios!M:M,Negócios!A:A,A121,Negócios!B:B,B121,Negócios!R:R,"Farmer",Negócios!AG:AG,"CC 3x",Negócios!AH:AH,"&lt;&gt;n")
      +SUMIFS(Negócios!N:N,Negócios!A:A,A121,Negócios!B:B,B121,Negócios!R:R,"Farmer",Negócios!AG:AG,"CC 3x",Negócios!AH:AH,"&lt;&gt;n"),
    OR(
      D121="anderson.ortiz@altoqi.com.br",
      D121="rafael.motta@altoqi.com.br",
      D121="beatriz@altoqi.com.br"
    ),
      SUMIFS(Negócios!M:M,Negócios!A:A,A121,Negócios!B:B,B121,Negócios!R:R,E121,Negócios!AG:AG,"CC 3x",Negócios!AH:AH,"&lt;&gt;n"),
    AND(F121="Gestor",H121="MRR"),
      SUMIFS(I:I,A:A,A121,B:B,B121,G:G,D121),
    TRUE,
      ""
  )
)</f>
        <v>0</v>
      </c>
      <c r="Q121" s="10">
        <f t="shared" si="72"/>
        <v>0</v>
      </c>
      <c r="R121" s="30">
        <f>SUMIFS('Acel Form Pag'!E:E,'Acel Form Pag'!A:A,A121,'Acel Form Pag'!B:B,B121,'Acel Form Pag'!C:C,E121)</f>
        <v>1.25</v>
      </c>
      <c r="S121" s="32" cm="1">
        <f t="array" ref="S121">IF(
  D121="rafael.acencio@altoqi.com.br",
  SUMIFS(Negócios!L:L,Negócios!A:A,A121,Negócios!B:B,B121,Negócios!Q:Q,E121,Negócios!AG:AG,"CC 12x",Negócios!AH:AH,"&lt;&gt;n"),
  _xlfn.IFS(
    AND(F121="Consultor",H121="MRR",E121="Farmer"),
      SUMIFS(Negócios!M:M,Negócios!A:A,A121,Negócios!B:B,B121,Negócios!P:P,D121,Negócios!AG:AG,"CC 12x",Negócios!AH:AH,"&lt;&gt;n")
      +SUMIFS(Negócios!N:N,Negócios!A:A,A121,Negócios!B:B,B121,Negócios!P:P,D121,Negócios!AG:AG,"CC 12x",Negócios!AH:AH,"&lt;&gt;n"),
    AND(F121="Consultor",H121="MRR"),
      SUMIFS(Negócios!L:L,Negócios!A:A,A121,Negócios!B:B,B121,Negócios!P:P,D121,Negócios!AG:AG,"CC 12x",Negócios!AH:AH,"&lt;&gt;n"),
    AND(F121="Consultor",H121="Opps"),
      SUMIFS('Realizado GD'!D:D,'Realizado GD'!A:A,A121,'Realizado GD'!B:B,B121,'Realizado GD'!C:C,D121),
    D121="sonia.zielinski@altoqi.com.br",
      SUM(SUMIFS(Negócios!L:L,Negócios!A:A,A121,Negócios!B:B,B121,Negócios!R:R,{"FSB";"Ares"},Negócios!AG:AG,"CC 12x",Negócios!AH:AH,"&lt;&gt;n"))
      +SUMIFS(Negócios!M:M,Negócios!A:A,A121,Negócios!B:B,B121,Negócios!R:R,"Farmer",Negócios!AG:AG,"CC 12x",Negócios!AH:AH,"&lt;&gt;n")
      +SUMIFS(Negócios!N:N,Negócios!A:A,A121,Negócios!B:B,B121,Negócios!R:R,"Farmer",Negócios!AG:AG,"CC 12x",Negócios!AH:AH,"&lt;&gt;n"),
    OR(
      D121="anderson.ortiz@altoqi.com.br",
      D121="rafael.motta@altoqi.com.br",
      D121="beatriz@altoqi.com.br"
    ),
      SUMIFS(Negócios!L:L,Negócios!A:A,A121,Negócios!B:B,B121,Negócios!R:R,E121,Negócios!AG:AG,"CC 12x",Negócios!AH:AH,"&lt;&gt;n"),
    AND(F121="Gestor",H121="MRR"),
      SUMIFS(I:I,A:A,A121,B:B,B121,G:G,D121),
    TRUE,
      ""
  )
)</f>
        <v>0</v>
      </c>
      <c r="T121" s="10">
        <f t="shared" si="73"/>
        <v>0</v>
      </c>
      <c r="U121" s="30">
        <f>SUMIFS('Acel Form Pag'!F:F,'Acel Form Pag'!A:A,A121,'Acel Form Pag'!B:B,B121,'Acel Form Pag'!C:C,E121)</f>
        <v>1.25</v>
      </c>
      <c r="V121" s="32" cm="1">
        <f t="array" ref="V121">IF(
  D121="rafael.acencio@altoqi.com.br",
  SUMIFS(Negócios!L:L,Negócios!A:A,A121,Negócios!B:B,B121,Negócios!Q:Q,E121,Negócios!AG:AG,"Recorrente",Negócios!AH:AH,"&lt;&gt;n"),
  _xlfn.IFS(
    AND(F121="Consultor",H121="MRR",E121="Farmer"),
      SUMIFS(Negócios!M:M,Negócios!A:A,A121,Negócios!B:B,B121,Negócios!P:P,D121,Negócios!AG:AG,"Recorrente",Negócios!AH:AH,"&lt;&gt;n")
      +SUMIFS(Negócios!N:N,Negócios!A:A,A121,Negócios!B:B,B121,Negócios!P:P,D121,Negócios!AG:AG,"Recorrente",Negócios!AH:AH,"&lt;&gt;n"),
    AND(F121="Consultor",H121="MRR"),
      SUMIFS(Negócios!L:L,Negócios!A:A,A121,Negócios!B:B,B121,Negócios!P:P,D121,Negócios!AG:AG,"Recorrente",Negócios!AH:AH,"&lt;&gt;n"),
    AND(F121="Consultor",H121="Opps"),
      SUMIFS('Realizado GD'!D:D,'Realizado GD'!A:A,A121,'Realizado GD'!B:B,B121,'Realizado GD'!C:C,D121),
    D121="sonia.zielinski@altoqi.com.br",
      SUM(SUMIFS(Negócios!L:L,Negócios!A:A,A121,Negócios!B:B,B121,Negócios!R:R,{"FSB";"Ares"},Negócios!AG:AG,"Recorrente",Negócios!AH:AH,"&lt;&gt;n"))
      +SUMIFS(Negócios!M:M,Negócios!A:A,A121,Negócios!B:B,B121,Negócios!R:R,"Farmer",Negócios!AG:AG,"Recorrente",Negócios!AH:AH,"&lt;&gt;n")
      +SUMIFS(Negócios!N:N,Negócios!A:A,A121,Negócios!B:B,B121,Negócios!R:R,"Farmer",Negócios!AG:AG,"Recorrente",Negócios!AH:AH,"&lt;&gt;n"),
    OR(
      D121="anderson.ortiz@altoqi.com.br",
      D121="rafael.motta@altoqi.com.br",
      D121="beatriz@altoqi.com.br"
    ),
      SUMIFS(Negócios!L:L,Negócios!A:A,A121,Negócios!B:B,B121,Negócios!R:R,E121,Negócios!AG:AG,"Recorrente",Negócios!AH:AH,"&lt;&gt;n"),
    AND(F121="Gestor",H121="MRR"),
      SUMIFS(I:I,A:A,A121,B:B,B121,G:G,D121),
    TRUE,
      ""
  )
)</f>
        <v>2491.5691667000001</v>
      </c>
      <c r="W121" s="10">
        <f t="shared" si="74"/>
        <v>1</v>
      </c>
      <c r="X121" s="34">
        <f>SUMIFS('Acel Form Pag'!G:G,'Acel Form Pag'!A:A,A121,'Acel Form Pag'!B:B,B121,'Acel Form Pag'!C:C,E121)</f>
        <v>1</v>
      </c>
      <c r="Y121" s="24">
        <f>MAX(_xlfn.MAXIFS(Parâmetros!O:O,Parâmetros!A:A,A121,Parâmetros!B:B,B121,Parâmetros!D:D,D121,Parâmetros!M:M,"&lt;="&amp;K121),_xlfn.MAXIFS(Parâmetros!L:L,Parâmetros!A:A,A121,Parâmetros!B:B,B121,Parâmetros!D:D,D121,Parâmetros!J:J,"&lt;="&amp;K121),_xlfn.MAXIFS(Parâmetros!I:I,Parâmetros!A:A,A121,Parâmetros!B:B,B121,Parâmetros!D:D,D121))</f>
        <v>4677.12</v>
      </c>
      <c r="Z121" s="9">
        <f>MAX(_xlfn.MAXIFS(Parâmetros!Q:Q,Parâmetros!A:A,A121,Parâmetros!B:B,B121,Parâmetros!D:D,D121,Parâmetros!E:E,E121,Parâmetros!P:P,"&lt;="&amp;K121),
_xlfn.MAXIFS(Parâmetros!S:S,Parâmetros!A:A,A121,Parâmetros!B:B,B121,Parâmetros!D:D,D121,Parâmetros!E:E,E121,Parâmetros!R:R,"&lt;="&amp;K121),
_xlfn.MAXIFS(Parâmetros!U:U,Parâmetros!A:A,A121,Parâmetros!B:B,B121,Parâmetros!D:D,D121,Parâmetros!E:E,E121,Parâmetros!T:T,"&lt;="&amp;K121),1) * IF(K121 &gt;= SUMIFS(Parâmetros!G:G,Parâmetros!A:A,A121,Parâmetros!B:B,B121,Parâmetros!D:D,D121,Parâmetros!E:E,E121),1,0)</f>
        <v>1</v>
      </c>
      <c r="AA121" s="16">
        <f t="shared" si="56"/>
        <v>1765.6618152963492</v>
      </c>
      <c r="AB121" s="16">
        <f t="shared" si="57"/>
        <v>1765.6618152963492</v>
      </c>
      <c r="AC121" s="15">
        <f>IF(F121="Gestor",SUMIFS(AC:AC,A:A,A121,B:B,B121,G:G,D121),
IF(E121="Saving",SUMIFS(Negócios!I:I,Negócios!A:A,A121,Negócios!B:B,B121,Negócios!P:P,D121,Negócios!H:H,"Curso",Negócios!AH:AH,"&lt;&gt;n") +
SUMIFS(Negócios!I:I,Negócios!A:A,A121,Negócios!B:B,B121,Negócios!P:P,D121,Negócios!H:H,"Serviço",Negócios!AH:AH,"&lt;&gt;n") +
SUMIFS(Negócios!I:I,Negócios!A:A,A121,Negócios!B:B,B121,Negócios!P:P,D121,Negócios!H:H,"Implantação",Negócios!AH:AH,"&lt;&gt;n"),
SUMIFS(Negócios!I:I,Negócios!A:A,A121,Negócios!B:B,B121,Negócios!P:P,D121,Negócios!H:H,"Implantação",Negócios!AH:AH,"&lt;&gt;n")))</f>
        <v>0</v>
      </c>
      <c r="AD121" s="16">
        <f>SUMIFS(Parâmetros!W:W,Parâmetros!A:A,A121,Parâmetros!B:B,B121,Parâmetros!D:D,D121) * AC121 * IF(K121 &gt;= SUMIFS(Parâmetros!V:V,Parâmetros!A:A,A121,Parâmetros!B:B,B121,Parâmetros!D:D,D121),1,0)</f>
        <v>0</v>
      </c>
      <c r="AE121" s="15">
        <f>SUMIFS('Recuperação de Canc e Divs'!D:D,'Recuperação de Canc e Divs'!A:A,A121,'Recuperação de Canc e Divs'!B:B,B121,'Recuperação de Canc e Divs'!C:C,D121)</f>
        <v>0</v>
      </c>
      <c r="AF121" s="16">
        <f>IF(K121&gt;=SUMIFS(Parâmetros!J:J,Parâmetros!A:A,A121,Parâmetros!B:B,B121,Parâmetros!D:D,D121),AE121*0.025,0)</f>
        <v>0</v>
      </c>
      <c r="AG121" s="15" t="str">
        <f t="shared" si="58"/>
        <v/>
      </c>
      <c r="AH121" s="16" t="str">
        <f t="shared" si="59"/>
        <v/>
      </c>
      <c r="AI121" s="90">
        <f t="shared" si="60"/>
        <v>0</v>
      </c>
      <c r="AJ121" s="16" t="str">
        <f t="shared" si="61"/>
        <v/>
      </c>
      <c r="AK121" s="16" t="str">
        <f t="shared" si="62"/>
        <v/>
      </c>
      <c r="AL121" s="90">
        <f t="shared" si="63"/>
        <v>0</v>
      </c>
      <c r="AM121" s="93" t="str">
        <f t="shared" si="64"/>
        <v/>
      </c>
      <c r="AN121" s="94" t="str">
        <f>IF(OR(B121=3,B121=6,B121=9,B121=12),
IF(AND(AL121&gt;=1,AI121&gt;=SUMIFS(Parâmetros!G:G,Parâmetros!A:A,Comissões!A121,Parâmetros!B:B,Comissões!B121,Parâmetros!D:D,Comissões!D121,Parâmetros!E:E,Comissões!E121)),AI121*0.3,""),"")</f>
        <v/>
      </c>
      <c r="AO121" s="16">
        <f t="shared" si="65"/>
        <v>2491.5691667000001</v>
      </c>
      <c r="AP121" s="16">
        <f t="shared" si="66"/>
        <v>1</v>
      </c>
    </row>
    <row r="122" spans="1:42" hidden="1">
      <c r="A122" s="7">
        <v>2026</v>
      </c>
      <c r="B122" s="7">
        <v>5</v>
      </c>
      <c r="C122" s="7" t="str">
        <v>Clidiani Costa</v>
      </c>
      <c r="D122" s="7" t="str">
        <v>clidiani@altoqi.com.br</v>
      </c>
      <c r="E122" s="7" t="str">
        <v>Farmer</v>
      </c>
      <c r="F122" s="7" t="str">
        <v>Consultor</v>
      </c>
      <c r="G122" s="7" t="str">
        <v>sonia.zielinski@altoqi.com.br</v>
      </c>
      <c r="H122" s="7" t="str">
        <v>MRR</v>
      </c>
      <c r="I122" s="86" cm="1">
        <f t="array" ref="I122">IF(
  D122="rafael.acencio@altoqi.com.br",
  SUMIFS(Negócios!L:L,Negócios!A:A,A122,Negócios!B:B,B122,Negócios!Q:Q,E122,Negócios!AH:AH,"&lt;&gt;n"),
  _xlfn.IFS(
    AND(F122="Consultor",H122="MRR",E122="Farmer"),
      SUMIFS(Negócios!M:M,Negócios!A:A,A122,Negócios!B:B,B122,Negócios!P:P,D122,Negócios!AH:AH,"&lt;&gt;n")
      +SUMIFS(Negócios!N:N,Negócios!A:A,A122,Negócios!B:B,B122,Negócios!P:P,D122,Negócios!AH:AH,"&lt;&gt;n"),
    AND(F122="Consultor",H122="MRR"),
      SUMIFS(Negócios!L:L,Negócios!A:A,A122,Negócios!B:B,B122,Negócios!P:P,D122,Negócios!AH:AH,"&lt;&gt;n"),
    AND(F122="Consultor",H122="Opps"),
      SUMIFS('Realizado GD'!D:D,'Realizado GD'!A:A,A122,'Realizado GD'!B:B,B122,'Realizado GD'!C:C,D122),
    D122="sonia.zielinski@altoqi.com.br",
      SUM(SUMIFS(Negócios!L:L,Negócios!A:A,A122,Negócios!B:B,B122,Negócios!R:R,{"FSB";"Ares"},Negócios!AH:AH,"&lt;&gt;n"))
      +SUMIFS(Negócios!M:M,Negócios!A:A,A122,Negócios!B:B,B122,Negócios!R:R,"Farmer",Negócios!AH:AH,"&lt;&gt;n")
      +SUMIFS(Negócios!N:N,Negócios!A:A,A122,Negócios!B:B,B122,Negócios!R:R,"Farmer",Negócios!AH:AH,"&lt;&gt;n"),
    OR(
      D122="anderson.ortiz@altoqi.com.br",
      D122="rafael.motta@altoqi.com.br",
      D122="beatriz@altoqi.com.br"
    ),
      SUMIFS(Negócios!L:L,Negócios!A:A,A122,Negócios!B:B,B122,Negócios!R:R,E122,Negócios!AH:AH,"&lt;&gt;n"),
    AND(F122="Gestor",H122="MRR"),
      SUMIFS(I:I,A:A,A122,B:B,B122,G:G,D122),
    TRUE,
      ""
  )
)</f>
        <v>5107.1718949999995</v>
      </c>
      <c r="J122" s="16">
        <f>SUMIFS(Metas!K:K,Metas!A:A,A122,Metas!B:B,B122,Metas!D:D,D122,Metas!H:H,H122)</f>
        <v>6600</v>
      </c>
      <c r="K122" s="10">
        <f t="shared" si="55"/>
        <v>0.77381392348484845</v>
      </c>
      <c r="L122" s="26" t="str" cm="1">
        <f t="array" ref="L122">_xlfn.LET(
 _xlpm.g,_xlfn.MAXIFS(Parâmetros!G:G,Parâmetros!A:A,A122,Parâmetros!B:B,B122,Parâmetros!D:D,D122,Parâmetros!E:E,E122),
 _xlpm.j,_xlfn.MAXIFS(Parâmetros!J:J,Parâmetros!A:A,A122,Parâmetros!B:B,B122,Parâmetros!D:D,D122,Parâmetros!E:E,E122),
 _xlpm.m,_xlfn.MAXIFS(Parâmetros!M:M,Parâmetros!A:A,A122,Parâmetros!B:B,B122,Parâmetros!D:D,D122,Parâmetros!E:E,E122),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100,00%</v>
      </c>
      <c r="M122" s="28" cm="1">
        <f t="array" ref="M122">IF(
  D122="rafael.acencio@altoqi.com.br",
  SUMIFS(Negócios!L:L,Negócios!A:A,A122,Negócios!B:B,B122,Negócios!Q:Q,E122,Negócios!AG:AG,"À Vista",Negócios!AH:AH,"&lt;&gt;n"),
  _xlfn.IFS(
    AND(F122="Consultor",H122="MRR",E122="Farmer"),
      SUMIFS(Negócios!M:M,Negócios!A:A,A122,Negócios!B:B,B122,Negócios!P:P,D122,Negócios!AG:AG,"À Vista",Negócios!AH:AH,"&lt;&gt;n")
      +SUMIFS(Negócios!N:N,Negócios!A:A,A122,Negócios!B:B,B122,Negócios!P:P,D122,Negócios!AG:AG,"À Vista",Negócios!AH:AH,"&lt;&gt;n"),
    AND(F122="Consultor",H122="MRR"),
      SUMIFS(Negócios!L:L,Negócios!A:A,A122,Negócios!B:B,B122,Negócios!P:P,D122,Negócios!AG:AG,"À Vista",Negócios!AH:AH,"&lt;&gt;n"),
    AND(F122="Consultor",H122="Opps"),
      SUMIFS('Realizado GD'!D:D,'Realizado GD'!A:A,A122,'Realizado GD'!B:B,B122,'Realizado GD'!C:C,D122),
    D122="sonia.zielinski@altoqi.com.br",
      SUM(SUMIFS(Negócios!L:L,Negócios!A:A,A122,Negócios!B:B,B122,Negócios!R:R,{"FSB";"Ares"},Negócios!AG:AG,"À Vista",Negócios!AH:AH,"&lt;&gt;n"))
      +SUMIFS(Negócios!M:M,Negócios!A:A,A122,Negócios!B:B,B122,Negócios!R:R,"Farmer",Negócios!AG:AG,"À Vista",Negócios!AH:AH,"&lt;&gt;n")
      +SUMIFS(Negócios!N:N,Negócios!A:A,A122,Negócios!B:B,B122,Negócios!R:R,"Farmer",Negócios!AG:AG,"À Vista",Negócios!AH:AH,"&lt;&gt;n"),
    OR(
      D122="anderson.ortiz@altoqi.com.br",
      D122="rafael.motta@altoqi.com.br",
      D122="beatriz@altoqi.com.br"
    ),
      SUMIFS(Negócios!L:L,Negócios!A:A,A122,Negócios!B:B,B122,Negócios!R:R,E122,Negócios!AG:AG,"À Vista",Negócios!AH:AH,"&lt;&gt;n"),
    AND(F122="Gestor",H122="MRR"),
      SUMIFS(I:I,A:A,A122,B:B,B122,G:G,D122),
    TRUE,
      ""
  )
)</f>
        <v>182.58614499999999</v>
      </c>
      <c r="N122" s="10">
        <f t="shared" si="71"/>
        <v>3.5750930016425458E-2</v>
      </c>
      <c r="O122" s="30">
        <f>SUMIFS('Acel Form Pag'!D:D,'Acel Form Pag'!A:A,A122,'Acel Form Pag'!B:B,B122,'Acel Form Pag'!C:C,E122)</f>
        <v>1.5</v>
      </c>
      <c r="P122" s="87" cm="1">
        <f t="array" ref="P122">IF(
  D122="rafael.acencio@altoqi.com.br",
  SUMIFS(Negócios!M:M,Negócios!A:A,A122,Negócios!B:B,B122,Negócios!Q:Q,E122,Negócios!AG:AG,"CC 3x",Negócios!AH:AH,"&lt;&gt;n"),
  _xlfn.IFS(
    AND(F122="Consultor",H122="MRR",E122="Farmer"),
      SUMIFS(Negócios!M:M,Negócios!A:A,A122,Negócios!B:B,B122,Negócios!P:P,D122,Negócios!AG:AG,"CC 3x",Negócios!AH:AH,"&lt;&gt;n")
      +SUMIFS(Negócios!N:N,Negócios!A:A,A122,Negócios!B:B,B122,Negócios!P:P,D122,Negócios!AG:AG,"CC 3x",Negócios!AH:AH,"&lt;&gt;n"),
    AND(F122="Consultor",H122="MRR"),
      SUMIFS(Negócios!L:L,Negócios!A:A,A122,Negócios!B:B,B122,Negócios!P:P,D122,Negócios!AG:AG,"CC 3x",Negócios!AH:AH,"&lt;&gt;n"),
    AND(F122="Consultor",H122="Opps"),
      SUMIFS('Realizado GD'!D:D,'Realizado GD'!A:A,A122,'Realizado GD'!B:B,B122,'Realizado GD'!C:C,D122),
    D122="sonia.zielinski@altoqi.com.br",
      SUM(SUMIFS(Negócios!L:L,Negócios!A:A,A122,Negócios!B:B,B122,Negócios!R:R,{"FSB";"Ares"},Negócios!AG:AG,"CC 3x",Negócios!AH:AH,"&lt;&gt;n"))
      +SUMIFS(Negócios!M:M,Negócios!A:A,A122,Negócios!B:B,B122,Negócios!R:R,"Farmer",Negócios!AG:AG,"CC 3x",Negócios!AH:AH,"&lt;&gt;n")
      +SUMIFS(Negócios!N:N,Negócios!A:A,A122,Negócios!B:B,B122,Negócios!R:R,"Farmer",Negócios!AG:AG,"CC 3x",Negócios!AH:AH,"&lt;&gt;n"),
    OR(
      D122="anderson.ortiz@altoqi.com.br",
      D122="rafael.motta@altoqi.com.br",
      D122="beatriz@altoqi.com.br"
    ),
      SUMIFS(Negócios!M:M,Negócios!A:A,A122,Negócios!B:B,B122,Negócios!R:R,E122,Negócios!AG:AG,"CC 3x",Negócios!AH:AH,"&lt;&gt;n"),
    AND(F122="Gestor",H122="MRR"),
      SUMIFS(I:I,A:A,A122,B:B,B122,G:G,D122),
    TRUE,
      ""
  )
)</f>
        <v>0</v>
      </c>
      <c r="Q122" s="10">
        <f t="shared" si="72"/>
        <v>0</v>
      </c>
      <c r="R122" s="30">
        <f>SUMIFS('Acel Form Pag'!E:E,'Acel Form Pag'!A:A,A122,'Acel Form Pag'!B:B,B122,'Acel Form Pag'!C:C,E122)</f>
        <v>1.25</v>
      </c>
      <c r="S122" s="32" cm="1">
        <f t="array" ref="S122">IF(
  D122="rafael.acencio@altoqi.com.br",
  SUMIFS(Negócios!L:L,Negócios!A:A,A122,Negócios!B:B,B122,Negócios!Q:Q,E122,Negócios!AG:AG,"CC 12x",Negócios!AH:AH,"&lt;&gt;n"),
  _xlfn.IFS(
    AND(F122="Consultor",H122="MRR",E122="Farmer"),
      SUMIFS(Negócios!M:M,Negócios!A:A,A122,Negócios!B:B,B122,Negócios!P:P,D122,Negócios!AG:AG,"CC 12x",Negócios!AH:AH,"&lt;&gt;n")
      +SUMIFS(Negócios!N:N,Negócios!A:A,A122,Negócios!B:B,B122,Negócios!P:P,D122,Negócios!AG:AG,"CC 12x",Negócios!AH:AH,"&lt;&gt;n"),
    AND(F122="Consultor",H122="MRR"),
      SUMIFS(Negócios!L:L,Negócios!A:A,A122,Negócios!B:B,B122,Negócios!P:P,D122,Negócios!AG:AG,"CC 12x",Negócios!AH:AH,"&lt;&gt;n"),
    AND(F122="Consultor",H122="Opps"),
      SUMIFS('Realizado GD'!D:D,'Realizado GD'!A:A,A122,'Realizado GD'!B:B,B122,'Realizado GD'!C:C,D122),
    D122="sonia.zielinski@altoqi.com.br",
      SUM(SUMIFS(Negócios!L:L,Negócios!A:A,A122,Negócios!B:B,B122,Negócios!R:R,{"FSB";"Ares"},Negócios!AG:AG,"CC 12x",Negócios!AH:AH,"&lt;&gt;n"))
      +SUMIFS(Negócios!M:M,Negócios!A:A,A122,Negócios!B:B,B122,Negócios!R:R,"Farmer",Negócios!AG:AG,"CC 12x",Negócios!AH:AH,"&lt;&gt;n")
      +SUMIFS(Negócios!N:N,Negócios!A:A,A122,Negócios!B:B,B122,Negócios!R:R,"Farmer",Negócios!AG:AG,"CC 12x",Negócios!AH:AH,"&lt;&gt;n"),
    OR(
      D122="anderson.ortiz@altoqi.com.br",
      D122="rafael.motta@altoqi.com.br",
      D122="beatriz@altoqi.com.br"
    ),
      SUMIFS(Negócios!L:L,Negócios!A:A,A122,Negócios!B:B,B122,Negócios!R:R,E122,Negócios!AG:AG,"CC 12x",Negócios!AH:AH,"&lt;&gt;n"),
    AND(F122="Gestor",H122="MRR"),
      SUMIFS(I:I,A:A,A122,B:B,B122,G:G,D122),
    TRUE,
      ""
  )
)</f>
        <v>934.37954999999999</v>
      </c>
      <c r="T122" s="10">
        <f t="shared" si="73"/>
        <v>0.18295439613355721</v>
      </c>
      <c r="U122" s="30">
        <f>SUMIFS('Acel Form Pag'!F:F,'Acel Form Pag'!A:A,A122,'Acel Form Pag'!B:B,B122,'Acel Form Pag'!C:C,E122)</f>
        <v>1.25</v>
      </c>
      <c r="V122" s="32" cm="1">
        <f t="array" ref="V122">IF(
  D122="rafael.acencio@altoqi.com.br",
  SUMIFS(Negócios!L:L,Negócios!A:A,A122,Negócios!B:B,B122,Negócios!Q:Q,E122,Negócios!AG:AG,"Recorrente",Negócios!AH:AH,"&lt;&gt;n"),
  _xlfn.IFS(
    AND(F122="Consultor",H122="MRR",E122="Farmer"),
      SUMIFS(Negócios!M:M,Negócios!A:A,A122,Negócios!B:B,B122,Negócios!P:P,D122,Negócios!AG:AG,"Recorrente",Negócios!AH:AH,"&lt;&gt;n")
      +SUMIFS(Negócios!N:N,Negócios!A:A,A122,Negócios!B:B,B122,Negócios!P:P,D122,Negócios!AG:AG,"Recorrente",Negócios!AH:AH,"&lt;&gt;n"),
    AND(F122="Consultor",H122="MRR"),
      SUMIFS(Negócios!L:L,Negócios!A:A,A122,Negócios!B:B,B122,Negócios!P:P,D122,Negócios!AG:AG,"Recorrente",Negócios!AH:AH,"&lt;&gt;n"),
    AND(F122="Consultor",H122="Opps"),
      SUMIFS('Realizado GD'!D:D,'Realizado GD'!A:A,A122,'Realizado GD'!B:B,B122,'Realizado GD'!C:C,D122),
    D122="sonia.zielinski@altoqi.com.br",
      SUM(SUMIFS(Negócios!L:L,Negócios!A:A,A122,Negócios!B:B,B122,Negócios!R:R,{"FSB";"Ares"},Negócios!AG:AG,"Recorrente",Negócios!AH:AH,"&lt;&gt;n"))
      +SUMIFS(Negócios!M:M,Negócios!A:A,A122,Negócios!B:B,B122,Negócios!R:R,"Farmer",Negócios!AG:AG,"Recorrente",Negócios!AH:AH,"&lt;&gt;n")
      +SUMIFS(Negócios!N:N,Negócios!A:A,A122,Negócios!B:B,B122,Negócios!R:R,"Farmer",Negócios!AG:AG,"Recorrente",Negócios!AH:AH,"&lt;&gt;n"),
    OR(
      D122="anderson.ortiz@altoqi.com.br",
      D122="rafael.motta@altoqi.com.br",
      D122="beatriz@altoqi.com.br"
    ),
      SUMIFS(Negócios!L:L,Negócios!A:A,A122,Negócios!B:B,B122,Negócios!R:R,E122,Negócios!AG:AG,"Recorrente",Negócios!AH:AH,"&lt;&gt;n"),
    AND(F122="Gestor",H122="MRR"),
      SUMIFS(I:I,A:A,A122,B:B,B122,G:G,D122),
    TRUE,
      ""
  )
)</f>
        <v>3990.2062000000001</v>
      </c>
      <c r="W122" s="10">
        <f t="shared" si="74"/>
        <v>0.78129467385001738</v>
      </c>
      <c r="X122" s="34">
        <f>SUMIFS('Acel Form Pag'!G:G,'Acel Form Pag'!A:A,A122,'Acel Form Pag'!B:B,B122,'Acel Form Pag'!C:C,E122)</f>
        <v>1</v>
      </c>
      <c r="Y122" s="24">
        <f>MAX(_xlfn.MAXIFS(Parâmetros!O:O,Parâmetros!A:A,A122,Parâmetros!B:B,B122,Parâmetros!D:D,D122,Parâmetros!M:M,"&lt;="&amp;K122),_xlfn.MAXIFS(Parâmetros!L:L,Parâmetros!A:A,A122,Parâmetros!B:B,B122,Parâmetros!D:D,D122,Parâmetros!J:J,"&lt;="&amp;K122),_xlfn.MAXIFS(Parâmetros!I:I,Parâmetros!A:A,A122,Parâmetros!B:B,B122,Parâmetros!D:D,D122))</f>
        <v>6480</v>
      </c>
      <c r="Z122" s="9">
        <f>MAX(_xlfn.MAXIFS(Parâmetros!Q:Q,Parâmetros!A:A,A122,Parâmetros!B:B,B122,Parâmetros!D:D,D122,Parâmetros!E:E,E122,Parâmetros!P:P,"&lt;="&amp;K122),
_xlfn.MAXIFS(Parâmetros!S:S,Parâmetros!A:A,A122,Parâmetros!B:B,B122,Parâmetros!D:D,D122,Parâmetros!E:E,E122,Parâmetros!R:R,"&lt;="&amp;K122),
_xlfn.MAXIFS(Parâmetros!U:U,Parâmetros!A:A,A122,Parâmetros!B:B,B122,Parâmetros!D:D,D122,Parâmetros!E:E,E122,Parâmetros!T:T,"&lt;="&amp;K122),1) * IF(K122 &gt;= SUMIFS(Parâmetros!G:G,Parâmetros!A:A,A122,Parâmetros!B:B,B122,Parâmetros!D:D,D122,Parâmetros!E:E,E122),1,0)</f>
        <v>1</v>
      </c>
      <c r="AA122" s="16">
        <f t="shared" si="56"/>
        <v>5014.3142241818177</v>
      </c>
      <c r="AB122" s="16">
        <f t="shared" si="57"/>
        <v>5333.2951303636364</v>
      </c>
      <c r="AC122" s="15">
        <f>IF(F122="Gestor",SUMIFS(AC:AC,A:A,A122,B:B,B122,G:G,D122),
IF(E122="Saving",SUMIFS(Negócios!I:I,Negócios!A:A,A122,Negócios!B:B,B122,Negócios!P:P,D122,Negócios!H:H,"Curso",Negócios!AH:AH,"&lt;&gt;n") +
SUMIFS(Negócios!I:I,Negócios!A:A,A122,Negócios!B:B,B122,Negócios!P:P,D122,Negócios!H:H,"Serviço",Negócios!AH:AH,"&lt;&gt;n") +
SUMIFS(Negócios!I:I,Negócios!A:A,A122,Negócios!B:B,B122,Negócios!P:P,D122,Negócios!H:H,"Implantação",Negócios!AH:AH,"&lt;&gt;n"),
SUMIFS(Negócios!I:I,Negócios!A:A,A122,Negócios!B:B,B122,Negócios!P:P,D122,Negócios!H:H,"Implantação",Negócios!AH:AH,"&lt;&gt;n")))</f>
        <v>0</v>
      </c>
      <c r="AD122" s="16">
        <f>SUMIFS(Parâmetros!W:W,Parâmetros!A:A,A122,Parâmetros!B:B,B122,Parâmetros!D:D,D122) * AC122 * IF(K122 &gt;= SUMIFS(Parâmetros!V:V,Parâmetros!A:A,A122,Parâmetros!B:B,B122,Parâmetros!D:D,D122),1,0)</f>
        <v>0</v>
      </c>
      <c r="AE122" s="15">
        <f>SUMIFS('Recuperação de Canc e Divs'!D:D,'Recuperação de Canc e Divs'!A:A,A122,'Recuperação de Canc e Divs'!B:B,B122,'Recuperação de Canc e Divs'!C:C,D122)</f>
        <v>0</v>
      </c>
      <c r="AF122" s="16">
        <f>IF(K122&gt;=SUMIFS(Parâmetros!J:J,Parâmetros!A:A,A122,Parâmetros!B:B,B122,Parâmetros!D:D,D122),AE122*0.025,0)</f>
        <v>0</v>
      </c>
      <c r="AG122" s="15" t="str">
        <f t="shared" si="58"/>
        <v/>
      </c>
      <c r="AH122" s="16" t="str">
        <f t="shared" si="59"/>
        <v/>
      </c>
      <c r="AI122" s="90">
        <f t="shared" si="60"/>
        <v>0</v>
      </c>
      <c r="AJ122" s="16" t="str">
        <f t="shared" si="61"/>
        <v/>
      </c>
      <c r="AK122" s="16" t="str">
        <f t="shared" si="62"/>
        <v/>
      </c>
      <c r="AL122" s="90">
        <f t="shared" si="63"/>
        <v>0</v>
      </c>
      <c r="AM122" s="93" t="str">
        <f t="shared" si="64"/>
        <v/>
      </c>
      <c r="AN122" s="94" t="str">
        <f>IF(OR(B122=3,B122=6,B122=9,B122=12),
IF(AND(AL122&gt;=1,AI122&gt;=SUMIFS(Parâmetros!G:G,Parâmetros!A:A,Comissões!A122,Parâmetros!B:B,Comissões!B122,Parâmetros!D:D,Comissões!D122,Parâmetros!E:E,Comissões!E122)),AI122*0.3,""),"")</f>
        <v/>
      </c>
      <c r="AO122" s="16">
        <f t="shared" si="65"/>
        <v>5107.1718949999995</v>
      </c>
      <c r="AP122" s="16">
        <f t="shared" si="66"/>
        <v>1</v>
      </c>
    </row>
    <row r="123" spans="1:42" hidden="1">
      <c r="A123" s="7">
        <v>2026</v>
      </c>
      <c r="B123" s="7">
        <v>5</v>
      </c>
      <c r="C123" s="7" t="str">
        <v>Debora Vieira</v>
      </c>
      <c r="D123" s="7" t="str">
        <v>debora.vieira@altoqi.com.br</v>
      </c>
      <c r="E123" s="7" t="str">
        <v>Farmer</v>
      </c>
      <c r="F123" s="7" t="str">
        <v>Consultor</v>
      </c>
      <c r="G123" s="7" t="str">
        <v>sonia.zielinski@altoqi.com.br</v>
      </c>
      <c r="H123" s="7" t="str">
        <v>MRR</v>
      </c>
      <c r="I123" s="86" cm="1">
        <f t="array" ref="I123">IF(
  D123="rafael.acencio@altoqi.com.br",
  SUMIFS(Negócios!L:L,Negócios!A:A,A123,Negócios!B:B,B123,Negócios!Q:Q,E123,Negócios!AH:AH,"&lt;&gt;n"),
  _xlfn.IFS(
    AND(F123="Consultor",H123="MRR",E123="Farmer"),
      SUMIFS(Negócios!M:M,Negócios!A:A,A123,Negócios!B:B,B123,Negócios!P:P,D123,Negócios!AH:AH,"&lt;&gt;n")
      +SUMIFS(Negócios!N:N,Negócios!A:A,A123,Negócios!B:B,B123,Negócios!P:P,D123,Negócios!AH:AH,"&lt;&gt;n"),
    AND(F123="Consultor",H123="MRR"),
      SUMIFS(Negócios!L:L,Negócios!A:A,A123,Negócios!B:B,B123,Negócios!P:P,D123,Negócios!AH:AH,"&lt;&gt;n"),
    AND(F123="Consultor",H123="Opps"),
      SUMIFS('Realizado GD'!D:D,'Realizado GD'!A:A,A123,'Realizado GD'!B:B,B123,'Realizado GD'!C:C,D123),
    D123="sonia.zielinski@altoqi.com.br",
      SUM(SUMIFS(Negócios!L:L,Negócios!A:A,A123,Negócios!B:B,B123,Negócios!R:R,{"FSB";"Ares"},Negócios!AH:AH,"&lt;&gt;n"))
      +SUMIFS(Negócios!M:M,Negócios!A:A,A123,Negócios!B:B,B123,Negócios!R:R,"Farmer",Negócios!AH:AH,"&lt;&gt;n")
      +SUMIFS(Negócios!N:N,Negócios!A:A,A123,Negócios!B:B,B123,Negócios!R:R,"Farmer",Negócios!AH:AH,"&lt;&gt;n"),
    OR(
      D123="anderson.ortiz@altoqi.com.br",
      D123="rafael.motta@altoqi.com.br",
      D123="beatriz@altoqi.com.br"
    ),
      SUMIFS(Negócios!L:L,Negócios!A:A,A123,Negócios!B:B,B123,Negócios!R:R,E123,Negócios!AH:AH,"&lt;&gt;n"),
    AND(F123="Gestor",H123="MRR"),
      SUMIFS(I:I,A:A,A123,B:B,B123,G:G,D123),
    TRUE,
      ""
  )
)</f>
        <v>4094.626983300001</v>
      </c>
      <c r="J123" s="16">
        <f>SUMIFS(Metas!K:K,Metas!A:A,A123,Metas!B:B,B123,Metas!D:D,D123,Metas!H:H,H123)</f>
        <v>6000</v>
      </c>
      <c r="K123" s="10">
        <f t="shared" si="55"/>
        <v>0.68243783055000018</v>
      </c>
      <c r="L123" s="26" t="str" cm="1">
        <f t="array" ref="L123">_xlfn.LET(
 _xlpm.g,_xlfn.MAXIFS(Parâmetros!G:G,Parâmetros!A:A,A123,Parâmetros!B:B,B123,Parâmetros!D:D,D123,Parâmetros!E:E,E123),
 _xlpm.j,_xlfn.MAXIFS(Parâmetros!J:J,Parâmetros!A:A,A123,Parâmetros!B:B,B123,Parâmetros!D:D,D123,Parâmetros!E:E,E123),
 _xlpm.m,_xlfn.MAXIFS(Parâmetros!M:M,Parâmetros!A:A,A123,Parâmetros!B:B,B123,Parâmetros!D:D,D123,Parâmetros!E:E,E123),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/>
      </c>
      <c r="M123" s="28" cm="1">
        <f t="array" ref="M123">IF(
  D123="rafael.acencio@altoqi.com.br",
  SUMIFS(Negócios!L:L,Negócios!A:A,A123,Negócios!B:B,B123,Negócios!Q:Q,E123,Negócios!AG:AG,"À Vista",Negócios!AH:AH,"&lt;&gt;n"),
  _xlfn.IFS(
    AND(F123="Consultor",H123="MRR",E123="Farmer"),
      SUMIFS(Negócios!M:M,Negócios!A:A,A123,Negócios!B:B,B123,Negócios!P:P,D123,Negócios!AG:AG,"À Vista",Negócios!AH:AH,"&lt;&gt;n")
      +SUMIFS(Negócios!N:N,Negócios!A:A,A123,Negócios!B:B,B123,Negócios!P:P,D123,Negócios!AG:AG,"À Vista",Negócios!AH:AH,"&lt;&gt;n"),
    AND(F123="Consultor",H123="MRR"),
      SUMIFS(Negócios!L:L,Negócios!A:A,A123,Negócios!B:B,B123,Negócios!P:P,D123,Negócios!AG:AG,"À Vista",Negócios!AH:AH,"&lt;&gt;n"),
    AND(F123="Consultor",H123="Opps"),
      SUMIFS('Realizado GD'!D:D,'Realizado GD'!A:A,A123,'Realizado GD'!B:B,B123,'Realizado GD'!C:C,D123),
    D123="sonia.zielinski@altoqi.com.br",
      SUM(SUMIFS(Negócios!L:L,Negócios!A:A,A123,Negócios!B:B,B123,Negócios!R:R,{"FSB";"Ares"},Negócios!AG:AG,"À Vista",Negócios!AH:AH,"&lt;&gt;n"))
      +SUMIFS(Negócios!M:M,Negócios!A:A,A123,Negócios!B:B,B123,Negócios!R:R,"Farmer",Negócios!AG:AG,"À Vista",Negócios!AH:AH,"&lt;&gt;n")
      +SUMIFS(Negócios!N:N,Negócios!A:A,A123,Negócios!B:B,B123,Negócios!R:R,"Farmer",Negócios!AG:AG,"À Vista",Negócios!AH:AH,"&lt;&gt;n"),
    OR(
      D123="anderson.ortiz@altoqi.com.br",
      D123="rafael.motta@altoqi.com.br",
      D123="beatriz@altoqi.com.br"
    ),
      SUMIFS(Negócios!L:L,Negócios!A:A,A123,Negócios!B:B,B123,Negócios!R:R,E123,Negócios!AG:AG,"À Vista",Negócios!AH:AH,"&lt;&gt;n"),
    AND(F123="Gestor",H123="MRR"),
      SUMIFS(I:I,A:A,A123,B:B,B123,G:G,D123),
    TRUE,
      ""
  )
)</f>
        <v>0</v>
      </c>
      <c r="N123" s="10">
        <f t="shared" si="71"/>
        <v>0</v>
      </c>
      <c r="O123" s="30">
        <f>SUMIFS('Acel Form Pag'!D:D,'Acel Form Pag'!A:A,A123,'Acel Form Pag'!B:B,B123,'Acel Form Pag'!C:C,E123)</f>
        <v>1.5</v>
      </c>
      <c r="P123" s="87" cm="1">
        <f t="array" ref="P123">IF(
  D123="rafael.acencio@altoqi.com.br",
  SUMIFS(Negócios!M:M,Negócios!A:A,A123,Negócios!B:B,B123,Negócios!Q:Q,E123,Negócios!AG:AG,"CC 3x",Negócios!AH:AH,"&lt;&gt;n"),
  _xlfn.IFS(
    AND(F123="Consultor",H123="MRR",E123="Farmer"),
      SUMIFS(Negócios!M:M,Negócios!A:A,A123,Negócios!B:B,B123,Negócios!P:P,D123,Negócios!AG:AG,"CC 3x",Negócios!AH:AH,"&lt;&gt;n")
      +SUMIFS(Negócios!N:N,Negócios!A:A,A123,Negócios!B:B,B123,Negócios!P:P,D123,Negócios!AG:AG,"CC 3x",Negócios!AH:AH,"&lt;&gt;n"),
    AND(F123="Consultor",H123="MRR"),
      SUMIFS(Negócios!L:L,Negócios!A:A,A123,Negócios!B:B,B123,Negócios!P:P,D123,Negócios!AG:AG,"CC 3x",Negócios!AH:AH,"&lt;&gt;n"),
    AND(F123="Consultor",H123="Opps"),
      SUMIFS('Realizado GD'!D:D,'Realizado GD'!A:A,A123,'Realizado GD'!B:B,B123,'Realizado GD'!C:C,D123),
    D123="sonia.zielinski@altoqi.com.br",
      SUM(SUMIFS(Negócios!L:L,Negócios!A:A,A123,Negócios!B:B,B123,Negócios!R:R,{"FSB";"Ares"},Negócios!AG:AG,"CC 3x",Negócios!AH:AH,"&lt;&gt;n"))
      +SUMIFS(Negócios!M:M,Negócios!A:A,A123,Negócios!B:B,B123,Negócios!R:R,"Farmer",Negócios!AG:AG,"CC 3x",Negócios!AH:AH,"&lt;&gt;n")
      +SUMIFS(Negócios!N:N,Negócios!A:A,A123,Negócios!B:B,B123,Negócios!R:R,"Farmer",Negócios!AG:AG,"CC 3x",Negócios!AH:AH,"&lt;&gt;n"),
    OR(
      D123="anderson.ortiz@altoqi.com.br",
      D123="rafael.motta@altoqi.com.br",
      D123="beatriz@altoqi.com.br"
    ),
      SUMIFS(Negócios!M:M,Negócios!A:A,A123,Negócios!B:B,B123,Negócios!R:R,E123,Negócios!AG:AG,"CC 3x",Negócios!AH:AH,"&lt;&gt;n"),
    AND(F123="Gestor",H123="MRR"),
      SUMIFS(I:I,A:A,A123,B:B,B123,G:G,D123),
    TRUE,
      ""
  )
)</f>
        <v>0</v>
      </c>
      <c r="Q123" s="10">
        <f t="shared" si="72"/>
        <v>0</v>
      </c>
      <c r="R123" s="30">
        <f>SUMIFS('Acel Form Pag'!E:E,'Acel Form Pag'!A:A,A123,'Acel Form Pag'!B:B,B123,'Acel Form Pag'!C:C,E123)</f>
        <v>1.25</v>
      </c>
      <c r="S123" s="32" cm="1">
        <f t="array" ref="S123">IF(
  D123="rafael.acencio@altoqi.com.br",
  SUMIFS(Negócios!L:L,Negócios!A:A,A123,Negócios!B:B,B123,Negócios!Q:Q,E123,Negócios!AG:AG,"CC 12x",Negócios!AH:AH,"&lt;&gt;n"),
  _xlfn.IFS(
    AND(F123="Consultor",H123="MRR",E123="Farmer"),
      SUMIFS(Negócios!M:M,Negócios!A:A,A123,Negócios!B:B,B123,Negócios!P:P,D123,Negócios!AG:AG,"CC 12x",Negócios!AH:AH,"&lt;&gt;n")
      +SUMIFS(Negócios!N:N,Negócios!A:A,A123,Negócios!B:B,B123,Negócios!P:P,D123,Negócios!AG:AG,"CC 12x",Negócios!AH:AH,"&lt;&gt;n"),
    AND(F123="Consultor",H123="MRR"),
      SUMIFS(Negócios!L:L,Negócios!A:A,A123,Negócios!B:B,B123,Negócios!P:P,D123,Negócios!AG:AG,"CC 12x",Negócios!AH:AH,"&lt;&gt;n"),
    AND(F123="Consultor",H123="Opps"),
      SUMIFS('Realizado GD'!D:D,'Realizado GD'!A:A,A123,'Realizado GD'!B:B,B123,'Realizado GD'!C:C,D123),
    D123="sonia.zielinski@altoqi.com.br",
      SUM(SUMIFS(Negócios!L:L,Negócios!A:A,A123,Negócios!B:B,B123,Negócios!R:R,{"FSB";"Ares"},Negócios!AG:AG,"CC 12x",Negócios!AH:AH,"&lt;&gt;n"))
      +SUMIFS(Negócios!M:M,Negócios!A:A,A123,Negócios!B:B,B123,Negócios!R:R,"Farmer",Negócios!AG:AG,"CC 12x",Negócios!AH:AH,"&lt;&gt;n")
      +SUMIFS(Negócios!N:N,Negócios!A:A,A123,Negócios!B:B,B123,Negócios!R:R,"Farmer",Negócios!AG:AG,"CC 12x",Negócios!AH:AH,"&lt;&gt;n"),
    OR(
      D123="anderson.ortiz@altoqi.com.br",
      D123="rafael.motta@altoqi.com.br",
      D123="beatriz@altoqi.com.br"
    ),
      SUMIFS(Negócios!L:L,Negócios!A:A,A123,Negócios!B:B,B123,Negócios!R:R,E123,Negócios!AG:AG,"CC 12x",Negócios!AH:AH,"&lt;&gt;n"),
    AND(F123="Gestor",H123="MRR"),
      SUMIFS(I:I,A:A,A123,B:B,B123,G:G,D123),
    TRUE,
      ""
  )
)</f>
        <v>1156.8000000000002</v>
      </c>
      <c r="T123" s="10">
        <f t="shared" si="73"/>
        <v>0.28251657714317491</v>
      </c>
      <c r="U123" s="30">
        <f>SUMIFS('Acel Form Pag'!F:F,'Acel Form Pag'!A:A,A123,'Acel Form Pag'!B:B,B123,'Acel Form Pag'!C:C,E123)</f>
        <v>1.25</v>
      </c>
      <c r="V123" s="32" cm="1">
        <f t="array" ref="V123">IF(
  D123="rafael.acencio@altoqi.com.br",
  SUMIFS(Negócios!L:L,Negócios!A:A,A123,Negócios!B:B,B123,Negócios!Q:Q,E123,Negócios!AG:AG,"Recorrente",Negócios!AH:AH,"&lt;&gt;n"),
  _xlfn.IFS(
    AND(F123="Consultor",H123="MRR",E123="Farmer"),
      SUMIFS(Negócios!M:M,Negócios!A:A,A123,Negócios!B:B,B123,Negócios!P:P,D123,Negócios!AG:AG,"Recorrente",Negócios!AH:AH,"&lt;&gt;n")
      +SUMIFS(Negócios!N:N,Negócios!A:A,A123,Negócios!B:B,B123,Negócios!P:P,D123,Negócios!AG:AG,"Recorrente",Negócios!AH:AH,"&lt;&gt;n"),
    AND(F123="Consultor",H123="MRR"),
      SUMIFS(Negócios!L:L,Negócios!A:A,A123,Negócios!B:B,B123,Negócios!P:P,D123,Negócios!AG:AG,"Recorrente",Negócios!AH:AH,"&lt;&gt;n"),
    AND(F123="Consultor",H123="Opps"),
      SUMIFS('Realizado GD'!D:D,'Realizado GD'!A:A,A123,'Realizado GD'!B:B,B123,'Realizado GD'!C:C,D123),
    D123="sonia.zielinski@altoqi.com.br",
      SUM(SUMIFS(Negócios!L:L,Negócios!A:A,A123,Negócios!B:B,B123,Negócios!R:R,{"FSB";"Ares"},Negócios!AG:AG,"Recorrente",Negócios!AH:AH,"&lt;&gt;n"))
      +SUMIFS(Negócios!M:M,Negócios!A:A,A123,Negócios!B:B,B123,Negócios!R:R,"Farmer",Negócios!AG:AG,"Recorrente",Negócios!AH:AH,"&lt;&gt;n")
      +SUMIFS(Negócios!N:N,Negócios!A:A,A123,Negócios!B:B,B123,Negócios!R:R,"Farmer",Negócios!AG:AG,"Recorrente",Negócios!AH:AH,"&lt;&gt;n"),
    OR(
      D123="anderson.ortiz@altoqi.com.br",
      D123="rafael.motta@altoqi.com.br",
      D123="beatriz@altoqi.com.br"
    ),
      SUMIFS(Negócios!L:L,Negócios!A:A,A123,Negócios!B:B,B123,Negócios!R:R,E123,Negócios!AG:AG,"Recorrente",Negócios!AH:AH,"&lt;&gt;n"),
    AND(F123="Gestor",H123="MRR"),
      SUMIFS(I:I,A:A,A123,B:B,B123,G:G,D123),
    TRUE,
      ""
  )
)</f>
        <v>2937.8269833000004</v>
      </c>
      <c r="W123" s="10">
        <f t="shared" si="74"/>
        <v>0.71748342285682498</v>
      </c>
      <c r="X123" s="34">
        <f>SUMIFS('Acel Form Pag'!G:G,'Acel Form Pag'!A:A,A123,'Acel Form Pag'!B:B,B123,'Acel Form Pag'!C:C,E123)</f>
        <v>1</v>
      </c>
      <c r="Y123" s="24">
        <f>MAX(_xlfn.MAXIFS(Parâmetros!O:O,Parâmetros!A:A,A123,Parâmetros!B:B,B123,Parâmetros!D:D,D123,Parâmetros!M:M,"&lt;="&amp;K123),_xlfn.MAXIFS(Parâmetros!L:L,Parâmetros!A:A,A123,Parâmetros!B:B,B123,Parâmetros!D:D,D123,Parâmetros!J:J,"&lt;="&amp;K123),_xlfn.MAXIFS(Parâmetros!I:I,Parâmetros!A:A,A123,Parâmetros!B:B,B123,Parâmetros!D:D,D123))</f>
        <v>3746.2</v>
      </c>
      <c r="Z123" s="9">
        <f>MAX(_xlfn.MAXIFS(Parâmetros!Q:Q,Parâmetros!A:A,A123,Parâmetros!B:B,B123,Parâmetros!D:D,D123,Parâmetros!E:E,E123,Parâmetros!P:P,"&lt;="&amp;K123),
_xlfn.MAXIFS(Parâmetros!S:S,Parâmetros!A:A,A123,Parâmetros!B:B,B123,Parâmetros!D:D,D123,Parâmetros!E:E,E123,Parâmetros!R:R,"&lt;="&amp;K123),
_xlfn.MAXIFS(Parâmetros!U:U,Parâmetros!A:A,A123,Parâmetros!B:B,B123,Parâmetros!D:D,D123,Parâmetros!E:E,E123,Parâmetros!T:T,"&lt;="&amp;K123),1) * IF(K123 &gt;= SUMIFS(Parâmetros!G:G,Parâmetros!A:A,A123,Parâmetros!B:B,B123,Parâmetros!D:D,D123,Parâmetros!E:E,E123),1,0)</f>
        <v>1</v>
      </c>
      <c r="AA123" s="16">
        <f t="shared" si="56"/>
        <v>2556.5486008064104</v>
      </c>
      <c r="AB123" s="16">
        <f t="shared" si="57"/>
        <v>2737.1154408064103</v>
      </c>
      <c r="AC123" s="15">
        <f>IF(F123="Gestor",SUMIFS(AC:AC,A:A,A123,B:B,B123,G:G,D123),
IF(E123="Saving",SUMIFS(Negócios!I:I,Negócios!A:A,A123,Negócios!B:B,B123,Negócios!P:P,D123,Negócios!H:H,"Curso",Negócios!AH:AH,"&lt;&gt;n") +
SUMIFS(Negócios!I:I,Negócios!A:A,A123,Negócios!B:B,B123,Negócios!P:P,D123,Negócios!H:H,"Serviço",Negócios!AH:AH,"&lt;&gt;n") +
SUMIFS(Negócios!I:I,Negócios!A:A,A123,Negócios!B:B,B123,Negócios!P:P,D123,Negócios!H:H,"Implantação",Negócios!AH:AH,"&lt;&gt;n"),
SUMIFS(Negócios!I:I,Negócios!A:A,A123,Negócios!B:B,B123,Negócios!P:P,D123,Negócios!H:H,"Implantação",Negócios!AH:AH,"&lt;&gt;n")))</f>
        <v>0</v>
      </c>
      <c r="AD123" s="16">
        <f>SUMIFS(Parâmetros!W:W,Parâmetros!A:A,A123,Parâmetros!B:B,B123,Parâmetros!D:D,D123) * AC123 * IF(K123 &gt;= SUMIFS(Parâmetros!V:V,Parâmetros!A:A,A123,Parâmetros!B:B,B123,Parâmetros!D:D,D123),1,0)</f>
        <v>0</v>
      </c>
      <c r="AE123" s="15">
        <f>SUMIFS('Recuperação de Canc e Divs'!D:D,'Recuperação de Canc e Divs'!A:A,A123,'Recuperação de Canc e Divs'!B:B,B123,'Recuperação de Canc e Divs'!C:C,D123)</f>
        <v>0</v>
      </c>
      <c r="AF123" s="16">
        <f>IF(K123&gt;=SUMIFS(Parâmetros!J:J,Parâmetros!A:A,A123,Parâmetros!B:B,B123,Parâmetros!D:D,D123),AE123*0.025,0)</f>
        <v>0</v>
      </c>
      <c r="AG123" s="15" t="str">
        <f t="shared" si="58"/>
        <v/>
      </c>
      <c r="AH123" s="16" t="str">
        <f t="shared" si="59"/>
        <v/>
      </c>
      <c r="AI123" s="90">
        <f t="shared" si="60"/>
        <v>0</v>
      </c>
      <c r="AJ123" s="16" t="str">
        <f t="shared" si="61"/>
        <v/>
      </c>
      <c r="AK123" s="16" t="str">
        <f t="shared" si="62"/>
        <v/>
      </c>
      <c r="AL123" s="90">
        <f t="shared" si="63"/>
        <v>0</v>
      </c>
      <c r="AM123" s="93" t="str">
        <f t="shared" si="64"/>
        <v/>
      </c>
      <c r="AN123" s="94" t="str">
        <f>IF(OR(B123=3,B123=6,B123=9,B123=12),
IF(AND(AL123&gt;=1,AI123&gt;=SUMIFS(Parâmetros!G:G,Parâmetros!A:A,Comissões!A123,Parâmetros!B:B,Comissões!B123,Parâmetros!D:D,Comissões!D123,Parâmetros!E:E,Comissões!E123)),AI123*0.3,""),"")</f>
        <v/>
      </c>
      <c r="AO123" s="16">
        <f t="shared" si="65"/>
        <v>4094.6269833000006</v>
      </c>
      <c r="AP123" s="16">
        <f t="shared" si="66"/>
        <v>0.99999999999999989</v>
      </c>
    </row>
    <row r="124" spans="1:42" hidden="1">
      <c r="A124" s="7">
        <v>2026</v>
      </c>
      <c r="B124" s="7">
        <v>5</v>
      </c>
      <c r="C124" s="7" t="str">
        <v>Mariana Rachadel</v>
      </c>
      <c r="D124" s="7" t="str">
        <v>mariana@altoqi.com.br</v>
      </c>
      <c r="E124" s="7" t="str">
        <v>Farmer</v>
      </c>
      <c r="F124" s="7" t="str">
        <v>Consultor</v>
      </c>
      <c r="G124" s="7" t="str">
        <v>sonia.zielinski@altoqi.com.br</v>
      </c>
      <c r="H124" s="7" t="str">
        <v>MRR</v>
      </c>
      <c r="I124" s="86" cm="1">
        <f t="array" ref="I124">IF(
  D124="rafael.acencio@altoqi.com.br",
  SUMIFS(Negócios!L:L,Negócios!A:A,A124,Negócios!B:B,B124,Negócios!Q:Q,E124,Negócios!AH:AH,"&lt;&gt;n"),
  _xlfn.IFS(
    AND(F124="Consultor",H124="MRR",E124="Farmer"),
      SUMIFS(Negócios!M:M,Negócios!A:A,A124,Negócios!B:B,B124,Negócios!P:P,D124,Negócios!AH:AH,"&lt;&gt;n")
      +SUMIFS(Negócios!N:N,Negócios!A:A,A124,Negócios!B:B,B124,Negócios!P:P,D124,Negócios!AH:AH,"&lt;&gt;n"),
    AND(F124="Consultor",H124="MRR"),
      SUMIFS(Negócios!L:L,Negócios!A:A,A124,Negócios!B:B,B124,Negócios!P:P,D124,Negócios!AH:AH,"&lt;&gt;n"),
    AND(F124="Consultor",H124="Opps"),
      SUMIFS('Realizado GD'!D:D,'Realizado GD'!A:A,A124,'Realizado GD'!B:B,B124,'Realizado GD'!C:C,D124),
    D124="sonia.zielinski@altoqi.com.br",
      SUM(SUMIFS(Negócios!L:L,Negócios!A:A,A124,Negócios!B:B,B124,Negócios!R:R,{"FSB";"Ares"},Negócios!AH:AH,"&lt;&gt;n"))
      +SUMIFS(Negócios!M:M,Negócios!A:A,A124,Negócios!B:B,B124,Negócios!R:R,"Farmer",Negócios!AH:AH,"&lt;&gt;n")
      +SUMIFS(Negócios!N:N,Negócios!A:A,A124,Negócios!B:B,B124,Negócios!R:R,"Farmer",Negócios!AH:AH,"&lt;&gt;n"),
    OR(
      D124="anderson.ortiz@altoqi.com.br",
      D124="rafael.motta@altoqi.com.br",
      D124="beatriz@altoqi.com.br"
    ),
      SUMIFS(Negócios!L:L,Negócios!A:A,A124,Negócios!B:B,B124,Negócios!R:R,E124,Negócios!AH:AH,"&lt;&gt;n"),
    AND(F124="Gestor",H124="MRR"),
      SUMIFS(I:I,A:A,A124,B:B,B124,G:G,D124),
    TRUE,
      ""
  )
)</f>
        <v>10150.494435139999</v>
      </c>
      <c r="J124" s="16">
        <f>SUMIFS(Metas!K:K,Metas!A:A,A124,Metas!B:B,B124,Metas!D:D,D124,Metas!H:H,H124)</f>
        <v>12750</v>
      </c>
      <c r="K124" s="10">
        <f t="shared" si="55"/>
        <v>0.79611721059921559</v>
      </c>
      <c r="L124" s="26" t="str" cm="1">
        <f t="array" ref="L124">_xlfn.LET(
 _xlpm.g,_xlfn.MAXIFS(Parâmetros!G:G,Parâmetros!A:A,A124,Parâmetros!B:B,B124,Parâmetros!D:D,D124,Parâmetros!E:E,E124),
 _xlpm.j,_xlfn.MAXIFS(Parâmetros!J:J,Parâmetros!A:A,A124,Parâmetros!B:B,B124,Parâmetros!D:D,D124,Parâmetros!E:E,E124),
 _xlpm.m,_xlfn.MAXIFS(Parâmetros!M:M,Parâmetros!A:A,A124,Parâmetros!B:B,B124,Parâmetros!D:D,D124,Parâmetros!E:E,E124),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>100,00%</v>
      </c>
      <c r="M124" s="28" cm="1">
        <f t="array" ref="M124">IF(
  D124="rafael.acencio@altoqi.com.br",
  SUMIFS(Negócios!L:L,Negócios!A:A,A124,Negócios!B:B,B124,Negócios!Q:Q,E124,Negócios!AG:AG,"À Vista",Negócios!AH:AH,"&lt;&gt;n"),
  _xlfn.IFS(
    AND(F124="Consultor",H124="MRR",E124="Farmer"),
      SUMIFS(Negócios!M:M,Negócios!A:A,A124,Negócios!B:B,B124,Negócios!P:P,D124,Negócios!AG:AG,"À Vista",Negócios!AH:AH,"&lt;&gt;n")
      +SUMIFS(Negócios!N:N,Negócios!A:A,A124,Negócios!B:B,B124,Negócios!P:P,D124,Negócios!AG:AG,"À Vista",Negócios!AH:AH,"&lt;&gt;n"),
    AND(F124="Consultor",H124="MRR"),
      SUMIFS(Negócios!L:L,Negócios!A:A,A124,Negócios!B:B,B124,Negócios!P:P,D124,Negócios!AG:AG,"À Vista",Negócios!AH:AH,"&lt;&gt;n"),
    AND(F124="Consultor",H124="Opps"),
      SUMIFS('Realizado GD'!D:D,'Realizado GD'!A:A,A124,'Realizado GD'!B:B,B124,'Realizado GD'!C:C,D124),
    D124="sonia.zielinski@altoqi.com.br",
      SUM(SUMIFS(Negócios!L:L,Negócios!A:A,A124,Negócios!B:B,B124,Negócios!R:R,{"FSB";"Ares"},Negócios!AG:AG,"À Vista",Negócios!AH:AH,"&lt;&gt;n"))
      +SUMIFS(Negócios!M:M,Negócios!A:A,A124,Negócios!B:B,B124,Negócios!R:R,"Farmer",Negócios!AG:AG,"À Vista",Negócios!AH:AH,"&lt;&gt;n")
      +SUMIFS(Negócios!N:N,Negócios!A:A,A124,Negócios!B:B,B124,Negócios!R:R,"Farmer",Negócios!AG:AG,"À Vista",Negócios!AH:AH,"&lt;&gt;n"),
    OR(
      D124="anderson.ortiz@altoqi.com.br",
      D124="rafael.motta@altoqi.com.br",
      D124="beatriz@altoqi.com.br"
    ),
      SUMIFS(Negócios!L:L,Negócios!A:A,A124,Negócios!B:B,B124,Negócios!R:R,E124,Negócios!AG:AG,"À Vista",Negócios!AH:AH,"&lt;&gt;n"),
    AND(F124="Gestor",H124="MRR"),
      SUMIFS(I:I,A:A,A124,B:B,B124,G:G,D124),
    TRUE,
      ""
  )
)</f>
        <v>0</v>
      </c>
      <c r="N124" s="10">
        <f t="shared" si="71"/>
        <v>0</v>
      </c>
      <c r="O124" s="30">
        <f>SUMIFS('Acel Form Pag'!D:D,'Acel Form Pag'!A:A,A124,'Acel Form Pag'!B:B,B124,'Acel Form Pag'!C:C,E124)</f>
        <v>1.5</v>
      </c>
      <c r="P124" s="87" cm="1">
        <f t="array" ref="P124">IF(
  D124="rafael.acencio@altoqi.com.br",
  SUMIFS(Negócios!M:M,Negócios!A:A,A124,Negócios!B:B,B124,Negócios!Q:Q,E124,Negócios!AG:AG,"CC 3x",Negócios!AH:AH,"&lt;&gt;n"),
  _xlfn.IFS(
    AND(F124="Consultor",H124="MRR",E124="Farmer"),
      SUMIFS(Negócios!M:M,Negócios!A:A,A124,Negócios!B:B,B124,Negócios!P:P,D124,Negócios!AG:AG,"CC 3x",Negócios!AH:AH,"&lt;&gt;n")
      +SUMIFS(Negócios!N:N,Negócios!A:A,A124,Negócios!B:B,B124,Negócios!P:P,D124,Negócios!AG:AG,"CC 3x",Negócios!AH:AH,"&lt;&gt;n"),
    AND(F124="Consultor",H124="MRR"),
      SUMIFS(Negócios!L:L,Negócios!A:A,A124,Negócios!B:B,B124,Negócios!P:P,D124,Negócios!AG:AG,"CC 3x",Negócios!AH:AH,"&lt;&gt;n"),
    AND(F124="Consultor",H124="Opps"),
      SUMIFS('Realizado GD'!D:D,'Realizado GD'!A:A,A124,'Realizado GD'!B:B,B124,'Realizado GD'!C:C,D124),
    D124="sonia.zielinski@altoqi.com.br",
      SUM(SUMIFS(Negócios!L:L,Negócios!A:A,A124,Negócios!B:B,B124,Negócios!R:R,{"FSB";"Ares"},Negócios!AG:AG,"CC 3x",Negócios!AH:AH,"&lt;&gt;n"))
      +SUMIFS(Negócios!M:M,Negócios!A:A,A124,Negócios!B:B,B124,Negócios!R:R,"Farmer",Negócios!AG:AG,"CC 3x",Negócios!AH:AH,"&lt;&gt;n")
      +SUMIFS(Negócios!N:N,Negócios!A:A,A124,Negócios!B:B,B124,Negócios!R:R,"Farmer",Negócios!AG:AG,"CC 3x",Negócios!AH:AH,"&lt;&gt;n"),
    OR(
      D124="anderson.ortiz@altoqi.com.br",
      D124="rafael.motta@altoqi.com.br",
      D124="beatriz@altoqi.com.br"
    ),
      SUMIFS(Negócios!M:M,Negócios!A:A,A124,Negócios!B:B,B124,Negócios!R:R,E124,Negócios!AG:AG,"CC 3x",Negócios!AH:AH,"&lt;&gt;n"),
    AND(F124="Gestor",H124="MRR"),
      SUMIFS(I:I,A:A,A124,B:B,B124,G:G,D124),
    TRUE,
      ""
  )
)</f>
        <v>0</v>
      </c>
      <c r="Q124" s="10">
        <f t="shared" si="72"/>
        <v>0</v>
      </c>
      <c r="R124" s="30">
        <f>SUMIFS('Acel Form Pag'!E:E,'Acel Form Pag'!A:A,A124,'Acel Form Pag'!B:B,B124,'Acel Form Pag'!C:C,E124)</f>
        <v>1.25</v>
      </c>
      <c r="S124" s="32" cm="1">
        <f t="array" ref="S124">IF(
  D124="rafael.acencio@altoqi.com.br",
  SUMIFS(Negócios!L:L,Negócios!A:A,A124,Negócios!B:B,B124,Negócios!Q:Q,E124,Negócios!AG:AG,"CC 12x",Negócios!AH:AH,"&lt;&gt;n"),
  _xlfn.IFS(
    AND(F124="Consultor",H124="MRR",E124="Farmer"),
      SUMIFS(Negócios!M:M,Negócios!A:A,A124,Negócios!B:B,B124,Negócios!P:P,D124,Negócios!AG:AG,"CC 12x",Negócios!AH:AH,"&lt;&gt;n")
      +SUMIFS(Negócios!N:N,Negócios!A:A,A124,Negócios!B:B,B124,Negócios!P:P,D124,Negócios!AG:AG,"CC 12x",Negócios!AH:AH,"&lt;&gt;n"),
    AND(F124="Consultor",H124="MRR"),
      SUMIFS(Negócios!L:L,Negócios!A:A,A124,Negócios!B:B,B124,Negócios!P:P,D124,Negócios!AG:AG,"CC 12x",Negócios!AH:AH,"&lt;&gt;n"),
    AND(F124="Consultor",H124="Opps"),
      SUMIFS('Realizado GD'!D:D,'Realizado GD'!A:A,A124,'Realizado GD'!B:B,B124,'Realizado GD'!C:C,D124),
    D124="sonia.zielinski@altoqi.com.br",
      SUM(SUMIFS(Negócios!L:L,Negócios!A:A,A124,Negócios!B:B,B124,Negócios!R:R,{"FSB";"Ares"},Negócios!AG:AG,"CC 12x",Negócios!AH:AH,"&lt;&gt;n"))
      +SUMIFS(Negócios!M:M,Negócios!A:A,A124,Negócios!B:B,B124,Negócios!R:R,"Farmer",Negócios!AG:AG,"CC 12x",Negócios!AH:AH,"&lt;&gt;n")
      +SUMIFS(Negócios!N:N,Negócios!A:A,A124,Negócios!B:B,B124,Negócios!R:R,"Farmer",Negócios!AG:AG,"CC 12x",Negócios!AH:AH,"&lt;&gt;n"),
    OR(
      D124="anderson.ortiz@altoqi.com.br",
      D124="rafael.motta@altoqi.com.br",
      D124="beatriz@altoqi.com.br"
    ),
      SUMIFS(Negócios!L:L,Negócios!A:A,A124,Negócios!B:B,B124,Negócios!R:R,E124,Negócios!AG:AG,"CC 12x",Negócios!AH:AH,"&lt;&gt;n"),
    AND(F124="Gestor",H124="MRR"),
      SUMIFS(I:I,A:A,A124,B:B,B124,G:G,D124),
    TRUE,
      ""
  )
)</f>
        <v>785.36641000000009</v>
      </c>
      <c r="T124" s="10">
        <f t="shared" si="73"/>
        <v>7.7372231965483373E-2</v>
      </c>
      <c r="U124" s="30">
        <f>SUMIFS('Acel Form Pag'!F:F,'Acel Form Pag'!A:A,A124,'Acel Form Pag'!B:B,B124,'Acel Form Pag'!C:C,E124)</f>
        <v>1.25</v>
      </c>
      <c r="V124" s="32" cm="1">
        <f t="array" ref="V124">IF(
  D124="rafael.acencio@altoqi.com.br",
  SUMIFS(Negócios!L:L,Negócios!A:A,A124,Negócios!B:B,B124,Negócios!Q:Q,E124,Negócios!AG:AG,"Recorrente",Negócios!AH:AH,"&lt;&gt;n"),
  _xlfn.IFS(
    AND(F124="Consultor",H124="MRR",E124="Farmer"),
      SUMIFS(Negócios!M:M,Negócios!A:A,A124,Negócios!B:B,B124,Negócios!P:P,D124,Negócios!AG:AG,"Recorrente",Negócios!AH:AH,"&lt;&gt;n")
      +SUMIFS(Negócios!N:N,Negócios!A:A,A124,Negócios!B:B,B124,Negócios!P:P,D124,Negócios!AG:AG,"Recorrente",Negócios!AH:AH,"&lt;&gt;n"),
    AND(F124="Consultor",H124="MRR"),
      SUMIFS(Negócios!L:L,Negócios!A:A,A124,Negócios!B:B,B124,Negócios!P:P,D124,Negócios!AG:AG,"Recorrente",Negócios!AH:AH,"&lt;&gt;n"),
    AND(F124="Consultor",H124="Opps"),
      SUMIFS('Realizado GD'!D:D,'Realizado GD'!A:A,A124,'Realizado GD'!B:B,B124,'Realizado GD'!C:C,D124),
    D124="sonia.zielinski@altoqi.com.br",
      SUM(SUMIFS(Negócios!L:L,Negócios!A:A,A124,Negócios!B:B,B124,Negócios!R:R,{"FSB";"Ares"},Negócios!AG:AG,"Recorrente",Negócios!AH:AH,"&lt;&gt;n"))
      +SUMIFS(Negócios!M:M,Negócios!A:A,A124,Negócios!B:B,B124,Negócios!R:R,"Farmer",Negócios!AG:AG,"Recorrente",Negócios!AH:AH,"&lt;&gt;n")
      +SUMIFS(Negócios!N:N,Negócios!A:A,A124,Negócios!B:B,B124,Negócios!R:R,"Farmer",Negócios!AG:AG,"Recorrente",Negócios!AH:AH,"&lt;&gt;n"),
    OR(
      D124="anderson.ortiz@altoqi.com.br",
      D124="rafael.motta@altoqi.com.br",
      D124="beatriz@altoqi.com.br"
    ),
      SUMIFS(Negócios!L:L,Negócios!A:A,A124,Negócios!B:B,B124,Negócios!R:R,E124,Negócios!AG:AG,"Recorrente",Negócios!AH:AH,"&lt;&gt;n"),
    AND(F124="Gestor",H124="MRR"),
      SUMIFS(I:I,A:A,A124,B:B,B124,G:G,D124),
    TRUE,
      ""
  )
)</f>
        <v>9365.1280251399985</v>
      </c>
      <c r="W124" s="10">
        <f t="shared" si="74"/>
        <v>0.92262776803451663</v>
      </c>
      <c r="X124" s="34">
        <f>SUMIFS('Acel Form Pag'!G:G,'Acel Form Pag'!A:A,A124,'Acel Form Pag'!B:B,B124,'Acel Form Pag'!C:C,E124)</f>
        <v>1</v>
      </c>
      <c r="Y124" s="24">
        <f>MAX(_xlfn.MAXIFS(Parâmetros!O:O,Parâmetros!A:A,A124,Parâmetros!B:B,B124,Parâmetros!D:D,D124,Parâmetros!M:M,"&lt;="&amp;K124),_xlfn.MAXIFS(Parâmetros!L:L,Parâmetros!A:A,A124,Parâmetros!B:B,B124,Parâmetros!D:D,D124,Parâmetros!J:J,"&lt;="&amp;K124),_xlfn.MAXIFS(Parâmetros!I:I,Parâmetros!A:A,A124,Parâmetros!B:B,B124,Parâmetros!D:D,D124))</f>
        <v>9200</v>
      </c>
      <c r="Z124" s="9">
        <f>MAX(_xlfn.MAXIFS(Parâmetros!Q:Q,Parâmetros!A:A,A124,Parâmetros!B:B,B124,Parâmetros!D:D,D124,Parâmetros!E:E,E124,Parâmetros!P:P,"&lt;="&amp;K124),
_xlfn.MAXIFS(Parâmetros!S:S,Parâmetros!A:A,A124,Parâmetros!B:B,B124,Parâmetros!D:D,D124,Parâmetros!E:E,E124,Parâmetros!R:R,"&lt;="&amp;K124),
_xlfn.MAXIFS(Parâmetros!U:U,Parâmetros!A:A,A124,Parâmetros!B:B,B124,Parâmetros!D:D,D124,Parâmetros!E:E,E124,Parâmetros!T:T,"&lt;="&amp;K124),1) * IF(K124 &gt;= SUMIFS(Parâmetros!G:G,Parâmetros!A:A,A124,Parâmetros!B:B,B124,Parâmetros!D:D,D124,Parâmetros!E:E,E124),1,0)</f>
        <v>1</v>
      </c>
      <c r="AA124" s="16">
        <f t="shared" si="56"/>
        <v>7324.2783375127838</v>
      </c>
      <c r="AB124" s="16">
        <f t="shared" si="57"/>
        <v>7465.9522781402347</v>
      </c>
      <c r="AC124" s="15">
        <f>IF(F124="Gestor",SUMIFS(AC:AC,A:A,A124,B:B,B124,G:G,D124),
IF(E124="Saving",SUMIFS(Negócios!I:I,Negócios!A:A,A124,Negócios!B:B,B124,Negócios!P:P,D124,Negócios!H:H,"Curso",Negócios!AH:AH,"&lt;&gt;n") +
SUMIFS(Negócios!I:I,Negócios!A:A,A124,Negócios!B:B,B124,Negócios!P:P,D124,Negócios!H:H,"Serviço",Negócios!AH:AH,"&lt;&gt;n") +
SUMIFS(Negócios!I:I,Negócios!A:A,A124,Negócios!B:B,B124,Negócios!P:P,D124,Negócios!H:H,"Implantação",Negócios!AH:AH,"&lt;&gt;n"),
SUMIFS(Negócios!I:I,Negócios!A:A,A124,Negócios!B:B,B124,Negócios!P:P,D124,Negócios!H:H,"Implantação",Negócios!AH:AH,"&lt;&gt;n")))</f>
        <v>6000</v>
      </c>
      <c r="AD124" s="16">
        <f>SUMIFS(Parâmetros!W:W,Parâmetros!A:A,A124,Parâmetros!B:B,B124,Parâmetros!D:D,D124) * AC124 * IF(K124 &gt;= SUMIFS(Parâmetros!V:V,Parâmetros!A:A,A124,Parâmetros!B:B,B124,Parâmetros!D:D,D124),1,0)</f>
        <v>120</v>
      </c>
      <c r="AE124" s="15">
        <f>SUMIFS('Recuperação de Canc e Divs'!D:D,'Recuperação de Canc e Divs'!A:A,A124,'Recuperação de Canc e Divs'!B:B,B124,'Recuperação de Canc e Divs'!C:C,D124)</f>
        <v>0</v>
      </c>
      <c r="AF124" s="16">
        <f>IF(K124&gt;=SUMIFS(Parâmetros!J:J,Parâmetros!A:A,A124,Parâmetros!B:B,B124,Parâmetros!D:D,D124),AE124*0.025,0)</f>
        <v>0</v>
      </c>
      <c r="AG124" s="15" t="str">
        <f t="shared" si="58"/>
        <v/>
      </c>
      <c r="AH124" s="16" t="str">
        <f t="shared" si="59"/>
        <v/>
      </c>
      <c r="AI124" s="90">
        <f t="shared" si="60"/>
        <v>0</v>
      </c>
      <c r="AJ124" s="16" t="str">
        <f t="shared" si="61"/>
        <v/>
      </c>
      <c r="AK124" s="16" t="str">
        <f t="shared" si="62"/>
        <v/>
      </c>
      <c r="AL124" s="90">
        <f t="shared" si="63"/>
        <v>0</v>
      </c>
      <c r="AM124" s="93" t="str">
        <f t="shared" si="64"/>
        <v/>
      </c>
      <c r="AN124" s="94" t="str">
        <f>IF(OR(B124=3,B124=6,B124=9,B124=12),
IF(AND(AL124&gt;=1,AI124&gt;=SUMIFS(Parâmetros!G:G,Parâmetros!A:A,Comissões!A124,Parâmetros!B:B,Comissões!B124,Parâmetros!D:D,Comissões!D124,Parâmetros!E:E,Comissões!E124)),AI124*0.3,""),"")</f>
        <v/>
      </c>
      <c r="AO124" s="16">
        <f t="shared" si="65"/>
        <v>10150.494435139999</v>
      </c>
      <c r="AP124" s="16">
        <f t="shared" si="66"/>
        <v>1</v>
      </c>
    </row>
    <row r="125" spans="1:42" hidden="1">
      <c r="A125" s="7">
        <v>2026</v>
      </c>
      <c r="B125" s="7">
        <v>5</v>
      </c>
      <c r="C125" s="7" t="str">
        <v>Renata Parizotto</v>
      </c>
      <c r="D125" s="7" t="str">
        <v>renata.parizotto@altoqi.com.br</v>
      </c>
      <c r="E125" s="7" t="str">
        <v>Farmer</v>
      </c>
      <c r="F125" s="7" t="str">
        <v>Consultor</v>
      </c>
      <c r="G125" s="7" t="str">
        <v>sonia.zielinski@altoqi.com.br</v>
      </c>
      <c r="H125" s="7" t="str">
        <v>MRR</v>
      </c>
      <c r="I125" s="86" cm="1">
        <f t="array" ref="I125">IF(
  D125="rafael.acencio@altoqi.com.br",
  SUMIFS(Negócios!L:L,Negócios!A:A,A125,Negócios!B:B,B125,Negócios!Q:Q,E125,Negócios!AH:AH,"&lt;&gt;n"),
  _xlfn.IFS(
    AND(F125="Consultor",H125="MRR",E125="Farmer"),
      SUMIFS(Negócios!M:M,Negócios!A:A,A125,Negócios!B:B,B125,Negócios!P:P,D125,Negócios!AH:AH,"&lt;&gt;n")
      +SUMIFS(Negócios!N:N,Negócios!A:A,A125,Negócios!B:B,B125,Negócios!P:P,D125,Negócios!AH:AH,"&lt;&gt;n"),
    AND(F125="Consultor",H125="MRR"),
      SUMIFS(Negócios!L:L,Negócios!A:A,A125,Negócios!B:B,B125,Negócios!P:P,D125,Negócios!AH:AH,"&lt;&gt;n"),
    AND(F125="Consultor",H125="Opps"),
      SUMIFS('Realizado GD'!D:D,'Realizado GD'!A:A,A125,'Realizado GD'!B:B,B125,'Realizado GD'!C:C,D125),
    D125="sonia.zielinski@altoqi.com.br",
      SUM(SUMIFS(Negócios!L:L,Negócios!A:A,A125,Negócios!B:B,B125,Negócios!R:R,{"FSB";"Ares"},Negócios!AH:AH,"&lt;&gt;n"))
      +SUMIFS(Negócios!M:M,Negócios!A:A,A125,Negócios!B:B,B125,Negócios!R:R,"Farmer",Negócios!AH:AH,"&lt;&gt;n")
      +SUMIFS(Negócios!N:N,Negócios!A:A,A125,Negócios!B:B,B125,Negócios!R:R,"Farmer",Negócios!AH:AH,"&lt;&gt;n"),
    OR(
      D125="anderson.ortiz@altoqi.com.br",
      D125="rafael.motta@altoqi.com.br",
      D125="beatriz@altoqi.com.br"
    ),
      SUMIFS(Negócios!L:L,Negócios!A:A,A125,Negócios!B:B,B125,Negócios!R:R,E125,Negócios!AH:AH,"&lt;&gt;n"),
    AND(F125="Gestor",H125="MRR"),
      SUMIFS(I:I,A:A,A125,B:B,B125,G:G,D125),
    TRUE,
      ""
  )
)</f>
        <v>8136.5940701000018</v>
      </c>
      <c r="J125" s="16">
        <f>SUMIFS(Metas!K:K,Metas!A:A,A125,Metas!B:B,B125,Metas!D:D,D125,Metas!H:H,H125)</f>
        <v>12750</v>
      </c>
      <c r="K125" s="10">
        <f t="shared" si="55"/>
        <v>0.63816424079215706</v>
      </c>
      <c r="L125" s="26" t="str" cm="1">
        <f t="array" ref="L125">_xlfn.LET(
 _xlpm.g,_xlfn.MAXIFS(Parâmetros!G:G,Parâmetros!A:A,A125,Parâmetros!B:B,B125,Parâmetros!D:D,D125,Parâmetros!E:E,E125),
 _xlpm.j,_xlfn.MAXIFS(Parâmetros!J:J,Parâmetros!A:A,A125,Parâmetros!B:B,B125,Parâmetros!D:D,D125,Parâmetros!E:E,E125),
 _xlpm.m,_xlfn.MAXIFS(Parâmetros!M:M,Parâmetros!A:A,A125,Parâmetros!B:B,B125,Parâmetros!D:D,D125,Parâmetros!E:E,E125),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/>
      </c>
      <c r="M125" s="28" cm="1">
        <f t="array" ref="M125">IF(
  D125="rafael.acencio@altoqi.com.br",
  SUMIFS(Negócios!L:L,Negócios!A:A,A125,Negócios!B:B,B125,Negócios!Q:Q,E125,Negócios!AG:AG,"À Vista",Negócios!AH:AH,"&lt;&gt;n"),
  _xlfn.IFS(
    AND(F125="Consultor",H125="MRR",E125="Farmer"),
      SUMIFS(Negócios!M:M,Negócios!A:A,A125,Negócios!B:B,B125,Negócios!P:P,D125,Negócios!AG:AG,"À Vista",Negócios!AH:AH,"&lt;&gt;n")
      +SUMIFS(Negócios!N:N,Negócios!A:A,A125,Negócios!B:B,B125,Negócios!P:P,D125,Negócios!AG:AG,"À Vista",Negócios!AH:AH,"&lt;&gt;n"),
    AND(F125="Consultor",H125="MRR"),
      SUMIFS(Negócios!L:L,Negócios!A:A,A125,Negócios!B:B,B125,Negócios!P:P,D125,Negócios!AG:AG,"À Vista",Negócios!AH:AH,"&lt;&gt;n"),
    AND(F125="Consultor",H125="Opps"),
      SUMIFS('Realizado GD'!D:D,'Realizado GD'!A:A,A125,'Realizado GD'!B:B,B125,'Realizado GD'!C:C,D125),
    D125="sonia.zielinski@altoqi.com.br",
      SUM(SUMIFS(Negócios!L:L,Negócios!A:A,A125,Negócios!B:B,B125,Negócios!R:R,{"FSB";"Ares"},Negócios!AG:AG,"À Vista",Negócios!AH:AH,"&lt;&gt;n"))
      +SUMIFS(Negócios!M:M,Negócios!A:A,A125,Negócios!B:B,B125,Negócios!R:R,"Farmer",Negócios!AG:AG,"À Vista",Negócios!AH:AH,"&lt;&gt;n")
      +SUMIFS(Negócios!N:N,Negócios!A:A,A125,Negócios!B:B,B125,Negócios!R:R,"Farmer",Negócios!AG:AG,"À Vista",Negócios!AH:AH,"&lt;&gt;n"),
    OR(
      D125="anderson.ortiz@altoqi.com.br",
      D125="rafael.motta@altoqi.com.br",
      D125="beatriz@altoqi.com.br"
    ),
      SUMIFS(Negócios!L:L,Negócios!A:A,A125,Negócios!B:B,B125,Negócios!R:R,E125,Negócios!AG:AG,"À Vista",Negócios!AH:AH,"&lt;&gt;n"),
    AND(F125="Gestor",H125="MRR"),
      SUMIFS(I:I,A:A,A125,B:B,B125,G:G,D125),
    TRUE,
      ""
  )
)</f>
        <v>675.45</v>
      </c>
      <c r="N125" s="10">
        <f t="shared" si="71"/>
        <v>8.3013850043486132E-2</v>
      </c>
      <c r="O125" s="30">
        <f>SUMIFS('Acel Form Pag'!D:D,'Acel Form Pag'!A:A,A125,'Acel Form Pag'!B:B,B125,'Acel Form Pag'!C:C,E125)</f>
        <v>1.5</v>
      </c>
      <c r="P125" s="87" cm="1">
        <f t="array" ref="P125">IF(
  D125="rafael.acencio@altoqi.com.br",
  SUMIFS(Negócios!M:M,Negócios!A:A,A125,Negócios!B:B,B125,Negócios!Q:Q,E125,Negócios!AG:AG,"CC 3x",Negócios!AH:AH,"&lt;&gt;n"),
  _xlfn.IFS(
    AND(F125="Consultor",H125="MRR",E125="Farmer"),
      SUMIFS(Negócios!M:M,Negócios!A:A,A125,Negócios!B:B,B125,Negócios!P:P,D125,Negócios!AG:AG,"CC 3x",Negócios!AH:AH,"&lt;&gt;n")
      +SUMIFS(Negócios!N:N,Negócios!A:A,A125,Negócios!B:B,B125,Negócios!P:P,D125,Negócios!AG:AG,"CC 3x",Negócios!AH:AH,"&lt;&gt;n"),
    AND(F125="Consultor",H125="MRR"),
      SUMIFS(Negócios!L:L,Negócios!A:A,A125,Negócios!B:B,B125,Negócios!P:P,D125,Negócios!AG:AG,"CC 3x",Negócios!AH:AH,"&lt;&gt;n"),
    AND(F125="Consultor",H125="Opps"),
      SUMIFS('Realizado GD'!D:D,'Realizado GD'!A:A,A125,'Realizado GD'!B:B,B125,'Realizado GD'!C:C,D125),
    D125="sonia.zielinski@altoqi.com.br",
      SUM(SUMIFS(Negócios!L:L,Negócios!A:A,A125,Negócios!B:B,B125,Negócios!R:R,{"FSB";"Ares"},Negócios!AG:AG,"CC 3x",Negócios!AH:AH,"&lt;&gt;n"))
      +SUMIFS(Negócios!M:M,Negócios!A:A,A125,Negócios!B:B,B125,Negócios!R:R,"Farmer",Negócios!AG:AG,"CC 3x",Negócios!AH:AH,"&lt;&gt;n")
      +SUMIFS(Negócios!N:N,Negócios!A:A,A125,Negócios!B:B,B125,Negócios!R:R,"Farmer",Negócios!AG:AG,"CC 3x",Negócios!AH:AH,"&lt;&gt;n"),
    OR(
      D125="anderson.ortiz@altoqi.com.br",
      D125="rafael.motta@altoqi.com.br",
      D125="beatriz@altoqi.com.br"
    ),
      SUMIFS(Negócios!M:M,Negócios!A:A,A125,Negócios!B:B,B125,Negócios!R:R,E125,Negócios!AG:AG,"CC 3x",Negócios!AH:AH,"&lt;&gt;n"),
    AND(F125="Gestor",H125="MRR"),
      SUMIFS(I:I,A:A,A125,B:B,B125,G:G,D125),
    TRUE,
      ""
  )
)</f>
        <v>0</v>
      </c>
      <c r="Q125" s="10">
        <f t="shared" si="72"/>
        <v>0</v>
      </c>
      <c r="R125" s="30">
        <f>SUMIFS('Acel Form Pag'!E:E,'Acel Form Pag'!A:A,A125,'Acel Form Pag'!B:B,B125,'Acel Form Pag'!C:C,E125)</f>
        <v>1.25</v>
      </c>
      <c r="S125" s="32" cm="1">
        <f t="array" ref="S125">IF(
  D125="rafael.acencio@altoqi.com.br",
  SUMIFS(Negócios!L:L,Negócios!A:A,A125,Negócios!B:B,B125,Negócios!Q:Q,E125,Negócios!AG:AG,"CC 12x",Negócios!AH:AH,"&lt;&gt;n"),
  _xlfn.IFS(
    AND(F125="Consultor",H125="MRR",E125="Farmer"),
      SUMIFS(Negócios!M:M,Negócios!A:A,A125,Negócios!B:B,B125,Negócios!P:P,D125,Negócios!AG:AG,"CC 12x",Negócios!AH:AH,"&lt;&gt;n")
      +SUMIFS(Negócios!N:N,Negócios!A:A,A125,Negócios!B:B,B125,Negócios!P:P,D125,Negócios!AG:AG,"CC 12x",Negócios!AH:AH,"&lt;&gt;n"),
    AND(F125="Consultor",H125="MRR"),
      SUMIFS(Negócios!L:L,Negócios!A:A,A125,Negócios!B:B,B125,Negócios!P:P,D125,Negócios!AG:AG,"CC 12x",Negócios!AH:AH,"&lt;&gt;n"),
    AND(F125="Consultor",H125="Opps"),
      SUMIFS('Realizado GD'!D:D,'Realizado GD'!A:A,A125,'Realizado GD'!B:B,B125,'Realizado GD'!C:C,D125),
    D125="sonia.zielinski@altoqi.com.br",
      SUM(SUMIFS(Negócios!L:L,Negócios!A:A,A125,Negócios!B:B,B125,Negócios!R:R,{"FSB";"Ares"},Negócios!AG:AG,"CC 12x",Negócios!AH:AH,"&lt;&gt;n"))
      +SUMIFS(Negócios!M:M,Negócios!A:A,A125,Negócios!B:B,B125,Negócios!R:R,"Farmer",Negócios!AG:AG,"CC 12x",Negócios!AH:AH,"&lt;&gt;n")
      +SUMIFS(Negócios!N:N,Negócios!A:A,A125,Negócios!B:B,B125,Negócios!R:R,"Farmer",Negócios!AG:AG,"CC 12x",Negócios!AH:AH,"&lt;&gt;n"),
    OR(
      D125="anderson.ortiz@altoqi.com.br",
      D125="rafael.motta@altoqi.com.br",
      D125="beatriz@altoqi.com.br"
    ),
      SUMIFS(Negócios!L:L,Negócios!A:A,A125,Negócios!B:B,B125,Negócios!R:R,E125,Negócios!AG:AG,"CC 12x",Negócios!AH:AH,"&lt;&gt;n"),
    AND(F125="Gestor",H125="MRR"),
      SUMIFS(I:I,A:A,A125,B:B,B125,G:G,D125),
    TRUE,
      ""
  )
)</f>
        <v>690.76800000000003</v>
      </c>
      <c r="T125" s="10">
        <f t="shared" si="73"/>
        <v>8.4896455943206495E-2</v>
      </c>
      <c r="U125" s="30">
        <f>SUMIFS('Acel Form Pag'!F:F,'Acel Form Pag'!A:A,A125,'Acel Form Pag'!B:B,B125,'Acel Form Pag'!C:C,E125)</f>
        <v>1.25</v>
      </c>
      <c r="V125" s="32" cm="1">
        <f t="array" ref="V125">IF(
  D125="rafael.acencio@altoqi.com.br",
  SUMIFS(Negócios!L:L,Negócios!A:A,A125,Negócios!B:B,B125,Negócios!Q:Q,E125,Negócios!AG:AG,"Recorrente",Negócios!AH:AH,"&lt;&gt;n"),
  _xlfn.IFS(
    AND(F125="Consultor",H125="MRR",E125="Farmer"),
      SUMIFS(Negócios!M:M,Negócios!A:A,A125,Negócios!B:B,B125,Negócios!P:P,D125,Negócios!AG:AG,"Recorrente",Negócios!AH:AH,"&lt;&gt;n")
      +SUMIFS(Negócios!N:N,Negócios!A:A,A125,Negócios!B:B,B125,Negócios!P:P,D125,Negócios!AG:AG,"Recorrente",Negócios!AH:AH,"&lt;&gt;n"),
    AND(F125="Consultor",H125="MRR"),
      SUMIFS(Negócios!L:L,Negócios!A:A,A125,Negócios!B:B,B125,Negócios!P:P,D125,Negócios!AG:AG,"Recorrente",Negócios!AH:AH,"&lt;&gt;n"),
    AND(F125="Consultor",H125="Opps"),
      SUMIFS('Realizado GD'!D:D,'Realizado GD'!A:A,A125,'Realizado GD'!B:B,B125,'Realizado GD'!C:C,D125),
    D125="sonia.zielinski@altoqi.com.br",
      SUM(SUMIFS(Negócios!L:L,Negócios!A:A,A125,Negócios!B:B,B125,Negócios!R:R,{"FSB";"Ares"},Negócios!AG:AG,"Recorrente",Negócios!AH:AH,"&lt;&gt;n"))
      +SUMIFS(Negócios!M:M,Negócios!A:A,A125,Negócios!B:B,B125,Negócios!R:R,"Farmer",Negócios!AG:AG,"Recorrente",Negócios!AH:AH,"&lt;&gt;n")
      +SUMIFS(Negócios!N:N,Negócios!A:A,A125,Negócios!B:B,B125,Negócios!R:R,"Farmer",Negócios!AG:AG,"Recorrente",Negócios!AH:AH,"&lt;&gt;n"),
    OR(
      D125="anderson.ortiz@altoqi.com.br",
      D125="rafael.motta@altoqi.com.br",
      D125="beatriz@altoqi.com.br"
    ),
      SUMIFS(Negócios!L:L,Negócios!A:A,A125,Negócios!B:B,B125,Negócios!R:R,E125,Negócios!AG:AG,"Recorrente",Negócios!AH:AH,"&lt;&gt;n"),
    AND(F125="Gestor",H125="MRR"),
      SUMIFS(I:I,A:A,A125,B:B,B125,G:G,D125),
    TRUE,
      ""
  )
)</f>
        <v>6770.3760701000001</v>
      </c>
      <c r="W125" s="10">
        <f t="shared" si="74"/>
        <v>0.83208969401330712</v>
      </c>
      <c r="X125" s="34">
        <f>SUMIFS('Acel Form Pag'!G:G,'Acel Form Pag'!A:A,A125,'Acel Form Pag'!B:B,B125,'Acel Form Pag'!C:C,E125)</f>
        <v>1</v>
      </c>
      <c r="Y125" s="24">
        <f>MAX(_xlfn.MAXIFS(Parâmetros!O:O,Parâmetros!A:A,A125,Parâmetros!B:B,B125,Parâmetros!D:D,D125,Parâmetros!M:M,"&lt;="&amp;K125),_xlfn.MAXIFS(Parâmetros!L:L,Parâmetros!A:A,A125,Parâmetros!B:B,B125,Parâmetros!D:D,D125,Parâmetros!J:J,"&lt;="&amp;K125),_xlfn.MAXIFS(Parâmetros!I:I,Parâmetros!A:A,A125,Parâmetros!B:B,B125,Parâmetros!D:D,D125))</f>
        <v>6011.88</v>
      </c>
      <c r="Z125" s="9">
        <f>MAX(_xlfn.MAXIFS(Parâmetros!Q:Q,Parâmetros!A:A,A125,Parâmetros!B:B,B125,Parâmetros!D:D,D125,Parâmetros!E:E,E125,Parâmetros!P:P,"&lt;="&amp;K125),
_xlfn.MAXIFS(Parâmetros!S:S,Parâmetros!A:A,A125,Parâmetros!B:B,B125,Parâmetros!D:D,D125,Parâmetros!E:E,E125,Parâmetros!R:R,"&lt;="&amp;K125),
_xlfn.MAXIFS(Parâmetros!U:U,Parâmetros!A:A,A125,Parâmetros!B:B,B125,Parâmetros!D:D,D125,Parâmetros!E:E,E125,Parâmetros!T:T,"&lt;="&amp;K125),1) * IF(K125 &gt;= SUMIFS(Parâmetros!G:G,Parâmetros!A:A,A125,Parâmetros!B:B,B125,Parâmetros!D:D,D125,Parâmetros!E:E,E125),1,0)</f>
        <v>1</v>
      </c>
      <c r="AA125" s="16">
        <f t="shared" si="56"/>
        <v>3836.5668359335532</v>
      </c>
      <c r="AB125" s="16">
        <f t="shared" si="57"/>
        <v>4077.2386597735522</v>
      </c>
      <c r="AC125" s="15">
        <f>IF(F125="Gestor",SUMIFS(AC:AC,A:A,A125,B:B,B125,G:G,D125),
IF(E125="Saving",SUMIFS(Negócios!I:I,Negócios!A:A,A125,Negócios!B:B,B125,Negócios!P:P,D125,Negócios!H:H,"Curso",Negócios!AH:AH,"&lt;&gt;n") +
SUMIFS(Negócios!I:I,Negócios!A:A,A125,Negócios!B:B,B125,Negócios!P:P,D125,Negócios!H:H,"Serviço",Negócios!AH:AH,"&lt;&gt;n") +
SUMIFS(Negócios!I:I,Negócios!A:A,A125,Negócios!B:B,B125,Negócios!P:P,D125,Negócios!H:H,"Implantação",Negócios!AH:AH,"&lt;&gt;n"),
SUMIFS(Negócios!I:I,Negócios!A:A,A125,Negócios!B:B,B125,Negócios!P:P,D125,Negócios!H:H,"Implantação",Negócios!AH:AH,"&lt;&gt;n")))</f>
        <v>12000</v>
      </c>
      <c r="AD125" s="16">
        <f>SUMIFS(Parâmetros!W:W,Parâmetros!A:A,A125,Parâmetros!B:B,B125,Parâmetros!D:D,D125) * AC125 * IF(K125 &gt;= SUMIFS(Parâmetros!V:V,Parâmetros!A:A,A125,Parâmetros!B:B,B125,Parâmetros!D:D,D125),1,0)</f>
        <v>240</v>
      </c>
      <c r="AE125" s="15">
        <f>SUMIFS('Recuperação de Canc e Divs'!D:D,'Recuperação de Canc e Divs'!A:A,A125,'Recuperação de Canc e Divs'!B:B,B125,'Recuperação de Canc e Divs'!C:C,D125)</f>
        <v>0</v>
      </c>
      <c r="AF125" s="16">
        <f>IF(K125&gt;=SUMIFS(Parâmetros!J:J,Parâmetros!A:A,A125,Parâmetros!B:B,B125,Parâmetros!D:D,D125),AE125*0.025,0)</f>
        <v>0</v>
      </c>
      <c r="AG125" s="15" t="str">
        <f t="shared" si="58"/>
        <v/>
      </c>
      <c r="AH125" s="16" t="str">
        <f t="shared" si="59"/>
        <v/>
      </c>
      <c r="AI125" s="90">
        <f t="shared" si="60"/>
        <v>0</v>
      </c>
      <c r="AJ125" s="16" t="str">
        <f t="shared" si="61"/>
        <v/>
      </c>
      <c r="AK125" s="16" t="str">
        <f t="shared" si="62"/>
        <v/>
      </c>
      <c r="AL125" s="90">
        <f t="shared" si="63"/>
        <v>0</v>
      </c>
      <c r="AM125" s="93" t="str">
        <f t="shared" si="64"/>
        <v/>
      </c>
      <c r="AN125" s="94" t="str">
        <f>IF(OR(B125=3,B125=6,B125=9,B125=12),
IF(AND(AL125&gt;=1,AI125&gt;=SUMIFS(Parâmetros!G:G,Parâmetros!A:A,Comissões!A125,Parâmetros!B:B,Comissões!B125,Parâmetros!D:D,Comissões!D125,Parâmetros!E:E,Comissões!E125)),AI125*0.3,""),"")</f>
        <v/>
      </c>
      <c r="AO125" s="16">
        <f t="shared" si="65"/>
        <v>8136.5940701</v>
      </c>
      <c r="AP125" s="16">
        <f t="shared" si="66"/>
        <v>0.99999999999999978</v>
      </c>
    </row>
    <row r="126" spans="1:42" hidden="1">
      <c r="A126" s="7">
        <v>2026</v>
      </c>
      <c r="B126" s="7">
        <v>5</v>
      </c>
      <c r="C126" s="7" t="str">
        <v>Thales Mariante De Sá</v>
      </c>
      <c r="D126" s="7" t="str">
        <v>thales.sa@altoqi.com.br</v>
      </c>
      <c r="E126" s="7" t="str">
        <v>Farmer</v>
      </c>
      <c r="F126" s="7" t="str">
        <v>Consultor</v>
      </c>
      <c r="G126" s="7" t="str">
        <v>sonia.zielinski@altoqi.com.br</v>
      </c>
      <c r="H126" s="7" t="str">
        <v>MRR</v>
      </c>
      <c r="I126" s="86" cm="1">
        <f t="array" ref="I126">IF(
  D126="rafael.acencio@altoqi.com.br",
  SUMIFS(Negócios!L:L,Negócios!A:A,A126,Negócios!B:B,B126,Negócios!Q:Q,E126,Negócios!AH:AH,"&lt;&gt;n"),
  _xlfn.IFS(
    AND(F126="Consultor",H126="MRR",E126="Farmer"),
      SUMIFS(Negócios!M:M,Negócios!A:A,A126,Negócios!B:B,B126,Negócios!P:P,D126,Negócios!AH:AH,"&lt;&gt;n")
      +SUMIFS(Negócios!N:N,Negócios!A:A,A126,Negócios!B:B,B126,Negócios!P:P,D126,Negócios!AH:AH,"&lt;&gt;n"),
    AND(F126="Consultor",H126="MRR"),
      SUMIFS(Negócios!L:L,Negócios!A:A,A126,Negócios!B:B,B126,Negócios!P:P,D126,Negócios!AH:AH,"&lt;&gt;n"),
    AND(F126="Consultor",H126="Opps"),
      SUMIFS('Realizado GD'!D:D,'Realizado GD'!A:A,A126,'Realizado GD'!B:B,B126,'Realizado GD'!C:C,D126),
    D126="sonia.zielinski@altoqi.com.br",
      SUM(SUMIFS(Negócios!L:L,Negócios!A:A,A126,Negócios!B:B,B126,Negócios!R:R,{"FSB";"Ares"},Negócios!AH:AH,"&lt;&gt;n"))
      +SUMIFS(Negócios!M:M,Negócios!A:A,A126,Negócios!B:B,B126,Negócios!R:R,"Farmer",Negócios!AH:AH,"&lt;&gt;n")
      +SUMIFS(Negócios!N:N,Negócios!A:A,A126,Negócios!B:B,B126,Negócios!R:R,"Farmer",Negócios!AH:AH,"&lt;&gt;n"),
    OR(
      D126="anderson.ortiz@altoqi.com.br",
      D126="rafael.motta@altoqi.com.br",
      D126="beatriz@altoqi.com.br"
    ),
      SUMIFS(Negócios!L:L,Negócios!A:A,A126,Negócios!B:B,B126,Negócios!R:R,E126,Negócios!AH:AH,"&lt;&gt;n"),
    AND(F126="Gestor",H126="MRR"),
      SUMIFS(I:I,A:A,A126,B:B,B126,G:G,D126),
    TRUE,
      ""
  )
)</f>
        <v>2404.1199999999994</v>
      </c>
      <c r="J126" s="16">
        <f>SUMIFS(Metas!K:K,Metas!A:A,A126,Metas!B:B,B126,Metas!D:D,D126,Metas!H:H,H126)</f>
        <v>6000</v>
      </c>
      <c r="K126" s="10">
        <f t="shared" si="55"/>
        <v>0.40068666666666658</v>
      </c>
      <c r="L126" s="26" t="str" cm="1">
        <f t="array" ref="L126">_xlfn.LET(
 _xlpm.g,_xlfn.MAXIFS(Parâmetros!G:G,Parâmetros!A:A,A126,Parâmetros!B:B,B126,Parâmetros!D:D,D126,Parâmetros!E:E,E126),
 _xlpm.j,_xlfn.MAXIFS(Parâmetros!J:J,Parâmetros!A:A,A126,Parâmetros!B:B,B126,Parâmetros!D:D,D126,Parâmetros!E:E,E126),
 _xlpm.m,_xlfn.MAXIFS(Parâmetros!M:M,Parâmetros!A:A,A126,Parâmetros!B:B,B126,Parâmetros!D:D,D126,Parâmetros!E:E,E126),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/>
      </c>
      <c r="M126" s="28" cm="1">
        <f t="array" ref="M126">IF(
  D126="rafael.acencio@altoqi.com.br",
  SUMIFS(Negócios!L:L,Negócios!A:A,A126,Negócios!B:B,B126,Negócios!Q:Q,E126,Negócios!AG:AG,"À Vista",Negócios!AH:AH,"&lt;&gt;n"),
  _xlfn.IFS(
    AND(F126="Consultor",H126="MRR",E126="Farmer"),
      SUMIFS(Negócios!M:M,Negócios!A:A,A126,Negócios!B:B,B126,Negócios!P:P,D126,Negócios!AG:AG,"À Vista",Negócios!AH:AH,"&lt;&gt;n")
      +SUMIFS(Negócios!N:N,Negócios!A:A,A126,Negócios!B:B,B126,Negócios!P:P,D126,Negócios!AG:AG,"À Vista",Negócios!AH:AH,"&lt;&gt;n"),
    AND(F126="Consultor",H126="MRR"),
      SUMIFS(Negócios!L:L,Negócios!A:A,A126,Negócios!B:B,B126,Negócios!P:P,D126,Negócios!AG:AG,"À Vista",Negócios!AH:AH,"&lt;&gt;n"),
    AND(F126="Consultor",H126="Opps"),
      SUMIFS('Realizado GD'!D:D,'Realizado GD'!A:A,A126,'Realizado GD'!B:B,B126,'Realizado GD'!C:C,D126),
    D126="sonia.zielinski@altoqi.com.br",
      SUM(SUMIFS(Negócios!L:L,Negócios!A:A,A126,Negócios!B:B,B126,Negócios!R:R,{"FSB";"Ares"},Negócios!AG:AG,"À Vista",Negócios!AH:AH,"&lt;&gt;n"))
      +SUMIFS(Negócios!M:M,Negócios!A:A,A126,Negócios!B:B,B126,Negócios!R:R,"Farmer",Negócios!AG:AG,"À Vista",Negócios!AH:AH,"&lt;&gt;n")
      +SUMIFS(Negócios!N:N,Negócios!A:A,A126,Negócios!B:B,B126,Negócios!R:R,"Farmer",Negócios!AG:AG,"À Vista",Negócios!AH:AH,"&lt;&gt;n"),
    OR(
      D126="anderson.ortiz@altoqi.com.br",
      D126="rafael.motta@altoqi.com.br",
      D126="beatriz@altoqi.com.br"
    ),
      SUMIFS(Negócios!L:L,Negócios!A:A,A126,Negócios!B:B,B126,Negócios!R:R,E126,Negócios!AG:AG,"À Vista",Negócios!AH:AH,"&lt;&gt;n"),
    AND(F126="Gestor",H126="MRR"),
      SUMIFS(I:I,A:A,A126,B:B,B126,G:G,D126),
    TRUE,
      ""
  )
)</f>
        <v>305.95</v>
      </c>
      <c r="N126" s="10">
        <f t="shared" si="71"/>
        <v>0.1272607024607757</v>
      </c>
      <c r="O126" s="30">
        <f>SUMIFS('Acel Form Pag'!D:D,'Acel Form Pag'!A:A,A126,'Acel Form Pag'!B:B,B126,'Acel Form Pag'!C:C,E126)</f>
        <v>1.5</v>
      </c>
      <c r="P126" s="87" cm="1">
        <f t="array" ref="P126">IF(
  D126="rafael.acencio@altoqi.com.br",
  SUMIFS(Negócios!M:M,Negócios!A:A,A126,Negócios!B:B,B126,Negócios!Q:Q,E126,Negócios!AG:AG,"CC 3x",Negócios!AH:AH,"&lt;&gt;n"),
  _xlfn.IFS(
    AND(F126="Consultor",H126="MRR",E126="Farmer"),
      SUMIFS(Negócios!M:M,Negócios!A:A,A126,Negócios!B:B,B126,Negócios!P:P,D126,Negócios!AG:AG,"CC 3x",Negócios!AH:AH,"&lt;&gt;n")
      +SUMIFS(Negócios!N:N,Negócios!A:A,A126,Negócios!B:B,B126,Negócios!P:P,D126,Negócios!AG:AG,"CC 3x",Negócios!AH:AH,"&lt;&gt;n"),
    AND(F126="Consultor",H126="MRR"),
      SUMIFS(Negócios!L:L,Negócios!A:A,A126,Negócios!B:B,B126,Negócios!P:P,D126,Negócios!AG:AG,"CC 3x",Negócios!AH:AH,"&lt;&gt;n"),
    AND(F126="Consultor",H126="Opps"),
      SUMIFS('Realizado GD'!D:D,'Realizado GD'!A:A,A126,'Realizado GD'!B:B,B126,'Realizado GD'!C:C,D126),
    D126="sonia.zielinski@altoqi.com.br",
      SUM(SUMIFS(Negócios!L:L,Negócios!A:A,A126,Negócios!B:B,B126,Negócios!R:R,{"FSB";"Ares"},Negócios!AG:AG,"CC 3x",Negócios!AH:AH,"&lt;&gt;n"))
      +SUMIFS(Negócios!M:M,Negócios!A:A,A126,Negócios!B:B,B126,Negócios!R:R,"Farmer",Negócios!AG:AG,"CC 3x",Negócios!AH:AH,"&lt;&gt;n")
      +SUMIFS(Negócios!N:N,Negócios!A:A,A126,Negócios!B:B,B126,Negócios!R:R,"Farmer",Negócios!AG:AG,"CC 3x",Negócios!AH:AH,"&lt;&gt;n"),
    OR(
      D126="anderson.ortiz@altoqi.com.br",
      D126="rafael.motta@altoqi.com.br",
      D126="beatriz@altoqi.com.br"
    ),
      SUMIFS(Negócios!M:M,Negócios!A:A,A126,Negócios!B:B,B126,Negócios!R:R,E126,Negócios!AG:AG,"CC 3x",Negócios!AH:AH,"&lt;&gt;n"),
    AND(F126="Gestor",H126="MRR"),
      SUMIFS(I:I,A:A,A126,B:B,B126,G:G,D126),
    TRUE,
      ""
  )
)</f>
        <v>0</v>
      </c>
      <c r="Q126" s="10">
        <f t="shared" si="72"/>
        <v>0</v>
      </c>
      <c r="R126" s="30">
        <f>SUMIFS('Acel Form Pag'!E:E,'Acel Form Pag'!A:A,A126,'Acel Form Pag'!B:B,B126,'Acel Form Pag'!C:C,E126)</f>
        <v>1.25</v>
      </c>
      <c r="S126" s="32" cm="1">
        <f t="array" ref="S126">IF(
  D126="rafael.acencio@altoqi.com.br",
  SUMIFS(Negócios!L:L,Negócios!A:A,A126,Negócios!B:B,B126,Negócios!Q:Q,E126,Negócios!AG:AG,"CC 12x",Negócios!AH:AH,"&lt;&gt;n"),
  _xlfn.IFS(
    AND(F126="Consultor",H126="MRR",E126="Farmer"),
      SUMIFS(Negócios!M:M,Negócios!A:A,A126,Negócios!B:B,B126,Negócios!P:P,D126,Negócios!AG:AG,"CC 12x",Negócios!AH:AH,"&lt;&gt;n")
      +SUMIFS(Negócios!N:N,Negócios!A:A,A126,Negócios!B:B,B126,Negócios!P:P,D126,Negócios!AG:AG,"CC 12x",Negócios!AH:AH,"&lt;&gt;n"),
    AND(F126="Consultor",H126="MRR"),
      SUMIFS(Negócios!L:L,Negócios!A:A,A126,Negócios!B:B,B126,Negócios!P:P,D126,Negócios!AG:AG,"CC 12x",Negócios!AH:AH,"&lt;&gt;n"),
    AND(F126="Consultor",H126="Opps"),
      SUMIFS('Realizado GD'!D:D,'Realizado GD'!A:A,A126,'Realizado GD'!B:B,B126,'Realizado GD'!C:C,D126),
    D126="sonia.zielinski@altoqi.com.br",
      SUM(SUMIFS(Negócios!L:L,Negócios!A:A,A126,Negócios!B:B,B126,Negócios!R:R,{"FSB";"Ares"},Negócios!AG:AG,"CC 12x",Negócios!AH:AH,"&lt;&gt;n"))
      +SUMIFS(Negócios!M:M,Negócios!A:A,A126,Negócios!B:B,B126,Negócios!R:R,"Farmer",Negócios!AG:AG,"CC 12x",Negócios!AH:AH,"&lt;&gt;n")
      +SUMIFS(Negócios!N:N,Negócios!A:A,A126,Negócios!B:B,B126,Negócios!R:R,"Farmer",Negócios!AG:AG,"CC 12x",Negócios!AH:AH,"&lt;&gt;n"),
    OR(
      D126="anderson.ortiz@altoqi.com.br",
      D126="rafael.motta@altoqi.com.br",
      D126="beatriz@altoqi.com.br"
    ),
      SUMIFS(Negócios!L:L,Negócios!A:A,A126,Negócios!B:B,B126,Negócios!R:R,E126,Negócios!AG:AG,"CC 12x",Negócios!AH:AH,"&lt;&gt;n"),
    AND(F126="Gestor",H126="MRR"),
      SUMIFS(I:I,A:A,A126,B:B,B126,G:G,D126),
    TRUE,
      ""
  )
)</f>
        <v>1356.13</v>
      </c>
      <c r="T126" s="10">
        <f t="shared" si="73"/>
        <v>0.56408581934346058</v>
      </c>
      <c r="U126" s="30">
        <f>SUMIFS('Acel Form Pag'!F:F,'Acel Form Pag'!A:A,A126,'Acel Form Pag'!B:B,B126,'Acel Form Pag'!C:C,E126)</f>
        <v>1.25</v>
      </c>
      <c r="V126" s="32" cm="1">
        <f t="array" ref="V126">IF(
  D126="rafael.acencio@altoqi.com.br",
  SUMIFS(Negócios!L:L,Negócios!A:A,A126,Negócios!B:B,B126,Negócios!Q:Q,E126,Negócios!AG:AG,"Recorrente",Negócios!AH:AH,"&lt;&gt;n"),
  _xlfn.IFS(
    AND(F126="Consultor",H126="MRR",E126="Farmer"),
      SUMIFS(Negócios!M:M,Negócios!A:A,A126,Negócios!B:B,B126,Negócios!P:P,D126,Negócios!AG:AG,"Recorrente",Negócios!AH:AH,"&lt;&gt;n")
      +SUMIFS(Negócios!N:N,Negócios!A:A,A126,Negócios!B:B,B126,Negócios!P:P,D126,Negócios!AG:AG,"Recorrente",Negócios!AH:AH,"&lt;&gt;n"),
    AND(F126="Consultor",H126="MRR"),
      SUMIFS(Negócios!L:L,Negócios!A:A,A126,Negócios!B:B,B126,Negócios!P:P,D126,Negócios!AG:AG,"Recorrente",Negócios!AH:AH,"&lt;&gt;n"),
    AND(F126="Consultor",H126="Opps"),
      SUMIFS('Realizado GD'!D:D,'Realizado GD'!A:A,A126,'Realizado GD'!B:B,B126,'Realizado GD'!C:C,D126),
    D126="sonia.zielinski@altoqi.com.br",
      SUM(SUMIFS(Negócios!L:L,Negócios!A:A,A126,Negócios!B:B,B126,Negócios!R:R,{"FSB";"Ares"},Negócios!AG:AG,"Recorrente",Negócios!AH:AH,"&lt;&gt;n"))
      +SUMIFS(Negócios!M:M,Negócios!A:A,A126,Negócios!B:B,B126,Negócios!R:R,"Farmer",Negócios!AG:AG,"Recorrente",Negócios!AH:AH,"&lt;&gt;n")
      +SUMIFS(Negócios!N:N,Negócios!A:A,A126,Negócios!B:B,B126,Negócios!R:R,"Farmer",Negócios!AG:AG,"Recorrente",Negócios!AH:AH,"&lt;&gt;n"),
    OR(
      D126="anderson.ortiz@altoqi.com.br",
      D126="rafael.motta@altoqi.com.br",
      D126="beatriz@altoqi.com.br"
    ),
      SUMIFS(Negócios!L:L,Negócios!A:A,A126,Negócios!B:B,B126,Negócios!R:R,E126,Negócios!AG:AG,"Recorrente",Negócios!AH:AH,"&lt;&gt;n"),
    AND(F126="Gestor",H126="MRR"),
      SUMIFS(I:I,A:A,A126,B:B,B126,G:G,D126),
    TRUE,
      ""
  )
)</f>
        <v>742.04000000000008</v>
      </c>
      <c r="W126" s="10">
        <f t="shared" si="74"/>
        <v>0.30865347819576405</v>
      </c>
      <c r="X126" s="34">
        <f>SUMIFS('Acel Form Pag'!G:G,'Acel Form Pag'!A:A,A126,'Acel Form Pag'!B:B,B126,'Acel Form Pag'!C:C,E126)</f>
        <v>1</v>
      </c>
      <c r="Y126" s="24">
        <f>MAX(_xlfn.MAXIFS(Parâmetros!O:O,Parâmetros!A:A,A126,Parâmetros!B:B,B126,Parâmetros!D:D,D126,Parâmetros!M:M,"&lt;="&amp;K126),_xlfn.MAXIFS(Parâmetros!L:L,Parâmetros!A:A,A126,Parâmetros!B:B,B126,Parâmetros!D:D,D126,Parâmetros!J:J,"&lt;="&amp;K126),_xlfn.MAXIFS(Parâmetros!I:I,Parâmetros!A:A,A126,Parâmetros!B:B,B126,Parâmetros!D:D,D126))</f>
        <v>3746.2</v>
      </c>
      <c r="Z126" s="9">
        <f>MAX(_xlfn.MAXIFS(Parâmetros!Q:Q,Parâmetros!A:A,A126,Parâmetros!B:B,B126,Parâmetros!D:D,D126,Parâmetros!E:E,E126,Parâmetros!P:P,"&lt;="&amp;K126),
_xlfn.MAXIFS(Parâmetros!S:S,Parâmetros!A:A,A126,Parâmetros!B:B,B126,Parâmetros!D:D,D126,Parâmetros!E:E,E126,Parâmetros!R:R,"&lt;="&amp;K126),
_xlfn.MAXIFS(Parâmetros!U:U,Parâmetros!A:A,A126,Parâmetros!B:B,B126,Parâmetros!D:D,D126,Parâmetros!E:E,E126,Parâmetros!T:T,"&lt;="&amp;K126),1) * IF(K126 &gt;= SUMIFS(Parâmetros!G:G,Parâmetros!A:A,A126,Parâmetros!B:B,B126,Parâmetros!D:D,D126,Parâmetros!E:E,E126),1,0)</f>
        <v>1</v>
      </c>
      <c r="AA126" s="16">
        <f t="shared" si="56"/>
        <v>1501.0523906666663</v>
      </c>
      <c r="AB126" s="16">
        <f t="shared" si="57"/>
        <v>1808.2454734166668</v>
      </c>
      <c r="AC126" s="15">
        <f>IF(F126="Gestor",SUMIFS(AC:AC,A:A,A126,B:B,B126,G:G,D126),
IF(E126="Saving",SUMIFS(Negócios!I:I,Negócios!A:A,A126,Negócios!B:B,B126,Negócios!P:P,D126,Negócios!H:H,"Curso",Negócios!AH:AH,"&lt;&gt;n") +
SUMIFS(Negócios!I:I,Negócios!A:A,A126,Negócios!B:B,B126,Negócios!P:P,D126,Negócios!H:H,"Serviço",Negócios!AH:AH,"&lt;&gt;n") +
SUMIFS(Negócios!I:I,Negócios!A:A,A126,Negócios!B:B,B126,Negócios!P:P,D126,Negócios!H:H,"Implantação",Negócios!AH:AH,"&lt;&gt;n"),
SUMIFS(Negócios!I:I,Negócios!A:A,A126,Negócios!B:B,B126,Negócios!P:P,D126,Negócios!H:H,"Implantação",Negócios!AH:AH,"&lt;&gt;n")))</f>
        <v>0</v>
      </c>
      <c r="AD126" s="16">
        <f>SUMIFS(Parâmetros!W:W,Parâmetros!A:A,A126,Parâmetros!B:B,B126,Parâmetros!D:D,D126) * AC126 * IF(K126 &gt;= SUMIFS(Parâmetros!V:V,Parâmetros!A:A,A126,Parâmetros!B:B,B126,Parâmetros!D:D,D126),1,0)</f>
        <v>0</v>
      </c>
      <c r="AE126" s="15">
        <f>SUMIFS('Recuperação de Canc e Divs'!D:D,'Recuperação de Canc e Divs'!A:A,A126,'Recuperação de Canc e Divs'!B:B,B126,'Recuperação de Canc e Divs'!C:C,D126)</f>
        <v>0</v>
      </c>
      <c r="AF126" s="16">
        <f>IF(K126&gt;=SUMIFS(Parâmetros!J:J,Parâmetros!A:A,A126,Parâmetros!B:B,B126,Parâmetros!D:D,D126),AE126*0.025,0)</f>
        <v>0</v>
      </c>
      <c r="AG126" s="15" t="str">
        <f t="shared" si="58"/>
        <v/>
      </c>
      <c r="AH126" s="16" t="str">
        <f t="shared" si="59"/>
        <v/>
      </c>
      <c r="AI126" s="90">
        <f t="shared" si="60"/>
        <v>0</v>
      </c>
      <c r="AJ126" s="16" t="str">
        <f t="shared" si="61"/>
        <v/>
      </c>
      <c r="AK126" s="16" t="str">
        <f t="shared" si="62"/>
        <v/>
      </c>
      <c r="AL126" s="90">
        <f t="shared" si="63"/>
        <v>0</v>
      </c>
      <c r="AM126" s="93" t="str">
        <f t="shared" si="64"/>
        <v/>
      </c>
      <c r="AN126" s="94" t="str">
        <f>IF(OR(B126=3,B126=6,B126=9,B126=12),
IF(AND(AL126&gt;=1,AI126&gt;=SUMIFS(Parâmetros!G:G,Parâmetros!A:A,Comissões!A126,Parâmetros!B:B,Comissões!B126,Parâmetros!D:D,Comissões!D126,Parâmetros!E:E,Comissões!E126)),AI126*0.3,""),"")</f>
        <v/>
      </c>
      <c r="AO126" s="16">
        <f t="shared" si="65"/>
        <v>2404.1200000000003</v>
      </c>
      <c r="AP126" s="16">
        <f t="shared" si="66"/>
        <v>1.0000000000000004</v>
      </c>
    </row>
    <row r="127" spans="1:42" hidden="1">
      <c r="A127" s="7">
        <v>2026</v>
      </c>
      <c r="B127" s="7">
        <v>5</v>
      </c>
      <c r="C127" s="7" t="str">
        <v>Anderson Ortiz</v>
      </c>
      <c r="D127" s="7" t="str">
        <v>anderson.ortiz@altoqi.com.br</v>
      </c>
      <c r="E127" s="7" t="str">
        <v>FSB</v>
      </c>
      <c r="F127" s="7" t="str">
        <v>Gestor</v>
      </c>
      <c r="G127" s="7">
        <v>0</v>
      </c>
      <c r="H127" s="7" t="str">
        <v>MRR</v>
      </c>
      <c r="I127" s="86" cm="1">
        <f t="array" ref="I127">IF(
  D127="rafael.acencio@altoqi.com.br",
  SUMIFS(Negócios!L:L,Negócios!A:A,A127,Negócios!B:B,B127,Negócios!Q:Q,E127,Negócios!AH:AH,"&lt;&gt;n"),
  _xlfn.IFS(
    AND(F127="Consultor",H127="MRR",E127="Farmer"),
      SUMIFS(Negócios!M:M,Negócios!A:A,A127,Negócios!B:B,B127,Negócios!P:P,D127,Negócios!AH:AH,"&lt;&gt;n")
      +SUMIFS(Negócios!N:N,Negócios!A:A,A127,Negócios!B:B,B127,Negócios!P:P,D127,Negócios!AH:AH,"&lt;&gt;n"),
    AND(F127="Consultor",H127="MRR"),
      SUMIFS(Negócios!L:L,Negócios!A:A,A127,Negócios!B:B,B127,Negócios!P:P,D127,Negócios!AH:AH,"&lt;&gt;n"),
    AND(F127="Consultor",H127="Opps"),
      SUMIFS('Realizado GD'!D:D,'Realizado GD'!A:A,A127,'Realizado GD'!B:B,B127,'Realizado GD'!C:C,D127),
    D127="sonia.zielinski@altoqi.com.br",
      SUM(SUMIFS(Negócios!L:L,Negócios!A:A,A127,Negócios!B:B,B127,Negócios!R:R,{"FSB";"Ares"},Negócios!AH:AH,"&lt;&gt;n"))
      +SUMIFS(Negócios!M:M,Negócios!A:A,A127,Negócios!B:B,B127,Negócios!R:R,"Farmer",Negócios!AH:AH,"&lt;&gt;n")
      +SUMIFS(Negócios!N:N,Negócios!A:A,A127,Negócios!B:B,B127,Negócios!R:R,"Farmer",Negócios!AH:AH,"&lt;&gt;n"),
    OR(
      D127="anderson.ortiz@altoqi.com.br",
      D127="rafael.motta@altoqi.com.br",
      D127="beatriz@altoqi.com.br"
    ),
      SUMIFS(Negócios!L:L,Negócios!A:A,A127,Negócios!B:B,B127,Negócios!R:R,E127,Negócios!AH:AH,"&lt;&gt;n"),
    AND(F127="Gestor",H127="MRR"),
      SUMIFS(I:I,A:A,A127,B:B,B127,G:G,D127),
    TRUE,
      ""
  )
)</f>
        <v>66940.457999999955</v>
      </c>
      <c r="J127" s="16">
        <f>SUMIFS(Metas!K:K,Metas!A:A,A127,Metas!B:B,B127,Metas!D:D,D127,Metas!H:H,H127)</f>
        <v>58034</v>
      </c>
      <c r="K127" s="10">
        <f t="shared" si="55"/>
        <v>1.1534696557190605</v>
      </c>
      <c r="L127" s="26" t="str" cm="1">
        <f t="array" ref="L127">_xlfn.LET(
 _xlpm.g,_xlfn.MAXIFS(Parâmetros!G:G,Parâmetros!A:A,A127,Parâmetros!B:B,B127,Parâmetros!D:D,D127,Parâmetros!E:E,E127),
 _xlpm.j,_xlfn.MAXIFS(Parâmetros!J:J,Parâmetros!A:A,A127,Parâmetros!B:B,B127,Parâmetros!D:D,D127,Parâmetros!E:E,E127),
 _xlpm.m,_xlfn.MAXIFS(Parâmetros!M:M,Parâmetros!A:A,A127,Parâmetros!B:B,B127,Parâmetros!D:D,D127,Parâmetros!E:E,E127),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/>
      </c>
      <c r="M127" s="28" cm="1">
        <f t="array" ref="M127">IF(
  D127="rafael.acencio@altoqi.com.br",
  SUMIFS(Negócios!L:L,Negócios!A:A,A127,Negócios!B:B,B127,Negócios!Q:Q,E127,Negócios!AG:AG,"À Vista",Negócios!AH:AH,"&lt;&gt;n"),
  _xlfn.IFS(
    AND(F127="Consultor",H127="MRR",E127="Farmer"),
      SUMIFS(Negócios!M:M,Negócios!A:A,A127,Negócios!B:B,B127,Negócios!P:P,D127,Negócios!AG:AG,"À Vista",Negócios!AH:AH,"&lt;&gt;n")
      +SUMIFS(Negócios!N:N,Negócios!A:A,A127,Negócios!B:B,B127,Negócios!P:P,D127,Negócios!AG:AG,"À Vista",Negócios!AH:AH,"&lt;&gt;n"),
    AND(F127="Consultor",H127="MRR"),
      SUMIFS(Negócios!L:L,Negócios!A:A,A127,Negócios!B:B,B127,Negócios!P:P,D127,Negócios!AG:AG,"À Vista",Negócios!AH:AH,"&lt;&gt;n"),
    AND(F127="Consultor",H127="Opps"),
      SUMIFS('Realizado GD'!D:D,'Realizado GD'!A:A,A127,'Realizado GD'!B:B,B127,'Realizado GD'!C:C,D127),
    D127="sonia.zielinski@altoqi.com.br",
      SUM(SUMIFS(Negócios!L:L,Negócios!A:A,A127,Negócios!B:B,B127,Negócios!R:R,{"FSB";"Ares"},Negócios!AG:AG,"À Vista",Negócios!AH:AH,"&lt;&gt;n"))
      +SUMIFS(Negócios!M:M,Negócios!A:A,A127,Negócios!B:B,B127,Negócios!R:R,"Farmer",Negócios!AG:AG,"À Vista",Negócios!AH:AH,"&lt;&gt;n")
      +SUMIFS(Negócios!N:N,Negócios!A:A,A127,Negócios!B:B,B127,Negócios!R:R,"Farmer",Negócios!AG:AG,"À Vista",Negócios!AH:AH,"&lt;&gt;n"),
    OR(
      D127="anderson.ortiz@altoqi.com.br",
      D127="rafael.motta@altoqi.com.br",
      D127="beatriz@altoqi.com.br"
    ),
      SUMIFS(Negócios!L:L,Negócios!A:A,A127,Negócios!B:B,B127,Negócios!R:R,E127,Negócios!AG:AG,"À Vista",Negócios!AH:AH,"&lt;&gt;n"),
    AND(F127="Gestor",H127="MRR"),
      SUMIFS(I:I,A:A,A127,B:B,B127,G:G,D127),
    TRUE,
      ""
  )
)</f>
        <v>4998.9063499999993</v>
      </c>
      <c r="N127" s="10">
        <f t="shared" si="71"/>
        <v>7.4676906901354076E-2</v>
      </c>
      <c r="O127" s="30">
        <f>SUMIFS('Acel Form Pag'!D:D,'Acel Form Pag'!A:A,A127,'Acel Form Pag'!B:B,B127,'Acel Form Pag'!C:C,E127)</f>
        <v>1.3</v>
      </c>
      <c r="P127" s="87" cm="1">
        <f t="array" ref="P127">IF(
  D127="rafael.acencio@altoqi.com.br",
  SUMIFS(Negócios!M:M,Negócios!A:A,A127,Negócios!B:B,B127,Negócios!Q:Q,E127,Negócios!AG:AG,"CC 3x",Negócios!AH:AH,"&lt;&gt;n"),
  _xlfn.IFS(
    AND(F127="Consultor",H127="MRR",E127="Farmer"),
      SUMIFS(Negócios!M:M,Negócios!A:A,A127,Negócios!B:B,B127,Negócios!P:P,D127,Negócios!AG:AG,"CC 3x",Negócios!AH:AH,"&lt;&gt;n")
      +SUMIFS(Negócios!N:N,Negócios!A:A,A127,Negócios!B:B,B127,Negócios!P:P,D127,Negócios!AG:AG,"CC 3x",Negócios!AH:AH,"&lt;&gt;n"),
    AND(F127="Consultor",H127="MRR"),
      SUMIFS(Negócios!L:L,Negócios!A:A,A127,Negócios!B:B,B127,Negócios!P:P,D127,Negócios!AG:AG,"CC 3x",Negócios!AH:AH,"&lt;&gt;n"),
    AND(F127="Consultor",H127="Opps"),
      SUMIFS('Realizado GD'!D:D,'Realizado GD'!A:A,A127,'Realizado GD'!B:B,B127,'Realizado GD'!C:C,D127),
    D127="sonia.zielinski@altoqi.com.br",
      SUM(SUMIFS(Negócios!L:L,Negócios!A:A,A127,Negócios!B:B,B127,Negócios!R:R,{"FSB";"Ares"},Negócios!AG:AG,"CC 3x",Negócios!AH:AH,"&lt;&gt;n"))
      +SUMIFS(Negócios!M:M,Negócios!A:A,A127,Negócios!B:B,B127,Negócios!R:R,"Farmer",Negócios!AG:AG,"CC 3x",Negócios!AH:AH,"&lt;&gt;n")
      +SUMIFS(Negócios!N:N,Negócios!A:A,A127,Negócios!B:B,B127,Negócios!R:R,"Farmer",Negócios!AG:AG,"CC 3x",Negócios!AH:AH,"&lt;&gt;n"),
    OR(
      D127="anderson.ortiz@altoqi.com.br",
      D127="rafael.motta@altoqi.com.br",
      D127="beatriz@altoqi.com.br"
    ),
      SUMIFS(Negócios!M:M,Negócios!A:A,A127,Negócios!B:B,B127,Negócios!R:R,E127,Negócios!AG:AG,"CC 3x",Negócios!AH:AH,"&lt;&gt;n"),
    AND(F127="Gestor",H127="MRR"),
      SUMIFS(I:I,A:A,A127,B:B,B127,G:G,D127),
    TRUE,
      ""
  )
)</f>
        <v>381.745</v>
      </c>
      <c r="Q127" s="10">
        <f t="shared" si="72"/>
        <v>5.7027545285095044E-3</v>
      </c>
      <c r="R127" s="30">
        <f>SUMIFS('Acel Form Pag'!E:E,'Acel Form Pag'!A:A,A127,'Acel Form Pag'!B:B,B127,'Acel Form Pag'!C:C,E127)</f>
        <v>1.1499999999999999</v>
      </c>
      <c r="S127" s="32" cm="1">
        <f t="array" ref="S127">IF(
  D127="rafael.acencio@altoqi.com.br",
  SUMIFS(Negócios!L:L,Negócios!A:A,A127,Negócios!B:B,B127,Negócios!Q:Q,E127,Negócios!AG:AG,"CC 12x",Negócios!AH:AH,"&lt;&gt;n"),
  _xlfn.IFS(
    AND(F127="Consultor",H127="MRR",E127="Farmer"),
      SUMIFS(Negócios!M:M,Negócios!A:A,A127,Negócios!B:B,B127,Negócios!P:P,D127,Negócios!AG:AG,"CC 12x",Negócios!AH:AH,"&lt;&gt;n")
      +SUMIFS(Negócios!N:N,Negócios!A:A,A127,Negócios!B:B,B127,Negócios!P:P,D127,Negócios!AG:AG,"CC 12x",Negócios!AH:AH,"&lt;&gt;n"),
    AND(F127="Consultor",H127="MRR"),
      SUMIFS(Negócios!L:L,Negócios!A:A,A127,Negócios!B:B,B127,Negócios!P:P,D127,Negócios!AG:AG,"CC 12x",Negócios!AH:AH,"&lt;&gt;n"),
    AND(F127="Consultor",H127="Opps"),
      SUMIFS('Realizado GD'!D:D,'Realizado GD'!A:A,A127,'Realizado GD'!B:B,B127,'Realizado GD'!C:C,D127),
    D127="sonia.zielinski@altoqi.com.br",
      SUM(SUMIFS(Negócios!L:L,Negócios!A:A,A127,Negócios!B:B,B127,Negócios!R:R,{"FSB";"Ares"},Negócios!AG:AG,"CC 12x",Negócios!AH:AH,"&lt;&gt;n"))
      +SUMIFS(Negócios!M:M,Negócios!A:A,A127,Negócios!B:B,B127,Negócios!R:R,"Farmer",Negócios!AG:AG,"CC 12x",Negócios!AH:AH,"&lt;&gt;n")
      +SUMIFS(Negócios!N:N,Negócios!A:A,A127,Negócios!B:B,B127,Negócios!R:R,"Farmer",Negócios!AG:AG,"CC 12x",Negócios!AH:AH,"&lt;&gt;n"),
    OR(
      D127="anderson.ortiz@altoqi.com.br",
      D127="rafael.motta@altoqi.com.br",
      D127="beatriz@altoqi.com.br"
    ),
      SUMIFS(Negócios!L:L,Negócios!A:A,A127,Negócios!B:B,B127,Negócios!R:R,E127,Negócios!AG:AG,"CC 12x",Negócios!AH:AH,"&lt;&gt;n"),
    AND(F127="Gestor",H127="MRR"),
      SUMIFS(I:I,A:A,A127,B:B,B127,G:G,D127),
    TRUE,
      ""
  )
)</f>
        <v>20884.666799999999</v>
      </c>
      <c r="T127" s="10">
        <f t="shared" si="73"/>
        <v>0.31198870494731323</v>
      </c>
      <c r="U127" s="30">
        <f>SUMIFS('Acel Form Pag'!F:F,'Acel Form Pag'!A:A,A127,'Acel Form Pag'!B:B,B127,'Acel Form Pag'!C:C,E127)</f>
        <v>1.1499999999999999</v>
      </c>
      <c r="V127" s="32" cm="1">
        <f t="array" ref="V127">IF(
  D127="rafael.acencio@altoqi.com.br",
  SUMIFS(Negócios!L:L,Negócios!A:A,A127,Negócios!B:B,B127,Negócios!Q:Q,E127,Negócios!AG:AG,"Recorrente",Negócios!AH:AH,"&lt;&gt;n"),
  _xlfn.IFS(
    AND(F127="Consultor",H127="MRR",E127="Farmer"),
      SUMIFS(Negócios!M:M,Negócios!A:A,A127,Negócios!B:B,B127,Negócios!P:P,D127,Negócios!AG:AG,"Recorrente",Negócios!AH:AH,"&lt;&gt;n")
      +SUMIFS(Negócios!N:N,Negócios!A:A,A127,Negócios!B:B,B127,Negócios!P:P,D127,Negócios!AG:AG,"Recorrente",Negócios!AH:AH,"&lt;&gt;n"),
    AND(F127="Consultor",H127="MRR"),
      SUMIFS(Negócios!L:L,Negócios!A:A,A127,Negócios!B:B,B127,Negócios!P:P,D127,Negócios!AG:AG,"Recorrente",Negócios!AH:AH,"&lt;&gt;n"),
    AND(F127="Consultor",H127="Opps"),
      SUMIFS('Realizado GD'!D:D,'Realizado GD'!A:A,A127,'Realizado GD'!B:B,B127,'Realizado GD'!C:C,D127),
    D127="sonia.zielinski@altoqi.com.br",
      SUM(SUMIFS(Negócios!L:L,Negócios!A:A,A127,Negócios!B:B,B127,Negócios!R:R,{"FSB";"Ares"},Negócios!AG:AG,"Recorrente",Negócios!AH:AH,"&lt;&gt;n"))
      +SUMIFS(Negócios!M:M,Negócios!A:A,A127,Negócios!B:B,B127,Negócios!R:R,"Farmer",Negócios!AG:AG,"Recorrente",Negócios!AH:AH,"&lt;&gt;n")
      +SUMIFS(Negócios!N:N,Negócios!A:A,A127,Negócios!B:B,B127,Negócios!R:R,"Farmer",Negócios!AG:AG,"Recorrente",Negócios!AH:AH,"&lt;&gt;n"),
    OR(
      D127="anderson.ortiz@altoqi.com.br",
      D127="rafael.motta@altoqi.com.br",
      D127="beatriz@altoqi.com.br"
    ),
      SUMIFS(Negócios!L:L,Negócios!A:A,A127,Negócios!B:B,B127,Negócios!R:R,E127,Negócios!AG:AG,"Recorrente",Negócios!AH:AH,"&lt;&gt;n"),
    AND(F127="Gestor",H127="MRR"),
      SUMIFS(I:I,A:A,A127,B:B,B127,G:G,D127),
    TRUE,
      ""
  )
)</f>
        <v>40675.139849999992</v>
      </c>
      <c r="W127" s="10">
        <f t="shared" si="74"/>
        <v>0.60763163362282369</v>
      </c>
      <c r="X127" s="34">
        <f>SUMIFS('Acel Form Pag'!G:G,'Acel Form Pag'!A:A,A127,'Acel Form Pag'!B:B,B127,'Acel Form Pag'!C:C,E127)</f>
        <v>1</v>
      </c>
      <c r="Y127" s="24">
        <f>MAX(_xlfn.MAXIFS(Parâmetros!O:O,Parâmetros!A:A,A127,Parâmetros!B:B,B127,Parâmetros!D:D,D127,Parâmetros!M:M,"&lt;="&amp;K127),_xlfn.MAXIFS(Parâmetros!L:L,Parâmetros!A:A,A127,Parâmetros!B:B,B127,Parâmetros!D:D,D127,Parâmetros!J:J,"&lt;="&amp;K127),_xlfn.MAXIFS(Parâmetros!I:I,Parâmetros!A:A,A127,Parâmetros!B:B,B127,Parâmetros!D:D,D127))</f>
        <v>5122.95</v>
      </c>
      <c r="Z127" s="9">
        <f>MAX(_xlfn.MAXIFS(Parâmetros!Q:Q,Parâmetros!A:A,A127,Parâmetros!B:B,B127,Parâmetros!D:D,D127,Parâmetros!E:E,E127,Parâmetros!P:P,"&lt;="&amp;K127),
_xlfn.MAXIFS(Parâmetros!S:S,Parâmetros!A:A,A127,Parâmetros!B:B,B127,Parâmetros!D:D,D127,Parâmetros!E:E,E127,Parâmetros!R:R,"&lt;="&amp;K127),
_xlfn.MAXIFS(Parâmetros!U:U,Parâmetros!A:A,A127,Parâmetros!B:B,B127,Parâmetros!D:D,D127,Parâmetros!E:E,E127,Parâmetros!T:T,"&lt;="&amp;K127),1) * IF(K127 &gt;= SUMIFS(Parâmetros!G:G,Parâmetros!A:A,A127,Parâmetros!B:B,B127,Parâmetros!D:D,D127,Parâmetros!E:E,E127),1,0)</f>
        <v>1.2</v>
      </c>
      <c r="AA127" s="16">
        <f t="shared" si="56"/>
        <v>7091.0008473191529</v>
      </c>
      <c r="AB127" s="16">
        <f t="shared" si="57"/>
        <v>7587.7736116023261</v>
      </c>
      <c r="AC127" s="15">
        <f>IF(F127="Gestor",SUMIFS(AC:AC,A:A,A127,B:B,B127,G:G,D127),
IF(E127="Saving",SUMIFS(Negócios!I:I,Negócios!A:A,A127,Negócios!B:B,B127,Negócios!P:P,D127,Negócios!H:H,"Curso",Negócios!AH:AH,"&lt;&gt;n") +
SUMIFS(Negócios!I:I,Negócios!A:A,A127,Negócios!B:B,B127,Negócios!P:P,D127,Negócios!H:H,"Serviço",Negócios!AH:AH,"&lt;&gt;n") +
SUMIFS(Negócios!I:I,Negócios!A:A,A127,Negócios!B:B,B127,Negócios!P:P,D127,Negócios!H:H,"Implantação",Negócios!AH:AH,"&lt;&gt;n"),
SUMIFS(Negócios!I:I,Negócios!A:A,A127,Negócios!B:B,B127,Negócios!P:P,D127,Negócios!H:H,"Implantação",Negócios!AH:AH,"&lt;&gt;n")))</f>
        <v>0</v>
      </c>
      <c r="AD127" s="16">
        <f>SUMIFS(Parâmetros!W:W,Parâmetros!A:A,A127,Parâmetros!B:B,B127,Parâmetros!D:D,D127) * AC127 * IF(K127 &gt;= SUMIFS(Parâmetros!V:V,Parâmetros!A:A,A127,Parâmetros!B:B,B127,Parâmetros!D:D,D127),1,0)</f>
        <v>0</v>
      </c>
      <c r="AE127" s="15">
        <f>SUMIFS('Recuperação de Canc e Divs'!D:D,'Recuperação de Canc e Divs'!A:A,A127,'Recuperação de Canc e Divs'!B:B,B127,'Recuperação de Canc e Divs'!C:C,D127)</f>
        <v>0</v>
      </c>
      <c r="AF127" s="16">
        <f>IF(K127&gt;=SUMIFS(Parâmetros!J:J,Parâmetros!A:A,A127,Parâmetros!B:B,B127,Parâmetros!D:D,D127),AE127*0.025,0)</f>
        <v>0</v>
      </c>
      <c r="AG127" s="15" t="str">
        <f t="shared" si="58"/>
        <v/>
      </c>
      <c r="AH127" s="16" t="str">
        <f t="shared" si="59"/>
        <v/>
      </c>
      <c r="AI127" s="90">
        <f t="shared" si="60"/>
        <v>0</v>
      </c>
      <c r="AJ127" s="16" t="str">
        <f t="shared" si="61"/>
        <v/>
      </c>
      <c r="AK127" s="16" t="str">
        <f t="shared" si="62"/>
        <v/>
      </c>
      <c r="AL127" s="90">
        <f t="shared" si="63"/>
        <v>0</v>
      </c>
      <c r="AM127" s="93" t="str">
        <f t="shared" si="64"/>
        <v/>
      </c>
      <c r="AN127" s="94" t="str">
        <f>IF(OR(B127=3,B127=6,B127=9,B127=12),
IF(AND(AL127&gt;=1,AI127&gt;=SUMIFS(Parâmetros!G:G,Parâmetros!A:A,Comissões!A127,Parâmetros!B:B,Comissões!B127,Parâmetros!D:D,Comissões!D127,Parâmetros!E:E,Comissões!E127)),AI127*0.3,""),"")</f>
        <v/>
      </c>
      <c r="AO127" s="16">
        <f t="shared" si="65"/>
        <v>66940.457999999984</v>
      </c>
      <c r="AP127" s="16">
        <f t="shared" si="66"/>
        <v>1.0000000000000004</v>
      </c>
    </row>
    <row r="128" spans="1:42">
      <c r="A128" s="7">
        <v>2026</v>
      </c>
      <c r="B128" s="7">
        <v>5</v>
      </c>
      <c r="C128" s="7" t="str">
        <v>Eduarda Cardozo</v>
      </c>
      <c r="D128" s="7" t="str">
        <v>eduarda.cardozo@altoqi.com.br</v>
      </c>
      <c r="E128" s="7" t="str">
        <v>FSB</v>
      </c>
      <c r="F128" s="7" t="str">
        <v>Consultor</v>
      </c>
      <c r="G128" s="7" t="str">
        <v>anderson.ortiz@altoqi.com.br</v>
      </c>
      <c r="H128" s="7" t="str">
        <v>MRR</v>
      </c>
      <c r="I128" s="86" cm="1">
        <f t="array" ref="I128">IF(
  D128="rafael.acencio@altoqi.com.br",
  SUMIFS(Negócios!L:L,Negócios!A:A,A128,Negócios!B:B,B128,Negócios!Q:Q,E128,Negócios!AH:AH,"&lt;&gt;n"),
  _xlfn.IFS(
    AND(F128="Consultor",H128="MRR",E128="Farmer"),
      SUMIFS(Negócios!M:M,Negócios!A:A,A128,Negócios!B:B,B128,Negócios!P:P,D128,Negócios!AH:AH,"&lt;&gt;n")
      +SUMIFS(Negócios!N:N,Negócios!A:A,A128,Negócios!B:B,B128,Negócios!P:P,D128,Negócios!AH:AH,"&lt;&gt;n"),
    AND(F128="Consultor",H128="MRR"),
      SUMIFS(Negócios!L:L,Negócios!A:A,A128,Negócios!B:B,B128,Negócios!P:P,D128,Negócios!AH:AH,"&lt;&gt;n"),
    AND(F128="Consultor",H128="Opps"),
      SUMIFS('Realizado GD'!D:D,'Realizado GD'!A:A,A128,'Realizado GD'!B:B,B128,'Realizado GD'!C:C,D128),
    D128="sonia.zielinski@altoqi.com.br",
      SUM(SUMIFS(Negócios!L:L,Negócios!A:A,A128,Negócios!B:B,B128,Negócios!R:R,{"FSB";"Ares"},Negócios!AH:AH,"&lt;&gt;n"))
      +SUMIFS(Negócios!M:M,Negócios!A:A,A128,Negócios!B:B,B128,Negócios!R:R,"Farmer",Negócios!AH:AH,"&lt;&gt;n")
      +SUMIFS(Negócios!N:N,Negócios!A:A,A128,Negócios!B:B,B128,Negócios!R:R,"Farmer",Negócios!AH:AH,"&lt;&gt;n"),
    OR(
      D128="anderson.ortiz@altoqi.com.br",
      D128="rafael.motta@altoqi.com.br",
      D128="beatriz@altoqi.com.br"
    ),
      SUMIFS(Negócios!L:L,Negócios!A:A,A128,Negócios!B:B,B128,Negócios!R:R,E128,Negócios!AH:AH,"&lt;&gt;n"),
    AND(F128="Gestor",H128="MRR"),
      SUMIFS(I:I,A:A,A128,B:B,B128,G:G,D128),
    TRUE,
      ""
  )
)</f>
        <v>9086.0462499999994</v>
      </c>
      <c r="J128" s="16">
        <f>SUMIFS(Metas!K:K,Metas!A:A,A128,Metas!B:B,B128,Metas!D:D,D128,Metas!H:H,H128)</f>
        <v>5250</v>
      </c>
      <c r="K128" s="10">
        <f t="shared" si="55"/>
        <v>1.7306754761904761</v>
      </c>
      <c r="L128" s="26" t="str" cm="1">
        <f t="array" ref="L128">_xlfn.LET(
 _xlpm.g,_xlfn.MAXIFS(Parâmetros!G:G,Parâmetros!A:A,A128,Parâmetros!B:B,B128,Parâmetros!D:D,D128,Parâmetros!E:E,E128),
 _xlpm.j,_xlfn.MAXIFS(Parâmetros!J:J,Parâmetros!A:A,A128,Parâmetros!B:B,B128,Parâmetros!D:D,D128,Parâmetros!E:E,E128),
 _xlpm.m,_xlfn.MAXIFS(Parâmetros!M:M,Parâmetros!A:A,A128,Parâmetros!B:B,B128,Parâmetros!D:D,D128,Parâmetros!E:E,E128),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/>
      </c>
      <c r="M128" s="28" cm="1">
        <f t="array" ref="M128">IF(
  D128="rafael.acencio@altoqi.com.br",
  SUMIFS(Negócios!L:L,Negócios!A:A,A128,Negócios!B:B,B128,Negócios!Q:Q,E128,Negócios!AG:AG,"À Vista",Negócios!AH:AH,"&lt;&gt;n"),
  _xlfn.IFS(
    AND(F128="Consultor",H128="MRR",E128="Farmer"),
      SUMIFS(Negócios!M:M,Negócios!A:A,A128,Negócios!B:B,B128,Negócios!P:P,D128,Negócios!AG:AG,"À Vista",Negócios!AH:AH,"&lt;&gt;n")
      +SUMIFS(Negócios!N:N,Negócios!A:A,A128,Negócios!B:B,B128,Negócios!P:P,D128,Negócios!AG:AG,"À Vista",Negócios!AH:AH,"&lt;&gt;n"),
    AND(F128="Consultor",H128="MRR"),
      SUMIFS(Negócios!L:L,Negócios!A:A,A128,Negócios!B:B,B128,Negócios!P:P,D128,Negócios!AG:AG,"À Vista",Negócios!AH:AH,"&lt;&gt;n"),
    AND(F128="Consultor",H128="Opps"),
      SUMIFS('Realizado GD'!D:D,'Realizado GD'!A:A,A128,'Realizado GD'!B:B,B128,'Realizado GD'!C:C,D128),
    D128="sonia.zielinski@altoqi.com.br",
      SUM(SUMIFS(Negócios!L:L,Negócios!A:A,A128,Negócios!B:B,B128,Negócios!R:R,{"FSB";"Ares"},Negócios!AG:AG,"À Vista",Negócios!AH:AH,"&lt;&gt;n"))
      +SUMIFS(Negócios!M:M,Negócios!A:A,A128,Negócios!B:B,B128,Negócios!R:R,"Farmer",Negócios!AG:AG,"À Vista",Negócios!AH:AH,"&lt;&gt;n")
      +SUMIFS(Negócios!N:N,Negócios!A:A,A128,Negócios!B:B,B128,Negócios!R:R,"Farmer",Negócios!AG:AG,"À Vista",Negócios!AH:AH,"&lt;&gt;n"),
    OR(
      D128="anderson.ortiz@altoqi.com.br",
      D128="rafael.motta@altoqi.com.br",
      D128="beatriz@altoqi.com.br"
    ),
      SUMIFS(Negócios!L:L,Negócios!A:A,A128,Negócios!B:B,B128,Negócios!R:R,E128,Negócios!AG:AG,"À Vista",Negócios!AH:AH,"&lt;&gt;n"),
    AND(F128="Gestor",H128="MRR"),
      SUMIFS(I:I,A:A,A128,B:B,B128,G:G,D128),
    TRUE,
      ""
  )
)</f>
        <v>424.29644999999999</v>
      </c>
      <c r="N128" s="10">
        <f t="shared" si="71"/>
        <v>4.6697588623874769E-2</v>
      </c>
      <c r="O128" s="30">
        <f>SUMIFS('Acel Form Pag'!D:D,'Acel Form Pag'!A:A,A128,'Acel Form Pag'!B:B,B128,'Acel Form Pag'!C:C,E128)</f>
        <v>1.3</v>
      </c>
      <c r="P128" s="87" cm="1">
        <f t="array" ref="P128">IF(
  D128="rafael.acencio@altoqi.com.br",
  SUMIFS(Negócios!M:M,Negócios!A:A,A128,Negócios!B:B,B128,Negócios!Q:Q,E128,Negócios!AG:AG,"CC 3x",Negócios!AH:AH,"&lt;&gt;n"),
  _xlfn.IFS(
    AND(F128="Consultor",H128="MRR",E128="Farmer"),
      SUMIFS(Negócios!M:M,Negócios!A:A,A128,Negócios!B:B,B128,Negócios!P:P,D128,Negócios!AG:AG,"CC 3x",Negócios!AH:AH,"&lt;&gt;n")
      +SUMIFS(Negócios!N:N,Negócios!A:A,A128,Negócios!B:B,B128,Negócios!P:P,D128,Negócios!AG:AG,"CC 3x",Negócios!AH:AH,"&lt;&gt;n"),
    AND(F128="Consultor",H128="MRR"),
      SUMIFS(Negócios!L:L,Negócios!A:A,A128,Negócios!B:B,B128,Negócios!P:P,D128,Negócios!AG:AG,"CC 3x",Negócios!AH:AH,"&lt;&gt;n"),
    AND(F128="Consultor",H128="Opps"),
      SUMIFS('Realizado GD'!D:D,'Realizado GD'!A:A,A128,'Realizado GD'!B:B,B128,'Realizado GD'!C:C,D128),
    D128="sonia.zielinski@altoqi.com.br",
      SUM(SUMIFS(Negócios!L:L,Negócios!A:A,A128,Negócios!B:B,B128,Negócios!R:R,{"FSB";"Ares"},Negócios!AG:AG,"CC 3x",Negócios!AH:AH,"&lt;&gt;n"))
      +SUMIFS(Negócios!M:M,Negócios!A:A,A128,Negócios!B:B,B128,Negócios!R:R,"Farmer",Negócios!AG:AG,"CC 3x",Negócios!AH:AH,"&lt;&gt;n")
      +SUMIFS(Negócios!N:N,Negócios!A:A,A128,Negócios!B:B,B128,Negócios!R:R,"Farmer",Negócios!AG:AG,"CC 3x",Negócios!AH:AH,"&lt;&gt;n"),
    OR(
      D128="anderson.ortiz@altoqi.com.br",
      D128="rafael.motta@altoqi.com.br",
      D128="beatriz@altoqi.com.br"
    ),
      SUMIFS(Negócios!M:M,Negócios!A:A,A128,Negócios!B:B,B128,Negócios!R:R,E128,Negócios!AG:AG,"CC 3x",Negócios!AH:AH,"&lt;&gt;n"),
    AND(F128="Gestor",H128="MRR"),
      SUMIFS(I:I,A:A,A128,B:B,B128,G:G,D128),
    TRUE,
      ""
  )
)</f>
        <v>0</v>
      </c>
      <c r="Q128" s="10">
        <f t="shared" si="72"/>
        <v>0</v>
      </c>
      <c r="R128" s="30">
        <f>SUMIFS('Acel Form Pag'!E:E,'Acel Form Pag'!A:A,A128,'Acel Form Pag'!B:B,B128,'Acel Form Pag'!C:C,E128)</f>
        <v>1.1499999999999999</v>
      </c>
      <c r="S128" s="32" cm="1">
        <f t="array" ref="S128">IF(
  D128="rafael.acencio@altoqi.com.br",
  SUMIFS(Negócios!L:L,Negócios!A:A,A128,Negócios!B:B,B128,Negócios!Q:Q,E128,Negócios!AG:AG,"CC 12x",Negócios!AH:AH,"&lt;&gt;n"),
  _xlfn.IFS(
    AND(F128="Consultor",H128="MRR",E128="Farmer"),
      SUMIFS(Negócios!M:M,Negócios!A:A,A128,Negócios!B:B,B128,Negócios!P:P,D128,Negócios!AG:AG,"CC 12x",Negócios!AH:AH,"&lt;&gt;n")
      +SUMIFS(Negócios!N:N,Negócios!A:A,A128,Negócios!B:B,B128,Negócios!P:P,D128,Negócios!AG:AG,"CC 12x",Negócios!AH:AH,"&lt;&gt;n"),
    AND(F128="Consultor",H128="MRR"),
      SUMIFS(Negócios!L:L,Negócios!A:A,A128,Negócios!B:B,B128,Negócios!P:P,D128,Negócios!AG:AG,"CC 12x",Negócios!AH:AH,"&lt;&gt;n"),
    AND(F128="Consultor",H128="Opps"),
      SUMIFS('Realizado GD'!D:D,'Realizado GD'!A:A,A128,'Realizado GD'!B:B,B128,'Realizado GD'!C:C,D128),
    D128="sonia.zielinski@altoqi.com.br",
      SUM(SUMIFS(Negócios!L:L,Negócios!A:A,A128,Negócios!B:B,B128,Negócios!R:R,{"FSB";"Ares"},Negócios!AG:AG,"CC 12x",Negócios!AH:AH,"&lt;&gt;n"))
      +SUMIFS(Negócios!M:M,Negócios!A:A,A128,Negócios!B:B,B128,Negócios!R:R,"Farmer",Negócios!AG:AG,"CC 12x",Negócios!AH:AH,"&lt;&gt;n")
      +SUMIFS(Negócios!N:N,Negócios!A:A,A128,Negócios!B:B,B128,Negócios!R:R,"Farmer",Negócios!AG:AG,"CC 12x",Negócios!AH:AH,"&lt;&gt;n"),
    OR(
      D128="anderson.ortiz@altoqi.com.br",
      D128="rafael.motta@altoqi.com.br",
      D128="beatriz@altoqi.com.br"
    ),
      SUMIFS(Negócios!L:L,Negócios!A:A,A128,Negócios!B:B,B128,Negócios!R:R,E128,Negócios!AG:AG,"CC 12x",Negócios!AH:AH,"&lt;&gt;n"),
    AND(F128="Gestor",H128="MRR"),
      SUMIFS(I:I,A:A,A128,B:B,B128,G:G,D128),
    TRUE,
      ""
  )
)</f>
        <v>3364.1748000000002</v>
      </c>
      <c r="T128" s="10">
        <f t="shared" si="73"/>
        <v>0.37025728324902601</v>
      </c>
      <c r="U128" s="30">
        <f>SUMIFS('Acel Form Pag'!F:F,'Acel Form Pag'!A:A,A128,'Acel Form Pag'!B:B,B128,'Acel Form Pag'!C:C,E128)</f>
        <v>1.1499999999999999</v>
      </c>
      <c r="V128" s="32" cm="1">
        <f t="array" ref="V128">IF(
  D128="rafael.acencio@altoqi.com.br",
  SUMIFS(Negócios!L:L,Negócios!A:A,A128,Negócios!B:B,B128,Negócios!Q:Q,E128,Negócios!AG:AG,"Recorrente",Negócios!AH:AH,"&lt;&gt;n"),
  _xlfn.IFS(
    AND(F128="Consultor",H128="MRR",E128="Farmer"),
      SUMIFS(Negócios!M:M,Negócios!A:A,A128,Negócios!B:B,B128,Negócios!P:P,D128,Negócios!AG:AG,"Recorrente",Negócios!AH:AH,"&lt;&gt;n")
      +SUMIFS(Negócios!N:N,Negócios!A:A,A128,Negócios!B:B,B128,Negócios!P:P,D128,Negócios!AG:AG,"Recorrente",Negócios!AH:AH,"&lt;&gt;n"),
    AND(F128="Consultor",H128="MRR"),
      SUMIFS(Negócios!L:L,Negócios!A:A,A128,Negócios!B:B,B128,Negócios!P:P,D128,Negócios!AG:AG,"Recorrente",Negócios!AH:AH,"&lt;&gt;n"),
    AND(F128="Consultor",H128="Opps"),
      SUMIFS('Realizado GD'!D:D,'Realizado GD'!A:A,A128,'Realizado GD'!B:B,B128,'Realizado GD'!C:C,D128),
    D128="sonia.zielinski@altoqi.com.br",
      SUM(SUMIFS(Negócios!L:L,Negócios!A:A,A128,Negócios!B:B,B128,Negócios!R:R,{"FSB";"Ares"},Negócios!AG:AG,"Recorrente",Negócios!AH:AH,"&lt;&gt;n"))
      +SUMIFS(Negócios!M:M,Negócios!A:A,A128,Negócios!B:B,B128,Negócios!R:R,"Farmer",Negócios!AG:AG,"Recorrente",Negócios!AH:AH,"&lt;&gt;n")
      +SUMIFS(Negócios!N:N,Negócios!A:A,A128,Negócios!B:B,B128,Negócios!R:R,"Farmer",Negócios!AG:AG,"Recorrente",Negócios!AH:AH,"&lt;&gt;n"),
    OR(
      D128="anderson.ortiz@altoqi.com.br",
      D128="rafael.motta@altoqi.com.br",
      D128="beatriz@altoqi.com.br"
    ),
      SUMIFS(Negócios!L:L,Negócios!A:A,A128,Negócios!B:B,B128,Negócios!R:R,E128,Negócios!AG:AG,"Recorrente",Negócios!AH:AH,"&lt;&gt;n"),
    AND(F128="Gestor",H128="MRR"),
      SUMIFS(I:I,A:A,A128,B:B,B128,G:G,D128),
    TRUE,
      ""
  )
)</f>
        <v>5297.5749999999998</v>
      </c>
      <c r="W128" s="10">
        <f t="shared" si="74"/>
        <v>0.5830451281270993</v>
      </c>
      <c r="X128" s="34">
        <f>SUMIFS('Acel Form Pag'!G:G,'Acel Form Pag'!A:A,A128,'Acel Form Pag'!B:B,B128,'Acel Form Pag'!C:C,E128)</f>
        <v>1</v>
      </c>
      <c r="Y128" s="24">
        <f>MAX(_xlfn.MAXIFS(Parâmetros!O:O,Parâmetros!A:A,A128,Parâmetros!B:B,B128,Parâmetros!D:D,D128,Parâmetros!M:M,"&lt;="&amp;K128),_xlfn.MAXIFS(Parâmetros!L:L,Parâmetros!A:A,A128,Parâmetros!B:B,B128,Parâmetros!D:D,D128,Parâmetros!J:J,"&lt;="&amp;K128),_xlfn.MAXIFS(Parâmetros!I:I,Parâmetros!A:A,A128,Parâmetros!B:B,B128,Parâmetros!D:D,D128))</f>
        <v>1871.1</v>
      </c>
      <c r="Z128" s="9">
        <f>MAX(_xlfn.MAXIFS(Parâmetros!Q:Q,Parâmetros!A:A,A128,Parâmetros!B:B,B128,Parâmetros!D:D,D128,Parâmetros!E:E,E128,Parâmetros!P:P,"&lt;="&amp;K128),
_xlfn.MAXIFS(Parâmetros!S:S,Parâmetros!A:A,A128,Parâmetros!B:B,B128,Parâmetros!D:D,D128,Parâmetros!E:E,E128,Parâmetros!R:R,"&lt;="&amp;K128),
_xlfn.MAXIFS(Parâmetros!U:U,Parâmetros!A:A,A128,Parâmetros!B:B,B128,Parâmetros!D:D,D128,Parâmetros!E:E,E128,Parâmetros!T:T,"&lt;="&amp;K128),1) * IF(K128 &gt;= SUMIFS(Parâmetros!G:G,Parâmetros!A:A,A128,Parâmetros!B:B,B128,Parâmetros!D:D,D128,Parâmetros!E:E,E128),1,0)</f>
        <v>1.3</v>
      </c>
      <c r="AA128" s="16">
        <f t="shared" si="56"/>
        <v>4209.7469485499996</v>
      </c>
      <c r="AB128" s="16">
        <f t="shared" si="57"/>
        <v>4502.5258781645998</v>
      </c>
      <c r="AC128" s="15">
        <f>IF(F128="Gestor",SUMIFS(AC:AC,A:A,A128,B:B,B128,G:G,D128),
IF(E128="Saving",SUMIFS(Negócios!I:I,Negócios!A:A,A128,Negócios!B:B,B128,Negócios!P:P,D128,Negócios!H:H,"Curso",Negócios!AH:AH,"&lt;&gt;n") +
SUMIFS(Negócios!I:I,Negócios!A:A,A128,Negócios!B:B,B128,Negócios!P:P,D128,Negócios!H:H,"Serviço",Negócios!AH:AH,"&lt;&gt;n") +
SUMIFS(Negócios!I:I,Negócios!A:A,A128,Negócios!B:B,B128,Negócios!P:P,D128,Negócios!H:H,"Implantação",Negócios!AH:AH,"&lt;&gt;n"),
SUMIFS(Negócios!I:I,Negócios!A:A,A128,Negócios!B:B,B128,Negócios!P:P,D128,Negócios!H:H,"Implantação",Negócios!AH:AH,"&lt;&gt;n")))</f>
        <v>0</v>
      </c>
      <c r="AD128" s="16">
        <f>SUMIFS(Parâmetros!W:W,Parâmetros!A:A,A128,Parâmetros!B:B,B128,Parâmetros!D:D,D128) * AC128 * IF(K128 &gt;= SUMIFS(Parâmetros!V:V,Parâmetros!A:A,A128,Parâmetros!B:B,B128,Parâmetros!D:D,D128),1,0)</f>
        <v>0</v>
      </c>
      <c r="AE128" s="15">
        <f>SUMIFS('Recuperação de Canc e Divs'!D:D,'Recuperação de Canc e Divs'!A:A,A128,'Recuperação de Canc e Divs'!B:B,B128,'Recuperação de Canc e Divs'!C:C,D128)</f>
        <v>0</v>
      </c>
      <c r="AF128" s="16">
        <f>IF(K128&gt;=SUMIFS(Parâmetros!J:J,Parâmetros!A:A,A128,Parâmetros!B:B,B128,Parâmetros!D:D,D128),AE128*0.025,0)</f>
        <v>0</v>
      </c>
      <c r="AG128" s="15" t="str">
        <f t="shared" si="58"/>
        <v/>
      </c>
      <c r="AH128" s="16" t="str">
        <f t="shared" si="59"/>
        <v/>
      </c>
      <c r="AI128" s="90">
        <f t="shared" si="60"/>
        <v>0</v>
      </c>
      <c r="AJ128" s="16" t="str">
        <f t="shared" si="61"/>
        <v/>
      </c>
      <c r="AK128" s="16" t="str">
        <f t="shared" si="62"/>
        <v/>
      </c>
      <c r="AL128" s="90">
        <f t="shared" si="63"/>
        <v>0</v>
      </c>
      <c r="AM128" s="93" t="str">
        <f t="shared" si="64"/>
        <v/>
      </c>
      <c r="AN128" s="94" t="str">
        <f>IF(OR(B128=3,B128=6,B128=9,B128=12),
IF(AND(AL128&gt;=1,AI128&gt;=SUMIFS(Parâmetros!G:G,Parâmetros!A:A,Comissões!A128,Parâmetros!B:B,Comissões!B128,Parâmetros!D:D,Comissões!D128,Parâmetros!E:E,Comissões!E128)),AI128*0.3,""),"")</f>
        <v/>
      </c>
      <c r="AO128" s="16">
        <f t="shared" si="65"/>
        <v>9086.0462499999994</v>
      </c>
      <c r="AP128" s="16">
        <f t="shared" si="66"/>
        <v>1</v>
      </c>
    </row>
    <row r="129" spans="1:42" hidden="1">
      <c r="A129" s="7">
        <v>2026</v>
      </c>
      <c r="B129" s="7">
        <v>5</v>
      </c>
      <c r="C129" s="7" t="str">
        <v>Eliane Guinther</v>
      </c>
      <c r="D129" s="7" t="str">
        <v>eliane.guinther@altoqi.com.br</v>
      </c>
      <c r="E129" s="7" t="str">
        <v>FSB</v>
      </c>
      <c r="F129" s="7" t="str">
        <v>Consultor</v>
      </c>
      <c r="G129" s="7" t="str">
        <v>anderson.ortiz@altoqi.com.br</v>
      </c>
      <c r="H129" s="7" t="str">
        <v>MRR</v>
      </c>
      <c r="I129" s="86" cm="1">
        <f t="array" ref="I129">IF(
  D129="rafael.acencio@altoqi.com.br",
  SUMIFS(Negócios!L:L,Negócios!A:A,A129,Negócios!B:B,B129,Negócios!Q:Q,E129,Negócios!AH:AH,"&lt;&gt;n"),
  _xlfn.IFS(
    AND(F129="Consultor",H129="MRR",E129="Farmer"),
      SUMIFS(Negócios!M:M,Negócios!A:A,A129,Negócios!B:B,B129,Negócios!P:P,D129,Negócios!AH:AH,"&lt;&gt;n")
      +SUMIFS(Negócios!N:N,Negócios!A:A,A129,Negócios!B:B,B129,Negócios!P:P,D129,Negócios!AH:AH,"&lt;&gt;n"),
    AND(F129="Consultor",H129="MRR"),
      SUMIFS(Negócios!L:L,Negócios!A:A,A129,Negócios!B:B,B129,Negócios!P:P,D129,Negócios!AH:AH,"&lt;&gt;n"),
    AND(F129="Consultor",H129="Opps"),
      SUMIFS('Realizado GD'!D:D,'Realizado GD'!A:A,A129,'Realizado GD'!B:B,B129,'Realizado GD'!C:C,D129),
    D129="sonia.zielinski@altoqi.com.br",
      SUM(SUMIFS(Negócios!L:L,Negócios!A:A,A129,Negócios!B:B,B129,Negócios!R:R,{"FSB";"Ares"},Negócios!AH:AH,"&lt;&gt;n"))
      +SUMIFS(Negócios!M:M,Negócios!A:A,A129,Negócios!B:B,B129,Negócios!R:R,"Farmer",Negócios!AH:AH,"&lt;&gt;n")
      +SUMIFS(Negócios!N:N,Negócios!A:A,A129,Negócios!B:B,B129,Negócios!R:R,"Farmer",Negócios!AH:AH,"&lt;&gt;n"),
    OR(
      D129="anderson.ortiz@altoqi.com.br",
      D129="rafael.motta@altoqi.com.br",
      D129="beatriz@altoqi.com.br"
    ),
      SUMIFS(Negócios!L:L,Negócios!A:A,A129,Negócios!B:B,B129,Negócios!R:R,E129,Negócios!AH:AH,"&lt;&gt;n"),
    AND(F129="Gestor",H129="MRR"),
      SUMIFS(I:I,A:A,A129,B:B,B129,G:G,D129),
    TRUE,
      ""
  )
)</f>
        <v>14786.212900000006</v>
      </c>
      <c r="J129" s="16">
        <f>SUMIFS(Metas!K:K,Metas!A:A,A129,Metas!B:B,B129,Metas!D:D,D129,Metas!H:H,H129)</f>
        <v>11550</v>
      </c>
      <c r="K129" s="10">
        <f t="shared" si="55"/>
        <v>1.2801915930735936</v>
      </c>
      <c r="L129" s="26" t="str" cm="1">
        <f t="array" ref="L129">_xlfn.LET(
 _xlpm.g,_xlfn.MAXIFS(Parâmetros!G:G,Parâmetros!A:A,A129,Parâmetros!B:B,B129,Parâmetros!D:D,D129,Parâmetros!E:E,E129),
 _xlpm.j,_xlfn.MAXIFS(Parâmetros!J:J,Parâmetros!A:A,A129,Parâmetros!B:B,B129,Parâmetros!D:D,D129,Parâmetros!E:E,E129),
 _xlpm.m,_xlfn.MAXIFS(Parâmetros!M:M,Parâmetros!A:A,A129,Parâmetros!B:B,B129,Parâmetros!D:D,D129,Parâmetros!E:E,E129),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/>
      </c>
      <c r="M129" s="28" cm="1">
        <f t="array" ref="M129">IF(
  D129="rafael.acencio@altoqi.com.br",
  SUMIFS(Negócios!L:L,Negócios!A:A,A129,Negócios!B:B,B129,Negócios!Q:Q,E129,Negócios!AG:AG,"À Vista",Negócios!AH:AH,"&lt;&gt;n"),
  _xlfn.IFS(
    AND(F129="Consultor",H129="MRR",E129="Farmer"),
      SUMIFS(Negócios!M:M,Negócios!A:A,A129,Negócios!B:B,B129,Negócios!P:P,D129,Negócios!AG:AG,"À Vista",Negócios!AH:AH,"&lt;&gt;n")
      +SUMIFS(Negócios!N:N,Negócios!A:A,A129,Negócios!B:B,B129,Negócios!P:P,D129,Negócios!AG:AG,"À Vista",Negócios!AH:AH,"&lt;&gt;n"),
    AND(F129="Consultor",H129="MRR"),
      SUMIFS(Negócios!L:L,Negócios!A:A,A129,Negócios!B:B,B129,Negócios!P:P,D129,Negócios!AG:AG,"À Vista",Negócios!AH:AH,"&lt;&gt;n"),
    AND(F129="Consultor",H129="Opps"),
      SUMIFS('Realizado GD'!D:D,'Realizado GD'!A:A,A129,'Realizado GD'!B:B,B129,'Realizado GD'!C:C,D129),
    D129="sonia.zielinski@altoqi.com.br",
      SUM(SUMIFS(Negócios!L:L,Negócios!A:A,A129,Negócios!B:B,B129,Negócios!R:R,{"FSB";"Ares"},Negócios!AG:AG,"À Vista",Negócios!AH:AH,"&lt;&gt;n"))
      +SUMIFS(Negócios!M:M,Negócios!A:A,A129,Negócios!B:B,B129,Negócios!R:R,"Farmer",Negócios!AG:AG,"À Vista",Negócios!AH:AH,"&lt;&gt;n")
      +SUMIFS(Negócios!N:N,Negócios!A:A,A129,Negócios!B:B,B129,Negócios!R:R,"Farmer",Negócios!AG:AG,"À Vista",Negócios!AH:AH,"&lt;&gt;n"),
    OR(
      D129="anderson.ortiz@altoqi.com.br",
      D129="rafael.motta@altoqi.com.br",
      D129="beatriz@altoqi.com.br"
    ),
      SUMIFS(Negócios!L:L,Negócios!A:A,A129,Negócios!B:B,B129,Negócios!R:R,E129,Negócios!AG:AG,"À Vista",Negócios!AH:AH,"&lt;&gt;n"),
    AND(F129="Gestor",H129="MRR"),
      SUMIFS(I:I,A:A,A129,B:B,B129,G:G,D129),
    TRUE,
      ""
  )
)</f>
        <v>1913.4654000000003</v>
      </c>
      <c r="N129" s="10">
        <f t="shared" si="71"/>
        <v>0.1294087548272756</v>
      </c>
      <c r="O129" s="30">
        <f>SUMIFS('Acel Form Pag'!D:D,'Acel Form Pag'!A:A,A129,'Acel Form Pag'!B:B,B129,'Acel Form Pag'!C:C,E129)</f>
        <v>1.3</v>
      </c>
      <c r="P129" s="87" cm="1">
        <f t="array" ref="P129">IF(
  D129="rafael.acencio@altoqi.com.br",
  SUMIFS(Negócios!M:M,Negócios!A:A,A129,Negócios!B:B,B129,Negócios!Q:Q,E129,Negócios!AG:AG,"CC 3x",Negócios!AH:AH,"&lt;&gt;n"),
  _xlfn.IFS(
    AND(F129="Consultor",H129="MRR",E129="Farmer"),
      SUMIFS(Negócios!M:M,Negócios!A:A,A129,Negócios!B:B,B129,Negócios!P:P,D129,Negócios!AG:AG,"CC 3x",Negócios!AH:AH,"&lt;&gt;n")
      +SUMIFS(Negócios!N:N,Negócios!A:A,A129,Negócios!B:B,B129,Negócios!P:P,D129,Negócios!AG:AG,"CC 3x",Negócios!AH:AH,"&lt;&gt;n"),
    AND(F129="Consultor",H129="MRR"),
      SUMIFS(Negócios!L:L,Negócios!A:A,A129,Negócios!B:B,B129,Negócios!P:P,D129,Negócios!AG:AG,"CC 3x",Negócios!AH:AH,"&lt;&gt;n"),
    AND(F129="Consultor",H129="Opps"),
      SUMIFS('Realizado GD'!D:D,'Realizado GD'!A:A,A129,'Realizado GD'!B:B,B129,'Realizado GD'!C:C,D129),
    D129="sonia.zielinski@altoqi.com.br",
      SUM(SUMIFS(Negócios!L:L,Negócios!A:A,A129,Negócios!B:B,B129,Negócios!R:R,{"FSB";"Ares"},Negócios!AG:AG,"CC 3x",Negócios!AH:AH,"&lt;&gt;n"))
      +SUMIFS(Negócios!M:M,Negócios!A:A,A129,Negócios!B:B,B129,Negócios!R:R,"Farmer",Negócios!AG:AG,"CC 3x",Negócios!AH:AH,"&lt;&gt;n")
      +SUMIFS(Negócios!N:N,Negócios!A:A,A129,Negócios!B:B,B129,Negócios!R:R,"Farmer",Negócios!AG:AG,"CC 3x",Negócios!AH:AH,"&lt;&gt;n"),
    OR(
      D129="anderson.ortiz@altoqi.com.br",
      D129="rafael.motta@altoqi.com.br",
      D129="beatriz@altoqi.com.br"
    ),
      SUMIFS(Negócios!M:M,Negócios!A:A,A129,Negócios!B:B,B129,Negócios!R:R,E129,Negócios!AG:AG,"CC 3x",Negócios!AH:AH,"&lt;&gt;n"),
    AND(F129="Gestor",H129="MRR"),
      SUMIFS(I:I,A:A,A129,B:B,B129,G:G,D129),
    TRUE,
      ""
  )
)</f>
        <v>0</v>
      </c>
      <c r="Q129" s="10">
        <f t="shared" si="72"/>
        <v>0</v>
      </c>
      <c r="R129" s="30">
        <f>SUMIFS('Acel Form Pag'!E:E,'Acel Form Pag'!A:A,A129,'Acel Form Pag'!B:B,B129,'Acel Form Pag'!C:C,E129)</f>
        <v>1.1499999999999999</v>
      </c>
      <c r="S129" s="32" cm="1">
        <f t="array" ref="S129">IF(
  D129="rafael.acencio@altoqi.com.br",
  SUMIFS(Negócios!L:L,Negócios!A:A,A129,Negócios!B:B,B129,Negócios!Q:Q,E129,Negócios!AG:AG,"CC 12x",Negócios!AH:AH,"&lt;&gt;n"),
  _xlfn.IFS(
    AND(F129="Consultor",H129="MRR",E129="Farmer"),
      SUMIFS(Negócios!M:M,Negócios!A:A,A129,Negócios!B:B,B129,Negócios!P:P,D129,Negócios!AG:AG,"CC 12x",Negócios!AH:AH,"&lt;&gt;n")
      +SUMIFS(Negócios!N:N,Negócios!A:A,A129,Negócios!B:B,B129,Negócios!P:P,D129,Negócios!AG:AG,"CC 12x",Negócios!AH:AH,"&lt;&gt;n"),
    AND(F129="Consultor",H129="MRR"),
      SUMIFS(Negócios!L:L,Negócios!A:A,A129,Negócios!B:B,B129,Negócios!P:P,D129,Negócios!AG:AG,"CC 12x",Negócios!AH:AH,"&lt;&gt;n"),
    AND(F129="Consultor",H129="Opps"),
      SUMIFS('Realizado GD'!D:D,'Realizado GD'!A:A,A129,'Realizado GD'!B:B,B129,'Realizado GD'!C:C,D129),
    D129="sonia.zielinski@altoqi.com.br",
      SUM(SUMIFS(Negócios!L:L,Negócios!A:A,A129,Negócios!B:B,B129,Negócios!R:R,{"FSB";"Ares"},Negócios!AG:AG,"CC 12x",Negócios!AH:AH,"&lt;&gt;n"))
      +SUMIFS(Negócios!M:M,Negócios!A:A,A129,Negócios!B:B,B129,Negócios!R:R,"Farmer",Negócios!AG:AG,"CC 12x",Negócios!AH:AH,"&lt;&gt;n")
      +SUMIFS(Negócios!N:N,Negócios!A:A,A129,Negócios!B:B,B129,Negócios!R:R,"Farmer",Negócios!AG:AG,"CC 12x",Negócios!AH:AH,"&lt;&gt;n"),
    OR(
      D129="anderson.ortiz@altoqi.com.br",
      D129="rafael.motta@altoqi.com.br",
      D129="beatriz@altoqi.com.br"
    ),
      SUMIFS(Negócios!L:L,Negócios!A:A,A129,Negócios!B:B,B129,Negócios!R:R,E129,Negócios!AG:AG,"CC 12x",Negócios!AH:AH,"&lt;&gt;n"),
    AND(F129="Gestor",H129="MRR"),
      SUMIFS(I:I,A:A,A129,B:B,B129,G:G,D129),
    TRUE,
      ""
  )
)</f>
        <v>3856.8369999999991</v>
      </c>
      <c r="T129" s="10">
        <f t="shared" si="73"/>
        <v>0.26084008299380007</v>
      </c>
      <c r="U129" s="30">
        <f>SUMIFS('Acel Form Pag'!F:F,'Acel Form Pag'!A:A,A129,'Acel Form Pag'!B:B,B129,'Acel Form Pag'!C:C,E129)</f>
        <v>1.1499999999999999</v>
      </c>
      <c r="V129" s="32" cm="1">
        <f t="array" ref="V129">IF(
  D129="rafael.acencio@altoqi.com.br",
  SUMIFS(Negócios!L:L,Negócios!A:A,A129,Negócios!B:B,B129,Negócios!Q:Q,E129,Negócios!AG:AG,"Recorrente",Negócios!AH:AH,"&lt;&gt;n"),
  _xlfn.IFS(
    AND(F129="Consultor",H129="MRR",E129="Farmer"),
      SUMIFS(Negócios!M:M,Negócios!A:A,A129,Negócios!B:B,B129,Negócios!P:P,D129,Negócios!AG:AG,"Recorrente",Negócios!AH:AH,"&lt;&gt;n")
      +SUMIFS(Negócios!N:N,Negócios!A:A,A129,Negócios!B:B,B129,Negócios!P:P,D129,Negócios!AG:AG,"Recorrente",Negócios!AH:AH,"&lt;&gt;n"),
    AND(F129="Consultor",H129="MRR"),
      SUMIFS(Negócios!L:L,Negócios!A:A,A129,Negócios!B:B,B129,Negócios!P:P,D129,Negócios!AG:AG,"Recorrente",Negócios!AH:AH,"&lt;&gt;n"),
    AND(F129="Consultor",H129="Opps"),
      SUMIFS('Realizado GD'!D:D,'Realizado GD'!A:A,A129,'Realizado GD'!B:B,B129,'Realizado GD'!C:C,D129),
    D129="sonia.zielinski@altoqi.com.br",
      SUM(SUMIFS(Negócios!L:L,Negócios!A:A,A129,Negócios!B:B,B129,Negócios!R:R,{"FSB";"Ares"},Negócios!AG:AG,"Recorrente",Negócios!AH:AH,"&lt;&gt;n"))
      +SUMIFS(Negócios!M:M,Negócios!A:A,A129,Negócios!B:B,B129,Negócios!R:R,"Farmer",Negócios!AG:AG,"Recorrente",Negócios!AH:AH,"&lt;&gt;n")
      +SUMIFS(Negócios!N:N,Negócios!A:A,A129,Negócios!B:B,B129,Negócios!R:R,"Farmer",Negócios!AG:AG,"Recorrente",Negócios!AH:AH,"&lt;&gt;n"),
    OR(
      D129="anderson.ortiz@altoqi.com.br",
      D129="rafael.motta@altoqi.com.br",
      D129="beatriz@altoqi.com.br"
    ),
      SUMIFS(Negócios!L:L,Negócios!A:A,A129,Negócios!B:B,B129,Negócios!R:R,E129,Negócios!AG:AG,"Recorrente",Negócios!AH:AH,"&lt;&gt;n"),
    AND(F129="Gestor",H129="MRR"),
      SUMIFS(I:I,A:A,A129,B:B,B129,G:G,D129),
    TRUE,
      ""
  )
)</f>
        <v>9015.9104999999981</v>
      </c>
      <c r="W129" s="10">
        <f t="shared" si="74"/>
        <v>0.60975116217892378</v>
      </c>
      <c r="X129" s="34">
        <f>SUMIFS('Acel Form Pag'!G:G,'Acel Form Pag'!A:A,A129,'Acel Form Pag'!B:B,B129,'Acel Form Pag'!C:C,E129)</f>
        <v>1</v>
      </c>
      <c r="Y129" s="24">
        <f>MAX(_xlfn.MAXIFS(Parâmetros!O:O,Parâmetros!A:A,A129,Parâmetros!B:B,B129,Parâmetros!D:D,D129,Parâmetros!M:M,"&lt;="&amp;K129),_xlfn.MAXIFS(Parâmetros!L:L,Parâmetros!A:A,A129,Parâmetros!B:B,B129,Parâmetros!D:D,D129,Parâmetros!J:J,"&lt;="&amp;K129),_xlfn.MAXIFS(Parâmetros!I:I,Parâmetros!A:A,A129,Parâmetros!B:B,B129,Parâmetros!D:D,D129))</f>
        <v>4356</v>
      </c>
      <c r="Z129" s="9">
        <f>MAX(_xlfn.MAXIFS(Parâmetros!Q:Q,Parâmetros!A:A,A129,Parâmetros!B:B,B129,Parâmetros!D:D,D129,Parâmetros!E:E,E129,Parâmetros!P:P,"&lt;="&amp;K129),
_xlfn.MAXIFS(Parâmetros!S:S,Parâmetros!A:A,A129,Parâmetros!B:B,B129,Parâmetros!D:D,D129,Parâmetros!E:E,E129,Parâmetros!R:R,"&lt;="&amp;K129),
_xlfn.MAXIFS(Parâmetros!U:U,Parâmetros!A:A,A129,Parâmetros!B:B,B129,Parâmetros!D:D,D129,Parâmetros!E:E,E129,Parâmetros!T:T,"&lt;="&amp;K129),1) * IF(K129 &gt;= SUMIFS(Parâmetros!G:G,Parâmetros!A:A,A129,Parâmetros!B:B,B129,Parâmetros!D:D,D129,Parâmetros!E:E,E129),1,0)</f>
        <v>1.3</v>
      </c>
      <c r="AA129" s="16">
        <f t="shared" si="56"/>
        <v>7249.4689532571465</v>
      </c>
      <c r="AB129" s="16">
        <f t="shared" si="57"/>
        <v>7814.5551908914276</v>
      </c>
      <c r="AC129" s="15">
        <f>IF(F129="Gestor",SUMIFS(AC:AC,A:A,A129,B:B,B129,G:G,D129),
IF(E129="Saving",SUMIFS(Negócios!I:I,Negócios!A:A,A129,Negócios!B:B,B129,Negócios!P:P,D129,Negócios!H:H,"Curso",Negócios!AH:AH,"&lt;&gt;n") +
SUMIFS(Negócios!I:I,Negócios!A:A,A129,Negócios!B:B,B129,Negócios!P:P,D129,Negócios!H:H,"Serviço",Negócios!AH:AH,"&lt;&gt;n") +
SUMIFS(Negócios!I:I,Negócios!A:A,A129,Negócios!B:B,B129,Negócios!P:P,D129,Negócios!H:H,"Implantação",Negócios!AH:AH,"&lt;&gt;n"),
SUMIFS(Negócios!I:I,Negócios!A:A,A129,Negócios!B:B,B129,Negócios!P:P,D129,Negócios!H:H,"Implantação",Negócios!AH:AH,"&lt;&gt;n")))</f>
        <v>0</v>
      </c>
      <c r="AD129" s="16">
        <f>SUMIFS(Parâmetros!W:W,Parâmetros!A:A,A129,Parâmetros!B:B,B129,Parâmetros!D:D,D129) * AC129 * IF(K129 &gt;= SUMIFS(Parâmetros!V:V,Parâmetros!A:A,A129,Parâmetros!B:B,B129,Parâmetros!D:D,D129),1,0)</f>
        <v>0</v>
      </c>
      <c r="AE129" s="15">
        <f>SUMIFS('Recuperação de Canc e Divs'!D:D,'Recuperação de Canc e Divs'!A:A,A129,'Recuperação de Canc e Divs'!B:B,B129,'Recuperação de Canc e Divs'!C:C,D129)</f>
        <v>0</v>
      </c>
      <c r="AF129" s="16">
        <f>IF(K129&gt;=SUMIFS(Parâmetros!J:J,Parâmetros!A:A,A129,Parâmetros!B:B,B129,Parâmetros!D:D,D129),AE129*0.025,0)</f>
        <v>0</v>
      </c>
      <c r="AG129" s="15" t="str">
        <f t="shared" si="58"/>
        <v/>
      </c>
      <c r="AH129" s="16" t="str">
        <f t="shared" si="59"/>
        <v/>
      </c>
      <c r="AI129" s="90">
        <f t="shared" si="60"/>
        <v>0</v>
      </c>
      <c r="AJ129" s="16" t="str">
        <f t="shared" si="61"/>
        <v/>
      </c>
      <c r="AK129" s="16" t="str">
        <f t="shared" si="62"/>
        <v/>
      </c>
      <c r="AL129" s="90">
        <f t="shared" si="63"/>
        <v>0</v>
      </c>
      <c r="AM129" s="93" t="str">
        <f t="shared" si="64"/>
        <v/>
      </c>
      <c r="AN129" s="94" t="str">
        <f>IF(OR(B129=3,B129=6,B129=9,B129=12),
IF(AND(AL129&gt;=1,AI129&gt;=SUMIFS(Parâmetros!G:G,Parâmetros!A:A,Comissões!A129,Parâmetros!B:B,Comissões!B129,Parâmetros!D:D,Comissões!D129,Parâmetros!E:E,Comissões!E129)),AI129*0.3,""),"")</f>
        <v/>
      </c>
      <c r="AO129" s="16">
        <f t="shared" si="65"/>
        <v>14786.212899999999</v>
      </c>
      <c r="AP129" s="16">
        <f t="shared" si="66"/>
        <v>0.99999999999999944</v>
      </c>
    </row>
    <row r="130" spans="1:42" hidden="1">
      <c r="A130" s="7">
        <v>2026</v>
      </c>
      <c r="B130" s="7">
        <v>5</v>
      </c>
      <c r="C130" s="7" t="str">
        <v>Felipe Labes</v>
      </c>
      <c r="D130" s="7" t="str">
        <v>felipe.labes@altoqi.com.br</v>
      </c>
      <c r="E130" s="7" t="str">
        <v>FSB</v>
      </c>
      <c r="F130" s="7" t="str">
        <v>Consultor</v>
      </c>
      <c r="G130" s="7" t="str">
        <v>anderson.ortiz@altoqi.com.br</v>
      </c>
      <c r="H130" s="7" t="str">
        <v>MRR</v>
      </c>
      <c r="I130" s="86" cm="1">
        <f t="array" ref="I130">IF(
  D130="rafael.acencio@altoqi.com.br",
  SUMIFS(Negócios!L:L,Negócios!A:A,A130,Negócios!B:B,B130,Negócios!Q:Q,E130,Negócios!AH:AH,"&lt;&gt;n"),
  _xlfn.IFS(
    AND(F130="Consultor",H130="MRR",E130="Farmer"),
      SUMIFS(Negócios!M:M,Negócios!A:A,A130,Negócios!B:B,B130,Negócios!P:P,D130,Negócios!AH:AH,"&lt;&gt;n")
      +SUMIFS(Negócios!N:N,Negócios!A:A,A130,Negócios!B:B,B130,Negócios!P:P,D130,Negócios!AH:AH,"&lt;&gt;n"),
    AND(F130="Consultor",H130="MRR"),
      SUMIFS(Negócios!L:L,Negócios!A:A,A130,Negócios!B:B,B130,Negócios!P:P,D130,Negócios!AH:AH,"&lt;&gt;n"),
    AND(F130="Consultor",H130="Opps"),
      SUMIFS('Realizado GD'!D:D,'Realizado GD'!A:A,A130,'Realizado GD'!B:B,B130,'Realizado GD'!C:C,D130),
    D130="sonia.zielinski@altoqi.com.br",
      SUM(SUMIFS(Negócios!L:L,Negócios!A:A,A130,Negócios!B:B,B130,Negócios!R:R,{"FSB";"Ares"},Negócios!AH:AH,"&lt;&gt;n"))
      +SUMIFS(Negócios!M:M,Negócios!A:A,A130,Negócios!B:B,B130,Negócios!R:R,"Farmer",Negócios!AH:AH,"&lt;&gt;n")
      +SUMIFS(Negócios!N:N,Negócios!A:A,A130,Negócios!B:B,B130,Negócios!R:R,"Farmer",Negócios!AH:AH,"&lt;&gt;n"),
    OR(
      D130="anderson.ortiz@altoqi.com.br",
      D130="rafael.motta@altoqi.com.br",
      D130="beatriz@altoqi.com.br"
    ),
      SUMIFS(Negócios!L:L,Negócios!A:A,A130,Negócios!B:B,B130,Negócios!R:R,E130,Negócios!AH:AH,"&lt;&gt;n"),
    AND(F130="Gestor",H130="MRR"),
      SUMIFS(I:I,A:A,A130,B:B,B130,G:G,D130),
    TRUE,
      ""
  )
)</f>
        <v>12404.16935</v>
      </c>
      <c r="J130" s="16">
        <f>SUMIFS(Metas!K:K,Metas!A:A,A130,Metas!B:B,B130,Metas!D:D,D130,Metas!H:H,H130)</f>
        <v>11550</v>
      </c>
      <c r="K130" s="10">
        <f t="shared" si="55"/>
        <v>1.0739540562770562</v>
      </c>
      <c r="L130" s="26" t="str" cm="1">
        <f t="array" ref="L130">_xlfn.LET(
 _xlpm.g,_xlfn.MAXIFS(Parâmetros!G:G,Parâmetros!A:A,A130,Parâmetros!B:B,B130,Parâmetros!D:D,D130,Parâmetros!E:E,E130),
 _xlpm.j,_xlfn.MAXIFS(Parâmetros!J:J,Parâmetros!A:A,A130,Parâmetros!B:B,B130,Parâmetros!D:D,D130,Parâmetros!E:E,E130),
 _xlpm.m,_xlfn.MAXIFS(Parâmetros!M:M,Parâmetros!A:A,A130,Parâmetros!B:B,B130,Parâmetros!D:D,D130,Parâmetros!E:E,E130),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/>
      </c>
      <c r="M130" s="28" cm="1">
        <f t="array" ref="M130">IF(
  D130="rafael.acencio@altoqi.com.br",
  SUMIFS(Negócios!L:L,Negócios!A:A,A130,Negócios!B:B,B130,Negócios!Q:Q,E130,Negócios!AG:AG,"À Vista",Negócios!AH:AH,"&lt;&gt;n"),
  _xlfn.IFS(
    AND(F130="Consultor",H130="MRR",E130="Farmer"),
      SUMIFS(Negócios!M:M,Negócios!A:A,A130,Negócios!B:B,B130,Negócios!P:P,D130,Negócios!AG:AG,"À Vista",Negócios!AH:AH,"&lt;&gt;n")
      +SUMIFS(Negócios!N:N,Negócios!A:A,A130,Negócios!B:B,B130,Negócios!P:P,D130,Negócios!AG:AG,"À Vista",Negócios!AH:AH,"&lt;&gt;n"),
    AND(F130="Consultor",H130="MRR"),
      SUMIFS(Negócios!L:L,Negócios!A:A,A130,Negócios!B:B,B130,Negócios!P:P,D130,Negócios!AG:AG,"À Vista",Negócios!AH:AH,"&lt;&gt;n"),
    AND(F130="Consultor",H130="Opps"),
      SUMIFS('Realizado GD'!D:D,'Realizado GD'!A:A,A130,'Realizado GD'!B:B,B130,'Realizado GD'!C:C,D130),
    D130="sonia.zielinski@altoqi.com.br",
      SUM(SUMIFS(Negócios!L:L,Negócios!A:A,A130,Negócios!B:B,B130,Negócios!R:R,{"FSB";"Ares"},Negócios!AG:AG,"À Vista",Negócios!AH:AH,"&lt;&gt;n"))
      +SUMIFS(Negócios!M:M,Negócios!A:A,A130,Negócios!B:B,B130,Negócios!R:R,"Farmer",Negócios!AG:AG,"À Vista",Negócios!AH:AH,"&lt;&gt;n")
      +SUMIFS(Negócios!N:N,Negócios!A:A,A130,Negócios!B:B,B130,Negócios!R:R,"Farmer",Negócios!AG:AG,"À Vista",Negócios!AH:AH,"&lt;&gt;n"),
    OR(
      D130="anderson.ortiz@altoqi.com.br",
      D130="rafael.motta@altoqi.com.br",
      D130="beatriz@altoqi.com.br"
    ),
      SUMIFS(Negócios!L:L,Negócios!A:A,A130,Negócios!B:B,B130,Negócios!R:R,E130,Negócios!AG:AG,"À Vista",Negócios!AH:AH,"&lt;&gt;n"),
    AND(F130="Gestor",H130="MRR"),
      SUMIFS(I:I,A:A,A130,B:B,B130,G:G,D130),
    TRUE,
      ""
  )
)</f>
        <v>487.35</v>
      </c>
      <c r="N130" s="10">
        <f t="shared" si="71"/>
        <v>3.9289208833641086E-2</v>
      </c>
      <c r="O130" s="30">
        <f>SUMIFS('Acel Form Pag'!D:D,'Acel Form Pag'!A:A,A130,'Acel Form Pag'!B:B,B130,'Acel Form Pag'!C:C,E130)</f>
        <v>1.3</v>
      </c>
      <c r="P130" s="87" cm="1">
        <f t="array" ref="P130">IF(
  D130="rafael.acencio@altoqi.com.br",
  SUMIFS(Negócios!M:M,Negócios!A:A,A130,Negócios!B:B,B130,Negócios!Q:Q,E130,Negócios!AG:AG,"CC 3x",Negócios!AH:AH,"&lt;&gt;n"),
  _xlfn.IFS(
    AND(F130="Consultor",H130="MRR",E130="Farmer"),
      SUMIFS(Negócios!M:M,Negócios!A:A,A130,Negócios!B:B,B130,Negócios!P:P,D130,Negócios!AG:AG,"CC 3x",Negócios!AH:AH,"&lt;&gt;n")
      +SUMIFS(Negócios!N:N,Negócios!A:A,A130,Negócios!B:B,B130,Negócios!P:P,D130,Negócios!AG:AG,"CC 3x",Negócios!AH:AH,"&lt;&gt;n"),
    AND(F130="Consultor",H130="MRR"),
      SUMIFS(Negócios!L:L,Negócios!A:A,A130,Negócios!B:B,B130,Negócios!P:P,D130,Negócios!AG:AG,"CC 3x",Negócios!AH:AH,"&lt;&gt;n"),
    AND(F130="Consultor",H130="Opps"),
      SUMIFS('Realizado GD'!D:D,'Realizado GD'!A:A,A130,'Realizado GD'!B:B,B130,'Realizado GD'!C:C,D130),
    D130="sonia.zielinski@altoqi.com.br",
      SUM(SUMIFS(Negócios!L:L,Negócios!A:A,A130,Negócios!B:B,B130,Negócios!R:R,{"FSB";"Ares"},Negócios!AG:AG,"CC 3x",Negócios!AH:AH,"&lt;&gt;n"))
      +SUMIFS(Negócios!M:M,Negócios!A:A,A130,Negócios!B:B,B130,Negócios!R:R,"Farmer",Negócios!AG:AG,"CC 3x",Negócios!AH:AH,"&lt;&gt;n")
      +SUMIFS(Negócios!N:N,Negócios!A:A,A130,Negócios!B:B,B130,Negócios!R:R,"Farmer",Negócios!AG:AG,"CC 3x",Negócios!AH:AH,"&lt;&gt;n"),
    OR(
      D130="anderson.ortiz@altoqi.com.br",
      D130="rafael.motta@altoqi.com.br",
      D130="beatriz@altoqi.com.br"
    ),
      SUMIFS(Negócios!M:M,Negócios!A:A,A130,Negócios!B:B,B130,Negócios!R:R,E130,Negócios!AG:AG,"CC 3x",Negócios!AH:AH,"&lt;&gt;n"),
    AND(F130="Gestor",H130="MRR"),
      SUMIFS(I:I,A:A,A130,B:B,B130,G:G,D130),
    TRUE,
      ""
  )
)</f>
        <v>0</v>
      </c>
      <c r="Q130" s="10">
        <f t="shared" si="72"/>
        <v>0</v>
      </c>
      <c r="R130" s="30">
        <f>SUMIFS('Acel Form Pag'!E:E,'Acel Form Pag'!A:A,A130,'Acel Form Pag'!B:B,B130,'Acel Form Pag'!C:C,E130)</f>
        <v>1.1499999999999999</v>
      </c>
      <c r="S130" s="32" cm="1">
        <f t="array" ref="S130">IF(
  D130="rafael.acencio@altoqi.com.br",
  SUMIFS(Negócios!L:L,Negócios!A:A,A130,Negócios!B:B,B130,Negócios!Q:Q,E130,Negócios!AG:AG,"CC 12x",Negócios!AH:AH,"&lt;&gt;n"),
  _xlfn.IFS(
    AND(F130="Consultor",H130="MRR",E130="Farmer"),
      SUMIFS(Negócios!M:M,Negócios!A:A,A130,Negócios!B:B,B130,Negócios!P:P,D130,Negócios!AG:AG,"CC 12x",Negócios!AH:AH,"&lt;&gt;n")
      +SUMIFS(Negócios!N:N,Negócios!A:A,A130,Negócios!B:B,B130,Negócios!P:P,D130,Negócios!AG:AG,"CC 12x",Negócios!AH:AH,"&lt;&gt;n"),
    AND(F130="Consultor",H130="MRR"),
      SUMIFS(Negócios!L:L,Negócios!A:A,A130,Negócios!B:B,B130,Negócios!P:P,D130,Negócios!AG:AG,"CC 12x",Negócios!AH:AH,"&lt;&gt;n"),
    AND(F130="Consultor",H130="Opps"),
      SUMIFS('Realizado GD'!D:D,'Realizado GD'!A:A,A130,'Realizado GD'!B:B,B130,'Realizado GD'!C:C,D130),
    D130="sonia.zielinski@altoqi.com.br",
      SUM(SUMIFS(Negócios!L:L,Negócios!A:A,A130,Negócios!B:B,B130,Negócios!R:R,{"FSB";"Ares"},Negócios!AG:AG,"CC 12x",Negócios!AH:AH,"&lt;&gt;n"))
      +SUMIFS(Negócios!M:M,Negócios!A:A,A130,Negócios!B:B,B130,Negócios!R:R,"Farmer",Negócios!AG:AG,"CC 12x",Negócios!AH:AH,"&lt;&gt;n")
      +SUMIFS(Negócios!N:N,Negócios!A:A,A130,Negócios!B:B,B130,Negócios!R:R,"Farmer",Negócios!AG:AG,"CC 12x",Negócios!AH:AH,"&lt;&gt;n"),
    OR(
      D130="anderson.ortiz@altoqi.com.br",
      D130="rafael.motta@altoqi.com.br",
      D130="beatriz@altoqi.com.br"
    ),
      SUMIFS(Negócios!L:L,Negócios!A:A,A130,Negócios!B:B,B130,Negócios!R:R,E130,Negócios!AG:AG,"CC 12x",Negócios!AH:AH,"&lt;&gt;n"),
    AND(F130="Gestor",H130="MRR"),
      SUMIFS(I:I,A:A,A130,B:B,B130,G:G,D130),
    TRUE,
      ""
  )
)</f>
        <v>1271.6400000000001</v>
      </c>
      <c r="T130" s="10">
        <f t="shared" si="73"/>
        <v>0.10251714275410147</v>
      </c>
      <c r="U130" s="30">
        <f>SUMIFS('Acel Form Pag'!F:F,'Acel Form Pag'!A:A,A130,'Acel Form Pag'!B:B,B130,'Acel Form Pag'!C:C,E130)</f>
        <v>1.1499999999999999</v>
      </c>
      <c r="V130" s="32" cm="1">
        <f t="array" ref="V130">IF(
  D130="rafael.acencio@altoqi.com.br",
  SUMIFS(Negócios!L:L,Negócios!A:A,A130,Negócios!B:B,B130,Negócios!Q:Q,E130,Negócios!AG:AG,"Recorrente",Negócios!AH:AH,"&lt;&gt;n"),
  _xlfn.IFS(
    AND(F130="Consultor",H130="MRR",E130="Farmer"),
      SUMIFS(Negócios!M:M,Negócios!A:A,A130,Negócios!B:B,B130,Negócios!P:P,D130,Negócios!AG:AG,"Recorrente",Negócios!AH:AH,"&lt;&gt;n")
      +SUMIFS(Negócios!N:N,Negócios!A:A,A130,Negócios!B:B,B130,Negócios!P:P,D130,Negócios!AG:AG,"Recorrente",Negócios!AH:AH,"&lt;&gt;n"),
    AND(F130="Consultor",H130="MRR"),
      SUMIFS(Negócios!L:L,Negócios!A:A,A130,Negócios!B:B,B130,Negócios!P:P,D130,Negócios!AG:AG,"Recorrente",Negócios!AH:AH,"&lt;&gt;n"),
    AND(F130="Consultor",H130="Opps"),
      SUMIFS('Realizado GD'!D:D,'Realizado GD'!A:A,A130,'Realizado GD'!B:B,B130,'Realizado GD'!C:C,D130),
    D130="sonia.zielinski@altoqi.com.br",
      SUM(SUMIFS(Negócios!L:L,Negócios!A:A,A130,Negócios!B:B,B130,Negócios!R:R,{"FSB";"Ares"},Negócios!AG:AG,"Recorrente",Negócios!AH:AH,"&lt;&gt;n"))
      +SUMIFS(Negócios!M:M,Negócios!A:A,A130,Negócios!B:B,B130,Negócios!R:R,"Farmer",Negócios!AG:AG,"Recorrente",Negócios!AH:AH,"&lt;&gt;n")
      +SUMIFS(Negócios!N:N,Negócios!A:A,A130,Negócios!B:B,B130,Negócios!R:R,"Farmer",Negócios!AG:AG,"Recorrente",Negócios!AH:AH,"&lt;&gt;n"),
    OR(
      D130="anderson.ortiz@altoqi.com.br",
      D130="rafael.motta@altoqi.com.br",
      D130="beatriz@altoqi.com.br"
    ),
      SUMIFS(Negócios!L:L,Negócios!A:A,A130,Negócios!B:B,B130,Negócios!R:R,E130,Negócios!AG:AG,"Recorrente",Negócios!AH:AH,"&lt;&gt;n"),
    AND(F130="Gestor",H130="MRR"),
      SUMIFS(I:I,A:A,A130,B:B,B130,G:G,D130),
    TRUE,
      ""
  )
)</f>
        <v>10645.179349999999</v>
      </c>
      <c r="W130" s="10">
        <f t="shared" si="74"/>
        <v>0.85819364841225731</v>
      </c>
      <c r="X130" s="34">
        <f>SUMIFS('Acel Form Pag'!G:G,'Acel Form Pag'!A:A,A130,'Acel Form Pag'!B:B,B130,'Acel Form Pag'!C:C,E130)</f>
        <v>1</v>
      </c>
      <c r="Y130" s="24">
        <f>MAX(_xlfn.MAXIFS(Parâmetros!O:O,Parâmetros!A:A,A130,Parâmetros!B:B,B130,Parâmetros!D:D,D130,Parâmetros!M:M,"&lt;="&amp;K130),_xlfn.MAXIFS(Parâmetros!L:L,Parâmetros!A:A,A130,Parâmetros!B:B,B130,Parâmetros!D:D,D130,Parâmetros!J:J,"&lt;="&amp;K130),_xlfn.MAXIFS(Parâmetros!I:I,Parâmetros!A:A,A130,Parâmetros!B:B,B130,Parâmetros!D:D,D130))</f>
        <v>4356</v>
      </c>
      <c r="Z130" s="9">
        <f>MAX(_xlfn.MAXIFS(Parâmetros!Q:Q,Parâmetros!A:A,A130,Parâmetros!B:B,B130,Parâmetros!D:D,D130,Parâmetros!E:E,E130,Parâmetros!P:P,"&lt;="&amp;K130),
_xlfn.MAXIFS(Parâmetros!S:S,Parâmetros!A:A,A130,Parâmetros!B:B,B130,Parâmetros!D:D,D130,Parâmetros!E:E,E130,Parâmetros!R:R,"&lt;="&amp;K130),
_xlfn.MAXIFS(Parâmetros!U:U,Parâmetros!A:A,A130,Parâmetros!B:B,B130,Parâmetros!D:D,D130,Parâmetros!E:E,E130,Parâmetros!T:T,"&lt;="&amp;K130),1) * IF(K130 &gt;= SUMIFS(Parâmetros!G:G,Parâmetros!A:A,A130,Parâmetros!B:B,B130,Parâmetros!D:D,D130,Parâmetros!E:E,E130),1,0)</f>
        <v>1.2</v>
      </c>
      <c r="AA130" s="16">
        <f t="shared" si="56"/>
        <v>5613.7726429714276</v>
      </c>
      <c r="AB130" s="16">
        <f t="shared" si="57"/>
        <v>5766.2670383999975</v>
      </c>
      <c r="AC130" s="15">
        <f>IF(F130="Gestor",SUMIFS(AC:AC,A:A,A130,B:B,B130,G:G,D130),
IF(E130="Saving",SUMIFS(Negócios!I:I,Negócios!A:A,A130,Negócios!B:B,B130,Negócios!P:P,D130,Negócios!H:H,"Curso",Negócios!AH:AH,"&lt;&gt;n") +
SUMIFS(Negócios!I:I,Negócios!A:A,A130,Negócios!B:B,B130,Negócios!P:P,D130,Negócios!H:H,"Serviço",Negócios!AH:AH,"&lt;&gt;n") +
SUMIFS(Negócios!I:I,Negócios!A:A,A130,Negócios!B:B,B130,Negócios!P:P,D130,Negócios!H:H,"Implantação",Negócios!AH:AH,"&lt;&gt;n"),
SUMIFS(Negócios!I:I,Negócios!A:A,A130,Negócios!B:B,B130,Negócios!P:P,D130,Negócios!H:H,"Implantação",Negócios!AH:AH,"&lt;&gt;n")))</f>
        <v>0</v>
      </c>
      <c r="AD130" s="16">
        <f>SUMIFS(Parâmetros!W:W,Parâmetros!A:A,A130,Parâmetros!B:B,B130,Parâmetros!D:D,D130) * AC130 * IF(K130 &gt;= SUMIFS(Parâmetros!V:V,Parâmetros!A:A,A130,Parâmetros!B:B,B130,Parâmetros!D:D,D130),1,0)</f>
        <v>0</v>
      </c>
      <c r="AE130" s="15">
        <f>SUMIFS('Recuperação de Canc e Divs'!D:D,'Recuperação de Canc e Divs'!A:A,A130,'Recuperação de Canc e Divs'!B:B,B130,'Recuperação de Canc e Divs'!C:C,D130)</f>
        <v>0</v>
      </c>
      <c r="AF130" s="16">
        <f>IF(K130&gt;=SUMIFS(Parâmetros!J:J,Parâmetros!A:A,A130,Parâmetros!B:B,B130,Parâmetros!D:D,D130),AE130*0.025,0)</f>
        <v>0</v>
      </c>
      <c r="AG130" s="15" t="str">
        <f t="shared" si="58"/>
        <v/>
      </c>
      <c r="AH130" s="16" t="str">
        <f t="shared" si="59"/>
        <v/>
      </c>
      <c r="AI130" s="90">
        <f t="shared" si="60"/>
        <v>0</v>
      </c>
      <c r="AJ130" s="16" t="str">
        <f t="shared" si="61"/>
        <v/>
      </c>
      <c r="AK130" s="16" t="str">
        <f t="shared" si="62"/>
        <v/>
      </c>
      <c r="AL130" s="90">
        <f t="shared" si="63"/>
        <v>0</v>
      </c>
      <c r="AM130" s="93" t="str">
        <f t="shared" si="64"/>
        <v/>
      </c>
      <c r="AN130" s="94" t="str">
        <f>IF(OR(B130=3,B130=6,B130=9,B130=12),
IF(AND(AL130&gt;=1,AI130&gt;=SUMIFS(Parâmetros!G:G,Parâmetros!A:A,Comissões!A130,Parâmetros!B:B,Comissões!B130,Parâmetros!D:D,Comissões!D130,Parâmetros!E:E,Comissões!E130)),AI130*0.3,""),"")</f>
        <v/>
      </c>
      <c r="AO130" s="16">
        <f t="shared" si="65"/>
        <v>12404.169349999998</v>
      </c>
      <c r="AP130" s="16">
        <f t="shared" si="66"/>
        <v>0.99999999999999989</v>
      </c>
    </row>
    <row r="131" spans="1:42" hidden="1">
      <c r="A131" s="7">
        <v>2026</v>
      </c>
      <c r="B131" s="7">
        <v>5</v>
      </c>
      <c r="C131" s="7" t="str">
        <v>Maicon Rodrigo Fentzke</v>
      </c>
      <c r="D131" s="7" t="str">
        <v>maicon.fentzke@altoqi.com.br</v>
      </c>
      <c r="E131" s="7" t="str">
        <v>FSB</v>
      </c>
      <c r="F131" s="7" t="str">
        <v>Consultor</v>
      </c>
      <c r="G131" s="7" t="str">
        <v>anderson.ortiz@altoqi.com.br</v>
      </c>
      <c r="H131" s="7" t="str">
        <v>MRR</v>
      </c>
      <c r="I131" s="86" cm="1">
        <f t="array" ref="I131">IF(
  D131="rafael.acencio@altoqi.com.br",
  SUMIFS(Negócios!L:L,Negócios!A:A,A131,Negócios!B:B,B131,Negócios!Q:Q,E131,Negócios!AH:AH,"&lt;&gt;n"),
  _xlfn.IFS(
    AND(F131="Consultor",H131="MRR",E131="Farmer"),
      SUMIFS(Negócios!M:M,Negócios!A:A,A131,Negócios!B:B,B131,Negócios!P:P,D131,Negócios!AH:AH,"&lt;&gt;n")
      +SUMIFS(Negócios!N:N,Negócios!A:A,A131,Negócios!B:B,B131,Negócios!P:P,D131,Negócios!AH:AH,"&lt;&gt;n"),
    AND(F131="Consultor",H131="MRR"),
      SUMIFS(Negócios!L:L,Negócios!A:A,A131,Negócios!B:B,B131,Negócios!P:P,D131,Negócios!AH:AH,"&lt;&gt;n"),
    AND(F131="Consultor",H131="Opps"),
      SUMIFS('Realizado GD'!D:D,'Realizado GD'!A:A,A131,'Realizado GD'!B:B,B131,'Realizado GD'!C:C,D131),
    D131="sonia.zielinski@altoqi.com.br",
      SUM(SUMIFS(Negócios!L:L,Negócios!A:A,A131,Negócios!B:B,B131,Negócios!R:R,{"FSB";"Ares"},Negócios!AH:AH,"&lt;&gt;n"))
      +SUMIFS(Negócios!M:M,Negócios!A:A,A131,Negócios!B:B,B131,Negócios!R:R,"Farmer",Negócios!AH:AH,"&lt;&gt;n")
      +SUMIFS(Negócios!N:N,Negócios!A:A,A131,Negócios!B:B,B131,Negócios!R:R,"Farmer",Negócios!AH:AH,"&lt;&gt;n"),
    OR(
      D131="anderson.ortiz@altoqi.com.br",
      D131="rafael.motta@altoqi.com.br",
      D131="beatriz@altoqi.com.br"
    ),
      SUMIFS(Negócios!L:L,Negócios!A:A,A131,Negócios!B:B,B131,Negócios!R:R,E131,Negócios!AH:AH,"&lt;&gt;n"),
    AND(F131="Gestor",H131="MRR"),
      SUMIFS(I:I,A:A,A131,B:B,B131,G:G,D131),
    TRUE,
      ""
  )
)</f>
        <v>8009.0650000000014</v>
      </c>
      <c r="J131" s="16">
        <f>SUMIFS(Metas!K:K,Metas!A:A,A131,Metas!B:B,B131,Metas!D:D,D131,Metas!H:H,H131)</f>
        <v>5775</v>
      </c>
      <c r="K131" s="10">
        <f t="shared" si="55"/>
        <v>1.3868510822510824</v>
      </c>
      <c r="L131" s="26" t="str" cm="1">
        <f t="array" ref="L131">_xlfn.LET(
 _xlpm.g,_xlfn.MAXIFS(Parâmetros!G:G,Parâmetros!A:A,A131,Parâmetros!B:B,B131,Parâmetros!D:D,D131,Parâmetros!E:E,E131),
 _xlpm.j,_xlfn.MAXIFS(Parâmetros!J:J,Parâmetros!A:A,A131,Parâmetros!B:B,B131,Parâmetros!D:D,D131,Parâmetros!E:E,E131),
 _xlpm.m,_xlfn.MAXIFS(Parâmetros!M:M,Parâmetros!A:A,A131,Parâmetros!B:B,B131,Parâmetros!D:D,D131,Parâmetros!E:E,E131),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/>
      </c>
      <c r="M131" s="28" cm="1">
        <f t="array" ref="M131">IF(
  D131="rafael.acencio@altoqi.com.br",
  SUMIFS(Negócios!L:L,Negócios!A:A,A131,Negócios!B:B,B131,Negócios!Q:Q,E131,Negócios!AG:AG,"À Vista",Negócios!AH:AH,"&lt;&gt;n"),
  _xlfn.IFS(
    AND(F131="Consultor",H131="MRR",E131="Farmer"),
      SUMIFS(Negócios!M:M,Negócios!A:A,A131,Negócios!B:B,B131,Negócios!P:P,D131,Negócios!AG:AG,"À Vista",Negócios!AH:AH,"&lt;&gt;n")
      +SUMIFS(Negócios!N:N,Negócios!A:A,A131,Negócios!B:B,B131,Negócios!P:P,D131,Negócios!AG:AG,"À Vista",Negócios!AH:AH,"&lt;&gt;n"),
    AND(F131="Consultor",H131="MRR"),
      SUMIFS(Negócios!L:L,Negócios!A:A,A131,Negócios!B:B,B131,Negócios!P:P,D131,Negócios!AG:AG,"À Vista",Negócios!AH:AH,"&lt;&gt;n"),
    AND(F131="Consultor",H131="Opps"),
      SUMIFS('Realizado GD'!D:D,'Realizado GD'!A:A,A131,'Realizado GD'!B:B,B131,'Realizado GD'!C:C,D131),
    D131="sonia.zielinski@altoqi.com.br",
      SUM(SUMIFS(Negócios!L:L,Negócios!A:A,A131,Negócios!B:B,B131,Negócios!R:R,{"FSB";"Ares"},Negócios!AG:AG,"À Vista",Negócios!AH:AH,"&lt;&gt;n"))
      +SUMIFS(Negócios!M:M,Negócios!A:A,A131,Negócios!B:B,B131,Negócios!R:R,"Farmer",Negócios!AG:AG,"À Vista",Negócios!AH:AH,"&lt;&gt;n")
      +SUMIFS(Negócios!N:N,Negócios!A:A,A131,Negócios!B:B,B131,Negócios!R:R,"Farmer",Negócios!AG:AG,"À Vista",Negócios!AH:AH,"&lt;&gt;n"),
    OR(
      D131="anderson.ortiz@altoqi.com.br",
      D131="rafael.motta@altoqi.com.br",
      D131="beatriz@altoqi.com.br"
    ),
      SUMIFS(Negócios!L:L,Negócios!A:A,A131,Negócios!B:B,B131,Negócios!R:R,E131,Negócios!AG:AG,"À Vista",Negócios!AH:AH,"&lt;&gt;n"),
    AND(F131="Gestor",H131="MRR"),
      SUMIFS(I:I,A:A,A131,B:B,B131,G:G,D131),
    TRUE,
      ""
  )
)</f>
        <v>685.27</v>
      </c>
      <c r="N131" s="10">
        <f t="shared" si="71"/>
        <v>8.5561797787881588E-2</v>
      </c>
      <c r="O131" s="30">
        <f>SUMIFS('Acel Form Pag'!D:D,'Acel Form Pag'!A:A,A131,'Acel Form Pag'!B:B,B131,'Acel Form Pag'!C:C,E131)</f>
        <v>1.3</v>
      </c>
      <c r="P131" s="87" cm="1">
        <f t="array" ref="P131">IF(
  D131="rafael.acencio@altoqi.com.br",
  SUMIFS(Negócios!M:M,Negócios!A:A,A131,Negócios!B:B,B131,Negócios!Q:Q,E131,Negócios!AG:AG,"CC 3x",Negócios!AH:AH,"&lt;&gt;n"),
  _xlfn.IFS(
    AND(F131="Consultor",H131="MRR",E131="Farmer"),
      SUMIFS(Negócios!M:M,Negócios!A:A,A131,Negócios!B:B,B131,Negócios!P:P,D131,Negócios!AG:AG,"CC 3x",Negócios!AH:AH,"&lt;&gt;n")
      +SUMIFS(Negócios!N:N,Negócios!A:A,A131,Negócios!B:B,B131,Negócios!P:P,D131,Negócios!AG:AG,"CC 3x",Negócios!AH:AH,"&lt;&gt;n"),
    AND(F131="Consultor",H131="MRR"),
      SUMIFS(Negócios!L:L,Negócios!A:A,A131,Negócios!B:B,B131,Negócios!P:P,D131,Negócios!AG:AG,"CC 3x",Negócios!AH:AH,"&lt;&gt;n"),
    AND(F131="Consultor",H131="Opps"),
      SUMIFS('Realizado GD'!D:D,'Realizado GD'!A:A,A131,'Realizado GD'!B:B,B131,'Realizado GD'!C:C,D131),
    D131="sonia.zielinski@altoqi.com.br",
      SUM(SUMIFS(Negócios!L:L,Negócios!A:A,A131,Negócios!B:B,B131,Negócios!R:R,{"FSB";"Ares"},Negócios!AG:AG,"CC 3x",Negócios!AH:AH,"&lt;&gt;n"))
      +SUMIFS(Negócios!M:M,Negócios!A:A,A131,Negócios!B:B,B131,Negócios!R:R,"Farmer",Negócios!AG:AG,"CC 3x",Negócios!AH:AH,"&lt;&gt;n")
      +SUMIFS(Negócios!N:N,Negócios!A:A,A131,Negócios!B:B,B131,Negócios!R:R,"Farmer",Negócios!AG:AG,"CC 3x",Negócios!AH:AH,"&lt;&gt;n"),
    OR(
      D131="anderson.ortiz@altoqi.com.br",
      D131="rafael.motta@altoqi.com.br",
      D131="beatriz@altoqi.com.br"
    ),
      SUMIFS(Negócios!M:M,Negócios!A:A,A131,Negócios!B:B,B131,Negócios!R:R,E131,Negócios!AG:AG,"CC 3x",Negócios!AH:AH,"&lt;&gt;n"),
    AND(F131="Gestor",H131="MRR"),
      SUMIFS(I:I,A:A,A131,B:B,B131,G:G,D131),
    TRUE,
      ""
  )
)</f>
        <v>0</v>
      </c>
      <c r="Q131" s="10">
        <f t="shared" si="72"/>
        <v>0</v>
      </c>
      <c r="R131" s="30">
        <f>SUMIFS('Acel Form Pag'!E:E,'Acel Form Pag'!A:A,A131,'Acel Form Pag'!B:B,B131,'Acel Form Pag'!C:C,E131)</f>
        <v>1.1499999999999999</v>
      </c>
      <c r="S131" s="32" cm="1">
        <f t="array" ref="S131">IF(
  D131="rafael.acencio@altoqi.com.br",
  SUMIFS(Negócios!L:L,Negócios!A:A,A131,Negócios!B:B,B131,Negócios!Q:Q,E131,Negócios!AG:AG,"CC 12x",Negócios!AH:AH,"&lt;&gt;n"),
  _xlfn.IFS(
    AND(F131="Consultor",H131="MRR",E131="Farmer"),
      SUMIFS(Negócios!M:M,Negócios!A:A,A131,Negócios!B:B,B131,Negócios!P:P,D131,Negócios!AG:AG,"CC 12x",Negócios!AH:AH,"&lt;&gt;n")
      +SUMIFS(Negócios!N:N,Negócios!A:A,A131,Negócios!B:B,B131,Negócios!P:P,D131,Negócios!AG:AG,"CC 12x",Negócios!AH:AH,"&lt;&gt;n"),
    AND(F131="Consultor",H131="MRR"),
      SUMIFS(Negócios!L:L,Negócios!A:A,A131,Negócios!B:B,B131,Negócios!P:P,D131,Negócios!AG:AG,"CC 12x",Negócios!AH:AH,"&lt;&gt;n"),
    AND(F131="Consultor",H131="Opps"),
      SUMIFS('Realizado GD'!D:D,'Realizado GD'!A:A,A131,'Realizado GD'!B:B,B131,'Realizado GD'!C:C,D131),
    D131="sonia.zielinski@altoqi.com.br",
      SUM(SUMIFS(Negócios!L:L,Negócios!A:A,A131,Negócios!B:B,B131,Negócios!R:R,{"FSB";"Ares"},Negócios!AG:AG,"CC 12x",Negócios!AH:AH,"&lt;&gt;n"))
      +SUMIFS(Negócios!M:M,Negócios!A:A,A131,Negócios!B:B,B131,Negócios!R:R,"Farmer",Negócios!AG:AG,"CC 12x",Negócios!AH:AH,"&lt;&gt;n")
      +SUMIFS(Negócios!N:N,Negócios!A:A,A131,Negócios!B:B,B131,Negócios!R:R,"Farmer",Negócios!AG:AG,"CC 12x",Negócios!AH:AH,"&lt;&gt;n"),
    OR(
      D131="anderson.ortiz@altoqi.com.br",
      D131="rafael.motta@altoqi.com.br",
      D131="beatriz@altoqi.com.br"
    ),
      SUMIFS(Negócios!L:L,Negócios!A:A,A131,Negócios!B:B,B131,Negócios!R:R,E131,Negócios!AG:AG,"CC 12x",Negócios!AH:AH,"&lt;&gt;n"),
    AND(F131="Gestor",H131="MRR"),
      SUMIFS(I:I,A:A,A131,B:B,B131,G:G,D131),
    TRUE,
      ""
  )
)</f>
        <v>3300.645</v>
      </c>
      <c r="T131" s="10">
        <f t="shared" si="73"/>
        <v>0.41211364872179207</v>
      </c>
      <c r="U131" s="30">
        <f>SUMIFS('Acel Form Pag'!F:F,'Acel Form Pag'!A:A,A131,'Acel Form Pag'!B:B,B131,'Acel Form Pag'!C:C,E131)</f>
        <v>1.1499999999999999</v>
      </c>
      <c r="V131" s="32" cm="1">
        <f t="array" ref="V131">IF(
  D131="rafael.acencio@altoqi.com.br",
  SUMIFS(Negócios!L:L,Negócios!A:A,A131,Negócios!B:B,B131,Negócios!Q:Q,E131,Negócios!AG:AG,"Recorrente",Negócios!AH:AH,"&lt;&gt;n"),
  _xlfn.IFS(
    AND(F131="Consultor",H131="MRR",E131="Farmer"),
      SUMIFS(Negócios!M:M,Negócios!A:A,A131,Negócios!B:B,B131,Negócios!P:P,D131,Negócios!AG:AG,"Recorrente",Negócios!AH:AH,"&lt;&gt;n")
      +SUMIFS(Negócios!N:N,Negócios!A:A,A131,Negócios!B:B,B131,Negócios!P:P,D131,Negócios!AG:AG,"Recorrente",Negócios!AH:AH,"&lt;&gt;n"),
    AND(F131="Consultor",H131="MRR"),
      SUMIFS(Negócios!L:L,Negócios!A:A,A131,Negócios!B:B,B131,Negócios!P:P,D131,Negócios!AG:AG,"Recorrente",Negócios!AH:AH,"&lt;&gt;n"),
    AND(F131="Consultor",H131="Opps"),
      SUMIFS('Realizado GD'!D:D,'Realizado GD'!A:A,A131,'Realizado GD'!B:B,B131,'Realizado GD'!C:C,D131),
    D131="sonia.zielinski@altoqi.com.br",
      SUM(SUMIFS(Negócios!L:L,Negócios!A:A,A131,Negócios!B:B,B131,Negócios!R:R,{"FSB";"Ares"},Negócios!AG:AG,"Recorrente",Negócios!AH:AH,"&lt;&gt;n"))
      +SUMIFS(Negócios!M:M,Negócios!A:A,A131,Negócios!B:B,B131,Negócios!R:R,"Farmer",Negócios!AG:AG,"Recorrente",Negócios!AH:AH,"&lt;&gt;n")
      +SUMIFS(Negócios!N:N,Negócios!A:A,A131,Negócios!B:B,B131,Negócios!R:R,"Farmer",Negócios!AG:AG,"Recorrente",Negócios!AH:AH,"&lt;&gt;n"),
    OR(
      D131="anderson.ortiz@altoqi.com.br",
      D131="rafael.motta@altoqi.com.br",
      D131="beatriz@altoqi.com.br"
    ),
      SUMIFS(Negócios!L:L,Negócios!A:A,A131,Negócios!B:B,B131,Negócios!R:R,E131,Negócios!AG:AG,"Recorrente",Negócios!AH:AH,"&lt;&gt;n"),
    AND(F131="Gestor",H131="MRR"),
      SUMIFS(I:I,A:A,A131,B:B,B131,G:G,D131),
    TRUE,
      ""
  )
)</f>
        <v>4023.15</v>
      </c>
      <c r="W131" s="10">
        <f t="shared" si="74"/>
        <v>0.50232455349032623</v>
      </c>
      <c r="X131" s="34">
        <f>SUMIFS('Acel Form Pag'!G:G,'Acel Form Pag'!A:A,A131,'Acel Form Pag'!B:B,B131,'Acel Form Pag'!C:C,E131)</f>
        <v>1</v>
      </c>
      <c r="Y131" s="24">
        <f>MAX(_xlfn.MAXIFS(Parâmetros!O:O,Parâmetros!A:A,A131,Parâmetros!B:B,B131,Parâmetros!D:D,D131,Parâmetros!M:M,"&lt;="&amp;K131),_xlfn.MAXIFS(Parâmetros!L:L,Parâmetros!A:A,A131,Parâmetros!B:B,B131,Parâmetros!D:D,D131,Parâmetros!J:J,"&lt;="&amp;K131),_xlfn.MAXIFS(Parâmetros!I:I,Parâmetros!A:A,A131,Parâmetros!B:B,B131,Parâmetros!D:D,D131))</f>
        <v>2178</v>
      </c>
      <c r="Z131" s="9">
        <f>MAX(_xlfn.MAXIFS(Parâmetros!Q:Q,Parâmetros!A:A,A131,Parâmetros!B:B,B131,Parâmetros!D:D,D131,Parâmetros!E:E,E131,Parâmetros!P:P,"&lt;="&amp;K131),
_xlfn.MAXIFS(Parâmetros!S:S,Parâmetros!A:A,A131,Parâmetros!B:B,B131,Parâmetros!D:D,D131,Parâmetros!E:E,E131,Parâmetros!R:R,"&lt;="&amp;K131),
_xlfn.MAXIFS(Parâmetros!U:U,Parâmetros!A:A,A131,Parâmetros!B:B,B131,Parâmetros!D:D,D131,Parâmetros!E:E,E131,Parâmetros!T:T,"&lt;="&amp;K131),1) * IF(K131 &gt;= SUMIFS(Parâmetros!G:G,Parâmetros!A:A,A131,Parâmetros!B:B,B131,Parâmetros!D:D,D131,Parâmetros!E:E,E131),1,0)</f>
        <v>1.3</v>
      </c>
      <c r="AA131" s="16">
        <f t="shared" si="56"/>
        <v>3926.7301542857149</v>
      </c>
      <c r="AB131" s="16">
        <f t="shared" si="57"/>
        <v>4270.2624454285715</v>
      </c>
      <c r="AC131" s="15">
        <f>IF(F131="Gestor",SUMIFS(AC:AC,A:A,A131,B:B,B131,G:G,D131),
IF(E131="Saving",SUMIFS(Negócios!I:I,Negócios!A:A,A131,Negócios!B:B,B131,Negócios!P:P,D131,Negócios!H:H,"Curso",Negócios!AH:AH,"&lt;&gt;n") +
SUMIFS(Negócios!I:I,Negócios!A:A,A131,Negócios!B:B,B131,Negócios!P:P,D131,Negócios!H:H,"Serviço",Negócios!AH:AH,"&lt;&gt;n") +
SUMIFS(Negócios!I:I,Negócios!A:A,A131,Negócios!B:B,B131,Negócios!P:P,D131,Negócios!H:H,"Implantação",Negócios!AH:AH,"&lt;&gt;n"),
SUMIFS(Negócios!I:I,Negócios!A:A,A131,Negócios!B:B,B131,Negócios!P:P,D131,Negócios!H:H,"Implantação",Negócios!AH:AH,"&lt;&gt;n")))</f>
        <v>0</v>
      </c>
      <c r="AD131" s="16">
        <f>SUMIFS(Parâmetros!W:W,Parâmetros!A:A,A131,Parâmetros!B:B,B131,Parâmetros!D:D,D131) * AC131 * IF(K131 &gt;= SUMIFS(Parâmetros!V:V,Parâmetros!A:A,A131,Parâmetros!B:B,B131,Parâmetros!D:D,D131),1,0)</f>
        <v>0</v>
      </c>
      <c r="AE131" s="15">
        <f>SUMIFS('Recuperação de Canc e Divs'!D:D,'Recuperação de Canc e Divs'!A:A,A131,'Recuperação de Canc e Divs'!B:B,B131,'Recuperação de Canc e Divs'!C:C,D131)</f>
        <v>0</v>
      </c>
      <c r="AF131" s="16">
        <f>IF(K131&gt;=SUMIFS(Parâmetros!J:J,Parâmetros!A:A,A131,Parâmetros!B:B,B131,Parâmetros!D:D,D131),AE131*0.025,0)</f>
        <v>0</v>
      </c>
      <c r="AG131" s="15" t="str">
        <f t="shared" si="58"/>
        <v/>
      </c>
      <c r="AH131" s="16" t="str">
        <f t="shared" si="59"/>
        <v/>
      </c>
      <c r="AI131" s="90">
        <f t="shared" si="60"/>
        <v>0</v>
      </c>
      <c r="AJ131" s="16" t="str">
        <f t="shared" si="61"/>
        <v/>
      </c>
      <c r="AK131" s="16" t="str">
        <f t="shared" si="62"/>
        <v/>
      </c>
      <c r="AL131" s="90">
        <f t="shared" si="63"/>
        <v>0</v>
      </c>
      <c r="AM131" s="93" t="str">
        <f t="shared" si="64"/>
        <v/>
      </c>
      <c r="AN131" s="94" t="str">
        <f>IF(OR(B131=3,B131=6,B131=9,B131=12),
IF(AND(AL131&gt;=1,AI131&gt;=SUMIFS(Parâmetros!G:G,Parâmetros!A:A,Comissões!A131,Parâmetros!B:B,Comissões!B131,Parâmetros!D:D,Comissões!D131,Parâmetros!E:E,Comissões!E131)),AI131*0.3,""),"")</f>
        <v/>
      </c>
      <c r="AO131" s="16">
        <f t="shared" si="65"/>
        <v>8009.0650000000005</v>
      </c>
      <c r="AP131" s="16">
        <f t="shared" si="66"/>
        <v>0.99999999999999989</v>
      </c>
    </row>
    <row r="132" spans="1:42" hidden="1">
      <c r="A132" s="7">
        <v>2026</v>
      </c>
      <c r="B132" s="7">
        <v>5</v>
      </c>
      <c r="C132" s="7" t="str">
        <v>Renata Scheffer</v>
      </c>
      <c r="D132" s="7" t="str">
        <v>renata.scheffer@altoqi.com.br</v>
      </c>
      <c r="E132" s="7" t="str">
        <v>FSB</v>
      </c>
      <c r="F132" s="7" t="str">
        <v>Consultor</v>
      </c>
      <c r="G132" s="7" t="str">
        <v>anderson.ortiz@altoqi.com.br</v>
      </c>
      <c r="H132" s="7" t="str">
        <v>MRR</v>
      </c>
      <c r="I132" s="86" cm="1">
        <f t="array" ref="I132">IF(
  D132="rafael.acencio@altoqi.com.br",
  SUMIFS(Negócios!L:L,Negócios!A:A,A132,Negócios!B:B,B132,Negócios!Q:Q,E132,Negócios!AH:AH,"&lt;&gt;n"),
  _xlfn.IFS(
    AND(F132="Consultor",H132="MRR",E132="Farmer"),
      SUMIFS(Negócios!M:M,Negócios!A:A,A132,Negócios!B:B,B132,Negócios!P:P,D132,Negócios!AH:AH,"&lt;&gt;n")
      +SUMIFS(Negócios!N:N,Negócios!A:A,A132,Negócios!B:B,B132,Negócios!P:P,D132,Negócios!AH:AH,"&lt;&gt;n"),
    AND(F132="Consultor",H132="MRR"),
      SUMIFS(Negócios!L:L,Negócios!A:A,A132,Negócios!B:B,B132,Negócios!P:P,D132,Negócios!AH:AH,"&lt;&gt;n"),
    AND(F132="Consultor",H132="Opps"),
      SUMIFS('Realizado GD'!D:D,'Realizado GD'!A:A,A132,'Realizado GD'!B:B,B132,'Realizado GD'!C:C,D132),
    D132="sonia.zielinski@altoqi.com.br",
      SUM(SUMIFS(Negócios!L:L,Negócios!A:A,A132,Negócios!B:B,B132,Negócios!R:R,{"FSB";"Ares"},Negócios!AH:AH,"&lt;&gt;n"))
      +SUMIFS(Negócios!M:M,Negócios!A:A,A132,Negócios!B:B,B132,Negócios!R:R,"Farmer",Negócios!AH:AH,"&lt;&gt;n")
      +SUMIFS(Negócios!N:N,Negócios!A:A,A132,Negócios!B:B,B132,Negócios!R:R,"Farmer",Negócios!AH:AH,"&lt;&gt;n"),
    OR(
      D132="anderson.ortiz@altoqi.com.br",
      D132="rafael.motta@altoqi.com.br",
      D132="beatriz@altoqi.com.br"
    ),
      SUMIFS(Negócios!L:L,Negócios!A:A,A132,Negócios!B:B,B132,Negócios!R:R,E132,Negócios!AH:AH,"&lt;&gt;n"),
    AND(F132="Gestor",H132="MRR"),
      SUMIFS(I:I,A:A,A132,B:B,B132,G:G,D132),
    TRUE,
      ""
  )
)</f>
        <v>10632.094500000003</v>
      </c>
      <c r="J132" s="16">
        <f>SUMIFS(Metas!K:K,Metas!A:A,A132,Metas!B:B,B132,Metas!D:D,D132,Metas!H:H,H132)</f>
        <v>10500</v>
      </c>
      <c r="K132" s="10">
        <f t="shared" si="55"/>
        <v>1.0125804285714288</v>
      </c>
      <c r="L132" s="26" t="str" cm="1">
        <f t="array" ref="L132">_xlfn.LET(
 _xlpm.g,_xlfn.MAXIFS(Parâmetros!G:G,Parâmetros!A:A,A132,Parâmetros!B:B,B132,Parâmetros!D:D,D132,Parâmetros!E:E,E132),
 _xlpm.j,_xlfn.MAXIFS(Parâmetros!J:J,Parâmetros!A:A,A132,Parâmetros!B:B,B132,Parâmetros!D:D,D132,Parâmetros!E:E,E132),
 _xlpm.m,_xlfn.MAXIFS(Parâmetros!M:M,Parâmetros!A:A,A132,Parâmetros!B:B,B132,Parâmetros!D:D,D132,Parâmetros!E:E,E132),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/>
      </c>
      <c r="M132" s="28" cm="1">
        <f t="array" ref="M132">IF(
  D132="rafael.acencio@altoqi.com.br",
  SUMIFS(Negócios!L:L,Negócios!A:A,A132,Negócios!B:B,B132,Negócios!Q:Q,E132,Negócios!AG:AG,"À Vista",Negócios!AH:AH,"&lt;&gt;n"),
  _xlfn.IFS(
    AND(F132="Consultor",H132="MRR",E132="Farmer"),
      SUMIFS(Negócios!M:M,Negócios!A:A,A132,Negócios!B:B,B132,Negócios!P:P,D132,Negócios!AG:AG,"À Vista",Negócios!AH:AH,"&lt;&gt;n")
      +SUMIFS(Negócios!N:N,Negócios!A:A,A132,Negócios!B:B,B132,Negócios!P:P,D132,Negócios!AG:AG,"À Vista",Negócios!AH:AH,"&lt;&gt;n"),
    AND(F132="Consultor",H132="MRR"),
      SUMIFS(Negócios!L:L,Negócios!A:A,A132,Negócios!B:B,B132,Negócios!P:P,D132,Negócios!AG:AG,"À Vista",Negócios!AH:AH,"&lt;&gt;n"),
    AND(F132="Consultor",H132="Opps"),
      SUMIFS('Realizado GD'!D:D,'Realizado GD'!A:A,A132,'Realizado GD'!B:B,B132,'Realizado GD'!C:C,D132),
    D132="sonia.zielinski@altoqi.com.br",
      SUM(SUMIFS(Negócios!L:L,Negócios!A:A,A132,Negócios!B:B,B132,Negócios!R:R,{"FSB";"Ares"},Negócios!AG:AG,"À Vista",Negócios!AH:AH,"&lt;&gt;n"))
      +SUMIFS(Negócios!M:M,Negócios!A:A,A132,Negócios!B:B,B132,Negócios!R:R,"Farmer",Negócios!AG:AG,"À Vista",Negócios!AH:AH,"&lt;&gt;n")
      +SUMIFS(Negócios!N:N,Negócios!A:A,A132,Negócios!B:B,B132,Negócios!R:R,"Farmer",Negócios!AG:AG,"À Vista",Negócios!AH:AH,"&lt;&gt;n"),
    OR(
      D132="anderson.ortiz@altoqi.com.br",
      D132="rafael.motta@altoqi.com.br",
      D132="beatriz@altoqi.com.br"
    ),
      SUMIFS(Negócios!L:L,Negócios!A:A,A132,Negócios!B:B,B132,Negócios!R:R,E132,Negócios!AG:AG,"À Vista",Negócios!AH:AH,"&lt;&gt;n"),
    AND(F132="Gestor",H132="MRR"),
      SUMIFS(I:I,A:A,A132,B:B,B132,G:G,D132),
    TRUE,
      ""
  )
)</f>
        <v>1284.3545000000001</v>
      </c>
      <c r="N132" s="10">
        <f t="shared" si="71"/>
        <v>0.12079976339563195</v>
      </c>
      <c r="O132" s="30">
        <f>SUMIFS('Acel Form Pag'!D:D,'Acel Form Pag'!A:A,A132,'Acel Form Pag'!B:B,B132,'Acel Form Pag'!C:C,E132)</f>
        <v>1.3</v>
      </c>
      <c r="P132" s="87" cm="1">
        <f t="array" ref="P132">IF(
  D132="rafael.acencio@altoqi.com.br",
  SUMIFS(Negócios!M:M,Negócios!A:A,A132,Negócios!B:B,B132,Negócios!Q:Q,E132,Negócios!AG:AG,"CC 3x",Negócios!AH:AH,"&lt;&gt;n"),
  _xlfn.IFS(
    AND(F132="Consultor",H132="MRR",E132="Farmer"),
      SUMIFS(Negócios!M:M,Negócios!A:A,A132,Negócios!B:B,B132,Negócios!P:P,D132,Negócios!AG:AG,"CC 3x",Negócios!AH:AH,"&lt;&gt;n")
      +SUMIFS(Negócios!N:N,Negócios!A:A,A132,Negócios!B:B,B132,Negócios!P:P,D132,Negócios!AG:AG,"CC 3x",Negócios!AH:AH,"&lt;&gt;n"),
    AND(F132="Consultor",H132="MRR"),
      SUMIFS(Negócios!L:L,Negócios!A:A,A132,Negócios!B:B,B132,Negócios!P:P,D132,Negócios!AG:AG,"CC 3x",Negócios!AH:AH,"&lt;&gt;n"),
    AND(F132="Consultor",H132="Opps"),
      SUMIFS('Realizado GD'!D:D,'Realizado GD'!A:A,A132,'Realizado GD'!B:B,B132,'Realizado GD'!C:C,D132),
    D132="sonia.zielinski@altoqi.com.br",
      SUM(SUMIFS(Negócios!L:L,Negócios!A:A,A132,Negócios!B:B,B132,Negócios!R:R,{"FSB";"Ares"},Negócios!AG:AG,"CC 3x",Negócios!AH:AH,"&lt;&gt;n"))
      +SUMIFS(Negócios!M:M,Negócios!A:A,A132,Negócios!B:B,B132,Negócios!R:R,"Farmer",Negócios!AG:AG,"CC 3x",Negócios!AH:AH,"&lt;&gt;n")
      +SUMIFS(Negócios!N:N,Negócios!A:A,A132,Negócios!B:B,B132,Negócios!R:R,"Farmer",Negócios!AG:AG,"CC 3x",Negócios!AH:AH,"&lt;&gt;n"),
    OR(
      D132="anderson.ortiz@altoqi.com.br",
      D132="rafael.motta@altoqi.com.br",
      D132="beatriz@altoqi.com.br"
    ),
      SUMIFS(Negócios!M:M,Negócios!A:A,A132,Negócios!B:B,B132,Negócios!R:R,E132,Negócios!AG:AG,"CC 3x",Negócios!AH:AH,"&lt;&gt;n"),
    AND(F132="Gestor",H132="MRR"),
      SUMIFS(I:I,A:A,A132,B:B,B132,G:G,D132),
    TRUE,
      ""
  )
)</f>
        <v>381.745</v>
      </c>
      <c r="Q132" s="10">
        <f t="shared" si="72"/>
        <v>3.5904966796523483E-2</v>
      </c>
      <c r="R132" s="30">
        <f>SUMIFS('Acel Form Pag'!E:E,'Acel Form Pag'!A:A,A132,'Acel Form Pag'!B:B,B132,'Acel Form Pag'!C:C,E132)</f>
        <v>1.1499999999999999</v>
      </c>
      <c r="S132" s="32" cm="1">
        <f t="array" ref="S132">IF(
  D132="rafael.acencio@altoqi.com.br",
  SUMIFS(Negócios!L:L,Negócios!A:A,A132,Negócios!B:B,B132,Negócios!Q:Q,E132,Negócios!AG:AG,"CC 12x",Negócios!AH:AH,"&lt;&gt;n"),
  _xlfn.IFS(
    AND(F132="Consultor",H132="MRR",E132="Farmer"),
      SUMIFS(Negócios!M:M,Negócios!A:A,A132,Negócios!B:B,B132,Negócios!P:P,D132,Negócios!AG:AG,"CC 12x",Negócios!AH:AH,"&lt;&gt;n")
      +SUMIFS(Negócios!N:N,Negócios!A:A,A132,Negócios!B:B,B132,Negócios!P:P,D132,Negócios!AG:AG,"CC 12x",Negócios!AH:AH,"&lt;&gt;n"),
    AND(F132="Consultor",H132="MRR"),
      SUMIFS(Negócios!L:L,Negócios!A:A,A132,Negócios!B:B,B132,Negócios!P:P,D132,Negócios!AG:AG,"CC 12x",Negócios!AH:AH,"&lt;&gt;n"),
    AND(F132="Consultor",H132="Opps"),
      SUMIFS('Realizado GD'!D:D,'Realizado GD'!A:A,A132,'Realizado GD'!B:B,B132,'Realizado GD'!C:C,D132),
    D132="sonia.zielinski@altoqi.com.br",
      SUM(SUMIFS(Negócios!L:L,Negócios!A:A,A132,Negócios!B:B,B132,Negócios!R:R,{"FSB";"Ares"},Negócios!AG:AG,"CC 12x",Negócios!AH:AH,"&lt;&gt;n"))
      +SUMIFS(Negócios!M:M,Negócios!A:A,A132,Negócios!B:B,B132,Negócios!R:R,"Farmer",Negócios!AG:AG,"CC 12x",Negócios!AH:AH,"&lt;&gt;n")
      +SUMIFS(Negócios!N:N,Negócios!A:A,A132,Negócios!B:B,B132,Negócios!R:R,"Farmer",Negócios!AG:AG,"CC 12x",Negócios!AH:AH,"&lt;&gt;n"),
    OR(
      D132="anderson.ortiz@altoqi.com.br",
      D132="rafael.motta@altoqi.com.br",
      D132="beatriz@altoqi.com.br"
    ),
      SUMIFS(Negócios!L:L,Negócios!A:A,A132,Negócios!B:B,B132,Negócios!R:R,E132,Negócios!AG:AG,"CC 12x",Negócios!AH:AH,"&lt;&gt;n"),
    AND(F132="Gestor",H132="MRR"),
      SUMIFS(I:I,A:A,A132,B:B,B132,G:G,D132),
    TRUE,
      ""
  )
)</f>
        <v>4974.87</v>
      </c>
      <c r="T132" s="10">
        <f t="shared" si="73"/>
        <v>0.46791062664087479</v>
      </c>
      <c r="U132" s="30">
        <f>SUMIFS('Acel Form Pag'!F:F,'Acel Form Pag'!A:A,A132,'Acel Form Pag'!B:B,B132,'Acel Form Pag'!C:C,E132)</f>
        <v>1.1499999999999999</v>
      </c>
      <c r="V132" s="32" cm="1">
        <f t="array" ref="V132">IF(
  D132="rafael.acencio@altoqi.com.br",
  SUMIFS(Negócios!L:L,Negócios!A:A,A132,Negócios!B:B,B132,Negócios!Q:Q,E132,Negócios!AG:AG,"Recorrente",Negócios!AH:AH,"&lt;&gt;n"),
  _xlfn.IFS(
    AND(F132="Consultor",H132="MRR",E132="Farmer"),
      SUMIFS(Negócios!M:M,Negócios!A:A,A132,Negócios!B:B,B132,Negócios!P:P,D132,Negócios!AG:AG,"Recorrente",Negócios!AH:AH,"&lt;&gt;n")
      +SUMIFS(Negócios!N:N,Negócios!A:A,A132,Negócios!B:B,B132,Negócios!P:P,D132,Negócios!AG:AG,"Recorrente",Negócios!AH:AH,"&lt;&gt;n"),
    AND(F132="Consultor",H132="MRR"),
      SUMIFS(Negócios!L:L,Negócios!A:A,A132,Negócios!B:B,B132,Negócios!P:P,D132,Negócios!AG:AG,"Recorrente",Negócios!AH:AH,"&lt;&gt;n"),
    AND(F132="Consultor",H132="Opps"),
      SUMIFS('Realizado GD'!D:D,'Realizado GD'!A:A,A132,'Realizado GD'!B:B,B132,'Realizado GD'!C:C,D132),
    D132="sonia.zielinski@altoqi.com.br",
      SUM(SUMIFS(Negócios!L:L,Negócios!A:A,A132,Negócios!B:B,B132,Negócios!R:R,{"FSB";"Ares"},Negócios!AG:AG,"Recorrente",Negócios!AH:AH,"&lt;&gt;n"))
      +SUMIFS(Negócios!M:M,Negócios!A:A,A132,Negócios!B:B,B132,Negócios!R:R,"Farmer",Negócios!AG:AG,"Recorrente",Negócios!AH:AH,"&lt;&gt;n")
      +SUMIFS(Negócios!N:N,Negócios!A:A,A132,Negócios!B:B,B132,Negócios!R:R,"Farmer",Negócios!AG:AG,"Recorrente",Negócios!AH:AH,"&lt;&gt;n"),
    OR(
      D132="anderson.ortiz@altoqi.com.br",
      D132="rafael.motta@altoqi.com.br",
      D132="beatriz@altoqi.com.br"
    ),
      SUMIFS(Negócios!L:L,Negócios!A:A,A132,Negócios!B:B,B132,Negócios!R:R,E132,Negócios!AG:AG,"Recorrente",Negócios!AH:AH,"&lt;&gt;n"),
    AND(F132="Gestor",H132="MRR"),
      SUMIFS(I:I,A:A,A132,B:B,B132,G:G,D132),
    TRUE,
      ""
  )
)</f>
        <v>3991.125</v>
      </c>
      <c r="W132" s="10">
        <f t="shared" si="74"/>
        <v>0.37538464316696951</v>
      </c>
      <c r="X132" s="34">
        <f>SUMIFS('Acel Form Pag'!G:G,'Acel Form Pag'!A:A,A132,'Acel Form Pag'!B:B,B132,'Acel Form Pag'!C:C,E132)</f>
        <v>1</v>
      </c>
      <c r="Y132" s="24">
        <f>MAX(_xlfn.MAXIFS(Parâmetros!O:O,Parâmetros!A:A,A132,Parâmetros!B:B,B132,Parâmetros!D:D,D132,Parâmetros!M:M,"&lt;="&amp;K132),_xlfn.MAXIFS(Parâmetros!L:L,Parâmetros!A:A,A132,Parâmetros!B:B,B132,Parâmetros!D:D,D132,Parâmetros!J:J,"&lt;="&amp;K132),_xlfn.MAXIFS(Parâmetros!I:I,Parâmetros!A:A,A132,Parâmetros!B:B,B132,Parâmetros!D:D,D132))</f>
        <v>3742.2</v>
      </c>
      <c r="Z132" s="9">
        <f>MAX(_xlfn.MAXIFS(Parâmetros!Q:Q,Parâmetros!A:A,A132,Parâmetros!B:B,B132,Parâmetros!D:D,D132,Parâmetros!E:E,E132,Parâmetros!P:P,"&lt;="&amp;K132),
_xlfn.MAXIFS(Parâmetros!S:S,Parâmetros!A:A,A132,Parâmetros!B:B,B132,Parâmetros!D:D,D132,Parâmetros!E:E,E132,Parâmetros!R:R,"&lt;="&amp;K132),
_xlfn.MAXIFS(Parâmetros!U:U,Parâmetros!A:A,A132,Parâmetros!B:B,B132,Parâmetros!D:D,D132,Parâmetros!E:E,E132,Parâmetros!T:T,"&lt;="&amp;K132),1) * IF(K132 &gt;= SUMIFS(Parâmetros!G:G,Parâmetros!A:A,A132,Parâmetros!B:B,B132,Parâmetros!D:D,D132,Parâmetros!E:E,E132),1,0)</f>
        <v>1.2</v>
      </c>
      <c r="AA132" s="16">
        <f t="shared" si="56"/>
        <v>4547.1341757600003</v>
      </c>
      <c r="AB132" s="16">
        <f t="shared" si="57"/>
        <v>5055.559561007999</v>
      </c>
      <c r="AC132" s="15">
        <f>IF(F132="Gestor",SUMIFS(AC:AC,A:A,A132,B:B,B132,G:G,D132),
IF(E132="Saving",SUMIFS(Negócios!I:I,Negócios!A:A,A132,Negócios!B:B,B132,Negócios!P:P,D132,Negócios!H:H,"Curso",Negócios!AH:AH,"&lt;&gt;n") +
SUMIFS(Negócios!I:I,Negócios!A:A,A132,Negócios!B:B,B132,Negócios!P:P,D132,Negócios!H:H,"Serviço",Negócios!AH:AH,"&lt;&gt;n") +
SUMIFS(Negócios!I:I,Negócios!A:A,A132,Negócios!B:B,B132,Negócios!P:P,D132,Negócios!H:H,"Implantação",Negócios!AH:AH,"&lt;&gt;n"),
SUMIFS(Negócios!I:I,Negócios!A:A,A132,Negócios!B:B,B132,Negócios!P:P,D132,Negócios!H:H,"Implantação",Negócios!AH:AH,"&lt;&gt;n")))</f>
        <v>0</v>
      </c>
      <c r="AD132" s="16">
        <f>SUMIFS(Parâmetros!W:W,Parâmetros!A:A,A132,Parâmetros!B:B,B132,Parâmetros!D:D,D132) * AC132 * IF(K132 &gt;= SUMIFS(Parâmetros!V:V,Parâmetros!A:A,A132,Parâmetros!B:B,B132,Parâmetros!D:D,D132),1,0)</f>
        <v>0</v>
      </c>
      <c r="AE132" s="15">
        <f>SUMIFS('Recuperação de Canc e Divs'!D:D,'Recuperação de Canc e Divs'!A:A,A132,'Recuperação de Canc e Divs'!B:B,B132,'Recuperação de Canc e Divs'!C:C,D132)</f>
        <v>0</v>
      </c>
      <c r="AF132" s="16">
        <f>IF(K132&gt;=SUMIFS(Parâmetros!J:J,Parâmetros!A:A,A132,Parâmetros!B:B,B132,Parâmetros!D:D,D132),AE132*0.025,0)</f>
        <v>0</v>
      </c>
      <c r="AG132" s="15" t="str">
        <f t="shared" si="58"/>
        <v/>
      </c>
      <c r="AH132" s="16" t="str">
        <f t="shared" si="59"/>
        <v/>
      </c>
      <c r="AI132" s="90">
        <f t="shared" si="60"/>
        <v>0</v>
      </c>
      <c r="AJ132" s="16" t="str">
        <f t="shared" si="61"/>
        <v/>
      </c>
      <c r="AK132" s="16" t="str">
        <f t="shared" si="62"/>
        <v/>
      </c>
      <c r="AL132" s="90">
        <f t="shared" si="63"/>
        <v>0</v>
      </c>
      <c r="AM132" s="93" t="str">
        <f t="shared" si="64"/>
        <v/>
      </c>
      <c r="AN132" s="94" t="str">
        <f>IF(OR(B132=3,B132=6,B132=9,B132=12),
IF(AND(AL132&gt;=1,AI132&gt;=SUMIFS(Parâmetros!G:G,Parâmetros!A:A,Comissões!A132,Parâmetros!B:B,Comissões!B132,Parâmetros!D:D,Comissões!D132,Parâmetros!E:E,Comissões!E132)),AI132*0.3,""),"")</f>
        <v/>
      </c>
      <c r="AO132" s="16">
        <f t="shared" si="65"/>
        <v>10632.094499999999</v>
      </c>
      <c r="AP132" s="16">
        <f t="shared" si="66"/>
        <v>0.99999999999999967</v>
      </c>
    </row>
    <row r="133" spans="1:42" hidden="1">
      <c r="A133" s="7">
        <v>2026</v>
      </c>
      <c r="B133" s="7">
        <v>5</v>
      </c>
      <c r="C133" s="7" t="str">
        <v>Susana Alves Becker</v>
      </c>
      <c r="D133" s="7" t="str">
        <v>susana.becker@altoqi.com.br</v>
      </c>
      <c r="E133" s="7" t="str">
        <v>FSB</v>
      </c>
      <c r="F133" s="7" t="str">
        <v>Consultor</v>
      </c>
      <c r="G133" s="7" t="str">
        <v>anderson.ortiz@altoqi.com.br</v>
      </c>
      <c r="H133" s="7" t="str">
        <v>MRR</v>
      </c>
      <c r="I133" s="86" cm="1">
        <f t="array" ref="I133">IF(
  D133="rafael.acencio@altoqi.com.br",
  SUMIFS(Negócios!L:L,Negócios!A:A,A133,Negócios!B:B,B133,Negócios!Q:Q,E133,Negócios!AH:AH,"&lt;&gt;n"),
  _xlfn.IFS(
    AND(F133="Consultor",H133="MRR",E133="Farmer"),
      SUMIFS(Negócios!M:M,Negócios!A:A,A133,Negócios!B:B,B133,Negócios!P:P,D133,Negócios!AH:AH,"&lt;&gt;n")
      +SUMIFS(Negócios!N:N,Negócios!A:A,A133,Negócios!B:B,B133,Negócios!P:P,D133,Negócios!AH:AH,"&lt;&gt;n"),
    AND(F133="Consultor",H133="MRR"),
      SUMIFS(Negócios!L:L,Negócios!A:A,A133,Negócios!B:B,B133,Negócios!P:P,D133,Negócios!AH:AH,"&lt;&gt;n"),
    AND(F133="Consultor",H133="Opps"),
      SUMIFS('Realizado GD'!D:D,'Realizado GD'!A:A,A133,'Realizado GD'!B:B,B133,'Realizado GD'!C:C,D133),
    D133="sonia.zielinski@altoqi.com.br",
      SUM(SUMIFS(Negócios!L:L,Negócios!A:A,A133,Negócios!B:B,B133,Negócios!R:R,{"FSB";"Ares"},Negócios!AH:AH,"&lt;&gt;n"))
      +SUMIFS(Negócios!M:M,Negócios!A:A,A133,Negócios!B:B,B133,Negócios!R:R,"Farmer",Negócios!AH:AH,"&lt;&gt;n")
      +SUMIFS(Negócios!N:N,Negócios!A:A,A133,Negócios!B:B,B133,Negócios!R:R,"Farmer",Negócios!AH:AH,"&lt;&gt;n"),
    OR(
      D133="anderson.ortiz@altoqi.com.br",
      D133="rafael.motta@altoqi.com.br",
      D133="beatriz@altoqi.com.br"
    ),
      SUMIFS(Negócios!L:L,Negócios!A:A,A133,Negócios!B:B,B133,Negócios!R:R,E133,Negócios!AH:AH,"&lt;&gt;n"),
    AND(F133="Gestor",H133="MRR"),
      SUMIFS(I:I,A:A,A133,B:B,B133,G:G,D133),
    TRUE,
      ""
  )
)</f>
        <v>12022.869999999997</v>
      </c>
      <c r="J133" s="16">
        <f>SUMIFS(Metas!K:K,Metas!A:A,A133,Metas!B:B,B133,Metas!D:D,D133,Metas!H:H,H133)</f>
        <v>11550</v>
      </c>
      <c r="K133" s="10">
        <f t="shared" si="55"/>
        <v>1.0409411255411254</v>
      </c>
      <c r="L133" s="26" t="str" cm="1">
        <f t="array" ref="L133">_xlfn.LET(
 _xlpm.g,_xlfn.MAXIFS(Parâmetros!G:G,Parâmetros!A:A,A133,Parâmetros!B:B,B133,Parâmetros!D:D,D133,Parâmetros!E:E,E133),
 _xlpm.j,_xlfn.MAXIFS(Parâmetros!J:J,Parâmetros!A:A,A133,Parâmetros!B:B,B133,Parâmetros!D:D,D133,Parâmetros!E:E,E133),
 _xlpm.m,_xlfn.MAXIFS(Parâmetros!M:M,Parâmetros!A:A,A133,Parâmetros!B:B,B133,Parâmetros!D:D,D133,Parâmetros!E:E,E133),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/>
      </c>
      <c r="M133" s="28" cm="1">
        <f t="array" ref="M133">IF(
  D133="rafael.acencio@altoqi.com.br",
  SUMIFS(Negócios!L:L,Negócios!A:A,A133,Negócios!B:B,B133,Negócios!Q:Q,E133,Negócios!AG:AG,"À Vista",Negócios!AH:AH,"&lt;&gt;n"),
  _xlfn.IFS(
    AND(F133="Consultor",H133="MRR",E133="Farmer"),
      SUMIFS(Negócios!M:M,Negócios!A:A,A133,Negócios!B:B,B133,Negócios!P:P,D133,Negócios!AG:AG,"À Vista",Negócios!AH:AH,"&lt;&gt;n")
      +SUMIFS(Negócios!N:N,Negócios!A:A,A133,Negócios!B:B,B133,Negócios!P:P,D133,Negócios!AG:AG,"À Vista",Negócios!AH:AH,"&lt;&gt;n"),
    AND(F133="Consultor",H133="MRR"),
      SUMIFS(Negócios!L:L,Negócios!A:A,A133,Negócios!B:B,B133,Negócios!P:P,D133,Negócios!AG:AG,"À Vista",Negócios!AH:AH,"&lt;&gt;n"),
    AND(F133="Consultor",H133="Opps"),
      SUMIFS('Realizado GD'!D:D,'Realizado GD'!A:A,A133,'Realizado GD'!B:B,B133,'Realizado GD'!C:C,D133),
    D133="sonia.zielinski@altoqi.com.br",
      SUM(SUMIFS(Negócios!L:L,Negócios!A:A,A133,Negócios!B:B,B133,Negócios!R:R,{"FSB";"Ares"},Negócios!AG:AG,"À Vista",Negócios!AH:AH,"&lt;&gt;n"))
      +SUMIFS(Negócios!M:M,Negócios!A:A,A133,Negócios!B:B,B133,Negócios!R:R,"Farmer",Negócios!AG:AG,"À Vista",Negócios!AH:AH,"&lt;&gt;n")
      +SUMIFS(Negócios!N:N,Negócios!A:A,A133,Negócios!B:B,B133,Negócios!R:R,"Farmer",Negócios!AG:AG,"À Vista",Negócios!AH:AH,"&lt;&gt;n"),
    OR(
      D133="anderson.ortiz@altoqi.com.br",
      D133="rafael.motta@altoqi.com.br",
      D133="beatriz@altoqi.com.br"
    ),
      SUMIFS(Negócios!L:L,Negócios!A:A,A133,Negócios!B:B,B133,Negócios!R:R,E133,Negócios!AG:AG,"À Vista",Negócios!AH:AH,"&lt;&gt;n"),
    AND(F133="Gestor",H133="MRR"),
      SUMIFS(I:I,A:A,A133,B:B,B133,G:G,D133),
    TRUE,
      ""
  )
)</f>
        <v>204.17</v>
      </c>
      <c r="N133" s="10">
        <f t="shared" si="71"/>
        <v>1.6981802182008125E-2</v>
      </c>
      <c r="O133" s="30">
        <f>SUMIFS('Acel Form Pag'!D:D,'Acel Form Pag'!A:A,A133,'Acel Form Pag'!B:B,B133,'Acel Form Pag'!C:C,E133)</f>
        <v>1.3</v>
      </c>
      <c r="P133" s="87" cm="1">
        <f t="array" ref="P133">IF(
  D133="rafael.acencio@altoqi.com.br",
  SUMIFS(Negócios!M:M,Negócios!A:A,A133,Negócios!B:B,B133,Negócios!Q:Q,E133,Negócios!AG:AG,"CC 3x",Negócios!AH:AH,"&lt;&gt;n"),
  _xlfn.IFS(
    AND(F133="Consultor",H133="MRR",E133="Farmer"),
      SUMIFS(Negócios!M:M,Negócios!A:A,A133,Negócios!B:B,B133,Negócios!P:P,D133,Negócios!AG:AG,"CC 3x",Negócios!AH:AH,"&lt;&gt;n")
      +SUMIFS(Negócios!N:N,Negócios!A:A,A133,Negócios!B:B,B133,Negócios!P:P,D133,Negócios!AG:AG,"CC 3x",Negócios!AH:AH,"&lt;&gt;n"),
    AND(F133="Consultor",H133="MRR"),
      SUMIFS(Negócios!L:L,Negócios!A:A,A133,Negócios!B:B,B133,Negócios!P:P,D133,Negócios!AG:AG,"CC 3x",Negócios!AH:AH,"&lt;&gt;n"),
    AND(F133="Consultor",H133="Opps"),
      SUMIFS('Realizado GD'!D:D,'Realizado GD'!A:A,A133,'Realizado GD'!B:B,B133,'Realizado GD'!C:C,D133),
    D133="sonia.zielinski@altoqi.com.br",
      SUM(SUMIFS(Negócios!L:L,Negócios!A:A,A133,Negócios!B:B,B133,Negócios!R:R,{"FSB";"Ares"},Negócios!AG:AG,"CC 3x",Negócios!AH:AH,"&lt;&gt;n"))
      +SUMIFS(Negócios!M:M,Negócios!A:A,A133,Negócios!B:B,B133,Negócios!R:R,"Farmer",Negócios!AG:AG,"CC 3x",Negócios!AH:AH,"&lt;&gt;n")
      +SUMIFS(Negócios!N:N,Negócios!A:A,A133,Negócios!B:B,B133,Negócios!R:R,"Farmer",Negócios!AG:AG,"CC 3x",Negócios!AH:AH,"&lt;&gt;n"),
    OR(
      D133="anderson.ortiz@altoqi.com.br",
      D133="rafael.motta@altoqi.com.br",
      D133="beatriz@altoqi.com.br"
    ),
      SUMIFS(Negócios!M:M,Negócios!A:A,A133,Negócios!B:B,B133,Negócios!R:R,E133,Negócios!AG:AG,"CC 3x",Negócios!AH:AH,"&lt;&gt;n"),
    AND(F133="Gestor",H133="MRR"),
      SUMIFS(I:I,A:A,A133,B:B,B133,G:G,D133),
    TRUE,
      ""
  )
)</f>
        <v>0</v>
      </c>
      <c r="Q133" s="10">
        <f t="shared" si="72"/>
        <v>0</v>
      </c>
      <c r="R133" s="30">
        <f>SUMIFS('Acel Form Pag'!E:E,'Acel Form Pag'!A:A,A133,'Acel Form Pag'!B:B,B133,'Acel Form Pag'!C:C,E133)</f>
        <v>1.1499999999999999</v>
      </c>
      <c r="S133" s="32" cm="1">
        <f t="array" ref="S133">IF(
  D133="rafael.acencio@altoqi.com.br",
  SUMIFS(Negócios!L:L,Negócios!A:A,A133,Negócios!B:B,B133,Negócios!Q:Q,E133,Negócios!AG:AG,"CC 12x",Negócios!AH:AH,"&lt;&gt;n"),
  _xlfn.IFS(
    AND(F133="Consultor",H133="MRR",E133="Farmer"),
      SUMIFS(Negócios!M:M,Negócios!A:A,A133,Negócios!B:B,B133,Negócios!P:P,D133,Negócios!AG:AG,"CC 12x",Negócios!AH:AH,"&lt;&gt;n")
      +SUMIFS(Negócios!N:N,Negócios!A:A,A133,Negócios!B:B,B133,Negócios!P:P,D133,Negócios!AG:AG,"CC 12x",Negócios!AH:AH,"&lt;&gt;n"),
    AND(F133="Consultor",H133="MRR"),
      SUMIFS(Negócios!L:L,Negócios!A:A,A133,Negócios!B:B,B133,Negócios!P:P,D133,Negócios!AG:AG,"CC 12x",Negócios!AH:AH,"&lt;&gt;n"),
    AND(F133="Consultor",H133="Opps"),
      SUMIFS('Realizado GD'!D:D,'Realizado GD'!A:A,A133,'Realizado GD'!B:B,B133,'Realizado GD'!C:C,D133),
    D133="sonia.zielinski@altoqi.com.br",
      SUM(SUMIFS(Negócios!L:L,Negócios!A:A,A133,Negócios!B:B,B133,Negócios!R:R,{"FSB";"Ares"},Negócios!AG:AG,"CC 12x",Negócios!AH:AH,"&lt;&gt;n"))
      +SUMIFS(Negócios!M:M,Negócios!A:A,A133,Negócios!B:B,B133,Negócios!R:R,"Farmer",Negócios!AG:AG,"CC 12x",Negócios!AH:AH,"&lt;&gt;n")
      +SUMIFS(Negócios!N:N,Negócios!A:A,A133,Negócios!B:B,B133,Negócios!R:R,"Farmer",Negócios!AG:AG,"CC 12x",Negócios!AH:AH,"&lt;&gt;n"),
    OR(
      D133="anderson.ortiz@altoqi.com.br",
      D133="rafael.motta@altoqi.com.br",
      D133="beatriz@altoqi.com.br"
    ),
      SUMIFS(Negócios!L:L,Negócios!A:A,A133,Negócios!B:B,B133,Negócios!R:R,E133,Negócios!AG:AG,"CC 12x",Negócios!AH:AH,"&lt;&gt;n"),
    AND(F133="Gestor",H133="MRR"),
      SUMIFS(I:I,A:A,A133,B:B,B133,G:G,D133),
    TRUE,
      ""
  )
)</f>
        <v>4116.5</v>
      </c>
      <c r="T133" s="10">
        <f t="shared" si="73"/>
        <v>0.34238913004964711</v>
      </c>
      <c r="U133" s="30">
        <f>SUMIFS('Acel Form Pag'!F:F,'Acel Form Pag'!A:A,A133,'Acel Form Pag'!B:B,B133,'Acel Form Pag'!C:C,E133)</f>
        <v>1.1499999999999999</v>
      </c>
      <c r="V133" s="32" cm="1">
        <f t="array" ref="V133">IF(
  D133="rafael.acencio@altoqi.com.br",
  SUMIFS(Negócios!L:L,Negócios!A:A,A133,Negócios!B:B,B133,Negócios!Q:Q,E133,Negócios!AG:AG,"Recorrente",Negócios!AH:AH,"&lt;&gt;n"),
  _xlfn.IFS(
    AND(F133="Consultor",H133="MRR",E133="Farmer"),
      SUMIFS(Negócios!M:M,Negócios!A:A,A133,Negócios!B:B,B133,Negócios!P:P,D133,Negócios!AG:AG,"Recorrente",Negócios!AH:AH,"&lt;&gt;n")
      +SUMIFS(Negócios!N:N,Negócios!A:A,A133,Negócios!B:B,B133,Negócios!P:P,D133,Negócios!AG:AG,"Recorrente",Negócios!AH:AH,"&lt;&gt;n"),
    AND(F133="Consultor",H133="MRR"),
      SUMIFS(Negócios!L:L,Negócios!A:A,A133,Negócios!B:B,B133,Negócios!P:P,D133,Negócios!AG:AG,"Recorrente",Negócios!AH:AH,"&lt;&gt;n"),
    AND(F133="Consultor",H133="Opps"),
      SUMIFS('Realizado GD'!D:D,'Realizado GD'!A:A,A133,'Realizado GD'!B:B,B133,'Realizado GD'!C:C,D133),
    D133="sonia.zielinski@altoqi.com.br",
      SUM(SUMIFS(Negócios!L:L,Negócios!A:A,A133,Negócios!B:B,B133,Negócios!R:R,{"FSB";"Ares"},Negócios!AG:AG,"Recorrente",Negócios!AH:AH,"&lt;&gt;n"))
      +SUMIFS(Negócios!M:M,Negócios!A:A,A133,Negócios!B:B,B133,Negócios!R:R,"Farmer",Negócios!AG:AG,"Recorrente",Negócios!AH:AH,"&lt;&gt;n")
      +SUMIFS(Negócios!N:N,Negócios!A:A,A133,Negócios!B:B,B133,Negócios!R:R,"Farmer",Negócios!AG:AG,"Recorrente",Negócios!AH:AH,"&lt;&gt;n"),
    OR(
      D133="anderson.ortiz@altoqi.com.br",
      D133="rafael.motta@altoqi.com.br",
      D133="beatriz@altoqi.com.br"
    ),
      SUMIFS(Negócios!L:L,Negócios!A:A,A133,Negócios!B:B,B133,Negócios!R:R,E133,Negócios!AG:AG,"Recorrente",Negócios!AH:AH,"&lt;&gt;n"),
    AND(F133="Gestor",H133="MRR"),
      SUMIFS(I:I,A:A,A133,B:B,B133,G:G,D133),
    TRUE,
      ""
  )
)</f>
        <v>7702.2000000000007</v>
      </c>
      <c r="W133" s="10">
        <f t="shared" si="74"/>
        <v>0.64062906776834505</v>
      </c>
      <c r="X133" s="34">
        <f>SUMIFS('Acel Form Pag'!G:G,'Acel Form Pag'!A:A,A133,'Acel Form Pag'!B:B,B133,'Acel Form Pag'!C:C,E133)</f>
        <v>1</v>
      </c>
      <c r="Y133" s="24">
        <f>MAX(_xlfn.MAXIFS(Parâmetros!O:O,Parâmetros!A:A,A133,Parâmetros!B:B,B133,Parâmetros!D:D,D133,Parâmetros!M:M,"&lt;="&amp;K133),_xlfn.MAXIFS(Parâmetros!L:L,Parâmetros!A:A,A133,Parâmetros!B:B,B133,Parâmetros!D:D,D133,Parâmetros!J:J,"&lt;="&amp;K133),_xlfn.MAXIFS(Parâmetros!I:I,Parâmetros!A:A,A133,Parâmetros!B:B,B133,Parâmetros!D:D,D133))</f>
        <v>4356</v>
      </c>
      <c r="Z133" s="9">
        <f>MAX(_xlfn.MAXIFS(Parâmetros!Q:Q,Parâmetros!A:A,A133,Parâmetros!B:B,B133,Parâmetros!D:D,D133,Parâmetros!E:E,E133,Parâmetros!P:P,"&lt;="&amp;K133),
_xlfn.MAXIFS(Parâmetros!S:S,Parâmetros!A:A,A133,Parâmetros!B:B,B133,Parâmetros!D:D,D133,Parâmetros!E:E,E133,Parâmetros!R:R,"&lt;="&amp;K133),
_xlfn.MAXIFS(Parâmetros!U:U,Parâmetros!A:A,A133,Parâmetros!B:B,B133,Parâmetros!D:D,D133,Parâmetros!E:E,E133,Parâmetros!T:T,"&lt;="&amp;K133),1) * IF(K133 &gt;= SUMIFS(Parâmetros!G:G,Parâmetros!A:A,A133,Parâmetros!B:B,B133,Parâmetros!D:D,D133,Parâmetros!E:E,E133),1,0)</f>
        <v>1.2</v>
      </c>
      <c r="AA133" s="16">
        <f t="shared" si="56"/>
        <v>5441.2074514285705</v>
      </c>
      <c r="AB133" s="16">
        <f t="shared" si="57"/>
        <v>5748.3794468571432</v>
      </c>
      <c r="AC133" s="15">
        <f>IF(F133="Gestor",SUMIFS(AC:AC,A:A,A133,B:B,B133,G:G,D133),
IF(E133="Saving",SUMIFS(Negócios!I:I,Negócios!A:A,A133,Negócios!B:B,B133,Negócios!P:P,D133,Negócios!H:H,"Curso",Negócios!AH:AH,"&lt;&gt;n") +
SUMIFS(Negócios!I:I,Negócios!A:A,A133,Negócios!B:B,B133,Negócios!P:P,D133,Negócios!H:H,"Serviço",Negócios!AH:AH,"&lt;&gt;n") +
SUMIFS(Negócios!I:I,Negócios!A:A,A133,Negócios!B:B,B133,Negócios!P:P,D133,Negócios!H:H,"Implantação",Negócios!AH:AH,"&lt;&gt;n"),
SUMIFS(Negócios!I:I,Negócios!A:A,A133,Negócios!B:B,B133,Negócios!P:P,D133,Negócios!H:H,"Implantação",Negócios!AH:AH,"&lt;&gt;n")))</f>
        <v>0</v>
      </c>
      <c r="AD133" s="16">
        <f>SUMIFS(Parâmetros!W:W,Parâmetros!A:A,A133,Parâmetros!B:B,B133,Parâmetros!D:D,D133) * AC133 * IF(K133 &gt;= SUMIFS(Parâmetros!V:V,Parâmetros!A:A,A133,Parâmetros!B:B,B133,Parâmetros!D:D,D133),1,0)</f>
        <v>0</v>
      </c>
      <c r="AE133" s="15">
        <f>SUMIFS('Recuperação de Canc e Divs'!D:D,'Recuperação de Canc e Divs'!A:A,A133,'Recuperação de Canc e Divs'!B:B,B133,'Recuperação de Canc e Divs'!C:C,D133)</f>
        <v>0</v>
      </c>
      <c r="AF133" s="16">
        <f>IF(K133&gt;=SUMIFS(Parâmetros!J:J,Parâmetros!A:A,A133,Parâmetros!B:B,B133,Parâmetros!D:D,D133),AE133*0.025,0)</f>
        <v>0</v>
      </c>
      <c r="AG133" s="15" t="str">
        <f t="shared" si="58"/>
        <v/>
      </c>
      <c r="AH133" s="16" t="str">
        <f t="shared" si="59"/>
        <v/>
      </c>
      <c r="AI133" s="90">
        <f t="shared" si="60"/>
        <v>0</v>
      </c>
      <c r="AJ133" s="16" t="str">
        <f t="shared" si="61"/>
        <v/>
      </c>
      <c r="AK133" s="16" t="str">
        <f t="shared" si="62"/>
        <v/>
      </c>
      <c r="AL133" s="90">
        <f t="shared" si="63"/>
        <v>0</v>
      </c>
      <c r="AM133" s="93" t="str">
        <f t="shared" si="64"/>
        <v/>
      </c>
      <c r="AN133" s="94" t="str">
        <f>IF(OR(B133=3,B133=6,B133=9,B133=12),
IF(AND(AL133&gt;=1,AI133&gt;=SUMIFS(Parâmetros!G:G,Parâmetros!A:A,Comissões!A133,Parâmetros!B:B,Comissões!B133,Parâmetros!D:D,Comissões!D133,Parâmetros!E:E,Comissões!E133)),AI133*0.3,""),"")</f>
        <v/>
      </c>
      <c r="AO133" s="16">
        <f t="shared" si="65"/>
        <v>12022.87</v>
      </c>
      <c r="AP133" s="16">
        <f t="shared" si="66"/>
        <v>1.0000000000000002</v>
      </c>
    </row>
    <row r="134" spans="1:42" hidden="1">
      <c r="A134" s="7">
        <v>2026</v>
      </c>
      <c r="B134" s="7">
        <v>5</v>
      </c>
      <c r="C134" s="7" t="str">
        <v>Sonia Maria Zielinski Pockszevnicki</v>
      </c>
      <c r="D134" s="7" t="str">
        <v>sonia.zielinski@altoqi.com.br</v>
      </c>
      <c r="E134" s="7" t="str">
        <v>Sonia</v>
      </c>
      <c r="F134" s="7" t="str">
        <v>Gestor</v>
      </c>
      <c r="G134" s="7">
        <v>0</v>
      </c>
      <c r="H134" s="7" t="str">
        <v>MRR</v>
      </c>
      <c r="I134" s="86" cm="1">
        <f t="array" ref="I134">IF(
  D134="rafael.acencio@altoqi.com.br",
  SUMIFS(Negócios!L:L,Negócios!A:A,A134,Negócios!B:B,B134,Negócios!Q:Q,E134,Negócios!AH:AH,"&lt;&gt;n"),
  _xlfn.IFS(
    AND(F134="Consultor",H134="MRR",E134="Farmer"),
      SUMIFS(Negócios!M:M,Negócios!A:A,A134,Negócios!B:B,B134,Negócios!P:P,D134,Negócios!AH:AH,"&lt;&gt;n")
      +SUMIFS(Negócios!N:N,Negócios!A:A,A134,Negócios!B:B,B134,Negócios!P:P,D134,Negócios!AH:AH,"&lt;&gt;n"),
    AND(F134="Consultor",H134="MRR"),
      SUMIFS(Negócios!L:L,Negócios!A:A,A134,Negócios!B:B,B134,Negócios!P:P,D134,Negócios!AH:AH,"&lt;&gt;n"),
    AND(F134="Consultor",H134="Opps"),
      SUMIFS('Realizado GD'!D:D,'Realizado GD'!A:A,A134,'Realizado GD'!B:B,B134,'Realizado GD'!C:C,D134),
    D134="sonia.zielinski@altoqi.com.br",
      SUM(SUMIFS(Negócios!L:L,Negócios!A:A,A134,Negócios!B:B,B134,Negócios!R:R,{"FSB";"Ares"},Negócios!AH:AH,"&lt;&gt;n"))
      +SUMIFS(Negócios!M:M,Negócios!A:A,A134,Negócios!B:B,B134,Negócios!R:R,"Farmer",Negócios!AH:AH,"&lt;&gt;n")
      +SUMIFS(Negócios!N:N,Negócios!A:A,A134,Negócios!B:B,B134,Negócios!R:R,"Farmer",Negócios!AH:AH,"&lt;&gt;n"),
    OR(
      D134="anderson.ortiz@altoqi.com.br",
      D134="rafael.motta@altoqi.com.br",
      D134="beatriz@altoqi.com.br"
    ),
      SUMIFS(Negócios!L:L,Negócios!A:A,A134,Negócios!B:B,B134,Negócios!R:R,E134,Negócios!AH:AH,"&lt;&gt;n"),
    AND(F134="Gestor",H134="MRR"),
      SUMIFS(I:I,A:A,A134,B:B,B134,G:G,D134),
    TRUE,
      ""
  )
)</f>
        <v>100082.83455023996</v>
      </c>
      <c r="J134" s="16">
        <f>SUMIFS(Metas!K:K,Metas!A:A,A134,Metas!B:B,B134,Metas!D:D,D134,Metas!H:H,H134)</f>
        <v>103074</v>
      </c>
      <c r="K134" s="10">
        <f t="shared" si="55"/>
        <v>0.97098040776762284</v>
      </c>
      <c r="L134" s="26" t="str" cm="1">
        <f t="array" ref="L134">_xlfn.LET(
 _xlpm.g,_xlfn.MAXIFS(Parâmetros!G:G,Parâmetros!A:A,A134,Parâmetros!B:B,B134,Parâmetros!D:D,D134,Parâmetros!E:E,E134),
 _xlpm.j,_xlfn.MAXIFS(Parâmetros!J:J,Parâmetros!A:A,A134,Parâmetros!B:B,B134,Parâmetros!D:D,D134,Parâmetros!E:E,E134),
 _xlpm.m,_xlfn.MAXIFS(Parâmetros!M:M,Parâmetros!A:A,A134,Parâmetros!B:B,B134,Parâmetros!D:D,D134,Parâmetros!E:E,E134),
 IF(_xlpm.g=0,"",TEXT(_xlpm.g,"0,00%")) &amp;
 IF(AND(_xlpm.g&lt;&gt;0,_xlpm.j&lt;&gt;0)," | ","") &amp;
 IF(_xlpm.j=0,"",TEXT(_xlpm.j,"0,00%")) &amp;
 IF(AND(OR(_xlpm.g&lt;&gt;0,_xlpm.j&lt;&gt;0),_xlpm.m&lt;&gt;0)," | ","") &amp;
 IF(_xlpm.m=0,"",TEXT(_xlpm.m,"0,00%"))
)</f>
        <v/>
      </c>
      <c r="M134" s="28" cm="1">
        <f t="array" ref="M134">IF(
  D134="rafael.acencio@altoqi.com.br",
  SUMIFS(Negócios!L:L,Negócios!A:A,A134,Negócios!B:B,B134,Negócios!Q:Q,E134,Negócios!AG:AG,"À Vista",Negócios!AH:AH,"&lt;&gt;n"),
  _xlfn.IFS(
    AND(F134="Consultor",H134="MRR",E134="Farmer"),
      SUMIFS(Negócios!M:M,Negócios!A:A,A134,Negócios!B:B,B134,Negócios!P:P,D134,Negócios!AG:AG,"À Vista",Negócios!AH:AH,"&lt;&gt;n")
      +SUMIFS(Negócios!N:N,Negócios!A:A,A134,Negócios!B:B,B134,Negócios!P:P,D134,Negócios!AG:AG,"À Vista",Negócios!AH:AH,"&lt;&gt;n"),
    AND(F134="Consultor",H134="MRR"),
      SUMIFS(Negócios!L:L,Negócios!A:A,A134,Negócios!B:B,B134,Negócios!P:P,D134,Negócios!AG:AG,"À Vista",Negócios!AH:AH,"&lt;&gt;n"),
    AND(F134="Consultor",H134="Opps"),
      SUMIFS('Realizado GD'!D:D,'Realizado GD'!A:A,A134,'Realizado GD'!B:B,B134,'Realizado GD'!C:C,D134),
    D134="sonia.zielinski@altoqi.com.br",
      SUM(SUMIFS(Negócios!L:L,Negócios!A:A,A134,Negócios!B:B,B134,Negócios!R:R,{"FSB";"Ares"},Negócios!AG:AG,"À Vista",Negócios!AH:AH,"&lt;&gt;n"))
      +SUMIFS(Negócios!M:M,Negócios!A:A,A134,Negócios!B:B,B134,Negócios!R:R,"Farmer",Negócios!AG:AG,"À Vista",Negócios!AH:AH,"&lt;&gt;n")
      +SUMIFS(Negócios!N:N,Negócios!A:A,A134,Negócios!B:B,B134,Negócios!R:R,"Farmer",Negócios!AG:AG,"À Vista",Negócios!AH:AH,"&lt;&gt;n"),
    OR(
      D134="anderson.ortiz@altoqi.com.br",
      D134="rafael.motta@altoqi.com.br",
      D134="beatriz@altoqi.com.br"
    ),
      SUMIFS(Negócios!L:L,Negócios!A:A,A134,Negócios!B:B,B134,Negócios!R:R,E134,Negócios!AG:AG,"À Vista",Negócios!AH:AH,"&lt;&gt;n"),
    AND(F134="Gestor",H134="MRR"),
      SUMIFS(I:I,A:A,A134,B:B,B134,G:G,D134),
    TRUE,
      ""
  )
)</f>
        <v>6162.8924949999991</v>
      </c>
      <c r="N134" s="10">
        <f t="shared" si="71"/>
        <v>6.1577917159273972E-2</v>
      </c>
      <c r="O134" s="30">
        <f>SUMIFS('Acel Form Pag'!D:D,'Acel Form Pag'!A:A,A134,'Acel Form Pag'!B:B,B134,'Acel Form Pag'!C:C,E134)</f>
        <v>1.4</v>
      </c>
      <c r="P134" s="87" cm="1">
        <f t="array" ref="P134">IF(
  D134="rafael.acencio@altoqi.com.br",
  SUMIFS(Negócios!M:M,Negócios!A:A,A134,Negócios!B:B,B134,Negócios!Q:Q,E134,Negócios!AG:AG,"CC 3x",Negócios!AH:AH,"&lt;&gt;n"),
  _xlfn.IFS(
    AND(F134="Consultor",H134="MRR",E134="Farmer"),
      SUMIFS(Negócios!M:M,Negócios!A:A,A134,Negócios!B:B,B134,Negócios!P:P,D134,Negócios!AG:AG,"CC 3x",Negócios!AH:AH,"&lt;&gt;n")
      +SUMIFS(Negócios!N:N,Negócios!A:A,A134,Negócios!B:B,B134,Negócios!P:P,D134,Negócios!AG:AG,"CC 3x",Negócios!AH:AH,"&lt;&gt;n"),
    AND(F134="Consultor",H134="MRR"),
      SUMIFS(Negócios!L:L,Negócios!A:A,A134,Negócios!B:B,B134,Negócios!P:P,D134,Negócios!AG:AG,"CC 3x",Negócios!AH:AH,"&lt;&gt;n"),
    AND(F134="Consultor",H134="Opps"),
      SUMIFS('Realizado GD'!D:D,'Realizado GD'!A:A,A134,'Realizado GD'!B:B,B134,'Realizado GD'!C:C,D134),
    D134="sonia.zielinski@altoqi.com.br",
      SUM(SUMIFS(Negócios!L:L,Negócios!A:A,A134,Negócios!B:B,B134,Negócios!R:R,{"FSB";"Ares"},Negócios!AG:AG,"CC 3x",Negócios!AH:AH,"&lt;&gt;n"))
      +SUMIFS(Negócios!M:M,Negócios!A:A,A134,Negócios!B:B,B134,Negócios!R:R,"Farmer",Negócios!AG:AG,"CC 3x",Negócios!AH:AH,"&lt;&gt;n")
      +SUMIFS(Negócios!N:N,Negócios!A:A,A134,Negócios!B:B,B134,Negócios!R:R,"Farmer",Negócios!AG:AG,"CC 3x",Negócios!AH:AH,"&lt;&gt;n"),
    OR(
      D134="anderson.ortiz@altoqi.com.br",
      D134="rafael.motta@altoqi.com.br",
      D134="beatriz@altoqi.com.br"
    ),
      SUMIFS(Negócios!M:M,Negócios!A:A,A134,Negócios!B:B,B134,Negócios!R:R,E134,Negócios!AG:AG,"CC 3x",Negócios!AH:AH,"&lt;&gt;n"),
    AND(F134="Gestor",H134="MRR"),
      SUMIFS(I:I,A:A,A134,B:B,B134,G:G,D134),
    TRUE,
      ""
  )
)</f>
        <v>381.745</v>
      </c>
      <c r="Q134" s="10">
        <f t="shared" si="72"/>
        <v>3.8142904496611773E-3</v>
      </c>
      <c r="R134" s="30">
        <f>SUMIFS('Acel Form Pag'!E:E,'Acel Form Pag'!A:A,A134,'Acel Form Pag'!B:B,B134,'Acel Form Pag'!C:C,E134)</f>
        <v>1.3</v>
      </c>
      <c r="S134" s="32" cm="1">
        <f t="array" ref="S134">IF(
  D134="rafael.acencio@altoqi.com.br",
  SUMIFS(Negócios!L:L,Negócios!A:A,A134,Negócios!B:B,B134,Negócios!Q:Q,E134,Negócios!AG:AG,"CC 12x",Negócios!AH:AH,"&lt;&gt;n"),
  _xlfn.IFS(
    AND(F134="Consultor",H134="MRR",E134="Farmer"),
      SUMIFS(Negócios!M:M,Negócios!A:A,A134,Negócios!B:B,B134,Negócios!P:P,D134,Negócios!AG:AG,"CC 12x",Negócios!AH:AH,"&lt;&gt;n")
      +SUMIFS(Negócios!N:N,Negócios!A:A,A134,Negócios!B:B,B134,Negócios!P:P,D134,Negócios!AG:AG,"CC 12x",Negócios!AH:AH,"&lt;&gt;n"),
    AND(F134="Consultor",H134="MRR"),
      SUMIFS(Negócios!L:L,Negócios!A:A,A134,Negócios!B:B,B134,Negócios!P:P,D134,Negócios!AG:AG,"CC 12x",Negócios!AH:AH,"&lt;&gt;n"),
    AND(F134="Consultor",H134="Opps"),
      SUMIFS('Realizado GD'!D:D,'Realizado GD'!A:A,A134,'Realizado GD'!B:B,B134,'Realizado GD'!C:C,D134),
    D134="sonia.zielinski@altoqi.com.br",
      SUM(SUMIFS(Negócios!L:L,Negócios!A:A,A134,Negócios!B:B,B134,Negócios!R:R,{"FSB";"Ares"},Negócios!AG:AG,"CC 12x",Negócios!AH:AH,"&lt;&gt;n"))
      +SUMIFS(Negócios!M:M,Negócios!A:A,A134,Negócios!B:B,B134,Negócios!R:R,"Farmer",Negócios!AG:AG,"CC 12x",Negócios!AH:AH,"&lt;&gt;n")
      +SUMIFS(Negócios!N:N,Negócios!A:A,A134,Negócios!B:B,B134,Negócios!R:R,"Farmer",Negócios!AG:AG,"CC 12x",Negócios!AH:AH,"&lt;&gt;n"),
    OR(
      D134="anderson.ortiz@altoqi.com.br",
      D134="rafael.motta@altoqi.com.br",
      D134="beatriz@altoqi.com.br"
    ),
      SUMIFS(Negócios!L:L,Negócios!A:A,A134,Negócios!B:B,B134,Negócios!R:R,E134,Negócios!AG:AG,"CC 12x",Negócios!AH:AH,"&lt;&gt;n"),
    AND(F134="Gestor",H134="MRR"),
      SUMIFS(I:I,A:A,A134,B:B,B134,G:G,D134),
    TRUE,
      ""
  )
)</f>
        <v>25485.910759999999</v>
      </c>
      <c r="T134" s="10">
        <f t="shared" si="73"/>
        <v>0.25464817093291342</v>
      </c>
      <c r="U134" s="30">
        <f>SUMIFS('Acel Form Pag'!F:F,'Acel Form Pag'!A:A,A134,'Acel Form Pag'!B:B,B134,'Acel Form Pag'!C:C,E134)</f>
        <v>1.2</v>
      </c>
      <c r="V134" s="32" cm="1">
        <f t="array" ref="V134">IF(
  D134="rafael.acencio@altoqi.com.br",
  SUMIFS(Negócios!L:L,Negócios!A:A,A134,Negócios!B:B,B134,Negócios!Q:Q,E134,Negócios!AG:AG,"Recorrente",Negócios!AH:AH,"&lt;&gt;n"),
  _xlfn.IFS(
    AND(F134="Consultor",H134="MRR",E134="Farmer"),
      SUMIFS(Negócios!M:M,Negócios!A:A,A134,Negócios!B:B,B134,Negócios!P:P,D134,Negócios!AG:AG,"Recorrente",Negócios!AH:AH,"&lt;&gt;n")
      +SUMIFS(Negócios!N:N,Negócios!A:A,A134,Negócios!B:B,B134,Negócios!P:P,D134,Negócios!AG:AG,"Recorrente",Negócios!AH:AH,"&lt;&gt;n"),
    AND(F134="Consultor",H134="MRR"),
      SUMIFS(Negócios!L:L,Negócios!A:A,A134,Negócios!B:B,B134,Negócios!P:P,D134,Negócios!AG:AG,"Recorrente",Negócios!AH:AH,"&lt;&gt;n"),
    AND(F134="Consultor",H134="Opps"),
      SUMIFS('Realizado GD'!D:D,'Realizado GD'!A:A,A134,'Realizado GD'!B:B,B134,'Realizado GD'!C:C,D134),
    D134="sonia.zielinski@altoqi.com.br",
      SUM(SUMIFS(Negócios!L:L,Negócios!A:A,A134,Negócios!B:B,B134,Negócios!R:R,{"FSB";"Ares"},Negócios!AG:AG,"Recorrente",Negócios!AH:AH,"&lt;&gt;n"))
      +SUMIFS(Negócios!M:M,Negócios!A:A,A134,Negócios!B:B,B134,Negócios!R:R,"Farmer",Negócios!AG:AG,"Recorrente",Negócios!AH:AH,"&lt;&gt;n")
      +SUMIFS(Negócios!N:N,Negócios!A:A,A134,Negócios!B:B,B134,Negócios!R:R,"Farmer",Negócios!AG:AG,"Recorrente",Negócios!AH:AH,"&lt;&gt;n"),
    OR(
      D134="anderson.ortiz@altoqi.com.br",
      D134="rafael.motta@altoqi.com.br",
      D134="beatriz@altoqi.com.br"
    ),
      SUMIFS(Negócios!L:L,Negócios!A:A,A134,Negócios!B:B,B134,Negócios!R:R,E134,Negócios!AG:AG,"Recorrente",Negócios!AH:AH,"&lt;&gt;n"),
    AND(F134="Gestor",H134="MRR"),
      SUMIFS(I:I,A:A,A134,B:B,B134,G:G,D134),
    TRUE,
      ""
  )
)</f>
        <v>68052.286295239988</v>
      </c>
      <c r="W134" s="10">
        <f t="shared" si="74"/>
        <v>0.6799596214581517</v>
      </c>
      <c r="X134" s="34">
        <f>SUMIFS('Acel Form Pag'!G:G,'Acel Form Pag'!A:A,A134,'Acel Form Pag'!B:B,B134,'Acel Form Pag'!C:C,E134)</f>
        <v>1</v>
      </c>
      <c r="Y134" s="24">
        <f>MAX(_xlfn.MAXIFS(Parâmetros!O:O,Parâmetros!A:A,A134,Parâmetros!B:B,B134,Parâmetros!D:D,D134,Parâmetros!M:M,"&lt;="&amp;K134),_xlfn.MAXIFS(Parâmetros!L:L,Parâmetros!A:A,A134,Parâmetros!B:B,B134,Parâmetros!D:D,D134,Parâmetros!J:J,"&lt;="&amp;K134),_xlfn.MAXIFS(Parâmetros!I:I,Parâmetros!A:A,A134,Parâmetros!B:B,B134,Parâmetros!D:D,D134))</f>
        <v>9424.7999999999993</v>
      </c>
      <c r="Z134" s="9">
        <f>MAX(_xlfn.MAXIFS(Parâmetros!Q:Q,Parâmetros!A:A,A134,Parâmetros!B:B,B134,Parâmetros!D:D,D134,Parâmetros!E:E,E134,Parâmetros!P:P,"&lt;="&amp;K134),
_xlfn.MAXIFS(Parâmetros!S:S,Parâmetros!A:A,A134,Parâmetros!B:B,B134,Parâmetros!D:D,D134,Parâmetros!E:E,E134,Parâmetros!R:R,"&lt;="&amp;K134),
_xlfn.MAXIFS(Parâmetros!U:U,Parâmetros!A:A,A134,Parâmetros!B:B,B134,Parâmetros!D:D,D134,Parâmetros!E:E,E134,Parâmetros!T:T,"&lt;="&amp;K134),1) * IF(K134 &gt;= SUMIFS(Parâmetros!G:G,Parâmetros!A:A,A134,Parâmetros!B:B,B134,Parâmetros!D:D,D134,Parâmetros!E:E,E134),1,0)</f>
        <v>1</v>
      </c>
      <c r="AA134" s="16">
        <f t="shared" si="56"/>
        <v>9151.2961471282906</v>
      </c>
      <c r="AB134" s="16">
        <f t="shared" si="57"/>
        <v>9853.2471251025636</v>
      </c>
      <c r="AC134" s="15">
        <f>IF(F134="Gestor",SUMIFS(AC:AC,A:A,A134,B:B,B134,G:G,D134),
IF(E134="Saving",SUMIFS(Negócios!I:I,Negócios!A:A,A134,Negócios!B:B,B134,Negócios!P:P,D134,Negócios!H:H,"Curso",Negócios!AH:AH,"&lt;&gt;n") +
SUMIFS(Negócios!I:I,Negócios!A:A,A134,Negócios!B:B,B134,Negócios!P:P,D134,Negócios!H:H,"Serviço",Negócios!AH:AH,"&lt;&gt;n") +
SUMIFS(Negócios!I:I,Negócios!A:A,A134,Negócios!B:B,B134,Negócios!P:P,D134,Negócios!H:H,"Implantação",Negócios!AH:AH,"&lt;&gt;n"),
SUMIFS(Negócios!I:I,Negócios!A:A,A134,Negócios!B:B,B134,Negócios!P:P,D134,Negócios!H:H,"Implantação",Negócios!AH:AH,"&lt;&gt;n")))</f>
        <v>18000</v>
      </c>
      <c r="AD134" s="16">
        <f>SUMIFS(Parâmetros!W:W,Parâmetros!A:A,A134,Parâmetros!B:B,B134,Parâmetros!D:D,D134) * AC134 * IF(K134 &gt;= SUMIFS(Parâmetros!V:V,Parâmetros!A:A,A134,Parâmetros!B:B,B134,Parâmetros!D:D,D134),1,0)</f>
        <v>90</v>
      </c>
      <c r="AE134" s="15">
        <f>SUMIFS('Recuperação de Canc e Divs'!D:D,'Recuperação de Canc e Divs'!A:A,A134,'Recuperação de Canc e Divs'!B:B,B134,'Recuperação de Canc e Divs'!C:C,D134)</f>
        <v>0</v>
      </c>
      <c r="AF134" s="16">
        <f>IF(K134&gt;=SUMIFS(Parâmetros!J:J,Parâmetros!A:A,A134,Parâmetros!B:B,B134,Parâmetros!D:D,D134),AE134*0.025,0)</f>
        <v>0</v>
      </c>
      <c r="AG134" s="15" t="str">
        <f t="shared" si="58"/>
        <v/>
      </c>
      <c r="AH134" s="16" t="str">
        <f t="shared" si="59"/>
        <v/>
      </c>
      <c r="AI134" s="90">
        <f t="shared" si="60"/>
        <v>0</v>
      </c>
      <c r="AJ134" s="16" t="str">
        <f t="shared" si="61"/>
        <v/>
      </c>
      <c r="AK134" s="16" t="str">
        <f t="shared" si="62"/>
        <v/>
      </c>
      <c r="AL134" s="90">
        <f t="shared" si="63"/>
        <v>0</v>
      </c>
      <c r="AM134" s="93" t="str">
        <f t="shared" si="64"/>
        <v/>
      </c>
      <c r="AN134" s="94" t="str">
        <f>IF(OR(B134=3,B134=6,B134=9,B134=12),
IF(AND(AL134&gt;=1,AI134&gt;=SUMIFS(Parâmetros!G:G,Parâmetros!A:A,Comissões!A134,Parâmetros!B:B,Comissões!B134,Parâmetros!D:D,Comissões!D134,Parâmetros!E:E,Comissões!E134)),AI134*0.3,""),"")</f>
        <v/>
      </c>
      <c r="AO134" s="16">
        <f t="shared" si="65"/>
        <v>100082.83455023999</v>
      </c>
      <c r="AP134" s="16">
        <f t="shared" si="66"/>
        <v>1.0000000000000002</v>
      </c>
    </row>
    <row r="135" spans="1:42">
      <c r="I135" s="86"/>
      <c r="P135" s="87"/>
      <c r="AL135" s="90"/>
      <c r="AM135" s="93"/>
      <c r="AO135" s="16"/>
      <c r="AP135" s="16"/>
    </row>
    <row r="136" spans="1:42">
      <c r="I136" s="86"/>
      <c r="P136" s="87"/>
      <c r="AL136" s="90"/>
      <c r="AM136" s="93"/>
      <c r="AO136" s="16"/>
      <c r="AP136" s="16"/>
    </row>
    <row r="137" spans="1:42">
      <c r="I137" s="86"/>
      <c r="P137" s="87"/>
      <c r="AL137" s="90"/>
      <c r="AM137" s="93"/>
      <c r="AO137" s="16"/>
      <c r="AP137" s="16"/>
    </row>
    <row r="138" spans="1:42">
      <c r="I138" s="86"/>
      <c r="P138" s="87"/>
      <c r="AL138" s="90"/>
      <c r="AM138" s="93"/>
      <c r="AO138" s="16"/>
      <c r="AP138" s="16"/>
    </row>
    <row r="139" spans="1:42">
      <c r="I139" s="86"/>
      <c r="P139" s="87"/>
      <c r="AL139" s="90"/>
      <c r="AM139" s="93"/>
      <c r="AO139" s="16"/>
      <c r="AP139" s="16"/>
    </row>
    <row r="140" spans="1:42">
      <c r="I140" s="86"/>
      <c r="P140" s="87"/>
      <c r="AL140" s="90"/>
      <c r="AM140" s="93"/>
      <c r="AO140" s="16"/>
      <c r="AP140" s="16"/>
    </row>
    <row r="141" spans="1:42">
      <c r="I141" s="86"/>
      <c r="P141" s="87"/>
      <c r="AL141" s="90"/>
      <c r="AM141" s="93"/>
      <c r="AO141" s="16"/>
      <c r="AP141" s="16"/>
    </row>
    <row r="142" spans="1:42">
      <c r="I142" s="86"/>
      <c r="P142" s="87"/>
      <c r="AL142" s="90"/>
      <c r="AM142" s="93"/>
      <c r="AO142" s="16"/>
      <c r="AP142" s="16"/>
    </row>
  </sheetData>
  <autoFilter ref="A1:H134" xr:uid="{5CEBDD51-BBD4-4237-B7AA-ABCCDFF19EE5}">
    <filterColumn colId="3">
      <filters>
        <filter val="eduarda.cardozo@altoqi.com.br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868F3-E64A-4F9A-828F-C2E50318010E}">
  <dimension ref="A1:AE17"/>
  <sheetViews>
    <sheetView workbookViewId="0">
      <selection activeCell="I11" sqref="I11:I17"/>
    </sheetView>
  </sheetViews>
  <sheetFormatPr defaultColWidth="9.140625" defaultRowHeight="15"/>
  <cols>
    <col min="1" max="1" width="5.42578125" bestFit="1" customWidth="1"/>
    <col min="2" max="2" width="4.85546875" bestFit="1" customWidth="1"/>
    <col min="3" max="3" width="17.85546875" bestFit="1" customWidth="1"/>
    <col min="4" max="4" width="29.5703125" bestFit="1" customWidth="1"/>
    <col min="5" max="5" width="7.140625" bestFit="1" customWidth="1"/>
    <col min="6" max="6" width="9.5703125" bestFit="1" customWidth="1"/>
    <col min="7" max="7" width="21" hidden="1" customWidth="1"/>
    <col min="8" max="8" width="5.28515625" bestFit="1" customWidth="1"/>
    <col min="9" max="10" width="13.7109375" style="16" bestFit="1" customWidth="1"/>
    <col min="11" max="11" width="10.42578125" style="10" bestFit="1" customWidth="1"/>
    <col min="12" max="12" width="12.5703125" style="16" bestFit="1" customWidth="1"/>
    <col min="13" max="13" width="13.42578125" style="10" bestFit="1" customWidth="1"/>
    <col min="14" max="14" width="12.5703125" style="16" bestFit="1" customWidth="1"/>
    <col min="15" max="15" width="15" style="7" bestFit="1" customWidth="1"/>
    <col min="16" max="16" width="24" style="7" bestFit="1" customWidth="1"/>
    <col min="17" max="17" width="12.85546875" style="16" bestFit="1" customWidth="1"/>
    <col min="18" max="18" width="27.7109375" style="16" bestFit="1" customWidth="1"/>
    <col min="19" max="19" width="28.42578125" style="7" bestFit="1" customWidth="1"/>
    <col min="20" max="20" width="24.5703125" style="7" bestFit="1" customWidth="1"/>
    <col min="21" max="21" width="21.28515625" style="7" bestFit="1" customWidth="1"/>
    <col min="22" max="22" width="25.85546875" style="7" bestFit="1" customWidth="1"/>
    <col min="23" max="23" width="22" style="7" bestFit="1" customWidth="1"/>
    <col min="24" max="24" width="18.85546875" style="7" bestFit="1" customWidth="1"/>
    <col min="25" max="25" width="28.140625" style="7" bestFit="1" customWidth="1"/>
    <col min="26" max="26" width="25.42578125" style="7" bestFit="1" customWidth="1"/>
  </cols>
  <sheetData>
    <row r="1" spans="1:31">
      <c r="A1" t="str" cm="1">
        <f t="array" ref="A1:H17">_xlfn._xlws.FILTER(Metas!A1:H9997,((Metas!A1:A9997&gt;2025)*(Metas!B1:B9997&gt;3)*(Metas!E1:E9997="Saving"))+(ROW(Metas!A1:A9997)=1))</f>
        <v>Ano</v>
      </c>
      <c r="B1" t="str">
        <v>Mês</v>
      </c>
      <c r="C1" t="str">
        <v>Consultor</v>
      </c>
      <c r="D1" t="str">
        <v>Email</v>
      </c>
      <c r="E1" t="str">
        <v>Equipe</v>
      </c>
      <c r="F1" t="str">
        <v>Cargo</v>
      </c>
      <c r="G1" t="str">
        <v>Gestor</v>
      </c>
      <c r="H1" t="str">
        <v>Tipo</v>
      </c>
      <c r="I1" s="16" t="s">
        <v>4267</v>
      </c>
      <c r="J1" s="16" t="s">
        <v>4521</v>
      </c>
      <c r="K1" s="10" t="s">
        <v>4522</v>
      </c>
      <c r="L1" s="16" t="s">
        <v>4530</v>
      </c>
      <c r="M1" s="10" t="s">
        <v>4546</v>
      </c>
      <c r="N1" s="16" t="s">
        <v>4533</v>
      </c>
      <c r="O1" s="7" t="s">
        <v>4534</v>
      </c>
      <c r="P1" s="7" t="s">
        <v>4535</v>
      </c>
      <c r="Q1" s="16" t="s">
        <v>4536</v>
      </c>
      <c r="R1" s="16" t="s">
        <v>4537</v>
      </c>
      <c r="S1" s="7" t="s">
        <v>4538</v>
      </c>
      <c r="T1" s="7" t="s">
        <v>4539</v>
      </c>
      <c r="U1" s="7" t="s">
        <v>4540</v>
      </c>
      <c r="V1" s="7" t="s">
        <v>4541</v>
      </c>
      <c r="W1" s="7" t="s">
        <v>4542</v>
      </c>
      <c r="X1" s="7" t="s">
        <v>4543</v>
      </c>
      <c r="Y1" s="7" t="s">
        <v>4544</v>
      </c>
      <c r="Z1" s="7" t="s">
        <v>4545</v>
      </c>
    </row>
    <row r="2" spans="1:31">
      <c r="A2">
        <v>2026</v>
      </c>
      <c r="B2">
        <v>4</v>
      </c>
      <c r="C2" t="str">
        <v>Beatriz Nau</v>
      </c>
      <c r="D2" t="str">
        <v>beatriz@altoqi.com.br</v>
      </c>
      <c r="E2" t="str">
        <v>Saving</v>
      </c>
      <c r="F2" t="str">
        <v>Gestor</v>
      </c>
      <c r="G2">
        <v>0</v>
      </c>
      <c r="H2" t="str">
        <v>MRR</v>
      </c>
      <c r="I2" s="16">
        <f>SUM(I3:I9)</f>
        <v>123812.61299999995</v>
      </c>
      <c r="J2" s="16">
        <f>SUMIFS(Metas!K:K,Metas!A:A,A2,Metas!B:B,B2,Metas!D:D,D2,Metas!H:H,H2)</f>
        <v>102138</v>
      </c>
      <c r="K2" s="10">
        <f>IFERROR(I2/J2,0)</f>
        <v>1.2122090994536798</v>
      </c>
      <c r="L2" s="16">
        <f>MAX(_xlfn.MAXIFS(Parâmetros!O:O,Parâmetros!A:A,A2,Parâmetros!B:B,B2,Parâmetros!D:D,D2,Parâmetros!M:M,"&lt;="&amp;K2),_xlfn.MAXIFS(Parâmetros!L:L,Parâmetros!A:A,A2,Parâmetros!B:B,B2,Parâmetros!D:D,D2,Parâmetros!J:J,"&lt;="&amp;K2),_xlfn.MAXIFS(Parâmetros!I:I,Parâmetros!A:A,A2,Parâmetros!B:B,B2,Parâmetros!D:D,D2))</f>
        <v>12000</v>
      </c>
      <c r="M2" s="10">
        <f>_xlfn.MAXIFS('Patamares Saving'!D:D,'Patamares Saving'!A:A,A2,'Patamares Saving'!B:B,B2,'Patamares Saving'!C:C,"&lt;="&amp;'Comissões Saving'!K2)</f>
        <v>1.1000000000000001</v>
      </c>
      <c r="N2" s="16">
        <f>L2*M2*K2</f>
        <v>16001.160112788575</v>
      </c>
      <c r="O2" s="110">
        <f>SUMIFS(Negócios!I:I,Negócios!A:A,A2,Negócios!B:B,B2,Negócios!P:P,D2,Negócios!H:H,"Curso") + SUMIFS(Negócios!I:I,Negócios!A:A,A2,Negócios!B:B,B2,Negócios!P:P,D2,Negócios!H:H,"Serviço") + SUMIFS(Negócios!I:I,Negócios!A:A,A2,Negócios!B:B,B2,Negócios!P:P,D2,Negócios!H:H,"Implementação")</f>
        <v>0</v>
      </c>
      <c r="P2" s="7">
        <f>SUMIFS(Parâmetros!W:W,Parâmetros!A:A,A2,Parâmetros!B:B,B2,Parâmetros!D:D,D2) * AE2 * IF(K2 &gt;= SUMIFS(Parâmetros!V:V,Parâmetros!A:A,A2,Parâmetros!B:B,B2,Parâmetros!D:D,D2),1,0)</f>
        <v>0</v>
      </c>
      <c r="Q2" s="16">
        <f>SUMIFS('Recuperação de Canc e Divs'!D:D,'Recuperação de Canc e Divs'!A:A,A2,'Recuperação de Canc e Divs'!B:B,B2,'Recuperação de Canc e Divs'!C:C,D2)</f>
        <v>0</v>
      </c>
      <c r="R2" s="16">
        <f>IF(K2&gt;=SUMIFS(Parâmetros!G:G,Parâmetros!A:A,A2,Parâmetros!B:B,B2,Parâmetros!D:D,D2),AG2*0.025,0)</f>
        <v>0</v>
      </c>
      <c r="AE2">
        <f>IF(F2="Gestor",SUMIFS(AE:AE,A:A,A2,B:B,B2,G:G,D2),
IF(E2="Saving",SUMIFS(Negócios!I:I,Negócios!A:A,A2,Negócios!B:B,B2,Negócios!P:P,D2,Negócios!H:H,"Curso") + SUMIFS(Negócios!I:I,Negócios!A:A,A2,Negócios!B:B,B2,Negócios!P:P,D2,Negócios!H:H,"Serviço") + SUMIFS(Negócios!I:I,Negócios!A:A,A2,Negócios!B:B,B2,Negócios!P:P,D2,Negócios!H:H,"Implementação"),SUMIFS(Negócios!I:I,Negócios!A:A,A2,Negócios!B:B,B2,Negócios!P:P,D2,Negócios!H:H,"Implementação")))</f>
        <v>0</v>
      </c>
    </row>
    <row r="3" spans="1:31">
      <c r="A3">
        <v>2026</v>
      </c>
      <c r="B3">
        <v>4</v>
      </c>
      <c r="C3" t="str">
        <v>Cintia Faraco</v>
      </c>
      <c r="D3" t="str">
        <v>cintia@altoqi.com.br</v>
      </c>
      <c r="E3" t="str">
        <v>Saving</v>
      </c>
      <c r="F3" t="str">
        <v>Consultor</v>
      </c>
      <c r="G3" t="str">
        <v>beatriz@altoqi.com.br</v>
      </c>
      <c r="H3" t="str">
        <v>MRR</v>
      </c>
      <c r="I3" s="16">
        <f>SUMIFS(Negócios!L:L,Negócios!A:A,A3,Negócios!B:B,B3,Negócios!P:P,D3)</f>
        <v>21473.603000000003</v>
      </c>
      <c r="J3" s="16">
        <f>SUMIFS(Metas!K:K,Metas!A:A,A3,Metas!B:B,B3,Metas!D:D,D3,Metas!H:H,H3)</f>
        <v>16812</v>
      </c>
      <c r="K3" s="10">
        <f t="shared" ref="K3:K9" si="0">IFERROR(I3/J3,0)</f>
        <v>1.2772783131096836</v>
      </c>
      <c r="L3" s="16">
        <f>MAX(_xlfn.MAXIFS(Parâmetros!O:O,Parâmetros!A:A,A3,Parâmetros!B:B,B3,Parâmetros!D:D,D3,Parâmetros!M:M,"&lt;="&amp;K3),_xlfn.MAXIFS(Parâmetros!L:L,Parâmetros!A:A,A3,Parâmetros!B:B,B3,Parâmetros!D:D,D3,Parâmetros!J:J,"&lt;="&amp;K3),_xlfn.MAXIFS(Parâmetros!I:I,Parâmetros!A:A,A3,Parâmetros!B:B,B3,Parâmetros!D:D,D3))</f>
        <v>8100</v>
      </c>
      <c r="M3" s="10">
        <f>_xlfn.MAXIFS('Patamares Saving'!D:D,'Patamares Saving'!A:A,A3,'Patamares Saving'!B:B,B3,'Patamares Saving'!C:C,"&lt;="&amp;'Comissões Saving'!K3)</f>
        <v>1.1000000000000001</v>
      </c>
      <c r="N3" s="16">
        <f>L3*M3*K3</f>
        <v>11380.549769807281</v>
      </c>
      <c r="O3" s="110">
        <f>SUMIFS(Negócios!I:I,Negócios!A:A,A3,Negócios!B:B,B3,Negócios!P:P,D3,Negócios!H:H,"Curso") + SUMIFS(Negócios!I:I,Negócios!A:A,A3,Negócios!B:B,B3,Negócios!P:P,D3,Negócios!H:H,"Serviço") + SUMIFS(Negócios!I:I,Negócios!A:A,A3,Negócios!B:B,B3,Negócios!P:P,D3,Negócios!H:H,"Implementação")</f>
        <v>0</v>
      </c>
      <c r="P3" s="7">
        <f>SUMIFS(Parâmetros!W:W,Parâmetros!A:A,A3,Parâmetros!B:B,B3,Parâmetros!D:D,D3) * AE3 * IF(K3 &gt;= SUMIFS(Parâmetros!V:V,Parâmetros!A:A,A3,Parâmetros!B:B,B3,Parâmetros!D:D,D3),1,0)</f>
        <v>0</v>
      </c>
      <c r="Q3" s="16">
        <f>SUMIFS('Recuperação de Canc e Divs'!D:D,'Recuperação de Canc e Divs'!A:A,A3,'Recuperação de Canc e Divs'!B:B,B3,'Recuperação de Canc e Divs'!C:C,D3)</f>
        <v>9426.4</v>
      </c>
      <c r="R3" s="16">
        <f>IF(K3&gt;=SUMIFS(Parâmetros!G:G,Parâmetros!A:A,A3,Parâmetros!B:B,B3,Parâmetros!D:D,D3),Q3*0.025,0)</f>
        <v>235.66</v>
      </c>
    </row>
    <row r="4" spans="1:31">
      <c r="A4">
        <v>2026</v>
      </c>
      <c r="B4">
        <v>4</v>
      </c>
      <c r="C4" t="str">
        <v>Francyellen Batista</v>
      </c>
      <c r="D4" t="str">
        <v>francyellen@altoqi.com.br</v>
      </c>
      <c r="E4" t="str">
        <v>Saving</v>
      </c>
      <c r="F4" t="str">
        <v>Consultor</v>
      </c>
      <c r="G4" t="str">
        <v>beatriz@altoqi.com.br</v>
      </c>
      <c r="H4" t="str">
        <v>MRR</v>
      </c>
      <c r="I4" s="16">
        <f>SUMIFS(Negócios!L:L,Negócios!A:A,A4,Negócios!B:B,B4,Negócios!P:P,D4)</f>
        <v>15505.199999999995</v>
      </c>
      <c r="J4" s="16">
        <f>SUMIFS(Metas!K:K,Metas!A:A,A4,Metas!B:B,B4,Metas!D:D,D4,Metas!H:H,H4)</f>
        <v>12920</v>
      </c>
      <c r="K4" s="10">
        <f t="shared" si="0"/>
        <v>1.2000928792569656</v>
      </c>
      <c r="L4" s="16">
        <f>MAX(_xlfn.MAXIFS(Parâmetros!O:O,Parâmetros!A:A,A4,Parâmetros!B:B,B4,Parâmetros!D:D,D4,Parâmetros!M:M,"&lt;="&amp;K4),_xlfn.MAXIFS(Parâmetros!L:L,Parâmetros!A:A,A4,Parâmetros!B:B,B4,Parâmetros!D:D,D4,Parâmetros!J:J,"&lt;="&amp;K4),_xlfn.MAXIFS(Parâmetros!I:I,Parâmetros!A:A,A4,Parâmetros!B:B,B4,Parâmetros!D:D,D4))</f>
        <v>5400</v>
      </c>
      <c r="M4" s="10">
        <f>_xlfn.MAXIFS('Patamares Saving'!D:D,'Patamares Saving'!A:A,A4,'Patamares Saving'!B:B,B4,'Patamares Saving'!C:C,"&lt;="&amp;'Comissões Saving'!K4)</f>
        <v>1.1000000000000001</v>
      </c>
      <c r="N4" s="16">
        <f>L4*M4*K4</f>
        <v>7128.5517027863771</v>
      </c>
      <c r="O4" s="110">
        <f>SUMIFS(Negócios!I:I,Negócios!A:A,A4,Negócios!B:B,B4,Negócios!P:P,D4,Negócios!H:H,"Curso") + SUMIFS(Negócios!I:I,Negócios!A:A,A4,Negócios!B:B,B4,Negócios!P:P,D4,Negócios!H:H,"Serviço") + SUMIFS(Negócios!I:I,Negócios!A:A,A4,Negócios!B:B,B4,Negócios!P:P,D4,Negócios!H:H,"Implementação")</f>
        <v>0</v>
      </c>
      <c r="P4" s="7">
        <f>SUMIFS(Parâmetros!W:W,Parâmetros!A:A,A4,Parâmetros!B:B,B4,Parâmetros!D:D,D4) * AE4 * IF(K4 &gt;= SUMIFS(Parâmetros!V:V,Parâmetros!A:A,A4,Parâmetros!B:B,B4,Parâmetros!D:D,D4),1,0)</f>
        <v>0</v>
      </c>
      <c r="Q4" s="16">
        <f>SUMIFS('Recuperação de Canc e Divs'!D:D,'Recuperação de Canc e Divs'!A:A,A4,'Recuperação de Canc e Divs'!B:B,B4,'Recuperação de Canc e Divs'!C:C,D4)</f>
        <v>1053.08</v>
      </c>
      <c r="R4" s="16">
        <f>IF(K4&gt;=SUMIFS(Parâmetros!G:G,Parâmetros!A:A,A4,Parâmetros!B:B,B4,Parâmetros!D:D,D4),Q4*0.025,0)</f>
        <v>26.326999999999998</v>
      </c>
    </row>
    <row r="5" spans="1:31">
      <c r="A5">
        <v>2026</v>
      </c>
      <c r="B5">
        <v>4</v>
      </c>
      <c r="C5" t="str">
        <v>Jaqueline Correa</v>
      </c>
      <c r="D5" t="str">
        <v>jaqueline.correa@altoqi.com.br</v>
      </c>
      <c r="E5" t="str">
        <v>Saving</v>
      </c>
      <c r="F5" t="str">
        <v>Consultor</v>
      </c>
      <c r="G5" t="str">
        <v>beatriz@altoqi.com.br</v>
      </c>
      <c r="H5" t="str">
        <v>MRR</v>
      </c>
      <c r="I5" s="16">
        <f>SUMIFS(Negócios!L:L,Negócios!A:A,A5,Negócios!B:B,B5,Negócios!P:P,D5)</f>
        <v>16598.599999999995</v>
      </c>
      <c r="J5" s="16">
        <f>SUMIFS(Metas!K:K,Metas!A:A,A5,Metas!B:B,B5,Metas!D:D,D5,Metas!H:H,H5)</f>
        <v>12920</v>
      </c>
      <c r="K5" s="10">
        <f t="shared" si="0"/>
        <v>1.2847213622291018</v>
      </c>
      <c r="L5" s="16">
        <f>MAX(_xlfn.MAXIFS(Parâmetros!O:O,Parâmetros!A:A,A5,Parâmetros!B:B,B5,Parâmetros!D:D,D5,Parâmetros!M:M,"&lt;="&amp;K5),_xlfn.MAXIFS(Parâmetros!L:L,Parâmetros!A:A,A5,Parâmetros!B:B,B5,Parâmetros!D:D,D5,Parâmetros!J:J,"&lt;="&amp;K5),_xlfn.MAXIFS(Parâmetros!I:I,Parâmetros!A:A,A5,Parâmetros!B:B,B5,Parâmetros!D:D,D5))</f>
        <v>5400</v>
      </c>
      <c r="M5" s="10">
        <f>_xlfn.MAXIFS('Patamares Saving'!D:D,'Patamares Saving'!A:A,A5,'Patamares Saving'!B:B,B5,'Patamares Saving'!C:C,"&lt;="&amp;'Comissões Saving'!K5)</f>
        <v>1.1000000000000001</v>
      </c>
      <c r="N5" s="16">
        <f>L5*M5*K5</f>
        <v>7631.2448916408657</v>
      </c>
      <c r="O5" s="110">
        <f>SUMIFS(Negócios!I:I,Negócios!A:A,A5,Negócios!B:B,B5,Negócios!P:P,D5,Negócios!H:H,"Curso") + SUMIFS(Negócios!I:I,Negócios!A:A,A5,Negócios!B:B,B5,Negócios!P:P,D5,Negócios!H:H,"Serviço") + SUMIFS(Negócios!I:I,Negócios!A:A,A5,Negócios!B:B,B5,Negócios!P:P,D5,Negócios!H:H,"Implementação")</f>
        <v>0</v>
      </c>
      <c r="P5" s="7">
        <f>SUMIFS(Parâmetros!W:W,Parâmetros!A:A,A5,Parâmetros!B:B,B5,Parâmetros!D:D,D5) * AE5 * IF(K5 &gt;= SUMIFS(Parâmetros!V:V,Parâmetros!A:A,A5,Parâmetros!B:B,B5,Parâmetros!D:D,D5),1,0)</f>
        <v>0</v>
      </c>
      <c r="Q5" s="16">
        <f>SUMIFS('Recuperação de Canc e Divs'!D:D,'Recuperação de Canc e Divs'!A:A,A5,'Recuperação de Canc e Divs'!B:B,B5,'Recuperação de Canc e Divs'!C:C,D5)</f>
        <v>7440.95</v>
      </c>
      <c r="R5" s="16">
        <f>IF(K5&gt;=SUMIFS(Parâmetros!G:G,Parâmetros!A:A,A5,Parâmetros!B:B,B5,Parâmetros!D:D,D5),Q5*0.025,0)</f>
        <v>186.02375000000001</v>
      </c>
    </row>
    <row r="6" spans="1:31">
      <c r="A6">
        <v>2026</v>
      </c>
      <c r="B6">
        <v>4</v>
      </c>
      <c r="C6" t="str">
        <v>Marcela Accacio</v>
      </c>
      <c r="D6" t="str">
        <v>marcela@altoqi.com.br</v>
      </c>
      <c r="E6" t="str">
        <v>Saving</v>
      </c>
      <c r="F6" t="str">
        <v>Consultor</v>
      </c>
      <c r="G6" t="str">
        <v>beatriz@altoqi.com.br</v>
      </c>
      <c r="H6" t="str">
        <v>MRR</v>
      </c>
      <c r="I6" s="16">
        <f>SUMIFS(Negócios!L:L,Negócios!A:A,A6,Negócios!B:B,B6,Negócios!P:P,D6)</f>
        <v>20627.629999999994</v>
      </c>
      <c r="J6" s="16">
        <f>SUMIFS(Metas!K:K,Metas!A:A,A6,Metas!B:B,B6,Metas!D:D,D6,Metas!H:H,H6)</f>
        <v>16812</v>
      </c>
      <c r="K6" s="10">
        <f t="shared" si="0"/>
        <v>1.2269587199619316</v>
      </c>
      <c r="L6" s="16">
        <f>MAX(_xlfn.MAXIFS(Parâmetros!O:O,Parâmetros!A:A,A6,Parâmetros!B:B,B6,Parâmetros!D:D,D6,Parâmetros!M:M,"&lt;="&amp;K6),_xlfn.MAXIFS(Parâmetros!L:L,Parâmetros!A:A,A6,Parâmetros!B:B,B6,Parâmetros!D:D,D6,Parâmetros!J:J,"&lt;="&amp;K6),_xlfn.MAXIFS(Parâmetros!I:I,Parâmetros!A:A,A6,Parâmetros!B:B,B6,Parâmetros!D:D,D6))</f>
        <v>8100</v>
      </c>
      <c r="M6" s="10">
        <f>_xlfn.MAXIFS('Patamares Saving'!D:D,'Patamares Saving'!A:A,A6,'Patamares Saving'!B:B,B6,'Patamares Saving'!C:C,"&lt;="&amp;'Comissões Saving'!K6)</f>
        <v>1.1000000000000001</v>
      </c>
      <c r="N6" s="16">
        <f>L6*M6*K6</f>
        <v>10932.202194860811</v>
      </c>
      <c r="O6" s="110">
        <f>SUMIFS(Negócios!I:I,Negócios!A:A,A6,Negócios!B:B,B6,Negócios!P:P,D6,Negócios!H:H,"Curso") + SUMIFS(Negócios!I:I,Negócios!A:A,A6,Negócios!B:B,B6,Negócios!P:P,D6,Negócios!H:H,"Serviço") + SUMIFS(Negócios!I:I,Negócios!A:A,A6,Negócios!B:B,B6,Negócios!P:P,D6,Negócios!H:H,"Implementação")</f>
        <v>0</v>
      </c>
      <c r="P6" s="7">
        <f>SUMIFS(Parâmetros!W:W,Parâmetros!A:A,A6,Parâmetros!B:B,B6,Parâmetros!D:D,D6) * AE6 * IF(K6 &gt;= SUMIFS(Parâmetros!V:V,Parâmetros!A:A,A6,Parâmetros!B:B,B6,Parâmetros!D:D,D6),1,0)</f>
        <v>0</v>
      </c>
      <c r="Q6" s="16">
        <f>SUMIFS('Recuperação de Canc e Divs'!D:D,'Recuperação de Canc e Divs'!A:A,A6,'Recuperação de Canc e Divs'!B:B,B6,'Recuperação de Canc e Divs'!C:C,D6)</f>
        <v>3136.2</v>
      </c>
      <c r="R6" s="16">
        <f>IF(K6&gt;=SUMIFS(Parâmetros!G:G,Parâmetros!A:A,A6,Parâmetros!B:B,B6,Parâmetros!D:D,D6),Q6*0.025,0)</f>
        <v>78.405000000000001</v>
      </c>
    </row>
    <row r="7" spans="1:31">
      <c r="A7">
        <v>2026</v>
      </c>
      <c r="B7">
        <v>4</v>
      </c>
      <c r="C7" t="str">
        <v>Rosana Machado</v>
      </c>
      <c r="D7" t="str">
        <v>rosana@altoqi.com.br</v>
      </c>
      <c r="E7" t="str">
        <v>Saving</v>
      </c>
      <c r="F7" t="str">
        <v>Consultor</v>
      </c>
      <c r="G7" t="str">
        <v>beatriz@altoqi.com.br</v>
      </c>
      <c r="H7" t="str">
        <v>MRR</v>
      </c>
      <c r="I7" s="16">
        <f>SUMIFS(Negócios!L:L,Negócios!A:A,A7,Negócios!B:B,B7,Negócios!P:P,D7)</f>
        <v>13465.269999999995</v>
      </c>
      <c r="J7" s="16">
        <f>SUMIFS(Metas!K:K,Metas!A:A,A7,Metas!B:B,B7,Metas!D:D,D7,Metas!H:H,H7)</f>
        <v>12920</v>
      </c>
      <c r="K7" s="10">
        <f t="shared" si="0"/>
        <v>1.0422035603715167</v>
      </c>
      <c r="L7" s="16">
        <f>MAX(_xlfn.MAXIFS(Parâmetros!O:O,Parâmetros!A:A,A7,Parâmetros!B:B,B7,Parâmetros!D:D,D7,Parâmetros!M:M,"&lt;="&amp;K7),_xlfn.MAXIFS(Parâmetros!L:L,Parâmetros!A:A,A7,Parâmetros!B:B,B7,Parâmetros!D:D,D7,Parâmetros!J:J,"&lt;="&amp;K7),_xlfn.MAXIFS(Parâmetros!I:I,Parâmetros!A:A,A7,Parâmetros!B:B,B7,Parâmetros!D:D,D7))</f>
        <v>5400</v>
      </c>
      <c r="M7" s="10">
        <f>_xlfn.MAXIFS('Patamares Saving'!D:D,'Patamares Saving'!A:A,A7,'Patamares Saving'!B:B,B7,'Patamares Saving'!C:C,"&lt;="&amp;'Comissões Saving'!K7)</f>
        <v>1.05</v>
      </c>
      <c r="N7" s="16">
        <f>L7*M7*K7</f>
        <v>5909.2941873065001</v>
      </c>
      <c r="O7" s="110">
        <f>SUMIFS(Negócios!I:I,Negócios!A:A,A7,Negócios!B:B,B7,Negócios!P:P,D7,Negócios!H:H,"Curso") + SUMIFS(Negócios!I:I,Negócios!A:A,A7,Negócios!B:B,B7,Negócios!P:P,D7,Negócios!H:H,"Serviço") + SUMIFS(Negócios!I:I,Negócios!A:A,A7,Negócios!B:B,B7,Negócios!P:P,D7,Negócios!H:H,"Implementação")</f>
        <v>0</v>
      </c>
      <c r="P7" s="7">
        <f>SUMIFS(Parâmetros!W:W,Parâmetros!A:A,A7,Parâmetros!B:B,B7,Parâmetros!D:D,D7) * AE7 * IF(K7 &gt;= SUMIFS(Parâmetros!V:V,Parâmetros!A:A,A7,Parâmetros!B:B,B7,Parâmetros!D:D,D7),1,0)</f>
        <v>0</v>
      </c>
      <c r="Q7" s="16">
        <f>SUMIFS('Recuperação de Canc e Divs'!D:D,'Recuperação de Canc e Divs'!A:A,A7,'Recuperação de Canc e Divs'!B:B,B7,'Recuperação de Canc e Divs'!C:C,D7)</f>
        <v>21057.37</v>
      </c>
      <c r="R7" s="16">
        <f>IF(K7&gt;=SUMIFS(Parâmetros!G:G,Parâmetros!A:A,A7,Parâmetros!B:B,B7,Parâmetros!D:D,D7),Q7*0.025,0)</f>
        <v>526.43425000000002</v>
      </c>
    </row>
    <row r="8" spans="1:31">
      <c r="A8">
        <v>2026</v>
      </c>
      <c r="B8">
        <v>4</v>
      </c>
      <c r="C8" t="str">
        <v>Rubia Estipe</v>
      </c>
      <c r="D8" t="str">
        <v>rubia.estipe@altoqi.com.br</v>
      </c>
      <c r="E8" t="str">
        <v>Saving</v>
      </c>
      <c r="F8" t="str">
        <v>Consultor</v>
      </c>
      <c r="G8" t="str">
        <v>beatriz@altoqi.com.br</v>
      </c>
      <c r="H8" t="str">
        <v>MRR</v>
      </c>
      <c r="I8" s="16">
        <f>SUMIFS(Negócios!L:L,Negócios!A:A,A8,Negócios!B:B,B8,Negócios!P:P,D8)</f>
        <v>18544.989999999994</v>
      </c>
      <c r="J8" s="16">
        <f>SUMIFS(Metas!K:K,Metas!A:A,A8,Metas!B:B,B8,Metas!D:D,D8,Metas!H:H,H8)</f>
        <v>16812</v>
      </c>
      <c r="K8" s="10">
        <f t="shared" si="0"/>
        <v>1.1030805377111583</v>
      </c>
      <c r="L8" s="16">
        <f>MAX(_xlfn.MAXIFS(Parâmetros!O:O,Parâmetros!A:A,A8,Parâmetros!B:B,B8,Parâmetros!D:D,D8,Parâmetros!M:M,"&lt;="&amp;K8),_xlfn.MAXIFS(Parâmetros!L:L,Parâmetros!A:A,A8,Parâmetros!B:B,B8,Parâmetros!D:D,D8,Parâmetros!J:J,"&lt;="&amp;K8),_xlfn.MAXIFS(Parâmetros!I:I,Parâmetros!A:A,A8,Parâmetros!B:B,B8,Parâmetros!D:D,D8))</f>
        <v>8100</v>
      </c>
      <c r="M8" s="10">
        <f>_xlfn.MAXIFS('Patamares Saving'!D:D,'Patamares Saving'!A:A,A8,'Patamares Saving'!B:B,B8,'Patamares Saving'!C:C,"&lt;="&amp;'Comissões Saving'!K8)</f>
        <v>1.1000000000000001</v>
      </c>
      <c r="N8" s="16">
        <f>L8*M8*K8</f>
        <v>9828.4475910064211</v>
      </c>
      <c r="O8" s="110">
        <f>SUMIFS(Negócios!I:I,Negócios!A:A,A8,Negócios!B:B,B8,Negócios!P:P,D8,Negócios!H:H,"Curso") + SUMIFS(Negócios!I:I,Negócios!A:A,A8,Negócios!B:B,B8,Negócios!P:P,D8,Negócios!H:H,"Serviço") + SUMIFS(Negócios!I:I,Negócios!A:A,A8,Negócios!B:B,B8,Negócios!P:P,D8,Negócios!H:H,"Implementação")</f>
        <v>0</v>
      </c>
      <c r="P8" s="7">
        <f>SUMIFS(Parâmetros!W:W,Parâmetros!A:A,A8,Parâmetros!B:B,B8,Parâmetros!D:D,D8) * AE8 * IF(K8 &gt;= SUMIFS(Parâmetros!V:V,Parâmetros!A:A,A8,Parâmetros!B:B,B8,Parâmetros!D:D,D8),1,0)</f>
        <v>0</v>
      </c>
      <c r="Q8" s="16">
        <f>SUMIFS('Recuperação de Canc e Divs'!D:D,'Recuperação de Canc e Divs'!A:A,A8,'Recuperação de Canc e Divs'!B:B,B8,'Recuperação de Canc e Divs'!C:C,D8)</f>
        <v>1371.23</v>
      </c>
      <c r="R8" s="16">
        <f>IF(K8&gt;=SUMIFS(Parâmetros!G:G,Parâmetros!A:A,A8,Parâmetros!B:B,B8,Parâmetros!D:D,D8),Q8*0.025,0)</f>
        <v>34.280750000000005</v>
      </c>
    </row>
    <row r="9" spans="1:31">
      <c r="A9">
        <v>2026</v>
      </c>
      <c r="B9">
        <v>4</v>
      </c>
      <c r="C9" t="str">
        <v>Silvia Estipe</v>
      </c>
      <c r="D9" t="str">
        <v>silvia.estipe@altoqi.com.br</v>
      </c>
      <c r="E9" t="str">
        <v>Saving</v>
      </c>
      <c r="F9" t="str">
        <v>Consultor</v>
      </c>
      <c r="G9" t="str">
        <v>beatriz@altoqi.com.br</v>
      </c>
      <c r="H9" t="str">
        <v>MRR</v>
      </c>
      <c r="I9" s="16">
        <f>SUMIFS(Negócios!L:L,Negócios!A:A,A9,Negócios!B:B,B9,Negócios!P:P,D9)</f>
        <v>17597.319999999996</v>
      </c>
      <c r="J9" s="16">
        <f>SUMIFS(Metas!K:K,Metas!A:A,A9,Metas!B:B,B9,Metas!D:D,D9,Metas!H:H,H9)</f>
        <v>12920</v>
      </c>
      <c r="K9" s="10">
        <f t="shared" si="0"/>
        <v>1.3620216718266251</v>
      </c>
      <c r="L9" s="16">
        <f>MAX(_xlfn.MAXIFS(Parâmetros!O:O,Parâmetros!A:A,A9,Parâmetros!B:B,B9,Parâmetros!D:D,D9,Parâmetros!M:M,"&lt;="&amp;K9),_xlfn.MAXIFS(Parâmetros!L:L,Parâmetros!A:A,A9,Parâmetros!B:B,B9,Parâmetros!D:D,D9,Parâmetros!J:J,"&lt;="&amp;K9),_xlfn.MAXIFS(Parâmetros!I:I,Parâmetros!A:A,A9,Parâmetros!B:B,B9,Parâmetros!D:D,D9))</f>
        <v>5400</v>
      </c>
      <c r="M9" s="10">
        <f>_xlfn.MAXIFS('Patamares Saving'!D:D,'Patamares Saving'!A:A,A9,'Patamares Saving'!B:B,B9,'Patamares Saving'!C:C,"&lt;="&amp;'Comissões Saving'!K9)</f>
        <v>1.1000000000000001</v>
      </c>
      <c r="N9" s="16">
        <f>L9*M9*K9</f>
        <v>8090.4087306501542</v>
      </c>
      <c r="O9" s="110">
        <f>SUMIFS(Negócios!I:I,Negócios!A:A,A9,Negócios!B:B,B9,Negócios!P:P,D9,Negócios!H:H,"Curso") + SUMIFS(Negócios!I:I,Negócios!A:A,A9,Negócios!B:B,B9,Negócios!P:P,D9,Negócios!H:H,"Serviço") + SUMIFS(Negócios!I:I,Negócios!A:A,A9,Negócios!B:B,B9,Negócios!P:P,D9,Negócios!H:H,"Implementação")</f>
        <v>0</v>
      </c>
      <c r="P9" s="7">
        <f>SUMIFS(Parâmetros!W:W,Parâmetros!A:A,A9,Parâmetros!B:B,B9,Parâmetros!D:D,D9) * AE9 * IF(K9 &gt;= SUMIFS(Parâmetros!V:V,Parâmetros!A:A,A9,Parâmetros!B:B,B9,Parâmetros!D:D,D9),1,0)</f>
        <v>0</v>
      </c>
      <c r="Q9" s="16">
        <f>SUMIFS('Recuperação de Canc e Divs'!D:D,'Recuperação de Canc e Divs'!A:A,A9,'Recuperação de Canc e Divs'!B:B,B9,'Recuperação de Canc e Divs'!C:C,D9)</f>
        <v>4053.18</v>
      </c>
      <c r="R9" s="16">
        <f>IF(K9&gt;=SUMIFS(Parâmetros!G:G,Parâmetros!A:A,A9,Parâmetros!B:B,B9,Parâmetros!D:D,D9),Q9*0.025,0)</f>
        <v>101.3295</v>
      </c>
    </row>
    <row r="10" spans="1:31">
      <c r="A10">
        <v>2026</v>
      </c>
      <c r="B10">
        <v>5</v>
      </c>
      <c r="C10" t="str">
        <v>Beatriz Nau</v>
      </c>
      <c r="D10" t="str">
        <v>beatriz@altoqi.com.br</v>
      </c>
      <c r="E10" t="str">
        <v>Saving</v>
      </c>
      <c r="F10" t="str">
        <v>Gestor</v>
      </c>
      <c r="G10">
        <v>0</v>
      </c>
      <c r="H10" t="str">
        <v>MRR</v>
      </c>
      <c r="I10" s="16">
        <f>SUM(I11:I17)</f>
        <v>116528.82999999997</v>
      </c>
      <c r="J10" s="16">
        <f>SUMIFS(Metas!K:K,Metas!A:A,A10,Metas!B:B,B10,Metas!D:D,D10,Metas!H:H,H10)</f>
        <v>85801</v>
      </c>
      <c r="K10" s="10">
        <f t="shared" ref="K10:K17" si="1">IFERROR(I10/J10,0)</f>
        <v>1.3581290427850488</v>
      </c>
      <c r="L10" s="16">
        <f>MAX(_xlfn.MAXIFS(Parâmetros!O:O,Parâmetros!A:A,A10,Parâmetros!B:B,B10,Parâmetros!D:D,D10,Parâmetros!M:M,"&lt;="&amp;K10),_xlfn.MAXIFS(Parâmetros!L:L,Parâmetros!A:A,A10,Parâmetros!B:B,B10,Parâmetros!D:D,D10,Parâmetros!J:J,"&lt;="&amp;K10),_xlfn.MAXIFS(Parâmetros!I:I,Parâmetros!A:A,A10,Parâmetros!B:B,B10,Parâmetros!D:D,D10))</f>
        <v>12000</v>
      </c>
      <c r="M10" s="10">
        <f>_xlfn.MAXIFS('Patamares Saving'!D:D,'Patamares Saving'!A:A,A10,'Patamares Saving'!B:B,B10,'Patamares Saving'!C:C,"&lt;="&amp;'Comissões Saving'!K10)</f>
        <v>1.1000000000000001</v>
      </c>
      <c r="N10" s="16">
        <f t="shared" ref="N10:N17" si="2">L10*M10*K10</f>
        <v>17927.303364762647</v>
      </c>
      <c r="O10" s="110">
        <f>SUMIFS(Negócios!I:I,Negócios!A:A,A10,Negócios!B:B,B10,Negócios!P:P,D10,Negócios!H:H,"Curso") + SUMIFS(Negócios!I:I,Negócios!A:A,A10,Negócios!B:B,B10,Negócios!P:P,D10,Negócios!H:H,"Serviço") + SUMIFS(Negócios!I:I,Negócios!A:A,A10,Negócios!B:B,B10,Negócios!P:P,D10,Negócios!H:H,"Implementação")</f>
        <v>0</v>
      </c>
      <c r="P10" s="7">
        <f>SUMIFS(Parâmetros!W:W,Parâmetros!A:A,A10,Parâmetros!B:B,B10,Parâmetros!D:D,D10) * AE10 * IF(K10 &gt;= SUMIFS(Parâmetros!V:V,Parâmetros!A:A,A10,Parâmetros!B:B,B10,Parâmetros!D:D,D10),1,0)</f>
        <v>0</v>
      </c>
      <c r="Q10" s="16">
        <f>SUMIFS('Recuperação de Canc e Divs'!D:D,'Recuperação de Canc e Divs'!A:A,A10,'Recuperação de Canc e Divs'!B:B,B10,'Recuperação de Canc e Divs'!C:C,D10)</f>
        <v>0</v>
      </c>
      <c r="R10" s="16">
        <f>IF(K10&gt;=SUMIFS(Parâmetros!G:G,Parâmetros!A:A,A10,Parâmetros!B:B,B10,Parâmetros!D:D,D10),Q10*0.025,0)</f>
        <v>0</v>
      </c>
    </row>
    <row r="11" spans="1:31">
      <c r="A11">
        <v>2026</v>
      </c>
      <c r="B11">
        <v>5</v>
      </c>
      <c r="C11" t="str">
        <v>Cintia Faraco</v>
      </c>
      <c r="D11" t="str">
        <v>cintia@altoqi.com.br</v>
      </c>
      <c r="E11" t="str">
        <v>Saving</v>
      </c>
      <c r="F11" t="str">
        <v>Consultor</v>
      </c>
      <c r="G11" t="str">
        <v>beatriz@altoqi.com.br</v>
      </c>
      <c r="H11" t="str">
        <v>MRR</v>
      </c>
      <c r="I11" s="16">
        <f>SUMIFS(Negócios!L:L,Negócios!A:A,A11,Negócios!B:B,B11,Negócios!P:P,D11)</f>
        <v>14813.479999999996</v>
      </c>
      <c r="J11" s="16">
        <f>SUMIFS(Metas!K:K,Metas!A:A,A11,Metas!B:B,B11,Metas!D:D,D11,Metas!H:H,H11)</f>
        <v>14123</v>
      </c>
      <c r="K11" s="10">
        <f t="shared" si="1"/>
        <v>1.0488904623663524</v>
      </c>
      <c r="L11" s="16">
        <f>MAX(_xlfn.MAXIFS(Parâmetros!O:O,Parâmetros!A:A,A11,Parâmetros!B:B,B11,Parâmetros!D:D,D11,Parâmetros!M:M,"&lt;="&amp;K11),_xlfn.MAXIFS(Parâmetros!L:L,Parâmetros!A:A,A11,Parâmetros!B:B,B11,Parâmetros!D:D,D11,Parâmetros!J:J,"&lt;="&amp;K11),_xlfn.MAXIFS(Parâmetros!I:I,Parâmetros!A:A,A11,Parâmetros!B:B,B11,Parâmetros!D:D,D11))</f>
        <v>8100</v>
      </c>
      <c r="M11" s="10">
        <f>_xlfn.MAXIFS('Patamares Saving'!D:D,'Patamares Saving'!A:A,A11,'Patamares Saving'!B:B,B11,'Patamares Saving'!C:C,"&lt;="&amp;'Comissões Saving'!K11)</f>
        <v>1.05</v>
      </c>
      <c r="N11" s="16">
        <f t="shared" si="2"/>
        <v>8920.8133824258275</v>
      </c>
      <c r="O11" s="110">
        <f>SUMIFS(Negócios!I:I,Negócios!A:A,A11,Negócios!B:B,B11,Negócios!P:P,D11,Negócios!H:H,"Curso") + SUMIFS(Negócios!I:I,Negócios!A:A,A11,Negócios!B:B,B11,Negócios!P:P,D11,Negócios!H:H,"Serviço") + SUMIFS(Negócios!I:I,Negócios!A:A,A11,Negócios!B:B,B11,Negócios!P:P,D11,Negócios!H:H,"Implementação")</f>
        <v>0</v>
      </c>
      <c r="P11" s="7">
        <f>SUMIFS(Parâmetros!W:W,Parâmetros!A:A,A11,Parâmetros!B:B,B11,Parâmetros!D:D,D11) * AE11 * IF(K11 &gt;= SUMIFS(Parâmetros!V:V,Parâmetros!A:A,A11,Parâmetros!B:B,B11,Parâmetros!D:D,D11),1,0)</f>
        <v>0</v>
      </c>
      <c r="Q11" s="16">
        <f>SUMIFS('Recuperação de Canc e Divs'!D:D,'Recuperação de Canc e Divs'!A:A,A11,'Recuperação de Canc e Divs'!B:B,B11,'Recuperação de Canc e Divs'!C:C,D11)</f>
        <v>5926.92</v>
      </c>
      <c r="R11" s="16">
        <f>IF(K11&gt;=SUMIFS(Parâmetros!G:G,Parâmetros!A:A,A11,Parâmetros!B:B,B11,Parâmetros!D:D,D11),Q11*0.025,0)</f>
        <v>148.173</v>
      </c>
    </row>
    <row r="12" spans="1:31">
      <c r="A12">
        <v>2026</v>
      </c>
      <c r="B12">
        <v>5</v>
      </c>
      <c r="C12" t="str">
        <v>Francyellen Batista</v>
      </c>
      <c r="D12" t="str">
        <v>francyellen@altoqi.com.br</v>
      </c>
      <c r="E12" t="str">
        <v>Saving</v>
      </c>
      <c r="F12" t="str">
        <v>Consultor</v>
      </c>
      <c r="G12" t="str">
        <v>beatriz@altoqi.com.br</v>
      </c>
      <c r="H12" t="str">
        <v>MRR</v>
      </c>
      <c r="I12" s="16">
        <f>SUMIFS(Negócios!L:L,Negócios!A:A,A12,Negócios!B:B,B12,Negócios!P:P,D12)</f>
        <v>16743.429999999993</v>
      </c>
      <c r="J12" s="16">
        <f>SUMIFS(Metas!K:K,Metas!A:A,A12,Metas!B:B,B12,Metas!D:D,D12,Metas!H:H,H12)</f>
        <v>10854</v>
      </c>
      <c r="K12" s="10">
        <f t="shared" si="1"/>
        <v>1.5426045697438726</v>
      </c>
      <c r="L12" s="16">
        <f>MAX(_xlfn.MAXIFS(Parâmetros!O:O,Parâmetros!A:A,A12,Parâmetros!B:B,B12,Parâmetros!D:D,D12,Parâmetros!M:M,"&lt;="&amp;K12),_xlfn.MAXIFS(Parâmetros!L:L,Parâmetros!A:A,A12,Parâmetros!B:B,B12,Parâmetros!D:D,D12,Parâmetros!J:J,"&lt;="&amp;K12),_xlfn.MAXIFS(Parâmetros!I:I,Parâmetros!A:A,A12,Parâmetros!B:B,B12,Parâmetros!D:D,D12))</f>
        <v>5400</v>
      </c>
      <c r="M12" s="10">
        <f>_xlfn.MAXIFS('Patamares Saving'!D:D,'Patamares Saving'!A:A,A12,'Patamares Saving'!B:B,B12,'Patamares Saving'!C:C,"&lt;="&amp;'Comissões Saving'!K12)</f>
        <v>1.1000000000000001</v>
      </c>
      <c r="N12" s="16">
        <f t="shared" si="2"/>
        <v>9163.0711442786051</v>
      </c>
      <c r="O12" s="110">
        <f>SUMIFS(Negócios!I:I,Negócios!A:A,A12,Negócios!B:B,B12,Negócios!P:P,D12,Negócios!H:H,"Curso") + SUMIFS(Negócios!I:I,Negócios!A:A,A12,Negócios!B:B,B12,Negócios!P:P,D12,Negócios!H:H,"Serviço") + SUMIFS(Negócios!I:I,Negócios!A:A,A12,Negócios!B:B,B12,Negócios!P:P,D12,Negócios!H:H,"Implementação")</f>
        <v>0</v>
      </c>
      <c r="P12" s="7">
        <f>SUMIFS(Parâmetros!W:W,Parâmetros!A:A,A12,Parâmetros!B:B,B12,Parâmetros!D:D,D12) * AE12 * IF(K12 &gt;= SUMIFS(Parâmetros!V:V,Parâmetros!A:A,A12,Parâmetros!B:B,B12,Parâmetros!D:D,D12),1,0)</f>
        <v>0</v>
      </c>
      <c r="Q12" s="16">
        <f>SUMIFS('Recuperação de Canc e Divs'!D:D,'Recuperação de Canc e Divs'!A:A,A12,'Recuperação de Canc e Divs'!B:B,B12,'Recuperação de Canc e Divs'!C:C,D12)</f>
        <v>8677.4500000000007</v>
      </c>
      <c r="R12" s="16">
        <f>IF(K12&gt;=SUMIFS(Parâmetros!G:G,Parâmetros!A:A,A12,Parâmetros!B:B,B12,Parâmetros!D:D,D12),Q12*0.025,0)</f>
        <v>216.93625000000003</v>
      </c>
    </row>
    <row r="13" spans="1:31">
      <c r="A13">
        <v>2026</v>
      </c>
      <c r="B13">
        <v>5</v>
      </c>
      <c r="C13" t="str">
        <v>Jaqueline Correa</v>
      </c>
      <c r="D13" t="str">
        <v>jaqueline.correa@altoqi.com.br</v>
      </c>
      <c r="E13" t="str">
        <v>Saving</v>
      </c>
      <c r="F13" t="str">
        <v>Consultor</v>
      </c>
      <c r="G13" t="str">
        <v>beatriz@altoqi.com.br</v>
      </c>
      <c r="H13" t="str">
        <v>MRR</v>
      </c>
      <c r="I13" s="16">
        <f>SUMIFS(Negócios!L:L,Negócios!A:A,A13,Negócios!B:B,B13,Negócios!P:P,D13)</f>
        <v>20079.879999999994</v>
      </c>
      <c r="J13" s="16">
        <f>SUMIFS(Metas!K:K,Metas!A:A,A13,Metas!B:B,B13,Metas!D:D,D13,Metas!H:H,H13)</f>
        <v>10854</v>
      </c>
      <c r="K13" s="10">
        <f t="shared" si="1"/>
        <v>1.8499981573613409</v>
      </c>
      <c r="L13" s="16">
        <f>MAX(_xlfn.MAXIFS(Parâmetros!O:O,Parâmetros!A:A,A13,Parâmetros!B:B,B13,Parâmetros!D:D,D13,Parâmetros!M:M,"&lt;="&amp;K13),_xlfn.MAXIFS(Parâmetros!L:L,Parâmetros!A:A,A13,Parâmetros!B:B,B13,Parâmetros!D:D,D13,Parâmetros!J:J,"&lt;="&amp;K13),_xlfn.MAXIFS(Parâmetros!I:I,Parâmetros!A:A,A13,Parâmetros!B:B,B13,Parâmetros!D:D,D13))</f>
        <v>5400</v>
      </c>
      <c r="M13" s="10">
        <f>_xlfn.MAXIFS('Patamares Saving'!D:D,'Patamares Saving'!A:A,A13,'Patamares Saving'!B:B,B13,'Patamares Saving'!C:C,"&lt;="&amp;'Comissões Saving'!K13)</f>
        <v>1.1000000000000001</v>
      </c>
      <c r="N13" s="16">
        <f t="shared" si="2"/>
        <v>10988.989054726366</v>
      </c>
      <c r="O13" s="110">
        <f>SUMIFS(Negócios!I:I,Negócios!A:A,A13,Negócios!B:B,B13,Negócios!P:P,D13,Negócios!H:H,"Curso") + SUMIFS(Negócios!I:I,Negócios!A:A,A13,Negócios!B:B,B13,Negócios!P:P,D13,Negócios!H:H,"Serviço") + SUMIFS(Negócios!I:I,Negócios!A:A,A13,Negócios!B:B,B13,Negócios!P:P,D13,Negócios!H:H,"Implementação")</f>
        <v>0</v>
      </c>
      <c r="P13" s="7">
        <f>SUMIFS(Parâmetros!W:W,Parâmetros!A:A,A13,Parâmetros!B:B,B13,Parâmetros!D:D,D13) * AE13 * IF(K13 &gt;= SUMIFS(Parâmetros!V:V,Parâmetros!A:A,A13,Parâmetros!B:B,B13,Parâmetros!D:D,D13),1,0)</f>
        <v>0</v>
      </c>
      <c r="Q13" s="16">
        <f>SUMIFS('Recuperação de Canc e Divs'!D:D,'Recuperação de Canc e Divs'!A:A,A13,'Recuperação de Canc e Divs'!B:B,B13,'Recuperação de Canc e Divs'!C:C,D13)</f>
        <v>20182.04</v>
      </c>
      <c r="R13" s="16">
        <f>IF(K13&gt;=SUMIFS(Parâmetros!G:G,Parâmetros!A:A,A13,Parâmetros!B:B,B13,Parâmetros!D:D,D13),Q13*0.025,0)</f>
        <v>504.55100000000004</v>
      </c>
    </row>
    <row r="14" spans="1:31">
      <c r="A14">
        <v>2026</v>
      </c>
      <c r="B14">
        <v>5</v>
      </c>
      <c r="C14" t="str">
        <v>Marcela Accacio</v>
      </c>
      <c r="D14" t="str">
        <v>marcela@altoqi.com.br</v>
      </c>
      <c r="E14" t="str">
        <v>Saving</v>
      </c>
      <c r="F14" t="str">
        <v>Consultor</v>
      </c>
      <c r="G14" t="str">
        <v>beatriz@altoqi.com.br</v>
      </c>
      <c r="H14" t="str">
        <v>MRR</v>
      </c>
      <c r="I14" s="16">
        <f>SUMIFS(Negócios!L:L,Negócios!A:A,A14,Negócios!B:B,B14,Negócios!P:P,D14)</f>
        <v>22398.869999999995</v>
      </c>
      <c r="J14" s="16">
        <f>SUMIFS(Metas!K:K,Metas!A:A,A14,Metas!B:B,B14,Metas!D:D,D14,Metas!H:H,H14)</f>
        <v>14131</v>
      </c>
      <c r="K14" s="10">
        <f t="shared" si="1"/>
        <v>1.5850873965041394</v>
      </c>
      <c r="L14" s="16">
        <f>MAX(_xlfn.MAXIFS(Parâmetros!O:O,Parâmetros!A:A,A14,Parâmetros!B:B,B14,Parâmetros!D:D,D14,Parâmetros!M:M,"&lt;="&amp;K14),_xlfn.MAXIFS(Parâmetros!L:L,Parâmetros!A:A,A14,Parâmetros!B:B,B14,Parâmetros!D:D,D14,Parâmetros!J:J,"&lt;="&amp;K14),_xlfn.MAXIFS(Parâmetros!I:I,Parâmetros!A:A,A14,Parâmetros!B:B,B14,Parâmetros!D:D,D14))</f>
        <v>8100</v>
      </c>
      <c r="M14" s="10">
        <f>_xlfn.MAXIFS('Patamares Saving'!D:D,'Patamares Saving'!A:A,A14,'Patamares Saving'!B:B,B14,'Patamares Saving'!C:C,"&lt;="&amp;'Comissões Saving'!K14)</f>
        <v>1.1000000000000001</v>
      </c>
      <c r="N14" s="16">
        <f t="shared" si="2"/>
        <v>14123.128702851882</v>
      </c>
      <c r="O14" s="110">
        <f>SUMIFS(Negócios!I:I,Negócios!A:A,A14,Negócios!B:B,B14,Negócios!P:P,D14,Negócios!H:H,"Curso") + SUMIFS(Negócios!I:I,Negócios!A:A,A14,Negócios!B:B,B14,Negócios!P:P,D14,Negócios!H:H,"Serviço") + SUMIFS(Negócios!I:I,Negócios!A:A,A14,Negócios!B:B,B14,Negócios!P:P,D14,Negócios!H:H,"Implementação")</f>
        <v>0</v>
      </c>
      <c r="P14" s="7">
        <f>SUMIFS(Parâmetros!W:W,Parâmetros!A:A,A14,Parâmetros!B:B,B14,Parâmetros!D:D,D14) * AE14 * IF(K14 &gt;= SUMIFS(Parâmetros!V:V,Parâmetros!A:A,A14,Parâmetros!B:B,B14,Parâmetros!D:D,D14),1,0)</f>
        <v>0</v>
      </c>
      <c r="Q14" s="16">
        <f>SUMIFS('Recuperação de Canc e Divs'!D:D,'Recuperação de Canc e Divs'!A:A,A14,'Recuperação de Canc e Divs'!B:B,B14,'Recuperação de Canc e Divs'!C:C,D14)</f>
        <v>20024.419999999998</v>
      </c>
      <c r="R14" s="16">
        <f>IF(K14&gt;=SUMIFS(Parâmetros!G:G,Parâmetros!A:A,A14,Parâmetros!B:B,B14,Parâmetros!D:D,D14),Q14*0.025,0)</f>
        <v>500.6105</v>
      </c>
    </row>
    <row r="15" spans="1:31">
      <c r="A15">
        <v>2026</v>
      </c>
      <c r="B15">
        <v>5</v>
      </c>
      <c r="C15" t="str">
        <v>Rosana Machado</v>
      </c>
      <c r="D15" t="str">
        <v>rosana@altoqi.com.br</v>
      </c>
      <c r="E15" t="str">
        <v>Saving</v>
      </c>
      <c r="F15" t="str">
        <v>Consultor</v>
      </c>
      <c r="G15" t="str">
        <v>beatriz@altoqi.com.br</v>
      </c>
      <c r="H15" t="str">
        <v>MRR</v>
      </c>
      <c r="I15" s="16">
        <f>SUMIFS(Negócios!L:L,Negócios!A:A,A15,Negócios!B:B,B15,Negócios!P:P,D15)</f>
        <v>11396.12</v>
      </c>
      <c r="J15" s="16">
        <f>SUMIFS(Metas!K:K,Metas!A:A,A15,Metas!B:B,B15,Metas!D:D,D15,Metas!H:H,H15)</f>
        <v>10854</v>
      </c>
      <c r="K15" s="10">
        <f t="shared" si="1"/>
        <v>1.0499465634789018</v>
      </c>
      <c r="L15" s="16">
        <f>MAX(_xlfn.MAXIFS(Parâmetros!O:O,Parâmetros!A:A,A15,Parâmetros!B:B,B15,Parâmetros!D:D,D15,Parâmetros!M:M,"&lt;="&amp;K15),_xlfn.MAXIFS(Parâmetros!L:L,Parâmetros!A:A,A15,Parâmetros!B:B,B15,Parâmetros!D:D,D15,Parâmetros!J:J,"&lt;="&amp;K15),_xlfn.MAXIFS(Parâmetros!I:I,Parâmetros!A:A,A15,Parâmetros!B:B,B15,Parâmetros!D:D,D15))</f>
        <v>5400</v>
      </c>
      <c r="M15" s="10">
        <f>_xlfn.MAXIFS('Patamares Saving'!D:D,'Patamares Saving'!A:A,A15,'Patamares Saving'!B:B,B15,'Patamares Saving'!C:C,"&lt;="&amp;'Comissões Saving'!K15)</f>
        <v>1.05</v>
      </c>
      <c r="N15" s="16">
        <f t="shared" si="2"/>
        <v>5953.197014925373</v>
      </c>
      <c r="O15" s="110">
        <f>SUMIFS(Negócios!I:I,Negócios!A:A,A15,Negócios!B:B,B15,Negócios!P:P,D15,Negócios!H:H,"Curso") + SUMIFS(Negócios!I:I,Negócios!A:A,A15,Negócios!B:B,B15,Negócios!P:P,D15,Negócios!H:H,"Serviço") + SUMIFS(Negócios!I:I,Negócios!A:A,A15,Negócios!B:B,B15,Negócios!P:P,D15,Negócios!H:H,"Implementação")</f>
        <v>0</v>
      </c>
      <c r="P15" s="7">
        <f>SUMIFS(Parâmetros!W:W,Parâmetros!A:A,A15,Parâmetros!B:B,B15,Parâmetros!D:D,D15) * AE15 * IF(K15 &gt;= SUMIFS(Parâmetros!V:V,Parâmetros!A:A,A15,Parâmetros!B:B,B15,Parâmetros!D:D,D15),1,0)</f>
        <v>0</v>
      </c>
      <c r="Q15" s="16">
        <f>SUMIFS('Recuperação de Canc e Divs'!D:D,'Recuperação de Canc e Divs'!A:A,A15,'Recuperação de Canc e Divs'!B:B,B15,'Recuperação de Canc e Divs'!C:C,D15)</f>
        <v>20629.52</v>
      </c>
      <c r="R15" s="16">
        <f>IF(K15&gt;=SUMIFS(Parâmetros!G:G,Parâmetros!A:A,A15,Parâmetros!B:B,B15,Parâmetros!D:D,D15),Q15*0.025,0)</f>
        <v>515.73800000000006</v>
      </c>
    </row>
    <row r="16" spans="1:31">
      <c r="A16">
        <v>2026</v>
      </c>
      <c r="B16">
        <v>5</v>
      </c>
      <c r="C16" t="str">
        <v>Rubia Estipe</v>
      </c>
      <c r="D16" t="str">
        <v>rubia.estipe@altoqi.com.br</v>
      </c>
      <c r="E16" t="str">
        <v>Saving</v>
      </c>
      <c r="F16" t="str">
        <v>Consultor</v>
      </c>
      <c r="G16" t="str">
        <v>beatriz@altoqi.com.br</v>
      </c>
      <c r="H16" t="str">
        <v>MRR</v>
      </c>
      <c r="I16" s="16">
        <f>SUMIFS(Negócios!L:L,Negócios!A:A,A16,Negócios!B:B,B16,Negócios!P:P,D16)</f>
        <v>18072.129999999997</v>
      </c>
      <c r="J16" s="16">
        <f>SUMIFS(Metas!K:K,Metas!A:A,A16,Metas!B:B,B16,Metas!D:D,D16,Metas!H:H,H16)</f>
        <v>14131</v>
      </c>
      <c r="K16" s="10">
        <f t="shared" si="1"/>
        <v>1.2788995824782392</v>
      </c>
      <c r="L16" s="16">
        <f>MAX(_xlfn.MAXIFS(Parâmetros!O:O,Parâmetros!A:A,A16,Parâmetros!B:B,B16,Parâmetros!D:D,D16,Parâmetros!M:M,"&lt;="&amp;K16),_xlfn.MAXIFS(Parâmetros!L:L,Parâmetros!A:A,A16,Parâmetros!B:B,B16,Parâmetros!D:D,D16,Parâmetros!J:J,"&lt;="&amp;K16),_xlfn.MAXIFS(Parâmetros!I:I,Parâmetros!A:A,A16,Parâmetros!B:B,B16,Parâmetros!D:D,D16))</f>
        <v>8100</v>
      </c>
      <c r="M16" s="10">
        <f>_xlfn.MAXIFS('Patamares Saving'!D:D,'Patamares Saving'!A:A,A16,'Patamares Saving'!B:B,B16,'Patamares Saving'!C:C,"&lt;="&amp;'Comissões Saving'!K16)</f>
        <v>1.1000000000000001</v>
      </c>
      <c r="N16" s="16">
        <f t="shared" si="2"/>
        <v>11394.995279881112</v>
      </c>
      <c r="O16" s="110">
        <f>SUMIFS(Negócios!I:I,Negócios!A:A,A16,Negócios!B:B,B16,Negócios!P:P,D16,Negócios!H:H,"Curso") + SUMIFS(Negócios!I:I,Negócios!A:A,A16,Negócios!B:B,B16,Negócios!P:P,D16,Negócios!H:H,"Serviço") + SUMIFS(Negócios!I:I,Negócios!A:A,A16,Negócios!B:B,B16,Negócios!P:P,D16,Negócios!H:H,"Implementação")</f>
        <v>0</v>
      </c>
      <c r="P16" s="7">
        <f>SUMIFS(Parâmetros!W:W,Parâmetros!A:A,A16,Parâmetros!B:B,B16,Parâmetros!D:D,D16) * AE16 * IF(K16 &gt;= SUMIFS(Parâmetros!V:V,Parâmetros!A:A,A16,Parâmetros!B:B,B16,Parâmetros!D:D,D16),1,0)</f>
        <v>0</v>
      </c>
      <c r="Q16" s="16">
        <f>SUMIFS('Recuperação de Canc e Divs'!D:D,'Recuperação de Canc e Divs'!A:A,A16,'Recuperação de Canc e Divs'!B:B,B16,'Recuperação de Canc e Divs'!C:C,D16)</f>
        <v>6837</v>
      </c>
      <c r="R16" s="16">
        <f>IF(K16&gt;=SUMIFS(Parâmetros!G:G,Parâmetros!A:A,A16,Parâmetros!B:B,B16,Parâmetros!D:D,D16),Q16*0.025,0)</f>
        <v>170.92500000000001</v>
      </c>
    </row>
    <row r="17" spans="1:18">
      <c r="A17">
        <v>2026</v>
      </c>
      <c r="B17">
        <v>5</v>
      </c>
      <c r="C17" t="str">
        <v>Silvia Estipe</v>
      </c>
      <c r="D17" t="str">
        <v>silvia.estipe@altoqi.com.br</v>
      </c>
      <c r="E17" t="str">
        <v>Saving</v>
      </c>
      <c r="F17" t="str">
        <v>Consultor</v>
      </c>
      <c r="G17" t="str">
        <v>beatriz@altoqi.com.br</v>
      </c>
      <c r="H17" t="str">
        <v>MRR</v>
      </c>
      <c r="I17" s="16">
        <f>SUMIFS(Negócios!L:L,Negócios!A:A,A17,Negócios!B:B,B17,Negócios!P:P,D17)</f>
        <v>13024.919999999998</v>
      </c>
      <c r="J17" s="16">
        <f>SUMIFS(Metas!K:K,Metas!A:A,A17,Metas!B:B,B17,Metas!D:D,D17,Metas!H:H,H17)</f>
        <v>10854</v>
      </c>
      <c r="K17" s="10">
        <f t="shared" si="1"/>
        <v>1.2000110558319512</v>
      </c>
      <c r="L17" s="16">
        <f>MAX(_xlfn.MAXIFS(Parâmetros!O:O,Parâmetros!A:A,A17,Parâmetros!B:B,B17,Parâmetros!D:D,D17,Parâmetros!M:M,"&lt;="&amp;K17),_xlfn.MAXIFS(Parâmetros!L:L,Parâmetros!A:A,A17,Parâmetros!B:B,B17,Parâmetros!D:D,D17,Parâmetros!J:J,"&lt;="&amp;K17),_xlfn.MAXIFS(Parâmetros!I:I,Parâmetros!A:A,A17,Parâmetros!B:B,B17,Parâmetros!D:D,D17))</f>
        <v>5400</v>
      </c>
      <c r="M17" s="10">
        <f>_xlfn.MAXIFS('Patamares Saving'!D:D,'Patamares Saving'!A:A,A17,'Patamares Saving'!B:B,B17,'Patamares Saving'!C:C,"&lt;="&amp;'Comissões Saving'!K17)</f>
        <v>1.1000000000000001</v>
      </c>
      <c r="N17" s="16">
        <f t="shared" si="2"/>
        <v>7128.0656716417916</v>
      </c>
      <c r="O17" s="110">
        <f>SUMIFS(Negócios!I:I,Negócios!A:A,A17,Negócios!B:B,B17,Negócios!P:P,D17,Negócios!H:H,"Curso") + SUMIFS(Negócios!I:I,Negócios!A:A,A17,Negócios!B:B,B17,Negócios!P:P,D17,Negócios!H:H,"Serviço") + SUMIFS(Negócios!I:I,Negócios!A:A,A17,Negócios!B:B,B17,Negócios!P:P,D17,Negócios!H:H,"Implementação")</f>
        <v>0</v>
      </c>
      <c r="P17" s="7">
        <f>SUMIFS(Parâmetros!W:W,Parâmetros!A:A,A17,Parâmetros!B:B,B17,Parâmetros!D:D,D17) * AE17 * IF(K17 &gt;= SUMIFS(Parâmetros!V:V,Parâmetros!A:A,A17,Parâmetros!B:B,B17,Parâmetros!D:D,D17),1,0)</f>
        <v>0</v>
      </c>
      <c r="Q17" s="16">
        <f>SUMIFS('Recuperação de Canc e Divs'!D:D,'Recuperação de Canc e Divs'!A:A,A17,'Recuperação de Canc e Divs'!B:B,B17,'Recuperação de Canc e Divs'!C:C,D17)</f>
        <v>7830.6</v>
      </c>
      <c r="R17" s="16">
        <f>IF(K17&gt;=SUMIFS(Parâmetros!G:G,Parâmetros!A:A,A17,Parâmetros!B:B,B17,Parâmetros!D:D,D17),Q17*0.025,0)</f>
        <v>195.76500000000001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7957F-DDF8-4BD5-89CE-ACCCFEA1E1CF}">
  <dimension ref="A1:AO57"/>
  <sheetViews>
    <sheetView workbookViewId="0">
      <pane xSplit="7" ySplit="1" topLeftCell="H29" activePane="bottomRight" state="frozen"/>
      <selection pane="bottomRight" activeCell="I42" sqref="I42"/>
      <selection pane="bottomLeft"/>
      <selection pane="topRight"/>
    </sheetView>
  </sheetViews>
  <sheetFormatPr defaultRowHeight="15"/>
  <cols>
    <col min="1" max="1" width="5.42578125" style="7" bestFit="1" customWidth="1"/>
    <col min="2" max="2" width="4.85546875" style="7" bestFit="1" customWidth="1"/>
    <col min="3" max="3" width="23.28515625" style="7" bestFit="1" customWidth="1"/>
    <col min="4" max="4" width="33.5703125" style="7" bestFit="1" customWidth="1"/>
    <col min="5" max="5" width="7.140625" style="7" bestFit="1" customWidth="1"/>
    <col min="6" max="6" width="9.5703125" style="7" bestFit="1" customWidth="1"/>
    <col min="7" max="7" width="27.85546875" style="7" hidden="1" customWidth="1"/>
    <col min="8" max="8" width="5.7109375" style="7" bestFit="1" customWidth="1"/>
    <col min="9" max="9" width="9.5703125" style="20" bestFit="1" customWidth="1"/>
    <col min="10" max="10" width="5.7109375" style="7" bestFit="1" customWidth="1"/>
    <col min="11" max="11" width="12.5703125" style="10" bestFit="1" customWidth="1"/>
    <col min="12" max="12" width="11.42578125" style="15" bestFit="1" customWidth="1"/>
    <col min="13" max="13" width="14.85546875" style="9" bestFit="1" customWidth="1"/>
    <col min="14" max="14" width="12.85546875" style="16" bestFit="1" customWidth="1"/>
    <col min="15" max="15" width="12" style="16" bestFit="1" customWidth="1"/>
    <col min="16" max="16" width="28.42578125" style="20" bestFit="1" customWidth="1"/>
    <col min="17" max="17" width="24.5703125" style="7" bestFit="1" customWidth="1"/>
    <col min="18" max="18" width="21.28515625" style="89" bestFit="1" customWidth="1"/>
    <col min="19" max="19" width="25.85546875" style="7" bestFit="1" customWidth="1"/>
    <col min="20" max="20" width="22" style="7" bestFit="1" customWidth="1"/>
    <col min="21" max="21" width="18.85546875" style="89" bestFit="1" customWidth="1"/>
    <col min="22" max="22" width="28.140625" style="7" bestFit="1" customWidth="1"/>
    <col min="23" max="23" width="25.42578125" style="88" bestFit="1" customWidth="1"/>
    <col min="24" max="24" width="27.140625" style="7" bestFit="1" customWidth="1"/>
  </cols>
  <sheetData>
    <row r="1" spans="1:23">
      <c r="A1" s="7" t="str" cm="1">
        <f t="array" ref="A1:H49">_xlfn._xlws.FILTER(Metas!A1:H9997,((Metas!A1:A9997&gt;2025)*(Metas!E1:E9997 = "GD"))+(Metas!E1:E9997 = "Equipe"))</f>
        <v>Ano</v>
      </c>
      <c r="B1" s="7" t="str">
        <v>Mês</v>
      </c>
      <c r="C1" s="7" t="str">
        <v>Consultor</v>
      </c>
      <c r="D1" s="7" t="str">
        <v>Email</v>
      </c>
      <c r="E1" s="7" t="str">
        <v>Equipe</v>
      </c>
      <c r="F1" s="7" t="str">
        <v>Cargo</v>
      </c>
      <c r="G1" s="7" t="str">
        <v>Gestor</v>
      </c>
      <c r="H1" s="7" t="str">
        <v>Tipo</v>
      </c>
      <c r="I1" s="19" t="s">
        <v>4267</v>
      </c>
      <c r="J1" s="21" t="s">
        <v>4521</v>
      </c>
      <c r="K1" s="17" t="s">
        <v>4522</v>
      </c>
      <c r="L1" s="13" t="s">
        <v>4530</v>
      </c>
      <c r="M1" s="18" t="s">
        <v>4531</v>
      </c>
      <c r="N1" s="14" t="s">
        <v>4532</v>
      </c>
      <c r="O1" s="14" t="s">
        <v>4533</v>
      </c>
      <c r="P1" s="19" t="s">
        <v>4538</v>
      </c>
      <c r="Q1" s="21" t="s">
        <v>4539</v>
      </c>
      <c r="R1" s="97" t="s">
        <v>4540</v>
      </c>
      <c r="S1" s="21" t="s">
        <v>4541</v>
      </c>
      <c r="T1" s="21" t="s">
        <v>4542</v>
      </c>
      <c r="U1" s="97" t="s">
        <v>4543</v>
      </c>
      <c r="V1" s="21" t="s">
        <v>4544</v>
      </c>
      <c r="W1" s="96" t="s">
        <v>4545</v>
      </c>
    </row>
    <row r="2" spans="1:23">
      <c r="A2" s="7">
        <v>2026</v>
      </c>
      <c r="B2" s="7">
        <v>1</v>
      </c>
      <c r="C2" s="7" t="str">
        <v>Ana Camargo</v>
      </c>
      <c r="D2" s="7" t="str">
        <v>ana.camargo@altoqi.com.br</v>
      </c>
      <c r="E2" s="7" t="str">
        <v>GD</v>
      </c>
      <c r="F2" s="7" t="str">
        <v>Consultor</v>
      </c>
      <c r="G2" s="7" t="str">
        <v>andre.cardoso@altoqi.com.br</v>
      </c>
      <c r="H2" s="7" t="str">
        <v>Opps</v>
      </c>
      <c r="I2" s="20">
        <f>IF(F2="Gestor",SUMIFS(I:I,A:A,A2,B:B,B2,G:G,D2),
SUMIFS('Realizado GD'!D:D,'Realizado GD'!A:A,A2,'Realizado GD'!B:B,B2,'Realizado GD'!C:C,D2))</f>
        <v>96</v>
      </c>
      <c r="J2" s="7">
        <f>SUMIFS(Metas!K:K,Metas!A:A,A2,Metas!B:B,B2,Metas!D:D,D2,Metas!H:H,H2)</f>
        <v>72</v>
      </c>
      <c r="K2" s="10">
        <f>IFERROR(I2/J2,0)</f>
        <v>1.3333333333333333</v>
      </c>
      <c r="L2" s="15">
        <f>MAX(_xlfn.MAXIFS(Parâmetros!O:O,Parâmetros!A:A,A2,Parâmetros!B:B,B2,Parâmetros!D:D,D2,Parâmetros!M:M,"&lt;="&amp;K2),_xlfn.MAXIFS(Parâmetros!L:L,Parâmetros!A:A,A2,Parâmetros!B:B,B2,Parâmetros!D:D,D2,Parâmetros!J:J,"&lt;="&amp;K2),_xlfn.MAXIFS(Parâmetros!I:I,Parâmetros!A:A,A2,Parâmetros!B:B,B2,Parâmetros!D:D,D2,Parâmetros!E:E,E2,Parâmetros!G:G,"&lt;="&amp;K2),0)</f>
        <v>1125</v>
      </c>
      <c r="M2" s="9">
        <f>MAX(_xlfn.MAXIFS(Parâmetros!Q:Q,Parâmetros!A:A,A2,Parâmetros!B:B,B2,Parâmetros!D:D,D2,Parâmetros!P:P,"&lt;="&amp;K2),_xlfn.MAXIFS(Parâmetros!S:S,Parâmetros!A:A,A2,Parâmetros!B:B,B2,Parâmetros!D:D,D2,Parâmetros!R:R,"&lt;="&amp;K2),_xlfn.MAXIFS(Parâmetros!U:U,Parâmetros!A:A,A2,Parâmetros!B:B,B2,Parâmetros!D:D,D2,Parâmetros!T:T,"&lt;="&amp;K2),1) * IF(K2 &gt;= SUMIFS(Parâmetros!G:G,Parâmetros!A:A,A2,Parâmetros!B:B,B2,Parâmetros!D:D,D2),1,0)</f>
        <v>1.25</v>
      </c>
      <c r="N2" s="16">
        <f t="shared" ref="N2:N11" si="0">L2*M2</f>
        <v>1406.25</v>
      </c>
      <c r="O2" s="16">
        <f>N2*K2</f>
        <v>1875</v>
      </c>
      <c r="P2" s="20" t="str">
        <f t="shared" ref="P2:P20" si="1">IF(OR(B2=3,B2=6,B2=9,B2=12),
SUMIFS(I:I,$A:$A,$A2,$B:$B,"&gt;="&amp;(B2-2),$B:$B,"&lt;="&amp;B2,$D:$D,$D2),"")</f>
        <v/>
      </c>
      <c r="Q2" s="7" t="str">
        <f t="shared" ref="Q2:Q20" si="2">IF(OR(B2=3,B2=6,B2=9,B2=12),
SUMIFS(J:J,$A:$A,$A2,$B:$B,"&gt;="&amp;(B2-2),$B:$B,"&lt;="&amp;B2,$D:$D,$D2),"")</f>
        <v/>
      </c>
      <c r="R2" s="90">
        <f t="shared" ref="R2:R19" si="3">IFERROR(P2/Q2,0)</f>
        <v>0</v>
      </c>
      <c r="S2" s="7" t="str">
        <f t="shared" ref="S2:S20" si="4">IF(F2="Gestor","",
IF(OR(B2=3,B2=6,B2=9,B2=12),
SUMIFS(I:I,$A:$A,$A2,$B:$B,"&gt;="&amp;(B2-2),$B:$B,"&lt;="&amp;B2,$E:$E,$E2,$F:$F,"&lt;&gt;Gestor"),
""))</f>
        <v/>
      </c>
      <c r="T2" s="7" t="str">
        <f t="shared" ref="T2:T20" si="5">IF(F2="Gestor","",
IF(OR(B2=3,B2=6,B2=9,B2=12),
SUMIFS(J:J,$A:$A,$A2,$B:$B,"&gt;="&amp;(B2-2),$B:$B,"&lt;="&amp;B2,$E:$E,$E2,$F:$F,"&lt;&gt;Gestor"),
""))</f>
        <v/>
      </c>
      <c r="U2" s="90">
        <f t="shared" ref="U2:U19" si="6">IFERROR(S2/T2,0)</f>
        <v>0</v>
      </c>
      <c r="V2" s="93" t="str">
        <f t="shared" ref="V2:V20" si="7">IF(AND(OR(B2=3,B2=6,B2=9,B2=12),R2&gt;=1),
IF(F2="Gestor",R2*0.6,R2*0.3),"")</f>
        <v/>
      </c>
      <c r="W2" s="88" t="str">
        <f>IF(OR(B2=3,B2=6,B2=9,B2=12),
IF(AND(U2&gt;=1,R2&gt;=SUMIFS(Parâmetros!G:G,Parâmetros!A:A,A2,Parâmetros!B:B,B2,Parâmetros!D:D,'Comissões GD'!D2)),R2*0.3,""),"")</f>
        <v/>
      </c>
    </row>
    <row r="3" spans="1:23">
      <c r="A3" s="7">
        <v>2026</v>
      </c>
      <c r="B3" s="7">
        <v>1</v>
      </c>
      <c r="C3" s="7" t="str">
        <v>Anand Freitas Figueiredo</v>
      </c>
      <c r="D3" s="7" t="str">
        <v>anand.figueiredo@altoqi.com.br</v>
      </c>
      <c r="E3" s="7" t="str">
        <v>GD</v>
      </c>
      <c r="F3" s="7" t="str">
        <v>Consultor</v>
      </c>
      <c r="G3" s="7">
        <v>0</v>
      </c>
      <c r="H3" s="7" t="str">
        <v>Opps</v>
      </c>
      <c r="I3" s="20">
        <f>IF(F3="Gestor",SUMIFS(I:I,A:A,A3,B:B,B3,G:G,D3),
SUMIFS('Realizado GD'!D:D,'Realizado GD'!A:A,A3,'Realizado GD'!B:B,B3,'Realizado GD'!C:C,D3))</f>
        <v>43</v>
      </c>
      <c r="J3" s="7">
        <f>SUMIFS(Metas!K:K,Metas!A:A,A3,Metas!B:B,B3,Metas!D:D,D3,Metas!H:H,H3)</f>
        <v>40</v>
      </c>
      <c r="K3" s="10">
        <f t="shared" ref="K3:K10" si="8">IFERROR(I3/J3,0)</f>
        <v>1.075</v>
      </c>
      <c r="L3" s="15">
        <f>MAX(_xlfn.MAXIFS(Parâmetros!O:O,Parâmetros!A:A,A3,Parâmetros!B:B,B3,Parâmetros!D:D,D3,Parâmetros!M:M,"&lt;="&amp;K3),_xlfn.MAXIFS(Parâmetros!L:L,Parâmetros!A:A,A3,Parâmetros!B:B,B3,Parâmetros!D:D,D3,Parâmetros!J:J,"&lt;="&amp;K3),_xlfn.MAXIFS(Parâmetros!I:I,Parâmetros!A:A,A3,Parâmetros!B:B,B3,Parâmetros!D:D,D3,Parâmetros!E:E,E3,Parâmetros!G:G,"&lt;="&amp;K3),0)</f>
        <v>1800</v>
      </c>
      <c r="M3" s="9">
        <f>MAX(_xlfn.MAXIFS(Parâmetros!Q:Q,Parâmetros!A:A,A3,Parâmetros!B:B,B3,Parâmetros!D:D,D3,Parâmetros!P:P,"&lt;="&amp;K3),_xlfn.MAXIFS(Parâmetros!S:S,Parâmetros!A:A,A3,Parâmetros!B:B,B3,Parâmetros!D:D,D3,Parâmetros!R:R,"&lt;="&amp;K3),_xlfn.MAXIFS(Parâmetros!U:U,Parâmetros!A:A,A3,Parâmetros!B:B,B3,Parâmetros!D:D,D3,Parâmetros!T:T,"&lt;="&amp;K3),1) * IF(K3 &gt;= SUMIFS(Parâmetros!G:G,Parâmetros!A:A,A3,Parâmetros!B:B,B3,Parâmetros!D:D,D3),1,0)</f>
        <v>1.25</v>
      </c>
      <c r="N3" s="16">
        <f t="shared" si="0"/>
        <v>2250</v>
      </c>
      <c r="O3" s="16">
        <f t="shared" ref="O3:O10" si="9">N3*K3</f>
        <v>2418.75</v>
      </c>
      <c r="P3" s="20" t="str">
        <f t="shared" si="1"/>
        <v/>
      </c>
      <c r="Q3" s="7" t="str">
        <f t="shared" si="2"/>
        <v/>
      </c>
      <c r="R3" s="90">
        <f t="shared" si="3"/>
        <v>0</v>
      </c>
      <c r="S3" s="7" t="str">
        <f t="shared" si="4"/>
        <v/>
      </c>
      <c r="T3" s="7" t="str">
        <f t="shared" si="5"/>
        <v/>
      </c>
      <c r="U3" s="90">
        <f t="shared" si="6"/>
        <v>0</v>
      </c>
      <c r="V3" s="93" t="str">
        <f t="shared" si="7"/>
        <v/>
      </c>
      <c r="W3" s="88" t="str">
        <f>IF(OR(B3=3,B3=6,B3=9,B3=12),
IF(AND(U3&gt;=1,R3&gt;=SUMIFS(Parâmetros!G:G,Parâmetros!A:A,A3,Parâmetros!B:B,B3,Parâmetros!D:D,'Comissões GD'!D3)),R3*0.3,""),"")</f>
        <v/>
      </c>
    </row>
    <row r="4" spans="1:23">
      <c r="A4" s="7">
        <v>2026</v>
      </c>
      <c r="B4" s="7">
        <v>1</v>
      </c>
      <c r="C4" s="7" t="str">
        <v>André Cardoso</v>
      </c>
      <c r="D4" s="7" t="str">
        <v>andre.cardoso@altoqi.com.br</v>
      </c>
      <c r="E4" s="7" t="str">
        <v>GD</v>
      </c>
      <c r="F4" s="7" t="str">
        <v>Gestor</v>
      </c>
      <c r="G4" s="7">
        <v>0</v>
      </c>
      <c r="H4" s="7" t="str">
        <v>Opps</v>
      </c>
      <c r="I4" s="20">
        <f>IF(F4="Gestor",SUMIFS(I:I,A:A,A4,B:B,B4,G:G,D4),
SUMIFS('Realizado GD'!D:D,'Realizado GD'!A:A,A4,'Realizado GD'!B:B,B4,'Realizado GD'!C:C,D4))</f>
        <v>543</v>
      </c>
      <c r="J4" s="7">
        <f>SUMIFS(Metas!K:K,Metas!A:A,A4,Metas!B:B,B4,Metas!D:D,D4,Metas!H:H,H4)</f>
        <v>442</v>
      </c>
      <c r="K4" s="10">
        <f t="shared" si="8"/>
        <v>1.2285067873303168</v>
      </c>
      <c r="L4" s="15">
        <f>MAX(_xlfn.MAXIFS(Parâmetros!O:O,Parâmetros!A:A,A4,Parâmetros!B:B,B4,Parâmetros!D:D,D4,Parâmetros!M:M,"&lt;="&amp;K4),_xlfn.MAXIFS(Parâmetros!L:L,Parâmetros!A:A,A4,Parâmetros!B:B,B4,Parâmetros!D:D,D4,Parâmetros!J:J,"&lt;="&amp;K4),_xlfn.MAXIFS(Parâmetros!I:I,Parâmetros!A:A,A4,Parâmetros!B:B,B4,Parâmetros!D:D,D4,Parâmetros!E:E,E4,Parâmetros!G:G,"&lt;="&amp;K4),0)</f>
        <v>3200</v>
      </c>
      <c r="M4" s="9">
        <f>MAX(_xlfn.MAXIFS(Parâmetros!Q:Q,Parâmetros!A:A,A4,Parâmetros!B:B,B4,Parâmetros!D:D,D4,Parâmetros!P:P,"&lt;="&amp;K4),_xlfn.MAXIFS(Parâmetros!S:S,Parâmetros!A:A,A4,Parâmetros!B:B,B4,Parâmetros!D:D,D4,Parâmetros!R:R,"&lt;="&amp;K4),_xlfn.MAXIFS(Parâmetros!U:U,Parâmetros!A:A,A4,Parâmetros!B:B,B4,Parâmetros!D:D,D4,Parâmetros!T:T,"&lt;="&amp;K4),1) * IF(K4 &gt;= SUMIFS(Parâmetros!G:G,Parâmetros!A:A,A4,Parâmetros!B:B,B4,Parâmetros!D:D,D4),1,0)</f>
        <v>1.25</v>
      </c>
      <c r="N4" s="16">
        <f t="shared" si="0"/>
        <v>4000</v>
      </c>
      <c r="O4" s="16">
        <f t="shared" si="9"/>
        <v>4914.0271493212676</v>
      </c>
      <c r="P4" s="20" t="str">
        <f t="shared" si="1"/>
        <v/>
      </c>
      <c r="Q4" s="7" t="str">
        <f t="shared" si="2"/>
        <v/>
      </c>
      <c r="R4" s="90">
        <f t="shared" si="3"/>
        <v>0</v>
      </c>
      <c r="S4" s="7" t="str">
        <f t="shared" si="4"/>
        <v/>
      </c>
      <c r="T4" s="7" t="str">
        <f t="shared" si="5"/>
        <v/>
      </c>
      <c r="U4" s="90">
        <f t="shared" si="6"/>
        <v>0</v>
      </c>
      <c r="V4" s="93" t="str">
        <f t="shared" si="7"/>
        <v/>
      </c>
      <c r="W4" s="88" t="str">
        <f>IF(OR(B4=3,B4=6,B4=9,B4=12),
IF(AND(U4&gt;=1,R4&gt;=SUMIFS(Parâmetros!G:G,Parâmetros!A:A,A4,Parâmetros!B:B,B4,Parâmetros!D:D,'Comissões GD'!D4)),R4*0.3,""),"")</f>
        <v/>
      </c>
    </row>
    <row r="5" spans="1:23">
      <c r="A5" s="7">
        <v>2026</v>
      </c>
      <c r="B5" s="7">
        <v>1</v>
      </c>
      <c r="C5" s="7" t="str">
        <v>Arthur Treivisol</v>
      </c>
      <c r="D5" s="7" t="str">
        <v>arthur.trevisiol@altoqi.com.br</v>
      </c>
      <c r="E5" s="7" t="str">
        <v>GD</v>
      </c>
      <c r="F5" s="7" t="str">
        <v>Consultor</v>
      </c>
      <c r="G5" s="7" t="str">
        <v>andre.cardoso@altoqi.com.br</v>
      </c>
      <c r="H5" s="7" t="str">
        <v>Opps</v>
      </c>
      <c r="I5" s="20">
        <f>IF(F5="Gestor",SUMIFS(I:I,A:A,A5,B:B,B5,G:G,D5),
SUMIFS('Realizado GD'!D:D,'Realizado GD'!A:A,A5,'Realizado GD'!B:B,B5,'Realizado GD'!C:C,D5))</f>
        <v>106</v>
      </c>
      <c r="J5" s="7">
        <f>SUMIFS(Metas!K:K,Metas!A:A,A5,Metas!B:B,B5,Metas!D:D,D5,Metas!H:H,H5)</f>
        <v>96</v>
      </c>
      <c r="K5" s="10">
        <f t="shared" si="8"/>
        <v>1.1041666666666667</v>
      </c>
      <c r="L5" s="15">
        <f>MAX(_xlfn.MAXIFS(Parâmetros!O:O,Parâmetros!A:A,A5,Parâmetros!B:B,B5,Parâmetros!D:D,D5,Parâmetros!M:M,"&lt;="&amp;K5),_xlfn.MAXIFS(Parâmetros!L:L,Parâmetros!A:A,A5,Parâmetros!B:B,B5,Parâmetros!D:D,D5,Parâmetros!J:J,"&lt;="&amp;K5),_xlfn.MAXIFS(Parâmetros!I:I,Parâmetros!A:A,A5,Parâmetros!B:B,B5,Parâmetros!D:D,D5,Parâmetros!E:E,E5,Parâmetros!G:G,"&lt;="&amp;K5),0)</f>
        <v>1500</v>
      </c>
      <c r="M5" s="9">
        <f>MAX(_xlfn.MAXIFS(Parâmetros!Q:Q,Parâmetros!A:A,A5,Parâmetros!B:B,B5,Parâmetros!D:D,D5,Parâmetros!P:P,"&lt;="&amp;K5),_xlfn.MAXIFS(Parâmetros!S:S,Parâmetros!A:A,A5,Parâmetros!B:B,B5,Parâmetros!D:D,D5,Parâmetros!R:R,"&lt;="&amp;K5),_xlfn.MAXIFS(Parâmetros!U:U,Parâmetros!A:A,A5,Parâmetros!B:B,B5,Parâmetros!D:D,D5,Parâmetros!T:T,"&lt;="&amp;K5),1) * IF(K5 &gt;= SUMIFS(Parâmetros!G:G,Parâmetros!A:A,A5,Parâmetros!B:B,B5,Parâmetros!D:D,D5),1,0)</f>
        <v>1.25</v>
      </c>
      <c r="N5" s="16">
        <f t="shared" si="0"/>
        <v>1875</v>
      </c>
      <c r="O5" s="16">
        <f t="shared" si="9"/>
        <v>2070.3125</v>
      </c>
      <c r="P5" s="20" t="str">
        <f t="shared" si="1"/>
        <v/>
      </c>
      <c r="Q5" s="7" t="str">
        <f t="shared" si="2"/>
        <v/>
      </c>
      <c r="R5" s="90">
        <f t="shared" si="3"/>
        <v>0</v>
      </c>
      <c r="S5" s="7" t="str">
        <f t="shared" si="4"/>
        <v/>
      </c>
      <c r="T5" s="7" t="str">
        <f t="shared" si="5"/>
        <v/>
      </c>
      <c r="U5" s="90">
        <f t="shared" si="6"/>
        <v>0</v>
      </c>
      <c r="V5" s="93" t="str">
        <f t="shared" si="7"/>
        <v/>
      </c>
      <c r="W5" s="88" t="str">
        <f>IF(OR(B5=3,B5=6,B5=9,B5=12),
IF(AND(U5&gt;=1,R5&gt;=SUMIFS(Parâmetros!G:G,Parâmetros!A:A,A5,Parâmetros!B:B,B5,Parâmetros!D:D,'Comissões GD'!D5)),R5*0.3,""),"")</f>
        <v/>
      </c>
    </row>
    <row r="6" spans="1:23">
      <c r="A6" s="7">
        <v>2026</v>
      </c>
      <c r="B6" s="7">
        <v>1</v>
      </c>
      <c r="C6" s="7" t="str">
        <v>Elisa Nickel Costa</v>
      </c>
      <c r="D6" s="7" t="str">
        <v>elisa.costa@altoqi.com.br</v>
      </c>
      <c r="E6" s="7" t="str">
        <v>GD</v>
      </c>
      <c r="F6" s="7" t="str">
        <v>Consultor</v>
      </c>
      <c r="G6" s="7" t="str">
        <v>andre.cardoso@altoqi.com.br</v>
      </c>
      <c r="H6" s="7" t="str">
        <v>Opps</v>
      </c>
      <c r="I6" s="20">
        <f>IF(F6="Gestor",SUMIFS(I:I,A:A,A6,B:B,B6,G:G,D6),
SUMIFS('Realizado GD'!D:D,'Realizado GD'!A:A,A6,'Realizado GD'!B:B,B6,'Realizado GD'!C:C,D6))</f>
        <v>124</v>
      </c>
      <c r="J6" s="7">
        <f>SUMIFS(Metas!K:K,Metas!A:A,A6,Metas!B:B,B6,Metas!D:D,D6,Metas!H:H,H6)</f>
        <v>96</v>
      </c>
      <c r="K6" s="10">
        <f t="shared" si="8"/>
        <v>1.2916666666666667</v>
      </c>
      <c r="L6" s="15">
        <f>MAX(_xlfn.MAXIFS(Parâmetros!O:O,Parâmetros!A:A,A6,Parâmetros!B:B,B6,Parâmetros!D:D,D6,Parâmetros!M:M,"&lt;="&amp;K6),_xlfn.MAXIFS(Parâmetros!L:L,Parâmetros!A:A,A6,Parâmetros!B:B,B6,Parâmetros!D:D,D6,Parâmetros!J:J,"&lt;="&amp;K6),_xlfn.MAXIFS(Parâmetros!I:I,Parâmetros!A:A,A6,Parâmetros!B:B,B6,Parâmetros!D:D,D6,Parâmetros!E:E,E6,Parâmetros!G:G,"&lt;="&amp;K6),0)</f>
        <v>1500</v>
      </c>
      <c r="M6" s="9">
        <f>MAX(_xlfn.MAXIFS(Parâmetros!Q:Q,Parâmetros!A:A,A6,Parâmetros!B:B,B6,Parâmetros!D:D,D6,Parâmetros!P:P,"&lt;="&amp;K6),_xlfn.MAXIFS(Parâmetros!S:S,Parâmetros!A:A,A6,Parâmetros!B:B,B6,Parâmetros!D:D,D6,Parâmetros!R:R,"&lt;="&amp;K6),_xlfn.MAXIFS(Parâmetros!U:U,Parâmetros!A:A,A6,Parâmetros!B:B,B6,Parâmetros!D:D,D6,Parâmetros!T:T,"&lt;="&amp;K6),1) * IF(K6 &gt;= SUMIFS(Parâmetros!G:G,Parâmetros!A:A,A6,Parâmetros!B:B,B6,Parâmetros!D:D,D6),1,0)</f>
        <v>1.25</v>
      </c>
      <c r="N6" s="16">
        <f t="shared" si="0"/>
        <v>1875</v>
      </c>
      <c r="O6" s="16">
        <f t="shared" si="9"/>
        <v>2421.875</v>
      </c>
      <c r="P6" s="20" t="str">
        <f t="shared" si="1"/>
        <v/>
      </c>
      <c r="Q6" s="7" t="str">
        <f t="shared" si="2"/>
        <v/>
      </c>
      <c r="R6" s="90">
        <f t="shared" si="3"/>
        <v>0</v>
      </c>
      <c r="S6" s="7" t="str">
        <f t="shared" si="4"/>
        <v/>
      </c>
      <c r="T6" s="7" t="str">
        <f t="shared" si="5"/>
        <v/>
      </c>
      <c r="U6" s="90">
        <f t="shared" si="6"/>
        <v>0</v>
      </c>
      <c r="V6" s="93" t="str">
        <f t="shared" si="7"/>
        <v/>
      </c>
      <c r="W6" s="88" t="str">
        <f>IF(OR(B6=3,B6=6,B6=9,B6=12),
IF(AND(U6&gt;=1,R6&gt;=SUMIFS(Parâmetros!G:G,Parâmetros!A:A,A6,Parâmetros!B:B,B6,Parâmetros!D:D,'Comissões GD'!D6)),R6*0.3,""),"")</f>
        <v/>
      </c>
    </row>
    <row r="7" spans="1:23">
      <c r="A7" s="7">
        <v>2026</v>
      </c>
      <c r="B7" s="7">
        <v>1</v>
      </c>
      <c r="C7" s="7" t="str">
        <v>Luiz Arthur Falcão Senna</v>
      </c>
      <c r="D7" s="7" t="str">
        <v>luiz.senna@altoqi.com.br</v>
      </c>
      <c r="E7" s="7" t="str">
        <v>GD</v>
      </c>
      <c r="F7" s="7" t="str">
        <v>Consultor</v>
      </c>
      <c r="G7" s="7" t="str">
        <v>andre.cardoso@altoqi.com.br</v>
      </c>
      <c r="H7" s="7" t="str">
        <v>Opps</v>
      </c>
      <c r="I7" s="20">
        <f>IF(F7="Gestor",SUMIFS(I:I,A:A,A7,B:B,B7,G:G,D7),
SUMIFS('Realizado GD'!D:D,'Realizado GD'!A:A,A7,'Realizado GD'!B:B,B7,'Realizado GD'!C:C,D7))</f>
        <v>61</v>
      </c>
      <c r="J7" s="7">
        <f>SUMIFS(Metas!K:K,Metas!A:A,A7,Metas!B:B,B7,Metas!D:D,D7,Metas!H:H,H7)</f>
        <v>47</v>
      </c>
      <c r="K7" s="10">
        <f t="shared" si="8"/>
        <v>1.2978723404255319</v>
      </c>
      <c r="L7" s="15">
        <f>MAX(_xlfn.MAXIFS(Parâmetros!O:O,Parâmetros!A:A,A7,Parâmetros!B:B,B7,Parâmetros!D:D,D7,Parâmetros!M:M,"&lt;="&amp;K7),_xlfn.MAXIFS(Parâmetros!L:L,Parâmetros!A:A,A7,Parâmetros!B:B,B7,Parâmetros!D:D,D7,Parâmetros!J:J,"&lt;="&amp;K7),_xlfn.MAXIFS(Parâmetros!I:I,Parâmetros!A:A,A7,Parâmetros!B:B,B7,Parâmetros!D:D,D7,Parâmetros!E:E,E7,Parâmetros!G:G,"&lt;="&amp;K7),0)</f>
        <v>1800</v>
      </c>
      <c r="M7" s="9">
        <f>MAX(_xlfn.MAXIFS(Parâmetros!Q:Q,Parâmetros!A:A,A7,Parâmetros!B:B,B7,Parâmetros!D:D,D7,Parâmetros!P:P,"&lt;="&amp;K7),_xlfn.MAXIFS(Parâmetros!S:S,Parâmetros!A:A,A7,Parâmetros!B:B,B7,Parâmetros!D:D,D7,Parâmetros!R:R,"&lt;="&amp;K7),_xlfn.MAXIFS(Parâmetros!U:U,Parâmetros!A:A,A7,Parâmetros!B:B,B7,Parâmetros!D:D,D7,Parâmetros!T:T,"&lt;="&amp;K7),1) * IF(K7 &gt;= SUMIFS(Parâmetros!G:G,Parâmetros!A:A,A7,Parâmetros!B:B,B7,Parâmetros!D:D,D7),1,0)</f>
        <v>1.25</v>
      </c>
      <c r="N7" s="16">
        <f t="shared" si="0"/>
        <v>2250</v>
      </c>
      <c r="O7" s="16">
        <f t="shared" si="9"/>
        <v>2920.2127659574467</v>
      </c>
      <c r="P7" s="20" t="str">
        <f t="shared" si="1"/>
        <v/>
      </c>
      <c r="Q7" s="7" t="str">
        <f t="shared" si="2"/>
        <v/>
      </c>
      <c r="R7" s="90">
        <f t="shared" si="3"/>
        <v>0</v>
      </c>
      <c r="S7" s="7" t="str">
        <f t="shared" si="4"/>
        <v/>
      </c>
      <c r="T7" s="7" t="str">
        <f t="shared" si="5"/>
        <v/>
      </c>
      <c r="U7" s="90">
        <f t="shared" si="6"/>
        <v>0</v>
      </c>
      <c r="V7" s="93" t="str">
        <f t="shared" si="7"/>
        <v/>
      </c>
      <c r="W7" s="88" t="str">
        <f>IF(OR(B7=3,B7=6,B7=9,B7=12),
IF(AND(U7&gt;=1,R7&gt;=SUMIFS(Parâmetros!G:G,Parâmetros!A:A,A7,Parâmetros!B:B,B7,Parâmetros!D:D,'Comissões GD'!D7)),R7*0.3,""),"")</f>
        <v/>
      </c>
    </row>
    <row r="8" spans="1:23">
      <c r="A8" s="7">
        <v>2026</v>
      </c>
      <c r="B8" s="7">
        <v>1</v>
      </c>
      <c r="C8" s="7" t="str">
        <v>Maria Eduarda Barbosa</v>
      </c>
      <c r="D8" s="7" t="str">
        <v>maria.eduarda@altoqi.com.br</v>
      </c>
      <c r="E8" s="7" t="str">
        <v>GD</v>
      </c>
      <c r="F8" s="7" t="str">
        <v>Consultor</v>
      </c>
      <c r="G8" s="7" t="str">
        <v>andre.cardoso@altoqi.com.br</v>
      </c>
      <c r="H8" s="7">
        <v>0</v>
      </c>
      <c r="I8" s="20">
        <f>IF(F8="Gestor",SUMIFS(I:I,A:A,A8,B:B,B8,G:G,D8),
SUMIFS('Realizado GD'!D:D,'Realizado GD'!A:A,A8,'Realizado GD'!B:B,B8,'Realizado GD'!C:C,D8))</f>
        <v>2</v>
      </c>
      <c r="J8" s="7">
        <f>SUMIFS(Metas!K:K,Metas!A:A,A8,Metas!B:B,B8,Metas!D:D,D8,Metas!H:H,H8)</f>
        <v>0</v>
      </c>
      <c r="K8" s="10">
        <f t="shared" si="8"/>
        <v>0</v>
      </c>
      <c r="L8" s="15">
        <f>MAX(_xlfn.MAXIFS(Parâmetros!O:O,Parâmetros!A:A,A8,Parâmetros!B:B,B8,Parâmetros!D:D,D8,Parâmetros!M:M,"&lt;="&amp;K8),_xlfn.MAXIFS(Parâmetros!L:L,Parâmetros!A:A,A8,Parâmetros!B:B,B8,Parâmetros!D:D,D8,Parâmetros!J:J,"&lt;="&amp;K8),_xlfn.MAXIFS(Parâmetros!I:I,Parâmetros!A:A,A8,Parâmetros!B:B,B8,Parâmetros!D:D,D8,Parâmetros!E:E,E8,Parâmetros!G:G,"&lt;="&amp;K8),0)</f>
        <v>0</v>
      </c>
      <c r="M8" s="9">
        <f>MAX(_xlfn.MAXIFS(Parâmetros!Q:Q,Parâmetros!A:A,A8,Parâmetros!B:B,B8,Parâmetros!D:D,D8,Parâmetros!P:P,"&lt;="&amp;K8),_xlfn.MAXIFS(Parâmetros!S:S,Parâmetros!A:A,A8,Parâmetros!B:B,B8,Parâmetros!D:D,D8,Parâmetros!R:R,"&lt;="&amp;K8),_xlfn.MAXIFS(Parâmetros!U:U,Parâmetros!A:A,A8,Parâmetros!B:B,B8,Parâmetros!D:D,D8,Parâmetros!T:T,"&lt;="&amp;K8),1) * IF(K8 &gt;= SUMIFS(Parâmetros!G:G,Parâmetros!A:A,A8,Parâmetros!B:B,B8,Parâmetros!D:D,D8),1,0)</f>
        <v>1</v>
      </c>
      <c r="N8" s="16">
        <f t="shared" si="0"/>
        <v>0</v>
      </c>
      <c r="O8" s="16">
        <f t="shared" si="9"/>
        <v>0</v>
      </c>
      <c r="P8" s="20" t="str">
        <f t="shared" si="1"/>
        <v/>
      </c>
      <c r="Q8" s="7" t="str">
        <f t="shared" si="2"/>
        <v/>
      </c>
      <c r="R8" s="90">
        <f t="shared" si="3"/>
        <v>0</v>
      </c>
      <c r="S8" s="7" t="str">
        <f t="shared" si="4"/>
        <v/>
      </c>
      <c r="T8" s="7" t="str">
        <f t="shared" si="5"/>
        <v/>
      </c>
      <c r="U8" s="90">
        <f t="shared" si="6"/>
        <v>0</v>
      </c>
      <c r="V8" s="93" t="str">
        <f t="shared" si="7"/>
        <v/>
      </c>
      <c r="W8" s="88" t="str">
        <f>IF(OR(B8=3,B8=6,B8=9,B8=12),
IF(AND(U8&gt;=1,R8&gt;=SUMIFS(Parâmetros!G:G,Parâmetros!A:A,A8,Parâmetros!B:B,B8,Parâmetros!D:D,'Comissões GD'!D8)),R8*0.3,""),"")</f>
        <v/>
      </c>
    </row>
    <row r="9" spans="1:23">
      <c r="A9" s="7">
        <v>2026</v>
      </c>
      <c r="B9" s="7">
        <v>1</v>
      </c>
      <c r="C9" s="7" t="str">
        <v>Matheus Fiebig</v>
      </c>
      <c r="D9" s="7" t="str">
        <v>matheus.lima@altoqi.com.br</v>
      </c>
      <c r="E9" s="7" t="str">
        <v>GD</v>
      </c>
      <c r="F9" s="7" t="str">
        <v>Consultor</v>
      </c>
      <c r="G9" s="7" t="str">
        <v>andre.cardoso@altoqi.com.br</v>
      </c>
      <c r="H9" s="7" t="str">
        <v>Opps</v>
      </c>
      <c r="I9" s="20">
        <f>IF(F9="Gestor",SUMIFS(I:I,A:A,A9,B:B,B9,G:G,D9),
SUMIFS('Realizado GD'!D:D,'Realizado GD'!A:A,A9,'Realizado GD'!B:B,B9,'Realizado GD'!C:C,D9))</f>
        <v>113</v>
      </c>
      <c r="J9" s="7">
        <f>SUMIFS(Metas!K:K,Metas!A:A,A9,Metas!B:B,B9,Metas!D:D,D9,Metas!H:H,H9)</f>
        <v>96</v>
      </c>
      <c r="K9" s="10">
        <f t="shared" si="8"/>
        <v>1.1770833333333333</v>
      </c>
      <c r="L9" s="15">
        <f>MAX(_xlfn.MAXIFS(Parâmetros!O:O,Parâmetros!A:A,A9,Parâmetros!B:B,B9,Parâmetros!D:D,D9,Parâmetros!M:M,"&lt;="&amp;K9),_xlfn.MAXIFS(Parâmetros!L:L,Parâmetros!A:A,A9,Parâmetros!B:B,B9,Parâmetros!D:D,D9,Parâmetros!J:J,"&lt;="&amp;K9),_xlfn.MAXIFS(Parâmetros!I:I,Parâmetros!A:A,A9,Parâmetros!B:B,B9,Parâmetros!D:D,D9,Parâmetros!E:E,E9,Parâmetros!G:G,"&lt;="&amp;K9),0)</f>
        <v>1500</v>
      </c>
      <c r="M9" s="9">
        <f>MAX(_xlfn.MAXIFS(Parâmetros!Q:Q,Parâmetros!A:A,A9,Parâmetros!B:B,B9,Parâmetros!D:D,D9,Parâmetros!P:P,"&lt;="&amp;K9),_xlfn.MAXIFS(Parâmetros!S:S,Parâmetros!A:A,A9,Parâmetros!B:B,B9,Parâmetros!D:D,D9,Parâmetros!R:R,"&lt;="&amp;K9),_xlfn.MAXIFS(Parâmetros!U:U,Parâmetros!A:A,A9,Parâmetros!B:B,B9,Parâmetros!D:D,D9,Parâmetros!T:T,"&lt;="&amp;K9),1) * IF(K9 &gt;= SUMIFS(Parâmetros!G:G,Parâmetros!A:A,A9,Parâmetros!B:B,B9,Parâmetros!D:D,D9),1,0)</f>
        <v>1.25</v>
      </c>
      <c r="N9" s="16">
        <f t="shared" si="0"/>
        <v>1875</v>
      </c>
      <c r="O9" s="16">
        <f t="shared" si="9"/>
        <v>2207.03125</v>
      </c>
      <c r="P9" s="20" t="str">
        <f t="shared" si="1"/>
        <v/>
      </c>
      <c r="Q9" s="7" t="str">
        <f t="shared" si="2"/>
        <v/>
      </c>
      <c r="R9" s="90">
        <f t="shared" si="3"/>
        <v>0</v>
      </c>
      <c r="S9" s="7" t="str">
        <f t="shared" si="4"/>
        <v/>
      </c>
      <c r="T9" s="7" t="str">
        <f t="shared" si="5"/>
        <v/>
      </c>
      <c r="U9" s="90">
        <f t="shared" si="6"/>
        <v>0</v>
      </c>
      <c r="V9" s="93" t="str">
        <f t="shared" si="7"/>
        <v/>
      </c>
      <c r="W9" s="88" t="str">
        <f>IF(OR(B9=3,B9=6,B9=9,B9=12),
IF(AND(U9&gt;=1,R9&gt;=SUMIFS(Parâmetros!G:G,Parâmetros!A:A,A9,Parâmetros!B:B,B9,Parâmetros!D:D,'Comissões GD'!D9)),R9*0.3,""),"")</f>
        <v/>
      </c>
    </row>
    <row r="10" spans="1:23">
      <c r="A10" s="7">
        <v>2026</v>
      </c>
      <c r="B10" s="7">
        <v>1</v>
      </c>
      <c r="C10" s="7" t="str">
        <v>Renata Scheffer</v>
      </c>
      <c r="D10" s="7" t="str">
        <v>renata.scheffer@altoqi.com.br</v>
      </c>
      <c r="E10" s="7" t="str">
        <v>GD</v>
      </c>
      <c r="F10" s="7" t="str">
        <v>Consultor</v>
      </c>
      <c r="G10" s="7" t="str">
        <v>andre.cardoso@altoqi.com.br</v>
      </c>
      <c r="H10" s="7" t="str">
        <v>Opps</v>
      </c>
      <c r="I10" s="20">
        <f>IF(F10="Gestor",SUMIFS(I:I,A:A,A10,B:B,B10,G:G,D10),
SUMIFS('Realizado GD'!D:D,'Realizado GD'!A:A,A10,'Realizado GD'!B:B,B10,'Realizado GD'!C:C,D10))</f>
        <v>41</v>
      </c>
      <c r="J10" s="7">
        <f>SUMIFS(Metas!K:K,Metas!A:A,A10,Metas!B:B,B10,Metas!D:D,D10,Metas!H:H,H10)</f>
        <v>40.320000000000007</v>
      </c>
      <c r="K10" s="10">
        <f t="shared" si="8"/>
        <v>1.0168650793650791</v>
      </c>
      <c r="L10" s="15">
        <f>MAX(_xlfn.MAXIFS(Parâmetros!O:O,Parâmetros!A:A,A10,Parâmetros!B:B,B10,Parâmetros!D:D,D10,Parâmetros!M:M,"&lt;="&amp;K10),_xlfn.MAXIFS(Parâmetros!L:L,Parâmetros!A:A,A10,Parâmetros!B:B,B10,Parâmetros!D:D,D10,Parâmetros!J:J,"&lt;="&amp;K10),_xlfn.MAXIFS(Parâmetros!I:I,Parâmetros!A:A,A10,Parâmetros!B:B,B10,Parâmetros!D:D,D10,Parâmetros!E:E,E10,Parâmetros!G:G,"&lt;="&amp;K10),0)</f>
        <v>630.00000000000011</v>
      </c>
      <c r="M10" s="9">
        <f>MAX(_xlfn.MAXIFS(Parâmetros!Q:Q,Parâmetros!A:A,A10,Parâmetros!B:B,B10,Parâmetros!D:D,D10,Parâmetros!P:P,"&lt;="&amp;K10),_xlfn.MAXIFS(Parâmetros!S:S,Parâmetros!A:A,A10,Parâmetros!B:B,B10,Parâmetros!D:D,D10,Parâmetros!R:R,"&lt;="&amp;K10),_xlfn.MAXIFS(Parâmetros!U:U,Parâmetros!A:A,A10,Parâmetros!B:B,B10,Parâmetros!D:D,D10,Parâmetros!T:T,"&lt;="&amp;K10),1) * IF(K10 &gt;= SUMIFS(Parâmetros!G:G,Parâmetros!A:A,A10,Parâmetros!B:B,B10,Parâmetros!D:D,D10),1,0)</f>
        <v>0</v>
      </c>
      <c r="N10" s="16">
        <f t="shared" si="0"/>
        <v>0</v>
      </c>
      <c r="O10" s="16">
        <f t="shared" si="9"/>
        <v>0</v>
      </c>
      <c r="P10" s="20" t="str">
        <f t="shared" si="1"/>
        <v/>
      </c>
      <c r="Q10" s="7" t="str">
        <f t="shared" si="2"/>
        <v/>
      </c>
      <c r="R10" s="90">
        <f t="shared" si="3"/>
        <v>0</v>
      </c>
      <c r="S10" s="7" t="str">
        <f t="shared" si="4"/>
        <v/>
      </c>
      <c r="T10" s="7" t="str">
        <f t="shared" si="5"/>
        <v/>
      </c>
      <c r="U10" s="90">
        <f t="shared" si="6"/>
        <v>0</v>
      </c>
      <c r="V10" s="93" t="str">
        <f t="shared" si="7"/>
        <v/>
      </c>
      <c r="W10" s="88" t="str">
        <f>IF(OR(B10=3,B10=6,B10=9,B10=12),
IF(AND(U10&gt;=1,R10&gt;=SUMIFS(Parâmetros!G:G,Parâmetros!A:A,A10,Parâmetros!B:B,B10,Parâmetros!D:D,'Comissões GD'!D10)),R10*0.3,""),"")</f>
        <v/>
      </c>
    </row>
    <row r="11" spans="1:23">
      <c r="A11" s="7">
        <v>2026</v>
      </c>
      <c r="B11" s="7">
        <v>1</v>
      </c>
      <c r="C11" s="7" t="str">
        <v>Sarai Daniela</v>
      </c>
      <c r="D11" s="7" t="str">
        <v>daniela.cabrera@altoqi.com.br</v>
      </c>
      <c r="E11" s="7" t="str">
        <v>GD</v>
      </c>
      <c r="F11" s="7" t="str">
        <v>Consultor</v>
      </c>
      <c r="G11" s="7">
        <v>0</v>
      </c>
      <c r="H11" s="7" t="str">
        <v>Opps</v>
      </c>
      <c r="I11" s="20">
        <f>IF(F11="Gestor",SUMIFS(I:I,A:A,A11,B:B,B11,G:G,D11),
SUMIFS('Realizado GD'!D:D,'Realizado GD'!A:A,A11,'Realizado GD'!B:B,B11,'Realizado GD'!C:C,D11))</f>
        <v>0</v>
      </c>
      <c r="J11" s="7">
        <f>SUMIFS(Metas!K:K,Metas!A:A,A11,Metas!B:B,B11,Metas!D:D,D11,Metas!H:H,H11)</f>
        <v>0</v>
      </c>
      <c r="K11" s="10">
        <f t="shared" ref="K11" si="10">IFERROR(I11/J11,0)</f>
        <v>0</v>
      </c>
      <c r="L11" s="15">
        <f>MAX(_xlfn.MAXIFS(Parâmetros!O:O,Parâmetros!A:A,A11,Parâmetros!B:B,B11,Parâmetros!D:D,D11,Parâmetros!M:M,"&lt;="&amp;K11),_xlfn.MAXIFS(Parâmetros!L:L,Parâmetros!A:A,A11,Parâmetros!B:B,B11,Parâmetros!D:D,D11,Parâmetros!J:J,"&lt;="&amp;K11),_xlfn.MAXIFS(Parâmetros!I:I,Parâmetros!A:A,A11,Parâmetros!B:B,B11,Parâmetros!D:D,D11,Parâmetros!E:E,E11,Parâmetros!G:G,"&lt;="&amp;K11),0)</f>
        <v>0</v>
      </c>
      <c r="M11" s="9">
        <f>MAX(_xlfn.MAXIFS(Parâmetros!Q:Q,Parâmetros!A:A,A11,Parâmetros!B:B,B11,Parâmetros!D:D,D11,Parâmetros!E:E,E11,Parâmetros!P:P,"&lt;="&amp;K11),
_xlfn.MAXIFS(Parâmetros!S:S,Parâmetros!A:A,A11,Parâmetros!B:B,B11,Parâmetros!D:D,D11,Parâmetros!E:E,E11,Parâmetros!R:R,"&lt;="&amp;K11),
_xlfn.MAXIFS(Parâmetros!U:U,Parâmetros!A:A,A11,Parâmetros!B:B,B11,Parâmetros!D:D,D11,Parâmetros!E:E,E11,Parâmetros!T:T,"&lt;="&amp;K11),1) * IF(K11 &gt;= SUMIFS(Parâmetros!G:G,Parâmetros!A:A,A11,Parâmetros!B:B,B11,Parâmetros!D:D,D11,Parâmetros!E:E,E11),1,0)</f>
        <v>0</v>
      </c>
      <c r="N11" s="16">
        <f t="shared" ref="N11" si="11">L11*M11</f>
        <v>0</v>
      </c>
      <c r="O11" s="16">
        <f t="shared" ref="O11:O20" si="12">N11*K11</f>
        <v>0</v>
      </c>
      <c r="P11" s="20" t="str">
        <f t="shared" si="1"/>
        <v/>
      </c>
      <c r="Q11" s="7" t="str">
        <f t="shared" si="2"/>
        <v/>
      </c>
      <c r="R11" s="90">
        <f t="shared" si="3"/>
        <v>0</v>
      </c>
      <c r="S11" s="7" t="str">
        <f t="shared" si="4"/>
        <v/>
      </c>
      <c r="T11" s="7" t="str">
        <f t="shared" si="5"/>
        <v/>
      </c>
      <c r="U11" s="90">
        <f t="shared" si="6"/>
        <v>0</v>
      </c>
      <c r="V11" s="93" t="str">
        <f t="shared" si="7"/>
        <v/>
      </c>
      <c r="W11" s="88" t="str">
        <f>IF(OR(B11=3,B11=6,B11=9,B11=12),
IF(AND(U11&gt;=1,R11&gt;=SUMIFS(Parâmetros!G:G,Parâmetros!A:A,A11,Parâmetros!B:B,B11,Parâmetros!D:D,'Comissões GD'!D11)),R11*0.3,""),"")</f>
        <v/>
      </c>
    </row>
    <row r="12" spans="1:23">
      <c r="A12" s="7">
        <v>2026</v>
      </c>
      <c r="B12" s="7">
        <v>2</v>
      </c>
      <c r="C12" s="7" t="str">
        <v>Ana Camargo</v>
      </c>
      <c r="D12" s="7" t="str">
        <v>ana.camargo@altoqi.com.br</v>
      </c>
      <c r="E12" s="7" t="str">
        <v>GD</v>
      </c>
      <c r="F12" s="7" t="str">
        <v>Consultor</v>
      </c>
      <c r="G12" s="7" t="str">
        <v>andre.cardoso@altoqi.com.br</v>
      </c>
      <c r="H12" s="7" t="str">
        <v>Opps</v>
      </c>
      <c r="I12" s="20">
        <f>IF(F12="Gestor",SUMIFS(I:I,A:A,A12,B:B,B12,G:G,D12),
SUMIFS('Realizado GD'!D:D,'Realizado GD'!A:A,A12,'Realizado GD'!B:B,B12,'Realizado GD'!C:C,D12))</f>
        <v>95</v>
      </c>
      <c r="J12" s="7">
        <f>SUMIFS(Metas!K:K,Metas!A:A,A12,Metas!B:B,B12,Metas!D:D,D12,Metas!H:H,H12)</f>
        <v>98</v>
      </c>
      <c r="K12" s="10">
        <f t="shared" ref="K12:K20" si="13">IFERROR(I12/J12,0)</f>
        <v>0.96938775510204078</v>
      </c>
      <c r="L12" s="15">
        <f>MAX(_xlfn.MAXIFS(Parâmetros!O:O,Parâmetros!A:A,A12,Parâmetros!B:B,B12,Parâmetros!D:D,D12,Parâmetros!M:M,"&lt;="&amp;K12),_xlfn.MAXIFS(Parâmetros!L:L,Parâmetros!A:A,A12,Parâmetros!B:B,B12,Parâmetros!D:D,D12,Parâmetros!J:J,"&lt;="&amp;K12),_xlfn.MAXIFS(Parâmetros!I:I,Parâmetros!A:A,A12,Parâmetros!B:B,B12,Parâmetros!D:D,D12,Parâmetros!E:E,E12,Parâmetros!G:G,"&lt;="&amp;K12),0)</f>
        <v>1500</v>
      </c>
      <c r="M12" s="9">
        <f>MAX(_xlfn.MAXIFS(Parâmetros!Q:Q,Parâmetros!A:A,A12,Parâmetros!B:B,B12,Parâmetros!D:D,D12,Parâmetros!E:E,E12,Parâmetros!P:P,"&lt;="&amp;K12),
_xlfn.MAXIFS(Parâmetros!S:S,Parâmetros!A:A,A12,Parâmetros!B:B,B12,Parâmetros!D:D,D12,Parâmetros!E:E,E12,Parâmetros!R:R,"&lt;="&amp;K12),
_xlfn.MAXIFS(Parâmetros!U:U,Parâmetros!A:A,A12,Parâmetros!B:B,B12,Parâmetros!D:D,D12,Parâmetros!E:E,E12,Parâmetros!T:T,"&lt;="&amp;K12),1) * IF(K12 &gt;= SUMIFS(Parâmetros!G:G,Parâmetros!A:A,A12,Parâmetros!B:B,B12,Parâmetros!D:D,D12,Parâmetros!E:E,E12),1,0)</f>
        <v>1.1499999999999999</v>
      </c>
      <c r="N12" s="16">
        <f t="shared" ref="N12:N20" si="14">L12*M12</f>
        <v>1724.9999999999998</v>
      </c>
      <c r="O12" s="16">
        <f t="shared" si="12"/>
        <v>1672.19387755102</v>
      </c>
      <c r="P12" s="20" t="str">
        <f t="shared" si="1"/>
        <v/>
      </c>
      <c r="Q12" s="7" t="str">
        <f t="shared" si="2"/>
        <v/>
      </c>
      <c r="R12" s="90">
        <f t="shared" si="3"/>
        <v>0</v>
      </c>
      <c r="S12" s="7" t="str">
        <f t="shared" si="4"/>
        <v/>
      </c>
      <c r="T12" s="7" t="str">
        <f t="shared" si="5"/>
        <v/>
      </c>
      <c r="U12" s="90">
        <f t="shared" si="6"/>
        <v>0</v>
      </c>
      <c r="V12" s="93" t="str">
        <f t="shared" si="7"/>
        <v/>
      </c>
      <c r="W12" s="88" t="str">
        <f>IF(OR(B12=3,B12=6,B12=9,B12=12),
IF(AND(U12&gt;=1,R12&gt;=SUMIFS(Parâmetros!G:G,Parâmetros!A:A,A12,Parâmetros!B:B,B12,Parâmetros!D:D,'Comissões GD'!D12)),R12*0.3,""),"")</f>
        <v/>
      </c>
    </row>
    <row r="13" spans="1:23">
      <c r="A13" s="7">
        <v>2026</v>
      </c>
      <c r="B13" s="7">
        <v>2</v>
      </c>
      <c r="C13" s="7" t="str">
        <v>Anand Freitas Figueiredo</v>
      </c>
      <c r="D13" s="7" t="str">
        <v>anand.figueiredo@altoqi.com.br</v>
      </c>
      <c r="E13" s="7" t="str">
        <v>GD</v>
      </c>
      <c r="F13" s="7" t="str">
        <v>Consultor</v>
      </c>
      <c r="G13" s="7">
        <v>0</v>
      </c>
      <c r="H13" s="7" t="str">
        <v>Opps</v>
      </c>
      <c r="I13" s="20">
        <f>IF(F13="Gestor",SUMIFS(I:I,A:A,A13,B:B,B13,G:G,D13),
SUMIFS('Realizado GD'!D:D,'Realizado GD'!A:A,A13,'Realizado GD'!B:B,B13,'Realizado GD'!C:C,D13))</f>
        <v>46</v>
      </c>
      <c r="J13" s="7">
        <f>SUMIFS(Metas!K:K,Metas!A:A,A13,Metas!B:B,B13,Metas!D:D,D13,Metas!H:H,H13)</f>
        <v>40</v>
      </c>
      <c r="K13" s="10">
        <f t="shared" si="13"/>
        <v>1.1499999999999999</v>
      </c>
      <c r="L13" s="15">
        <f>MAX(_xlfn.MAXIFS(Parâmetros!O:O,Parâmetros!A:A,A13,Parâmetros!B:B,B13,Parâmetros!D:D,D13,Parâmetros!M:M,"&lt;="&amp;K13),_xlfn.MAXIFS(Parâmetros!L:L,Parâmetros!A:A,A13,Parâmetros!B:B,B13,Parâmetros!D:D,D13,Parâmetros!J:J,"&lt;="&amp;K13),_xlfn.MAXIFS(Parâmetros!I:I,Parâmetros!A:A,A13,Parâmetros!B:B,B13,Parâmetros!D:D,D13,Parâmetros!E:E,E13,Parâmetros!G:G,"&lt;="&amp;K13),0)</f>
        <v>1800</v>
      </c>
      <c r="M13" s="9">
        <f>MAX(_xlfn.MAXIFS(Parâmetros!Q:Q,Parâmetros!A:A,A13,Parâmetros!B:B,B13,Parâmetros!D:D,D13,Parâmetros!E:E,E13,Parâmetros!P:P,"&lt;="&amp;K13),
_xlfn.MAXIFS(Parâmetros!S:S,Parâmetros!A:A,A13,Parâmetros!B:B,B13,Parâmetros!D:D,D13,Parâmetros!E:E,E13,Parâmetros!R:R,"&lt;="&amp;K13),
_xlfn.MAXIFS(Parâmetros!U:U,Parâmetros!A:A,A13,Parâmetros!B:B,B13,Parâmetros!D:D,D13,Parâmetros!E:E,E13,Parâmetros!T:T,"&lt;="&amp;K13),1) * IF(K13 &gt;= SUMIFS(Parâmetros!G:G,Parâmetros!A:A,A13,Parâmetros!B:B,B13,Parâmetros!D:D,D13,Parâmetros!E:E,E13),1,0)</f>
        <v>1.25</v>
      </c>
      <c r="N13" s="16">
        <f t="shared" si="14"/>
        <v>2250</v>
      </c>
      <c r="O13" s="16">
        <f t="shared" si="12"/>
        <v>2587.5</v>
      </c>
      <c r="P13" s="20" t="str">
        <f t="shared" si="1"/>
        <v/>
      </c>
      <c r="Q13" s="7" t="str">
        <f t="shared" si="2"/>
        <v/>
      </c>
      <c r="R13" s="90">
        <f t="shared" si="3"/>
        <v>0</v>
      </c>
      <c r="S13" s="7" t="str">
        <f t="shared" si="4"/>
        <v/>
      </c>
      <c r="T13" s="7" t="str">
        <f t="shared" si="5"/>
        <v/>
      </c>
      <c r="U13" s="90">
        <f t="shared" si="6"/>
        <v>0</v>
      </c>
      <c r="V13" s="93" t="str">
        <f t="shared" si="7"/>
        <v/>
      </c>
      <c r="W13" s="88" t="str">
        <f>IF(OR(B13=3,B13=6,B13=9,B13=12),
IF(AND(U13&gt;=1,R13&gt;=SUMIFS(Parâmetros!G:G,Parâmetros!A:A,A13,Parâmetros!B:B,B13,Parâmetros!D:D,'Comissões GD'!D13)),R13*0.3,""),"")</f>
        <v/>
      </c>
    </row>
    <row r="14" spans="1:23">
      <c r="A14" s="7">
        <v>2026</v>
      </c>
      <c r="B14" s="7">
        <v>2</v>
      </c>
      <c r="C14" s="7" t="str">
        <v>André Cardoso</v>
      </c>
      <c r="D14" s="7" t="str">
        <v>andre.cardoso@altoqi.com.br</v>
      </c>
      <c r="E14" s="7" t="str">
        <v>GD</v>
      </c>
      <c r="F14" s="7" t="str">
        <v>Gestor</v>
      </c>
      <c r="G14" s="7">
        <v>0</v>
      </c>
      <c r="H14" s="7" t="str">
        <v>Opps</v>
      </c>
      <c r="I14" s="20">
        <f>IF(F14="Gestor",SUMIFS(I:I,A:A,A14,B:B,B14,G:G,D14),
SUMIFS('Realizado GD'!D:D,'Realizado GD'!A:A,A14,'Realizado GD'!B:B,B14,'Realizado GD'!C:C,D14))</f>
        <v>505</v>
      </c>
      <c r="J14" s="7">
        <f>SUMIFS(Metas!K:K,Metas!A:A,A14,Metas!B:B,B14,Metas!D:D,D14,Metas!H:H,H14)</f>
        <v>499</v>
      </c>
      <c r="K14" s="10">
        <f t="shared" si="13"/>
        <v>1.0120240480961924</v>
      </c>
      <c r="L14" s="15">
        <f>MAX(_xlfn.MAXIFS(Parâmetros!O:O,Parâmetros!A:A,A14,Parâmetros!B:B,B14,Parâmetros!D:D,D14,Parâmetros!M:M,"&lt;="&amp;K14),_xlfn.MAXIFS(Parâmetros!L:L,Parâmetros!A:A,A14,Parâmetros!B:B,B14,Parâmetros!D:D,D14,Parâmetros!J:J,"&lt;="&amp;K14),_xlfn.MAXIFS(Parâmetros!I:I,Parâmetros!A:A,A14,Parâmetros!B:B,B14,Parâmetros!D:D,D14,Parâmetros!E:E,E14,Parâmetros!G:G,"&lt;="&amp;K14),0)</f>
        <v>3200</v>
      </c>
      <c r="M14" s="9">
        <f>MAX(_xlfn.MAXIFS(Parâmetros!Q:Q,Parâmetros!A:A,A14,Parâmetros!B:B,B14,Parâmetros!D:D,D14,Parâmetros!E:E,E14,Parâmetros!P:P,"&lt;="&amp;K14),
_xlfn.MAXIFS(Parâmetros!S:S,Parâmetros!A:A,A14,Parâmetros!B:B,B14,Parâmetros!D:D,D14,Parâmetros!E:E,E14,Parâmetros!R:R,"&lt;="&amp;K14),
_xlfn.MAXIFS(Parâmetros!U:U,Parâmetros!A:A,A14,Parâmetros!B:B,B14,Parâmetros!D:D,D14,Parâmetros!E:E,E14,Parâmetros!T:T,"&lt;="&amp;K14),1) * IF(K14 &gt;= SUMIFS(Parâmetros!G:G,Parâmetros!A:A,A14,Parâmetros!B:B,B14,Parâmetros!D:D,D14,Parâmetros!E:E,E14),1,0)</f>
        <v>1.1499999999999999</v>
      </c>
      <c r="N14" s="16">
        <f t="shared" si="14"/>
        <v>3679.9999999999995</v>
      </c>
      <c r="O14" s="16">
        <f t="shared" si="12"/>
        <v>3724.2484969939874</v>
      </c>
      <c r="P14" s="20" t="str">
        <f t="shared" si="1"/>
        <v/>
      </c>
      <c r="Q14" s="7" t="str">
        <f t="shared" si="2"/>
        <v/>
      </c>
      <c r="R14" s="90">
        <f t="shared" si="3"/>
        <v>0</v>
      </c>
      <c r="S14" s="7" t="str">
        <f t="shared" si="4"/>
        <v/>
      </c>
      <c r="T14" s="7" t="str">
        <f t="shared" si="5"/>
        <v/>
      </c>
      <c r="U14" s="90">
        <f t="shared" si="6"/>
        <v>0</v>
      </c>
      <c r="V14" s="93" t="str">
        <f t="shared" si="7"/>
        <v/>
      </c>
      <c r="W14" s="88" t="str">
        <f>IF(OR(B14=3,B14=6,B14=9,B14=12),
IF(AND(U14&gt;=1,R14&gt;=SUMIFS(Parâmetros!G:G,Parâmetros!A:A,A14,Parâmetros!B:B,B14,Parâmetros!D:D,'Comissões GD'!D14)),R14*0.3,""),"")</f>
        <v/>
      </c>
    </row>
    <row r="15" spans="1:23">
      <c r="A15" s="7">
        <v>2026</v>
      </c>
      <c r="B15" s="7">
        <v>2</v>
      </c>
      <c r="C15" s="7" t="str">
        <v>Arthur Treivisol</v>
      </c>
      <c r="D15" s="7" t="str">
        <v>arthur.trevisiol@altoqi.com.br</v>
      </c>
      <c r="E15" s="7" t="str">
        <v>GD</v>
      </c>
      <c r="F15" s="7" t="str">
        <v>Consultor</v>
      </c>
      <c r="G15" s="7" t="str">
        <v>andre.cardoso@altoqi.com.br</v>
      </c>
      <c r="H15" s="7" t="str">
        <v>Opps</v>
      </c>
      <c r="I15" s="20">
        <f>IF(F15="Gestor",SUMIFS(I:I,A:A,A15,B:B,B15,G:G,D15),
SUMIFS('Realizado GD'!D:D,'Realizado GD'!A:A,A15,'Realizado GD'!B:B,B15,'Realizado GD'!C:C,D15))</f>
        <v>95</v>
      </c>
      <c r="J15" s="7">
        <f>SUMIFS(Metas!K:K,Metas!A:A,A15,Metas!B:B,B15,Metas!D:D,D15,Metas!H:H,H15)</f>
        <v>98</v>
      </c>
      <c r="K15" s="10">
        <f t="shared" si="13"/>
        <v>0.96938775510204078</v>
      </c>
      <c r="L15" s="15">
        <f>MAX(_xlfn.MAXIFS(Parâmetros!O:O,Parâmetros!A:A,A15,Parâmetros!B:B,B15,Parâmetros!D:D,D15,Parâmetros!M:M,"&lt;="&amp;K15),_xlfn.MAXIFS(Parâmetros!L:L,Parâmetros!A:A,A15,Parâmetros!B:B,B15,Parâmetros!D:D,D15,Parâmetros!J:J,"&lt;="&amp;K15),_xlfn.MAXIFS(Parâmetros!I:I,Parâmetros!A:A,A15,Parâmetros!B:B,B15,Parâmetros!D:D,D15,Parâmetros!E:E,E15,Parâmetros!G:G,"&lt;="&amp;K15),0)</f>
        <v>1500</v>
      </c>
      <c r="M15" s="9">
        <f>MAX(_xlfn.MAXIFS(Parâmetros!Q:Q,Parâmetros!A:A,A15,Parâmetros!B:B,B15,Parâmetros!D:D,D15,Parâmetros!E:E,E15,Parâmetros!P:P,"&lt;="&amp;K15),
_xlfn.MAXIFS(Parâmetros!S:S,Parâmetros!A:A,A15,Parâmetros!B:B,B15,Parâmetros!D:D,D15,Parâmetros!E:E,E15,Parâmetros!R:R,"&lt;="&amp;K15),
_xlfn.MAXIFS(Parâmetros!U:U,Parâmetros!A:A,A15,Parâmetros!B:B,B15,Parâmetros!D:D,D15,Parâmetros!E:E,E15,Parâmetros!T:T,"&lt;="&amp;K15),1) * IF(K15 &gt;= SUMIFS(Parâmetros!G:G,Parâmetros!A:A,A15,Parâmetros!B:B,B15,Parâmetros!D:D,D15,Parâmetros!E:E,E15),1,0)</f>
        <v>1.1499999999999999</v>
      </c>
      <c r="N15" s="16">
        <f t="shared" si="14"/>
        <v>1724.9999999999998</v>
      </c>
      <c r="O15" s="16">
        <f t="shared" si="12"/>
        <v>1672.19387755102</v>
      </c>
      <c r="P15" s="20" t="str">
        <f t="shared" si="1"/>
        <v/>
      </c>
      <c r="Q15" s="7" t="str">
        <f t="shared" si="2"/>
        <v/>
      </c>
      <c r="R15" s="90">
        <f t="shared" si="3"/>
        <v>0</v>
      </c>
      <c r="S15" s="7" t="str">
        <f t="shared" si="4"/>
        <v/>
      </c>
      <c r="T15" s="7" t="str">
        <f t="shared" si="5"/>
        <v/>
      </c>
      <c r="U15" s="90">
        <f t="shared" si="6"/>
        <v>0</v>
      </c>
      <c r="V15" s="93" t="str">
        <f t="shared" si="7"/>
        <v/>
      </c>
      <c r="W15" s="88" t="str">
        <f>IF(OR(B15=3,B15=6,B15=9,B15=12),
IF(AND(U15&gt;=1,R15&gt;=SUMIFS(Parâmetros!G:G,Parâmetros!A:A,A15,Parâmetros!B:B,B15,Parâmetros!D:D,'Comissões GD'!D15)),R15*0.3,""),"")</f>
        <v/>
      </c>
    </row>
    <row r="16" spans="1:23">
      <c r="A16" s="7">
        <v>2026</v>
      </c>
      <c r="B16" s="7">
        <v>2</v>
      </c>
      <c r="C16" s="7" t="str">
        <v>Elisa Nickel Costa</v>
      </c>
      <c r="D16" s="7" t="str">
        <v>elisa.costa@altoqi.com.br</v>
      </c>
      <c r="E16" s="7" t="str">
        <v>GD</v>
      </c>
      <c r="F16" s="7" t="str">
        <v>Consultor</v>
      </c>
      <c r="G16" s="7" t="str">
        <v>andre.cardoso@altoqi.com.br</v>
      </c>
      <c r="H16" s="7" t="str">
        <v>Opps</v>
      </c>
      <c r="I16" s="20">
        <f>IF(F16="Gestor",SUMIFS(I:I,A:A,A16,B:B,B16,G:G,D16),
SUMIFS('Realizado GD'!D:D,'Realizado GD'!A:A,A16,'Realizado GD'!B:B,B16,'Realizado GD'!C:C,D16))</f>
        <v>101</v>
      </c>
      <c r="J16" s="7">
        <f>SUMIFS(Metas!K:K,Metas!A:A,A16,Metas!B:B,B16,Metas!D:D,D16,Metas!H:H,H16)</f>
        <v>98</v>
      </c>
      <c r="K16" s="10">
        <f t="shared" si="13"/>
        <v>1.0306122448979591</v>
      </c>
      <c r="L16" s="15">
        <f>MAX(_xlfn.MAXIFS(Parâmetros!O:O,Parâmetros!A:A,A16,Parâmetros!B:B,B16,Parâmetros!D:D,D16,Parâmetros!M:M,"&lt;="&amp;K16),_xlfn.MAXIFS(Parâmetros!L:L,Parâmetros!A:A,A16,Parâmetros!B:B,B16,Parâmetros!D:D,D16,Parâmetros!J:J,"&lt;="&amp;K16),_xlfn.MAXIFS(Parâmetros!I:I,Parâmetros!A:A,A16,Parâmetros!B:B,B16,Parâmetros!D:D,D16,Parâmetros!E:E,E16,Parâmetros!G:G,"&lt;="&amp;K16),0)</f>
        <v>1500</v>
      </c>
      <c r="M16" s="9">
        <f>MAX(_xlfn.MAXIFS(Parâmetros!Q:Q,Parâmetros!A:A,A16,Parâmetros!B:B,B16,Parâmetros!D:D,D16,Parâmetros!E:E,E16,Parâmetros!P:P,"&lt;="&amp;K16),
_xlfn.MAXIFS(Parâmetros!S:S,Parâmetros!A:A,A16,Parâmetros!B:B,B16,Parâmetros!D:D,D16,Parâmetros!E:E,E16,Parâmetros!R:R,"&lt;="&amp;K16),
_xlfn.MAXIFS(Parâmetros!U:U,Parâmetros!A:A,A16,Parâmetros!B:B,B16,Parâmetros!D:D,D16,Parâmetros!E:E,E16,Parâmetros!T:T,"&lt;="&amp;K16),1) * IF(K16 &gt;= SUMIFS(Parâmetros!G:G,Parâmetros!A:A,A16,Parâmetros!B:B,B16,Parâmetros!D:D,D16,Parâmetros!E:E,E16),1,0)</f>
        <v>1.1499999999999999</v>
      </c>
      <c r="N16" s="16">
        <f t="shared" si="14"/>
        <v>1724.9999999999998</v>
      </c>
      <c r="O16" s="16">
        <f t="shared" si="12"/>
        <v>1777.8061224489793</v>
      </c>
      <c r="P16" s="20" t="str">
        <f t="shared" si="1"/>
        <v/>
      </c>
      <c r="Q16" s="7" t="str">
        <f t="shared" si="2"/>
        <v/>
      </c>
      <c r="R16" s="90">
        <f t="shared" si="3"/>
        <v>0</v>
      </c>
      <c r="S16" s="7" t="str">
        <f t="shared" si="4"/>
        <v/>
      </c>
      <c r="T16" s="7" t="str">
        <f t="shared" si="5"/>
        <v/>
      </c>
      <c r="U16" s="90">
        <f t="shared" si="6"/>
        <v>0</v>
      </c>
      <c r="V16" s="93" t="str">
        <f t="shared" si="7"/>
        <v/>
      </c>
      <c r="W16" s="88" t="str">
        <f>IF(OR(B16=3,B16=6,B16=9,B16=12),
IF(AND(U16&gt;=1,R16&gt;=SUMIFS(Parâmetros!G:G,Parâmetros!A:A,A16,Parâmetros!B:B,B16,Parâmetros!D:D,'Comissões GD'!D16)),R16*0.3,""),"")</f>
        <v/>
      </c>
    </row>
    <row r="17" spans="1:23">
      <c r="A17" s="7">
        <v>2026</v>
      </c>
      <c r="B17" s="7">
        <v>2</v>
      </c>
      <c r="C17" s="7" t="str">
        <v>Luiz Arthur Falcão Senna</v>
      </c>
      <c r="D17" s="7" t="str">
        <v>luiz.senna@altoqi.com.br</v>
      </c>
      <c r="E17" s="7" t="str">
        <v>GD</v>
      </c>
      <c r="F17" s="7" t="str">
        <v>Consultor</v>
      </c>
      <c r="G17" s="7" t="str">
        <v>andre.cardoso@altoqi.com.br</v>
      </c>
      <c r="H17" s="7" t="str">
        <v>Opps</v>
      </c>
      <c r="I17" s="20">
        <f>IF(F17="Gestor",SUMIFS(I:I,A:A,A17,B:B,B17,G:G,D17),
SUMIFS('Realizado GD'!D:D,'Realizado GD'!A:A,A17,'Realizado GD'!B:B,B17,'Realizado GD'!C:C,D17))</f>
        <v>80</v>
      </c>
      <c r="J17" s="7">
        <f>SUMIFS(Metas!K:K,Metas!A:A,A17,Metas!B:B,B17,Metas!D:D,D17,Metas!H:H,H17)</f>
        <v>74</v>
      </c>
      <c r="K17" s="10">
        <f t="shared" si="13"/>
        <v>1.0810810810810811</v>
      </c>
      <c r="L17" s="15">
        <f>MAX(_xlfn.MAXIFS(Parâmetros!O:O,Parâmetros!A:A,A17,Parâmetros!B:B,B17,Parâmetros!D:D,D17,Parâmetros!M:M,"&lt;="&amp;K17),_xlfn.MAXIFS(Parâmetros!L:L,Parâmetros!A:A,A17,Parâmetros!B:B,B17,Parâmetros!D:D,D17,Parâmetros!J:J,"&lt;="&amp;K17),_xlfn.MAXIFS(Parâmetros!I:I,Parâmetros!A:A,A17,Parâmetros!B:B,B17,Parâmetros!D:D,D17,Parâmetros!E:E,E17,Parâmetros!G:G,"&lt;="&amp;K17),0)</f>
        <v>1800</v>
      </c>
      <c r="M17" s="9">
        <f>MAX(_xlfn.MAXIFS(Parâmetros!Q:Q,Parâmetros!A:A,A17,Parâmetros!B:B,B17,Parâmetros!D:D,D17,Parâmetros!E:E,E17,Parâmetros!P:P,"&lt;="&amp;K17),
_xlfn.MAXIFS(Parâmetros!S:S,Parâmetros!A:A,A17,Parâmetros!B:B,B17,Parâmetros!D:D,D17,Parâmetros!E:E,E17,Parâmetros!R:R,"&lt;="&amp;K17),
_xlfn.MAXIFS(Parâmetros!U:U,Parâmetros!A:A,A17,Parâmetros!B:B,B17,Parâmetros!D:D,D17,Parâmetros!E:E,E17,Parâmetros!T:T,"&lt;="&amp;K17),1) * IF(K17 &gt;= SUMIFS(Parâmetros!G:G,Parâmetros!A:A,A17,Parâmetros!B:B,B17,Parâmetros!D:D,D17,Parâmetros!E:E,E17),1,0)</f>
        <v>1.25</v>
      </c>
      <c r="N17" s="16">
        <f t="shared" si="14"/>
        <v>2250</v>
      </c>
      <c r="O17" s="16">
        <f t="shared" si="12"/>
        <v>2432.4324324324325</v>
      </c>
      <c r="P17" s="20" t="str">
        <f t="shared" si="1"/>
        <v/>
      </c>
      <c r="Q17" s="7" t="str">
        <f t="shared" si="2"/>
        <v/>
      </c>
      <c r="R17" s="90">
        <f t="shared" si="3"/>
        <v>0</v>
      </c>
      <c r="S17" s="7" t="str">
        <f t="shared" si="4"/>
        <v/>
      </c>
      <c r="T17" s="7" t="str">
        <f t="shared" si="5"/>
        <v/>
      </c>
      <c r="U17" s="90">
        <f t="shared" si="6"/>
        <v>0</v>
      </c>
      <c r="V17" s="93" t="str">
        <f t="shared" si="7"/>
        <v/>
      </c>
      <c r="W17" s="88" t="str">
        <f>IF(OR(B17=3,B17=6,B17=9,B17=12),
IF(AND(U17&gt;=1,R17&gt;=SUMIFS(Parâmetros!G:G,Parâmetros!A:A,A17,Parâmetros!B:B,B17,Parâmetros!D:D,'Comissões GD'!D17)),R17*0.3,""),"")</f>
        <v/>
      </c>
    </row>
    <row r="18" spans="1:23">
      <c r="A18" s="7">
        <v>2026</v>
      </c>
      <c r="B18" s="7">
        <v>2</v>
      </c>
      <c r="C18" s="7" t="str">
        <v>Maria Eduarda Barbosa</v>
      </c>
      <c r="D18" s="7" t="str">
        <v>maria.eduarda@altoqi.com.br</v>
      </c>
      <c r="E18" s="7" t="str">
        <v>GD</v>
      </c>
      <c r="F18" s="7" t="str">
        <v>Consultor</v>
      </c>
      <c r="G18" s="7" t="str">
        <v>andre.cardoso@altoqi.com.br</v>
      </c>
      <c r="H18" s="7" t="str">
        <v>Opps</v>
      </c>
      <c r="I18" s="20">
        <f>IF(F18="Gestor",SUMIFS(I:I,A:A,A18,B:B,B18,G:G,D18),
SUMIFS('Realizado GD'!D:D,'Realizado GD'!A:A,A18,'Realizado GD'!B:B,B18,'Realizado GD'!C:C,D18))</f>
        <v>35</v>
      </c>
      <c r="J18" s="7">
        <f>SUMIFS(Metas!K:K,Metas!A:A,A18,Metas!B:B,B18,Metas!D:D,D18,Metas!H:H,H18)</f>
        <v>32.999999999999993</v>
      </c>
      <c r="K18" s="10">
        <f t="shared" si="13"/>
        <v>1.0606060606060608</v>
      </c>
      <c r="L18" s="15">
        <f>MAX(_xlfn.MAXIFS(Parâmetros!O:O,Parâmetros!A:A,A18,Parâmetros!B:B,B18,Parâmetros!D:D,D18,Parâmetros!M:M,"&lt;="&amp;K18),_xlfn.MAXIFS(Parâmetros!L:L,Parâmetros!A:A,A18,Parâmetros!B:B,B18,Parâmetros!D:D,D18,Parâmetros!J:J,"&lt;="&amp;K18),_xlfn.MAXIFS(Parâmetros!I:I,Parâmetros!A:A,A18,Parâmetros!B:B,B18,Parâmetros!D:D,D18,Parâmetros!E:E,E18,Parâmetros!G:G,"&lt;="&amp;K18),0)</f>
        <v>494.99999999999994</v>
      </c>
      <c r="M18" s="9">
        <f>MAX(_xlfn.MAXIFS(Parâmetros!Q:Q,Parâmetros!A:A,A18,Parâmetros!B:B,B18,Parâmetros!D:D,D18,Parâmetros!E:E,E18,Parâmetros!P:P,"&lt;="&amp;K18),
_xlfn.MAXIFS(Parâmetros!S:S,Parâmetros!A:A,A18,Parâmetros!B:B,B18,Parâmetros!D:D,D18,Parâmetros!E:E,E18,Parâmetros!R:R,"&lt;="&amp;K18),
_xlfn.MAXIFS(Parâmetros!U:U,Parâmetros!A:A,A18,Parâmetros!B:B,B18,Parâmetros!D:D,D18,Parâmetros!E:E,E18,Parâmetros!T:T,"&lt;="&amp;K18),1) * IF(K18 &gt;= SUMIFS(Parâmetros!G:G,Parâmetros!A:A,A18,Parâmetros!B:B,B18,Parâmetros!D:D,D18,Parâmetros!E:E,E18),1,0)</f>
        <v>1.25</v>
      </c>
      <c r="N18" s="16">
        <f t="shared" si="14"/>
        <v>618.74999999999989</v>
      </c>
      <c r="O18" s="16">
        <f t="shared" si="12"/>
        <v>656.25</v>
      </c>
      <c r="P18" s="20" t="str">
        <f t="shared" si="1"/>
        <v/>
      </c>
      <c r="Q18" s="7" t="str">
        <f t="shared" si="2"/>
        <v/>
      </c>
      <c r="R18" s="90">
        <f t="shared" si="3"/>
        <v>0</v>
      </c>
      <c r="S18" s="7" t="str">
        <f t="shared" si="4"/>
        <v/>
      </c>
      <c r="T18" s="7" t="str">
        <f t="shared" si="5"/>
        <v/>
      </c>
      <c r="U18" s="90">
        <f t="shared" si="6"/>
        <v>0</v>
      </c>
      <c r="V18" s="93" t="str">
        <f t="shared" si="7"/>
        <v/>
      </c>
      <c r="W18" s="88" t="str">
        <f>IF(OR(B18=3,B18=6,B18=9,B18=12),
IF(AND(U18&gt;=1,R18&gt;=SUMIFS(Parâmetros!G:G,Parâmetros!A:A,A18,Parâmetros!B:B,B18,Parâmetros!D:D,'Comissões GD'!D18)),R18*0.3,""),"")</f>
        <v/>
      </c>
    </row>
    <row r="19" spans="1:23">
      <c r="A19" s="7">
        <v>2026</v>
      </c>
      <c r="B19" s="7">
        <v>2</v>
      </c>
      <c r="C19" s="7" t="str">
        <v>Matheus Fiebig</v>
      </c>
      <c r="D19" s="7" t="str">
        <v>matheus.lima@altoqi.com.br</v>
      </c>
      <c r="E19" s="7" t="str">
        <v>GD</v>
      </c>
      <c r="F19" s="7" t="str">
        <v>Consultor</v>
      </c>
      <c r="G19" s="7" t="str">
        <v>andre.cardoso@altoqi.com.br</v>
      </c>
      <c r="H19" s="7" t="str">
        <v>Opps</v>
      </c>
      <c r="I19" s="20">
        <f>IF(F19="Gestor",SUMIFS(I:I,A:A,A19,B:B,B19,G:G,D19),
SUMIFS('Realizado GD'!D:D,'Realizado GD'!A:A,A19,'Realizado GD'!B:B,B19,'Realizado GD'!C:C,D19))</f>
        <v>99</v>
      </c>
      <c r="J19" s="7">
        <f>SUMIFS(Metas!K:K,Metas!A:A,A19,Metas!B:B,B19,Metas!D:D,D19,Metas!H:H,H19)</f>
        <v>98</v>
      </c>
      <c r="K19" s="10">
        <f t="shared" si="13"/>
        <v>1.010204081632653</v>
      </c>
      <c r="L19" s="15">
        <f>MAX(_xlfn.MAXIFS(Parâmetros!O:O,Parâmetros!A:A,A19,Parâmetros!B:B,B19,Parâmetros!D:D,D19,Parâmetros!M:M,"&lt;="&amp;K19),_xlfn.MAXIFS(Parâmetros!L:L,Parâmetros!A:A,A19,Parâmetros!B:B,B19,Parâmetros!D:D,D19,Parâmetros!J:J,"&lt;="&amp;K19),_xlfn.MAXIFS(Parâmetros!I:I,Parâmetros!A:A,A19,Parâmetros!B:B,B19,Parâmetros!D:D,D19,Parâmetros!E:E,E19,Parâmetros!G:G,"&lt;="&amp;K19),0)</f>
        <v>1500</v>
      </c>
      <c r="M19" s="9">
        <f>MAX(_xlfn.MAXIFS(Parâmetros!Q:Q,Parâmetros!A:A,A19,Parâmetros!B:B,B19,Parâmetros!D:D,D19,Parâmetros!E:E,E19,Parâmetros!P:P,"&lt;="&amp;K19),
_xlfn.MAXIFS(Parâmetros!S:S,Parâmetros!A:A,A19,Parâmetros!B:B,B19,Parâmetros!D:D,D19,Parâmetros!E:E,E19,Parâmetros!R:R,"&lt;="&amp;K19),
_xlfn.MAXIFS(Parâmetros!U:U,Parâmetros!A:A,A19,Parâmetros!B:B,B19,Parâmetros!D:D,D19,Parâmetros!E:E,E19,Parâmetros!T:T,"&lt;="&amp;K19),1) * IF(K19 &gt;= SUMIFS(Parâmetros!G:G,Parâmetros!A:A,A19,Parâmetros!B:B,B19,Parâmetros!D:D,D19,Parâmetros!E:E,E19),1,0)</f>
        <v>1.1499999999999999</v>
      </c>
      <c r="N19" s="16">
        <f t="shared" si="14"/>
        <v>1724.9999999999998</v>
      </c>
      <c r="O19" s="16">
        <f t="shared" si="12"/>
        <v>1742.6020408163261</v>
      </c>
      <c r="P19" s="20" t="str">
        <f t="shared" si="1"/>
        <v/>
      </c>
      <c r="Q19" s="7" t="str">
        <f t="shared" si="2"/>
        <v/>
      </c>
      <c r="R19" s="90">
        <f t="shared" si="3"/>
        <v>0</v>
      </c>
      <c r="S19" s="7" t="str">
        <f t="shared" si="4"/>
        <v/>
      </c>
      <c r="T19" s="7" t="str">
        <f t="shared" si="5"/>
        <v/>
      </c>
      <c r="U19" s="90">
        <f t="shared" si="6"/>
        <v>0</v>
      </c>
      <c r="V19" s="93" t="str">
        <f t="shared" si="7"/>
        <v/>
      </c>
      <c r="W19" s="88" t="str">
        <f>IF(OR(B19=3,B19=6,B19=9,B19=12),
IF(AND(U19&gt;=1,R19&gt;=SUMIFS(Parâmetros!G:G,Parâmetros!A:A,A19,Parâmetros!B:B,B19,Parâmetros!D:D,'Comissões GD'!D19)),R19*0.3,""),"")</f>
        <v/>
      </c>
    </row>
    <row r="20" spans="1:23">
      <c r="A20" s="7">
        <v>2026</v>
      </c>
      <c r="B20" s="7">
        <v>2</v>
      </c>
      <c r="C20" s="7" t="str">
        <v>Sarai Daniela</v>
      </c>
      <c r="D20" s="7" t="str">
        <v>daniela.cabrera@altoqi.com.br</v>
      </c>
      <c r="E20" s="7" t="str">
        <v>GD</v>
      </c>
      <c r="F20" s="7" t="str">
        <v>Consultor</v>
      </c>
      <c r="G20" s="7">
        <v>0</v>
      </c>
      <c r="H20" s="7">
        <v>0</v>
      </c>
      <c r="I20" s="20">
        <f>IF(F20="Gestor",SUMIFS(I:I,A:A,A20,B:B,B20,G:G,D20),
SUMIFS('Realizado GD'!D:D,'Realizado GD'!A:A,A20,'Realizado GD'!B:B,B20,'Realizado GD'!C:C,D20))</f>
        <v>0</v>
      </c>
      <c r="J20" s="7">
        <f>SUMIFS(Metas!K:K,Metas!A:A,A20,Metas!B:B,B20,Metas!D:D,D20,Metas!H:H,H20)</f>
        <v>0</v>
      </c>
      <c r="K20" s="10">
        <f t="shared" si="13"/>
        <v>0</v>
      </c>
      <c r="L20" s="15">
        <f>MAX(_xlfn.MAXIFS(Parâmetros!O:O,Parâmetros!A:A,A20,Parâmetros!B:B,B20,Parâmetros!D:D,D20,Parâmetros!M:M,"&lt;="&amp;K20),_xlfn.MAXIFS(Parâmetros!L:L,Parâmetros!A:A,A20,Parâmetros!B:B,B20,Parâmetros!D:D,D20,Parâmetros!J:J,"&lt;="&amp;K20),_xlfn.MAXIFS(Parâmetros!I:I,Parâmetros!A:A,A20,Parâmetros!B:B,B20,Parâmetros!D:D,D20,Parâmetros!E:E,E20,Parâmetros!G:G,"&lt;="&amp;K20),0)</f>
        <v>0</v>
      </c>
      <c r="M20" s="9">
        <f>MAX(_xlfn.MAXIFS(Parâmetros!Q:Q,Parâmetros!A:A,A20,Parâmetros!B:B,B20,Parâmetros!D:D,D20,Parâmetros!E:E,E20,Parâmetros!P:P,"&lt;="&amp;K20),
_xlfn.MAXIFS(Parâmetros!S:S,Parâmetros!A:A,A20,Parâmetros!B:B,B20,Parâmetros!D:D,D20,Parâmetros!E:E,E20,Parâmetros!R:R,"&lt;="&amp;K20),
_xlfn.MAXIFS(Parâmetros!U:U,Parâmetros!A:A,A20,Parâmetros!B:B,B20,Parâmetros!D:D,D20,Parâmetros!E:E,E20,Parâmetros!T:T,"&lt;="&amp;K20),1) * IF(K20 &gt;= SUMIFS(Parâmetros!G:G,Parâmetros!A:A,A20,Parâmetros!B:B,B20,Parâmetros!D:D,D20,Parâmetros!E:E,E20),1,0)</f>
        <v>0</v>
      </c>
      <c r="N20" s="16">
        <f t="shared" si="14"/>
        <v>0</v>
      </c>
      <c r="O20" s="16">
        <f t="shared" si="12"/>
        <v>0</v>
      </c>
      <c r="P20" s="20" t="str">
        <f t="shared" si="1"/>
        <v/>
      </c>
      <c r="Q20" s="7" t="str">
        <f t="shared" si="2"/>
        <v/>
      </c>
      <c r="R20" s="90">
        <f>IFERROR(P20/Q20,0)</f>
        <v>0</v>
      </c>
      <c r="S20" s="7" t="str">
        <f>IF(F20="Gestor","",
IF(OR(B20=3,B20=6,B20=9,B20=12),
SUMIFS(I:I,$A:$A,$A20,$B:$B,"&gt;="&amp;(B20-2),$B:$B,"&lt;="&amp;B20,$E:$E,$E20,$F:$F,"&lt;&gt;Gestor"),
""))</f>
        <v/>
      </c>
      <c r="T20" s="7" t="str">
        <f>IF(F20="Gestor","",
IF(OR(B20=3,B20=6,B20=9,B20=12),
SUMIFS(J:J,$A:$A,$A20,$B:$B,"&gt;="&amp;(B20-2),$B:$B,"&lt;="&amp;B20,$E:$E,$E20,$F:$F,"&lt;&gt;Gestor"),
""))</f>
        <v/>
      </c>
      <c r="U20" s="90">
        <f>IFERROR(S20/T20,0)</f>
        <v>0</v>
      </c>
      <c r="V20" s="93" t="str">
        <f>IF(AND(OR(B20=3,B20=6,B20=9,B20=12),R20&gt;=1),
IF(F20="Gestor",R20*0.6,R20*0.3),"")</f>
        <v/>
      </c>
      <c r="W20" s="88" t="str">
        <f>IF(OR(B20=3,B20=6,B20=9,B20=12),
IF(AND(U20&gt;=1,R20&gt;=SUMIFS(Parâmetros!G:G,Parâmetros!A:A,A20,Parâmetros!B:B,B20,Parâmetros!D:D,'Comissões GD'!D20)),R20*0.3,""),"")</f>
        <v/>
      </c>
    </row>
    <row r="21" spans="1:23">
      <c r="A21" s="7">
        <v>2026</v>
      </c>
      <c r="B21" s="7">
        <v>3</v>
      </c>
      <c r="C21" s="7" t="str">
        <v>Ana Camargo</v>
      </c>
      <c r="D21" s="7" t="str">
        <v>ana.camargo@altoqi.com.br</v>
      </c>
      <c r="E21" s="7" t="str">
        <v>GD</v>
      </c>
      <c r="F21" s="7" t="str">
        <v>Consultor</v>
      </c>
      <c r="G21" s="7" t="str">
        <v>andre.cardoso@altoqi.com.br</v>
      </c>
      <c r="H21" s="7" t="str">
        <v>Opps</v>
      </c>
      <c r="I21" s="20">
        <f>IF(F21="Gestor",SUMIFS(I:I,A:A,A21,B:B,B21,G:G,D21),
SUMIFS('Realizado GD'!D:D,'Realizado GD'!A:A,A21,'Realizado GD'!B:B,B21,'Realizado GD'!C:C,D21))</f>
        <v>89</v>
      </c>
      <c r="J21" s="7">
        <f>SUMIFS(Metas!K:K,Metas!A:A,A21,Metas!B:B,B21,Metas!D:D,D21,Metas!H:H,H21)</f>
        <v>107</v>
      </c>
      <c r="K21" s="10">
        <f t="shared" ref="K21:K30" si="15">IFERROR(I21/J21,0)</f>
        <v>0.83177570093457942</v>
      </c>
      <c r="L21" s="15">
        <f>MAX(_xlfn.MAXIFS(Parâmetros!O:O,Parâmetros!A:A,A21,Parâmetros!B:B,B21,Parâmetros!D:D,D21,Parâmetros!M:M,"&lt;="&amp;K21),_xlfn.MAXIFS(Parâmetros!L:L,Parâmetros!A:A,A21,Parâmetros!B:B,B21,Parâmetros!D:D,D21,Parâmetros!J:J,"&lt;="&amp;K21),_xlfn.MAXIFS(Parâmetros!I:I,Parâmetros!A:A,A21,Parâmetros!B:B,B21,Parâmetros!D:D,D21,Parâmetros!E:E,E21,Parâmetros!G:G,"&lt;="&amp;K21),0)</f>
        <v>1500</v>
      </c>
      <c r="M21" s="9">
        <f>MAX(_xlfn.MAXIFS(Parâmetros!Q:Q,Parâmetros!A:A,A21,Parâmetros!B:B,B21,Parâmetros!D:D,D21,Parâmetros!E:E,E21,Parâmetros!P:P,"&lt;="&amp;K21),
_xlfn.MAXIFS(Parâmetros!S:S,Parâmetros!A:A,A21,Parâmetros!B:B,B21,Parâmetros!D:D,D21,Parâmetros!E:E,E21,Parâmetros!R:R,"&lt;="&amp;K21),
_xlfn.MAXIFS(Parâmetros!U:U,Parâmetros!A:A,A21,Parâmetros!B:B,B21,Parâmetros!D:D,D21,Parâmetros!E:E,E21,Parâmetros!T:T,"&lt;="&amp;K21),1) * IF(K21 &gt;= SUMIFS(Parâmetros!G:G,Parâmetros!A:A,A21,Parâmetros!B:B,B21,Parâmetros!D:D,D21,Parâmetros!E:E,E21),1,0)</f>
        <v>1</v>
      </c>
      <c r="N21" s="16">
        <f t="shared" ref="N21:N30" si="16">L21*M21</f>
        <v>1500</v>
      </c>
      <c r="O21" s="16">
        <f t="shared" ref="O21:O30" si="17">N21*K21</f>
        <v>1247.6635514018692</v>
      </c>
      <c r="P21" s="20">
        <f t="shared" ref="P21:P30" si="18">IF(OR(B21=3,B21=6,B21=9,B21=12),
SUMIFS(I:I,$A:$A,$A21,$B:$B,"&gt;="&amp;(B21-2),$B:$B,"&lt;="&amp;B21,$D:$D,$D21),"")</f>
        <v>280</v>
      </c>
      <c r="Q21" s="7">
        <f t="shared" ref="Q21:Q30" si="19">IF(OR(B21=3,B21=6,B21=9,B21=12),
SUMIFS(J:J,$A:$A,$A21,$B:$B,"&gt;="&amp;(B21-2),$B:$B,"&lt;="&amp;B21,$D:$D,$D21),"")</f>
        <v>277</v>
      </c>
      <c r="R21" s="90">
        <f t="shared" ref="R21:R30" si="20">IFERROR(P21/Q21,0)</f>
        <v>1.0108303249097472</v>
      </c>
      <c r="S21" s="7">
        <f t="shared" ref="S21:S30" si="21">IF(F21="Gestor","",
IF(OR(B21=3,B21=6,B21=9,B21=12),
SUMIFS(I:I,$A:$A,$A21,$B:$B,"&gt;="&amp;(B21-2),$B:$B,"&lt;="&amp;B21,$E:$E,$E21,$F:$F,"&lt;&gt;Gestor"),
""))</f>
        <v>1734</v>
      </c>
      <c r="T21" s="7">
        <f t="shared" ref="T21:T30" si="22">IF(F21="Gestor","",
IF(OR(B21=3,B21=6,B21=9,B21=12),
SUMIFS(J:J,$A:$A,$A21,$B:$B,"&gt;="&amp;(B21-2),$B:$B,"&lt;="&amp;B21,$E:$E,$E21,$F:$F,"&lt;&gt;Gestor"),
""))</f>
        <v>1692.32</v>
      </c>
      <c r="U21" s="90">
        <f t="shared" ref="U21:U30" si="23">IFERROR(S21/T21,0)</f>
        <v>1.0246289117897325</v>
      </c>
      <c r="V21" s="93">
        <f t="shared" ref="V21:V30" si="24">IF(AND(OR(B21=3,B21=6,B21=9,B21=12),R21&gt;=1),
IF(F21="Gestor",R21*0.6,R21*0.3),"")</f>
        <v>0.30324909747292417</v>
      </c>
      <c r="W21" s="88">
        <f>IF(OR(B21=3,B21=6,B21=9,B21=12),
IF(AND(U21&gt;=1,R21&gt;=SUMIFS(Parâmetros!G:G,Parâmetros!A:A,A21,Parâmetros!B:B,B21,Parâmetros!D:D,'Comissões GD'!D21)),R21*0.3,""),"")</f>
        <v>0.30324909747292417</v>
      </c>
    </row>
    <row r="22" spans="1:23">
      <c r="A22" s="7">
        <v>2026</v>
      </c>
      <c r="B22" s="7">
        <v>3</v>
      </c>
      <c r="C22" s="7" t="str">
        <v>Anand Freitas Figueiredo</v>
      </c>
      <c r="D22" s="7" t="str">
        <v>anand.figueiredo@altoqi.com.br</v>
      </c>
      <c r="E22" s="7" t="str">
        <v>GD</v>
      </c>
      <c r="F22" s="7" t="str">
        <v>Consultor</v>
      </c>
      <c r="G22" s="7">
        <v>0</v>
      </c>
      <c r="H22" s="7" t="str">
        <v>Opps</v>
      </c>
      <c r="I22" s="20">
        <f>IF(F22="Gestor",SUMIFS(I:I,A:A,A22,B:B,B22,G:G,D22),
SUMIFS('Realizado GD'!D:D,'Realizado GD'!A:A,A22,'Realizado GD'!B:B,B22,'Realizado GD'!C:C,D22))</f>
        <v>61</v>
      </c>
      <c r="J22" s="7">
        <f>SUMIFS(Metas!K:K,Metas!A:A,A22,Metas!B:B,B22,Metas!D:D,D22,Metas!H:H,H22)</f>
        <v>40</v>
      </c>
      <c r="K22" s="10">
        <f t="shared" si="15"/>
        <v>1.5249999999999999</v>
      </c>
      <c r="L22" s="15">
        <f>MAX(_xlfn.MAXIFS(Parâmetros!O:O,Parâmetros!A:A,A22,Parâmetros!B:B,B22,Parâmetros!D:D,D22,Parâmetros!M:M,"&lt;="&amp;K22),_xlfn.MAXIFS(Parâmetros!L:L,Parâmetros!A:A,A22,Parâmetros!B:B,B22,Parâmetros!D:D,D22,Parâmetros!J:J,"&lt;="&amp;K22),_xlfn.MAXIFS(Parâmetros!I:I,Parâmetros!A:A,A22,Parâmetros!B:B,B22,Parâmetros!D:D,D22,Parâmetros!E:E,E22,Parâmetros!G:G,"&lt;="&amp;K22),0)</f>
        <v>1800</v>
      </c>
      <c r="M22" s="9">
        <f>MAX(_xlfn.MAXIFS(Parâmetros!Q:Q,Parâmetros!A:A,A22,Parâmetros!B:B,B22,Parâmetros!D:D,D22,Parâmetros!E:E,E22,Parâmetros!P:P,"&lt;="&amp;K22),
_xlfn.MAXIFS(Parâmetros!S:S,Parâmetros!A:A,A22,Parâmetros!B:B,B22,Parâmetros!D:D,D22,Parâmetros!E:E,E22,Parâmetros!R:R,"&lt;="&amp;K22),
_xlfn.MAXIFS(Parâmetros!U:U,Parâmetros!A:A,A22,Parâmetros!B:B,B22,Parâmetros!D:D,D22,Parâmetros!E:E,E22,Parâmetros!T:T,"&lt;="&amp;K22),1) * IF(K22 &gt;= SUMIFS(Parâmetros!G:G,Parâmetros!A:A,A22,Parâmetros!B:B,B22,Parâmetros!D:D,D22,Parâmetros!E:E,E22),1,0)</f>
        <v>1.25</v>
      </c>
      <c r="N22" s="16">
        <f t="shared" si="16"/>
        <v>2250</v>
      </c>
      <c r="O22" s="16">
        <f t="shared" si="17"/>
        <v>3431.25</v>
      </c>
      <c r="P22" s="20">
        <f t="shared" si="18"/>
        <v>150</v>
      </c>
      <c r="Q22" s="7">
        <f t="shared" si="19"/>
        <v>120</v>
      </c>
      <c r="R22" s="90">
        <f t="shared" si="20"/>
        <v>1.25</v>
      </c>
      <c r="S22" s="7">
        <f t="shared" si="21"/>
        <v>1734</v>
      </c>
      <c r="T22" s="7">
        <f t="shared" si="22"/>
        <v>1692.32</v>
      </c>
      <c r="U22" s="90">
        <f t="shared" si="23"/>
        <v>1.0246289117897325</v>
      </c>
      <c r="V22" s="93">
        <f t="shared" si="24"/>
        <v>0.375</v>
      </c>
      <c r="W22" s="88">
        <f>IF(OR(B22=3,B22=6,B22=9,B22=12),
IF(AND(U22&gt;=1,R22&gt;=SUMIFS(Parâmetros!G:G,Parâmetros!A:A,A22,Parâmetros!B:B,B22,Parâmetros!D:D,'Comissões GD'!D22)),R22*0.3,""),"")</f>
        <v>0.375</v>
      </c>
    </row>
    <row r="23" spans="1:23">
      <c r="A23" s="7">
        <v>2026</v>
      </c>
      <c r="B23" s="7">
        <v>3</v>
      </c>
      <c r="C23" s="7" t="str">
        <v>André Cardoso</v>
      </c>
      <c r="D23" s="7" t="str">
        <v>andre.cardoso@altoqi.com.br</v>
      </c>
      <c r="E23" s="7" t="str">
        <v>GD</v>
      </c>
      <c r="F23" s="7" t="str">
        <v>Gestor</v>
      </c>
      <c r="G23" s="7">
        <v>0</v>
      </c>
      <c r="H23" s="7" t="str">
        <v>Opps</v>
      </c>
      <c r="I23" s="20">
        <f>IF(F23="Gestor",SUMIFS(I:I,A:A,A23,B:B,B23,G:G,D23),
SUMIFS('Realizado GD'!D:D,'Realizado GD'!A:A,A23,'Realizado GD'!B:B,B23,'Realizado GD'!C:C,D23))</f>
        <v>535</v>
      </c>
      <c r="J23" s="7">
        <f>SUMIFS(Metas!K:K,Metas!A:A,A23,Metas!B:B,B23,Metas!D:D,D23,Metas!H:H,H23)</f>
        <v>620</v>
      </c>
      <c r="K23" s="10">
        <f t="shared" si="15"/>
        <v>0.86290322580645162</v>
      </c>
      <c r="L23" s="15">
        <f>MAX(_xlfn.MAXIFS(Parâmetros!O:O,Parâmetros!A:A,A23,Parâmetros!B:B,B23,Parâmetros!D:D,D23,Parâmetros!M:M,"&lt;="&amp;K23),_xlfn.MAXIFS(Parâmetros!L:L,Parâmetros!A:A,A23,Parâmetros!B:B,B23,Parâmetros!D:D,D23,Parâmetros!J:J,"&lt;="&amp;K23),_xlfn.MAXIFS(Parâmetros!I:I,Parâmetros!A:A,A23,Parâmetros!B:B,B23,Parâmetros!D:D,D23,Parâmetros!E:E,E23,Parâmetros!G:G,"&lt;="&amp;K23),0)</f>
        <v>3200</v>
      </c>
      <c r="M23" s="9">
        <f>MAX(_xlfn.MAXIFS(Parâmetros!Q:Q,Parâmetros!A:A,A23,Parâmetros!B:B,B23,Parâmetros!D:D,D23,Parâmetros!E:E,E23,Parâmetros!P:P,"&lt;="&amp;K23),
_xlfn.MAXIFS(Parâmetros!S:S,Parâmetros!A:A,A23,Parâmetros!B:B,B23,Parâmetros!D:D,D23,Parâmetros!E:E,E23,Parâmetros!R:R,"&lt;="&amp;K23),
_xlfn.MAXIFS(Parâmetros!U:U,Parâmetros!A:A,A23,Parâmetros!B:B,B23,Parâmetros!D:D,D23,Parâmetros!E:E,E23,Parâmetros!T:T,"&lt;="&amp;K23),1) * IF(K23 &gt;= SUMIFS(Parâmetros!G:G,Parâmetros!A:A,A23,Parâmetros!B:B,B23,Parâmetros!D:D,D23,Parâmetros!E:E,E23),1,0)</f>
        <v>1</v>
      </c>
      <c r="N23" s="16">
        <f t="shared" si="16"/>
        <v>3200</v>
      </c>
      <c r="O23" s="16">
        <f t="shared" si="17"/>
        <v>2761.2903225806454</v>
      </c>
      <c r="P23" s="20">
        <f t="shared" si="18"/>
        <v>1583</v>
      </c>
      <c r="Q23" s="7">
        <f t="shared" si="19"/>
        <v>1561</v>
      </c>
      <c r="R23" s="90">
        <f t="shared" si="20"/>
        <v>1.0140935297885971</v>
      </c>
      <c r="S23" s="7" t="str">
        <f t="shared" si="21"/>
        <v/>
      </c>
      <c r="T23" s="7" t="str">
        <f t="shared" si="22"/>
        <v/>
      </c>
      <c r="U23" s="90">
        <f t="shared" si="23"/>
        <v>0</v>
      </c>
      <c r="V23" s="93">
        <f>IF(AND(OR(B23=3,B23=6,B23=9,B23=12),R23&gt;=1),
IF(F23="Gestor",R23*0.6,R23*0.3),"")</f>
        <v>0.60845611787315823</v>
      </c>
      <c r="W23" s="88" t="str">
        <f>IF(OR(B23=3,B23=6,B23=9,B23=12),
IF(AND(U23&gt;=1,R23&gt;=SUMIFS(Parâmetros!G:G,Parâmetros!A:A,A23,Parâmetros!B:B,B23,Parâmetros!D:D,'Comissões GD'!D23)),R23*0.3,""),"")</f>
        <v/>
      </c>
    </row>
    <row r="24" spans="1:23">
      <c r="A24" s="7">
        <v>2026</v>
      </c>
      <c r="B24" s="7">
        <v>3</v>
      </c>
      <c r="C24" s="7" t="str">
        <v>Arthur Treivisol</v>
      </c>
      <c r="D24" s="7" t="str">
        <v>arthur.trevisiol@altoqi.com.br</v>
      </c>
      <c r="E24" s="7" t="str">
        <v>GD</v>
      </c>
      <c r="F24" s="7" t="str">
        <v>Consultor</v>
      </c>
      <c r="G24" s="7" t="str">
        <v>andre.cardoso@altoqi.com.br</v>
      </c>
      <c r="H24" s="7" t="str">
        <v>Opps</v>
      </c>
      <c r="I24" s="20">
        <f>IF(F24="Gestor",SUMIFS(I:I,A:A,A24,B:B,B24,G:G,D24),
SUMIFS('Realizado GD'!D:D,'Realizado GD'!A:A,A24,'Realizado GD'!B:B,B24,'Realizado GD'!C:C,D24))</f>
        <v>80</v>
      </c>
      <c r="J24" s="7">
        <f>SUMIFS(Metas!K:K,Metas!A:A,A24,Metas!B:B,B24,Metas!D:D,D24,Metas!H:H,H24)</f>
        <v>107</v>
      </c>
      <c r="K24" s="10">
        <f t="shared" si="15"/>
        <v>0.74766355140186913</v>
      </c>
      <c r="L24" s="15">
        <f>MAX(_xlfn.MAXIFS(Parâmetros!O:O,Parâmetros!A:A,A24,Parâmetros!B:B,B24,Parâmetros!D:D,D24,Parâmetros!M:M,"&lt;="&amp;K24),_xlfn.MAXIFS(Parâmetros!L:L,Parâmetros!A:A,A24,Parâmetros!B:B,B24,Parâmetros!D:D,D24,Parâmetros!J:J,"&lt;="&amp;K24),_xlfn.MAXIFS(Parâmetros!I:I,Parâmetros!A:A,A24,Parâmetros!B:B,B24,Parâmetros!D:D,D24,Parâmetros!E:E,E24,Parâmetros!G:G,"&lt;="&amp;K24),0)</f>
        <v>1500</v>
      </c>
      <c r="M24" s="9">
        <f>MAX(_xlfn.MAXIFS(Parâmetros!Q:Q,Parâmetros!A:A,A24,Parâmetros!B:B,B24,Parâmetros!D:D,D24,Parâmetros!E:E,E24,Parâmetros!P:P,"&lt;="&amp;K24),
_xlfn.MAXIFS(Parâmetros!S:S,Parâmetros!A:A,A24,Parâmetros!B:B,B24,Parâmetros!D:D,D24,Parâmetros!E:E,E24,Parâmetros!R:R,"&lt;="&amp;K24),
_xlfn.MAXIFS(Parâmetros!U:U,Parâmetros!A:A,A24,Parâmetros!B:B,B24,Parâmetros!D:D,D24,Parâmetros!E:E,E24,Parâmetros!T:T,"&lt;="&amp;K24),1) * IF(K24 &gt;= SUMIFS(Parâmetros!G:G,Parâmetros!A:A,A24,Parâmetros!B:B,B24,Parâmetros!D:D,D24,Parâmetros!E:E,E24),1,0)</f>
        <v>1</v>
      </c>
      <c r="N24" s="16">
        <f t="shared" si="16"/>
        <v>1500</v>
      </c>
      <c r="O24" s="16">
        <f t="shared" si="17"/>
        <v>1121.4953271028037</v>
      </c>
      <c r="P24" s="20">
        <f t="shared" si="18"/>
        <v>281</v>
      </c>
      <c r="Q24" s="7">
        <f t="shared" si="19"/>
        <v>301</v>
      </c>
      <c r="R24" s="90">
        <f t="shared" si="20"/>
        <v>0.93355481727574752</v>
      </c>
      <c r="S24" s="7">
        <f t="shared" si="21"/>
        <v>1734</v>
      </c>
      <c r="T24" s="7">
        <f t="shared" si="22"/>
        <v>1692.32</v>
      </c>
      <c r="U24" s="90">
        <f t="shared" si="23"/>
        <v>1.0246289117897325</v>
      </c>
      <c r="V24" s="93" t="str">
        <f t="shared" si="24"/>
        <v/>
      </c>
      <c r="W24" s="88">
        <f>IF(OR(B24=3,B24=6,B24=9,B24=12),
IF(AND(U24&gt;=1,R24&gt;=SUMIFS(Parâmetros!G:G,Parâmetros!A:A,A24,Parâmetros!B:B,B24,Parâmetros!D:D,'Comissões GD'!D24)),R24*0.3,""),"")</f>
        <v>0.28006644518272422</v>
      </c>
    </row>
    <row r="25" spans="1:23">
      <c r="A25" s="7">
        <v>2026</v>
      </c>
      <c r="B25" s="7">
        <v>3</v>
      </c>
      <c r="C25" s="7" t="str">
        <v>Elisa Nickel Costa</v>
      </c>
      <c r="D25" s="7" t="str">
        <v>elisa.costa@altoqi.com.br</v>
      </c>
      <c r="E25" s="7" t="str">
        <v>GD</v>
      </c>
      <c r="F25" s="7" t="str">
        <v>Consultor</v>
      </c>
      <c r="G25" s="7" t="str">
        <v>andre.cardoso@altoqi.com.br</v>
      </c>
      <c r="H25" s="7" t="str">
        <v>Opps</v>
      </c>
      <c r="I25" s="20">
        <f>IF(F25="Gestor",SUMIFS(I:I,A:A,A25,B:B,B25,G:G,D25),
SUMIFS('Realizado GD'!D:D,'Realizado GD'!A:A,A25,'Realizado GD'!B:B,B25,'Realizado GD'!C:C,D25))</f>
        <v>109</v>
      </c>
      <c r="J25" s="7">
        <f>SUMIFS(Metas!K:K,Metas!A:A,A25,Metas!B:B,B25,Metas!D:D,D25,Metas!H:H,H25)</f>
        <v>107</v>
      </c>
      <c r="K25" s="10">
        <f t="shared" si="15"/>
        <v>1.0186915887850467</v>
      </c>
      <c r="L25" s="15">
        <f>MAX(_xlfn.MAXIFS(Parâmetros!O:O,Parâmetros!A:A,A25,Parâmetros!B:B,B25,Parâmetros!D:D,D25,Parâmetros!M:M,"&lt;="&amp;K25),_xlfn.MAXIFS(Parâmetros!L:L,Parâmetros!A:A,A25,Parâmetros!B:B,B25,Parâmetros!D:D,D25,Parâmetros!J:J,"&lt;="&amp;K25),_xlfn.MAXIFS(Parâmetros!I:I,Parâmetros!A:A,A25,Parâmetros!B:B,B25,Parâmetros!D:D,D25,Parâmetros!E:E,E25,Parâmetros!G:G,"&lt;="&amp;K25),0)</f>
        <v>1500</v>
      </c>
      <c r="M25" s="9">
        <f>MAX(_xlfn.MAXIFS(Parâmetros!Q:Q,Parâmetros!A:A,A25,Parâmetros!B:B,B25,Parâmetros!D:D,D25,Parâmetros!E:E,E25,Parâmetros!P:P,"&lt;="&amp;K25),
_xlfn.MAXIFS(Parâmetros!S:S,Parâmetros!A:A,A25,Parâmetros!B:B,B25,Parâmetros!D:D,D25,Parâmetros!E:E,E25,Parâmetros!R:R,"&lt;="&amp;K25),
_xlfn.MAXIFS(Parâmetros!U:U,Parâmetros!A:A,A25,Parâmetros!B:B,B25,Parâmetros!D:D,D25,Parâmetros!E:E,E25,Parâmetros!T:T,"&lt;="&amp;K25),1) * IF(K25 &gt;= SUMIFS(Parâmetros!G:G,Parâmetros!A:A,A25,Parâmetros!B:B,B25,Parâmetros!D:D,D25,Parâmetros!E:E,E25),1,0)</f>
        <v>1.1499999999999999</v>
      </c>
      <c r="N25" s="16">
        <f t="shared" si="16"/>
        <v>1724.9999999999998</v>
      </c>
      <c r="O25" s="16">
        <f t="shared" si="17"/>
        <v>1757.2429906542054</v>
      </c>
      <c r="P25" s="20">
        <f t="shared" si="18"/>
        <v>334</v>
      </c>
      <c r="Q25" s="7">
        <f t="shared" si="19"/>
        <v>301</v>
      </c>
      <c r="R25" s="90">
        <f t="shared" si="20"/>
        <v>1.1096345514950166</v>
      </c>
      <c r="S25" s="7">
        <f t="shared" si="21"/>
        <v>1734</v>
      </c>
      <c r="T25" s="7">
        <f t="shared" si="22"/>
        <v>1692.32</v>
      </c>
      <c r="U25" s="90">
        <f t="shared" si="23"/>
        <v>1.0246289117897325</v>
      </c>
      <c r="V25" s="93">
        <f t="shared" si="24"/>
        <v>0.33289036544850498</v>
      </c>
      <c r="W25" s="88">
        <f>IF(OR(B25=3,B25=6,B25=9,B25=12),
IF(AND(U25&gt;=1,R25&gt;=SUMIFS(Parâmetros!G:G,Parâmetros!A:A,A25,Parâmetros!B:B,B25,Parâmetros!D:D,'Comissões GD'!D25)),R25*0.3,""),"")</f>
        <v>0.33289036544850498</v>
      </c>
    </row>
    <row r="26" spans="1:23">
      <c r="A26" s="7">
        <v>2026</v>
      </c>
      <c r="B26" s="7">
        <v>3</v>
      </c>
      <c r="C26" s="7" t="str">
        <v>Guilherme Marcolino</v>
      </c>
      <c r="D26" s="7" t="str">
        <v>guilherme.marcolino@altoqi.com.br</v>
      </c>
      <c r="E26" s="7" t="str">
        <v>GD</v>
      </c>
      <c r="F26" s="7" t="str">
        <v>Consultor</v>
      </c>
      <c r="G26" s="7" t="str">
        <v>andre.cardoso@altoqi.com.br</v>
      </c>
      <c r="H26" s="7">
        <v>0</v>
      </c>
      <c r="I26" s="20">
        <f>IF(F26="Gestor",SUMIFS(I:I,A:A,A26,B:B,B26,G:G,D26),
SUMIFS('Realizado GD'!D:D,'Realizado GD'!A:A,A26,'Realizado GD'!B:B,B26,'Realizado GD'!C:C,D26))</f>
        <v>1</v>
      </c>
      <c r="J26" s="7">
        <f>SUMIFS(Metas!K:K,Metas!A:A,A26,Metas!B:B,B26,Metas!D:D,D26,Metas!H:H,H26)</f>
        <v>0</v>
      </c>
      <c r="K26" s="10">
        <f t="shared" si="15"/>
        <v>0</v>
      </c>
      <c r="L26" s="15">
        <f>MAX(_xlfn.MAXIFS(Parâmetros!O:O,Parâmetros!A:A,A26,Parâmetros!B:B,B26,Parâmetros!D:D,D26,Parâmetros!M:M,"&lt;="&amp;K26),_xlfn.MAXIFS(Parâmetros!L:L,Parâmetros!A:A,A26,Parâmetros!B:B,B26,Parâmetros!D:D,D26,Parâmetros!J:J,"&lt;="&amp;K26),_xlfn.MAXIFS(Parâmetros!I:I,Parâmetros!A:A,A26,Parâmetros!B:B,B26,Parâmetros!D:D,D26,Parâmetros!E:E,E26,Parâmetros!G:G,"&lt;="&amp;K26),0)</f>
        <v>0</v>
      </c>
      <c r="M26" s="9">
        <f>MAX(_xlfn.MAXIFS(Parâmetros!Q:Q,Parâmetros!A:A,A26,Parâmetros!B:B,B26,Parâmetros!D:D,D26,Parâmetros!E:E,E26,Parâmetros!P:P,"&lt;="&amp;K26),
_xlfn.MAXIFS(Parâmetros!S:S,Parâmetros!A:A,A26,Parâmetros!B:B,B26,Parâmetros!D:D,D26,Parâmetros!E:E,E26,Parâmetros!R:R,"&lt;="&amp;K26),
_xlfn.MAXIFS(Parâmetros!U:U,Parâmetros!A:A,A26,Parâmetros!B:B,B26,Parâmetros!D:D,D26,Parâmetros!E:E,E26,Parâmetros!T:T,"&lt;="&amp;K26),1) * IF(K26 &gt;= SUMIFS(Parâmetros!G:G,Parâmetros!A:A,A26,Parâmetros!B:B,B26,Parâmetros!D:D,D26,Parâmetros!E:E,E26),1,0)</f>
        <v>1</v>
      </c>
      <c r="N26" s="16">
        <f t="shared" si="16"/>
        <v>0</v>
      </c>
      <c r="O26" s="16">
        <f t="shared" si="17"/>
        <v>0</v>
      </c>
      <c r="P26" s="20">
        <f t="shared" si="18"/>
        <v>1</v>
      </c>
      <c r="Q26" s="7">
        <f t="shared" si="19"/>
        <v>0</v>
      </c>
      <c r="R26" s="90">
        <f t="shared" si="20"/>
        <v>0</v>
      </c>
      <c r="S26" s="7">
        <f t="shared" si="21"/>
        <v>1734</v>
      </c>
      <c r="T26" s="7">
        <f t="shared" si="22"/>
        <v>1692.32</v>
      </c>
      <c r="U26" s="90">
        <f t="shared" si="23"/>
        <v>1.0246289117897325</v>
      </c>
      <c r="V26" s="93" t="str">
        <f t="shared" si="24"/>
        <v/>
      </c>
      <c r="W26" s="88">
        <f>IF(OR(B26=3,B26=6,B26=9,B26=12),
IF(AND(U26&gt;=1,R26&gt;=SUMIFS(Parâmetros!G:G,Parâmetros!A:A,A26,Parâmetros!B:B,B26,Parâmetros!D:D,'Comissões GD'!D26)),R26*0.3,""),"")</f>
        <v>0</v>
      </c>
    </row>
    <row r="27" spans="1:23">
      <c r="A27" s="7">
        <v>2026</v>
      </c>
      <c r="B27" s="7">
        <v>3</v>
      </c>
      <c r="C27" s="7" t="str">
        <v>Luiz Arthur Falcão Senna</v>
      </c>
      <c r="D27" s="7" t="str">
        <v>luiz.senna@altoqi.com.br</v>
      </c>
      <c r="E27" s="7" t="str">
        <v>GD</v>
      </c>
      <c r="F27" s="7" t="str">
        <v>Consultor</v>
      </c>
      <c r="G27" s="7" t="str">
        <v>andre.cardoso@altoqi.com.br</v>
      </c>
      <c r="H27" s="7" t="str">
        <v>Opps</v>
      </c>
      <c r="I27" s="20">
        <f>IF(F27="Gestor",SUMIFS(I:I,A:A,A27,B:B,B27,G:G,D27),
SUMIFS('Realizado GD'!D:D,'Realizado GD'!A:A,A27,'Realizado GD'!B:B,B27,'Realizado GD'!C:C,D27))</f>
        <v>81</v>
      </c>
      <c r="J27" s="7">
        <f>SUMIFS(Metas!K:K,Metas!A:A,A27,Metas!B:B,B27,Metas!D:D,D27,Metas!H:H,H27)</f>
        <v>81</v>
      </c>
      <c r="K27" s="10">
        <f t="shared" si="15"/>
        <v>1</v>
      </c>
      <c r="L27" s="15">
        <f>MAX(_xlfn.MAXIFS(Parâmetros!O:O,Parâmetros!A:A,A27,Parâmetros!B:B,B27,Parâmetros!D:D,D27,Parâmetros!M:M,"&lt;="&amp;K27),_xlfn.MAXIFS(Parâmetros!L:L,Parâmetros!A:A,A27,Parâmetros!B:B,B27,Parâmetros!D:D,D27,Parâmetros!J:J,"&lt;="&amp;K27),_xlfn.MAXIFS(Parâmetros!I:I,Parâmetros!A:A,A27,Parâmetros!B:B,B27,Parâmetros!D:D,D27,Parâmetros!E:E,E27,Parâmetros!G:G,"&lt;="&amp;K27),0)</f>
        <v>1800</v>
      </c>
      <c r="M27" s="9">
        <f>MAX(_xlfn.MAXIFS(Parâmetros!Q:Q,Parâmetros!A:A,A27,Parâmetros!B:B,B27,Parâmetros!D:D,D27,Parâmetros!E:E,E27,Parâmetros!P:P,"&lt;="&amp;K27),
_xlfn.MAXIFS(Parâmetros!S:S,Parâmetros!A:A,A27,Parâmetros!B:B,B27,Parâmetros!D:D,D27,Parâmetros!E:E,E27,Parâmetros!R:R,"&lt;="&amp;K27),
_xlfn.MAXIFS(Parâmetros!U:U,Parâmetros!A:A,A27,Parâmetros!B:B,B27,Parâmetros!D:D,D27,Parâmetros!E:E,E27,Parâmetros!T:T,"&lt;="&amp;K27),1) * IF(K27 &gt;= SUMIFS(Parâmetros!G:G,Parâmetros!A:A,A27,Parâmetros!B:B,B27,Parâmetros!D:D,D27,Parâmetros!E:E,E27),1,0)</f>
        <v>1.1499999999999999</v>
      </c>
      <c r="N27" s="16">
        <f t="shared" si="16"/>
        <v>2070</v>
      </c>
      <c r="O27" s="16">
        <f t="shared" si="17"/>
        <v>2070</v>
      </c>
      <c r="P27" s="20">
        <f t="shared" si="18"/>
        <v>222</v>
      </c>
      <c r="Q27" s="7">
        <f t="shared" si="19"/>
        <v>202</v>
      </c>
      <c r="R27" s="90">
        <f t="shared" si="20"/>
        <v>1.0990099009900991</v>
      </c>
      <c r="S27" s="7">
        <f t="shared" si="21"/>
        <v>1734</v>
      </c>
      <c r="T27" s="7">
        <f t="shared" si="22"/>
        <v>1692.32</v>
      </c>
      <c r="U27" s="90">
        <f t="shared" si="23"/>
        <v>1.0246289117897325</v>
      </c>
      <c r="V27" s="93">
        <f t="shared" si="24"/>
        <v>0.32970297029702972</v>
      </c>
      <c r="W27" s="88">
        <f>IF(OR(B27=3,B27=6,B27=9,B27=12),
IF(AND(U27&gt;=1,R27&gt;=SUMIFS(Parâmetros!G:G,Parâmetros!A:A,A27,Parâmetros!B:B,B27,Parâmetros!D:D,'Comissões GD'!D27)),R27*0.3,""),"")</f>
        <v>0.32970297029702972</v>
      </c>
    </row>
    <row r="28" spans="1:23">
      <c r="A28" s="7">
        <v>2026</v>
      </c>
      <c r="B28" s="7">
        <v>3</v>
      </c>
      <c r="C28" s="7" t="str">
        <v>Maria Eduarda Barbosa</v>
      </c>
      <c r="D28" s="7" t="str">
        <v>maria.eduarda@altoqi.com.br</v>
      </c>
      <c r="E28" s="7" t="str">
        <v>GD</v>
      </c>
      <c r="F28" s="7" t="str">
        <v>Consultor</v>
      </c>
      <c r="G28" s="7" t="str">
        <v>andre.cardoso@altoqi.com.br</v>
      </c>
      <c r="H28" s="7" t="str">
        <v>Opps</v>
      </c>
      <c r="I28" s="20">
        <f>IF(F28="Gestor",SUMIFS(I:I,A:A,A28,B:B,B28,G:G,D28),
SUMIFS('Realizado GD'!D:D,'Realizado GD'!A:A,A28,'Realizado GD'!B:B,B28,'Realizado GD'!C:C,D28))</f>
        <v>60</v>
      </c>
      <c r="J28" s="7">
        <f>SUMIFS(Metas!K:K,Metas!A:A,A28,Metas!B:B,B28,Metas!D:D,D28,Metas!H:H,H28)</f>
        <v>81</v>
      </c>
      <c r="K28" s="10">
        <f t="shared" si="15"/>
        <v>0.7407407407407407</v>
      </c>
      <c r="L28" s="15">
        <f>MAX(_xlfn.MAXIFS(Parâmetros!O:O,Parâmetros!A:A,A28,Parâmetros!B:B,B28,Parâmetros!D:D,D28,Parâmetros!M:M,"&lt;="&amp;K28),_xlfn.MAXIFS(Parâmetros!L:L,Parâmetros!A:A,A28,Parâmetros!B:B,B28,Parâmetros!D:D,D28,Parâmetros!J:J,"&lt;="&amp;K28),_xlfn.MAXIFS(Parâmetros!I:I,Parâmetros!A:A,A28,Parâmetros!B:B,B28,Parâmetros!D:D,D28,Parâmetros!E:E,E28,Parâmetros!G:G,"&lt;="&amp;K28),0)</f>
        <v>1500</v>
      </c>
      <c r="M28" s="9">
        <f>MAX(_xlfn.MAXIFS(Parâmetros!Q:Q,Parâmetros!A:A,A28,Parâmetros!B:B,B28,Parâmetros!D:D,D28,Parâmetros!E:E,E28,Parâmetros!P:P,"&lt;="&amp;K28),
_xlfn.MAXIFS(Parâmetros!S:S,Parâmetros!A:A,A28,Parâmetros!B:B,B28,Parâmetros!D:D,D28,Parâmetros!E:E,E28,Parâmetros!R:R,"&lt;="&amp;K28),
_xlfn.MAXIFS(Parâmetros!U:U,Parâmetros!A:A,A28,Parâmetros!B:B,B28,Parâmetros!D:D,D28,Parâmetros!E:E,E28,Parâmetros!T:T,"&lt;="&amp;K28),1) * IF(K28 &gt;= SUMIFS(Parâmetros!G:G,Parâmetros!A:A,A28,Parâmetros!B:B,B28,Parâmetros!D:D,D28,Parâmetros!E:E,E28),1,0)</f>
        <v>1</v>
      </c>
      <c r="N28" s="16">
        <f t="shared" si="16"/>
        <v>1500</v>
      </c>
      <c r="O28" s="16">
        <f t="shared" si="17"/>
        <v>1111.1111111111111</v>
      </c>
      <c r="P28" s="20">
        <f t="shared" si="18"/>
        <v>97</v>
      </c>
      <c r="Q28" s="7">
        <f t="shared" si="19"/>
        <v>114</v>
      </c>
      <c r="R28" s="90">
        <f t="shared" si="20"/>
        <v>0.85087719298245612</v>
      </c>
      <c r="S28" s="7">
        <f t="shared" si="21"/>
        <v>1734</v>
      </c>
      <c r="T28" s="7">
        <f t="shared" si="22"/>
        <v>1692.32</v>
      </c>
      <c r="U28" s="90">
        <f t="shared" si="23"/>
        <v>1.0246289117897325</v>
      </c>
      <c r="V28" s="93" t="str">
        <f t="shared" si="24"/>
        <v/>
      </c>
      <c r="W28" s="88">
        <f>IF(OR(B28=3,B28=6,B28=9,B28=12),
IF(AND(U28&gt;=1,R28&gt;=SUMIFS(Parâmetros!G:G,Parâmetros!A:A,A28,Parâmetros!B:B,B28,Parâmetros!D:D,'Comissões GD'!D28)),R28*0.3,""),"")</f>
        <v>0.2552631578947368</v>
      </c>
    </row>
    <row r="29" spans="1:23">
      <c r="A29" s="7">
        <v>2026</v>
      </c>
      <c r="B29" s="7">
        <v>3</v>
      </c>
      <c r="C29" s="7" t="str">
        <v>Matheus Fiebig</v>
      </c>
      <c r="D29" s="7" t="str">
        <v>matheus.lima@altoqi.com.br</v>
      </c>
      <c r="E29" s="7" t="str">
        <v>GD</v>
      </c>
      <c r="F29" s="7" t="str">
        <v>Consultor</v>
      </c>
      <c r="G29" s="7" t="str">
        <v>andre.cardoso@altoqi.com.br</v>
      </c>
      <c r="H29" s="7" t="str">
        <v>Opps</v>
      </c>
      <c r="I29" s="20">
        <f>IF(F29="Gestor",SUMIFS(I:I,A:A,A29,B:B,B29,G:G,D29),
SUMIFS('Realizado GD'!D:D,'Realizado GD'!A:A,A29,'Realizado GD'!B:B,B29,'Realizado GD'!C:C,D29))</f>
        <v>89</v>
      </c>
      <c r="J29" s="7">
        <f>SUMIFS(Metas!K:K,Metas!A:A,A29,Metas!B:B,B29,Metas!D:D,D29,Metas!H:H,H29)</f>
        <v>107</v>
      </c>
      <c r="K29" s="10">
        <f t="shared" si="15"/>
        <v>0.83177570093457942</v>
      </c>
      <c r="L29" s="15">
        <f>MAX(_xlfn.MAXIFS(Parâmetros!O:O,Parâmetros!A:A,A29,Parâmetros!B:B,B29,Parâmetros!D:D,D29,Parâmetros!M:M,"&lt;="&amp;K29),_xlfn.MAXIFS(Parâmetros!L:L,Parâmetros!A:A,A29,Parâmetros!B:B,B29,Parâmetros!D:D,D29,Parâmetros!J:J,"&lt;="&amp;K29),_xlfn.MAXIFS(Parâmetros!I:I,Parâmetros!A:A,A29,Parâmetros!B:B,B29,Parâmetros!D:D,D29,Parâmetros!E:E,E29,Parâmetros!G:G,"&lt;="&amp;K29),0)</f>
        <v>1500</v>
      </c>
      <c r="M29" s="9">
        <f>MAX(_xlfn.MAXIFS(Parâmetros!Q:Q,Parâmetros!A:A,A29,Parâmetros!B:B,B29,Parâmetros!D:D,D29,Parâmetros!E:E,E29,Parâmetros!P:P,"&lt;="&amp;K29),
_xlfn.MAXIFS(Parâmetros!S:S,Parâmetros!A:A,A29,Parâmetros!B:B,B29,Parâmetros!D:D,D29,Parâmetros!E:E,E29,Parâmetros!R:R,"&lt;="&amp;K29),
_xlfn.MAXIFS(Parâmetros!U:U,Parâmetros!A:A,A29,Parâmetros!B:B,B29,Parâmetros!D:D,D29,Parâmetros!E:E,E29,Parâmetros!T:T,"&lt;="&amp;K29),1) * IF(K29 &gt;= SUMIFS(Parâmetros!G:G,Parâmetros!A:A,A29,Parâmetros!B:B,B29,Parâmetros!D:D,D29,Parâmetros!E:E,E29),1,0)</f>
        <v>1</v>
      </c>
      <c r="N29" s="16">
        <f t="shared" si="16"/>
        <v>1500</v>
      </c>
      <c r="O29" s="16">
        <f t="shared" si="17"/>
        <v>1247.6635514018692</v>
      </c>
      <c r="P29" s="20">
        <f t="shared" si="18"/>
        <v>301</v>
      </c>
      <c r="Q29" s="7">
        <f t="shared" si="19"/>
        <v>301</v>
      </c>
      <c r="R29" s="90">
        <f t="shared" si="20"/>
        <v>1</v>
      </c>
      <c r="S29" s="7">
        <f t="shared" si="21"/>
        <v>1734</v>
      </c>
      <c r="T29" s="7">
        <f t="shared" si="22"/>
        <v>1692.32</v>
      </c>
      <c r="U29" s="90">
        <f t="shared" si="23"/>
        <v>1.0246289117897325</v>
      </c>
      <c r="V29" s="93">
        <f t="shared" si="24"/>
        <v>0.3</v>
      </c>
      <c r="W29" s="88">
        <f>IF(OR(B29=3,B29=6,B29=9,B29=12),
IF(AND(U29&gt;=1,R29&gt;=SUMIFS(Parâmetros!G:G,Parâmetros!A:A,A29,Parâmetros!B:B,B29,Parâmetros!D:D,'Comissões GD'!D29)),R29*0.3,""),"")</f>
        <v>0.3</v>
      </c>
    </row>
    <row r="30" spans="1:23">
      <c r="A30" s="7">
        <v>2026</v>
      </c>
      <c r="B30" s="7">
        <v>3</v>
      </c>
      <c r="C30" s="7" t="str">
        <v>Sarai Daniela</v>
      </c>
      <c r="D30" s="7" t="str">
        <v>daniela.cabrera@altoqi.com.br</v>
      </c>
      <c r="E30" s="7" t="str">
        <v>GD</v>
      </c>
      <c r="F30" s="7" t="str">
        <v>Consultor</v>
      </c>
      <c r="G30" s="7">
        <v>0</v>
      </c>
      <c r="H30" s="7">
        <v>0</v>
      </c>
      <c r="I30" s="20">
        <f>IF(F30="Gestor",SUMIFS(I:I,A:A,A30,B:B,B30,G:G,D30),
SUMIFS('Realizado GD'!D:D,'Realizado GD'!A:A,A30,'Realizado GD'!B:B,B30,'Realizado GD'!C:C,D30))</f>
        <v>1</v>
      </c>
      <c r="J30" s="7">
        <f>SUMIFS(Metas!K:K,Metas!A:A,A30,Metas!B:B,B30,Metas!D:D,D30,Metas!H:H,H30)</f>
        <v>0</v>
      </c>
      <c r="K30" s="10">
        <f t="shared" si="15"/>
        <v>0</v>
      </c>
      <c r="L30" s="15">
        <f>MAX(_xlfn.MAXIFS(Parâmetros!O:O,Parâmetros!A:A,A30,Parâmetros!B:B,B30,Parâmetros!D:D,D30,Parâmetros!M:M,"&lt;="&amp;K30),_xlfn.MAXIFS(Parâmetros!L:L,Parâmetros!A:A,A30,Parâmetros!B:B,B30,Parâmetros!D:D,D30,Parâmetros!J:J,"&lt;="&amp;K30),_xlfn.MAXIFS(Parâmetros!I:I,Parâmetros!A:A,A30,Parâmetros!B:B,B30,Parâmetros!D:D,D30,Parâmetros!E:E,E30,Parâmetros!G:G,"&lt;="&amp;K30),0)</f>
        <v>0</v>
      </c>
      <c r="M30" s="9">
        <f>MAX(_xlfn.MAXIFS(Parâmetros!Q:Q,Parâmetros!A:A,A30,Parâmetros!B:B,B30,Parâmetros!D:D,D30,Parâmetros!E:E,E30,Parâmetros!P:P,"&lt;="&amp;K30),
_xlfn.MAXIFS(Parâmetros!S:S,Parâmetros!A:A,A30,Parâmetros!B:B,B30,Parâmetros!D:D,D30,Parâmetros!E:E,E30,Parâmetros!R:R,"&lt;="&amp;K30),
_xlfn.MAXIFS(Parâmetros!U:U,Parâmetros!A:A,A30,Parâmetros!B:B,B30,Parâmetros!D:D,D30,Parâmetros!E:E,E30,Parâmetros!T:T,"&lt;="&amp;K30),1) * IF(K30 &gt;= SUMIFS(Parâmetros!G:G,Parâmetros!A:A,A30,Parâmetros!B:B,B30,Parâmetros!D:D,D30,Parâmetros!E:E,E30),1,0)</f>
        <v>0</v>
      </c>
      <c r="N30" s="16">
        <f t="shared" si="16"/>
        <v>0</v>
      </c>
      <c r="O30" s="16">
        <f t="shared" si="17"/>
        <v>0</v>
      </c>
      <c r="P30" s="20">
        <f t="shared" si="18"/>
        <v>1</v>
      </c>
      <c r="Q30" s="7">
        <f t="shared" si="19"/>
        <v>0</v>
      </c>
      <c r="R30" s="90">
        <f t="shared" si="20"/>
        <v>0</v>
      </c>
      <c r="S30" s="7">
        <f t="shared" si="21"/>
        <v>1734</v>
      </c>
      <c r="T30" s="7">
        <f t="shared" si="22"/>
        <v>1692.32</v>
      </c>
      <c r="U30" s="90">
        <f t="shared" si="23"/>
        <v>1.0246289117897325</v>
      </c>
      <c r="V30" s="93" t="str">
        <f t="shared" si="24"/>
        <v/>
      </c>
      <c r="W30" s="88" t="str">
        <f>IF(OR(B30=3,B30=6,B30=9,B30=12),
IF(AND(U30&gt;=1,R30&gt;=SUMIFS(Parâmetros!G:G,Parâmetros!A:A,A30,Parâmetros!B:B,B30,Parâmetros!D:D,'Comissões GD'!D30)),R30*0.3,""),"")</f>
        <v/>
      </c>
    </row>
    <row r="31" spans="1:23">
      <c r="A31" s="7">
        <v>2026</v>
      </c>
      <c r="B31" s="7">
        <v>3</v>
      </c>
      <c r="C31" s="7" t="str">
        <v>Vanessa Sousa</v>
      </c>
      <c r="D31" s="7" t="str">
        <v>vanessa.sousa@altoqi.com.br</v>
      </c>
      <c r="E31" s="7" t="str">
        <v>GD</v>
      </c>
      <c r="F31" s="7" t="str">
        <v>Consultor</v>
      </c>
      <c r="G31" s="7" t="str">
        <v>andre.cardoso@altoqi.com.br</v>
      </c>
      <c r="H31" s="7" t="str">
        <v>Opps</v>
      </c>
      <c r="I31" s="20">
        <f>IF(F31="Gestor",SUMIFS(I:I,A:A,A31,B:B,B31,G:G,D31),
SUMIFS('Realizado GD'!D:D,'Realizado GD'!A:A,A31,'Realizado GD'!B:B,B31,'Realizado GD'!C:C,D31))</f>
        <v>26</v>
      </c>
      <c r="J31" s="7">
        <f>SUMIFS(Metas!K:K,Metas!A:A,A31,Metas!B:B,B31,Metas!D:D,D31,Metas!H:H,H31)</f>
        <v>36</v>
      </c>
      <c r="K31" s="10">
        <f t="shared" ref="K31" si="25">IFERROR(I31/J31,0)</f>
        <v>0.72222222222222221</v>
      </c>
      <c r="L31" s="15">
        <f>MAX(_xlfn.MAXIFS(Parâmetros!O:O,Parâmetros!A:A,A31,Parâmetros!B:B,B31,Parâmetros!D:D,D31,Parâmetros!M:M,"&lt;="&amp;K31),_xlfn.MAXIFS(Parâmetros!L:L,Parâmetros!A:A,A31,Parâmetros!B:B,B31,Parâmetros!D:D,D31,Parâmetros!J:J,"&lt;="&amp;K31),_xlfn.MAXIFS(Parâmetros!I:I,Parâmetros!A:A,A31,Parâmetros!B:B,B31,Parâmetros!D:D,D31,Parâmetros!E:E,E31,Parâmetros!G:G,"&lt;="&amp;K31),0)</f>
        <v>494.99999999999994</v>
      </c>
      <c r="M31" s="9">
        <f>MAX(_xlfn.MAXIFS(Parâmetros!Q:Q,Parâmetros!A:A,A31,Parâmetros!B:B,B31,Parâmetros!D:D,D31,Parâmetros!E:E,E31,Parâmetros!P:P,"&lt;="&amp;K31),
_xlfn.MAXIFS(Parâmetros!S:S,Parâmetros!A:A,A31,Parâmetros!B:B,B31,Parâmetros!D:D,D31,Parâmetros!E:E,E31,Parâmetros!R:R,"&lt;="&amp;K31),
_xlfn.MAXIFS(Parâmetros!U:U,Parâmetros!A:A,A31,Parâmetros!B:B,B31,Parâmetros!D:D,D31,Parâmetros!E:E,E31,Parâmetros!T:T,"&lt;="&amp;K31),1) * IF(K31 &gt;= SUMIFS(Parâmetros!G:G,Parâmetros!A:A,A31,Parâmetros!B:B,B31,Parâmetros!D:D,D31,Parâmetros!E:E,E31),1,0)</f>
        <v>1</v>
      </c>
      <c r="N31" s="16">
        <f t="shared" ref="N31" si="26">L31*M31</f>
        <v>494.99999999999994</v>
      </c>
      <c r="O31" s="16">
        <f t="shared" ref="O31" si="27">N31*K31</f>
        <v>357.49999999999994</v>
      </c>
      <c r="P31" s="20">
        <f t="shared" ref="P31" si="28">IF(OR(B31=3,B31=6,B31=9,B31=12),
SUMIFS(I:I,$A:$A,$A31,$B:$B,"&gt;="&amp;(B31-2),$B:$B,"&lt;="&amp;B31,$D:$D,$D31),"")</f>
        <v>26</v>
      </c>
      <c r="Q31" s="7">
        <f t="shared" ref="Q31" si="29">IF(OR(B31=3,B31=6,B31=9,B31=12),
SUMIFS(J:J,$A:$A,$A31,$B:$B,"&gt;="&amp;(B31-2),$B:$B,"&lt;="&amp;B31,$D:$D,$D31),"")</f>
        <v>36</v>
      </c>
      <c r="R31" s="90">
        <f t="shared" ref="R31" si="30">IFERROR(P31/Q31,0)</f>
        <v>0.72222222222222221</v>
      </c>
      <c r="S31" s="7">
        <f t="shared" ref="S31" si="31">IF(F31="Gestor","",
IF(OR(B31=3,B31=6,B31=9,B31=12),
SUMIFS(I:I,$A:$A,$A31,$B:$B,"&gt;="&amp;(B31-2),$B:$B,"&lt;="&amp;B31,$E:$E,$E31,$F:$F,"&lt;&gt;Gestor"),
""))</f>
        <v>1734</v>
      </c>
      <c r="T31" s="7">
        <f t="shared" ref="T31" si="32">IF(F31="Gestor","",
IF(OR(B31=3,B31=6,B31=9,B31=12),
SUMIFS(J:J,$A:$A,$A31,$B:$B,"&gt;="&amp;(B31-2),$B:$B,"&lt;="&amp;B31,$E:$E,$E31,$F:$F,"&lt;&gt;Gestor"),
""))</f>
        <v>1692.32</v>
      </c>
      <c r="U31" s="90">
        <f t="shared" ref="U31" si="33">IFERROR(S31/T31,0)</f>
        <v>1.0246289117897325</v>
      </c>
      <c r="V31" s="93" t="str">
        <f t="shared" ref="V31" si="34">IF(AND(OR(B31=3,B31=6,B31=9,B31=12),R31&gt;=1),
IF(F31="Gestor",R31*0.6,R31*0.3),"")</f>
        <v/>
      </c>
      <c r="W31" s="88">
        <f>IF(OR(B31=3,B31=6,B31=9,B31=12),
IF(AND(U31&gt;=1,R31&gt;=SUMIFS(Parâmetros!G:G,Parâmetros!A:A,A31,Parâmetros!B:B,B31,Parâmetros!D:D,'Comissões GD'!D31)),R31*0.3,""),"")</f>
        <v>0.21666666666666665</v>
      </c>
    </row>
    <row r="32" spans="1:23">
      <c r="A32" s="7">
        <v>2026</v>
      </c>
      <c r="B32" s="7">
        <v>4</v>
      </c>
      <c r="C32" s="7" t="str">
        <v>Ana Camargo</v>
      </c>
      <c r="D32" s="7" t="str">
        <v>ana.camargo@altoqi.com.br</v>
      </c>
      <c r="E32" s="7" t="str">
        <v>GD</v>
      </c>
      <c r="F32" s="7" t="str">
        <v>Consultor</v>
      </c>
      <c r="G32" s="7" t="str">
        <v>andre.cardoso@altoqi.com.br</v>
      </c>
      <c r="H32" s="7" t="str">
        <v>Opps</v>
      </c>
      <c r="I32" s="20">
        <f>IF(F32="Gestor",SUMIFS(I:I,A:A,A32,B:B,B32,G:G,D32),
SUMIFS('Realizado GD'!D:D,'Realizado GD'!A:A,A32,'Realizado GD'!B:B,B32,'Realizado GD'!C:C,D32))</f>
        <v>93</v>
      </c>
      <c r="J32" s="7">
        <f>SUMIFS(Metas!K:K,Metas!A:A,A32,Metas!B:B,B32,Metas!D:D,D32,Metas!H:H,H32)</f>
        <v>92</v>
      </c>
      <c r="K32" s="10">
        <f t="shared" ref="K32:K40" si="35">IFERROR(I32/J32,0)</f>
        <v>1.0108695652173914</v>
      </c>
      <c r="L32" s="15">
        <f>SUMIFS(Parâmetros!I:I,Parâmetros!A:A,'Comissões GD'!A32,Parâmetros!B:B,'Comissões GD'!B32,Parâmetros!D:D,'Comissões GD'!D32)</f>
        <v>1650</v>
      </c>
      <c r="M32" s="9">
        <f>MAX(_xlfn.MAXIFS(Parâmetros!Q:Q,Parâmetros!A:A,A32,Parâmetros!B:B,B32,Parâmetros!D:D,D32,Parâmetros!E:E,E32,Parâmetros!P:P,"&lt;="&amp;K32),
_xlfn.MAXIFS(Parâmetros!S:S,Parâmetros!A:A,A32,Parâmetros!B:B,B32,Parâmetros!D:D,D32,Parâmetros!E:E,E32,Parâmetros!R:R,"&lt;="&amp;K32),
_xlfn.MAXIFS(Parâmetros!U:U,Parâmetros!A:A,A32,Parâmetros!B:B,B32,Parâmetros!D:D,D32,Parâmetros!E:E,E32,Parâmetros!T:T,"&lt;="&amp;K32),1) * IF(K32 &gt;= SUMIFS(Parâmetros!G:G,Parâmetros!A:A,A32,Parâmetros!B:B,B32,Parâmetros!D:D,D32,Parâmetros!E:E,E32),1,0)</f>
        <v>1.2</v>
      </c>
      <c r="N32" s="16">
        <f t="shared" ref="N32:N40" si="36">L32*M32</f>
        <v>1980</v>
      </c>
      <c r="O32" s="16">
        <f t="shared" ref="O32:O40" si="37">N32*K32</f>
        <v>2001.521739130435</v>
      </c>
      <c r="P32" s="20" t="str">
        <f t="shared" ref="P32:P40" si="38">IF(OR(B32=3,B32=6,B32=9,B32=12),
SUMIFS(I:I,$A:$A,$A32,$B:$B,"&gt;="&amp;(B32-2),$B:$B,"&lt;="&amp;B32,$D:$D,$D32),"")</f>
        <v/>
      </c>
      <c r="Q32" s="7" t="str">
        <f t="shared" ref="Q32:Q40" si="39">IF(OR(B32=3,B32=6,B32=9,B32=12),
SUMIFS(J:J,$A:$A,$A32,$B:$B,"&gt;="&amp;(B32-2),$B:$B,"&lt;="&amp;B32,$D:$D,$D32),"")</f>
        <v/>
      </c>
      <c r="R32" s="90">
        <f t="shared" ref="R32:R40" si="40">IFERROR(P32/Q32,0)</f>
        <v>0</v>
      </c>
      <c r="S32" s="7" t="str">
        <f t="shared" ref="S32:S40" si="41">IF(F32="Gestor","",
IF(OR(B32=3,B32=6,B32=9,B32=12),
SUMIFS(I:I,$A:$A,$A32,$B:$B,"&gt;="&amp;(B32-2),$B:$B,"&lt;="&amp;B32,$E:$E,$E32,$F:$F,"&lt;&gt;Gestor"),
""))</f>
        <v/>
      </c>
      <c r="T32" s="7" t="str">
        <f t="shared" ref="T32:T40" si="42">IF(F32="Gestor","",
IF(OR(B32=3,B32=6,B32=9,B32=12),
SUMIFS(J:J,$A:$A,$A32,$B:$B,"&gt;="&amp;(B32-2),$B:$B,"&lt;="&amp;B32,$E:$E,$E32,$F:$F,"&lt;&gt;Gestor"),
""))</f>
        <v/>
      </c>
      <c r="U32" s="90">
        <f t="shared" ref="U32:U40" si="43">IFERROR(S32/T32,0)</f>
        <v>0</v>
      </c>
      <c r="V32" s="93" t="str">
        <f t="shared" ref="V32:V40" si="44">IF(AND(OR(B32=3,B32=6,B32=9,B32=12),R32&gt;=1),
IF(F32="Gestor",R32*0.6,R32*0.3),"")</f>
        <v/>
      </c>
      <c r="W32" s="88" t="str">
        <f>IF(OR(B32=3,B32=6,B32=9,B32=12),
IF(AND(U32&gt;=1,R32&gt;=SUMIFS(Parâmetros!G:G,Parâmetros!A:A,A32,Parâmetros!B:B,B32,Parâmetros!D:D,'Comissões GD'!D32)),R32*0.3,""),"")</f>
        <v/>
      </c>
    </row>
    <row r="33" spans="1:23">
      <c r="A33" s="7">
        <v>2026</v>
      </c>
      <c r="B33" s="7">
        <v>4</v>
      </c>
      <c r="C33" s="7" t="str">
        <v>André Cardoso</v>
      </c>
      <c r="D33" s="7" t="str">
        <v>andre.cardoso@altoqi.com.br</v>
      </c>
      <c r="E33" s="7" t="str">
        <v>GD</v>
      </c>
      <c r="F33" s="7" t="str">
        <v>Gestor</v>
      </c>
      <c r="G33" s="7">
        <v>0</v>
      </c>
      <c r="H33" s="7" t="str">
        <v>Opps</v>
      </c>
      <c r="I33" s="20">
        <f>IF(F33="Gestor",SUMIFS(I:I,A:A,A33,B:B,B33,G:G,D33),
SUMIFS('Realizado GD'!D:D,'Realizado GD'!A:A,A33,'Realizado GD'!B:B,B33,'Realizado GD'!C:C,D33))</f>
        <v>504</v>
      </c>
      <c r="J33" s="7">
        <f>SUMIFS(Metas!K:K,Metas!A:A,A33,Metas!B:B,B33,Metas!D:D,D33,Metas!H:H,H33)</f>
        <v>620</v>
      </c>
      <c r="K33" s="10">
        <f t="shared" si="35"/>
        <v>0.81290322580645158</v>
      </c>
      <c r="L33" s="15">
        <f>SUMIFS(Parâmetros!I:I,Parâmetros!A:A,'Comissões GD'!A33,Parâmetros!B:B,'Comissões GD'!B33,Parâmetros!D:D,'Comissões GD'!D33)</f>
        <v>3360</v>
      </c>
      <c r="M33" s="9">
        <f>MAX(_xlfn.MAXIFS(Parâmetros!Q:Q,Parâmetros!A:A,A33,Parâmetros!B:B,B33,Parâmetros!D:D,D33,Parâmetros!E:E,E33,Parâmetros!P:P,"&lt;="&amp;K33),
_xlfn.MAXIFS(Parâmetros!S:S,Parâmetros!A:A,A33,Parâmetros!B:B,B33,Parâmetros!D:D,D33,Parâmetros!E:E,E33,Parâmetros!R:R,"&lt;="&amp;K33),
_xlfn.MAXIFS(Parâmetros!U:U,Parâmetros!A:A,A33,Parâmetros!B:B,B33,Parâmetros!D:D,D33,Parâmetros!E:E,E33,Parâmetros!T:T,"&lt;="&amp;K33),1) * IF(K33 &gt;= SUMIFS(Parâmetros!G:G,Parâmetros!A:A,A33,Parâmetros!B:B,B33,Parâmetros!D:D,D33,Parâmetros!E:E,E33),1,0)</f>
        <v>1</v>
      </c>
      <c r="N33" s="16">
        <f t="shared" si="36"/>
        <v>3360</v>
      </c>
      <c r="O33" s="16">
        <f t="shared" si="37"/>
        <v>2731.3548387096771</v>
      </c>
      <c r="P33" s="20" t="str">
        <f t="shared" si="38"/>
        <v/>
      </c>
      <c r="Q33" s="7" t="str">
        <f t="shared" si="39"/>
        <v/>
      </c>
      <c r="R33" s="90">
        <f t="shared" si="40"/>
        <v>0</v>
      </c>
      <c r="S33" s="7" t="str">
        <f t="shared" si="41"/>
        <v/>
      </c>
      <c r="T33" s="7" t="str">
        <f t="shared" si="42"/>
        <v/>
      </c>
      <c r="U33" s="90">
        <f t="shared" si="43"/>
        <v>0</v>
      </c>
      <c r="V33" s="93" t="str">
        <f t="shared" si="44"/>
        <v/>
      </c>
      <c r="W33" s="88" t="str">
        <f>IF(OR(B33=3,B33=6,B33=9,B33=12),
IF(AND(U33&gt;=1,R33&gt;=SUMIFS(Parâmetros!G:G,Parâmetros!A:A,A33,Parâmetros!B:B,B33,Parâmetros!D:D,'Comissões GD'!D33)),R33*0.3,""),"")</f>
        <v/>
      </c>
    </row>
    <row r="34" spans="1:23">
      <c r="A34" s="7">
        <v>2026</v>
      </c>
      <c r="B34" s="7">
        <v>4</v>
      </c>
      <c r="C34" s="7" t="str">
        <v>Arthur Treivisol</v>
      </c>
      <c r="D34" s="7" t="str">
        <v>arthur.trevisiol@altoqi.com.br</v>
      </c>
      <c r="E34" s="7" t="str">
        <v>GD</v>
      </c>
      <c r="F34" s="7" t="str">
        <v>Consultor</v>
      </c>
      <c r="G34" s="7" t="str">
        <v>andre.cardoso@altoqi.com.br</v>
      </c>
      <c r="H34" s="7" t="str">
        <v>Opps</v>
      </c>
      <c r="I34" s="20">
        <f>IF(F34="Gestor",SUMIFS(I:I,A:A,A34,B:B,B34,G:G,D34),
SUMIFS('Realizado GD'!D:D,'Realizado GD'!A:A,A34,'Realizado GD'!B:B,B34,'Realizado GD'!C:C,D34))</f>
        <v>51</v>
      </c>
      <c r="J34" s="7">
        <f>SUMIFS(Metas!K:K,Metas!A:A,A34,Metas!B:B,B34,Metas!D:D,D34,Metas!H:H,H34)</f>
        <v>66.000799999999998</v>
      </c>
      <c r="K34" s="10">
        <f t="shared" si="35"/>
        <v>0.7727179064496188</v>
      </c>
      <c r="L34" s="15">
        <f>SUMIFS(Parâmetros!I:I,Parâmetros!A:A,'Comissões GD'!A34,Parâmetros!B:B,'Comissões GD'!B34,Parâmetros!D:D,'Comissões GD'!D34)</f>
        <v>1650</v>
      </c>
      <c r="M34" s="9">
        <f>MAX(_xlfn.MAXIFS(Parâmetros!Q:Q,Parâmetros!A:A,A34,Parâmetros!B:B,B34,Parâmetros!D:D,D34,Parâmetros!E:E,E34,Parâmetros!P:P,"&lt;="&amp;K34),
_xlfn.MAXIFS(Parâmetros!S:S,Parâmetros!A:A,A34,Parâmetros!B:B,B34,Parâmetros!D:D,D34,Parâmetros!E:E,E34,Parâmetros!R:R,"&lt;="&amp;K34),
_xlfn.MAXIFS(Parâmetros!U:U,Parâmetros!A:A,A34,Parâmetros!B:B,B34,Parâmetros!D:D,D34,Parâmetros!E:E,E34,Parâmetros!T:T,"&lt;="&amp;K34),1) * IF(K34 &gt;= SUMIFS(Parâmetros!G:G,Parâmetros!A:A,A34,Parâmetros!B:B,B34,Parâmetros!D:D,D34,Parâmetros!E:E,E34),1,0)</f>
        <v>1</v>
      </c>
      <c r="N34" s="16">
        <f t="shared" si="36"/>
        <v>1650</v>
      </c>
      <c r="O34" s="16">
        <f t="shared" si="37"/>
        <v>1274.9845456418709</v>
      </c>
      <c r="P34" s="20" t="str">
        <f t="shared" si="38"/>
        <v/>
      </c>
      <c r="Q34" s="7" t="str">
        <f t="shared" si="39"/>
        <v/>
      </c>
      <c r="R34" s="90">
        <f t="shared" si="40"/>
        <v>0</v>
      </c>
      <c r="S34" s="7" t="str">
        <f t="shared" si="41"/>
        <v/>
      </c>
      <c r="T34" s="7" t="str">
        <f t="shared" si="42"/>
        <v/>
      </c>
      <c r="U34" s="90">
        <f t="shared" si="43"/>
        <v>0</v>
      </c>
      <c r="V34" s="93" t="str">
        <f t="shared" si="44"/>
        <v/>
      </c>
      <c r="W34" s="88" t="str">
        <f>IF(OR(B34=3,B34=6,B34=9,B34=12),
IF(AND(U34&gt;=1,R34&gt;=SUMIFS(Parâmetros!G:G,Parâmetros!A:A,A34,Parâmetros!B:B,B34,Parâmetros!D:D,'Comissões GD'!D34)),R34*0.3,""),"")</f>
        <v/>
      </c>
    </row>
    <row r="35" spans="1:23">
      <c r="A35" s="7">
        <v>2026</v>
      </c>
      <c r="B35" s="7">
        <v>4</v>
      </c>
      <c r="C35" s="7" t="str">
        <v>Elisa Nickel Costa</v>
      </c>
      <c r="D35" s="7" t="str">
        <v>elisa.costa@altoqi.com.br</v>
      </c>
      <c r="E35" s="7" t="str">
        <v>GD</v>
      </c>
      <c r="F35" s="7" t="str">
        <v>Consultor</v>
      </c>
      <c r="G35" s="7" t="str">
        <v>andre.cardoso@altoqi.com.br</v>
      </c>
      <c r="H35" s="7" t="str">
        <v>Opps</v>
      </c>
      <c r="I35" s="20">
        <f>IF(F35="Gestor",SUMIFS(I:I,A:A,A35,B:B,B35,G:G,D35),
SUMIFS('Realizado GD'!D:D,'Realizado GD'!A:A,A35,'Realizado GD'!B:B,B35,'Realizado GD'!C:C,D35))</f>
        <v>32</v>
      </c>
      <c r="J35" s="7">
        <f>SUMIFS(Metas!K:K,Metas!A:A,A35,Metas!B:B,B35,Metas!D:D,D35,Metas!H:H,H35)</f>
        <v>27.995600000000003</v>
      </c>
      <c r="K35" s="10">
        <f t="shared" si="35"/>
        <v>1.1430367629198872</v>
      </c>
      <c r="L35" s="15">
        <f>SUMIFS(Parâmetros!I:I,Parâmetros!A:A,'Comissões GD'!A35,Parâmetros!B:B,'Comissões GD'!B35,Parâmetros!D:D,'Comissões GD'!D35)</f>
        <v>1650</v>
      </c>
      <c r="M35" s="9">
        <f>MAX(_xlfn.MAXIFS(Parâmetros!Q:Q,Parâmetros!A:A,A35,Parâmetros!B:B,B35,Parâmetros!D:D,D35,Parâmetros!E:E,E35,Parâmetros!P:P,"&lt;="&amp;K35),
_xlfn.MAXIFS(Parâmetros!S:S,Parâmetros!A:A,A35,Parâmetros!B:B,B35,Parâmetros!D:D,D35,Parâmetros!E:E,E35,Parâmetros!R:R,"&lt;="&amp;K35),
_xlfn.MAXIFS(Parâmetros!U:U,Parâmetros!A:A,A35,Parâmetros!B:B,B35,Parâmetros!D:D,D35,Parâmetros!E:E,E35,Parâmetros!T:T,"&lt;="&amp;K35),1) * IF(K35 &gt;= SUMIFS(Parâmetros!G:G,Parâmetros!A:A,A35,Parâmetros!B:B,B35,Parâmetros!D:D,D35,Parâmetros!E:E,E35),1,0)</f>
        <v>1.2</v>
      </c>
      <c r="N35" s="16">
        <f t="shared" si="36"/>
        <v>1980</v>
      </c>
      <c r="O35" s="16">
        <f t="shared" si="37"/>
        <v>2263.2127905813768</v>
      </c>
      <c r="P35" s="20" t="str">
        <f t="shared" si="38"/>
        <v/>
      </c>
      <c r="Q35" s="7" t="str">
        <f t="shared" si="39"/>
        <v/>
      </c>
      <c r="R35" s="90">
        <f t="shared" si="40"/>
        <v>0</v>
      </c>
      <c r="S35" s="7" t="str">
        <f t="shared" si="41"/>
        <v/>
      </c>
      <c r="T35" s="7" t="str">
        <f t="shared" si="42"/>
        <v/>
      </c>
      <c r="U35" s="90">
        <f t="shared" si="43"/>
        <v>0</v>
      </c>
      <c r="V35" s="93" t="str">
        <f t="shared" si="44"/>
        <v/>
      </c>
      <c r="W35" s="88" t="str">
        <f>IF(OR(B35=3,B35=6,B35=9,B35=12),
IF(AND(U35&gt;=1,R35&gt;=SUMIFS(Parâmetros!G:G,Parâmetros!A:A,A35,Parâmetros!B:B,B35,Parâmetros!D:D,'Comissões GD'!D35)),R35*0.3,""),"")</f>
        <v/>
      </c>
    </row>
    <row r="36" spans="1:23">
      <c r="A36" s="7">
        <v>2026</v>
      </c>
      <c r="B36" s="7">
        <v>4</v>
      </c>
      <c r="C36" s="7" t="str">
        <v>Guilherme Marcolino</v>
      </c>
      <c r="D36" s="7" t="str">
        <v>guilherme.marcolino@altoqi.com.br</v>
      </c>
      <c r="E36" s="7" t="str">
        <v>GD</v>
      </c>
      <c r="F36" s="7" t="str">
        <v>Consultor</v>
      </c>
      <c r="G36" s="7" t="str">
        <v>andre.cardoso@altoqi.com.br</v>
      </c>
      <c r="H36" s="7" t="str">
        <v>Opps</v>
      </c>
      <c r="I36" s="20">
        <f>IF(F36="Gestor",SUMIFS(I:I,A:A,A36,B:B,B36,G:G,D36),
SUMIFS('Realizado GD'!D:D,'Realizado GD'!A:A,A36,'Realizado GD'!B:B,B36,'Realizado GD'!C:C,D36))</f>
        <v>21</v>
      </c>
      <c r="J36" s="7">
        <f>SUMIFS(Metas!K:K,Metas!A:A,A36,Metas!B:B,B36,Metas!D:D,D36,Metas!H:H,H36)</f>
        <v>27.995600000000003</v>
      </c>
      <c r="K36" s="10">
        <f t="shared" si="35"/>
        <v>0.75011787566617605</v>
      </c>
      <c r="L36" s="15">
        <f>SUMIFS(Parâmetros!I:I,Parâmetros!A:A,'Comissões GD'!A36,Parâmetros!B:B,'Comissões GD'!B36,Parâmetros!D:D,'Comissões GD'!D36)</f>
        <v>1980</v>
      </c>
      <c r="M36" s="9">
        <f>MAX(_xlfn.MAXIFS(Parâmetros!Q:Q,Parâmetros!A:A,A36,Parâmetros!B:B,B36,Parâmetros!D:D,D36,Parâmetros!E:E,E36,Parâmetros!P:P,"&lt;="&amp;K36),
_xlfn.MAXIFS(Parâmetros!S:S,Parâmetros!A:A,A36,Parâmetros!B:B,B36,Parâmetros!D:D,D36,Parâmetros!E:E,E36,Parâmetros!R:R,"&lt;="&amp;K36),
_xlfn.MAXIFS(Parâmetros!U:U,Parâmetros!A:A,A36,Parâmetros!B:B,B36,Parâmetros!D:D,D36,Parâmetros!E:E,E36,Parâmetros!T:T,"&lt;="&amp;K36),1) * IF(K36 &gt;= SUMIFS(Parâmetros!G:G,Parâmetros!A:A,A36,Parâmetros!B:B,B36,Parâmetros!D:D,D36,Parâmetros!E:E,E36),1,0)</f>
        <v>1</v>
      </c>
      <c r="N36" s="16">
        <f t="shared" si="36"/>
        <v>1980</v>
      </c>
      <c r="O36" s="16">
        <f t="shared" si="37"/>
        <v>1485.2333938190286</v>
      </c>
      <c r="P36" s="20" t="str">
        <f t="shared" si="38"/>
        <v/>
      </c>
      <c r="Q36" s="7" t="str">
        <f t="shared" si="39"/>
        <v/>
      </c>
      <c r="R36" s="90">
        <f t="shared" si="40"/>
        <v>0</v>
      </c>
      <c r="S36" s="7" t="str">
        <f t="shared" si="41"/>
        <v/>
      </c>
      <c r="T36" s="7" t="str">
        <f t="shared" si="42"/>
        <v/>
      </c>
      <c r="U36" s="90">
        <f t="shared" si="43"/>
        <v>0</v>
      </c>
      <c r="V36" s="93" t="str">
        <f t="shared" si="44"/>
        <v/>
      </c>
      <c r="W36" s="88" t="str">
        <f>IF(OR(B36=3,B36=6,B36=9,B36=12),
IF(AND(U36&gt;=1,R36&gt;=SUMIFS(Parâmetros!G:G,Parâmetros!A:A,A36,Parâmetros!B:B,B36,Parâmetros!D:D,'Comissões GD'!D36)),R36*0.3,""),"")</f>
        <v/>
      </c>
    </row>
    <row r="37" spans="1:23">
      <c r="A37" s="7">
        <v>2026</v>
      </c>
      <c r="B37" s="7">
        <v>4</v>
      </c>
      <c r="C37" s="7" t="str">
        <v>Luiz Arthur Falcão Senna</v>
      </c>
      <c r="D37" s="7" t="str">
        <v>luiz.senna@altoqi.com.br</v>
      </c>
      <c r="E37" s="7" t="str">
        <v>GD</v>
      </c>
      <c r="F37" s="7" t="str">
        <v>Consultor</v>
      </c>
      <c r="G37" s="7" t="str">
        <v>andre.cardoso@altoqi.com.br</v>
      </c>
      <c r="H37" s="7" t="str">
        <v>Opps</v>
      </c>
      <c r="I37" s="20">
        <f>IF(F37="Gestor",SUMIFS(I:I,A:A,A37,B:B,B37,G:G,D37),
SUMIFS('Realizado GD'!D:D,'Realizado GD'!A:A,A37,'Realizado GD'!B:B,B37,'Realizado GD'!C:C,D37))</f>
        <v>86</v>
      </c>
      <c r="J37" s="7">
        <f>SUMIFS(Metas!K:K,Metas!A:A,A37,Metas!B:B,B37,Metas!D:D,D37,Metas!H:H,H37)</f>
        <v>79</v>
      </c>
      <c r="K37" s="10">
        <f t="shared" si="35"/>
        <v>1.0886075949367089</v>
      </c>
      <c r="L37" s="15">
        <f>SUMIFS(Parâmetros!I:I,Parâmetros!A:A,'Comissões GD'!A37,Parâmetros!B:B,'Comissões GD'!B37,Parâmetros!D:D,'Comissões GD'!D37)</f>
        <v>1980</v>
      </c>
      <c r="M37" s="9">
        <f>MAX(_xlfn.MAXIFS(Parâmetros!Q:Q,Parâmetros!A:A,A37,Parâmetros!B:B,B37,Parâmetros!D:D,D37,Parâmetros!E:E,E37,Parâmetros!P:P,"&lt;="&amp;K37),
_xlfn.MAXIFS(Parâmetros!S:S,Parâmetros!A:A,A37,Parâmetros!B:B,B37,Parâmetros!D:D,D37,Parâmetros!E:E,E37,Parâmetros!R:R,"&lt;="&amp;K37),
_xlfn.MAXIFS(Parâmetros!U:U,Parâmetros!A:A,A37,Parâmetros!B:B,B37,Parâmetros!D:D,D37,Parâmetros!E:E,E37,Parâmetros!T:T,"&lt;="&amp;K37),1) * IF(K37 &gt;= SUMIFS(Parâmetros!G:G,Parâmetros!A:A,A37,Parâmetros!B:B,B37,Parâmetros!D:D,D37,Parâmetros!E:E,E37),1,0)</f>
        <v>1.2</v>
      </c>
      <c r="N37" s="16">
        <f t="shared" si="36"/>
        <v>2376</v>
      </c>
      <c r="O37" s="16">
        <f t="shared" si="37"/>
        <v>2586.5316455696202</v>
      </c>
      <c r="P37" s="20" t="str">
        <f t="shared" si="38"/>
        <v/>
      </c>
      <c r="Q37" s="7" t="str">
        <f t="shared" si="39"/>
        <v/>
      </c>
      <c r="R37" s="90">
        <f t="shared" si="40"/>
        <v>0</v>
      </c>
      <c r="S37" s="7" t="str">
        <f t="shared" si="41"/>
        <v/>
      </c>
      <c r="T37" s="7" t="str">
        <f t="shared" si="42"/>
        <v/>
      </c>
      <c r="U37" s="90">
        <f t="shared" si="43"/>
        <v>0</v>
      </c>
      <c r="V37" s="93" t="str">
        <f t="shared" si="44"/>
        <v/>
      </c>
      <c r="W37" s="88" t="str">
        <f>IF(OR(B37=3,B37=6,B37=9,B37=12),
IF(AND(U37&gt;=1,R37&gt;=SUMIFS(Parâmetros!G:G,Parâmetros!A:A,A37,Parâmetros!B:B,B37,Parâmetros!D:D,'Comissões GD'!D37)),R37*0.3,""),"")</f>
        <v/>
      </c>
    </row>
    <row r="38" spans="1:23">
      <c r="A38" s="7">
        <v>2026</v>
      </c>
      <c r="B38" s="7">
        <v>4</v>
      </c>
      <c r="C38" s="7" t="str">
        <v>Maria Eduarda Barbosa</v>
      </c>
      <c r="D38" s="7" t="str">
        <v>maria.eduarda@altoqi.com.br</v>
      </c>
      <c r="E38" s="7" t="str">
        <v>GD</v>
      </c>
      <c r="F38" s="7" t="str">
        <v>Consultor</v>
      </c>
      <c r="G38" s="7" t="str">
        <v>andre.cardoso@altoqi.com.br</v>
      </c>
      <c r="H38" s="7" t="str">
        <v>Opps</v>
      </c>
      <c r="I38" s="20">
        <f>IF(F38="Gestor",SUMIFS(I:I,A:A,A38,B:B,B38,G:G,D38),
SUMIFS('Realizado GD'!D:D,'Realizado GD'!A:A,A38,'Realizado GD'!B:B,B38,'Realizado GD'!C:C,D38))</f>
        <v>72</v>
      </c>
      <c r="J38" s="7">
        <f>SUMIFS(Metas!K:K,Metas!A:A,A38,Metas!B:B,B38,Metas!D:D,D38,Metas!H:H,H38)</f>
        <v>92</v>
      </c>
      <c r="K38" s="10">
        <f t="shared" si="35"/>
        <v>0.78260869565217395</v>
      </c>
      <c r="L38" s="15">
        <f>SUMIFS(Parâmetros!I:I,Parâmetros!A:A,'Comissões GD'!A38,Parâmetros!B:B,'Comissões GD'!B38,Parâmetros!D:D,'Comissões GD'!D38)</f>
        <v>1650</v>
      </c>
      <c r="M38" s="9">
        <f>MAX(_xlfn.MAXIFS(Parâmetros!Q:Q,Parâmetros!A:A,A38,Parâmetros!B:B,B38,Parâmetros!D:D,D38,Parâmetros!E:E,E38,Parâmetros!P:P,"&lt;="&amp;K38),
_xlfn.MAXIFS(Parâmetros!S:S,Parâmetros!A:A,A38,Parâmetros!B:B,B38,Parâmetros!D:D,D38,Parâmetros!E:E,E38,Parâmetros!R:R,"&lt;="&amp;K38),
_xlfn.MAXIFS(Parâmetros!U:U,Parâmetros!A:A,A38,Parâmetros!B:B,B38,Parâmetros!D:D,D38,Parâmetros!E:E,E38,Parâmetros!T:T,"&lt;="&amp;K38),1) * IF(K38 &gt;= SUMIFS(Parâmetros!G:G,Parâmetros!A:A,A38,Parâmetros!B:B,B38,Parâmetros!D:D,D38,Parâmetros!E:E,E38),1,0)</f>
        <v>1</v>
      </c>
      <c r="N38" s="16">
        <f t="shared" si="36"/>
        <v>1650</v>
      </c>
      <c r="O38" s="16">
        <f t="shared" si="37"/>
        <v>1291.304347826087</v>
      </c>
      <c r="P38" s="20" t="str">
        <f t="shared" si="38"/>
        <v/>
      </c>
      <c r="Q38" s="7" t="str">
        <f t="shared" si="39"/>
        <v/>
      </c>
      <c r="R38" s="90">
        <f t="shared" si="40"/>
        <v>0</v>
      </c>
      <c r="S38" s="7" t="str">
        <f t="shared" si="41"/>
        <v/>
      </c>
      <c r="T38" s="7" t="str">
        <f t="shared" si="42"/>
        <v/>
      </c>
      <c r="U38" s="90">
        <f t="shared" si="43"/>
        <v>0</v>
      </c>
      <c r="V38" s="93" t="str">
        <f t="shared" si="44"/>
        <v/>
      </c>
      <c r="W38" s="88" t="str">
        <f>IF(OR(B38=3,B38=6,B38=9,B38=12),
IF(AND(U38&gt;=1,R38&gt;=SUMIFS(Parâmetros!G:G,Parâmetros!A:A,A38,Parâmetros!B:B,B38,Parâmetros!D:D,'Comissões GD'!D38)),R38*0.3,""),"")</f>
        <v/>
      </c>
    </row>
    <row r="39" spans="1:23">
      <c r="A39" s="7">
        <v>2026</v>
      </c>
      <c r="B39" s="7">
        <v>4</v>
      </c>
      <c r="C39" s="7" t="str">
        <v>Matheus Fiebig</v>
      </c>
      <c r="D39" s="7" t="str">
        <v>matheus.lima@altoqi.com.br</v>
      </c>
      <c r="E39" s="7" t="str">
        <v>GD</v>
      </c>
      <c r="F39" s="7" t="str">
        <v>Consultor</v>
      </c>
      <c r="G39" s="7" t="str">
        <v>andre.cardoso@altoqi.com.br</v>
      </c>
      <c r="H39" s="7" t="str">
        <v>Opps</v>
      </c>
      <c r="I39" s="20">
        <f>IF(F39="Gestor",SUMIFS(I:I,A:A,A39,B:B,B39,G:G,D39),
SUMIFS('Realizado GD'!D:D,'Realizado GD'!A:A,A39,'Realizado GD'!B:B,B39,'Realizado GD'!C:C,D39))</f>
        <v>92</v>
      </c>
      <c r="J39" s="7">
        <f>SUMIFS(Metas!K:K,Metas!A:A,A39,Metas!B:B,B39,Metas!D:D,D39,Metas!H:H,H39)</f>
        <v>92</v>
      </c>
      <c r="K39" s="10">
        <f t="shared" si="35"/>
        <v>1</v>
      </c>
      <c r="L39" s="15">
        <f>SUMIFS(Parâmetros!I:I,Parâmetros!A:A,'Comissões GD'!A39,Parâmetros!B:B,'Comissões GD'!B39,Parâmetros!D:D,'Comissões GD'!D39)</f>
        <v>1650</v>
      </c>
      <c r="M39" s="9">
        <f>MAX(_xlfn.MAXIFS(Parâmetros!Q:Q,Parâmetros!A:A,A39,Parâmetros!B:B,B39,Parâmetros!D:D,D39,Parâmetros!E:E,E39,Parâmetros!P:P,"&lt;="&amp;K39),
_xlfn.MAXIFS(Parâmetros!S:S,Parâmetros!A:A,A39,Parâmetros!B:B,B39,Parâmetros!D:D,D39,Parâmetros!E:E,E39,Parâmetros!R:R,"&lt;="&amp;K39),
_xlfn.MAXIFS(Parâmetros!U:U,Parâmetros!A:A,A39,Parâmetros!B:B,B39,Parâmetros!D:D,D39,Parâmetros!E:E,E39,Parâmetros!T:T,"&lt;="&amp;K39),1) * IF(K39 &gt;= SUMIFS(Parâmetros!G:G,Parâmetros!A:A,A39,Parâmetros!B:B,B39,Parâmetros!D:D,D39,Parâmetros!E:E,E39),1,0)</f>
        <v>1.2</v>
      </c>
      <c r="N39" s="16">
        <f t="shared" si="36"/>
        <v>1980</v>
      </c>
      <c r="O39" s="16">
        <f t="shared" si="37"/>
        <v>1980</v>
      </c>
      <c r="P39" s="20" t="str">
        <f t="shared" si="38"/>
        <v/>
      </c>
      <c r="Q39" s="7" t="str">
        <f t="shared" si="39"/>
        <v/>
      </c>
      <c r="R39" s="90">
        <f t="shared" si="40"/>
        <v>0</v>
      </c>
      <c r="S39" s="7" t="str">
        <f t="shared" si="41"/>
        <v/>
      </c>
      <c r="T39" s="7" t="str">
        <f t="shared" si="42"/>
        <v/>
      </c>
      <c r="U39" s="90">
        <f t="shared" si="43"/>
        <v>0</v>
      </c>
      <c r="V39" s="93" t="str">
        <f t="shared" si="44"/>
        <v/>
      </c>
      <c r="W39" s="88" t="str">
        <f>IF(OR(B39=3,B39=6,B39=9,B39=12),
IF(AND(U39&gt;=1,R39&gt;=SUMIFS(Parâmetros!G:G,Parâmetros!A:A,A39,Parâmetros!B:B,B39,Parâmetros!D:D,'Comissões GD'!D39)),R39*0.3,""),"")</f>
        <v/>
      </c>
    </row>
    <row r="40" spans="1:23">
      <c r="A40" s="7">
        <v>2026</v>
      </c>
      <c r="B40" s="7">
        <v>4</v>
      </c>
      <c r="C40" s="7" t="str">
        <v>Vanessa Sousa</v>
      </c>
      <c r="D40" s="7" t="str">
        <v>vanessa.sousa@altoqi.com.br</v>
      </c>
      <c r="E40" s="7" t="str">
        <v>GD</v>
      </c>
      <c r="F40" s="7" t="str">
        <v>Consultor</v>
      </c>
      <c r="G40" s="7" t="str">
        <v>andre.cardoso@altoqi.com.br</v>
      </c>
      <c r="H40" s="7" t="str">
        <v>Opps</v>
      </c>
      <c r="I40" s="20">
        <f>IF(F40="Gestor",SUMIFS(I:I,A:A,A40,B:B,B40,G:G,D40),
SUMIFS('Realizado GD'!D:D,'Realizado GD'!A:A,A40,'Realizado GD'!B:B,B40,'Realizado GD'!C:C,D40))</f>
        <v>57</v>
      </c>
      <c r="J40" s="7">
        <f>SUMIFS(Metas!K:K,Metas!A:A,A40,Metas!B:B,B40,Metas!D:D,D40,Metas!H:H,H40)</f>
        <v>69</v>
      </c>
      <c r="K40" s="10">
        <f t="shared" si="35"/>
        <v>0.82608695652173914</v>
      </c>
      <c r="L40" s="15">
        <f>SUMIFS(Parâmetros!I:I,Parâmetros!A:A,'Comissões GD'!A40,Parâmetros!B:B,'Comissões GD'!B40,Parâmetros!D:D,'Comissões GD'!D40)</f>
        <v>1237.5</v>
      </c>
      <c r="M40" s="9">
        <f>MAX(_xlfn.MAXIFS(Parâmetros!Q:Q,Parâmetros!A:A,A40,Parâmetros!B:B,B40,Parâmetros!D:D,D40,Parâmetros!E:E,E40,Parâmetros!P:P,"&lt;="&amp;K40),
_xlfn.MAXIFS(Parâmetros!S:S,Parâmetros!A:A,A40,Parâmetros!B:B,B40,Parâmetros!D:D,D40,Parâmetros!E:E,E40,Parâmetros!R:R,"&lt;="&amp;K40),
_xlfn.MAXIFS(Parâmetros!U:U,Parâmetros!A:A,A40,Parâmetros!B:B,B40,Parâmetros!D:D,D40,Parâmetros!E:E,E40,Parâmetros!T:T,"&lt;="&amp;K40),1) * IF(K40 &gt;= SUMIFS(Parâmetros!G:G,Parâmetros!A:A,A40,Parâmetros!B:B,B40,Parâmetros!D:D,D40,Parâmetros!E:E,E40),1,0)</f>
        <v>1</v>
      </c>
      <c r="N40" s="16">
        <f t="shared" si="36"/>
        <v>1237.5</v>
      </c>
      <c r="O40" s="16">
        <f t="shared" si="37"/>
        <v>1022.2826086956521</v>
      </c>
      <c r="P40" s="20" t="str">
        <f t="shared" si="38"/>
        <v/>
      </c>
      <c r="Q40" s="7" t="str">
        <f t="shared" si="39"/>
        <v/>
      </c>
      <c r="R40" s="90">
        <f t="shared" si="40"/>
        <v>0</v>
      </c>
      <c r="S40" s="7" t="str">
        <f t="shared" si="41"/>
        <v/>
      </c>
      <c r="T40" s="7" t="str">
        <f t="shared" si="42"/>
        <v/>
      </c>
      <c r="U40" s="90">
        <f t="shared" si="43"/>
        <v>0</v>
      </c>
      <c r="V40" s="93" t="str">
        <f t="shared" si="44"/>
        <v/>
      </c>
      <c r="W40" s="88" t="str">
        <f>IF(OR(B40=3,B40=6,B40=9,B40=12),
IF(AND(U40&gt;=1,R40&gt;=SUMIFS(Parâmetros!G:G,Parâmetros!A:A,A40,Parâmetros!B:B,B40,Parâmetros!D:D,'Comissões GD'!D40)),R40*0.3,""),"")</f>
        <v/>
      </c>
    </row>
    <row r="41" spans="1:23">
      <c r="A41" s="7">
        <v>2026</v>
      </c>
      <c r="B41" s="7">
        <v>5</v>
      </c>
      <c r="C41" s="7" t="str">
        <v>Ana Camargo</v>
      </c>
      <c r="D41" s="7" t="str">
        <v>ana.camargo@altoqi.com.br</v>
      </c>
      <c r="E41" s="7" t="str">
        <v>GD</v>
      </c>
      <c r="F41" s="7" t="str">
        <v>Consultor</v>
      </c>
      <c r="G41" s="7" t="str">
        <v>andre.cardoso@altoqi.com.br</v>
      </c>
      <c r="H41" s="7" t="str">
        <v>Opps</v>
      </c>
      <c r="I41" s="20">
        <f>IF(F41="Gestor",SUMIFS(I:I,A:A,A41,B:B,B41,G:G,D41),
SUMIFS('Realizado GD'!D:D,'Realizado GD'!A:A,A41,'Realizado GD'!B:B,B41,'Realizado GD'!C:C,D41))</f>
        <v>67</v>
      </c>
      <c r="J41" s="7">
        <f>SUMIFS(Metas!K:K,Metas!A:A,A41,Metas!B:B,B41,Metas!D:D,D41,Metas!H:H,H41)</f>
        <v>76</v>
      </c>
      <c r="K41" s="10">
        <f t="shared" ref="K41:K49" si="45">IFERROR(I41/J41,0)</f>
        <v>0.88157894736842102</v>
      </c>
      <c r="L41" s="15">
        <f>SUMIFS(Parâmetros!I:I,Parâmetros!A:A,'Comissões GD'!A41,Parâmetros!B:B,'Comissões GD'!B41,Parâmetros!D:D,'Comissões GD'!D41)</f>
        <v>1650</v>
      </c>
      <c r="M41" s="9">
        <f>MAX(_xlfn.MAXIFS(Parâmetros!Q:Q,Parâmetros!A:A,A41,Parâmetros!B:B,B41,Parâmetros!D:D,D41,Parâmetros!E:E,E41,Parâmetros!P:P,"&lt;="&amp;K41),
_xlfn.MAXIFS(Parâmetros!S:S,Parâmetros!A:A,A41,Parâmetros!B:B,B41,Parâmetros!D:D,D41,Parâmetros!E:E,E41,Parâmetros!R:R,"&lt;="&amp;K41),
_xlfn.MAXIFS(Parâmetros!U:U,Parâmetros!A:A,A41,Parâmetros!B:B,B41,Parâmetros!D:D,D41,Parâmetros!E:E,E41,Parâmetros!T:T,"&lt;="&amp;K41),1) * IF(K41 &gt;= SUMIFS(Parâmetros!G:G,Parâmetros!A:A,A41,Parâmetros!B:B,B41,Parâmetros!D:D,D41,Parâmetros!E:E,E41),1,0)</f>
        <v>1</v>
      </c>
      <c r="N41" s="16">
        <f t="shared" ref="N41:N49" si="46">L41*M41</f>
        <v>1650</v>
      </c>
      <c r="O41" s="16">
        <f t="shared" ref="O41:O49" si="47">N41*K41</f>
        <v>1454.6052631578946</v>
      </c>
      <c r="P41" s="20" t="str">
        <f t="shared" ref="P41:P49" si="48">IF(OR(B41=3,B41=6,B41=9,B41=12),
SUMIFS(I:I,$A:$A,$A41,$B:$B,"&gt;="&amp;(B41-2),$B:$B,"&lt;="&amp;B41,$D:$D,$D41),"")</f>
        <v/>
      </c>
      <c r="Q41" s="7" t="str">
        <f t="shared" ref="Q41:Q49" si="49">IF(OR(B41=3,B41=6,B41=9,B41=12),
SUMIFS(J:J,$A:$A,$A41,$B:$B,"&gt;="&amp;(B41-2),$B:$B,"&lt;="&amp;B41,$D:$D,$D41),"")</f>
        <v/>
      </c>
      <c r="R41" s="90">
        <f t="shared" ref="R41:R49" si="50">IFERROR(P41/Q41,0)</f>
        <v>0</v>
      </c>
      <c r="S41" s="7" t="str">
        <f t="shared" ref="S41:S49" si="51">IF(F41="Gestor","",
IF(OR(B41=3,B41=6,B41=9,B41=12),
SUMIFS(I:I,$A:$A,$A41,$B:$B,"&gt;="&amp;(B41-2),$B:$B,"&lt;="&amp;B41,$E:$E,$E41,$F:$F,"&lt;&gt;Gestor"),
""))</f>
        <v/>
      </c>
      <c r="T41" s="7" t="str">
        <f t="shared" ref="T41:T49" si="52">IF(F41="Gestor","",
IF(OR(B41=3,B41=6,B41=9,B41=12),
SUMIFS(J:J,$A:$A,$A41,$B:$B,"&gt;="&amp;(B41-2),$B:$B,"&lt;="&amp;B41,$E:$E,$E41,$F:$F,"&lt;&gt;Gestor"),
""))</f>
        <v/>
      </c>
      <c r="U41" s="90">
        <f t="shared" ref="U41:U49" si="53">IFERROR(S41/T41,0)</f>
        <v>0</v>
      </c>
      <c r="V41" s="93" t="str">
        <f t="shared" ref="V41:V49" si="54">IF(AND(OR(B41=3,B41=6,B41=9,B41=12),R41&gt;=1),
IF(F41="Gestor",R41*0.6,R41*0.3),"")</f>
        <v/>
      </c>
      <c r="W41" s="88" t="str">
        <f>IF(OR(B41=3,B41=6,B41=9,B41=12),
IF(AND(U41&gt;=1,R41&gt;=SUMIFS(Parâmetros!G:G,Parâmetros!A:A,A41,Parâmetros!B:B,B41,Parâmetros!D:D,'Comissões GD'!D41)),R41*0.3,""),"")</f>
        <v/>
      </c>
    </row>
    <row r="42" spans="1:23">
      <c r="A42" s="7">
        <v>2026</v>
      </c>
      <c r="B42" s="7">
        <v>5</v>
      </c>
      <c r="C42" s="7" t="str">
        <v>André Cardoso</v>
      </c>
      <c r="D42" s="7" t="str">
        <v>andre.cardoso@altoqi.com.br</v>
      </c>
      <c r="E42" s="7" t="str">
        <v>GD</v>
      </c>
      <c r="F42" s="7" t="str">
        <v>Gestor</v>
      </c>
      <c r="G42" s="7">
        <v>0</v>
      </c>
      <c r="H42" s="7" t="str">
        <v>Opps</v>
      </c>
      <c r="I42" s="20">
        <f>IF(F42="Gestor",SUMIFS(I:I,A:A,A42,B:B,B42,G:G,D42),
SUMIFS('Realizado GD'!D:D,'Realizado GD'!A:A,A42,'Realizado GD'!B:B,B42,'Realizado GD'!C:C,D42))</f>
        <v>385</v>
      </c>
      <c r="J42" s="7">
        <f>SUMIFS(Metas!K:K,Metas!A:A,A42,Metas!B:B,B42,Metas!D:D,D42,Metas!H:H,H42)</f>
        <v>415</v>
      </c>
      <c r="K42" s="10">
        <f t="shared" si="45"/>
        <v>0.92771084337349397</v>
      </c>
      <c r="L42" s="15">
        <f>SUMIFS(Parâmetros!I:I,Parâmetros!A:A,'Comissões GD'!A42,Parâmetros!B:B,'Comissões GD'!B42,Parâmetros!D:D,'Comissões GD'!D42)</f>
        <v>3360</v>
      </c>
      <c r="M42" s="9">
        <f>MAX(_xlfn.MAXIFS(Parâmetros!Q:Q,Parâmetros!A:A,A42,Parâmetros!B:B,B42,Parâmetros!D:D,D42,Parâmetros!E:E,E42,Parâmetros!P:P,"&lt;="&amp;K42),
_xlfn.MAXIFS(Parâmetros!S:S,Parâmetros!A:A,A42,Parâmetros!B:B,B42,Parâmetros!D:D,D42,Parâmetros!E:E,E42,Parâmetros!R:R,"&lt;="&amp;K42),
_xlfn.MAXIFS(Parâmetros!U:U,Parâmetros!A:A,A42,Parâmetros!B:B,B42,Parâmetros!D:D,D42,Parâmetros!E:E,E42,Parâmetros!T:T,"&lt;="&amp;K42),1) * IF(K42 &gt;= SUMIFS(Parâmetros!G:G,Parâmetros!A:A,A42,Parâmetros!B:B,B42,Parâmetros!D:D,D42,Parâmetros!E:E,E42),1,0)</f>
        <v>1</v>
      </c>
      <c r="N42" s="16">
        <f t="shared" si="46"/>
        <v>3360</v>
      </c>
      <c r="O42" s="16">
        <f t="shared" si="47"/>
        <v>3117.1084337349398</v>
      </c>
      <c r="P42" s="20" t="str">
        <f t="shared" si="48"/>
        <v/>
      </c>
      <c r="Q42" s="7" t="str">
        <f t="shared" si="49"/>
        <v/>
      </c>
      <c r="R42" s="90">
        <f t="shared" si="50"/>
        <v>0</v>
      </c>
      <c r="S42" s="7" t="str">
        <f t="shared" si="51"/>
        <v/>
      </c>
      <c r="T42" s="7" t="str">
        <f t="shared" si="52"/>
        <v/>
      </c>
      <c r="U42" s="90">
        <f t="shared" si="53"/>
        <v>0</v>
      </c>
      <c r="V42" s="93" t="str">
        <f t="shared" si="54"/>
        <v/>
      </c>
      <c r="W42" s="88" t="str">
        <f>IF(OR(B42=3,B42=6,B42=9,B42=12),
IF(AND(U42&gt;=1,R42&gt;=SUMIFS(Parâmetros!G:G,Parâmetros!A:A,A42,Parâmetros!B:B,B42,Parâmetros!D:D,'Comissões GD'!D42)),R42*0.3,""),"")</f>
        <v/>
      </c>
    </row>
    <row r="43" spans="1:23">
      <c r="A43" s="7">
        <v>2026</v>
      </c>
      <c r="B43" s="7">
        <v>5</v>
      </c>
      <c r="C43" s="7" t="str">
        <v>Arthur Treivisol</v>
      </c>
      <c r="D43" s="7" t="str">
        <v>arthur.trevisiol@altoqi.com.br</v>
      </c>
      <c r="E43" s="7" t="str">
        <v>GD</v>
      </c>
      <c r="F43" s="7" t="str">
        <v>Consultor</v>
      </c>
      <c r="G43" s="7">
        <v>0</v>
      </c>
      <c r="H43" s="7" t="str">
        <v>Opps</v>
      </c>
      <c r="I43" s="20">
        <f>IF(F43="Gestor",SUMIFS(I:I,A:A,A43,B:B,B43,G:G,D43),
SUMIFS('Realizado GD'!D:D,'Realizado GD'!A:A,A43,'Realizado GD'!B:B,B43,'Realizado GD'!C:C,D43))</f>
        <v>4</v>
      </c>
      <c r="J43" s="7">
        <f>SUMIFS(Metas!K:K,Metas!A:A,A43,Metas!B:B,B43,Metas!D:D,D43,Metas!H:H,H43)</f>
        <v>4</v>
      </c>
      <c r="K43" s="10">
        <f t="shared" si="45"/>
        <v>1</v>
      </c>
      <c r="L43" s="15">
        <f>SUMIFS(Parâmetros!I:I,Parâmetros!A:A,'Comissões GD'!A43,Parâmetros!B:B,'Comissões GD'!B43,Parâmetros!D:D,'Comissões GD'!D43)</f>
        <v>1980</v>
      </c>
      <c r="M43" s="9">
        <f>MAX(_xlfn.MAXIFS(Parâmetros!Q:Q,Parâmetros!A:A,A43,Parâmetros!B:B,B43,Parâmetros!D:D,D43,Parâmetros!E:E,E43,Parâmetros!P:P,"&lt;="&amp;K43),
_xlfn.MAXIFS(Parâmetros!S:S,Parâmetros!A:A,A43,Parâmetros!B:B,B43,Parâmetros!D:D,D43,Parâmetros!E:E,E43,Parâmetros!R:R,"&lt;="&amp;K43),
_xlfn.MAXIFS(Parâmetros!U:U,Parâmetros!A:A,A43,Parâmetros!B:B,B43,Parâmetros!D:D,D43,Parâmetros!E:E,E43,Parâmetros!T:T,"&lt;="&amp;K43),1) * IF(K43 &gt;= SUMIFS(Parâmetros!G:G,Parâmetros!A:A,A43,Parâmetros!B:B,B43,Parâmetros!D:D,D43,Parâmetros!E:E,E43),1,0)</f>
        <v>1.2</v>
      </c>
      <c r="N43" s="16">
        <f t="shared" si="46"/>
        <v>2376</v>
      </c>
      <c r="O43" s="16">
        <f t="shared" si="47"/>
        <v>2376</v>
      </c>
      <c r="P43" s="20" t="str">
        <f t="shared" si="48"/>
        <v/>
      </c>
      <c r="Q43" s="7" t="str">
        <f t="shared" si="49"/>
        <v/>
      </c>
      <c r="R43" s="90">
        <f t="shared" si="50"/>
        <v>0</v>
      </c>
      <c r="S43" s="7" t="str">
        <f t="shared" si="51"/>
        <v/>
      </c>
      <c r="T43" s="7" t="str">
        <f t="shared" si="52"/>
        <v/>
      </c>
      <c r="U43" s="90">
        <f t="shared" si="53"/>
        <v>0</v>
      </c>
      <c r="V43" s="93" t="str">
        <f t="shared" si="54"/>
        <v/>
      </c>
      <c r="W43" s="88" t="str">
        <f>IF(OR(B43=3,B43=6,B43=9,B43=12),
IF(AND(U43&gt;=1,R43&gt;=SUMIFS(Parâmetros!G:G,Parâmetros!A:A,A43,Parâmetros!B:B,B43,Parâmetros!D:D,'Comissões GD'!D43)),R43*0.3,""),"")</f>
        <v/>
      </c>
    </row>
    <row r="44" spans="1:23">
      <c r="A44" s="7">
        <v>2026</v>
      </c>
      <c r="B44" s="7">
        <v>5</v>
      </c>
      <c r="C44" s="7" t="str">
        <v>Elisa Nickel Costa</v>
      </c>
      <c r="D44" s="7" t="str">
        <v>elisa.costa@altoqi.com.br</v>
      </c>
      <c r="E44" s="7" t="str">
        <v>GD</v>
      </c>
      <c r="F44" s="7" t="str">
        <v>Consultor</v>
      </c>
      <c r="G44" s="7" t="str">
        <v>andre.cardoso@altoqi.com.br</v>
      </c>
      <c r="H44" s="7" t="str">
        <v>Opps</v>
      </c>
      <c r="I44" s="20">
        <f>IF(F44="Gestor",SUMIFS(I:I,A:A,A44,B:B,B44,G:G,D44),
SUMIFS('Realizado GD'!D:D,'Realizado GD'!A:A,A44,'Realizado GD'!B:B,B44,'Realizado GD'!C:C,D44))</f>
        <v>23</v>
      </c>
      <c r="J44" s="7">
        <f>SUMIFS(Metas!K:K,Metas!A:A,A44,Metas!B:B,B44,Metas!D:D,D44,Metas!H:H,H44)</f>
        <v>19</v>
      </c>
      <c r="K44" s="10">
        <f t="shared" si="45"/>
        <v>1.2105263157894737</v>
      </c>
      <c r="L44" s="15">
        <f>SUMIFS(Parâmetros!I:I,Parâmetros!A:A,'Comissões GD'!A44,Parâmetros!B:B,'Comissões GD'!B44,Parâmetros!D:D,'Comissões GD'!D44)</f>
        <v>1980</v>
      </c>
      <c r="M44" s="9">
        <f>MAX(_xlfn.MAXIFS(Parâmetros!Q:Q,Parâmetros!A:A,A44,Parâmetros!B:B,B44,Parâmetros!D:D,D44,Parâmetros!E:E,E44,Parâmetros!P:P,"&lt;="&amp;K44),
_xlfn.MAXIFS(Parâmetros!S:S,Parâmetros!A:A,A44,Parâmetros!B:B,B44,Parâmetros!D:D,D44,Parâmetros!E:E,E44,Parâmetros!R:R,"&lt;="&amp;K44),
_xlfn.MAXIFS(Parâmetros!U:U,Parâmetros!A:A,A44,Parâmetros!B:B,B44,Parâmetros!D:D,D44,Parâmetros!E:E,E44,Parâmetros!T:T,"&lt;="&amp;K44),1) * IF(K44 &gt;= SUMIFS(Parâmetros!G:G,Parâmetros!A:A,A44,Parâmetros!B:B,B44,Parâmetros!D:D,D44,Parâmetros!E:E,E44),1,0)</f>
        <v>1.3</v>
      </c>
      <c r="N44" s="16">
        <f t="shared" si="46"/>
        <v>2574</v>
      </c>
      <c r="O44" s="16">
        <f t="shared" si="47"/>
        <v>3115.8947368421054</v>
      </c>
      <c r="P44" s="20" t="str">
        <f t="shared" si="48"/>
        <v/>
      </c>
      <c r="Q44" s="7" t="str">
        <f t="shared" si="49"/>
        <v/>
      </c>
      <c r="R44" s="90">
        <f t="shared" si="50"/>
        <v>0</v>
      </c>
      <c r="S44" s="7" t="str">
        <f t="shared" si="51"/>
        <v/>
      </c>
      <c r="T44" s="7" t="str">
        <f t="shared" si="52"/>
        <v/>
      </c>
      <c r="U44" s="90">
        <f t="shared" si="53"/>
        <v>0</v>
      </c>
      <c r="V44" s="93" t="str">
        <f t="shared" si="54"/>
        <v/>
      </c>
      <c r="W44" s="88" t="str">
        <f>IF(OR(B44=3,B44=6,B44=9,B44=12),
IF(AND(U44&gt;=1,R44&gt;=SUMIFS(Parâmetros!G:G,Parâmetros!A:A,A44,Parâmetros!B:B,B44,Parâmetros!D:D,'Comissões GD'!D44)),R44*0.3,""),"")</f>
        <v/>
      </c>
    </row>
    <row r="45" spans="1:23">
      <c r="A45" s="7">
        <v>2026</v>
      </c>
      <c r="B45" s="7">
        <v>5</v>
      </c>
      <c r="C45" s="7" t="str">
        <v>Guilherme Marcolino</v>
      </c>
      <c r="D45" s="7" t="str">
        <v>guilherme.marcolino@altoqi.com.br</v>
      </c>
      <c r="E45" s="7" t="str">
        <v>GD</v>
      </c>
      <c r="F45" s="7" t="str">
        <v>Consultor</v>
      </c>
      <c r="G45" s="7" t="str">
        <v>andre.cardoso@altoqi.com.br</v>
      </c>
      <c r="H45" s="7" t="str">
        <v>Opps</v>
      </c>
      <c r="I45" s="20">
        <f>IF(F45="Gestor",SUMIFS(I:I,A:A,A45,B:B,B45,G:G,D45),
SUMIFS('Realizado GD'!D:D,'Realizado GD'!A:A,A45,'Realizado GD'!B:B,B45,'Realizado GD'!C:C,D45))</f>
        <v>25</v>
      </c>
      <c r="J45" s="7">
        <f>SUMIFS(Metas!K:K,Metas!A:A,A45,Metas!B:B,B45,Metas!D:D,D45,Metas!H:H,H45)</f>
        <v>19</v>
      </c>
      <c r="K45" s="10">
        <f t="shared" si="45"/>
        <v>1.3157894736842106</v>
      </c>
      <c r="L45" s="15">
        <f>SUMIFS(Parâmetros!I:I,Parâmetros!A:A,'Comissões GD'!A45,Parâmetros!B:B,'Comissões GD'!B45,Parâmetros!D:D,'Comissões GD'!D45)</f>
        <v>1980</v>
      </c>
      <c r="M45" s="9">
        <f>MAX(_xlfn.MAXIFS(Parâmetros!Q:Q,Parâmetros!A:A,A45,Parâmetros!B:B,B45,Parâmetros!D:D,D45,Parâmetros!E:E,E45,Parâmetros!P:P,"&lt;="&amp;K45),
_xlfn.MAXIFS(Parâmetros!S:S,Parâmetros!A:A,A45,Parâmetros!B:B,B45,Parâmetros!D:D,D45,Parâmetros!E:E,E45,Parâmetros!R:R,"&lt;="&amp;K45),
_xlfn.MAXIFS(Parâmetros!U:U,Parâmetros!A:A,A45,Parâmetros!B:B,B45,Parâmetros!D:D,D45,Parâmetros!E:E,E45,Parâmetros!T:T,"&lt;="&amp;K45),1) * IF(K45 &gt;= SUMIFS(Parâmetros!G:G,Parâmetros!A:A,A45,Parâmetros!B:B,B45,Parâmetros!D:D,D45,Parâmetros!E:E,E45),1,0)</f>
        <v>1.3</v>
      </c>
      <c r="N45" s="16">
        <f t="shared" si="46"/>
        <v>2574</v>
      </c>
      <c r="O45" s="16">
        <f t="shared" si="47"/>
        <v>3386.8421052631579</v>
      </c>
      <c r="P45" s="20" t="str">
        <f t="shared" si="48"/>
        <v/>
      </c>
      <c r="Q45" s="7" t="str">
        <f t="shared" si="49"/>
        <v/>
      </c>
      <c r="R45" s="90">
        <f t="shared" si="50"/>
        <v>0</v>
      </c>
      <c r="S45" s="7" t="str">
        <f t="shared" si="51"/>
        <v/>
      </c>
      <c r="T45" s="7" t="str">
        <f t="shared" si="52"/>
        <v/>
      </c>
      <c r="U45" s="90">
        <f t="shared" si="53"/>
        <v>0</v>
      </c>
      <c r="V45" s="93" t="str">
        <f t="shared" si="54"/>
        <v/>
      </c>
      <c r="W45" s="88" t="str">
        <f>IF(OR(B45=3,B45=6,B45=9,B45=12),
IF(AND(U45&gt;=1,R45&gt;=SUMIFS(Parâmetros!G:G,Parâmetros!A:A,A45,Parâmetros!B:B,B45,Parâmetros!D:D,'Comissões GD'!D45)),R45*0.3,""),"")</f>
        <v/>
      </c>
    </row>
    <row r="46" spans="1:23">
      <c r="A46" s="7">
        <v>2026</v>
      </c>
      <c r="B46" s="7">
        <v>5</v>
      </c>
      <c r="C46" s="7" t="str">
        <v>Luiz Arthur Falcão Senna</v>
      </c>
      <c r="D46" s="7" t="str">
        <v>luiz.senna@altoqi.com.br</v>
      </c>
      <c r="E46" s="7" t="str">
        <v>GD</v>
      </c>
      <c r="F46" s="7" t="str">
        <v>Consultor</v>
      </c>
      <c r="G46" s="7" t="str">
        <v>andre.cardoso@altoqi.com.br</v>
      </c>
      <c r="H46" s="7" t="str">
        <v>Opps</v>
      </c>
      <c r="I46" s="20">
        <f>IF(F46="Gestor",SUMIFS(I:I,A:A,A46,B:B,B46,G:G,D46),
SUMIFS('Realizado GD'!D:D,'Realizado GD'!A:A,A46,'Realizado GD'!B:B,B46,'Realizado GD'!C:C,D46))</f>
        <v>82</v>
      </c>
      <c r="J46" s="7">
        <f>SUMIFS(Metas!K:K,Metas!A:A,A46,Metas!B:B,B46,Metas!D:D,D46,Metas!H:H,H46)</f>
        <v>76</v>
      </c>
      <c r="K46" s="10">
        <f t="shared" si="45"/>
        <v>1.0789473684210527</v>
      </c>
      <c r="L46" s="15">
        <f>SUMIFS(Parâmetros!I:I,Parâmetros!A:A,'Comissões GD'!A46,Parâmetros!B:B,'Comissões GD'!B46,Parâmetros!D:D,'Comissões GD'!D46)</f>
        <v>1980</v>
      </c>
      <c r="M46" s="9">
        <f>MAX(_xlfn.MAXIFS(Parâmetros!Q:Q,Parâmetros!A:A,A46,Parâmetros!B:B,B46,Parâmetros!D:D,D46,Parâmetros!E:E,E46,Parâmetros!P:P,"&lt;="&amp;K46),
_xlfn.MAXIFS(Parâmetros!S:S,Parâmetros!A:A,A46,Parâmetros!B:B,B46,Parâmetros!D:D,D46,Parâmetros!E:E,E46,Parâmetros!R:R,"&lt;="&amp;K46),
_xlfn.MAXIFS(Parâmetros!U:U,Parâmetros!A:A,A46,Parâmetros!B:B,B46,Parâmetros!D:D,D46,Parâmetros!E:E,E46,Parâmetros!T:T,"&lt;="&amp;K46),1) * IF(K46 &gt;= SUMIFS(Parâmetros!G:G,Parâmetros!A:A,A46,Parâmetros!B:B,B46,Parâmetros!D:D,D46,Parâmetros!E:E,E46),1,0)</f>
        <v>1.2</v>
      </c>
      <c r="N46" s="16">
        <f t="shared" si="46"/>
        <v>2376</v>
      </c>
      <c r="O46" s="16">
        <f t="shared" si="47"/>
        <v>2563.5789473684213</v>
      </c>
      <c r="P46" s="20" t="str">
        <f t="shared" si="48"/>
        <v/>
      </c>
      <c r="Q46" s="7" t="str">
        <f t="shared" si="49"/>
        <v/>
      </c>
      <c r="R46" s="90">
        <f t="shared" si="50"/>
        <v>0</v>
      </c>
      <c r="S46" s="7" t="str">
        <f t="shared" si="51"/>
        <v/>
      </c>
      <c r="T46" s="7" t="str">
        <f t="shared" si="52"/>
        <v/>
      </c>
      <c r="U46" s="90">
        <f t="shared" si="53"/>
        <v>0</v>
      </c>
      <c r="V46" s="93" t="str">
        <f t="shared" si="54"/>
        <v/>
      </c>
      <c r="W46" s="88" t="str">
        <f>IF(OR(B46=3,B46=6,B46=9,B46=12),
IF(AND(U46&gt;=1,R46&gt;=SUMIFS(Parâmetros!G:G,Parâmetros!A:A,A46,Parâmetros!B:B,B46,Parâmetros!D:D,'Comissões GD'!D46)),R46*0.3,""),"")</f>
        <v/>
      </c>
    </row>
    <row r="47" spans="1:23">
      <c r="A47" s="7">
        <v>2026</v>
      </c>
      <c r="B47" s="7">
        <v>5</v>
      </c>
      <c r="C47" s="7" t="str">
        <v>Maria Eduarda Barbosa</v>
      </c>
      <c r="D47" s="7" t="str">
        <v>maria.eduarda@altoqi.com.br</v>
      </c>
      <c r="E47" s="7" t="str">
        <v>GD</v>
      </c>
      <c r="F47" s="7" t="str">
        <v>Consultor</v>
      </c>
      <c r="G47" s="7" t="str">
        <v>andre.cardoso@altoqi.com.br</v>
      </c>
      <c r="H47" s="7" t="str">
        <v>Opps</v>
      </c>
      <c r="I47" s="20">
        <f>IF(F47="Gestor",SUMIFS(I:I,A:A,A47,B:B,B47,G:G,D47),
SUMIFS('Realizado GD'!D:D,'Realizado GD'!A:A,A47,'Realizado GD'!B:B,B47,'Realizado GD'!C:C,D47))</f>
        <v>78</v>
      </c>
      <c r="J47" s="7">
        <f>SUMIFS(Metas!K:K,Metas!A:A,A47,Metas!B:B,B47,Metas!D:D,D47,Metas!H:H,H47)</f>
        <v>76</v>
      </c>
      <c r="K47" s="10">
        <f t="shared" si="45"/>
        <v>1.0263157894736843</v>
      </c>
      <c r="L47" s="15">
        <f>SUMIFS(Parâmetros!I:I,Parâmetros!A:A,'Comissões GD'!A47,Parâmetros!B:B,'Comissões GD'!B47,Parâmetros!D:D,'Comissões GD'!D47)</f>
        <v>1650</v>
      </c>
      <c r="M47" s="9">
        <f>MAX(_xlfn.MAXIFS(Parâmetros!Q:Q,Parâmetros!A:A,A47,Parâmetros!B:B,B47,Parâmetros!D:D,D47,Parâmetros!E:E,E47,Parâmetros!P:P,"&lt;="&amp;K47),
_xlfn.MAXIFS(Parâmetros!S:S,Parâmetros!A:A,A47,Parâmetros!B:B,B47,Parâmetros!D:D,D47,Parâmetros!E:E,E47,Parâmetros!R:R,"&lt;="&amp;K47),
_xlfn.MAXIFS(Parâmetros!U:U,Parâmetros!A:A,A47,Parâmetros!B:B,B47,Parâmetros!D:D,D47,Parâmetros!E:E,E47,Parâmetros!T:T,"&lt;="&amp;K47),1) * IF(K47 &gt;= SUMIFS(Parâmetros!G:G,Parâmetros!A:A,A47,Parâmetros!B:B,B47,Parâmetros!D:D,D47,Parâmetros!E:E,E47),1,0)</f>
        <v>1.2</v>
      </c>
      <c r="N47" s="16">
        <f t="shared" si="46"/>
        <v>1980</v>
      </c>
      <c r="O47" s="16">
        <f t="shared" si="47"/>
        <v>2032.1052631578948</v>
      </c>
      <c r="P47" s="20" t="str">
        <f t="shared" si="48"/>
        <v/>
      </c>
      <c r="Q47" s="7" t="str">
        <f t="shared" si="49"/>
        <v/>
      </c>
      <c r="R47" s="90">
        <f t="shared" si="50"/>
        <v>0</v>
      </c>
      <c r="S47" s="7" t="str">
        <f t="shared" si="51"/>
        <v/>
      </c>
      <c r="T47" s="7" t="str">
        <f t="shared" si="52"/>
        <v/>
      </c>
      <c r="U47" s="90">
        <f t="shared" si="53"/>
        <v>0</v>
      </c>
      <c r="V47" s="93" t="str">
        <f t="shared" si="54"/>
        <v/>
      </c>
      <c r="W47" s="88" t="str">
        <f>IF(OR(B47=3,B47=6,B47=9,B47=12),
IF(AND(U47&gt;=1,R47&gt;=SUMIFS(Parâmetros!G:G,Parâmetros!A:A,A47,Parâmetros!B:B,B47,Parâmetros!D:D,'Comissões GD'!D47)),R47*0.3,""),"")</f>
        <v/>
      </c>
    </row>
    <row r="48" spans="1:23">
      <c r="A48" s="7">
        <v>2026</v>
      </c>
      <c r="B48" s="7">
        <v>5</v>
      </c>
      <c r="C48" s="7" t="str">
        <v>Matheus Fiebig</v>
      </c>
      <c r="D48" s="7" t="str">
        <v>matheus.lima@altoqi.com.br</v>
      </c>
      <c r="E48" s="7" t="str">
        <v>GD</v>
      </c>
      <c r="F48" s="7" t="str">
        <v>Consultor</v>
      </c>
      <c r="G48" s="7" t="str">
        <v>andre.cardoso@altoqi.com.br</v>
      </c>
      <c r="H48" s="7" t="str">
        <v>Opps</v>
      </c>
      <c r="I48" s="20">
        <f>IF(F48="Gestor",SUMIFS(I:I,A:A,A48,B:B,B48,G:G,D48),
SUMIFS('Realizado GD'!D:D,'Realizado GD'!A:A,A48,'Realizado GD'!B:B,B48,'Realizado GD'!C:C,D48))</f>
        <v>48</v>
      </c>
      <c r="J48" s="7">
        <f>SUMIFS(Metas!K:K,Metas!A:A,A48,Metas!B:B,B48,Metas!D:D,D48,Metas!H:H,H48)</f>
        <v>60</v>
      </c>
      <c r="K48" s="10">
        <f t="shared" si="45"/>
        <v>0.8</v>
      </c>
      <c r="L48" s="15">
        <f>SUMIFS(Parâmetros!I:I,Parâmetros!A:A,'Comissões GD'!A48,Parâmetros!B:B,'Comissões GD'!B48,Parâmetros!D:D,'Comissões GD'!D48)</f>
        <v>1650</v>
      </c>
      <c r="M48" s="9">
        <f>MAX(_xlfn.MAXIFS(Parâmetros!Q:Q,Parâmetros!A:A,A48,Parâmetros!B:B,B48,Parâmetros!D:D,D48,Parâmetros!E:E,E48,Parâmetros!P:P,"&lt;="&amp;K48),
_xlfn.MAXIFS(Parâmetros!S:S,Parâmetros!A:A,A48,Parâmetros!B:B,B48,Parâmetros!D:D,D48,Parâmetros!E:E,E48,Parâmetros!R:R,"&lt;="&amp;K48),
_xlfn.MAXIFS(Parâmetros!U:U,Parâmetros!A:A,A48,Parâmetros!B:B,B48,Parâmetros!D:D,D48,Parâmetros!E:E,E48,Parâmetros!T:T,"&lt;="&amp;K48),1) * IF(K48 &gt;= SUMIFS(Parâmetros!G:G,Parâmetros!A:A,A48,Parâmetros!B:B,B48,Parâmetros!D:D,D48,Parâmetros!E:E,E48),1,0)</f>
        <v>1</v>
      </c>
      <c r="N48" s="16">
        <f t="shared" si="46"/>
        <v>1650</v>
      </c>
      <c r="O48" s="16">
        <f t="shared" si="47"/>
        <v>1320</v>
      </c>
      <c r="P48" s="20" t="str">
        <f t="shared" si="48"/>
        <v/>
      </c>
      <c r="Q48" s="7" t="str">
        <f t="shared" si="49"/>
        <v/>
      </c>
      <c r="R48" s="90">
        <f t="shared" si="50"/>
        <v>0</v>
      </c>
      <c r="S48" s="7" t="str">
        <f t="shared" si="51"/>
        <v/>
      </c>
      <c r="T48" s="7" t="str">
        <f t="shared" si="52"/>
        <v/>
      </c>
      <c r="U48" s="90">
        <f t="shared" si="53"/>
        <v>0</v>
      </c>
      <c r="V48" s="93" t="str">
        <f t="shared" si="54"/>
        <v/>
      </c>
      <c r="W48" s="88" t="str">
        <f>IF(OR(B48=3,B48=6,B48=9,B48=12),
IF(AND(U48&gt;=1,R48&gt;=SUMIFS(Parâmetros!G:G,Parâmetros!A:A,A48,Parâmetros!B:B,B48,Parâmetros!D:D,'Comissões GD'!D48)),R48*0.3,""),"")</f>
        <v/>
      </c>
    </row>
    <row r="49" spans="1:41">
      <c r="A49" s="7">
        <v>2026</v>
      </c>
      <c r="B49" s="7">
        <v>5</v>
      </c>
      <c r="C49" s="7" t="str">
        <v>Vanessa Sousa</v>
      </c>
      <c r="D49" s="7" t="str">
        <v>vanessa.sousa@altoqi.com.br</v>
      </c>
      <c r="E49" s="7" t="str">
        <v>GD</v>
      </c>
      <c r="F49" s="7" t="str">
        <v>Consultor</v>
      </c>
      <c r="G49" s="7" t="str">
        <v>andre.cardoso@altoqi.com.br</v>
      </c>
      <c r="H49" s="7" t="str">
        <v>Opps</v>
      </c>
      <c r="I49" s="20">
        <f>IF(F49="Gestor",SUMIFS(I:I,A:A,A49,B:B,B49,G:G,D49),
SUMIFS('Realizado GD'!D:D,'Realizado GD'!A:A,A49,'Realizado GD'!B:B,B49,'Realizado GD'!C:C,D49))</f>
        <v>62</v>
      </c>
      <c r="J49" s="7">
        <f>SUMIFS(Metas!K:K,Metas!A:A,A49,Metas!B:B,B49,Metas!D:D,D49,Metas!H:H,H49)</f>
        <v>76</v>
      </c>
      <c r="K49" s="10">
        <f t="shared" si="45"/>
        <v>0.81578947368421051</v>
      </c>
      <c r="L49" s="15">
        <f>SUMIFS(Parâmetros!I:I,Parâmetros!A:A,'Comissões GD'!A49,Parâmetros!B:B,'Comissões GD'!B49,Parâmetros!D:D,'Comissões GD'!D49)</f>
        <v>1650</v>
      </c>
      <c r="M49" s="9">
        <f>MAX(_xlfn.MAXIFS(Parâmetros!Q:Q,Parâmetros!A:A,A49,Parâmetros!B:B,B49,Parâmetros!D:D,D49,Parâmetros!E:E,E49,Parâmetros!P:P,"&lt;="&amp;K49),
_xlfn.MAXIFS(Parâmetros!S:S,Parâmetros!A:A,A49,Parâmetros!B:B,B49,Parâmetros!D:D,D49,Parâmetros!E:E,E49,Parâmetros!R:R,"&lt;="&amp;K49),
_xlfn.MAXIFS(Parâmetros!U:U,Parâmetros!A:A,A49,Parâmetros!B:B,B49,Parâmetros!D:D,D49,Parâmetros!E:E,E49,Parâmetros!T:T,"&lt;="&amp;K49),1) * IF(K49 &gt;= SUMIFS(Parâmetros!G:G,Parâmetros!A:A,A49,Parâmetros!B:B,B49,Parâmetros!D:D,D49,Parâmetros!E:E,E49),1,0)</f>
        <v>1</v>
      </c>
      <c r="N49" s="16">
        <f t="shared" si="46"/>
        <v>1650</v>
      </c>
      <c r="O49" s="16">
        <f t="shared" si="47"/>
        <v>1346.0526315789473</v>
      </c>
      <c r="P49" s="20" t="str">
        <f t="shared" si="48"/>
        <v/>
      </c>
      <c r="Q49" s="7" t="str">
        <f t="shared" si="49"/>
        <v/>
      </c>
      <c r="R49" s="90">
        <f t="shared" si="50"/>
        <v>0</v>
      </c>
      <c r="S49" s="7" t="str">
        <f t="shared" si="51"/>
        <v/>
      </c>
      <c r="T49" s="7" t="str">
        <f t="shared" si="52"/>
        <v/>
      </c>
      <c r="U49" s="90">
        <f t="shared" si="53"/>
        <v>0</v>
      </c>
      <c r="V49" s="93" t="str">
        <f t="shared" si="54"/>
        <v/>
      </c>
      <c r="W49" s="88" t="str">
        <f>IF(OR(B49=3,B49=6,B49=9,B49=12),
IF(AND(U49&gt;=1,R49&gt;=SUMIFS(Parâmetros!G:G,Parâmetros!A:A,A49,Parâmetros!B:B,B49,Parâmetros!D:D,'Comissões GD'!D49)),R49*0.3,""),"")</f>
        <v/>
      </c>
    </row>
    <row r="57" spans="1:41">
      <c r="AO57" t="str">
        <f>IF(OR(B57=3,B57=6,B57=9,B57=12),
IF(AK57&gt;=1,AK57*0.3,""),"")</f>
        <v/>
      </c>
    </row>
  </sheetData>
  <autoFilter ref="A1:H30" xr:uid="{0627957F-DDF8-4BD5-89CE-ACCCFEA1E1CF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656A7-B9BE-49A8-B186-76F42974A054}">
  <dimension ref="A1:AQ56"/>
  <sheetViews>
    <sheetView workbookViewId="0">
      <pane xSplit="7" ySplit="3" topLeftCell="M40" activePane="bottomRight" state="frozen"/>
      <selection pane="bottomRight" activeCell="C50" sqref="C50"/>
      <selection pane="bottomLeft"/>
      <selection pane="topRight"/>
    </sheetView>
  </sheetViews>
  <sheetFormatPr defaultRowHeight="15"/>
  <cols>
    <col min="1" max="1" width="6.85546875" style="7" bestFit="1" customWidth="1"/>
    <col min="2" max="2" width="7.140625" style="7" bestFit="1" customWidth="1"/>
    <col min="3" max="3" width="25" style="7" bestFit="1" customWidth="1"/>
    <col min="4" max="4" width="31.5703125" style="7" bestFit="1" customWidth="1"/>
    <col min="5" max="5" width="9.42578125" style="7" bestFit="1" customWidth="1"/>
    <col min="6" max="6" width="9.5703125" style="7" bestFit="1" customWidth="1"/>
    <col min="7" max="7" width="30.28515625" style="7" bestFit="1" customWidth="1"/>
    <col min="8" max="8" width="13.7109375" style="15" bestFit="1" customWidth="1"/>
    <col min="9" max="9" width="13.7109375" style="16" bestFit="1" customWidth="1"/>
    <col min="10" max="10" width="12.7109375" style="10" bestFit="1" customWidth="1"/>
    <col min="11" max="11" width="13.7109375" style="9" bestFit="1" customWidth="1"/>
    <col min="12" max="12" width="13.7109375" style="15" bestFit="1" customWidth="1"/>
    <col min="13" max="13" width="15.42578125" style="16" bestFit="1" customWidth="1"/>
    <col min="14" max="14" width="12.7109375" style="10" bestFit="1" customWidth="1"/>
    <col min="15" max="15" width="13.7109375" style="9" bestFit="1" customWidth="1"/>
    <col min="16" max="16" width="21.140625" style="35" bestFit="1" customWidth="1"/>
    <col min="17" max="17" width="12.5703125" style="15" bestFit="1" customWidth="1"/>
    <col min="18" max="18" width="17.140625" style="9" bestFit="1" customWidth="1"/>
    <col min="19" max="19" width="15.140625" style="16" bestFit="1" customWidth="1"/>
    <col min="20" max="20" width="14.28515625" style="16" bestFit="1" customWidth="1"/>
    <col min="21" max="21" width="30.7109375" style="15" bestFit="1" customWidth="1"/>
    <col min="22" max="22" width="26.85546875" style="16" bestFit="1" customWidth="1"/>
    <col min="23" max="23" width="23.5703125" style="89" bestFit="1" customWidth="1"/>
    <col min="24" max="24" width="28.140625" style="16" bestFit="1" customWidth="1"/>
    <col min="25" max="25" width="24.28515625" style="16" bestFit="1" customWidth="1"/>
    <col min="26" max="26" width="21.140625" style="89" bestFit="1" customWidth="1"/>
    <col min="27" max="27" width="30.42578125" style="7" bestFit="1" customWidth="1"/>
    <col min="28" max="28" width="27.7109375" style="7" bestFit="1" customWidth="1"/>
    <col min="29" max="29" width="13.7109375" style="103" bestFit="1" customWidth="1"/>
    <col min="30" max="30" width="13.7109375" bestFit="1" customWidth="1"/>
    <col min="31" max="31" width="12.7109375" bestFit="1" customWidth="1"/>
    <col min="32" max="32" width="13.7109375" style="100" bestFit="1" customWidth="1"/>
    <col min="33" max="33" width="13.7109375" bestFit="1" customWidth="1"/>
    <col min="34" max="34" width="15.42578125" bestFit="1" customWidth="1"/>
    <col min="35" max="35" width="12.7109375" bestFit="1" customWidth="1"/>
    <col min="36" max="36" width="13.7109375" style="100" bestFit="1" customWidth="1"/>
    <col min="37" max="37" width="21.140625" style="100" bestFit="1" customWidth="1"/>
    <col min="38" max="38" width="12.5703125" bestFit="1" customWidth="1"/>
    <col min="39" max="39" width="17.140625" bestFit="1" customWidth="1"/>
    <col min="40" max="40" width="15.140625" bestFit="1" customWidth="1"/>
    <col min="41" max="41" width="14.28515625" style="100" bestFit="1" customWidth="1"/>
    <col min="42" max="42" width="17.42578125" style="16" bestFit="1" customWidth="1"/>
    <col min="43" max="43" width="9.85546875" style="88" bestFit="1" customWidth="1"/>
  </cols>
  <sheetData>
    <row r="1" spans="1:43">
      <c r="H1" s="117" t="s">
        <v>9</v>
      </c>
      <c r="I1" s="118"/>
      <c r="J1" s="118"/>
      <c r="K1" s="119"/>
      <c r="L1" s="117" t="s">
        <v>4359</v>
      </c>
      <c r="M1" s="118"/>
      <c r="N1" s="118"/>
      <c r="O1" s="119"/>
      <c r="P1" s="120"/>
      <c r="Q1" s="121"/>
      <c r="R1" s="122"/>
      <c r="S1" s="122"/>
      <c r="T1" s="123"/>
      <c r="U1" s="124" t="s">
        <v>4547</v>
      </c>
      <c r="V1" s="125"/>
      <c r="W1" s="125"/>
      <c r="X1" s="125"/>
      <c r="Y1" s="125"/>
      <c r="Z1" s="125"/>
      <c r="AA1" s="125"/>
      <c r="AB1" s="126"/>
      <c r="AC1" s="130" t="s">
        <v>4548</v>
      </c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1"/>
      <c r="AP1" s="131"/>
      <c r="AQ1" s="132"/>
    </row>
    <row r="2" spans="1:43">
      <c r="H2" s="117"/>
      <c r="I2" s="118"/>
      <c r="J2" s="118"/>
      <c r="K2" s="119"/>
      <c r="L2" s="117"/>
      <c r="M2" s="118"/>
      <c r="N2" s="118"/>
      <c r="O2" s="119"/>
      <c r="P2" s="120"/>
      <c r="Q2" s="121"/>
      <c r="R2" s="122"/>
      <c r="S2" s="122"/>
      <c r="T2" s="123"/>
      <c r="U2" s="127"/>
      <c r="V2" s="128"/>
      <c r="W2" s="128"/>
      <c r="X2" s="128"/>
      <c r="Y2" s="128"/>
      <c r="Z2" s="128"/>
      <c r="AA2" s="128"/>
      <c r="AB2" s="129"/>
      <c r="AC2" s="114" t="s">
        <v>9</v>
      </c>
      <c r="AD2" s="115"/>
      <c r="AE2" s="115"/>
      <c r="AF2" s="116"/>
      <c r="AG2" s="115" t="s">
        <v>4359</v>
      </c>
      <c r="AH2" s="115"/>
      <c r="AI2" s="115"/>
      <c r="AJ2" s="116"/>
      <c r="AK2" s="90"/>
      <c r="AL2" s="16"/>
      <c r="AM2" s="9"/>
      <c r="AN2" s="16"/>
      <c r="AO2" s="101"/>
    </row>
    <row r="3" spans="1:43">
      <c r="A3" s="7" t="str" cm="1">
        <f t="array" ref="A3:G56">_xlfn.UNIQUE(_xlfn._xlws.FILTER(Metas!A:G,((Metas!A:A&gt;2025)*(Metas!E:E = "Governo")*(Metas!F:F = "Consultor"))+(Metas!E:E = "Equipe")))</f>
        <v>Ano</v>
      </c>
      <c r="B3" s="7" t="str">
        <v>Mês</v>
      </c>
      <c r="C3" s="7" t="str">
        <v>Consultor</v>
      </c>
      <c r="D3" s="7" t="str">
        <v>Email</v>
      </c>
      <c r="E3" s="7" t="str">
        <v>Equipe</v>
      </c>
      <c r="F3" s="7" t="str">
        <v>Cargo</v>
      </c>
      <c r="G3" s="7" t="str">
        <v>Gestor</v>
      </c>
      <c r="H3" s="15" t="s">
        <v>4267</v>
      </c>
      <c r="I3" s="16" t="s">
        <v>4521</v>
      </c>
      <c r="J3" s="10" t="s">
        <v>4522</v>
      </c>
      <c r="K3" s="9" t="s">
        <v>4323</v>
      </c>
      <c r="L3" s="15" t="s">
        <v>4267</v>
      </c>
      <c r="M3" s="16" t="s">
        <v>4521</v>
      </c>
      <c r="N3" s="10" t="s">
        <v>4522</v>
      </c>
      <c r="O3" s="9" t="s">
        <v>4323</v>
      </c>
      <c r="P3" s="35" t="s">
        <v>4549</v>
      </c>
      <c r="Q3" s="15" t="s">
        <v>4530</v>
      </c>
      <c r="R3" s="9" t="s">
        <v>4531</v>
      </c>
      <c r="S3" s="16" t="s">
        <v>4532</v>
      </c>
      <c r="T3" s="16" t="s">
        <v>4533</v>
      </c>
      <c r="U3" s="15" t="s">
        <v>4538</v>
      </c>
      <c r="V3" s="16" t="s">
        <v>4539</v>
      </c>
      <c r="W3" s="89" t="s">
        <v>4540</v>
      </c>
      <c r="X3" s="16" t="s">
        <v>4541</v>
      </c>
      <c r="Y3" s="16" t="s">
        <v>4542</v>
      </c>
      <c r="Z3" s="89" t="s">
        <v>4543</v>
      </c>
      <c r="AA3" s="7" t="s">
        <v>4544</v>
      </c>
      <c r="AB3" s="7" t="s">
        <v>4545</v>
      </c>
      <c r="AC3" s="15" t="s">
        <v>4267</v>
      </c>
      <c r="AD3" s="16" t="s">
        <v>4521</v>
      </c>
      <c r="AE3" s="10" t="s">
        <v>4522</v>
      </c>
      <c r="AF3" s="99" t="s">
        <v>4323</v>
      </c>
      <c r="AG3" s="16" t="s">
        <v>4267</v>
      </c>
      <c r="AH3" s="16" t="s">
        <v>4521</v>
      </c>
      <c r="AI3" s="10" t="s">
        <v>4522</v>
      </c>
      <c r="AJ3" s="99" t="s">
        <v>4323</v>
      </c>
      <c r="AK3" s="90" t="s">
        <v>4549</v>
      </c>
      <c r="AL3" s="16" t="s">
        <v>4530</v>
      </c>
      <c r="AM3" s="9" t="s">
        <v>4531</v>
      </c>
      <c r="AN3" s="16" t="s">
        <v>4532</v>
      </c>
      <c r="AO3" s="101" t="s">
        <v>4533</v>
      </c>
      <c r="AP3" s="16" t="s">
        <v>4550</v>
      </c>
      <c r="AQ3" s="88" t="s">
        <v>4551</v>
      </c>
    </row>
    <row r="4" spans="1:43">
      <c r="A4" s="7">
        <v>2026</v>
      </c>
      <c r="B4" s="7">
        <v>1</v>
      </c>
      <c r="C4" s="7" t="str">
        <v>Angélica da Silva Steinbach</v>
      </c>
      <c r="D4" s="7" t="str">
        <v>angelica.steinbach@altoqi.com.br</v>
      </c>
      <c r="E4" s="7" t="str">
        <v>Governo</v>
      </c>
      <c r="F4" s="7" t="str">
        <v>Consultor</v>
      </c>
      <c r="G4" s="7" t="str">
        <v>marcelo.maestro@altoqi.com.br</v>
      </c>
      <c r="H4" s="15">
        <f>SUMIFS(Negócios!J:J,Negócios!A:A,A4,Negócios!B:B,B4,Negócios!P:P,D4,Negócios!AH:AH,"&lt;&gt;n")</f>
        <v>14087.16</v>
      </c>
      <c r="I4" s="16">
        <f>SUMIFS(Metas!K:K,Metas!A:A,A4,Metas!B:B,B4,Metas!D:D,D4,Metas!H:H,H$1)</f>
        <v>114309</v>
      </c>
      <c r="J4" s="10">
        <f>IFERROR(H4/I4,0)</f>
        <v>0.12323754035115345</v>
      </c>
      <c r="K4" s="9">
        <f>SUMIFS(Metas!L:L,Metas!A:A,A4,Metas!B:B,B4,Metas!D:D,D4,Metas!H:H,H$1)</f>
        <v>0.4</v>
      </c>
      <c r="L4" s="15">
        <f>SUMIFS(Negócios!I:I,Negócios!A:A,A4,Negócios!B:B,B4,Negócios!P:P,D4,Negócios!AH:AH,"&lt;&gt;n")</f>
        <v>24167.16</v>
      </c>
      <c r="M4" s="16">
        <f>SUMIFS(Metas!K:K,Metas!A:A,A4,Metas!B:B,B4,Metas!D:D,D4,Metas!H:H,L$1)</f>
        <v>228618</v>
      </c>
      <c r="N4" s="10">
        <f>IFERROR(L4/M4,0)</f>
        <v>0.10570978663097394</v>
      </c>
      <c r="O4" s="9">
        <f>SUMIFS(Metas!L:L,Metas!A:A,A4,Metas!B:B,B4,Metas!D:D,D4,Metas!H:H,L$1)</f>
        <v>0.6</v>
      </c>
      <c r="P4" s="35">
        <f>(J4*K4)+(N4*O4)</f>
        <v>0.11272088811904574</v>
      </c>
      <c r="Q4" s="15">
        <f>MAX(_xlfn.MAXIFS(Parâmetros!O:O,Parâmetros!A:A,A4,Parâmetros!B:B,B4,Parâmetros!D:D,D4,Parâmetros!M:M,"&lt;="&amp;J4),_xlfn.MAXIFS(Parâmetros!L:L,Parâmetros!A:A,A4,Parâmetros!B:B,B4,Parâmetros!D:D,D4,Parâmetros!J:J,"&lt;="&amp;J4),SUMIFS(Parâmetros!I:I,Parâmetros!A:A,A4,Parâmetros!B:B,B4,Parâmetros!D:D,D4))</f>
        <v>8000</v>
      </c>
      <c r="R4" s="9">
        <f>MAX(_xlfn.MAXIFS(Parâmetros!Q:Q,Parâmetros!A:A,A4,Parâmetros!B:B,B4,Parâmetros!D:D,D4,Parâmetros!P:P,"&lt;="&amp;N4),_xlfn.MAXIFS(Parâmetros!S:S,Parâmetros!A:A,A4,Parâmetros!B:B,B4,Parâmetros!D:D,D4,Parâmetros!R:R,"&lt;="&amp;N4),_xlfn.MAXIFS(Parâmetros!U:U,Parâmetros!A:A,A4,Parâmetros!B:B,B4,Parâmetros!D:D,D4,Parâmetros!T:T,"&lt;="&amp;N4),1) * IF(N4 &gt;= SUMIFS(Parâmetros!G:G,Parâmetros!A:A,A4,Parâmetros!B:B,B4,Parâmetros!D:D,D4),1,0)</f>
        <v>0</v>
      </c>
      <c r="S4" s="16">
        <f>Q4*R4</f>
        <v>0</v>
      </c>
      <c r="T4" s="16">
        <f>S4*P4</f>
        <v>0</v>
      </c>
      <c r="U4" s="15" t="str">
        <f t="shared" ref="U4:U25" si="0">IF(OR(B4=3,B4=6,B4=9,B4=12),
SUMIFS($L:$L,$A:$A,$A4,$B:$B,"&gt;="&amp;(B4-2),$B:$B,"&lt;="&amp;B4,$D:$D,$D4),
"")</f>
        <v/>
      </c>
      <c r="V4" s="16" t="str">
        <f t="shared" ref="V4:V25" si="1">IF(OR(B4=3,B4=6,B4=9,B4=12),
SUMIFS($M:$M,$A:$A,$A4,$B:$B,"&gt;="&amp;(B4-2),$B:$B,"&lt;="&amp;B4,$D:$D,$D4),
"")</f>
        <v/>
      </c>
      <c r="W4" s="90">
        <f t="shared" ref="W4:W24" si="2">IFERROR(U4/V4,0)</f>
        <v>0</v>
      </c>
      <c r="X4" s="16" t="str">
        <f t="shared" ref="X4:X25" si="3">IF(F4="Gestor","",
IF(OR(B4=3,B4=6,B4=9,B4=12),
SUMIFS($L:$L,$A:$A,$A4,$B:$B,"&gt;="&amp;(B4-2),$B:$B,"&lt;="&amp;B4,$E:$E,$E4,$F:$F,"&lt;&gt;Gestor"),
""))</f>
        <v/>
      </c>
      <c r="Y4" s="16" t="str">
        <f t="shared" ref="Y4:Y25" si="4">IF(F4="Gestor","",
IF(OR(B4=3,B4=6,B4=9,B4=12),
SUMIFS($M:$M,$A:$A,$A4,$B:$B,"&gt;="&amp;(B4-2),$B:$B,"&lt;="&amp;B4,$E:$E,$E4,$F:$F,"&lt;&gt;Gestor"),
""))</f>
        <v/>
      </c>
      <c r="Z4" s="90">
        <f t="shared" ref="Z4:Z24" si="5">IFERROR(X4/Y4,0)</f>
        <v>0</v>
      </c>
      <c r="AA4" s="7" t="str">
        <f t="shared" ref="AA4:AA28" si="6">IF(OR(B4=3,B4=6,B4=9,B4=12),
IF(W4&gt;=1,W4*0.3,""),"")</f>
        <v/>
      </c>
      <c r="AB4" s="7" t="str">
        <f>IF(OR(B4=3,B4=6,B4=9,B4=12),
IF(AND(Z4&gt;=1,W4&gt;=SUMIFS(Parâmetros!L:L,Parâmetros!F:F,F4,Parâmetros!G:G,G4,Parâmetros!I:I,'Comissões GD'!I3)),W4*0.3,""),"")</f>
        <v/>
      </c>
      <c r="AC4" s="15" t="str">
        <f t="shared" ref="AC4:AC25" si="7">IF(OR(B4=3,B4=6,B4=9,B4=12),
SUMIFS($H:$H,$A:$A,$A4,$B:$B,"&gt;="&amp;(B4-2),$B:$B,"&lt;="&amp;B4,$D:$D,$D4),
"")</f>
        <v/>
      </c>
      <c r="AD4" s="16" t="str">
        <f t="shared" ref="AD4:AD25" si="8">IF(OR(B4=3,B4=6,B4=9,B4=12),
SUMIFS($I:$I,$A:$A,$A4,$B:$B,"&gt;="&amp;(B4-2),$B:$B,"&lt;="&amp;B4,$D:$D,$D4),
"")</f>
        <v/>
      </c>
      <c r="AE4" s="10">
        <f t="shared" ref="AE4:AE25" si="9">IFERROR(AC4/AD4,0)</f>
        <v>0</v>
      </c>
      <c r="AF4" s="99">
        <f>SUMIFS(Metas!L:L,Metas!A:A,A4,Metas!B:B,B4,Metas!D:D,D4,Metas!H:H,H$1)</f>
        <v>0.4</v>
      </c>
      <c r="AG4" s="16" t="str">
        <f t="shared" ref="AG4:AG25" si="10">IF(OR(B4=3,B4=6,B4=9,B4=12),
SUMIFS($L:$L,$A:$A,$A4,$B:$B,"&gt;="&amp;(B4-2),$B:$B,"&lt;="&amp;B4,$D:$D,$D4),
"")</f>
        <v/>
      </c>
      <c r="AH4" s="16" t="str">
        <f t="shared" ref="AH4:AH25" si="11">IF(OR(B4=3,B4=6,B4=9,B4=12),
SUMIFS($M:$M,$A:$A,$A4,$B:$B,"&gt;="&amp;(B4-2),$B:$B,"&lt;="&amp;B4,$D:$D,$D4),
"")</f>
        <v/>
      </c>
      <c r="AI4" s="10">
        <f t="shared" ref="AI4:AI25" si="12">IFERROR(AG4/AH4,0)</f>
        <v>0</v>
      </c>
      <c r="AJ4" s="99">
        <f>SUMIFS(Metas!L:L,Metas!A:A,A4,Metas!B:B,B4,Metas!D:D,D4,Metas!H:H,L$1)</f>
        <v>0.6</v>
      </c>
      <c r="AK4" s="90">
        <f t="shared" ref="AK4:AK25" si="13">(AE4*AF4)+(AI4*AJ4)</f>
        <v>0</v>
      </c>
      <c r="AL4" s="16" t="str">
        <f t="shared" ref="AL4:AL25" si="14">IF(OR(B4=3,B4=6,B4=9,B4=12),
SUMIFS($Q:$Q,$A:$A,$A4,$B:$B,"&gt;="&amp;(B4-2),$B:$B,"&lt;="&amp;B4,$D:$D,$D4),
"")</f>
        <v/>
      </c>
      <c r="AM4" s="102" cm="1">
        <f t="array" ref="AM4">_xlfn.LET(
_xlpm.a,A4,
_xlpm.b,B4,
_xlpm.d,D4,
_xlpm.lim,AI4,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0</v>
      </c>
      <c r="AN4" s="16">
        <f t="shared" ref="AN4:AN24" si="15">IFERROR(AL4*AM4,0)</f>
        <v>0</v>
      </c>
      <c r="AO4" s="101">
        <f t="shared" ref="AO4:AO25" si="16">AN4*AK4</f>
        <v>0</v>
      </c>
      <c r="AP4" s="16" t="str">
        <f t="shared" ref="AP4:AP25" si="17">IF(OR(B4=3,B4=6,B4=9,B4=12),
SUMIFS($T:$T,$A:$A,$A4,$B:$B,"&gt;="&amp;(B4-2),$B:$B,"&lt;="&amp;B4,$D:$D,$D4),
"")</f>
        <v/>
      </c>
      <c r="AQ4" s="22" t="str">
        <f>IF(AO4&gt;AP4,AO4-AP4,"")</f>
        <v/>
      </c>
    </row>
    <row r="5" spans="1:43">
      <c r="A5" s="7">
        <v>2026</v>
      </c>
      <c r="B5" s="7">
        <v>1</v>
      </c>
      <c r="C5" s="7" t="str">
        <v>Carla Araujo</v>
      </c>
      <c r="D5" s="7" t="str">
        <v>carla.araujo@altoqi.com.br</v>
      </c>
      <c r="E5" s="7" t="str">
        <v>Governo</v>
      </c>
      <c r="F5" s="7" t="str">
        <v>Consultor</v>
      </c>
      <c r="G5" s="7" t="str">
        <v>marcelo.maestro@altoqi.com.br</v>
      </c>
      <c r="H5" s="15">
        <f>SUMIFS(Negócios!J:J,Negócios!A:A,A5,Negócios!B:B,B5,Negócios!P:P,D5,Negócios!AH:AH,"&lt;&gt;n")</f>
        <v>0</v>
      </c>
      <c r="I5" s="16">
        <f>SUMIFS(Metas!K:K,Metas!A:A,A5,Metas!B:B,B5,Metas!D:D,D5,Metas!H:H,H$1)</f>
        <v>83126</v>
      </c>
      <c r="J5" s="10">
        <f t="shared" ref="J5:J14" si="18">IFERROR(H5/I5,0)</f>
        <v>0</v>
      </c>
      <c r="K5" s="9">
        <f>SUMIFS(Metas!L:L,Metas!A:A,A5,Metas!B:B,B5,Metas!D:D,D5,Metas!H:H,H$1)</f>
        <v>0.4</v>
      </c>
      <c r="L5" s="15">
        <f>SUMIFS(Negócios!I:I,Negócios!A:A,A5,Negócios!B:B,B5,Negócios!P:P,D5,Negócios!AH:AH,"&lt;&gt;n")</f>
        <v>0</v>
      </c>
      <c r="M5" s="16">
        <f>SUMIFS(Metas!K:K,Metas!A:A,A5,Metas!B:B,B5,Metas!D:D,D5,Metas!H:H,L$1)</f>
        <v>166252</v>
      </c>
      <c r="N5" s="10">
        <f t="shared" ref="N5:N14" si="19">IFERROR(L5/M5,0)</f>
        <v>0</v>
      </c>
      <c r="O5" s="9">
        <f>SUMIFS(Metas!L:L,Metas!A:A,A5,Metas!B:B,B5,Metas!D:D,D5,Metas!H:H,L$1)</f>
        <v>0.6</v>
      </c>
      <c r="P5" s="35">
        <f t="shared" ref="P5:P14" si="20">(J5*K5)+(N5*O5)</f>
        <v>0</v>
      </c>
      <c r="Q5" s="15">
        <f>MAX(_xlfn.MAXIFS(Parâmetros!O:O,Parâmetros!A:A,A5,Parâmetros!B:B,B5,Parâmetros!D:D,D5,Parâmetros!M:M,"&lt;="&amp;J5),_xlfn.MAXIFS(Parâmetros!L:L,Parâmetros!A:A,A5,Parâmetros!B:B,B5,Parâmetros!D:D,D5,Parâmetros!J:J,"&lt;="&amp;J5),SUMIFS(Parâmetros!I:I,Parâmetros!A:A,A5,Parâmetros!B:B,B5,Parâmetros!D:D,D5))</f>
        <v>6800</v>
      </c>
      <c r="R5" s="9">
        <f>MAX(_xlfn.MAXIFS(Parâmetros!Q:Q,Parâmetros!A:A,A5,Parâmetros!B:B,B5,Parâmetros!D:D,D5,Parâmetros!P:P,"&lt;="&amp;N5),_xlfn.MAXIFS(Parâmetros!S:S,Parâmetros!A:A,A5,Parâmetros!B:B,B5,Parâmetros!D:D,D5,Parâmetros!R:R,"&lt;="&amp;N5),_xlfn.MAXIFS(Parâmetros!U:U,Parâmetros!A:A,A5,Parâmetros!B:B,B5,Parâmetros!D:D,D5,Parâmetros!T:T,"&lt;="&amp;N5),1) * IF(N5 &gt;= SUMIFS(Parâmetros!G:G,Parâmetros!A:A,A5,Parâmetros!B:B,B5,Parâmetros!D:D,D5),1,0)</f>
        <v>0</v>
      </c>
      <c r="S5" s="16">
        <f t="shared" ref="S5:S14" si="21">Q5*R5</f>
        <v>0</v>
      </c>
      <c r="T5" s="16">
        <f t="shared" ref="T5:T14" si="22">S5*P5</f>
        <v>0</v>
      </c>
      <c r="U5" s="15" t="str">
        <f t="shared" si="0"/>
        <v/>
      </c>
      <c r="V5" s="16" t="str">
        <f t="shared" si="1"/>
        <v/>
      </c>
      <c r="W5" s="90">
        <f t="shared" si="2"/>
        <v>0</v>
      </c>
      <c r="X5" s="16" t="str">
        <f t="shared" si="3"/>
        <v/>
      </c>
      <c r="Y5" s="16" t="str">
        <f t="shared" si="4"/>
        <v/>
      </c>
      <c r="Z5" s="90">
        <f t="shared" si="5"/>
        <v>0</v>
      </c>
      <c r="AA5" s="7" t="str">
        <f t="shared" si="6"/>
        <v/>
      </c>
      <c r="AB5" s="7" t="str">
        <f>IF(OR(B5=3,B5=6,B5=9,B5=12),
IF(AND(Z5&gt;=1,W5&gt;=SUMIFS(Parâmetros!L:L,Parâmetros!F:F,F5,Parâmetros!G:G,G5,Parâmetros!I:I,'Comissões GD'!I4)),W5*0.3,""),"")</f>
        <v/>
      </c>
      <c r="AC5" s="15" t="str">
        <f t="shared" si="7"/>
        <v/>
      </c>
      <c r="AD5" s="16" t="str">
        <f t="shared" si="8"/>
        <v/>
      </c>
      <c r="AE5" s="10">
        <f t="shared" si="9"/>
        <v>0</v>
      </c>
      <c r="AF5" s="99">
        <f>SUMIFS(Metas!L:L,Metas!A:A,A5,Metas!B:B,B5,Metas!D:D,D5,Metas!H:H,H$1)</f>
        <v>0.4</v>
      </c>
      <c r="AG5" s="16" t="str">
        <f t="shared" si="10"/>
        <v/>
      </c>
      <c r="AH5" s="16" t="str">
        <f t="shared" si="11"/>
        <v/>
      </c>
      <c r="AI5" s="10">
        <f t="shared" si="12"/>
        <v>0</v>
      </c>
      <c r="AJ5" s="99">
        <f>SUMIFS(Metas!L:L,Metas!A:A,A5,Metas!B:B,B5,Metas!D:D,D5,Metas!H:H,L$1)</f>
        <v>0.6</v>
      </c>
      <c r="AK5" s="90">
        <f t="shared" si="13"/>
        <v>0</v>
      </c>
      <c r="AL5" s="16" t="str">
        <f t="shared" si="14"/>
        <v/>
      </c>
      <c r="AM5" s="102" cm="1">
        <f t="array" ref="AM5">_xlfn.LET(
_xlpm.a,A5,
_xlpm.b,B5,
_xlpm.d,D5,
_xlpm.lim,AI5,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0</v>
      </c>
      <c r="AN5" s="16">
        <f t="shared" si="15"/>
        <v>0</v>
      </c>
      <c r="AO5" s="101">
        <f t="shared" si="16"/>
        <v>0</v>
      </c>
      <c r="AP5" s="16" t="str">
        <f t="shared" si="17"/>
        <v/>
      </c>
      <c r="AQ5" s="22" t="str">
        <f t="shared" ref="AQ5:AQ25" si="23">IF(AO5&gt;AP5,AO5-AP5,"")</f>
        <v/>
      </c>
    </row>
    <row r="6" spans="1:43">
      <c r="A6" s="7">
        <v>2026</v>
      </c>
      <c r="B6" s="7">
        <v>1</v>
      </c>
      <c r="C6" s="7" t="str">
        <v>Deize Marla Rudek</v>
      </c>
      <c r="D6" s="7" t="str">
        <v>deize.rudek@altoqi.com.br</v>
      </c>
      <c r="E6" s="7" t="str">
        <v>Governo</v>
      </c>
      <c r="F6" s="7" t="str">
        <v>Consultor</v>
      </c>
      <c r="G6" s="7" t="str">
        <v>marcelo.maestro@altoqi.com.br</v>
      </c>
      <c r="H6" s="15">
        <f>SUMIFS(Negócios!J:J,Negócios!A:A,A6,Negócios!B:B,B6,Negócios!P:P,D6,Negócios!AH:AH,"&lt;&gt;n")</f>
        <v>155795.24</v>
      </c>
      <c r="I6" s="16">
        <f>SUMIFS(Metas!K:K,Metas!A:A,A6,Metas!B:B,B6,Metas!D:D,D6,Metas!H:H,H$1)</f>
        <v>92681.25</v>
      </c>
      <c r="J6" s="10">
        <f t="shared" si="18"/>
        <v>1.6809790545552632</v>
      </c>
      <c r="K6" s="9">
        <f>SUMIFS(Metas!L:L,Metas!A:A,A6,Metas!B:B,B6,Metas!D:D,D6,Metas!H:H,H$1)</f>
        <v>0.4</v>
      </c>
      <c r="L6" s="15">
        <f>SUMIFS(Negócios!I:I,Negócios!A:A,A6,Negócios!B:B,B6,Negócios!P:P,D6,Negócios!AH:AH,"&lt;&gt;n")</f>
        <v>308152.32000000001</v>
      </c>
      <c r="M6" s="16">
        <f>SUMIFS(Metas!K:K,Metas!A:A,A6,Metas!B:B,B6,Metas!D:D,D6,Metas!H:H,L$1)</f>
        <v>185362.49</v>
      </c>
      <c r="N6" s="10">
        <f t="shared" si="19"/>
        <v>1.662430840241734</v>
      </c>
      <c r="O6" s="9">
        <f>SUMIFS(Metas!L:L,Metas!A:A,A6,Metas!B:B,B6,Metas!D:D,D6,Metas!H:H,L$1)</f>
        <v>0.6</v>
      </c>
      <c r="P6" s="35">
        <f t="shared" si="20"/>
        <v>1.6698501259671457</v>
      </c>
      <c r="Q6" s="15">
        <f>MAX(_xlfn.MAXIFS(Parâmetros!O:O,Parâmetros!A:A,A6,Parâmetros!B:B,B6,Parâmetros!D:D,D6,Parâmetros!M:M,"&lt;="&amp;J6),_xlfn.MAXIFS(Parâmetros!L:L,Parâmetros!A:A,A6,Parâmetros!B:B,B6,Parâmetros!D:D,D6,Parâmetros!J:J,"&lt;="&amp;J6),SUMIFS(Parâmetros!I:I,Parâmetros!A:A,A6,Parâmetros!B:B,B6,Parâmetros!D:D,D6))</f>
        <v>5600</v>
      </c>
      <c r="R6" s="9">
        <f>MAX(_xlfn.MAXIFS(Parâmetros!Q:Q,Parâmetros!A:A,A6,Parâmetros!B:B,B6,Parâmetros!D:D,D6,Parâmetros!P:P,"&lt;="&amp;N6),_xlfn.MAXIFS(Parâmetros!S:S,Parâmetros!A:A,A6,Parâmetros!B:B,B6,Parâmetros!D:D,D6,Parâmetros!R:R,"&lt;="&amp;N6),_xlfn.MAXIFS(Parâmetros!U:U,Parâmetros!A:A,A6,Parâmetros!B:B,B6,Parâmetros!D:D,D6,Parâmetros!T:T,"&lt;="&amp;N6),1) * IF(N6 &gt;= SUMIFS(Parâmetros!G:G,Parâmetros!A:A,A6,Parâmetros!B:B,B6,Parâmetros!D:D,D6),1,0)</f>
        <v>1.25</v>
      </c>
      <c r="S6" s="16">
        <f t="shared" si="21"/>
        <v>7000</v>
      </c>
      <c r="T6" s="16">
        <f t="shared" si="22"/>
        <v>11688.950881770019</v>
      </c>
      <c r="U6" s="15" t="str">
        <f t="shared" si="0"/>
        <v/>
      </c>
      <c r="V6" s="16" t="str">
        <f t="shared" si="1"/>
        <v/>
      </c>
      <c r="W6" s="90">
        <f t="shared" si="2"/>
        <v>0</v>
      </c>
      <c r="X6" s="16" t="str">
        <f t="shared" si="3"/>
        <v/>
      </c>
      <c r="Y6" s="16" t="str">
        <f t="shared" si="4"/>
        <v/>
      </c>
      <c r="Z6" s="90">
        <f t="shared" si="5"/>
        <v>0</v>
      </c>
      <c r="AA6" s="7" t="str">
        <f t="shared" si="6"/>
        <v/>
      </c>
      <c r="AB6" s="7" t="str">
        <f>IF(OR(B6=3,B6=6,B6=9,B6=12),
IF(AND(Z6&gt;=1,W6&gt;=SUMIFS(Parâmetros!L:L,Parâmetros!F:F,F6,Parâmetros!G:G,G6,Parâmetros!I:I,'Comissões GD'!I5)),W6*0.3,""),"")</f>
        <v/>
      </c>
      <c r="AC6" s="15" t="str">
        <f t="shared" si="7"/>
        <v/>
      </c>
      <c r="AD6" s="16" t="str">
        <f t="shared" si="8"/>
        <v/>
      </c>
      <c r="AE6" s="10">
        <f t="shared" si="9"/>
        <v>0</v>
      </c>
      <c r="AF6" s="99">
        <f>SUMIFS(Metas!L:L,Metas!A:A,A6,Metas!B:B,B6,Metas!D:D,D6,Metas!H:H,H$1)</f>
        <v>0.4</v>
      </c>
      <c r="AG6" s="16" t="str">
        <f t="shared" si="10"/>
        <v/>
      </c>
      <c r="AH6" s="16" t="str">
        <f t="shared" si="11"/>
        <v/>
      </c>
      <c r="AI6" s="10">
        <f t="shared" si="12"/>
        <v>0</v>
      </c>
      <c r="AJ6" s="99">
        <f>SUMIFS(Metas!L:L,Metas!A:A,A6,Metas!B:B,B6,Metas!D:D,D6,Metas!H:H,L$1)</f>
        <v>0.6</v>
      </c>
      <c r="AK6" s="90">
        <f t="shared" si="13"/>
        <v>0</v>
      </c>
      <c r="AL6" s="16" t="str">
        <f t="shared" si="14"/>
        <v/>
      </c>
      <c r="AM6" s="102" cm="1">
        <f t="array" ref="AM6">_xlfn.LET(
_xlpm.a,A6,
_xlpm.b,B6,
_xlpm.d,D6,
_xlpm.lim,AI6,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0</v>
      </c>
      <c r="AN6" s="16">
        <f t="shared" si="15"/>
        <v>0</v>
      </c>
      <c r="AO6" s="101">
        <f t="shared" si="16"/>
        <v>0</v>
      </c>
      <c r="AP6" s="16" t="str">
        <f t="shared" si="17"/>
        <v/>
      </c>
      <c r="AQ6" s="22" t="str">
        <f t="shared" si="23"/>
        <v/>
      </c>
    </row>
    <row r="7" spans="1:43">
      <c r="A7" s="7">
        <v>2026</v>
      </c>
      <c r="B7" s="7">
        <v>1</v>
      </c>
      <c r="C7" s="7" t="str">
        <v>Fernanda Cristina Barbosa</v>
      </c>
      <c r="D7" s="7" t="str">
        <v>fernanda.barbosa@altoqi.com.br</v>
      </c>
      <c r="E7" s="7" t="str">
        <v>Governo</v>
      </c>
      <c r="F7" s="7" t="str">
        <v>Consultor</v>
      </c>
      <c r="G7" s="7" t="str">
        <v>marcelo.maestro@altoqi.com.br</v>
      </c>
      <c r="H7" s="15">
        <f>SUMIFS(Negócios!J:J,Negócios!A:A,A7,Negócios!B:B,B7,Negócios!P:P,D7,Negócios!AH:AH,"&lt;&gt;n")</f>
        <v>65456.880000000005</v>
      </c>
      <c r="I7" s="16">
        <f>SUMIFS(Metas!K:K,Metas!A:A,A7,Metas!B:B,B7,Metas!D:D,D7,Metas!H:H,H$1)</f>
        <v>92683.7</v>
      </c>
      <c r="J7" s="10">
        <f t="shared" si="18"/>
        <v>0.70623939268717162</v>
      </c>
      <c r="K7" s="9">
        <f>SUMIFS(Metas!L:L,Metas!A:A,A7,Metas!B:B,B7,Metas!D:D,D7,Metas!H:H,H$1)</f>
        <v>0.4</v>
      </c>
      <c r="L7" s="15">
        <f>SUMIFS(Negócios!I:I,Negócios!A:A,A7,Negócios!B:B,B7,Negócios!P:P,D7,Negócios!AH:AH,"&lt;&gt;n")</f>
        <v>85616.88</v>
      </c>
      <c r="M7" s="16">
        <f>SUMIFS(Metas!K:K,Metas!A:A,A7,Metas!B:B,B7,Metas!D:D,D7,Metas!H:H,L$1)</f>
        <v>185367.4</v>
      </c>
      <c r="N7" s="10">
        <f t="shared" si="19"/>
        <v>0.4618766838181903</v>
      </c>
      <c r="O7" s="9">
        <f>SUMIFS(Metas!L:L,Metas!A:A,A7,Metas!B:B,B7,Metas!D:D,D7,Metas!H:H,L$1)</f>
        <v>0.6</v>
      </c>
      <c r="P7" s="35">
        <f t="shared" si="20"/>
        <v>0.55962176736578284</v>
      </c>
      <c r="Q7" s="15">
        <f>MAX(_xlfn.MAXIFS(Parâmetros!O:O,Parâmetros!A:A,A7,Parâmetros!B:B,B7,Parâmetros!D:D,D7,Parâmetros!M:M,"&lt;="&amp;J7),_xlfn.MAXIFS(Parâmetros!L:L,Parâmetros!A:A,A7,Parâmetros!B:B,B7,Parâmetros!D:D,D7,Parâmetros!J:J,"&lt;="&amp;J7),SUMIFS(Parâmetros!I:I,Parâmetros!A:A,A7,Parâmetros!B:B,B7,Parâmetros!D:D,D7))</f>
        <v>5600</v>
      </c>
      <c r="R7" s="9">
        <f>MAX(_xlfn.MAXIFS(Parâmetros!Q:Q,Parâmetros!A:A,A7,Parâmetros!B:B,B7,Parâmetros!D:D,D7,Parâmetros!P:P,"&lt;="&amp;N7),_xlfn.MAXIFS(Parâmetros!S:S,Parâmetros!A:A,A7,Parâmetros!B:B,B7,Parâmetros!D:D,D7,Parâmetros!R:R,"&lt;="&amp;N7),_xlfn.MAXIFS(Parâmetros!U:U,Parâmetros!A:A,A7,Parâmetros!B:B,B7,Parâmetros!D:D,D7,Parâmetros!T:T,"&lt;="&amp;N7),1) * IF(N7 &gt;= SUMIFS(Parâmetros!G:G,Parâmetros!A:A,A7,Parâmetros!B:B,B7,Parâmetros!D:D,D7),1,0)</f>
        <v>0</v>
      </c>
      <c r="S7" s="16">
        <f t="shared" si="21"/>
        <v>0</v>
      </c>
      <c r="T7" s="16">
        <f t="shared" si="22"/>
        <v>0</v>
      </c>
      <c r="U7" s="15" t="str">
        <f t="shared" si="0"/>
        <v/>
      </c>
      <c r="V7" s="16" t="str">
        <f t="shared" si="1"/>
        <v/>
      </c>
      <c r="W7" s="90">
        <f t="shared" si="2"/>
        <v>0</v>
      </c>
      <c r="X7" s="16" t="str">
        <f t="shared" si="3"/>
        <v/>
      </c>
      <c r="Y7" s="16" t="str">
        <f t="shared" si="4"/>
        <v/>
      </c>
      <c r="Z7" s="90">
        <f t="shared" si="5"/>
        <v>0</v>
      </c>
      <c r="AA7" s="7" t="str">
        <f t="shared" si="6"/>
        <v/>
      </c>
      <c r="AB7" s="7" t="str">
        <f>IF(OR(B7=3,B7=6,B7=9,B7=12),
IF(AND(Z7&gt;=1,W7&gt;=SUMIFS(Parâmetros!L:L,Parâmetros!F:F,F7,Parâmetros!G:G,G7,Parâmetros!I:I,'Comissões GD'!I6)),W7*0.3,""),"")</f>
        <v/>
      </c>
      <c r="AC7" s="15" t="str">
        <f t="shared" si="7"/>
        <v/>
      </c>
      <c r="AD7" s="16" t="str">
        <f t="shared" si="8"/>
        <v/>
      </c>
      <c r="AE7" s="10">
        <f t="shared" si="9"/>
        <v>0</v>
      </c>
      <c r="AF7" s="99">
        <f>SUMIFS(Metas!L:L,Metas!A:A,A7,Metas!B:B,B7,Metas!D:D,D7,Metas!H:H,H$1)</f>
        <v>0.4</v>
      </c>
      <c r="AG7" s="16" t="str">
        <f t="shared" si="10"/>
        <v/>
      </c>
      <c r="AH7" s="16" t="str">
        <f t="shared" si="11"/>
        <v/>
      </c>
      <c r="AI7" s="10">
        <f t="shared" si="12"/>
        <v>0</v>
      </c>
      <c r="AJ7" s="99">
        <f>SUMIFS(Metas!L:L,Metas!A:A,A7,Metas!B:B,B7,Metas!D:D,D7,Metas!H:H,L$1)</f>
        <v>0.6</v>
      </c>
      <c r="AK7" s="90">
        <f t="shared" si="13"/>
        <v>0</v>
      </c>
      <c r="AL7" s="16" t="str">
        <f t="shared" si="14"/>
        <v/>
      </c>
      <c r="AM7" s="102" cm="1">
        <f t="array" ref="AM7">_xlfn.LET(
_xlpm.a,A7,
_xlpm.b,B7,
_xlpm.d,D7,
_xlpm.lim,AI7,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0</v>
      </c>
      <c r="AN7" s="16">
        <f t="shared" si="15"/>
        <v>0</v>
      </c>
      <c r="AO7" s="101">
        <f t="shared" si="16"/>
        <v>0</v>
      </c>
      <c r="AP7" s="16" t="str">
        <f t="shared" si="17"/>
        <v/>
      </c>
      <c r="AQ7" s="22" t="str">
        <f t="shared" si="23"/>
        <v/>
      </c>
    </row>
    <row r="8" spans="1:43">
      <c r="A8" s="7">
        <v>2026</v>
      </c>
      <c r="B8" s="7">
        <v>1</v>
      </c>
      <c r="C8" s="7" t="str">
        <v>Henry Carlos Petersen</v>
      </c>
      <c r="D8" s="7" t="str">
        <v>henry.petersen@altoqi.com.br</v>
      </c>
      <c r="E8" s="7" t="str">
        <v>Governo</v>
      </c>
      <c r="F8" s="7" t="str">
        <v>Consultor</v>
      </c>
      <c r="G8" s="7" t="str">
        <v>marcelo.maestro@altoqi.com.br</v>
      </c>
      <c r="H8" s="15">
        <f>SUMIFS(Negócios!J:J,Negócios!A:A,A8,Negócios!B:B,B8,Negócios!P:P,D8,Negócios!AH:AH,"&lt;&gt;n")</f>
        <v>50760.479999999996</v>
      </c>
      <c r="I8" s="16">
        <f>SUMIFS(Metas!K:K,Metas!A:A,A8,Metas!B:B,B8,Metas!D:D,D8,Metas!H:H,H$1)</f>
        <v>198811.3</v>
      </c>
      <c r="J8" s="10">
        <f t="shared" si="18"/>
        <v>0.25531989378873332</v>
      </c>
      <c r="K8" s="9">
        <f>SUMIFS(Metas!L:L,Metas!A:A,A8,Metas!B:B,B8,Metas!D:D,D8,Metas!H:H,H$1)</f>
        <v>0.4</v>
      </c>
      <c r="L8" s="15">
        <f>SUMIFS(Negócios!I:I,Negócios!A:A,A8,Negócios!B:B,B8,Negócios!P:P,D8,Negócios!AH:AH,"&lt;&gt;n")</f>
        <v>50760.479999999996</v>
      </c>
      <c r="M8" s="16">
        <f>SUMIFS(Metas!K:K,Metas!A:A,A8,Metas!B:B,B8,Metas!D:D,D8,Metas!H:H,L$1)</f>
        <v>397622.6</v>
      </c>
      <c r="N8" s="10">
        <f t="shared" si="19"/>
        <v>0.12765994689436666</v>
      </c>
      <c r="O8" s="9">
        <f>SUMIFS(Metas!L:L,Metas!A:A,A8,Metas!B:B,B8,Metas!D:D,D8,Metas!H:H,L$1)</f>
        <v>0.6</v>
      </c>
      <c r="P8" s="35">
        <f t="shared" si="20"/>
        <v>0.17872392565211331</v>
      </c>
      <c r="Q8" s="15">
        <f>MAX(_xlfn.MAXIFS(Parâmetros!O:O,Parâmetros!A:A,A8,Parâmetros!B:B,B8,Parâmetros!D:D,D8,Parâmetros!M:M,"&lt;="&amp;J8),_xlfn.MAXIFS(Parâmetros!L:L,Parâmetros!A:A,A8,Parâmetros!B:B,B8,Parâmetros!D:D,D8,Parâmetros!J:J,"&lt;="&amp;J8),SUMIFS(Parâmetros!I:I,Parâmetros!A:A,A8,Parâmetros!B:B,B8,Parâmetros!D:D,D8))</f>
        <v>10000</v>
      </c>
      <c r="R8" s="9">
        <f>MAX(_xlfn.MAXIFS(Parâmetros!Q:Q,Parâmetros!A:A,A8,Parâmetros!B:B,B8,Parâmetros!D:D,D8,Parâmetros!P:P,"&lt;="&amp;N8),_xlfn.MAXIFS(Parâmetros!S:S,Parâmetros!A:A,A8,Parâmetros!B:B,B8,Parâmetros!D:D,D8,Parâmetros!R:R,"&lt;="&amp;N8),_xlfn.MAXIFS(Parâmetros!U:U,Parâmetros!A:A,A8,Parâmetros!B:B,B8,Parâmetros!D:D,D8,Parâmetros!T:T,"&lt;="&amp;N8),1) * IF(N8 &gt;= SUMIFS(Parâmetros!G:G,Parâmetros!A:A,A8,Parâmetros!B:B,B8,Parâmetros!D:D,D8),1,0)</f>
        <v>0</v>
      </c>
      <c r="S8" s="16">
        <f t="shared" si="21"/>
        <v>0</v>
      </c>
      <c r="T8" s="16">
        <f t="shared" si="22"/>
        <v>0</v>
      </c>
      <c r="U8" s="15" t="str">
        <f t="shared" si="0"/>
        <v/>
      </c>
      <c r="V8" s="16" t="str">
        <f t="shared" si="1"/>
        <v/>
      </c>
      <c r="W8" s="90">
        <f t="shared" si="2"/>
        <v>0</v>
      </c>
      <c r="X8" s="16" t="str">
        <f t="shared" si="3"/>
        <v/>
      </c>
      <c r="Y8" s="16" t="str">
        <f t="shared" si="4"/>
        <v/>
      </c>
      <c r="Z8" s="90">
        <f t="shared" si="5"/>
        <v>0</v>
      </c>
      <c r="AA8" s="7" t="str">
        <f t="shared" si="6"/>
        <v/>
      </c>
      <c r="AB8" s="7" t="str">
        <f>IF(OR(B8=3,B8=6,B8=9,B8=12),
IF(AND(Z8&gt;=1,W8&gt;=SUMIFS(Parâmetros!L:L,Parâmetros!F:F,F8,Parâmetros!G:G,G8,Parâmetros!I:I,'Comissões GD'!I7)),W8*0.3,""),"")</f>
        <v/>
      </c>
      <c r="AC8" s="15" t="str">
        <f t="shared" si="7"/>
        <v/>
      </c>
      <c r="AD8" s="16" t="str">
        <f t="shared" si="8"/>
        <v/>
      </c>
      <c r="AE8" s="10">
        <f t="shared" si="9"/>
        <v>0</v>
      </c>
      <c r="AF8" s="99">
        <f>SUMIFS(Metas!L:L,Metas!A:A,A8,Metas!B:B,B8,Metas!D:D,D8,Metas!H:H,H$1)</f>
        <v>0.4</v>
      </c>
      <c r="AG8" s="16" t="str">
        <f t="shared" si="10"/>
        <v/>
      </c>
      <c r="AH8" s="16" t="str">
        <f t="shared" si="11"/>
        <v/>
      </c>
      <c r="AI8" s="10">
        <f t="shared" si="12"/>
        <v>0</v>
      </c>
      <c r="AJ8" s="99">
        <f>SUMIFS(Metas!L:L,Metas!A:A,A8,Metas!B:B,B8,Metas!D:D,D8,Metas!H:H,L$1)</f>
        <v>0.6</v>
      </c>
      <c r="AK8" s="90">
        <f t="shared" si="13"/>
        <v>0</v>
      </c>
      <c r="AL8" s="16" t="str">
        <f t="shared" si="14"/>
        <v/>
      </c>
      <c r="AM8" s="102" cm="1">
        <f t="array" ref="AM8">_xlfn.LET(
_xlpm.a,A8,
_xlpm.b,B8,
_xlpm.d,D8,
_xlpm.lim,AI8,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0</v>
      </c>
      <c r="AN8" s="16">
        <f t="shared" si="15"/>
        <v>0</v>
      </c>
      <c r="AO8" s="101">
        <f t="shared" si="16"/>
        <v>0</v>
      </c>
      <c r="AP8" s="16" t="str">
        <f t="shared" si="17"/>
        <v/>
      </c>
      <c r="AQ8" s="22" t="str">
        <f t="shared" si="23"/>
        <v/>
      </c>
    </row>
    <row r="9" spans="1:43">
      <c r="A9" s="7">
        <v>2026</v>
      </c>
      <c r="B9" s="7">
        <v>1</v>
      </c>
      <c r="C9" s="7" t="str">
        <v>Jenifer das Dores Soares</v>
      </c>
      <c r="D9" s="7" t="str">
        <v>jenifer.soares@altoqi.com.br</v>
      </c>
      <c r="E9" s="7" t="str">
        <v>Governo</v>
      </c>
      <c r="F9" s="7" t="str">
        <v>Consultor</v>
      </c>
      <c r="G9" s="7" t="str">
        <v>marcelo.maestro@altoqi.com.br</v>
      </c>
      <c r="H9" s="15">
        <f>SUMIFS(Negócios!J:J,Negócios!A:A,A9,Negócios!B:B,B9,Negócios!P:P,D9,Negócios!AH:AH,"&lt;&gt;n")</f>
        <v>150877.68</v>
      </c>
      <c r="I9" s="16">
        <f>SUMIFS(Metas!K:K,Metas!A:A,A9,Metas!B:B,B9,Metas!D:D,D9,Metas!H:H,H$1)</f>
        <v>53512.5</v>
      </c>
      <c r="J9" s="10">
        <f t="shared" si="18"/>
        <v>2.8194847932725997</v>
      </c>
      <c r="K9" s="9">
        <f>SUMIFS(Metas!L:L,Metas!A:A,A9,Metas!B:B,B9,Metas!D:D,D9,Metas!H:H,H$1)</f>
        <v>0.4</v>
      </c>
      <c r="L9" s="15">
        <f>SUMIFS(Negócios!I:I,Negócios!A:A,A9,Negócios!B:B,B9,Negócios!P:P,D9,Negócios!AH:AH,"&lt;&gt;n")</f>
        <v>150877.68</v>
      </c>
      <c r="M9" s="16">
        <f>SUMIFS(Metas!K:K,Metas!A:A,A9,Metas!B:B,B9,Metas!D:D,D9,Metas!H:H,L$1)</f>
        <v>107025</v>
      </c>
      <c r="N9" s="10">
        <f t="shared" si="19"/>
        <v>1.4097423966362999</v>
      </c>
      <c r="O9" s="9">
        <f>SUMIFS(Metas!L:L,Metas!A:A,A9,Metas!B:B,B9,Metas!D:D,D9,Metas!H:H,L$1)</f>
        <v>0.6</v>
      </c>
      <c r="P9" s="35">
        <f t="shared" si="20"/>
        <v>1.9736393552908198</v>
      </c>
      <c r="Q9" s="15">
        <f>MAX(_xlfn.MAXIFS(Parâmetros!O:O,Parâmetros!A:A,A9,Parâmetros!B:B,B9,Parâmetros!D:D,D9,Parâmetros!M:M,"&lt;="&amp;J9),_xlfn.MAXIFS(Parâmetros!L:L,Parâmetros!A:A,A9,Parâmetros!B:B,B9,Parâmetros!D:D,D9,Parâmetros!J:J,"&lt;="&amp;J9),SUMIFS(Parâmetros!I:I,Parâmetros!A:A,A9,Parâmetros!B:B,B9,Parâmetros!D:D,D9))</f>
        <v>3456</v>
      </c>
      <c r="R9" s="9">
        <f>MAX(_xlfn.MAXIFS(Parâmetros!Q:Q,Parâmetros!A:A,A9,Parâmetros!B:B,B9,Parâmetros!D:D,D9,Parâmetros!P:P,"&lt;="&amp;N9),_xlfn.MAXIFS(Parâmetros!S:S,Parâmetros!A:A,A9,Parâmetros!B:B,B9,Parâmetros!D:D,D9,Parâmetros!R:R,"&lt;="&amp;N9),_xlfn.MAXIFS(Parâmetros!U:U,Parâmetros!A:A,A9,Parâmetros!B:B,B9,Parâmetros!D:D,D9,Parâmetros!T:T,"&lt;="&amp;N9),1) * IF(N9 &gt;= SUMIFS(Parâmetros!G:G,Parâmetros!A:A,A9,Parâmetros!B:B,B9,Parâmetros!D:D,D9),1,0)</f>
        <v>1.25</v>
      </c>
      <c r="S9" s="16">
        <f t="shared" si="21"/>
        <v>4320</v>
      </c>
      <c r="T9" s="16">
        <f t="shared" si="22"/>
        <v>8526.1220148563407</v>
      </c>
      <c r="U9" s="15" t="str">
        <f t="shared" si="0"/>
        <v/>
      </c>
      <c r="V9" s="16" t="str">
        <f t="shared" si="1"/>
        <v/>
      </c>
      <c r="W9" s="90">
        <f t="shared" si="2"/>
        <v>0</v>
      </c>
      <c r="X9" s="16" t="str">
        <f t="shared" si="3"/>
        <v/>
      </c>
      <c r="Y9" s="16" t="str">
        <f t="shared" si="4"/>
        <v/>
      </c>
      <c r="Z9" s="90">
        <f t="shared" si="5"/>
        <v>0</v>
      </c>
      <c r="AA9" s="7" t="str">
        <f t="shared" si="6"/>
        <v/>
      </c>
      <c r="AB9" s="7" t="str">
        <f>IF(OR(B9=3,B9=6,B9=9,B9=12),
IF(AND(Z9&gt;=1,W9&gt;=SUMIFS(Parâmetros!L:L,Parâmetros!F:F,F9,Parâmetros!G:G,G9,Parâmetros!I:I,'Comissões GD'!I8)),W9*0.3,""),"")</f>
        <v/>
      </c>
      <c r="AC9" s="15" t="str">
        <f t="shared" si="7"/>
        <v/>
      </c>
      <c r="AD9" s="16" t="str">
        <f t="shared" si="8"/>
        <v/>
      </c>
      <c r="AE9" s="10">
        <f t="shared" si="9"/>
        <v>0</v>
      </c>
      <c r="AF9" s="99">
        <f>SUMIFS(Metas!L:L,Metas!A:A,A9,Metas!B:B,B9,Metas!D:D,D9,Metas!H:H,H$1)</f>
        <v>0.4</v>
      </c>
      <c r="AG9" s="16" t="str">
        <f t="shared" si="10"/>
        <v/>
      </c>
      <c r="AH9" s="16" t="str">
        <f t="shared" si="11"/>
        <v/>
      </c>
      <c r="AI9" s="10">
        <f t="shared" si="12"/>
        <v>0</v>
      </c>
      <c r="AJ9" s="99">
        <f>SUMIFS(Metas!L:L,Metas!A:A,A9,Metas!B:B,B9,Metas!D:D,D9,Metas!H:H,L$1)</f>
        <v>0.6</v>
      </c>
      <c r="AK9" s="90">
        <f t="shared" si="13"/>
        <v>0</v>
      </c>
      <c r="AL9" s="16" t="str">
        <f t="shared" si="14"/>
        <v/>
      </c>
      <c r="AM9" s="102" cm="1">
        <f t="array" ref="AM9">_xlfn.LET(
_xlpm.a,A9,
_xlpm.b,B9,
_xlpm.d,D9,
_xlpm.lim,AI9,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0</v>
      </c>
      <c r="AN9" s="16">
        <f t="shared" si="15"/>
        <v>0</v>
      </c>
      <c r="AO9" s="101">
        <f t="shared" si="16"/>
        <v>0</v>
      </c>
      <c r="AP9" s="16" t="str">
        <f t="shared" si="17"/>
        <v/>
      </c>
      <c r="AQ9" s="22" t="str">
        <f t="shared" si="23"/>
        <v/>
      </c>
    </row>
    <row r="10" spans="1:43">
      <c r="A10" s="7">
        <v>2026</v>
      </c>
      <c r="B10" s="7">
        <v>1</v>
      </c>
      <c r="C10" s="7" t="str">
        <v>Jordayn Almeida</v>
      </c>
      <c r="D10" s="7" t="str">
        <v>jordayn.almeida@altoqi.com.br</v>
      </c>
      <c r="E10" s="7" t="str">
        <v>Governo</v>
      </c>
      <c r="F10" s="7" t="str">
        <v>Consultor</v>
      </c>
      <c r="G10" s="7" t="str">
        <v>marcelo.maestro@altoqi.com.br</v>
      </c>
      <c r="H10" s="15">
        <f>SUMIFS(Negócios!J:J,Negócios!A:A,A10,Negócios!B:B,B10,Negócios!P:P,D10,Negócios!AH:AH,"&lt;&gt;n")</f>
        <v>24643.5</v>
      </c>
      <c r="I10" s="16">
        <f>SUMIFS(Metas!K:K,Metas!A:A,A10,Metas!B:B,B10,Metas!D:D,D10,Metas!H:H,H$1)</f>
        <v>75000</v>
      </c>
      <c r="J10" s="10">
        <f t="shared" si="18"/>
        <v>0.32857999999999998</v>
      </c>
      <c r="K10" s="9">
        <f>SUMIFS(Metas!L:L,Metas!A:A,A10,Metas!B:B,B10,Metas!D:D,D10,Metas!H:H,H$1)</f>
        <v>0.4</v>
      </c>
      <c r="L10" s="15">
        <f>SUMIFS(Negócios!I:I,Negócios!A:A,A10,Negócios!B:B,B10,Negócios!P:P,D10,Negócios!AH:AH,"&lt;&gt;n")</f>
        <v>24643.5</v>
      </c>
      <c r="M10" s="16">
        <f>SUMIFS(Metas!K:K,Metas!A:A,A10,Metas!B:B,B10,Metas!D:D,D10,Metas!H:H,L$1)</f>
        <v>150000</v>
      </c>
      <c r="N10" s="10">
        <f t="shared" si="19"/>
        <v>0.16428999999999999</v>
      </c>
      <c r="O10" s="9">
        <f>SUMIFS(Metas!L:L,Metas!A:A,A10,Metas!B:B,B10,Metas!D:D,D10,Metas!H:H,L$1)</f>
        <v>0.6</v>
      </c>
      <c r="P10" s="35">
        <f t="shared" si="20"/>
        <v>0.23000599999999999</v>
      </c>
      <c r="Q10" s="15">
        <f>MAX(_xlfn.MAXIFS(Parâmetros!O:O,Parâmetros!A:A,A10,Parâmetros!B:B,B10,Parâmetros!D:D,D10,Parâmetros!M:M,"&lt;="&amp;J10),_xlfn.MAXIFS(Parâmetros!L:L,Parâmetros!A:A,A10,Parâmetros!B:B,B10,Parâmetros!D:D,D10,Parâmetros!J:J,"&lt;="&amp;J10),SUMIFS(Parâmetros!I:I,Parâmetros!A:A,A10,Parâmetros!B:B,B10,Parâmetros!D:D,D10))</f>
        <v>10000</v>
      </c>
      <c r="R10" s="9">
        <f>MAX(_xlfn.MAXIFS(Parâmetros!Q:Q,Parâmetros!A:A,A10,Parâmetros!B:B,B10,Parâmetros!D:D,D10,Parâmetros!P:P,"&lt;="&amp;N10),_xlfn.MAXIFS(Parâmetros!S:S,Parâmetros!A:A,A10,Parâmetros!B:B,B10,Parâmetros!D:D,D10,Parâmetros!R:R,"&lt;="&amp;N10),_xlfn.MAXIFS(Parâmetros!U:U,Parâmetros!A:A,A10,Parâmetros!B:B,B10,Parâmetros!D:D,D10,Parâmetros!T:T,"&lt;="&amp;N10),1) * IF(N10 &gt;= SUMIFS(Parâmetros!G:G,Parâmetros!A:A,A10,Parâmetros!B:B,B10,Parâmetros!D:D,D10),1,0)</f>
        <v>0</v>
      </c>
      <c r="S10" s="16">
        <f t="shared" si="21"/>
        <v>0</v>
      </c>
      <c r="T10" s="16">
        <f t="shared" si="22"/>
        <v>0</v>
      </c>
      <c r="U10" s="15" t="str">
        <f t="shared" si="0"/>
        <v/>
      </c>
      <c r="V10" s="16" t="str">
        <f t="shared" si="1"/>
        <v/>
      </c>
      <c r="W10" s="90">
        <f t="shared" si="2"/>
        <v>0</v>
      </c>
      <c r="X10" s="16" t="str">
        <f t="shared" si="3"/>
        <v/>
      </c>
      <c r="Y10" s="16" t="str">
        <f t="shared" si="4"/>
        <v/>
      </c>
      <c r="Z10" s="90">
        <f t="shared" si="5"/>
        <v>0</v>
      </c>
      <c r="AA10" s="7" t="str">
        <f t="shared" si="6"/>
        <v/>
      </c>
      <c r="AB10" s="7" t="str">
        <f>IF(OR(B10=3,B10=6,B10=9,B10=12),
IF(AND(Z10&gt;=1,W10&gt;=SUMIFS(Parâmetros!L:L,Parâmetros!F:F,F10,Parâmetros!G:G,G10,Parâmetros!I:I,'Comissões GD'!I9)),W10*0.3,""),"")</f>
        <v/>
      </c>
      <c r="AC10" s="15" t="str">
        <f t="shared" si="7"/>
        <v/>
      </c>
      <c r="AD10" s="16" t="str">
        <f t="shared" si="8"/>
        <v/>
      </c>
      <c r="AE10" s="10">
        <f t="shared" si="9"/>
        <v>0</v>
      </c>
      <c r="AF10" s="99">
        <f>SUMIFS(Metas!L:L,Metas!A:A,A10,Metas!B:B,B10,Metas!D:D,D10,Metas!H:H,H$1)</f>
        <v>0.4</v>
      </c>
      <c r="AG10" s="16" t="str">
        <f t="shared" si="10"/>
        <v/>
      </c>
      <c r="AH10" s="16" t="str">
        <f t="shared" si="11"/>
        <v/>
      </c>
      <c r="AI10" s="10">
        <f t="shared" si="12"/>
        <v>0</v>
      </c>
      <c r="AJ10" s="99">
        <f>SUMIFS(Metas!L:L,Metas!A:A,A10,Metas!B:B,B10,Metas!D:D,D10,Metas!H:H,L$1)</f>
        <v>0.6</v>
      </c>
      <c r="AK10" s="90">
        <f t="shared" si="13"/>
        <v>0</v>
      </c>
      <c r="AL10" s="16" t="str">
        <f t="shared" si="14"/>
        <v/>
      </c>
      <c r="AM10" s="102" cm="1">
        <f t="array" ref="AM10">_xlfn.LET(
_xlpm.a,A10,
_xlpm.b,B10,
_xlpm.d,D10,
_xlpm.lim,AI10,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0</v>
      </c>
      <c r="AN10" s="16">
        <f t="shared" si="15"/>
        <v>0</v>
      </c>
      <c r="AO10" s="101">
        <f t="shared" si="16"/>
        <v>0</v>
      </c>
      <c r="AP10" s="16" t="str">
        <f t="shared" si="17"/>
        <v/>
      </c>
      <c r="AQ10" s="22" t="str">
        <f t="shared" si="23"/>
        <v/>
      </c>
    </row>
    <row r="11" spans="1:43">
      <c r="A11" s="7">
        <v>2026</v>
      </c>
      <c r="B11" s="7">
        <v>1</v>
      </c>
      <c r="C11" s="7" t="str">
        <v>Leandro Fontana da Silva</v>
      </c>
      <c r="D11" s="7" t="str">
        <v>leandro.fontana@altoqi.com.br</v>
      </c>
      <c r="E11" s="7" t="str">
        <v>Governo</v>
      </c>
      <c r="F11" s="7" t="str">
        <v>Consultor</v>
      </c>
      <c r="G11" s="7" t="str">
        <v>marcelo.maestro@altoqi.com.br</v>
      </c>
      <c r="H11" s="15">
        <f>SUMIFS(Negócios!J:J,Negócios!A:A,A11,Negócios!B:B,B11,Negócios!P:P,D11,Negócios!AH:AH,"&lt;&gt;n")</f>
        <v>0</v>
      </c>
      <c r="I11" s="16">
        <f>SUMIFS(Metas!K:K,Metas!A:A,A11,Metas!B:B,B11,Metas!D:D,D11,Metas!H:H,H$1)</f>
        <v>165934.85999999999</v>
      </c>
      <c r="J11" s="10">
        <f t="shared" si="18"/>
        <v>0</v>
      </c>
      <c r="K11" s="9">
        <f>SUMIFS(Metas!L:L,Metas!A:A,A11,Metas!B:B,B11,Metas!D:D,D11,Metas!H:H,H$1)</f>
        <v>0.4</v>
      </c>
      <c r="L11" s="15">
        <f>SUMIFS(Negócios!I:I,Negócios!A:A,A11,Negócios!B:B,B11,Negócios!P:P,D11,Negócios!AH:AH,"&lt;&gt;n")</f>
        <v>0</v>
      </c>
      <c r="M11" s="16">
        <f>SUMIFS(Metas!K:K,Metas!A:A,A11,Metas!B:B,B11,Metas!D:D,D11,Metas!H:H,L$1)</f>
        <v>331869.71999999997</v>
      </c>
      <c r="N11" s="10">
        <f t="shared" si="19"/>
        <v>0</v>
      </c>
      <c r="O11" s="9">
        <f>SUMIFS(Metas!L:L,Metas!A:A,A11,Metas!B:B,B11,Metas!D:D,D11,Metas!H:H,L$1)</f>
        <v>0.6</v>
      </c>
      <c r="P11" s="35">
        <f t="shared" si="20"/>
        <v>0</v>
      </c>
      <c r="Q11" s="15">
        <f>MAX(_xlfn.MAXIFS(Parâmetros!O:O,Parâmetros!A:A,A11,Parâmetros!B:B,B11,Parâmetros!D:D,D11,Parâmetros!M:M,"&lt;="&amp;J11),_xlfn.MAXIFS(Parâmetros!L:L,Parâmetros!A:A,A11,Parâmetros!B:B,B11,Parâmetros!D:D,D11,Parâmetros!J:J,"&lt;="&amp;J11),SUMIFS(Parâmetros!I:I,Parâmetros!A:A,A11,Parâmetros!B:B,B11,Parâmetros!D:D,D11))</f>
        <v>8000</v>
      </c>
      <c r="R11" s="9">
        <f>MAX(_xlfn.MAXIFS(Parâmetros!Q:Q,Parâmetros!A:A,A11,Parâmetros!B:B,B11,Parâmetros!D:D,D11,Parâmetros!P:P,"&lt;="&amp;N11),_xlfn.MAXIFS(Parâmetros!S:S,Parâmetros!A:A,A11,Parâmetros!B:B,B11,Parâmetros!D:D,D11,Parâmetros!R:R,"&lt;="&amp;N11),_xlfn.MAXIFS(Parâmetros!U:U,Parâmetros!A:A,A11,Parâmetros!B:B,B11,Parâmetros!D:D,D11,Parâmetros!T:T,"&lt;="&amp;N11),1) * IF(N11 &gt;= SUMIFS(Parâmetros!G:G,Parâmetros!A:A,A11,Parâmetros!B:B,B11,Parâmetros!D:D,D11),1,0)</f>
        <v>0</v>
      </c>
      <c r="S11" s="16">
        <f t="shared" si="21"/>
        <v>0</v>
      </c>
      <c r="T11" s="16">
        <f t="shared" si="22"/>
        <v>0</v>
      </c>
      <c r="U11" s="15" t="str">
        <f t="shared" si="0"/>
        <v/>
      </c>
      <c r="V11" s="16" t="str">
        <f t="shared" si="1"/>
        <v/>
      </c>
      <c r="W11" s="90">
        <f t="shared" si="2"/>
        <v>0</v>
      </c>
      <c r="X11" s="16" t="str">
        <f t="shared" si="3"/>
        <v/>
      </c>
      <c r="Y11" s="16" t="str">
        <f t="shared" si="4"/>
        <v/>
      </c>
      <c r="Z11" s="90">
        <f t="shared" si="5"/>
        <v>0</v>
      </c>
      <c r="AA11" s="7" t="str">
        <f t="shared" si="6"/>
        <v/>
      </c>
      <c r="AB11" s="7" t="str">
        <f>IF(OR(B11=3,B11=6,B11=9,B11=12),
IF(AND(Z11&gt;=1,W11&gt;=SUMIFS(Parâmetros!L:L,Parâmetros!F:F,F11,Parâmetros!G:G,G11,Parâmetros!I:I,'Comissões GD'!I10)),W11*0.3,""),"")</f>
        <v/>
      </c>
      <c r="AC11" s="15" t="str">
        <f t="shared" si="7"/>
        <v/>
      </c>
      <c r="AD11" s="16" t="str">
        <f t="shared" si="8"/>
        <v/>
      </c>
      <c r="AE11" s="10">
        <f t="shared" si="9"/>
        <v>0</v>
      </c>
      <c r="AF11" s="99">
        <f>SUMIFS(Metas!L:L,Metas!A:A,A11,Metas!B:B,B11,Metas!D:D,D11,Metas!H:H,H$1)</f>
        <v>0.4</v>
      </c>
      <c r="AG11" s="16" t="str">
        <f t="shared" si="10"/>
        <v/>
      </c>
      <c r="AH11" s="16" t="str">
        <f t="shared" si="11"/>
        <v/>
      </c>
      <c r="AI11" s="10">
        <f t="shared" si="12"/>
        <v>0</v>
      </c>
      <c r="AJ11" s="99">
        <f>SUMIFS(Metas!L:L,Metas!A:A,A11,Metas!B:B,B11,Metas!D:D,D11,Metas!H:H,L$1)</f>
        <v>0.6</v>
      </c>
      <c r="AK11" s="90">
        <f t="shared" si="13"/>
        <v>0</v>
      </c>
      <c r="AL11" s="16" t="str">
        <f t="shared" si="14"/>
        <v/>
      </c>
      <c r="AM11" s="102" cm="1">
        <f t="array" ref="AM11">_xlfn.LET(
_xlpm.a,A11,
_xlpm.b,B11,
_xlpm.d,D11,
_xlpm.lim,AI11,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0</v>
      </c>
      <c r="AN11" s="16">
        <f t="shared" si="15"/>
        <v>0</v>
      </c>
      <c r="AO11" s="101">
        <f t="shared" si="16"/>
        <v>0</v>
      </c>
      <c r="AP11" s="16" t="str">
        <f t="shared" si="17"/>
        <v/>
      </c>
      <c r="AQ11" s="22" t="str">
        <f t="shared" si="23"/>
        <v/>
      </c>
    </row>
    <row r="12" spans="1:43">
      <c r="A12" s="7">
        <v>2026</v>
      </c>
      <c r="B12" s="7">
        <v>1</v>
      </c>
      <c r="C12" s="7" t="str">
        <v>Nathan Alves</v>
      </c>
      <c r="D12" s="7" t="str">
        <v>nathan.alves@altoqi.com.br</v>
      </c>
      <c r="E12" s="7" t="str">
        <v>Governo</v>
      </c>
      <c r="F12" s="7" t="str">
        <v>Consultor</v>
      </c>
      <c r="G12" s="7" t="str">
        <v>marcelo.maestro@altoqi.com.br</v>
      </c>
      <c r="H12" s="15">
        <f>SUMIFS(Negócios!J:J,Negócios!A:A,A12,Negócios!B:B,B12,Negócios!P:P,D12,Negócios!AH:AH,"&lt;&gt;n")</f>
        <v>0</v>
      </c>
      <c r="I12" s="16">
        <f>SUMIFS(Metas!K:K,Metas!A:A,A12,Metas!B:B,B12,Metas!D:D,D12,Metas!H:H,H$1)</f>
        <v>66667.5</v>
      </c>
      <c r="J12" s="10">
        <f t="shared" si="18"/>
        <v>0</v>
      </c>
      <c r="K12" s="9">
        <f>SUMIFS(Metas!L:L,Metas!A:A,A12,Metas!B:B,B12,Metas!D:D,D12,Metas!H:H,H$1)</f>
        <v>0.4</v>
      </c>
      <c r="L12" s="15">
        <f>SUMIFS(Negócios!I:I,Negócios!A:A,A12,Negócios!B:B,B12,Negócios!P:P,D12,Negócios!AH:AH,"&lt;&gt;n")</f>
        <v>0</v>
      </c>
      <c r="M12" s="16">
        <f>SUMIFS(Metas!K:K,Metas!A:A,A12,Metas!B:B,B12,Metas!D:D,D12,Metas!H:H,L$1)</f>
        <v>133335</v>
      </c>
      <c r="N12" s="10">
        <f t="shared" si="19"/>
        <v>0</v>
      </c>
      <c r="O12" s="9">
        <f>SUMIFS(Metas!L:L,Metas!A:A,A12,Metas!B:B,B12,Metas!D:D,D12,Metas!H:H,L$1)</f>
        <v>0.6</v>
      </c>
      <c r="P12" s="35">
        <f t="shared" si="20"/>
        <v>0</v>
      </c>
      <c r="Q12" s="15">
        <f>MAX(_xlfn.MAXIFS(Parâmetros!O:O,Parâmetros!A:A,A12,Parâmetros!B:B,B12,Parâmetros!D:D,D12,Parâmetros!M:M,"&lt;="&amp;J12),_xlfn.MAXIFS(Parâmetros!L:L,Parâmetros!A:A,A12,Parâmetros!B:B,B12,Parâmetros!D:D,D12,Parâmetros!J:J,"&lt;="&amp;J12),SUMIFS(Parâmetros!I:I,Parâmetros!A:A,A12,Parâmetros!B:B,B12,Parâmetros!D:D,D12))</f>
        <v>6800</v>
      </c>
      <c r="R12" s="9">
        <f>MAX(_xlfn.MAXIFS(Parâmetros!Q:Q,Parâmetros!A:A,A12,Parâmetros!B:B,B12,Parâmetros!D:D,D12,Parâmetros!P:P,"&lt;="&amp;N12),_xlfn.MAXIFS(Parâmetros!S:S,Parâmetros!A:A,A12,Parâmetros!B:B,B12,Parâmetros!D:D,D12,Parâmetros!R:R,"&lt;="&amp;N12),_xlfn.MAXIFS(Parâmetros!U:U,Parâmetros!A:A,A12,Parâmetros!B:B,B12,Parâmetros!D:D,D12,Parâmetros!T:T,"&lt;="&amp;N12),1) * IF(N12 &gt;= SUMIFS(Parâmetros!G:G,Parâmetros!A:A,A12,Parâmetros!B:B,B12,Parâmetros!D:D,D12),1,0)</f>
        <v>0</v>
      </c>
      <c r="S12" s="16">
        <f t="shared" si="21"/>
        <v>0</v>
      </c>
      <c r="T12" s="16">
        <f t="shared" si="22"/>
        <v>0</v>
      </c>
      <c r="U12" s="15" t="str">
        <f t="shared" si="0"/>
        <v/>
      </c>
      <c r="V12" s="16" t="str">
        <f t="shared" si="1"/>
        <v/>
      </c>
      <c r="W12" s="90">
        <f t="shared" si="2"/>
        <v>0</v>
      </c>
      <c r="X12" s="16" t="str">
        <f t="shared" si="3"/>
        <v/>
      </c>
      <c r="Y12" s="16" t="str">
        <f t="shared" si="4"/>
        <v/>
      </c>
      <c r="Z12" s="90">
        <f t="shared" si="5"/>
        <v>0</v>
      </c>
      <c r="AA12" s="7" t="str">
        <f t="shared" si="6"/>
        <v/>
      </c>
      <c r="AB12" s="7" t="str">
        <f>IF(OR(B12=3,B12=6,B12=9,B12=12),
IF(AND(Z12&gt;=1,W12&gt;=SUMIFS(Parâmetros!L:L,Parâmetros!F:F,F12,Parâmetros!G:G,G12,Parâmetros!I:I,'Comissões GD'!I11)),W12*0.3,""),"")</f>
        <v/>
      </c>
      <c r="AC12" s="15" t="str">
        <f t="shared" si="7"/>
        <v/>
      </c>
      <c r="AD12" s="16" t="str">
        <f t="shared" si="8"/>
        <v/>
      </c>
      <c r="AE12" s="10">
        <f t="shared" si="9"/>
        <v>0</v>
      </c>
      <c r="AF12" s="99">
        <f>SUMIFS(Metas!L:L,Metas!A:A,A12,Metas!B:B,B12,Metas!D:D,D12,Metas!H:H,H$1)</f>
        <v>0.4</v>
      </c>
      <c r="AG12" s="16" t="str">
        <f t="shared" si="10"/>
        <v/>
      </c>
      <c r="AH12" s="16" t="str">
        <f t="shared" si="11"/>
        <v/>
      </c>
      <c r="AI12" s="10">
        <f t="shared" si="12"/>
        <v>0</v>
      </c>
      <c r="AJ12" s="99">
        <f>SUMIFS(Metas!L:L,Metas!A:A,A12,Metas!B:B,B12,Metas!D:D,D12,Metas!H:H,L$1)</f>
        <v>0.6</v>
      </c>
      <c r="AK12" s="90">
        <f t="shared" si="13"/>
        <v>0</v>
      </c>
      <c r="AL12" s="16" t="str">
        <f t="shared" si="14"/>
        <v/>
      </c>
      <c r="AM12" s="102" cm="1">
        <f t="array" ref="AM12">_xlfn.LET(
_xlpm.a,A12,
_xlpm.b,B12,
_xlpm.d,D12,
_xlpm.lim,AI12,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0</v>
      </c>
      <c r="AN12" s="16">
        <f t="shared" si="15"/>
        <v>0</v>
      </c>
      <c r="AO12" s="101">
        <f t="shared" si="16"/>
        <v>0</v>
      </c>
      <c r="AP12" s="16" t="str">
        <f t="shared" si="17"/>
        <v/>
      </c>
      <c r="AQ12" s="22" t="str">
        <f t="shared" si="23"/>
        <v/>
      </c>
    </row>
    <row r="13" spans="1:43">
      <c r="A13" s="7">
        <v>2026</v>
      </c>
      <c r="B13" s="7">
        <v>1</v>
      </c>
      <c r="C13" s="7" t="str">
        <v>Soraia Fronchetti</v>
      </c>
      <c r="D13" s="7" t="str">
        <v>soraia@altoqi.com.br</v>
      </c>
      <c r="E13" s="7" t="str">
        <v>Governo</v>
      </c>
      <c r="F13" s="7" t="str">
        <v>Consultor</v>
      </c>
      <c r="G13" s="7" t="str">
        <v>marcelo.maestro@altoqi.com.br</v>
      </c>
      <c r="H13" s="15">
        <f>SUMIFS(Negócios!J:J,Negócios!A:A,A13,Negócios!B:B,B13,Negócios!P:P,D13,Negócios!AH:AH,"&lt;&gt;n")</f>
        <v>24643.5</v>
      </c>
      <c r="I13" s="16">
        <f>SUMIFS(Metas!K:K,Metas!A:A,A13,Metas!B:B,B13,Metas!D:D,D13,Metas!H:H,H$1)</f>
        <v>198760</v>
      </c>
      <c r="J13" s="10">
        <f t="shared" si="18"/>
        <v>0.12398621453008654</v>
      </c>
      <c r="K13" s="9">
        <f>SUMIFS(Metas!L:L,Metas!A:A,A13,Metas!B:B,B13,Metas!D:D,D13,Metas!H:H,H$1)</f>
        <v>0.4</v>
      </c>
      <c r="L13" s="15">
        <f>SUMIFS(Negócios!I:I,Negócios!A:A,A13,Negócios!B:B,B13,Negócios!P:P,D13,Negócios!AH:AH,"&lt;&gt;n")</f>
        <v>82627.5</v>
      </c>
      <c r="M13" s="16">
        <f>SUMIFS(Metas!K:K,Metas!A:A,A13,Metas!B:B,B13,Metas!D:D,D13,Metas!H:H,L$1)</f>
        <v>397520</v>
      </c>
      <c r="N13" s="10">
        <f t="shared" si="19"/>
        <v>0.20785746629100424</v>
      </c>
      <c r="O13" s="9">
        <f>SUMIFS(Metas!L:L,Metas!A:A,A13,Metas!B:B,B13,Metas!D:D,D13,Metas!H:H,L$1)</f>
        <v>0.6</v>
      </c>
      <c r="P13" s="35">
        <f t="shared" si="20"/>
        <v>0.17430896558663717</v>
      </c>
      <c r="Q13" s="15">
        <f>MAX(_xlfn.MAXIFS(Parâmetros!O:O,Parâmetros!A:A,A13,Parâmetros!B:B,B13,Parâmetros!D:D,D13,Parâmetros!M:M,"&lt;="&amp;J13),_xlfn.MAXIFS(Parâmetros!L:L,Parâmetros!A:A,A13,Parâmetros!B:B,B13,Parâmetros!D:D,D13,Parâmetros!J:J,"&lt;="&amp;J13),SUMIFS(Parâmetros!I:I,Parâmetros!A:A,A13,Parâmetros!B:B,B13,Parâmetros!D:D,D13))</f>
        <v>9200</v>
      </c>
      <c r="R13" s="9">
        <f>MAX(_xlfn.MAXIFS(Parâmetros!Q:Q,Parâmetros!A:A,A13,Parâmetros!B:B,B13,Parâmetros!D:D,D13,Parâmetros!P:P,"&lt;="&amp;N13),_xlfn.MAXIFS(Parâmetros!S:S,Parâmetros!A:A,A13,Parâmetros!B:B,B13,Parâmetros!D:D,D13,Parâmetros!R:R,"&lt;="&amp;N13),_xlfn.MAXIFS(Parâmetros!U:U,Parâmetros!A:A,A13,Parâmetros!B:B,B13,Parâmetros!D:D,D13,Parâmetros!T:T,"&lt;="&amp;N13),1) * IF(N13 &gt;= SUMIFS(Parâmetros!G:G,Parâmetros!A:A,A13,Parâmetros!B:B,B13,Parâmetros!D:D,D13),1,0)</f>
        <v>0</v>
      </c>
      <c r="S13" s="16">
        <f t="shared" si="21"/>
        <v>0</v>
      </c>
      <c r="T13" s="16">
        <f t="shared" si="22"/>
        <v>0</v>
      </c>
      <c r="U13" s="15" t="str">
        <f t="shared" si="0"/>
        <v/>
      </c>
      <c r="V13" s="16" t="str">
        <f t="shared" si="1"/>
        <v/>
      </c>
      <c r="W13" s="90">
        <f t="shared" si="2"/>
        <v>0</v>
      </c>
      <c r="X13" s="16" t="str">
        <f t="shared" si="3"/>
        <v/>
      </c>
      <c r="Y13" s="16" t="str">
        <f t="shared" si="4"/>
        <v/>
      </c>
      <c r="Z13" s="90">
        <f t="shared" si="5"/>
        <v>0</v>
      </c>
      <c r="AA13" s="7" t="str">
        <f t="shared" si="6"/>
        <v/>
      </c>
      <c r="AB13" s="7" t="str">
        <f>IF(OR(B13=3,B13=6,B13=9,B13=12),
IF(AND(Z13&gt;=1,W13&gt;=SUMIFS(Parâmetros!L:L,Parâmetros!F:F,F13,Parâmetros!G:G,G13,Parâmetros!I:I,'Comissões GD'!I12)),W13*0.3,""),"")</f>
        <v/>
      </c>
      <c r="AC13" s="15" t="str">
        <f t="shared" si="7"/>
        <v/>
      </c>
      <c r="AD13" s="16" t="str">
        <f t="shared" si="8"/>
        <v/>
      </c>
      <c r="AE13" s="10">
        <f t="shared" si="9"/>
        <v>0</v>
      </c>
      <c r="AF13" s="99">
        <f>SUMIFS(Metas!L:L,Metas!A:A,A13,Metas!B:B,B13,Metas!D:D,D13,Metas!H:H,H$1)</f>
        <v>0.4</v>
      </c>
      <c r="AG13" s="16" t="str">
        <f t="shared" si="10"/>
        <v/>
      </c>
      <c r="AH13" s="16" t="str">
        <f t="shared" si="11"/>
        <v/>
      </c>
      <c r="AI13" s="10">
        <f t="shared" si="12"/>
        <v>0</v>
      </c>
      <c r="AJ13" s="99">
        <f>SUMIFS(Metas!L:L,Metas!A:A,A13,Metas!B:B,B13,Metas!D:D,D13,Metas!H:H,L$1)</f>
        <v>0.6</v>
      </c>
      <c r="AK13" s="90">
        <f t="shared" si="13"/>
        <v>0</v>
      </c>
      <c r="AL13" s="16" t="str">
        <f t="shared" si="14"/>
        <v/>
      </c>
      <c r="AM13" s="102" cm="1">
        <f t="array" ref="AM13">_xlfn.LET(
_xlpm.a,A13,
_xlpm.b,B13,
_xlpm.d,D13,
_xlpm.lim,AI13,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0</v>
      </c>
      <c r="AN13" s="16">
        <f t="shared" si="15"/>
        <v>0</v>
      </c>
      <c r="AO13" s="101">
        <f t="shared" si="16"/>
        <v>0</v>
      </c>
      <c r="AP13" s="16" t="str">
        <f t="shared" si="17"/>
        <v/>
      </c>
      <c r="AQ13" s="22" t="str">
        <f t="shared" si="23"/>
        <v/>
      </c>
    </row>
    <row r="14" spans="1:43">
      <c r="A14" s="7">
        <v>2026</v>
      </c>
      <c r="B14" s="7">
        <v>1</v>
      </c>
      <c r="C14" s="7" t="str">
        <v>Tabata Couto</v>
      </c>
      <c r="D14" s="7" t="str">
        <v>tabata.couto@altoqi.com.br</v>
      </c>
      <c r="E14" s="7" t="str">
        <v>Governo</v>
      </c>
      <c r="F14" s="7" t="str">
        <v>Consultor</v>
      </c>
      <c r="G14" s="7" t="str">
        <v>marcelo.maestro@altoqi.com.br</v>
      </c>
      <c r="H14" s="15">
        <f>SUMIFS(Negócios!J:J,Negócios!A:A,A14,Negócios!B:B,B14,Negócios!P:P,D14,Negócios!AH:AH,"&lt;&gt;n")</f>
        <v>24576</v>
      </c>
      <c r="I14" s="16">
        <f>SUMIFS(Metas!K:K,Metas!A:A,A14,Metas!B:B,B14,Metas!D:D,D14,Metas!H:H,H$1)</f>
        <v>53442</v>
      </c>
      <c r="J14" s="10">
        <f t="shared" si="18"/>
        <v>0.45986302907825305</v>
      </c>
      <c r="K14" s="9">
        <f>SUMIFS(Metas!L:L,Metas!A:A,A14,Metas!B:B,B14,Metas!D:D,D14,Metas!H:H,H$1)</f>
        <v>0.4</v>
      </c>
      <c r="L14" s="15">
        <f>SUMIFS(Negócios!I:I,Negócios!A:A,A14,Negócios!B:B,B14,Negócios!P:P,D14,Negócios!AH:AH,"&lt;&gt;n")</f>
        <v>24576</v>
      </c>
      <c r="M14" s="16">
        <f>SUMIFS(Metas!K:K,Metas!A:A,A14,Metas!B:B,B14,Metas!D:D,D14,Metas!H:H,L$1)</f>
        <v>106884</v>
      </c>
      <c r="N14" s="10">
        <f t="shared" si="19"/>
        <v>0.22993151453912652</v>
      </c>
      <c r="O14" s="9">
        <f>SUMIFS(Metas!L:L,Metas!A:A,A14,Metas!B:B,B14,Metas!D:D,D14,Metas!H:H,L$1)</f>
        <v>0.6</v>
      </c>
      <c r="P14" s="35">
        <f t="shared" si="20"/>
        <v>0.32190412035477711</v>
      </c>
      <c r="Q14" s="15">
        <f>MAX(_xlfn.MAXIFS(Parâmetros!O:O,Parâmetros!A:A,A14,Parâmetros!B:B,B14,Parâmetros!D:D,D14,Parâmetros!M:M,"&lt;="&amp;J14),_xlfn.MAXIFS(Parâmetros!L:L,Parâmetros!A:A,A14,Parâmetros!B:B,B14,Parâmetros!D:D,D14,Parâmetros!J:J,"&lt;="&amp;J14),SUMIFS(Parâmetros!I:I,Parâmetros!A:A,A14,Parâmetros!B:B,B14,Parâmetros!D:D,D14))</f>
        <v>5600</v>
      </c>
      <c r="R14" s="9">
        <f>MAX(_xlfn.MAXIFS(Parâmetros!Q:Q,Parâmetros!A:A,A14,Parâmetros!B:B,B14,Parâmetros!D:D,D14,Parâmetros!P:P,"&lt;="&amp;N14),_xlfn.MAXIFS(Parâmetros!S:S,Parâmetros!A:A,A14,Parâmetros!B:B,B14,Parâmetros!D:D,D14,Parâmetros!R:R,"&lt;="&amp;N14),_xlfn.MAXIFS(Parâmetros!U:U,Parâmetros!A:A,A14,Parâmetros!B:B,B14,Parâmetros!D:D,D14,Parâmetros!T:T,"&lt;="&amp;N14),1) * IF(N14 &gt;= SUMIFS(Parâmetros!G:G,Parâmetros!A:A,A14,Parâmetros!B:B,B14,Parâmetros!D:D,D14),1,0)</f>
        <v>0</v>
      </c>
      <c r="S14" s="16">
        <f t="shared" si="21"/>
        <v>0</v>
      </c>
      <c r="T14" s="16">
        <f t="shared" si="22"/>
        <v>0</v>
      </c>
      <c r="U14" s="15" t="str">
        <f t="shared" si="0"/>
        <v/>
      </c>
      <c r="V14" s="16" t="str">
        <f t="shared" si="1"/>
        <v/>
      </c>
      <c r="W14" s="90">
        <f t="shared" si="2"/>
        <v>0</v>
      </c>
      <c r="X14" s="16" t="str">
        <f t="shared" si="3"/>
        <v/>
      </c>
      <c r="Y14" s="16" t="str">
        <f t="shared" si="4"/>
        <v/>
      </c>
      <c r="Z14" s="90">
        <f t="shared" si="5"/>
        <v>0</v>
      </c>
      <c r="AA14" s="7" t="str">
        <f t="shared" si="6"/>
        <v/>
      </c>
      <c r="AB14" s="7" t="str">
        <f>IF(OR(B14=3,B14=6,B14=9,B14=12),
IF(AND(Z14&gt;=1,W14&gt;=SUMIFS(Parâmetros!L:L,Parâmetros!F:F,F14,Parâmetros!G:G,G14,Parâmetros!I:I,'Comissões GD'!I13)),W14*0.3,""),"")</f>
        <v/>
      </c>
      <c r="AC14" s="15" t="str">
        <f t="shared" si="7"/>
        <v/>
      </c>
      <c r="AD14" s="16" t="str">
        <f t="shared" si="8"/>
        <v/>
      </c>
      <c r="AE14" s="10">
        <f t="shared" si="9"/>
        <v>0</v>
      </c>
      <c r="AF14" s="99">
        <f>SUMIFS(Metas!L:L,Metas!A:A,A14,Metas!B:B,B14,Metas!D:D,D14,Metas!H:H,H$1)</f>
        <v>0.4</v>
      </c>
      <c r="AG14" s="16" t="str">
        <f t="shared" si="10"/>
        <v/>
      </c>
      <c r="AH14" s="16" t="str">
        <f t="shared" si="11"/>
        <v/>
      </c>
      <c r="AI14" s="10">
        <f t="shared" si="12"/>
        <v>0</v>
      </c>
      <c r="AJ14" s="99">
        <f>SUMIFS(Metas!L:L,Metas!A:A,A14,Metas!B:B,B14,Metas!D:D,D14,Metas!H:H,L$1)</f>
        <v>0.6</v>
      </c>
      <c r="AK14" s="90">
        <f t="shared" si="13"/>
        <v>0</v>
      </c>
      <c r="AL14" s="16" t="str">
        <f t="shared" si="14"/>
        <v/>
      </c>
      <c r="AM14" s="102" cm="1">
        <f t="array" ref="AM14">_xlfn.LET(
_xlpm.a,A14,
_xlpm.b,B14,
_xlpm.d,D14,
_xlpm.lim,AI14,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0</v>
      </c>
      <c r="AN14" s="16">
        <f t="shared" si="15"/>
        <v>0</v>
      </c>
      <c r="AO14" s="101">
        <f t="shared" si="16"/>
        <v>0</v>
      </c>
      <c r="AP14" s="16" t="str">
        <f t="shared" si="17"/>
        <v/>
      </c>
      <c r="AQ14" s="22" t="str">
        <f t="shared" si="23"/>
        <v/>
      </c>
    </row>
    <row r="15" spans="1:43">
      <c r="A15" s="7">
        <v>2026</v>
      </c>
      <c r="B15" s="7">
        <v>2</v>
      </c>
      <c r="C15" s="7" t="str">
        <v>Angélica da Silva Steinbach</v>
      </c>
      <c r="D15" s="7" t="str">
        <v>angelica.steinbach@altoqi.com.br</v>
      </c>
      <c r="E15" s="7" t="str">
        <v>Governo</v>
      </c>
      <c r="F15" s="7" t="str">
        <v>Consultor</v>
      </c>
      <c r="G15" s="7" t="str">
        <v>marcelo.maestro@altoqi.com.br</v>
      </c>
      <c r="H15" s="15">
        <f>SUMIFS(Negócios!J:J,Negócios!A:A,A15,Negócios!B:B,B15,Negócios!P:P,D15,Negócios!AH:AH,"&lt;&gt;n")</f>
        <v>34599</v>
      </c>
      <c r="I15" s="16">
        <f>SUMIFS(Metas!K:K,Metas!A:A,A15,Metas!B:B,B15,Metas!D:D,D15,Metas!H:H,H$1)</f>
        <v>114309</v>
      </c>
      <c r="J15" s="10">
        <f t="shared" ref="J15" si="24">IFERROR(H15/I15,0)</f>
        <v>0.30267957903577147</v>
      </c>
      <c r="K15" s="9">
        <f>SUMIFS(Metas!L:L,Metas!A:A,A15,Metas!B:B,B15,Metas!D:D,D15,Metas!H:H,H$1)</f>
        <v>0.4</v>
      </c>
      <c r="L15" s="15">
        <f>SUMIFS(Negócios!I:I,Negócios!A:A,A15,Negócios!B:B,B15,Negócios!P:P,D15,Negócios!AH:AH,"&lt;&gt;n")</f>
        <v>144387</v>
      </c>
      <c r="M15" s="16">
        <f>SUMIFS(Metas!K:K,Metas!A:A,A15,Metas!B:B,B15,Metas!D:D,D15,Metas!H:H,L$1)</f>
        <v>228618</v>
      </c>
      <c r="N15" s="10">
        <f t="shared" ref="N15" si="25">IFERROR(L15/M15,0)</f>
        <v>0.63156444374458709</v>
      </c>
      <c r="O15" s="9">
        <f>SUMIFS(Metas!L:L,Metas!A:A,A15,Metas!B:B,B15,Metas!D:D,D15,Metas!H:H,L$1)</f>
        <v>0.6</v>
      </c>
      <c r="P15" s="35">
        <f t="shared" ref="P15" si="26">(J15*K15)+(N15*O15)</f>
        <v>0.50001049786106089</v>
      </c>
      <c r="Q15" s="15">
        <f>MAX(_xlfn.MAXIFS(Parâmetros!O:O,Parâmetros!A:A,A15,Parâmetros!B:B,B15,Parâmetros!D:D,D15,Parâmetros!M:M,"&lt;="&amp;J15),_xlfn.MAXIFS(Parâmetros!L:L,Parâmetros!A:A,A15,Parâmetros!B:B,B15,Parâmetros!D:D,D15,Parâmetros!J:J,"&lt;="&amp;J15),SUMIFS(Parâmetros!I:I,Parâmetros!A:A,A15,Parâmetros!B:B,B15,Parâmetros!D:D,D15))</f>
        <v>8000</v>
      </c>
      <c r="R15" s="9">
        <f>MAX(_xlfn.MAXIFS(Parâmetros!Q:Q,Parâmetros!A:A,A15,Parâmetros!B:B,B15,Parâmetros!D:D,D15,Parâmetros!P:P,"&lt;="&amp;N15),_xlfn.MAXIFS(Parâmetros!S:S,Parâmetros!A:A,A15,Parâmetros!B:B,B15,Parâmetros!D:D,D15,Parâmetros!R:R,"&lt;="&amp;N15),_xlfn.MAXIFS(Parâmetros!U:U,Parâmetros!A:A,A15,Parâmetros!B:B,B15,Parâmetros!D:D,D15,Parâmetros!T:T,"&lt;="&amp;N15),1) * IF(N15 &gt;= SUMIFS(Parâmetros!G:G,Parâmetros!A:A,A15,Parâmetros!B:B,B15,Parâmetros!D:D,D15),1,0)</f>
        <v>1</v>
      </c>
      <c r="S15" s="16">
        <f t="shared" ref="S15" si="27">Q15*R15</f>
        <v>8000</v>
      </c>
      <c r="T15" s="16">
        <f t="shared" ref="T15" si="28">S15*P15</f>
        <v>4000.0839828884873</v>
      </c>
      <c r="U15" s="15" t="str">
        <f t="shared" si="0"/>
        <v/>
      </c>
      <c r="V15" s="16" t="str">
        <f t="shared" si="1"/>
        <v/>
      </c>
      <c r="W15" s="90">
        <f t="shared" si="2"/>
        <v>0</v>
      </c>
      <c r="X15" s="16" t="str">
        <f t="shared" si="3"/>
        <v/>
      </c>
      <c r="Y15" s="16" t="str">
        <f t="shared" si="4"/>
        <v/>
      </c>
      <c r="Z15" s="90">
        <f t="shared" si="5"/>
        <v>0</v>
      </c>
      <c r="AA15" s="7" t="str">
        <f t="shared" si="6"/>
        <v/>
      </c>
      <c r="AB15" s="7" t="str">
        <f>IF(OR(B15=3,B15=6,B15=9,B15=12),
IF(AND(Z15&gt;=1,W15&gt;=SUMIFS(Parâmetros!L:L,Parâmetros!F:F,F15,Parâmetros!G:G,G15,Parâmetros!I:I,'Comissões GD'!I14)),W15*0.3,""),"")</f>
        <v/>
      </c>
      <c r="AC15" s="15" t="str">
        <f t="shared" si="7"/>
        <v/>
      </c>
      <c r="AD15" s="16" t="str">
        <f t="shared" si="8"/>
        <v/>
      </c>
      <c r="AE15" s="10">
        <f t="shared" si="9"/>
        <v>0</v>
      </c>
      <c r="AF15" s="99">
        <f>SUMIFS(Metas!L:L,Metas!A:A,A15,Metas!B:B,B15,Metas!D:D,D15,Metas!H:H,H$1)</f>
        <v>0.4</v>
      </c>
      <c r="AG15" s="16" t="str">
        <f t="shared" si="10"/>
        <v/>
      </c>
      <c r="AH15" s="16" t="str">
        <f t="shared" si="11"/>
        <v/>
      </c>
      <c r="AI15" s="10">
        <f t="shared" si="12"/>
        <v>0</v>
      </c>
      <c r="AJ15" s="99">
        <f>SUMIFS(Metas!L:L,Metas!A:A,A15,Metas!B:B,B15,Metas!D:D,D15,Metas!H:H,L$1)</f>
        <v>0.6</v>
      </c>
      <c r="AK15" s="90">
        <f t="shared" si="13"/>
        <v>0</v>
      </c>
      <c r="AL15" s="16" t="str">
        <f t="shared" si="14"/>
        <v/>
      </c>
      <c r="AM15" s="102" cm="1">
        <f t="array" ref="AM15">_xlfn.LET(
_xlpm.a,A15,
_xlpm.b,B15,
_xlpm.d,D15,
_xlpm.lim,AI15,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0</v>
      </c>
      <c r="AN15" s="16">
        <f t="shared" si="15"/>
        <v>0</v>
      </c>
      <c r="AO15" s="101">
        <f t="shared" si="16"/>
        <v>0</v>
      </c>
      <c r="AP15" s="16" t="str">
        <f t="shared" si="17"/>
        <v/>
      </c>
      <c r="AQ15" s="22" t="str">
        <f t="shared" si="23"/>
        <v/>
      </c>
    </row>
    <row r="16" spans="1:43">
      <c r="A16" s="7">
        <v>2026</v>
      </c>
      <c r="B16" s="7">
        <v>2</v>
      </c>
      <c r="C16" s="7" t="str">
        <v>Carla Araujo</v>
      </c>
      <c r="D16" s="7" t="str">
        <v>carla.araujo@altoqi.com.br</v>
      </c>
      <c r="E16" s="7" t="str">
        <v>Governo</v>
      </c>
      <c r="F16" s="7" t="str">
        <v>Consultor</v>
      </c>
      <c r="G16" s="7" t="str">
        <v>marcelo.maestro@altoqi.com.br</v>
      </c>
      <c r="H16" s="15">
        <f>SUMIFS(Negócios!J:J,Negócios!A:A,A16,Negócios!B:B,B16,Negócios!P:P,D16,Negócios!AH:AH,"&lt;&gt;n")</f>
        <v>310126.08000000002</v>
      </c>
      <c r="I16" s="16">
        <f>SUMIFS(Metas!K:K,Metas!A:A,A16,Metas!B:B,B16,Metas!D:D,D16,Metas!H:H,H$1)</f>
        <v>83126</v>
      </c>
      <c r="J16" s="10">
        <f t="shared" ref="J16:J25" si="29">IFERROR(H16/I16,0)</f>
        <v>3.7307951784038691</v>
      </c>
      <c r="K16" s="9">
        <f>SUMIFS(Metas!L:L,Metas!A:A,A16,Metas!B:B,B16,Metas!D:D,D16,Metas!H:H,H$1)</f>
        <v>0.4</v>
      </c>
      <c r="L16" s="15">
        <f>SUMIFS(Negócios!I:I,Negócios!A:A,A16,Negócios!B:B,B16,Negócios!P:P,D16,Negócios!AH:AH,"&lt;&gt;n")</f>
        <v>778653.6</v>
      </c>
      <c r="M16" s="16">
        <f>SUMIFS(Metas!K:K,Metas!A:A,A16,Metas!B:B,B16,Metas!D:D,D16,Metas!H:H,L$1)</f>
        <v>166252</v>
      </c>
      <c r="N16" s="10">
        <f t="shared" ref="N16:N25" si="30">IFERROR(L16/M16,0)</f>
        <v>4.6835743329403554</v>
      </c>
      <c r="O16" s="9">
        <f>SUMIFS(Metas!L:L,Metas!A:A,A16,Metas!B:B,B16,Metas!D:D,D16,Metas!H:H,L$1)</f>
        <v>0.6</v>
      </c>
      <c r="P16" s="35">
        <f t="shared" ref="P16:P25" si="31">(J16*K16)+(N16*O16)</f>
        <v>4.3024626711257614</v>
      </c>
      <c r="Q16" s="15">
        <f>MAX(_xlfn.MAXIFS(Parâmetros!O:O,Parâmetros!A:A,A16,Parâmetros!B:B,B16,Parâmetros!D:D,D16,Parâmetros!M:M,"&lt;="&amp;J16),_xlfn.MAXIFS(Parâmetros!L:L,Parâmetros!A:A,A16,Parâmetros!B:B,B16,Parâmetros!D:D,D16,Parâmetros!J:J,"&lt;="&amp;J16),SUMIFS(Parâmetros!I:I,Parâmetros!A:A,A16,Parâmetros!B:B,B16,Parâmetros!D:D,D16))</f>
        <v>6800</v>
      </c>
      <c r="R16" s="9">
        <f>MAX(_xlfn.MAXIFS(Parâmetros!Q:Q,Parâmetros!A:A,A16,Parâmetros!B:B,B16,Parâmetros!D:D,D16,Parâmetros!P:P,"&lt;="&amp;N16),_xlfn.MAXIFS(Parâmetros!S:S,Parâmetros!A:A,A16,Parâmetros!B:B,B16,Parâmetros!D:D,D16,Parâmetros!R:R,"&lt;="&amp;N16),_xlfn.MAXIFS(Parâmetros!U:U,Parâmetros!A:A,A16,Parâmetros!B:B,B16,Parâmetros!D:D,D16,Parâmetros!T:T,"&lt;="&amp;N16),1) * IF(N16 &gt;= SUMIFS(Parâmetros!G:G,Parâmetros!A:A,A16,Parâmetros!B:B,B16,Parâmetros!D:D,D16),1,0)</f>
        <v>1.25</v>
      </c>
      <c r="S16" s="16">
        <f t="shared" ref="S16:S25" si="32">Q16*R16</f>
        <v>8500</v>
      </c>
      <c r="T16" s="16">
        <f t="shared" ref="T16:T25" si="33">S16*P16</f>
        <v>36570.932704568972</v>
      </c>
      <c r="U16" s="15" t="str">
        <f t="shared" si="0"/>
        <v/>
      </c>
      <c r="V16" s="16" t="str">
        <f t="shared" si="1"/>
        <v/>
      </c>
      <c r="W16" s="90">
        <f t="shared" si="2"/>
        <v>0</v>
      </c>
      <c r="X16" s="16" t="str">
        <f t="shared" si="3"/>
        <v/>
      </c>
      <c r="Y16" s="16" t="str">
        <f t="shared" si="4"/>
        <v/>
      </c>
      <c r="Z16" s="90">
        <f t="shared" si="5"/>
        <v>0</v>
      </c>
      <c r="AA16" s="7" t="str">
        <f t="shared" si="6"/>
        <v/>
      </c>
      <c r="AB16" s="7" t="str">
        <f>IF(OR(B16=3,B16=6,B16=9,B16=12),
IF(AND(Z16&gt;=1,W16&gt;=SUMIFS(Parâmetros!L:L,Parâmetros!F:F,F16,Parâmetros!G:G,G16,Parâmetros!I:I,'Comissões GD'!I15)),W16*0.3,""),"")</f>
        <v/>
      </c>
      <c r="AC16" s="15" t="str">
        <f t="shared" si="7"/>
        <v/>
      </c>
      <c r="AD16" s="16" t="str">
        <f t="shared" si="8"/>
        <v/>
      </c>
      <c r="AE16" s="10">
        <f t="shared" si="9"/>
        <v>0</v>
      </c>
      <c r="AF16" s="99">
        <f>SUMIFS(Metas!L:L,Metas!A:A,A16,Metas!B:B,B16,Metas!D:D,D16,Metas!H:H,H$1)</f>
        <v>0.4</v>
      </c>
      <c r="AG16" s="16" t="str">
        <f t="shared" si="10"/>
        <v/>
      </c>
      <c r="AH16" s="16" t="str">
        <f t="shared" si="11"/>
        <v/>
      </c>
      <c r="AI16" s="10">
        <f t="shared" si="12"/>
        <v>0</v>
      </c>
      <c r="AJ16" s="99">
        <f>SUMIFS(Metas!L:L,Metas!A:A,A16,Metas!B:B,B16,Metas!D:D,D16,Metas!H:H,L$1)</f>
        <v>0.6</v>
      </c>
      <c r="AK16" s="90">
        <f t="shared" si="13"/>
        <v>0</v>
      </c>
      <c r="AL16" s="16" t="str">
        <f t="shared" si="14"/>
        <v/>
      </c>
      <c r="AM16" s="102" cm="1">
        <f t="array" ref="AM16">_xlfn.LET(
_xlpm.a,A16,
_xlpm.b,B16,
_xlpm.d,D16,
_xlpm.lim,AI16,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0</v>
      </c>
      <c r="AN16" s="16">
        <f t="shared" si="15"/>
        <v>0</v>
      </c>
      <c r="AO16" s="101">
        <f t="shared" si="16"/>
        <v>0</v>
      </c>
      <c r="AP16" s="16" t="str">
        <f t="shared" si="17"/>
        <v/>
      </c>
      <c r="AQ16" s="22" t="str">
        <f t="shared" si="23"/>
        <v/>
      </c>
    </row>
    <row r="17" spans="1:43">
      <c r="A17" s="7">
        <v>2026</v>
      </c>
      <c r="B17" s="7">
        <v>2</v>
      </c>
      <c r="C17" s="7" t="str">
        <v>Deize Marla Rudek</v>
      </c>
      <c r="D17" s="7" t="str">
        <v>deize.rudek@altoqi.com.br</v>
      </c>
      <c r="E17" s="7" t="str">
        <v>Governo</v>
      </c>
      <c r="F17" s="7" t="str">
        <v>Consultor</v>
      </c>
      <c r="G17" s="7" t="str">
        <v>marcelo.maestro@altoqi.com.br</v>
      </c>
      <c r="H17" s="15">
        <f>SUMIFS(Negócios!J:J,Negócios!A:A,A17,Negócios!B:B,B17,Negócios!P:P,D17,Negócios!AH:AH,"&lt;&gt;n")</f>
        <v>68565</v>
      </c>
      <c r="I17" s="16">
        <f>SUMIFS(Metas!K:K,Metas!A:A,A17,Metas!B:B,B17,Metas!D:D,D17,Metas!H:H,H$1)</f>
        <v>92681.244999999995</v>
      </c>
      <c r="J17" s="10">
        <f t="shared" si="29"/>
        <v>0.7397936874930845</v>
      </c>
      <c r="K17" s="9">
        <f>SUMIFS(Metas!L:L,Metas!A:A,A17,Metas!B:B,B17,Metas!D:D,D17,Metas!H:H,H$1)</f>
        <v>0.4</v>
      </c>
      <c r="L17" s="15">
        <f>SUMIFS(Negócios!I:I,Negócios!A:A,A17,Negócios!B:B,B17,Negócios!P:P,D17,Negócios!AH:AH,"&lt;&gt;n")</f>
        <v>97221</v>
      </c>
      <c r="M17" s="16">
        <f>SUMIFS(Metas!K:K,Metas!A:A,A17,Metas!B:B,B17,Metas!D:D,D17,Metas!H:H,L$1)</f>
        <v>185362.49</v>
      </c>
      <c r="N17" s="10">
        <f t="shared" si="30"/>
        <v>0.52449122797174341</v>
      </c>
      <c r="O17" s="9">
        <f>SUMIFS(Metas!L:L,Metas!A:A,A17,Metas!B:B,B17,Metas!D:D,D17,Metas!H:H,L$1)</f>
        <v>0.6</v>
      </c>
      <c r="P17" s="35">
        <f t="shared" si="31"/>
        <v>0.61061221178027991</v>
      </c>
      <c r="Q17" s="15">
        <f>MAX(_xlfn.MAXIFS(Parâmetros!O:O,Parâmetros!A:A,A17,Parâmetros!B:B,B17,Parâmetros!D:D,D17,Parâmetros!M:M,"&lt;="&amp;J17),_xlfn.MAXIFS(Parâmetros!L:L,Parâmetros!A:A,A17,Parâmetros!B:B,B17,Parâmetros!D:D,D17,Parâmetros!J:J,"&lt;="&amp;J17),SUMIFS(Parâmetros!I:I,Parâmetros!A:A,A17,Parâmetros!B:B,B17,Parâmetros!D:D,D17))</f>
        <v>5600</v>
      </c>
      <c r="R17" s="9">
        <f>MAX(_xlfn.MAXIFS(Parâmetros!Q:Q,Parâmetros!A:A,A17,Parâmetros!B:B,B17,Parâmetros!D:D,D17,Parâmetros!P:P,"&lt;="&amp;N17),_xlfn.MAXIFS(Parâmetros!S:S,Parâmetros!A:A,A17,Parâmetros!B:B,B17,Parâmetros!D:D,D17,Parâmetros!R:R,"&lt;="&amp;N17),_xlfn.MAXIFS(Parâmetros!U:U,Parâmetros!A:A,A17,Parâmetros!B:B,B17,Parâmetros!D:D,D17,Parâmetros!T:T,"&lt;="&amp;N17),1) * IF(N17 &gt;= SUMIFS(Parâmetros!G:G,Parâmetros!A:A,A17,Parâmetros!B:B,B17,Parâmetros!D:D,D17),1,0)</f>
        <v>1</v>
      </c>
      <c r="S17" s="16">
        <f t="shared" si="32"/>
        <v>5600</v>
      </c>
      <c r="T17" s="16">
        <f t="shared" si="33"/>
        <v>3419.4283859695674</v>
      </c>
      <c r="U17" s="15" t="str">
        <f t="shared" si="0"/>
        <v/>
      </c>
      <c r="V17" s="16" t="str">
        <f t="shared" si="1"/>
        <v/>
      </c>
      <c r="W17" s="90">
        <f t="shared" si="2"/>
        <v>0</v>
      </c>
      <c r="X17" s="16" t="str">
        <f t="shared" si="3"/>
        <v/>
      </c>
      <c r="Y17" s="16" t="str">
        <f t="shared" si="4"/>
        <v/>
      </c>
      <c r="Z17" s="90">
        <f t="shared" si="5"/>
        <v>0</v>
      </c>
      <c r="AA17" s="7" t="str">
        <f t="shared" si="6"/>
        <v/>
      </c>
      <c r="AB17" s="7" t="str">
        <f>IF(OR(B17=3,B17=6,B17=9,B17=12),
IF(AND(Z17&gt;=1,W17&gt;=SUMIFS(Parâmetros!L:L,Parâmetros!F:F,F17,Parâmetros!G:G,G17,Parâmetros!I:I,'Comissões GD'!I16)),W17*0.3,""),"")</f>
        <v/>
      </c>
      <c r="AC17" s="15" t="str">
        <f t="shared" si="7"/>
        <v/>
      </c>
      <c r="AD17" s="16" t="str">
        <f t="shared" si="8"/>
        <v/>
      </c>
      <c r="AE17" s="10">
        <f t="shared" si="9"/>
        <v>0</v>
      </c>
      <c r="AF17" s="99">
        <f>SUMIFS(Metas!L:L,Metas!A:A,A17,Metas!B:B,B17,Metas!D:D,D17,Metas!H:H,H$1)</f>
        <v>0.4</v>
      </c>
      <c r="AG17" s="16" t="str">
        <f t="shared" si="10"/>
        <v/>
      </c>
      <c r="AH17" s="16" t="str">
        <f t="shared" si="11"/>
        <v/>
      </c>
      <c r="AI17" s="10">
        <f t="shared" si="12"/>
        <v>0</v>
      </c>
      <c r="AJ17" s="99">
        <f>SUMIFS(Metas!L:L,Metas!A:A,A17,Metas!B:B,B17,Metas!D:D,D17,Metas!H:H,L$1)</f>
        <v>0.6</v>
      </c>
      <c r="AK17" s="90">
        <f t="shared" si="13"/>
        <v>0</v>
      </c>
      <c r="AL17" s="16" t="str">
        <f t="shared" si="14"/>
        <v/>
      </c>
      <c r="AM17" s="102" cm="1">
        <f t="array" ref="AM17">_xlfn.LET(
_xlpm.a,A17,
_xlpm.b,B17,
_xlpm.d,D17,
_xlpm.lim,AI17,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0</v>
      </c>
      <c r="AN17" s="16">
        <f t="shared" si="15"/>
        <v>0</v>
      </c>
      <c r="AO17" s="101">
        <f t="shared" si="16"/>
        <v>0</v>
      </c>
      <c r="AP17" s="16" t="str">
        <f t="shared" si="17"/>
        <v/>
      </c>
      <c r="AQ17" s="22" t="str">
        <f t="shared" si="23"/>
        <v/>
      </c>
    </row>
    <row r="18" spans="1:43">
      <c r="A18" s="7">
        <v>2026</v>
      </c>
      <c r="B18" s="7">
        <v>2</v>
      </c>
      <c r="C18" s="7" t="str">
        <v>Fernanda Cristina Barbosa</v>
      </c>
      <c r="D18" s="7" t="str">
        <v>fernanda.barbosa@altoqi.com.br</v>
      </c>
      <c r="E18" s="7" t="str">
        <v>Governo</v>
      </c>
      <c r="F18" s="7" t="str">
        <v>Consultor</v>
      </c>
      <c r="G18" s="7" t="str">
        <v>marcelo.maestro@altoqi.com.br</v>
      </c>
      <c r="H18" s="15">
        <f>SUMIFS(Negócios!J:J,Negócios!A:A,A18,Negócios!B:B,B18,Negócios!P:P,D18,Negócios!AH:AH,"&lt;&gt;n")</f>
        <v>10080</v>
      </c>
      <c r="I18" s="16">
        <f>SUMIFS(Metas!K:K,Metas!A:A,A18,Metas!B:B,B18,Metas!D:D,D18,Metas!H:H,H$1)</f>
        <v>92683.7</v>
      </c>
      <c r="J18" s="10">
        <f t="shared" si="29"/>
        <v>0.10875698747460449</v>
      </c>
      <c r="K18" s="9">
        <f>SUMIFS(Metas!L:L,Metas!A:A,A18,Metas!B:B,B18,Metas!D:D,D18,Metas!H:H,H$1)</f>
        <v>0.4</v>
      </c>
      <c r="L18" s="15">
        <f>SUMIFS(Negócios!I:I,Negócios!A:A,A18,Negócios!B:B,B18,Negócios!P:P,D18,Negócios!AH:AH,"&lt;&gt;n")</f>
        <v>10080</v>
      </c>
      <c r="M18" s="16">
        <f>SUMIFS(Metas!K:K,Metas!A:A,A18,Metas!B:B,B18,Metas!D:D,D18,Metas!H:H,L$1)</f>
        <v>185367.4</v>
      </c>
      <c r="N18" s="10">
        <f t="shared" si="30"/>
        <v>5.4378493737302247E-2</v>
      </c>
      <c r="O18" s="9">
        <f>SUMIFS(Metas!L:L,Metas!A:A,A18,Metas!B:B,B18,Metas!D:D,D18,Metas!H:H,L$1)</f>
        <v>0.6</v>
      </c>
      <c r="P18" s="35">
        <f t="shared" si="31"/>
        <v>7.6129891232223149E-2</v>
      </c>
      <c r="Q18" s="15">
        <f>MAX(_xlfn.MAXIFS(Parâmetros!O:O,Parâmetros!A:A,A18,Parâmetros!B:B,B18,Parâmetros!D:D,D18,Parâmetros!M:M,"&lt;="&amp;J18),_xlfn.MAXIFS(Parâmetros!L:L,Parâmetros!A:A,A18,Parâmetros!B:B,B18,Parâmetros!D:D,D18,Parâmetros!J:J,"&lt;="&amp;J18),SUMIFS(Parâmetros!I:I,Parâmetros!A:A,A18,Parâmetros!B:B,B18,Parâmetros!D:D,D18))</f>
        <v>5600</v>
      </c>
      <c r="R18" s="9">
        <f>MAX(_xlfn.MAXIFS(Parâmetros!Q:Q,Parâmetros!A:A,A18,Parâmetros!B:B,B18,Parâmetros!D:D,D18,Parâmetros!P:P,"&lt;="&amp;N18),_xlfn.MAXIFS(Parâmetros!S:S,Parâmetros!A:A,A18,Parâmetros!B:B,B18,Parâmetros!D:D,D18,Parâmetros!R:R,"&lt;="&amp;N18),_xlfn.MAXIFS(Parâmetros!U:U,Parâmetros!A:A,A18,Parâmetros!B:B,B18,Parâmetros!D:D,D18,Parâmetros!T:T,"&lt;="&amp;N18),1) * IF(N18 &gt;= SUMIFS(Parâmetros!G:G,Parâmetros!A:A,A18,Parâmetros!B:B,B18,Parâmetros!D:D,D18),1,0)</f>
        <v>0</v>
      </c>
      <c r="S18" s="16">
        <f t="shared" si="32"/>
        <v>0</v>
      </c>
      <c r="T18" s="16">
        <f t="shared" si="33"/>
        <v>0</v>
      </c>
      <c r="U18" s="15" t="str">
        <f t="shared" si="0"/>
        <v/>
      </c>
      <c r="V18" s="16" t="str">
        <f t="shared" si="1"/>
        <v/>
      </c>
      <c r="W18" s="90">
        <f t="shared" si="2"/>
        <v>0</v>
      </c>
      <c r="X18" s="16" t="str">
        <f t="shared" si="3"/>
        <v/>
      </c>
      <c r="Y18" s="16" t="str">
        <f t="shared" si="4"/>
        <v/>
      </c>
      <c r="Z18" s="90">
        <f t="shared" si="5"/>
        <v>0</v>
      </c>
      <c r="AA18" s="7" t="str">
        <f t="shared" si="6"/>
        <v/>
      </c>
      <c r="AB18" s="7" t="str">
        <f>IF(OR(B18=3,B18=6,B18=9,B18=12),
IF(AND(Z18&gt;=1,W18&gt;=SUMIFS(Parâmetros!L:L,Parâmetros!F:F,F18,Parâmetros!G:G,G18,Parâmetros!I:I,'Comissões GD'!I17)),W18*0.3,""),"")</f>
        <v/>
      </c>
      <c r="AC18" s="15" t="str">
        <f t="shared" si="7"/>
        <v/>
      </c>
      <c r="AD18" s="16" t="str">
        <f t="shared" si="8"/>
        <v/>
      </c>
      <c r="AE18" s="10">
        <f t="shared" si="9"/>
        <v>0</v>
      </c>
      <c r="AF18" s="99">
        <f>SUMIFS(Metas!L:L,Metas!A:A,A18,Metas!B:B,B18,Metas!D:D,D18,Metas!H:H,H$1)</f>
        <v>0.4</v>
      </c>
      <c r="AG18" s="16" t="str">
        <f t="shared" si="10"/>
        <v/>
      </c>
      <c r="AH18" s="16" t="str">
        <f t="shared" si="11"/>
        <v/>
      </c>
      <c r="AI18" s="10">
        <f t="shared" si="12"/>
        <v>0</v>
      </c>
      <c r="AJ18" s="99">
        <f>SUMIFS(Metas!L:L,Metas!A:A,A18,Metas!B:B,B18,Metas!D:D,D18,Metas!H:H,L$1)</f>
        <v>0.6</v>
      </c>
      <c r="AK18" s="90">
        <f t="shared" si="13"/>
        <v>0</v>
      </c>
      <c r="AL18" s="16" t="str">
        <f t="shared" si="14"/>
        <v/>
      </c>
      <c r="AM18" s="102" cm="1">
        <f t="array" ref="AM18">_xlfn.LET(
_xlpm.a,A18,
_xlpm.b,B18,
_xlpm.d,D18,
_xlpm.lim,AI18,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0</v>
      </c>
      <c r="AN18" s="16">
        <f t="shared" si="15"/>
        <v>0</v>
      </c>
      <c r="AO18" s="101">
        <f t="shared" si="16"/>
        <v>0</v>
      </c>
      <c r="AP18" s="16" t="str">
        <f t="shared" si="17"/>
        <v/>
      </c>
      <c r="AQ18" s="22" t="str">
        <f t="shared" si="23"/>
        <v/>
      </c>
    </row>
    <row r="19" spans="1:43">
      <c r="A19" s="7">
        <v>2026</v>
      </c>
      <c r="B19" s="7">
        <v>2</v>
      </c>
      <c r="C19" s="7" t="str">
        <v>Henry Carlos Petersen</v>
      </c>
      <c r="D19" s="7" t="str">
        <v>henry.petersen@altoqi.com.br</v>
      </c>
      <c r="E19" s="7" t="str">
        <v>Governo</v>
      </c>
      <c r="F19" s="7" t="str">
        <v>Consultor</v>
      </c>
      <c r="G19" s="7" t="str">
        <v>marcelo.maestro@altoqi.com.br</v>
      </c>
      <c r="H19" s="15">
        <f>SUMIFS(Negócios!J:J,Negócios!A:A,A19,Negócios!B:B,B19,Negócios!P:P,D19,Negócios!AH:AH,"&lt;&gt;n")</f>
        <v>55281</v>
      </c>
      <c r="I19" s="16">
        <f>SUMIFS(Metas!K:K,Metas!A:A,A19,Metas!B:B,B19,Metas!D:D,D19,Metas!H:H,H$1)</f>
        <v>198811.3</v>
      </c>
      <c r="J19" s="10">
        <f t="shared" si="29"/>
        <v>0.27805763555693264</v>
      </c>
      <c r="K19" s="9">
        <f>SUMIFS(Metas!L:L,Metas!A:A,A19,Metas!B:B,B19,Metas!D:D,D19,Metas!H:H,H$1)</f>
        <v>0.4</v>
      </c>
      <c r="L19" s="15">
        <f>SUMIFS(Negócios!I:I,Negócios!A:A,A19,Negócios!B:B,B19,Negócios!P:P,D19,Negócios!AH:AH,"&lt;&gt;n")</f>
        <v>55281</v>
      </c>
      <c r="M19" s="16">
        <f>SUMIFS(Metas!K:K,Metas!A:A,A19,Metas!B:B,B19,Metas!D:D,D19,Metas!H:H,L$1)</f>
        <v>397622.6</v>
      </c>
      <c r="N19" s="10">
        <f t="shared" si="30"/>
        <v>0.13902881777846632</v>
      </c>
      <c r="O19" s="9">
        <f>SUMIFS(Metas!L:L,Metas!A:A,A19,Metas!B:B,B19,Metas!D:D,D19,Metas!H:H,L$1)</f>
        <v>0.6</v>
      </c>
      <c r="P19" s="35">
        <f t="shared" si="31"/>
        <v>0.19464034488985285</v>
      </c>
      <c r="Q19" s="15">
        <f>MAX(_xlfn.MAXIFS(Parâmetros!O:O,Parâmetros!A:A,A19,Parâmetros!B:B,B19,Parâmetros!D:D,D19,Parâmetros!M:M,"&lt;="&amp;J19),_xlfn.MAXIFS(Parâmetros!L:L,Parâmetros!A:A,A19,Parâmetros!B:B,B19,Parâmetros!D:D,D19,Parâmetros!J:J,"&lt;="&amp;J19),SUMIFS(Parâmetros!I:I,Parâmetros!A:A,A19,Parâmetros!B:B,B19,Parâmetros!D:D,D19))</f>
        <v>10000</v>
      </c>
      <c r="R19" s="9">
        <f>MAX(_xlfn.MAXIFS(Parâmetros!Q:Q,Parâmetros!A:A,A19,Parâmetros!B:B,B19,Parâmetros!D:D,D19,Parâmetros!P:P,"&lt;="&amp;N19),_xlfn.MAXIFS(Parâmetros!S:S,Parâmetros!A:A,A19,Parâmetros!B:B,B19,Parâmetros!D:D,D19,Parâmetros!R:R,"&lt;="&amp;N19),_xlfn.MAXIFS(Parâmetros!U:U,Parâmetros!A:A,A19,Parâmetros!B:B,B19,Parâmetros!D:D,D19,Parâmetros!T:T,"&lt;="&amp;N19),1) * IF(N19 &gt;= SUMIFS(Parâmetros!G:G,Parâmetros!A:A,A19,Parâmetros!B:B,B19,Parâmetros!D:D,D19),1,0)</f>
        <v>0</v>
      </c>
      <c r="S19" s="16">
        <f t="shared" si="32"/>
        <v>0</v>
      </c>
      <c r="T19" s="16">
        <f t="shared" si="33"/>
        <v>0</v>
      </c>
      <c r="U19" s="15" t="str">
        <f t="shared" si="0"/>
        <v/>
      </c>
      <c r="V19" s="16" t="str">
        <f t="shared" si="1"/>
        <v/>
      </c>
      <c r="W19" s="90">
        <f t="shared" si="2"/>
        <v>0</v>
      </c>
      <c r="X19" s="16" t="str">
        <f t="shared" si="3"/>
        <v/>
      </c>
      <c r="Y19" s="16" t="str">
        <f t="shared" si="4"/>
        <v/>
      </c>
      <c r="Z19" s="90">
        <f t="shared" si="5"/>
        <v>0</v>
      </c>
      <c r="AA19" s="7" t="str">
        <f t="shared" si="6"/>
        <v/>
      </c>
      <c r="AB19" s="7" t="str">
        <f>IF(OR(B19=3,B19=6,B19=9,B19=12),
IF(AND(Z19&gt;=1,W19&gt;=SUMIFS(Parâmetros!L:L,Parâmetros!F:F,F19,Parâmetros!G:G,G19,Parâmetros!I:I,'Comissões GD'!I18)),W19*0.3,""),"")</f>
        <v/>
      </c>
      <c r="AC19" s="15" t="str">
        <f t="shared" si="7"/>
        <v/>
      </c>
      <c r="AD19" s="16" t="str">
        <f t="shared" si="8"/>
        <v/>
      </c>
      <c r="AE19" s="10">
        <f t="shared" si="9"/>
        <v>0</v>
      </c>
      <c r="AF19" s="99">
        <f>SUMIFS(Metas!L:L,Metas!A:A,A19,Metas!B:B,B19,Metas!D:D,D19,Metas!H:H,H$1)</f>
        <v>0.4</v>
      </c>
      <c r="AG19" s="16" t="str">
        <f t="shared" si="10"/>
        <v/>
      </c>
      <c r="AH19" s="16" t="str">
        <f t="shared" si="11"/>
        <v/>
      </c>
      <c r="AI19" s="10">
        <f t="shared" si="12"/>
        <v>0</v>
      </c>
      <c r="AJ19" s="99">
        <f>SUMIFS(Metas!L:L,Metas!A:A,A19,Metas!B:B,B19,Metas!D:D,D19,Metas!H:H,L$1)</f>
        <v>0.6</v>
      </c>
      <c r="AK19" s="90">
        <f t="shared" si="13"/>
        <v>0</v>
      </c>
      <c r="AL19" s="16" t="str">
        <f t="shared" si="14"/>
        <v/>
      </c>
      <c r="AM19" s="102" cm="1">
        <f t="array" ref="AM19">_xlfn.LET(
_xlpm.a,A19,
_xlpm.b,B19,
_xlpm.d,D19,
_xlpm.lim,AI19,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0</v>
      </c>
      <c r="AN19" s="16">
        <f t="shared" si="15"/>
        <v>0</v>
      </c>
      <c r="AO19" s="101">
        <f t="shared" si="16"/>
        <v>0</v>
      </c>
      <c r="AP19" s="16" t="str">
        <f t="shared" si="17"/>
        <v/>
      </c>
      <c r="AQ19" s="22" t="str">
        <f t="shared" si="23"/>
        <v/>
      </c>
    </row>
    <row r="20" spans="1:43">
      <c r="A20" s="7">
        <v>2026</v>
      </c>
      <c r="B20" s="7">
        <v>2</v>
      </c>
      <c r="C20" s="7" t="str">
        <v>Jenifer das Dores Soares</v>
      </c>
      <c r="D20" s="7" t="str">
        <v>jenifer.soares@altoqi.com.br</v>
      </c>
      <c r="E20" s="7" t="str">
        <v>Governo</v>
      </c>
      <c r="F20" s="7" t="str">
        <v>Consultor</v>
      </c>
      <c r="G20" s="7" t="str">
        <v>marcelo.maestro@altoqi.com.br</v>
      </c>
      <c r="H20" s="15">
        <f>SUMIFS(Negócios!J:J,Negócios!A:A,A20,Negócios!B:B,B20,Negócios!P:P,D20,Negócios!AH:AH,"&lt;&gt;n")</f>
        <v>83849.88</v>
      </c>
      <c r="I20" s="16">
        <f>SUMIFS(Metas!K:K,Metas!A:A,A20,Metas!B:B,B20,Metas!D:D,D20,Metas!H:H,H$1)</f>
        <v>45863.999973245998</v>
      </c>
      <c r="J20" s="10">
        <f t="shared" si="29"/>
        <v>1.8282286771522858</v>
      </c>
      <c r="K20" s="9">
        <f>SUMIFS(Metas!L:L,Metas!A:A,A20,Metas!B:B,B20,Metas!D:D,D20,Metas!H:H,H$1)</f>
        <v>0.4</v>
      </c>
      <c r="L20" s="15">
        <f>SUMIFS(Negócios!I:I,Negócios!A:A,A20,Negócios!B:B,B20,Negócios!P:P,D20,Negócios!AH:AH,"&lt;&gt;n")</f>
        <v>83849.88</v>
      </c>
      <c r="M20" s="16">
        <f>SUMIFS(Metas!K:K,Metas!A:A,A20,Metas!B:B,B20,Metas!D:D,D20,Metas!H:H,L$1)</f>
        <v>91727.999946491997</v>
      </c>
      <c r="N20" s="10">
        <f t="shared" si="30"/>
        <v>0.91411433857614288</v>
      </c>
      <c r="O20" s="9">
        <f>SUMIFS(Metas!L:L,Metas!A:A,A20,Metas!B:B,B20,Metas!D:D,D20,Metas!H:H,L$1)</f>
        <v>0.6</v>
      </c>
      <c r="P20" s="35">
        <f t="shared" si="31"/>
        <v>1.2797600740066</v>
      </c>
      <c r="Q20" s="15">
        <f>MAX(_xlfn.MAXIFS(Parâmetros!O:O,Parâmetros!A:A,A20,Parâmetros!B:B,B20,Parâmetros!D:D,D20,Parâmetros!M:M,"&lt;="&amp;J20),_xlfn.MAXIFS(Parâmetros!L:L,Parâmetros!A:A,A20,Parâmetros!B:B,B20,Parâmetros!D:D,D20,Parâmetros!J:J,"&lt;="&amp;J20),SUMIFS(Parâmetros!I:I,Parâmetros!A:A,A20,Parâmetros!B:B,B20,Parâmetros!D:D,D20))</f>
        <v>2182.7368408319999</v>
      </c>
      <c r="R20" s="9">
        <f>MAX(_xlfn.MAXIFS(Parâmetros!Q:Q,Parâmetros!A:A,A20,Parâmetros!B:B,B20,Parâmetros!D:D,D20,Parâmetros!P:P,"&lt;="&amp;N20),_xlfn.MAXIFS(Parâmetros!S:S,Parâmetros!A:A,A20,Parâmetros!B:B,B20,Parâmetros!D:D,D20,Parâmetros!R:R,"&lt;="&amp;N20),_xlfn.MAXIFS(Parâmetros!U:U,Parâmetros!A:A,A20,Parâmetros!B:B,B20,Parâmetros!D:D,D20,Parâmetros!T:T,"&lt;="&amp;N20),1) * IF(N20 &gt;= SUMIFS(Parâmetros!G:G,Parâmetros!A:A,A20,Parâmetros!B:B,B20,Parâmetros!D:D,D20),1,0)</f>
        <v>1.25</v>
      </c>
      <c r="S20" s="16">
        <f t="shared" si="32"/>
        <v>2728.4210510399998</v>
      </c>
      <c r="T20" s="16">
        <f t="shared" si="33"/>
        <v>3491.7243262001157</v>
      </c>
      <c r="U20" s="15" t="str">
        <f t="shared" si="0"/>
        <v/>
      </c>
      <c r="V20" s="16" t="str">
        <f t="shared" si="1"/>
        <v/>
      </c>
      <c r="W20" s="90">
        <f t="shared" si="2"/>
        <v>0</v>
      </c>
      <c r="X20" s="16" t="str">
        <f t="shared" si="3"/>
        <v/>
      </c>
      <c r="Y20" s="16" t="str">
        <f t="shared" si="4"/>
        <v/>
      </c>
      <c r="Z20" s="90">
        <f t="shared" si="5"/>
        <v>0</v>
      </c>
      <c r="AA20" s="7" t="str">
        <f t="shared" si="6"/>
        <v/>
      </c>
      <c r="AB20" s="7" t="str">
        <f>IF(OR(B20=3,B20=6,B20=9,B20=12),
IF(AND(Z20&gt;=1,W20&gt;=SUMIFS(Parâmetros!L:L,Parâmetros!F:F,F20,Parâmetros!G:G,G20,Parâmetros!I:I,'Comissões GD'!I19)),W20*0.3,""),"")</f>
        <v/>
      </c>
      <c r="AC20" s="15" t="str">
        <f t="shared" si="7"/>
        <v/>
      </c>
      <c r="AD20" s="16" t="str">
        <f t="shared" si="8"/>
        <v/>
      </c>
      <c r="AE20" s="10">
        <f t="shared" si="9"/>
        <v>0</v>
      </c>
      <c r="AF20" s="99">
        <f>SUMIFS(Metas!L:L,Metas!A:A,A20,Metas!B:B,B20,Metas!D:D,D20,Metas!H:H,H$1)</f>
        <v>0.4</v>
      </c>
      <c r="AG20" s="16" t="str">
        <f t="shared" si="10"/>
        <v/>
      </c>
      <c r="AH20" s="16" t="str">
        <f t="shared" si="11"/>
        <v/>
      </c>
      <c r="AI20" s="10">
        <f t="shared" si="12"/>
        <v>0</v>
      </c>
      <c r="AJ20" s="99">
        <f>SUMIFS(Metas!L:L,Metas!A:A,A20,Metas!B:B,B20,Metas!D:D,D20,Metas!H:H,L$1)</f>
        <v>0.6</v>
      </c>
      <c r="AK20" s="90">
        <f t="shared" si="13"/>
        <v>0</v>
      </c>
      <c r="AL20" s="16" t="str">
        <f t="shared" si="14"/>
        <v/>
      </c>
      <c r="AM20" s="102" cm="1">
        <f t="array" ref="AM20">_xlfn.LET(
_xlpm.a,A20,
_xlpm.b,B20,
_xlpm.d,D20,
_xlpm.lim,AI20,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0</v>
      </c>
      <c r="AN20" s="16">
        <f t="shared" si="15"/>
        <v>0</v>
      </c>
      <c r="AO20" s="101">
        <f t="shared" si="16"/>
        <v>0</v>
      </c>
      <c r="AP20" s="16" t="str">
        <f t="shared" si="17"/>
        <v/>
      </c>
      <c r="AQ20" s="22" t="str">
        <f t="shared" si="23"/>
        <v/>
      </c>
    </row>
    <row r="21" spans="1:43">
      <c r="A21" s="7">
        <v>2026</v>
      </c>
      <c r="B21" s="7">
        <v>2</v>
      </c>
      <c r="C21" s="7" t="str">
        <v>Jordayn Almeida</v>
      </c>
      <c r="D21" s="7" t="str">
        <v>jordayn.almeida@altoqi.com.br</v>
      </c>
      <c r="E21" s="7" t="str">
        <v>Governo</v>
      </c>
      <c r="F21" s="7" t="str">
        <v>Consultor</v>
      </c>
      <c r="G21" s="7" t="str">
        <v>marcelo.maestro@altoqi.com.br</v>
      </c>
      <c r="H21" s="15">
        <f>SUMIFS(Negócios!J:J,Negócios!A:A,A21,Negócios!B:B,B21,Negócios!P:P,D21,Negócios!AH:AH,"&lt;&gt;n")</f>
        <v>209003.76</v>
      </c>
      <c r="I21" s="16">
        <f>SUMIFS(Metas!K:K,Metas!A:A,A21,Metas!B:B,B21,Metas!D:D,D21,Metas!H:H,H$1)</f>
        <v>75000</v>
      </c>
      <c r="J21" s="10">
        <f t="shared" si="29"/>
        <v>2.7867168000000002</v>
      </c>
      <c r="K21" s="9">
        <f>SUMIFS(Metas!L:L,Metas!A:A,A21,Metas!B:B,B21,Metas!D:D,D21,Metas!H:H,H$1)</f>
        <v>0.4</v>
      </c>
      <c r="L21" s="15">
        <f>SUMIFS(Negócios!I:I,Negócios!A:A,A21,Negócios!B:B,B21,Negócios!P:P,D21,Negócios!AH:AH,"&lt;&gt;n")</f>
        <v>627011.28</v>
      </c>
      <c r="M21" s="16">
        <f>SUMIFS(Metas!K:K,Metas!A:A,A21,Metas!B:B,B21,Metas!D:D,D21,Metas!H:H,L$1)</f>
        <v>150000</v>
      </c>
      <c r="N21" s="10">
        <f t="shared" si="30"/>
        <v>4.1800752000000001</v>
      </c>
      <c r="O21" s="9">
        <f>SUMIFS(Metas!L:L,Metas!A:A,A21,Metas!B:B,B21,Metas!D:D,D21,Metas!H:H,L$1)</f>
        <v>0.6</v>
      </c>
      <c r="P21" s="35">
        <f t="shared" si="31"/>
        <v>3.6227318400000001</v>
      </c>
      <c r="Q21" s="15">
        <f>MAX(_xlfn.MAXIFS(Parâmetros!O:O,Parâmetros!A:A,A21,Parâmetros!B:B,B21,Parâmetros!D:D,D21,Parâmetros!M:M,"&lt;="&amp;J21),_xlfn.MAXIFS(Parâmetros!L:L,Parâmetros!A:A,A21,Parâmetros!B:B,B21,Parâmetros!D:D,D21,Parâmetros!J:J,"&lt;="&amp;J21),SUMIFS(Parâmetros!I:I,Parâmetros!A:A,A21,Parâmetros!B:B,B21,Parâmetros!D:D,D21))</f>
        <v>10000</v>
      </c>
      <c r="R21" s="9">
        <f>MAX(_xlfn.MAXIFS(Parâmetros!Q:Q,Parâmetros!A:A,A21,Parâmetros!B:B,B21,Parâmetros!D:D,D21,Parâmetros!P:P,"&lt;="&amp;N21),_xlfn.MAXIFS(Parâmetros!S:S,Parâmetros!A:A,A21,Parâmetros!B:B,B21,Parâmetros!D:D,D21,Parâmetros!R:R,"&lt;="&amp;N21),_xlfn.MAXIFS(Parâmetros!U:U,Parâmetros!A:A,A21,Parâmetros!B:B,B21,Parâmetros!D:D,D21,Parâmetros!T:T,"&lt;="&amp;N21),1) * IF(N21 &gt;= SUMIFS(Parâmetros!G:G,Parâmetros!A:A,A21,Parâmetros!B:B,B21,Parâmetros!D:D,D21),1,0)</f>
        <v>1.25</v>
      </c>
      <c r="S21" s="16">
        <f t="shared" si="32"/>
        <v>12500</v>
      </c>
      <c r="T21" s="16">
        <f t="shared" si="33"/>
        <v>45284.148000000001</v>
      </c>
      <c r="U21" s="15" t="str">
        <f t="shared" si="0"/>
        <v/>
      </c>
      <c r="V21" s="16" t="str">
        <f t="shared" si="1"/>
        <v/>
      </c>
      <c r="W21" s="90">
        <f t="shared" si="2"/>
        <v>0</v>
      </c>
      <c r="X21" s="16" t="str">
        <f t="shared" si="3"/>
        <v/>
      </c>
      <c r="Y21" s="16" t="str">
        <f t="shared" si="4"/>
        <v/>
      </c>
      <c r="Z21" s="90">
        <f t="shared" si="5"/>
        <v>0</v>
      </c>
      <c r="AA21" s="7" t="str">
        <f t="shared" si="6"/>
        <v/>
      </c>
      <c r="AB21" s="7" t="str">
        <f>IF(OR(B21=3,B21=6,B21=9,B21=12),
IF(AND(Z21&gt;=1,W21&gt;=SUMIFS(Parâmetros!L:L,Parâmetros!F:F,F21,Parâmetros!G:G,G21,Parâmetros!I:I,'Comissões GD'!I20)),W21*0.3,""),"")</f>
        <v/>
      </c>
      <c r="AC21" s="15" t="str">
        <f t="shared" si="7"/>
        <v/>
      </c>
      <c r="AD21" s="16" t="str">
        <f t="shared" si="8"/>
        <v/>
      </c>
      <c r="AE21" s="10">
        <f t="shared" si="9"/>
        <v>0</v>
      </c>
      <c r="AF21" s="99">
        <f>SUMIFS(Metas!L:L,Metas!A:A,A21,Metas!B:B,B21,Metas!D:D,D21,Metas!H:H,H$1)</f>
        <v>0.4</v>
      </c>
      <c r="AG21" s="16" t="str">
        <f t="shared" si="10"/>
        <v/>
      </c>
      <c r="AH21" s="16" t="str">
        <f t="shared" si="11"/>
        <v/>
      </c>
      <c r="AI21" s="10">
        <f t="shared" si="12"/>
        <v>0</v>
      </c>
      <c r="AJ21" s="99">
        <f>SUMIFS(Metas!L:L,Metas!A:A,A21,Metas!B:B,B21,Metas!D:D,D21,Metas!H:H,L$1)</f>
        <v>0.6</v>
      </c>
      <c r="AK21" s="90">
        <f t="shared" si="13"/>
        <v>0</v>
      </c>
      <c r="AL21" s="16" t="str">
        <f t="shared" si="14"/>
        <v/>
      </c>
      <c r="AM21" s="102" cm="1">
        <f t="array" ref="AM21">_xlfn.LET(
_xlpm.a,A21,
_xlpm.b,B21,
_xlpm.d,D21,
_xlpm.lim,AI21,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0</v>
      </c>
      <c r="AN21" s="16">
        <f t="shared" si="15"/>
        <v>0</v>
      </c>
      <c r="AO21" s="101">
        <f t="shared" si="16"/>
        <v>0</v>
      </c>
      <c r="AP21" s="16" t="str">
        <f t="shared" si="17"/>
        <v/>
      </c>
      <c r="AQ21" s="22" t="str">
        <f t="shared" si="23"/>
        <v/>
      </c>
    </row>
    <row r="22" spans="1:43">
      <c r="A22" s="7">
        <v>2026</v>
      </c>
      <c r="B22" s="7">
        <v>2</v>
      </c>
      <c r="C22" s="7" t="str">
        <v>Leandro Fontana da Silva</v>
      </c>
      <c r="D22" s="7" t="str">
        <v>leandro.fontana@altoqi.com.br</v>
      </c>
      <c r="E22" s="7" t="str">
        <v>Governo</v>
      </c>
      <c r="F22" s="7" t="str">
        <v>Consultor</v>
      </c>
      <c r="G22" s="7" t="str">
        <v>marcelo.maestro@altoqi.com.br</v>
      </c>
      <c r="H22" s="15">
        <f>SUMIFS(Negócios!J:J,Negócios!A:A,A22,Negócios!B:B,B22,Negócios!P:P,D22,Negócios!AH:AH,"&lt;&gt;n")</f>
        <v>0</v>
      </c>
      <c r="I22" s="16">
        <f>SUMIFS(Metas!K:K,Metas!A:A,A22,Metas!B:B,B22,Metas!D:D,D22,Metas!H:H,H$1)</f>
        <v>165934.85999999999</v>
      </c>
      <c r="J22" s="10">
        <f t="shared" si="29"/>
        <v>0</v>
      </c>
      <c r="K22" s="9">
        <f>SUMIFS(Metas!L:L,Metas!A:A,A22,Metas!B:B,B22,Metas!D:D,D22,Metas!H:H,H$1)</f>
        <v>0.4</v>
      </c>
      <c r="L22" s="15">
        <f>SUMIFS(Negócios!I:I,Negócios!A:A,A22,Negócios!B:B,B22,Negócios!P:P,D22,Negócios!AH:AH,"&lt;&gt;n")</f>
        <v>0</v>
      </c>
      <c r="M22" s="16">
        <f>SUMIFS(Metas!K:K,Metas!A:A,A22,Metas!B:B,B22,Metas!D:D,D22,Metas!H:H,L$1)</f>
        <v>331869.71999999997</v>
      </c>
      <c r="N22" s="10">
        <f t="shared" si="30"/>
        <v>0</v>
      </c>
      <c r="O22" s="9">
        <f>SUMIFS(Metas!L:L,Metas!A:A,A22,Metas!B:B,B22,Metas!D:D,D22,Metas!H:H,L$1)</f>
        <v>0.6</v>
      </c>
      <c r="P22" s="35">
        <f t="shared" si="31"/>
        <v>0</v>
      </c>
      <c r="Q22" s="15">
        <f>MAX(_xlfn.MAXIFS(Parâmetros!O:O,Parâmetros!A:A,A22,Parâmetros!B:B,B22,Parâmetros!D:D,D22,Parâmetros!M:M,"&lt;="&amp;J22),_xlfn.MAXIFS(Parâmetros!L:L,Parâmetros!A:A,A22,Parâmetros!B:B,B22,Parâmetros!D:D,D22,Parâmetros!J:J,"&lt;="&amp;J22),SUMIFS(Parâmetros!I:I,Parâmetros!A:A,A22,Parâmetros!B:B,B22,Parâmetros!D:D,D22))</f>
        <v>8000</v>
      </c>
      <c r="R22" s="9">
        <f>MAX(_xlfn.MAXIFS(Parâmetros!Q:Q,Parâmetros!A:A,A22,Parâmetros!B:B,B22,Parâmetros!D:D,D22,Parâmetros!P:P,"&lt;="&amp;N22),_xlfn.MAXIFS(Parâmetros!S:S,Parâmetros!A:A,A22,Parâmetros!B:B,B22,Parâmetros!D:D,D22,Parâmetros!R:R,"&lt;="&amp;N22),_xlfn.MAXIFS(Parâmetros!U:U,Parâmetros!A:A,A22,Parâmetros!B:B,B22,Parâmetros!D:D,D22,Parâmetros!T:T,"&lt;="&amp;N22),1) * IF(N22 &gt;= SUMIFS(Parâmetros!G:G,Parâmetros!A:A,A22,Parâmetros!B:B,B22,Parâmetros!D:D,D22),1,0)</f>
        <v>0</v>
      </c>
      <c r="S22" s="16">
        <f t="shared" si="32"/>
        <v>0</v>
      </c>
      <c r="T22" s="16">
        <f t="shared" si="33"/>
        <v>0</v>
      </c>
      <c r="U22" s="15" t="str">
        <f t="shared" si="0"/>
        <v/>
      </c>
      <c r="V22" s="16" t="str">
        <f t="shared" si="1"/>
        <v/>
      </c>
      <c r="W22" s="90">
        <f t="shared" si="2"/>
        <v>0</v>
      </c>
      <c r="X22" s="16" t="str">
        <f t="shared" si="3"/>
        <v/>
      </c>
      <c r="Y22" s="16" t="str">
        <f t="shared" si="4"/>
        <v/>
      </c>
      <c r="Z22" s="90">
        <f t="shared" si="5"/>
        <v>0</v>
      </c>
      <c r="AA22" s="7" t="str">
        <f t="shared" si="6"/>
        <v/>
      </c>
      <c r="AB22" s="7" t="str">
        <f>IF(OR(B22=3,B22=6,B22=9,B22=12),
IF(AND(Z22&gt;=1,W22&gt;=SUMIFS(Parâmetros!L:L,Parâmetros!F:F,F22,Parâmetros!G:G,G22,Parâmetros!I:I,'Comissões GD'!I21)),W22*0.3,""),"")</f>
        <v/>
      </c>
      <c r="AC22" s="15" t="str">
        <f t="shared" si="7"/>
        <v/>
      </c>
      <c r="AD22" s="16" t="str">
        <f t="shared" si="8"/>
        <v/>
      </c>
      <c r="AE22" s="10">
        <f t="shared" si="9"/>
        <v>0</v>
      </c>
      <c r="AF22" s="99">
        <f>SUMIFS(Metas!L:L,Metas!A:A,A22,Metas!B:B,B22,Metas!D:D,D22,Metas!H:H,H$1)</f>
        <v>0.4</v>
      </c>
      <c r="AG22" s="16" t="str">
        <f t="shared" si="10"/>
        <v/>
      </c>
      <c r="AH22" s="16" t="str">
        <f t="shared" si="11"/>
        <v/>
      </c>
      <c r="AI22" s="10">
        <f t="shared" si="12"/>
        <v>0</v>
      </c>
      <c r="AJ22" s="99">
        <f>SUMIFS(Metas!L:L,Metas!A:A,A22,Metas!B:B,B22,Metas!D:D,D22,Metas!H:H,L$1)</f>
        <v>0.6</v>
      </c>
      <c r="AK22" s="90">
        <f t="shared" si="13"/>
        <v>0</v>
      </c>
      <c r="AL22" s="16" t="str">
        <f t="shared" si="14"/>
        <v/>
      </c>
      <c r="AM22" s="102" cm="1">
        <f t="array" ref="AM22">_xlfn.LET(
_xlpm.a,A22,
_xlpm.b,B22,
_xlpm.d,D22,
_xlpm.lim,AI22,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0</v>
      </c>
      <c r="AN22" s="16">
        <f t="shared" si="15"/>
        <v>0</v>
      </c>
      <c r="AO22" s="101">
        <f t="shared" si="16"/>
        <v>0</v>
      </c>
      <c r="AP22" s="16" t="str">
        <f t="shared" si="17"/>
        <v/>
      </c>
      <c r="AQ22" s="22" t="str">
        <f t="shared" si="23"/>
        <v/>
      </c>
    </row>
    <row r="23" spans="1:43">
      <c r="A23" s="7">
        <v>2026</v>
      </c>
      <c r="B23" s="7">
        <v>2</v>
      </c>
      <c r="C23" s="7" t="str">
        <v>Nathan Alves</v>
      </c>
      <c r="D23" s="7" t="str">
        <v>nathan.alves@altoqi.com.br</v>
      </c>
      <c r="E23" s="7" t="str">
        <v>Governo</v>
      </c>
      <c r="F23" s="7" t="str">
        <v>Consultor</v>
      </c>
      <c r="G23" s="7" t="str">
        <v>marcelo.maestro@altoqi.com.br</v>
      </c>
      <c r="H23" s="15">
        <f>SUMIFS(Negócios!J:J,Negócios!A:A,A23,Negócios!B:B,B23,Negócios!P:P,D23,Negócios!AH:AH,"&lt;&gt;n")</f>
        <v>84492</v>
      </c>
      <c r="I23" s="16">
        <f>SUMIFS(Metas!K:K,Metas!A:A,A23,Metas!B:B,B23,Metas!D:D,D23,Metas!H:H,H$1)</f>
        <v>66667.5</v>
      </c>
      <c r="J23" s="10">
        <f t="shared" si="29"/>
        <v>1.2673641579480257</v>
      </c>
      <c r="K23" s="9">
        <f>SUMIFS(Metas!L:L,Metas!A:A,A23,Metas!B:B,B23,Metas!D:D,D23,Metas!H:H,H$1)</f>
        <v>0.4</v>
      </c>
      <c r="L23" s="15">
        <f>SUMIFS(Negócios!I:I,Negócios!A:A,A23,Negócios!B:B,B23,Negócios!P:P,D23,Negócios!AH:AH,"&lt;&gt;n")</f>
        <v>132516</v>
      </c>
      <c r="M23" s="16">
        <f>SUMIFS(Metas!K:K,Metas!A:A,A23,Metas!B:B,B23,Metas!D:D,D23,Metas!H:H,L$1)</f>
        <v>133335</v>
      </c>
      <c r="N23" s="10">
        <f t="shared" si="30"/>
        <v>0.9938575767802903</v>
      </c>
      <c r="O23" s="9">
        <f>SUMIFS(Metas!L:L,Metas!A:A,A23,Metas!B:B,B23,Metas!D:D,D23,Metas!H:H,L$1)</f>
        <v>0.6</v>
      </c>
      <c r="P23" s="35">
        <f t="shared" si="31"/>
        <v>1.1032602092473844</v>
      </c>
      <c r="Q23" s="15">
        <f>MAX(_xlfn.MAXIFS(Parâmetros!O:O,Parâmetros!A:A,A23,Parâmetros!B:B,B23,Parâmetros!D:D,D23,Parâmetros!M:M,"&lt;="&amp;J23),_xlfn.MAXIFS(Parâmetros!L:L,Parâmetros!A:A,A23,Parâmetros!B:B,B23,Parâmetros!D:D,D23,Parâmetros!J:J,"&lt;="&amp;J23),SUMIFS(Parâmetros!I:I,Parâmetros!A:A,A23,Parâmetros!B:B,B23,Parâmetros!D:D,D23))</f>
        <v>6800</v>
      </c>
      <c r="R23" s="9">
        <f>MAX(_xlfn.MAXIFS(Parâmetros!Q:Q,Parâmetros!A:A,A23,Parâmetros!B:B,B23,Parâmetros!D:D,D23,Parâmetros!P:P,"&lt;="&amp;N23),_xlfn.MAXIFS(Parâmetros!S:S,Parâmetros!A:A,A23,Parâmetros!B:B,B23,Parâmetros!D:D,D23,Parâmetros!R:R,"&lt;="&amp;N23),_xlfn.MAXIFS(Parâmetros!U:U,Parâmetros!A:A,A23,Parâmetros!B:B,B23,Parâmetros!D:D,D23,Parâmetros!T:T,"&lt;="&amp;N23),1) * IF(N23 &gt;= SUMIFS(Parâmetros!G:G,Parâmetros!A:A,A23,Parâmetros!B:B,B23,Parâmetros!D:D,D23),1,0)</f>
        <v>1.25</v>
      </c>
      <c r="S23" s="16">
        <f t="shared" si="32"/>
        <v>8500</v>
      </c>
      <c r="T23" s="16">
        <f t="shared" si="33"/>
        <v>9377.7117786027684</v>
      </c>
      <c r="U23" s="15" t="str">
        <f t="shared" si="0"/>
        <v/>
      </c>
      <c r="V23" s="16" t="str">
        <f t="shared" si="1"/>
        <v/>
      </c>
      <c r="W23" s="90">
        <f t="shared" si="2"/>
        <v>0</v>
      </c>
      <c r="X23" s="16" t="str">
        <f t="shared" si="3"/>
        <v/>
      </c>
      <c r="Y23" s="16" t="str">
        <f t="shared" si="4"/>
        <v/>
      </c>
      <c r="Z23" s="90">
        <f t="shared" si="5"/>
        <v>0</v>
      </c>
      <c r="AA23" s="7" t="str">
        <f t="shared" si="6"/>
        <v/>
      </c>
      <c r="AB23" s="7" t="str">
        <f>IF(OR(B23=3,B23=6,B23=9,B23=12),
IF(AND(Z23&gt;=1,W23&gt;=SUMIFS(Parâmetros!L:L,Parâmetros!F:F,F23,Parâmetros!G:G,G23,Parâmetros!I:I,'Comissões GD'!I22)),W23*0.3,""),"")</f>
        <v/>
      </c>
      <c r="AC23" s="15" t="str">
        <f t="shared" si="7"/>
        <v/>
      </c>
      <c r="AD23" s="16" t="str">
        <f t="shared" si="8"/>
        <v/>
      </c>
      <c r="AE23" s="10">
        <f t="shared" si="9"/>
        <v>0</v>
      </c>
      <c r="AF23" s="99">
        <f>SUMIFS(Metas!L:L,Metas!A:A,A23,Metas!B:B,B23,Metas!D:D,D23,Metas!H:H,H$1)</f>
        <v>0.4</v>
      </c>
      <c r="AG23" s="16" t="str">
        <f t="shared" si="10"/>
        <v/>
      </c>
      <c r="AH23" s="16" t="str">
        <f t="shared" si="11"/>
        <v/>
      </c>
      <c r="AI23" s="10">
        <f t="shared" si="12"/>
        <v>0</v>
      </c>
      <c r="AJ23" s="99">
        <f>SUMIFS(Metas!L:L,Metas!A:A,A23,Metas!B:B,B23,Metas!D:D,D23,Metas!H:H,L$1)</f>
        <v>0.6</v>
      </c>
      <c r="AK23" s="90">
        <f t="shared" si="13"/>
        <v>0</v>
      </c>
      <c r="AL23" s="16" t="str">
        <f t="shared" si="14"/>
        <v/>
      </c>
      <c r="AM23" s="102" cm="1">
        <f t="array" ref="AM23">_xlfn.LET(
_xlpm.a,A23,
_xlpm.b,B23,
_xlpm.d,D23,
_xlpm.lim,AI23,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0</v>
      </c>
      <c r="AN23" s="16">
        <f t="shared" si="15"/>
        <v>0</v>
      </c>
      <c r="AO23" s="101">
        <f t="shared" si="16"/>
        <v>0</v>
      </c>
      <c r="AP23" s="16" t="str">
        <f t="shared" si="17"/>
        <v/>
      </c>
      <c r="AQ23" s="22" t="str">
        <f t="shared" si="23"/>
        <v/>
      </c>
    </row>
    <row r="24" spans="1:43">
      <c r="A24" s="7">
        <v>2026</v>
      </c>
      <c r="B24" s="7">
        <v>2</v>
      </c>
      <c r="C24" s="7" t="str">
        <v>Soraia Fronchetti</v>
      </c>
      <c r="D24" s="7" t="str">
        <v>soraia@altoqi.com.br</v>
      </c>
      <c r="E24" s="7" t="str">
        <v>Governo</v>
      </c>
      <c r="F24" s="7" t="str">
        <v>Consultor</v>
      </c>
      <c r="G24" s="7" t="str">
        <v>marcelo.maestro@altoqi.com.br</v>
      </c>
      <c r="H24" s="15">
        <f>SUMIFS(Negócios!J:J,Negócios!A:A,A24,Negócios!B:B,B24,Negócios!P:P,D24,Negócios!AH:AH,"&lt;&gt;n")</f>
        <v>4312.8</v>
      </c>
      <c r="I24" s="16">
        <f>SUMIFS(Metas!K:K,Metas!A:A,A24,Metas!B:B,B24,Metas!D:D,D24,Metas!H:H,H$1)</f>
        <v>198760</v>
      </c>
      <c r="J24" s="10">
        <f t="shared" si="29"/>
        <v>2.169853089152747E-2</v>
      </c>
      <c r="K24" s="9">
        <f>SUMIFS(Metas!L:L,Metas!A:A,A24,Metas!B:B,B24,Metas!D:D,D24,Metas!H:H,H$1)</f>
        <v>0.4</v>
      </c>
      <c r="L24" s="15">
        <f>SUMIFS(Negócios!I:I,Negócios!A:A,A24,Negócios!B:B,B24,Negócios!P:P,D24,Negócios!AH:AH,"&lt;&gt;n")</f>
        <v>4312.8</v>
      </c>
      <c r="M24" s="16">
        <f>SUMIFS(Metas!K:K,Metas!A:A,A24,Metas!B:B,B24,Metas!D:D,D24,Metas!H:H,L$1)</f>
        <v>397520</v>
      </c>
      <c r="N24" s="10">
        <f t="shared" si="30"/>
        <v>1.0849265445763735E-2</v>
      </c>
      <c r="O24" s="9">
        <f>SUMIFS(Metas!L:L,Metas!A:A,A24,Metas!B:B,B24,Metas!D:D,D24,Metas!H:H,L$1)</f>
        <v>0.6</v>
      </c>
      <c r="P24" s="35">
        <f t="shared" si="31"/>
        <v>1.5188971624069229E-2</v>
      </c>
      <c r="Q24" s="15">
        <f>MAX(_xlfn.MAXIFS(Parâmetros!O:O,Parâmetros!A:A,A24,Parâmetros!B:B,B24,Parâmetros!D:D,D24,Parâmetros!M:M,"&lt;="&amp;J24),_xlfn.MAXIFS(Parâmetros!L:L,Parâmetros!A:A,A24,Parâmetros!B:B,B24,Parâmetros!D:D,D24,Parâmetros!J:J,"&lt;="&amp;J24),SUMIFS(Parâmetros!I:I,Parâmetros!A:A,A24,Parâmetros!B:B,B24,Parâmetros!D:D,D24))</f>
        <v>9200</v>
      </c>
      <c r="R24" s="9">
        <f>MAX(_xlfn.MAXIFS(Parâmetros!Q:Q,Parâmetros!A:A,A24,Parâmetros!B:B,B24,Parâmetros!D:D,D24,Parâmetros!P:P,"&lt;="&amp;N24),_xlfn.MAXIFS(Parâmetros!S:S,Parâmetros!A:A,A24,Parâmetros!B:B,B24,Parâmetros!D:D,D24,Parâmetros!R:R,"&lt;="&amp;N24),_xlfn.MAXIFS(Parâmetros!U:U,Parâmetros!A:A,A24,Parâmetros!B:B,B24,Parâmetros!D:D,D24,Parâmetros!T:T,"&lt;="&amp;N24),1) * IF(N24 &gt;= SUMIFS(Parâmetros!G:G,Parâmetros!A:A,A24,Parâmetros!B:B,B24,Parâmetros!D:D,D24),1,0)</f>
        <v>0</v>
      </c>
      <c r="S24" s="16">
        <f t="shared" si="32"/>
        <v>0</v>
      </c>
      <c r="T24" s="16">
        <f t="shared" si="33"/>
        <v>0</v>
      </c>
      <c r="U24" s="15" t="str">
        <f t="shared" si="0"/>
        <v/>
      </c>
      <c r="V24" s="16" t="str">
        <f t="shared" si="1"/>
        <v/>
      </c>
      <c r="W24" s="90">
        <f t="shared" si="2"/>
        <v>0</v>
      </c>
      <c r="X24" s="16" t="str">
        <f t="shared" si="3"/>
        <v/>
      </c>
      <c r="Y24" s="16" t="str">
        <f t="shared" si="4"/>
        <v/>
      </c>
      <c r="Z24" s="90">
        <f t="shared" si="5"/>
        <v>0</v>
      </c>
      <c r="AA24" s="7" t="str">
        <f t="shared" si="6"/>
        <v/>
      </c>
      <c r="AB24" s="7" t="str">
        <f>IF(OR(B24=3,B24=6,B24=9,B24=12),
IF(AND(Z24&gt;=1,W24&gt;=SUMIFS(Parâmetros!L:L,Parâmetros!F:F,F24,Parâmetros!G:G,G24,Parâmetros!I:I,'Comissões GD'!I23)),W24*0.3,""),"")</f>
        <v/>
      </c>
      <c r="AC24" s="15" t="str">
        <f t="shared" si="7"/>
        <v/>
      </c>
      <c r="AD24" s="16" t="str">
        <f t="shared" si="8"/>
        <v/>
      </c>
      <c r="AE24" s="10">
        <f t="shared" si="9"/>
        <v>0</v>
      </c>
      <c r="AF24" s="99">
        <f>SUMIFS(Metas!L:L,Metas!A:A,A24,Metas!B:B,B24,Metas!D:D,D24,Metas!H:H,H$1)</f>
        <v>0.4</v>
      </c>
      <c r="AG24" s="16" t="str">
        <f t="shared" si="10"/>
        <v/>
      </c>
      <c r="AH24" s="16" t="str">
        <f t="shared" si="11"/>
        <v/>
      </c>
      <c r="AI24" s="10">
        <f t="shared" si="12"/>
        <v>0</v>
      </c>
      <c r="AJ24" s="99">
        <f>SUMIFS(Metas!L:L,Metas!A:A,A24,Metas!B:B,B24,Metas!D:D,D24,Metas!H:H,L$1)</f>
        <v>0.6</v>
      </c>
      <c r="AK24" s="90">
        <f t="shared" si="13"/>
        <v>0</v>
      </c>
      <c r="AL24" s="16" t="str">
        <f t="shared" si="14"/>
        <v/>
      </c>
      <c r="AM24" s="102" cm="1">
        <f t="array" ref="AM24">_xlfn.LET(
_xlpm.a,A24,
_xlpm.b,B24,
_xlpm.d,D24,
_xlpm.lim,AI24,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0</v>
      </c>
      <c r="AN24" s="16">
        <f t="shared" si="15"/>
        <v>0</v>
      </c>
      <c r="AO24" s="101">
        <f t="shared" si="16"/>
        <v>0</v>
      </c>
      <c r="AP24" s="16" t="str">
        <f t="shared" si="17"/>
        <v/>
      </c>
      <c r="AQ24" s="22" t="str">
        <f t="shared" si="23"/>
        <v/>
      </c>
    </row>
    <row r="25" spans="1:43">
      <c r="A25" s="7">
        <v>2026</v>
      </c>
      <c r="B25" s="7">
        <v>2</v>
      </c>
      <c r="C25" s="7" t="str">
        <v>Tabata Couto</v>
      </c>
      <c r="D25" s="7" t="str">
        <v>tabata.couto@altoqi.com.br</v>
      </c>
      <c r="E25" s="7" t="str">
        <v>Governo</v>
      </c>
      <c r="F25" s="7" t="str">
        <v>Consultor</v>
      </c>
      <c r="G25" s="7" t="str">
        <v>marcelo.maestro@altoqi.com.br</v>
      </c>
      <c r="H25" s="15">
        <f>SUMIFS(Negócios!J:J,Negócios!A:A,A25,Negócios!B:B,B25,Negócios!P:P,D25,Negócios!AH:AH,"&lt;&gt;n")</f>
        <v>10080</v>
      </c>
      <c r="I25" s="16">
        <f>SUMIFS(Metas!K:K,Metas!A:A,A25,Metas!B:B,B25,Metas!D:D,D25,Metas!H:H,H$1)</f>
        <v>53442</v>
      </c>
      <c r="J25" s="10">
        <f t="shared" si="29"/>
        <v>0.18861569552037724</v>
      </c>
      <c r="K25" s="9">
        <f>SUMIFS(Metas!L:L,Metas!A:A,A25,Metas!B:B,B25,Metas!D:D,D25,Metas!H:H,H$1)</f>
        <v>0.4</v>
      </c>
      <c r="L25" s="15">
        <f>SUMIFS(Negócios!I:I,Negócios!A:A,A25,Negócios!B:B,B25,Negócios!P:P,D25,Negócios!AH:AH,"&lt;&gt;n")</f>
        <v>10080</v>
      </c>
      <c r="M25" s="16">
        <f>SUMIFS(Metas!K:K,Metas!A:A,A25,Metas!B:B,B25,Metas!D:D,D25,Metas!H:H,L$1)</f>
        <v>106884</v>
      </c>
      <c r="N25" s="10">
        <f t="shared" si="30"/>
        <v>9.4307847760188621E-2</v>
      </c>
      <c r="O25" s="9">
        <f>SUMIFS(Metas!L:L,Metas!A:A,A25,Metas!B:B,B25,Metas!D:D,D25,Metas!H:H,L$1)</f>
        <v>0.6</v>
      </c>
      <c r="P25" s="35">
        <f t="shared" si="31"/>
        <v>0.13203098686426407</v>
      </c>
      <c r="Q25" s="15">
        <f>MAX(_xlfn.MAXIFS(Parâmetros!O:O,Parâmetros!A:A,A25,Parâmetros!B:B,B25,Parâmetros!D:D,D25,Parâmetros!M:M,"&lt;="&amp;J25),_xlfn.MAXIFS(Parâmetros!L:L,Parâmetros!A:A,A25,Parâmetros!B:B,B25,Parâmetros!D:D,D25,Parâmetros!J:J,"&lt;="&amp;J25),SUMIFS(Parâmetros!I:I,Parâmetros!A:A,A25,Parâmetros!B:B,B25,Parâmetros!D:D,D25))</f>
        <v>5600</v>
      </c>
      <c r="R25" s="9">
        <f>MAX(_xlfn.MAXIFS(Parâmetros!Q:Q,Parâmetros!A:A,A25,Parâmetros!B:B,B25,Parâmetros!D:D,D25,Parâmetros!P:P,"&lt;="&amp;N25),_xlfn.MAXIFS(Parâmetros!S:S,Parâmetros!A:A,A25,Parâmetros!B:B,B25,Parâmetros!D:D,D25,Parâmetros!R:R,"&lt;="&amp;N25),_xlfn.MAXIFS(Parâmetros!U:U,Parâmetros!A:A,A25,Parâmetros!B:B,B25,Parâmetros!D:D,D25,Parâmetros!T:T,"&lt;="&amp;N25),1) * IF(N25 &gt;= SUMIFS(Parâmetros!G:G,Parâmetros!A:A,A25,Parâmetros!B:B,B25,Parâmetros!D:D,D25),1,0)</f>
        <v>0</v>
      </c>
      <c r="S25" s="16">
        <f t="shared" si="32"/>
        <v>0</v>
      </c>
      <c r="T25" s="16">
        <f t="shared" si="33"/>
        <v>0</v>
      </c>
      <c r="U25" s="15" t="str">
        <f>IF(OR(B25=3,B25=6,B25=9,B25=12),
SUMIFS($L:$L,$A:$A,$A25,$B:$B,"&gt;="&amp;(B25-2),$B:$B,"&lt;="&amp;B25,$D:$D,$D25),
"")</f>
        <v/>
      </c>
      <c r="V25" s="16" t="str">
        <f>IF(OR(B25=3,B25=6,B25=9,B25=12),
SUMIFS($M:$M,$A:$A,$A25,$B:$B,"&gt;="&amp;(B25-2),$B:$B,"&lt;="&amp;B25,$D:$D,$D25),
"")</f>
        <v/>
      </c>
      <c r="W25" s="90">
        <f>IFERROR(U25/V25,0)</f>
        <v>0</v>
      </c>
      <c r="X25" s="16" t="str">
        <f>IF(F25="Gestor","",
IF(OR(B25=3,B25=6,B25=9,B25=12),
SUMIFS($L:$L,$A:$A,$A25,$B:$B,"&gt;="&amp;(B25-2),$B:$B,"&lt;="&amp;B25,$E:$E,$E25,$F:$F,"&lt;&gt;Gestor"),
""))</f>
        <v/>
      </c>
      <c r="Y25" s="16" t="str">
        <f>IF(F25="Gestor","",
IF(OR(B25=3,B25=6,B25=9,B25=12),
SUMIFS($M:$M,$A:$A,$A25,$B:$B,"&gt;="&amp;(B25-2),$B:$B,"&lt;="&amp;B25,$E:$E,$E25,$F:$F,"&lt;&gt;Gestor"),
""))</f>
        <v/>
      </c>
      <c r="Z25" s="90">
        <f>IFERROR(X25/Y25,0)</f>
        <v>0</v>
      </c>
      <c r="AA25" s="7" t="str">
        <f t="shared" si="6"/>
        <v/>
      </c>
      <c r="AB25" s="7" t="str">
        <f>IF(OR(B25=3,B25=6,B25=9,B25=12),
IF(AND(Z25&gt;=1,W25&gt;=SUMIFS(Parâmetros!L:L,Parâmetros!F:F,F25,Parâmetros!G:G,G25,Parâmetros!I:I,'Comissões GD'!I24)),W25*0.3,""),"")</f>
        <v/>
      </c>
      <c r="AC25" s="15" t="str">
        <f>IF(OR(B25=3,B25=6,B25=9,B25=12),
SUMIFS($H:$H,$A:$A,$A25,$B:$B,"&gt;="&amp;(B25-2),$B:$B,"&lt;="&amp;B25,$D:$D,$D25),
"")</f>
        <v/>
      </c>
      <c r="AD25" s="16" t="str">
        <f>IF(OR(B25=3,B25=6,B25=9,B25=12),
SUMIFS($I:$I,$A:$A,$A25,$B:$B,"&gt;="&amp;(B25-2),$B:$B,"&lt;="&amp;B25,$D:$D,$D25),
"")</f>
        <v/>
      </c>
      <c r="AE25" s="10">
        <f t="shared" ref="AE5:AE25" si="34">IFERROR(AC25/AD25,0)</f>
        <v>0</v>
      </c>
      <c r="AF25" s="99">
        <f>SUMIFS(Metas!L:L,Metas!A:A,A25,Metas!B:B,B25,Metas!D:D,D25,Metas!H:H,H$1)</f>
        <v>0.4</v>
      </c>
      <c r="AG25" s="16" t="str">
        <f>IF(OR(B25=3,B25=6,B25=9,B25=12),
SUMIFS($L:$L,$A:$A,$A25,$B:$B,"&gt;="&amp;(B25-2),$B:$B,"&lt;="&amp;B25,$D:$D,$D25),
"")</f>
        <v/>
      </c>
      <c r="AH25" s="16" t="str">
        <f>IF(OR(B25=3,B25=6,B25=9,B25=12),
SUMIFS($M:$M,$A:$A,$A25,$B:$B,"&gt;="&amp;(B25-2),$B:$B,"&lt;="&amp;B25,$D:$D,$D25),
"")</f>
        <v/>
      </c>
      <c r="AI25" s="10">
        <f t="shared" ref="AI5:AI25" si="35">IFERROR(AG25/AH25,0)</f>
        <v>0</v>
      </c>
      <c r="AJ25" s="99">
        <f>SUMIFS(Metas!L:L,Metas!A:A,A25,Metas!B:B,B25,Metas!D:D,D25,Metas!H:H,L$1)</f>
        <v>0.6</v>
      </c>
      <c r="AK25" s="90">
        <f t="shared" ref="AK25" si="36">(AE25*AF25)+(AI25*AJ25)</f>
        <v>0</v>
      </c>
      <c r="AL25" s="16" t="str">
        <f>IF(OR(B25=3,B25=6,B25=9,B25=12),
SUMIFS($Q:$Q,$A:$A,$A25,$B:$B,"&gt;="&amp;(B25-2),$B:$B,"&lt;="&amp;B25,$D:$D,$D25),
"")</f>
        <v/>
      </c>
      <c r="AM25" s="102" cm="1">
        <f t="array" ref="AM25">_xlfn.LET(
_xlpm.a,A25,
_xlpm.b,B25,
_xlpm.d,D25,
_xlpm.lim,AI25,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0</v>
      </c>
      <c r="AN25" s="16">
        <f>IFERROR(AL25*AM25,0)</f>
        <v>0</v>
      </c>
      <c r="AO25" s="101">
        <f t="shared" ref="AO5:AO25" si="37">AN25*AK25</f>
        <v>0</v>
      </c>
      <c r="AP25" s="16" t="str">
        <f>IF(OR(B25=3,B25=6,B25=9,B25=12),
SUMIFS($T:$T,$A:$A,$A25,$B:$B,"&gt;="&amp;(B25-2),$B:$B,"&lt;="&amp;B25,$D:$D,$D25),
"")</f>
        <v/>
      </c>
      <c r="AQ25" s="22" t="str">
        <f t="shared" si="23"/>
        <v/>
      </c>
    </row>
    <row r="26" spans="1:43">
      <c r="A26" s="7">
        <v>2026</v>
      </c>
      <c r="B26" s="7">
        <v>3</v>
      </c>
      <c r="C26" s="7" t="str">
        <v>Angélica da Silva Steinbach</v>
      </c>
      <c r="D26" s="7" t="str">
        <v>angelica.steinbach@altoqi.com.br</v>
      </c>
      <c r="E26" s="7" t="str">
        <v>Governo</v>
      </c>
      <c r="F26" s="7" t="str">
        <v>Consultor</v>
      </c>
      <c r="G26" s="7" t="str">
        <v>marcelo.maestro@altoqi.com.br</v>
      </c>
      <c r="H26" s="15">
        <f>SUMIFS(Negócios!J:J,Negócios!A:A,A26,Negócios!B:B,B26,Negócios!P:P,D26,Negócios!AH:AH,"&lt;&gt;n")</f>
        <v>135024</v>
      </c>
      <c r="I26" s="16">
        <f>SUMIFS(Metas!K:K,Metas!A:A,A26,Metas!B:B,B26,Metas!D:D,D26,Metas!H:H,H$1)</f>
        <v>114309</v>
      </c>
      <c r="J26" s="10">
        <f t="shared" ref="J26:J35" si="38">IFERROR(H26/I26,0)</f>
        <v>1.1812193265622128</v>
      </c>
      <c r="K26" s="9">
        <f>SUMIFS(Metas!L:L,Metas!A:A,A26,Metas!B:B,B26,Metas!D:D,D26,Metas!H:H,H$1)</f>
        <v>0.4</v>
      </c>
      <c r="L26" s="15">
        <f>SUMIFS(Negócios!I:I,Negócios!A:A,A26,Negócios!B:B,B26,Negócios!P:P,D26,Negócios!AH:AH,"&lt;&gt;n")</f>
        <v>145104</v>
      </c>
      <c r="M26" s="16">
        <f>SUMIFS(Metas!K:K,Metas!A:A,A26,Metas!B:B,B26,Metas!D:D,D26,Metas!H:H,L$1)</f>
        <v>228618</v>
      </c>
      <c r="N26" s="10">
        <f t="shared" ref="N26:N35" si="39">IFERROR(L26/M26,0)</f>
        <v>0.63470067973650368</v>
      </c>
      <c r="O26" s="9">
        <f>SUMIFS(Metas!L:L,Metas!A:A,A26,Metas!B:B,B26,Metas!D:D,D26,Metas!H:H,L$1)</f>
        <v>0.6</v>
      </c>
      <c r="P26" s="35">
        <f t="shared" ref="P26:P35" si="40">(J26*K26)+(N26*O26)</f>
        <v>0.85330813846678732</v>
      </c>
      <c r="Q26" s="15">
        <f>MAX(_xlfn.MAXIFS(Parâmetros!O:O,Parâmetros!A:A,A26,Parâmetros!B:B,B26,Parâmetros!D:D,D26,Parâmetros!M:M,"&lt;="&amp;J26),_xlfn.MAXIFS(Parâmetros!L:L,Parâmetros!A:A,A26,Parâmetros!B:B,B26,Parâmetros!D:D,D26,Parâmetros!J:J,"&lt;="&amp;J26),SUMIFS(Parâmetros!I:I,Parâmetros!A:A,A26,Parâmetros!B:B,B26,Parâmetros!D:D,D26))</f>
        <v>8000</v>
      </c>
      <c r="R26" s="9">
        <f>MAX(_xlfn.MAXIFS(Parâmetros!Q:Q,Parâmetros!A:A,A26,Parâmetros!B:B,B26,Parâmetros!D:D,D26,Parâmetros!P:P,"&lt;="&amp;N26),_xlfn.MAXIFS(Parâmetros!S:S,Parâmetros!A:A,A26,Parâmetros!B:B,B26,Parâmetros!D:D,D26,Parâmetros!R:R,"&lt;="&amp;N26),_xlfn.MAXIFS(Parâmetros!U:U,Parâmetros!A:A,A26,Parâmetros!B:B,B26,Parâmetros!D:D,D26,Parâmetros!T:T,"&lt;="&amp;N26),1) * IF(N26 &gt;= SUMIFS(Parâmetros!G:G,Parâmetros!A:A,A26,Parâmetros!B:B,B26,Parâmetros!D:D,D26),1,0)</f>
        <v>1</v>
      </c>
      <c r="S26" s="16">
        <f t="shared" ref="S26:S35" si="41">Q26*R26</f>
        <v>8000</v>
      </c>
      <c r="T26" s="16">
        <f t="shared" ref="T26:T35" si="42">S26*P26</f>
        <v>6826.4651077342987</v>
      </c>
      <c r="U26" s="15">
        <f>IF(OR(B26=3,B26=6,B26=9,B26=12),
SUMIFS($L:$L,$A:$A,$A26,$B:$B,"&gt;="&amp;(B26-2),$B:$B,"&lt;="&amp;B26,$D:$D,$D26),
"")</f>
        <v>313658.16000000003</v>
      </c>
      <c r="V26" s="16">
        <f t="shared" ref="V26:V35" si="43">IF(OR(B26=3,B26=6,B26=9,B26=12),
SUMIFS($M:$M,$A:$A,$A26,$B:$B,"&gt;="&amp;(B26-2),$B:$B,"&lt;="&amp;B26,$D:$D,$D26),
"")</f>
        <v>685854</v>
      </c>
      <c r="W26" s="90">
        <f t="shared" ref="W26:W35" si="44">IFERROR(U26/V26,0)</f>
        <v>0.45732497003735495</v>
      </c>
      <c r="X26" s="16">
        <f t="shared" ref="X26:X35" si="45">IF(F26="Gestor","",
IF(OR(B26=3,B26=6,B26=9,B26=12),
SUMIFS($L:$L,$A:$A,$A26,$B:$B,"&gt;="&amp;(B26-2),$B:$B,"&lt;="&amp;B26,$E:$E,$E26,$F:$F,"&lt;&gt;Gestor"),
""))</f>
        <v>5511578.0799999991</v>
      </c>
      <c r="Y26" s="16">
        <f t="shared" ref="Y26:Y35" si="46">IF(F26="Gestor","",
IF(OR(B26=3,B26=6,B26=9,B26=12),
SUMIFS($M:$M,$A:$A,$A26,$B:$B,"&gt;="&amp;(B26-2),$B:$B,"&lt;="&amp;B26,$E:$E,$E26,$F:$F,"&lt;&gt;Gestor"),
""))</f>
        <v>7047246.6299464917</v>
      </c>
      <c r="Z26" s="90">
        <f t="shared" ref="Z26:Z35" si="47">IFERROR(X26/Y26,0)</f>
        <v>0.78208956907782401</v>
      </c>
      <c r="AA26" s="7" t="str">
        <f t="shared" si="6"/>
        <v/>
      </c>
      <c r="AB26" s="7" t="str">
        <f>IF(OR(B26=3,B26=6,B26=9,B26=12),
IF(AND(Z26&gt;=1,W26&gt;=SUMIFS(Parâmetros!L:L,Parâmetros!F:F,F26,Parâmetros!G:G,G26,Parâmetros!I:I,'Comissões GD'!I25)),W26*0.3,""),"")</f>
        <v/>
      </c>
      <c r="AC26" s="15">
        <f t="shared" ref="AC26:AC35" si="48">IF(OR(B26=3,B26=6,B26=9,B26=12),
SUMIFS($H:$H,$A:$A,$A26,$B:$B,"&gt;="&amp;(B26-2),$B:$B,"&lt;="&amp;B26,$D:$D,$D26),
"")</f>
        <v>183710.16</v>
      </c>
      <c r="AD26" s="16">
        <f t="shared" ref="AD26:AD35" si="49">IF(OR(B26=3,B26=6,B26=9,B26=12),
SUMIFS($I:$I,$A:$A,$A26,$B:$B,"&gt;="&amp;(B26-2),$B:$B,"&lt;="&amp;B26,$D:$D,$D26),
"")</f>
        <v>342927</v>
      </c>
      <c r="AE26" s="10">
        <f t="shared" ref="AE26:AE35" si="50">IFERROR(AC26/AD26,0)</f>
        <v>0.53571214864971262</v>
      </c>
      <c r="AF26" s="99">
        <f>SUMIFS(Metas!L:L,Metas!A:A,A26,Metas!B:B,B26,Metas!D:D,D26,Metas!H:H,H$1)</f>
        <v>0.4</v>
      </c>
      <c r="AG26" s="16">
        <f t="shared" ref="AG26:AG35" si="51">IF(OR(B26=3,B26=6,B26=9,B26=12),
SUMIFS($L:$L,$A:$A,$A26,$B:$B,"&gt;="&amp;(B26-2),$B:$B,"&lt;="&amp;B26,$D:$D,$D26),
"")</f>
        <v>313658.16000000003</v>
      </c>
      <c r="AH26" s="16">
        <f t="shared" ref="AH26:AH35" si="52">IF(OR(B26=3,B26=6,B26=9,B26=12),
SUMIFS($M:$M,$A:$A,$A26,$B:$B,"&gt;="&amp;(B26-2),$B:$B,"&lt;="&amp;B26,$D:$D,$D26),
"")</f>
        <v>685854</v>
      </c>
      <c r="AI26" s="10">
        <f t="shared" ref="AI26:AI35" si="53">IFERROR(AG26/AH26,0)</f>
        <v>0.45732497003735495</v>
      </c>
      <c r="AJ26" s="99">
        <f>SUMIFS(Metas!L:L,Metas!A:A,A26,Metas!B:B,B26,Metas!D:D,D26,Metas!H:H,L$1)</f>
        <v>0.6</v>
      </c>
      <c r="AK26" s="90">
        <f t="shared" ref="AK26:AK35" si="54">(AE26*AF26)+(AI26*AJ26)</f>
        <v>0.48867984148229804</v>
      </c>
      <c r="AL26" s="16">
        <f t="shared" ref="AL26:AL35" si="55">IF(OR(B26=3,B26=6,B26=9,B26=12),
SUMIFS($Q:$Q,$A:$A,$A26,$B:$B,"&gt;="&amp;(B26-2),$B:$B,"&lt;="&amp;B26,$D:$D,$D26),
"")</f>
        <v>24000</v>
      </c>
      <c r="AM26" s="102" cm="1">
        <f t="array" ref="AM26">_xlfn.LET(
_xlpm.a,A26,
_xlpm.b,B26,
_xlpm.d,D26,
_xlpm.lim,AI26,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0</v>
      </c>
      <c r="AN26" s="16">
        <f t="shared" ref="AN26:AN35" si="56">IFERROR(AL26*AM26,0)</f>
        <v>0</v>
      </c>
      <c r="AO26" s="101">
        <f t="shared" ref="AO26:AO35" si="57">AN26*AK26</f>
        <v>0</v>
      </c>
      <c r="AP26" s="16">
        <f t="shared" ref="AP26:AP35" si="58">IF(OR(B26=3,B26=6,B26=9,B26=12),
SUMIFS($T:$T,$A:$A,$A26,$B:$B,"&gt;="&amp;(B26-2),$B:$B,"&lt;="&amp;B26,$D:$D,$D26),
"")</f>
        <v>10826.549090622786</v>
      </c>
      <c r="AQ26" s="22" t="str">
        <f t="shared" ref="AQ26:AQ35" si="59">IF(AO26&gt;AP26,AO26-AP26,"")</f>
        <v/>
      </c>
    </row>
    <row r="27" spans="1:43">
      <c r="A27" s="7">
        <v>2026</v>
      </c>
      <c r="B27" s="7">
        <v>3</v>
      </c>
      <c r="C27" s="7" t="str">
        <v>Carla Araujo</v>
      </c>
      <c r="D27" s="7" t="str">
        <v>carla.araujo@altoqi.com.br</v>
      </c>
      <c r="E27" s="7" t="str">
        <v>Governo</v>
      </c>
      <c r="F27" s="7" t="str">
        <v>Consultor</v>
      </c>
      <c r="G27" s="7" t="str">
        <v>marcelo.maestro@altoqi.com.br</v>
      </c>
      <c r="H27" s="15">
        <f>SUMIFS(Negócios!J:J,Negócios!A:A,A27,Negócios!B:B,B27,Negócios!P:P,D27,Negócios!AH:AH,"&lt;&gt;n")</f>
        <v>216274.32000000004</v>
      </c>
      <c r="I27" s="16">
        <f>SUMIFS(Metas!K:K,Metas!A:A,A27,Metas!B:B,B27,Metas!D:D,D27,Metas!H:H,H$1)</f>
        <v>83126</v>
      </c>
      <c r="J27" s="10">
        <f t="shared" si="38"/>
        <v>2.6017650313981191</v>
      </c>
      <c r="K27" s="9">
        <f>SUMIFS(Metas!L:L,Metas!A:A,A27,Metas!B:B,B27,Metas!D:D,D27,Metas!H:H,H$1)</f>
        <v>0.4</v>
      </c>
      <c r="L27" s="15">
        <f>SUMIFS(Negócios!I:I,Negócios!A:A,A27,Negócios!B:B,B27,Negócios!P:P,D27,Negócios!AH:AH,"&lt;&gt;n")</f>
        <v>318398.32</v>
      </c>
      <c r="M27" s="16">
        <f>SUMIFS(Metas!K:K,Metas!A:A,A27,Metas!B:B,B27,Metas!D:D,D27,Metas!H:H,L$1)</f>
        <v>166252</v>
      </c>
      <c r="N27" s="10">
        <f t="shared" si="39"/>
        <v>1.9151548252051103</v>
      </c>
      <c r="O27" s="9">
        <f>SUMIFS(Metas!L:L,Metas!A:A,A27,Metas!B:B,B27,Metas!D:D,D27,Metas!H:H,L$1)</f>
        <v>0.6</v>
      </c>
      <c r="P27" s="35">
        <f t="shared" si="40"/>
        <v>2.1897989076823139</v>
      </c>
      <c r="Q27" s="15">
        <f>MAX(_xlfn.MAXIFS(Parâmetros!O:O,Parâmetros!A:A,A27,Parâmetros!B:B,B27,Parâmetros!D:D,D27,Parâmetros!M:M,"&lt;="&amp;J27),_xlfn.MAXIFS(Parâmetros!L:L,Parâmetros!A:A,A27,Parâmetros!B:B,B27,Parâmetros!D:D,D27,Parâmetros!J:J,"&lt;="&amp;J27),SUMIFS(Parâmetros!I:I,Parâmetros!A:A,A27,Parâmetros!B:B,B27,Parâmetros!D:D,D27))</f>
        <v>6800</v>
      </c>
      <c r="R27" s="9">
        <f>MAX(_xlfn.MAXIFS(Parâmetros!Q:Q,Parâmetros!A:A,A27,Parâmetros!B:B,B27,Parâmetros!D:D,D27,Parâmetros!P:P,"&lt;="&amp;N27),_xlfn.MAXIFS(Parâmetros!S:S,Parâmetros!A:A,A27,Parâmetros!B:B,B27,Parâmetros!D:D,D27,Parâmetros!R:R,"&lt;="&amp;N27),_xlfn.MAXIFS(Parâmetros!U:U,Parâmetros!A:A,A27,Parâmetros!B:B,B27,Parâmetros!D:D,D27,Parâmetros!T:T,"&lt;="&amp;N27),1) * IF(N27 &gt;= SUMIFS(Parâmetros!G:G,Parâmetros!A:A,A27,Parâmetros!B:B,B27,Parâmetros!D:D,D27),1,0)</f>
        <v>1.25</v>
      </c>
      <c r="S27" s="16">
        <f t="shared" si="41"/>
        <v>8500</v>
      </c>
      <c r="T27" s="16">
        <f t="shared" si="42"/>
        <v>18613.290715299667</v>
      </c>
      <c r="U27" s="15">
        <f t="shared" ref="U26:U35" si="60">IF(OR(B27=3,B27=6,B27=9,B27=12),
SUMIFS($L:$L,$A:$A,$A27,$B:$B,"&gt;="&amp;(B27-2),$B:$B,"&lt;="&amp;B27,$D:$D,$D27),
"")</f>
        <v>1097051.92</v>
      </c>
      <c r="V27" s="16">
        <f t="shared" si="43"/>
        <v>498756</v>
      </c>
      <c r="W27" s="90">
        <f t="shared" si="44"/>
        <v>2.1995763860484887</v>
      </c>
      <c r="X27" s="16">
        <f t="shared" si="45"/>
        <v>5511578.0799999991</v>
      </c>
      <c r="Y27" s="16">
        <f t="shared" si="46"/>
        <v>7047246.6299464917</v>
      </c>
      <c r="Z27" s="90">
        <f t="shared" si="47"/>
        <v>0.78208956907782401</v>
      </c>
      <c r="AA27" s="7">
        <f t="shared" si="6"/>
        <v>0.65987291581454655</v>
      </c>
      <c r="AB27" s="7" t="str">
        <f>IF(OR(B27=3,B27=6,B27=9,B27=12),
IF(AND(Z27&gt;=1,W27&gt;=SUMIFS(Parâmetros!L:L,Parâmetros!F:F,F27,Parâmetros!G:G,G27,Parâmetros!I:I,'Comissões GD'!I26)),W27*0.3,""),"")</f>
        <v/>
      </c>
      <c r="AC27" s="15">
        <f t="shared" si="48"/>
        <v>526400.4</v>
      </c>
      <c r="AD27" s="16">
        <f t="shared" si="49"/>
        <v>249378</v>
      </c>
      <c r="AE27" s="10">
        <f t="shared" si="50"/>
        <v>2.1108534032673294</v>
      </c>
      <c r="AF27" s="99">
        <f>SUMIFS(Metas!L:L,Metas!A:A,A27,Metas!B:B,B27,Metas!D:D,D27,Metas!H:H,H$1)</f>
        <v>0.4</v>
      </c>
      <c r="AG27" s="16">
        <f t="shared" si="51"/>
        <v>1097051.92</v>
      </c>
      <c r="AH27" s="16">
        <f t="shared" si="52"/>
        <v>498756</v>
      </c>
      <c r="AI27" s="10">
        <f t="shared" si="53"/>
        <v>2.1995763860484887</v>
      </c>
      <c r="AJ27" s="99">
        <f>SUMIFS(Metas!L:L,Metas!A:A,A27,Metas!B:B,B27,Metas!D:D,D27,Metas!H:H,L$1)</f>
        <v>0.6</v>
      </c>
      <c r="AK27" s="90">
        <f t="shared" si="54"/>
        <v>2.1640871929360248</v>
      </c>
      <c r="AL27" s="16">
        <f t="shared" si="55"/>
        <v>20400</v>
      </c>
      <c r="AM27" s="102" cm="1">
        <f t="array" ref="AM27">_xlfn.LET(
_xlpm.a,A27,
_xlpm.b,B27,
_xlpm.d,D27,
_xlpm.lim,AI27,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1.25</v>
      </c>
      <c r="AN27" s="16">
        <f t="shared" si="56"/>
        <v>25500</v>
      </c>
      <c r="AO27" s="101">
        <f t="shared" si="57"/>
        <v>55184.223419868635</v>
      </c>
      <c r="AP27" s="16">
        <f t="shared" si="58"/>
        <v>55184.223419868635</v>
      </c>
      <c r="AQ27" s="22" t="str">
        <f t="shared" si="59"/>
        <v/>
      </c>
    </row>
    <row r="28" spans="1:43">
      <c r="A28" s="7">
        <v>2026</v>
      </c>
      <c r="B28" s="7">
        <v>3</v>
      </c>
      <c r="C28" s="7" t="str">
        <v>Deize Marla Rudek</v>
      </c>
      <c r="D28" s="7" t="str">
        <v>deize.rudek@altoqi.com.br</v>
      </c>
      <c r="E28" s="7" t="str">
        <v>Governo</v>
      </c>
      <c r="F28" s="7" t="str">
        <v>Consultor</v>
      </c>
      <c r="G28" s="7" t="str">
        <v>marcelo.maestro@altoqi.com.br</v>
      </c>
      <c r="H28" s="15">
        <f>SUMIFS(Negócios!J:J,Negócios!A:A,A28,Negócios!B:B,B28,Negócios!P:P,D28,Negócios!AH:AH,"&lt;&gt;n")</f>
        <v>232636.08000000002</v>
      </c>
      <c r="I28" s="16">
        <f>SUMIFS(Metas!K:K,Metas!A:A,A28,Metas!B:B,B28,Metas!D:D,D28,Metas!H:H,H$1)</f>
        <v>92681.244999999995</v>
      </c>
      <c r="J28" s="10">
        <f t="shared" si="38"/>
        <v>2.5100664109550972</v>
      </c>
      <c r="K28" s="9">
        <f>SUMIFS(Metas!L:L,Metas!A:A,A28,Metas!B:B,B28,Metas!D:D,D28,Metas!H:H,H$1)</f>
        <v>0.4</v>
      </c>
      <c r="L28" s="15">
        <f>SUMIFS(Negócios!I:I,Negócios!A:A,A28,Negócios!B:B,B28,Negócios!P:P,D28,Negócios!AH:AH,"&lt;&gt;n")</f>
        <v>356428.08</v>
      </c>
      <c r="M28" s="16">
        <f>SUMIFS(Metas!K:K,Metas!A:A,A28,Metas!B:B,B28,Metas!D:D,D28,Metas!H:H,L$1)</f>
        <v>185362.49</v>
      </c>
      <c r="N28" s="10">
        <f t="shared" si="39"/>
        <v>1.9228705872477223</v>
      </c>
      <c r="O28" s="9">
        <f>SUMIFS(Metas!L:L,Metas!A:A,A28,Metas!B:B,B28,Metas!D:D,D28,Metas!H:H,L$1)</f>
        <v>0.6</v>
      </c>
      <c r="P28" s="35">
        <f t="shared" si="40"/>
        <v>2.1577489167306725</v>
      </c>
      <c r="Q28" s="15">
        <f>MAX(_xlfn.MAXIFS(Parâmetros!O:O,Parâmetros!A:A,A28,Parâmetros!B:B,B28,Parâmetros!D:D,D28,Parâmetros!M:M,"&lt;="&amp;J28),_xlfn.MAXIFS(Parâmetros!L:L,Parâmetros!A:A,A28,Parâmetros!B:B,B28,Parâmetros!D:D,D28,Parâmetros!J:J,"&lt;="&amp;J28),SUMIFS(Parâmetros!I:I,Parâmetros!A:A,A28,Parâmetros!B:B,B28,Parâmetros!D:D,D28))</f>
        <v>5600</v>
      </c>
      <c r="R28" s="9">
        <f>MAX(_xlfn.MAXIFS(Parâmetros!Q:Q,Parâmetros!A:A,A28,Parâmetros!B:B,B28,Parâmetros!D:D,D28,Parâmetros!P:P,"&lt;="&amp;N28),_xlfn.MAXIFS(Parâmetros!S:S,Parâmetros!A:A,A28,Parâmetros!B:B,B28,Parâmetros!D:D,D28,Parâmetros!R:R,"&lt;="&amp;N28),_xlfn.MAXIFS(Parâmetros!U:U,Parâmetros!A:A,A28,Parâmetros!B:B,B28,Parâmetros!D:D,D28,Parâmetros!T:T,"&lt;="&amp;N28),1) * IF(N28 &gt;= SUMIFS(Parâmetros!G:G,Parâmetros!A:A,A28,Parâmetros!B:B,B28,Parâmetros!D:D,D28),1,0)</f>
        <v>1.25</v>
      </c>
      <c r="S28" s="16">
        <f t="shared" si="41"/>
        <v>7000</v>
      </c>
      <c r="T28" s="16">
        <f t="shared" si="42"/>
        <v>15104.242417114707</v>
      </c>
      <c r="U28" s="15">
        <f t="shared" si="60"/>
        <v>761801.4</v>
      </c>
      <c r="V28" s="16">
        <f t="shared" si="43"/>
        <v>556087.47</v>
      </c>
      <c r="W28" s="90">
        <f t="shared" si="44"/>
        <v>1.3699308851537333</v>
      </c>
      <c r="X28" s="16">
        <f t="shared" si="45"/>
        <v>5511578.0799999991</v>
      </c>
      <c r="Y28" s="16">
        <f t="shared" si="46"/>
        <v>7047246.6299464917</v>
      </c>
      <c r="Z28" s="90">
        <f t="shared" si="47"/>
        <v>0.78208956907782401</v>
      </c>
      <c r="AA28" s="7">
        <f>IF(OR(B28=3,B28=6,B28=9,B28=12),
IF(W28&gt;=1,W28*0.3,""),"")</f>
        <v>0.41097926554611997</v>
      </c>
      <c r="AB28" s="7" t="str">
        <f>IF(OR(B28=3,B28=6,B28=9,B28=12),
IF(AND(Z28&gt;=1,W28&gt;=SUMIFS(Parâmetros!L:L,Parâmetros!F:F,F28,Parâmetros!G:G,G28,Parâmetros!I:I,'Comissões GD'!I27)),W28*0.3,""),"")</f>
        <v/>
      </c>
      <c r="AC28" s="15">
        <f t="shared" si="48"/>
        <v>456996.32</v>
      </c>
      <c r="AD28" s="16">
        <f t="shared" si="49"/>
        <v>278043.74</v>
      </c>
      <c r="AE28" s="10">
        <f t="shared" si="50"/>
        <v>1.6436130516730929</v>
      </c>
      <c r="AF28" s="99">
        <f>SUMIFS(Metas!L:L,Metas!A:A,A28,Metas!B:B,B28,Metas!D:D,D28,Metas!H:H,H$1)</f>
        <v>0.4</v>
      </c>
      <c r="AG28" s="16">
        <f t="shared" si="51"/>
        <v>761801.4</v>
      </c>
      <c r="AH28" s="16">
        <f t="shared" si="52"/>
        <v>556087.47</v>
      </c>
      <c r="AI28" s="10">
        <f t="shared" si="53"/>
        <v>1.3699308851537333</v>
      </c>
      <c r="AJ28" s="99">
        <f>SUMIFS(Metas!L:L,Metas!A:A,A28,Metas!B:B,B28,Metas!D:D,D28,Metas!H:H,L$1)</f>
        <v>0.6</v>
      </c>
      <c r="AK28" s="90">
        <f t="shared" si="54"/>
        <v>1.4794037517614771</v>
      </c>
      <c r="AL28" s="16">
        <f t="shared" si="55"/>
        <v>16800</v>
      </c>
      <c r="AM28" s="102" cm="1">
        <f t="array" ref="AM28">_xlfn.LET(
_xlpm.a,A28,
_xlpm.b,B28,
_xlpm.d,D28,
_xlpm.lim,AI28,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1.25</v>
      </c>
      <c r="AN28" s="16">
        <f t="shared" si="56"/>
        <v>21000</v>
      </c>
      <c r="AO28" s="101">
        <f t="shared" si="57"/>
        <v>31067.478786991018</v>
      </c>
      <c r="AP28" s="16">
        <f t="shared" si="58"/>
        <v>30212.621684854294</v>
      </c>
      <c r="AQ28" s="22">
        <f t="shared" si="59"/>
        <v>854.85710213672428</v>
      </c>
    </row>
    <row r="29" spans="1:43">
      <c r="A29" s="7">
        <v>2026</v>
      </c>
      <c r="B29" s="7">
        <v>3</v>
      </c>
      <c r="C29" s="7" t="str">
        <v>Fernanda Cristina Barbosa</v>
      </c>
      <c r="D29" s="7" t="str">
        <v>fernanda.barbosa@altoqi.com.br</v>
      </c>
      <c r="E29" s="7" t="str">
        <v>Governo</v>
      </c>
      <c r="F29" s="7" t="str">
        <v>Consultor</v>
      </c>
      <c r="G29" s="7" t="str">
        <v>marcelo.maestro@altoqi.com.br</v>
      </c>
      <c r="H29" s="15">
        <f>SUMIFS(Negócios!J:J,Negócios!A:A,A29,Negócios!B:B,B29,Negócios!P:P,D29,Negócios!AH:AH,"&lt;&gt;n")</f>
        <v>67556.160000000003</v>
      </c>
      <c r="I29" s="16">
        <f>SUMIFS(Metas!K:K,Metas!A:A,A29,Metas!B:B,B29,Metas!D:D,D29,Metas!H:H,H$1)</f>
        <v>92683.7</v>
      </c>
      <c r="J29" s="10">
        <f t="shared" si="38"/>
        <v>0.72888933005479939</v>
      </c>
      <c r="K29" s="9">
        <f>SUMIFS(Metas!L:L,Metas!A:A,A29,Metas!B:B,B29,Metas!D:D,D29,Metas!H:H,H$1)</f>
        <v>0.4</v>
      </c>
      <c r="L29" s="15">
        <f>SUMIFS(Negócios!I:I,Negócios!A:A,A29,Negócios!B:B,B29,Negócios!P:P,D29,Negócios!AH:AH,"&lt;&gt;n")</f>
        <v>112716.16</v>
      </c>
      <c r="M29" s="16">
        <f>SUMIFS(Metas!K:K,Metas!A:A,A29,Metas!B:B,B29,Metas!D:D,D29,Metas!H:H,L$1)</f>
        <v>185367.4</v>
      </c>
      <c r="N29" s="10">
        <f t="shared" si="39"/>
        <v>0.60806894847745618</v>
      </c>
      <c r="O29" s="9">
        <f>SUMIFS(Metas!L:L,Metas!A:A,A29,Metas!B:B,B29,Metas!D:D,D29,Metas!H:H,L$1)</f>
        <v>0.6</v>
      </c>
      <c r="P29" s="35">
        <f t="shared" si="40"/>
        <v>0.65639710110839344</v>
      </c>
      <c r="Q29" s="15">
        <f>MAX(_xlfn.MAXIFS(Parâmetros!O:O,Parâmetros!A:A,A29,Parâmetros!B:B,B29,Parâmetros!D:D,D29,Parâmetros!M:M,"&lt;="&amp;J29),_xlfn.MAXIFS(Parâmetros!L:L,Parâmetros!A:A,A29,Parâmetros!B:B,B29,Parâmetros!D:D,D29,Parâmetros!J:J,"&lt;="&amp;J29),SUMIFS(Parâmetros!I:I,Parâmetros!A:A,A29,Parâmetros!B:B,B29,Parâmetros!D:D,D29))</f>
        <v>5600</v>
      </c>
      <c r="R29" s="9">
        <f>MAX(_xlfn.MAXIFS(Parâmetros!Q:Q,Parâmetros!A:A,A29,Parâmetros!B:B,B29,Parâmetros!D:D,D29,Parâmetros!P:P,"&lt;="&amp;N29),_xlfn.MAXIFS(Parâmetros!S:S,Parâmetros!A:A,A29,Parâmetros!B:B,B29,Parâmetros!D:D,D29,Parâmetros!R:R,"&lt;="&amp;N29),_xlfn.MAXIFS(Parâmetros!U:U,Parâmetros!A:A,A29,Parâmetros!B:B,B29,Parâmetros!D:D,D29,Parâmetros!T:T,"&lt;="&amp;N29),1) * IF(N29 &gt;= SUMIFS(Parâmetros!G:G,Parâmetros!A:A,A29,Parâmetros!B:B,B29,Parâmetros!D:D,D29),1,0)</f>
        <v>1</v>
      </c>
      <c r="S29" s="16">
        <f t="shared" si="41"/>
        <v>5600</v>
      </c>
      <c r="T29" s="16">
        <f t="shared" si="42"/>
        <v>3675.8237662070032</v>
      </c>
      <c r="U29" s="15">
        <f t="shared" si="60"/>
        <v>208413.04</v>
      </c>
      <c r="V29" s="16">
        <f t="shared" si="43"/>
        <v>556102.19999999995</v>
      </c>
      <c r="W29" s="90">
        <f t="shared" si="44"/>
        <v>0.37477470867764956</v>
      </c>
      <c r="X29" s="16">
        <f t="shared" si="45"/>
        <v>5511578.0799999991</v>
      </c>
      <c r="Y29" s="16">
        <f t="shared" si="46"/>
        <v>7047246.6299464917</v>
      </c>
      <c r="Z29" s="90">
        <f t="shared" si="47"/>
        <v>0.78208956907782401</v>
      </c>
      <c r="AA29" s="7" t="str">
        <f t="shared" ref="AA29:AA35" si="61">IF(OR(B29=3,B29=6,B29=9,B29=12),
IF(W29&gt;=1,W29*0.3,""),"")</f>
        <v/>
      </c>
      <c r="AB29" s="7" t="str">
        <f>IF(OR(B29=3,B29=6,B29=9,B29=12),
IF(AND(Z29&gt;=1,W29&gt;=SUMIFS(Parâmetros!L:L,Parâmetros!F:F,F29,Parâmetros!G:G,G29,Parâmetros!I:I,'Comissões GD'!I28)),W29*0.3,""),"")</f>
        <v/>
      </c>
      <c r="AC29" s="15">
        <f t="shared" si="48"/>
        <v>143093.04</v>
      </c>
      <c r="AD29" s="16">
        <f t="shared" si="49"/>
        <v>278051.09999999998</v>
      </c>
      <c r="AE29" s="10">
        <f t="shared" si="50"/>
        <v>0.51462857007219187</v>
      </c>
      <c r="AF29" s="99">
        <f>SUMIFS(Metas!L:L,Metas!A:A,A29,Metas!B:B,B29,Metas!D:D,D29,Metas!H:H,H$1)</f>
        <v>0.4</v>
      </c>
      <c r="AG29" s="16">
        <f t="shared" si="51"/>
        <v>208413.04</v>
      </c>
      <c r="AH29" s="16">
        <f t="shared" si="52"/>
        <v>556102.19999999995</v>
      </c>
      <c r="AI29" s="10">
        <f t="shared" si="53"/>
        <v>0.37477470867764956</v>
      </c>
      <c r="AJ29" s="99">
        <f>SUMIFS(Metas!L:L,Metas!A:A,A29,Metas!B:B,B29,Metas!D:D,D29,Metas!H:H,L$1)</f>
        <v>0.6</v>
      </c>
      <c r="AK29" s="90">
        <f t="shared" si="54"/>
        <v>0.43071625323546647</v>
      </c>
      <c r="AL29" s="16">
        <f t="shared" si="55"/>
        <v>16800</v>
      </c>
      <c r="AM29" s="102" cm="1">
        <f t="array" ref="AM29">_xlfn.LET(
_xlpm.a,A29,
_xlpm.b,B29,
_xlpm.d,D29,
_xlpm.lim,AI29,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0</v>
      </c>
      <c r="AN29" s="16">
        <f t="shared" si="56"/>
        <v>0</v>
      </c>
      <c r="AO29" s="101">
        <f t="shared" si="57"/>
        <v>0</v>
      </c>
      <c r="AP29" s="16">
        <f t="shared" si="58"/>
        <v>3675.8237662070032</v>
      </c>
      <c r="AQ29" s="22" t="str">
        <f t="shared" si="59"/>
        <v/>
      </c>
    </row>
    <row r="30" spans="1:43">
      <c r="A30" s="7">
        <v>2026</v>
      </c>
      <c r="B30" s="7">
        <v>3</v>
      </c>
      <c r="C30" s="7" t="str">
        <v>Henry Carlos Petersen</v>
      </c>
      <c r="D30" s="7" t="str">
        <v>henry.petersen@altoqi.com.br</v>
      </c>
      <c r="E30" s="7" t="str">
        <v>Governo</v>
      </c>
      <c r="F30" s="7" t="str">
        <v>Consultor</v>
      </c>
      <c r="G30" s="7" t="str">
        <v>marcelo.maestro@altoqi.com.br</v>
      </c>
      <c r="H30" s="15">
        <f>SUMIFS(Negócios!J:J,Negócios!A:A,A30,Negócios!B:B,B30,Negócios!P:P,D30,Negócios!AH:AH,"&lt;&gt;n")</f>
        <v>167892</v>
      </c>
      <c r="I30" s="16">
        <f>SUMIFS(Metas!K:K,Metas!A:A,A30,Metas!B:B,B30,Metas!D:D,D30,Metas!H:H,H$1)</f>
        <v>198811.3</v>
      </c>
      <c r="J30" s="10">
        <f t="shared" si="38"/>
        <v>0.84447916189874528</v>
      </c>
      <c r="K30" s="9">
        <f>SUMIFS(Metas!L:L,Metas!A:A,A30,Metas!B:B,B30,Metas!D:D,D30,Metas!H:H,H$1)</f>
        <v>0.4</v>
      </c>
      <c r="L30" s="15">
        <f>SUMIFS(Negócios!I:I,Negócios!A:A,A30,Negócios!B:B,B30,Negócios!P:P,D30,Negócios!AH:AH,"&lt;&gt;n")</f>
        <v>291876</v>
      </c>
      <c r="M30" s="16">
        <f>SUMIFS(Metas!K:K,Metas!A:A,A30,Metas!B:B,B30,Metas!D:D,D30,Metas!H:H,L$1)</f>
        <v>397622.6</v>
      </c>
      <c r="N30" s="10">
        <f t="shared" si="39"/>
        <v>0.73405284307280327</v>
      </c>
      <c r="O30" s="9">
        <f>SUMIFS(Metas!L:L,Metas!A:A,A30,Metas!B:B,B30,Metas!D:D,D30,Metas!H:H,L$1)</f>
        <v>0.6</v>
      </c>
      <c r="P30" s="35">
        <f t="shared" si="40"/>
        <v>0.77822337060318003</v>
      </c>
      <c r="Q30" s="15">
        <f>MAX(_xlfn.MAXIFS(Parâmetros!O:O,Parâmetros!A:A,A30,Parâmetros!B:B,B30,Parâmetros!D:D,D30,Parâmetros!M:M,"&lt;="&amp;J30),_xlfn.MAXIFS(Parâmetros!L:L,Parâmetros!A:A,A30,Parâmetros!B:B,B30,Parâmetros!D:D,D30,Parâmetros!J:J,"&lt;="&amp;J30),SUMIFS(Parâmetros!I:I,Parâmetros!A:A,A30,Parâmetros!B:B,B30,Parâmetros!D:D,D30))</f>
        <v>10000</v>
      </c>
      <c r="R30" s="9">
        <f>MAX(_xlfn.MAXIFS(Parâmetros!Q:Q,Parâmetros!A:A,A30,Parâmetros!B:B,B30,Parâmetros!D:D,D30,Parâmetros!P:P,"&lt;="&amp;N30),_xlfn.MAXIFS(Parâmetros!S:S,Parâmetros!A:A,A30,Parâmetros!B:B,B30,Parâmetros!D:D,D30,Parâmetros!R:R,"&lt;="&amp;N30),_xlfn.MAXIFS(Parâmetros!U:U,Parâmetros!A:A,A30,Parâmetros!B:B,B30,Parâmetros!D:D,D30,Parâmetros!T:T,"&lt;="&amp;N30),1) * IF(N30 &gt;= SUMIFS(Parâmetros!G:G,Parâmetros!A:A,A30,Parâmetros!B:B,B30,Parâmetros!D:D,D30),1,0)</f>
        <v>1</v>
      </c>
      <c r="S30" s="16">
        <f t="shared" si="41"/>
        <v>10000</v>
      </c>
      <c r="T30" s="16">
        <f t="shared" si="42"/>
        <v>7782.2337060318005</v>
      </c>
      <c r="U30" s="15">
        <f t="shared" si="60"/>
        <v>397917.48</v>
      </c>
      <c r="V30" s="16">
        <f t="shared" si="43"/>
        <v>1192867.7999999998</v>
      </c>
      <c r="W30" s="90">
        <f t="shared" si="44"/>
        <v>0.33358053591521208</v>
      </c>
      <c r="X30" s="16">
        <f t="shared" si="45"/>
        <v>5511578.0799999991</v>
      </c>
      <c r="Y30" s="16">
        <f t="shared" si="46"/>
        <v>7047246.6299464917</v>
      </c>
      <c r="Z30" s="90">
        <f t="shared" si="47"/>
        <v>0.78208956907782401</v>
      </c>
      <c r="AA30" s="7" t="str">
        <f t="shared" si="61"/>
        <v/>
      </c>
      <c r="AB30" s="7" t="str">
        <f>IF(OR(B30=3,B30=6,B30=9,B30=12),
IF(AND(Z30&gt;=1,W30&gt;=SUMIFS(Parâmetros!L:L,Parâmetros!F:F,F30,Parâmetros!G:G,G30,Parâmetros!I:I,'Comissões GD'!I29)),W30*0.3,""),"")</f>
        <v/>
      </c>
      <c r="AC30" s="15">
        <f t="shared" si="48"/>
        <v>273933.48</v>
      </c>
      <c r="AD30" s="16">
        <f t="shared" si="49"/>
        <v>596433.89999999991</v>
      </c>
      <c r="AE30" s="10">
        <f t="shared" si="50"/>
        <v>0.45928556374813712</v>
      </c>
      <c r="AF30" s="99">
        <f>SUMIFS(Metas!L:L,Metas!A:A,A30,Metas!B:B,B30,Metas!D:D,D30,Metas!H:H,H$1)</f>
        <v>0.4</v>
      </c>
      <c r="AG30" s="16">
        <f t="shared" si="51"/>
        <v>397917.48</v>
      </c>
      <c r="AH30" s="16">
        <f t="shared" si="52"/>
        <v>1192867.7999999998</v>
      </c>
      <c r="AI30" s="10">
        <f t="shared" si="53"/>
        <v>0.33358053591521208</v>
      </c>
      <c r="AJ30" s="99">
        <f>SUMIFS(Metas!L:L,Metas!A:A,A30,Metas!B:B,B30,Metas!D:D,D30,Metas!H:H,L$1)</f>
        <v>0.6</v>
      </c>
      <c r="AK30" s="90">
        <f t="shared" si="54"/>
        <v>0.38386254704838207</v>
      </c>
      <c r="AL30" s="16">
        <f t="shared" si="55"/>
        <v>30000</v>
      </c>
      <c r="AM30" s="102" cm="1">
        <f t="array" ref="AM30">_xlfn.LET(
_xlpm.a,A30,
_xlpm.b,B30,
_xlpm.d,D30,
_xlpm.lim,AI30,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0</v>
      </c>
      <c r="AN30" s="16">
        <f t="shared" si="56"/>
        <v>0</v>
      </c>
      <c r="AO30" s="101">
        <f t="shared" si="57"/>
        <v>0</v>
      </c>
      <c r="AP30" s="16">
        <f t="shared" si="58"/>
        <v>7782.2337060318005</v>
      </c>
      <c r="AQ30" s="22" t="str">
        <f t="shared" si="59"/>
        <v/>
      </c>
    </row>
    <row r="31" spans="1:43">
      <c r="A31" s="7">
        <v>2026</v>
      </c>
      <c r="B31" s="7">
        <v>3</v>
      </c>
      <c r="C31" s="7" t="str">
        <v>Jordayn Almeida</v>
      </c>
      <c r="D31" s="7" t="str">
        <v>jordayn.almeida@altoqi.com.br</v>
      </c>
      <c r="E31" s="7" t="str">
        <v>Governo</v>
      </c>
      <c r="F31" s="7" t="str">
        <v>Consultor</v>
      </c>
      <c r="G31" s="7" t="str">
        <v>marcelo.maestro@altoqi.com.br</v>
      </c>
      <c r="H31" s="15">
        <f>SUMIFS(Negócios!J:J,Negócios!A:A,A31,Negócios!B:B,B31,Negócios!P:P,D31,Negócios!AH:AH,"&lt;&gt;n")</f>
        <v>34128</v>
      </c>
      <c r="I31" s="16">
        <f>SUMIFS(Metas!K:K,Metas!A:A,A31,Metas!B:B,B31,Metas!D:D,D31,Metas!H:H,H$1)</f>
        <v>75000</v>
      </c>
      <c r="J31" s="10">
        <f t="shared" si="38"/>
        <v>0.45504</v>
      </c>
      <c r="K31" s="9">
        <f>SUMIFS(Metas!L:L,Metas!A:A,A31,Metas!B:B,B31,Metas!D:D,D31,Metas!H:H,H$1)</f>
        <v>0.4</v>
      </c>
      <c r="L31" s="15">
        <f>SUMIFS(Negócios!I:I,Negócios!A:A,A31,Negócios!B:B,B31,Negócios!P:P,D31,Negócios!AH:AH,"&lt;&gt;n")</f>
        <v>102384</v>
      </c>
      <c r="M31" s="16">
        <f>SUMIFS(Metas!K:K,Metas!A:A,A31,Metas!B:B,B31,Metas!D:D,D31,Metas!H:H,L$1)</f>
        <v>150000</v>
      </c>
      <c r="N31" s="10">
        <f t="shared" si="39"/>
        <v>0.68255999999999994</v>
      </c>
      <c r="O31" s="9">
        <f>SUMIFS(Metas!L:L,Metas!A:A,A31,Metas!B:B,B31,Metas!D:D,D31,Metas!H:H,L$1)</f>
        <v>0.6</v>
      </c>
      <c r="P31" s="35">
        <f t="shared" si="40"/>
        <v>0.59155199999999997</v>
      </c>
      <c r="Q31" s="15">
        <f>MAX(_xlfn.MAXIFS(Parâmetros!O:O,Parâmetros!A:A,A31,Parâmetros!B:B,B31,Parâmetros!D:D,D31,Parâmetros!M:M,"&lt;="&amp;J31),_xlfn.MAXIFS(Parâmetros!L:L,Parâmetros!A:A,A31,Parâmetros!B:B,B31,Parâmetros!D:D,D31,Parâmetros!J:J,"&lt;="&amp;J31),SUMIFS(Parâmetros!I:I,Parâmetros!A:A,A31,Parâmetros!B:B,B31,Parâmetros!D:D,D31))</f>
        <v>10000</v>
      </c>
      <c r="R31" s="9">
        <f>MAX(_xlfn.MAXIFS(Parâmetros!Q:Q,Parâmetros!A:A,A31,Parâmetros!B:B,B31,Parâmetros!D:D,D31,Parâmetros!P:P,"&lt;="&amp;N31),_xlfn.MAXIFS(Parâmetros!S:S,Parâmetros!A:A,A31,Parâmetros!B:B,B31,Parâmetros!D:D,D31,Parâmetros!R:R,"&lt;="&amp;N31),_xlfn.MAXIFS(Parâmetros!U:U,Parâmetros!A:A,A31,Parâmetros!B:B,B31,Parâmetros!D:D,D31,Parâmetros!T:T,"&lt;="&amp;N31),1) * IF(N31 &gt;= SUMIFS(Parâmetros!G:G,Parâmetros!A:A,A31,Parâmetros!B:B,B31,Parâmetros!D:D,D31),1,0)</f>
        <v>1</v>
      </c>
      <c r="S31" s="16">
        <f t="shared" si="41"/>
        <v>10000</v>
      </c>
      <c r="T31" s="16">
        <f t="shared" si="42"/>
        <v>5915.5199999999995</v>
      </c>
      <c r="U31" s="15">
        <f t="shared" si="60"/>
        <v>754038.78</v>
      </c>
      <c r="V31" s="16">
        <f t="shared" si="43"/>
        <v>450000</v>
      </c>
      <c r="W31" s="90">
        <f t="shared" si="44"/>
        <v>1.6756417333333333</v>
      </c>
      <c r="X31" s="16">
        <f t="shared" si="45"/>
        <v>5511578.0799999991</v>
      </c>
      <c r="Y31" s="16">
        <f t="shared" si="46"/>
        <v>7047246.6299464917</v>
      </c>
      <c r="Z31" s="90">
        <f t="shared" si="47"/>
        <v>0.78208956907782401</v>
      </c>
      <c r="AA31" s="7">
        <f t="shared" si="61"/>
        <v>0.50269251999999998</v>
      </c>
      <c r="AB31" s="7" t="str">
        <f>IF(OR(B31=3,B31=6,B31=9,B31=12),
IF(AND(Z31&gt;=1,W31&gt;=SUMIFS(Parâmetros!L:L,Parâmetros!F:F,F31,Parâmetros!G:G,G31,Parâmetros!I:I,'Comissões GD'!I30)),W31*0.3,""),"")</f>
        <v/>
      </c>
      <c r="AC31" s="15">
        <f t="shared" si="48"/>
        <v>267775.26</v>
      </c>
      <c r="AD31" s="16">
        <f t="shared" si="49"/>
        <v>225000</v>
      </c>
      <c r="AE31" s="10">
        <f t="shared" si="50"/>
        <v>1.1901122666666668</v>
      </c>
      <c r="AF31" s="99">
        <f>SUMIFS(Metas!L:L,Metas!A:A,A31,Metas!B:B,B31,Metas!D:D,D31,Metas!H:H,H$1)</f>
        <v>0.4</v>
      </c>
      <c r="AG31" s="16">
        <f t="shared" si="51"/>
        <v>754038.78</v>
      </c>
      <c r="AH31" s="16">
        <f t="shared" si="52"/>
        <v>450000</v>
      </c>
      <c r="AI31" s="10">
        <f t="shared" si="53"/>
        <v>1.6756417333333333</v>
      </c>
      <c r="AJ31" s="99">
        <f>SUMIFS(Metas!L:L,Metas!A:A,A31,Metas!B:B,B31,Metas!D:D,D31,Metas!H:H,L$1)</f>
        <v>0.6</v>
      </c>
      <c r="AK31" s="90">
        <f t="shared" si="54"/>
        <v>1.4814299466666667</v>
      </c>
      <c r="AL31" s="16">
        <f t="shared" si="55"/>
        <v>30000</v>
      </c>
      <c r="AM31" s="102" cm="1">
        <f t="array" ref="AM31">_xlfn.LET(
_xlpm.a,A31,
_xlpm.b,B31,
_xlpm.d,D31,
_xlpm.lim,AI31,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1.25</v>
      </c>
      <c r="AN31" s="16">
        <f t="shared" si="56"/>
        <v>37500</v>
      </c>
      <c r="AO31" s="101">
        <f t="shared" si="57"/>
        <v>55553.623</v>
      </c>
      <c r="AP31" s="16">
        <f t="shared" si="58"/>
        <v>51199.667999999998</v>
      </c>
      <c r="AQ31" s="22">
        <f t="shared" si="59"/>
        <v>4353.9550000000017</v>
      </c>
    </row>
    <row r="32" spans="1:43">
      <c r="A32" s="7">
        <v>2026</v>
      </c>
      <c r="B32" s="7">
        <v>3</v>
      </c>
      <c r="C32" s="7" t="str">
        <v>Leandro Fontana da Silva</v>
      </c>
      <c r="D32" s="7" t="str">
        <v>leandro.fontana@altoqi.com.br</v>
      </c>
      <c r="E32" s="7" t="str">
        <v>Governo</v>
      </c>
      <c r="F32" s="7" t="str">
        <v>Consultor</v>
      </c>
      <c r="G32" s="7" t="str">
        <v>marcelo.maestro@altoqi.com.br</v>
      </c>
      <c r="H32" s="15">
        <f>SUMIFS(Negócios!J:J,Negócios!A:A,A32,Negócios!B:B,B32,Negócios!P:P,D32,Negócios!AH:AH,"&lt;&gt;n")</f>
        <v>272220.12</v>
      </c>
      <c r="I32" s="16">
        <f>SUMIFS(Metas!K:K,Metas!A:A,A32,Metas!B:B,B32,Metas!D:D,D32,Metas!H:H,H$1)</f>
        <v>165934.85999999999</v>
      </c>
      <c r="J32" s="10">
        <f t="shared" si="38"/>
        <v>1.6405239983931046</v>
      </c>
      <c r="K32" s="9">
        <f>SUMIFS(Metas!L:L,Metas!A:A,A32,Metas!B:B,B32,Metas!D:D,D32,Metas!H:H,H$1)</f>
        <v>0.4</v>
      </c>
      <c r="L32" s="15">
        <f>SUMIFS(Negócios!I:I,Negócios!A:A,A32,Negócios!B:B,B32,Negócios!P:P,D32,Negócios!AH:AH,"&lt;&gt;n")</f>
        <v>522408.12</v>
      </c>
      <c r="M32" s="16">
        <f>SUMIFS(Metas!K:K,Metas!A:A,A32,Metas!B:B,B32,Metas!D:D,D32,Metas!H:H,L$1)</f>
        <v>331869.71999999997</v>
      </c>
      <c r="N32" s="10">
        <f t="shared" si="39"/>
        <v>1.5741361399286444</v>
      </c>
      <c r="O32" s="9">
        <f>SUMIFS(Metas!L:L,Metas!A:A,A32,Metas!B:B,B32,Metas!D:D,D32,Metas!H:H,L$1)</f>
        <v>0.6</v>
      </c>
      <c r="P32" s="35">
        <f t="shared" si="40"/>
        <v>1.6006912833144284</v>
      </c>
      <c r="Q32" s="15">
        <f>MAX(_xlfn.MAXIFS(Parâmetros!O:O,Parâmetros!A:A,A32,Parâmetros!B:B,B32,Parâmetros!D:D,D32,Parâmetros!M:M,"&lt;="&amp;J32),_xlfn.MAXIFS(Parâmetros!L:L,Parâmetros!A:A,A32,Parâmetros!B:B,B32,Parâmetros!D:D,D32,Parâmetros!J:J,"&lt;="&amp;J32),SUMIFS(Parâmetros!I:I,Parâmetros!A:A,A32,Parâmetros!B:B,B32,Parâmetros!D:D,D32))</f>
        <v>8000</v>
      </c>
      <c r="R32" s="9">
        <f>MAX(_xlfn.MAXIFS(Parâmetros!Q:Q,Parâmetros!A:A,A32,Parâmetros!B:B,B32,Parâmetros!D:D,D32,Parâmetros!P:P,"&lt;="&amp;N32),_xlfn.MAXIFS(Parâmetros!S:S,Parâmetros!A:A,A32,Parâmetros!B:B,B32,Parâmetros!D:D,D32,Parâmetros!R:R,"&lt;="&amp;N32),_xlfn.MAXIFS(Parâmetros!U:U,Parâmetros!A:A,A32,Parâmetros!B:B,B32,Parâmetros!D:D,D32,Parâmetros!T:T,"&lt;="&amp;N32),1) * IF(N32 &gt;= SUMIFS(Parâmetros!G:G,Parâmetros!A:A,A32,Parâmetros!B:B,B32,Parâmetros!D:D,D32),1,0)</f>
        <v>1.25</v>
      </c>
      <c r="S32" s="16">
        <f t="shared" si="41"/>
        <v>10000</v>
      </c>
      <c r="T32" s="16">
        <f t="shared" si="42"/>
        <v>16006.912833144284</v>
      </c>
      <c r="U32" s="15">
        <f t="shared" si="60"/>
        <v>522408.12</v>
      </c>
      <c r="V32" s="16">
        <f t="shared" si="43"/>
        <v>995609.15999999992</v>
      </c>
      <c r="W32" s="90">
        <f t="shared" si="44"/>
        <v>0.52471204664288151</v>
      </c>
      <c r="X32" s="16">
        <f t="shared" si="45"/>
        <v>5511578.0799999991</v>
      </c>
      <c r="Y32" s="16">
        <f t="shared" si="46"/>
        <v>7047246.6299464917</v>
      </c>
      <c r="Z32" s="90">
        <f t="shared" si="47"/>
        <v>0.78208956907782401</v>
      </c>
      <c r="AA32" s="7" t="str">
        <f t="shared" si="61"/>
        <v/>
      </c>
      <c r="AB32" s="7" t="str">
        <f>IF(OR(B32=3,B32=6,B32=9,B32=12),
IF(AND(Z32&gt;=1,W32&gt;=SUMIFS(Parâmetros!L:L,Parâmetros!F:F,F32,Parâmetros!G:G,G32,Parâmetros!I:I,'Comissões GD'!I31)),W32*0.3,""),"")</f>
        <v/>
      </c>
      <c r="AC32" s="15">
        <f t="shared" si="48"/>
        <v>272220.12</v>
      </c>
      <c r="AD32" s="16">
        <f t="shared" si="49"/>
        <v>497804.57999999996</v>
      </c>
      <c r="AE32" s="10">
        <f t="shared" si="50"/>
        <v>0.54684133279770153</v>
      </c>
      <c r="AF32" s="99">
        <f>SUMIFS(Metas!L:L,Metas!A:A,A32,Metas!B:B,B32,Metas!D:D,D32,Metas!H:H,H$1)</f>
        <v>0.4</v>
      </c>
      <c r="AG32" s="16">
        <f t="shared" si="51"/>
        <v>522408.12</v>
      </c>
      <c r="AH32" s="16">
        <f t="shared" si="52"/>
        <v>995609.15999999992</v>
      </c>
      <c r="AI32" s="10">
        <f t="shared" si="53"/>
        <v>0.52471204664288151</v>
      </c>
      <c r="AJ32" s="99">
        <f>SUMIFS(Metas!L:L,Metas!A:A,A32,Metas!B:B,B32,Metas!D:D,D32,Metas!H:H,L$1)</f>
        <v>0.6</v>
      </c>
      <c r="AK32" s="90">
        <f t="shared" si="54"/>
        <v>0.53356376110480952</v>
      </c>
      <c r="AL32" s="16">
        <f t="shared" si="55"/>
        <v>24000</v>
      </c>
      <c r="AM32" s="102" cm="1">
        <f t="array" ref="AM32">_xlfn.LET(
_xlpm.a,A32,
_xlpm.b,B32,
_xlpm.d,D32,
_xlpm.lim,AI32,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1</v>
      </c>
      <c r="AN32" s="16">
        <f t="shared" si="56"/>
        <v>24000</v>
      </c>
      <c r="AO32" s="101">
        <f t="shared" si="57"/>
        <v>12805.530266515429</v>
      </c>
      <c r="AP32" s="16">
        <f t="shared" si="58"/>
        <v>16006.912833144284</v>
      </c>
      <c r="AQ32" s="22" t="str">
        <f t="shared" si="59"/>
        <v/>
      </c>
    </row>
    <row r="33" spans="1:43">
      <c r="A33" s="7">
        <v>2026</v>
      </c>
      <c r="B33" s="7">
        <v>3</v>
      </c>
      <c r="C33" s="7" t="str">
        <v>Nathan Alves</v>
      </c>
      <c r="D33" s="7" t="str">
        <v>nathan.alves@altoqi.com.br</v>
      </c>
      <c r="E33" s="7" t="str">
        <v>Governo</v>
      </c>
      <c r="F33" s="7" t="str">
        <v>Consultor</v>
      </c>
      <c r="G33" s="7" t="str">
        <v>marcelo.maestro@altoqi.com.br</v>
      </c>
      <c r="H33" s="15">
        <f>SUMIFS(Negócios!J:J,Negócios!A:A,A33,Negócios!B:B,B33,Negócios!P:P,D33,Negócios!AH:AH,"&lt;&gt;n")</f>
        <v>63498.240000000005</v>
      </c>
      <c r="I33" s="16">
        <f>SUMIFS(Metas!K:K,Metas!A:A,A33,Metas!B:B,B33,Metas!D:D,D33,Metas!H:H,H$1)</f>
        <v>66667.5</v>
      </c>
      <c r="J33" s="10">
        <f t="shared" si="38"/>
        <v>0.95246169422882221</v>
      </c>
      <c r="K33" s="9">
        <f>SUMIFS(Metas!L:L,Metas!A:A,A33,Metas!B:B,B33,Metas!D:D,D33,Metas!H:H,H$1)</f>
        <v>0.4</v>
      </c>
      <c r="L33" s="15">
        <f>SUMIFS(Negócios!I:I,Negócios!A:A,A33,Negócios!B:B,B33,Negócios!P:P,D33,Negócios!AH:AH,"&lt;&gt;n")</f>
        <v>200494.72</v>
      </c>
      <c r="M33" s="16">
        <f>SUMIFS(Metas!K:K,Metas!A:A,A33,Metas!B:B,B33,Metas!D:D,D33,Metas!H:H,L$1)</f>
        <v>133335</v>
      </c>
      <c r="N33" s="10">
        <f t="shared" si="39"/>
        <v>1.5036916038549519</v>
      </c>
      <c r="O33" s="9">
        <f>SUMIFS(Metas!L:L,Metas!A:A,A33,Metas!B:B,B33,Metas!D:D,D33,Metas!H:H,L$1)</f>
        <v>0.6</v>
      </c>
      <c r="P33" s="35">
        <f t="shared" si="40"/>
        <v>1.2831996400045</v>
      </c>
      <c r="Q33" s="15">
        <f>MAX(_xlfn.MAXIFS(Parâmetros!O:O,Parâmetros!A:A,A33,Parâmetros!B:B,B33,Parâmetros!D:D,D33,Parâmetros!M:M,"&lt;="&amp;J33),_xlfn.MAXIFS(Parâmetros!L:L,Parâmetros!A:A,A33,Parâmetros!B:B,B33,Parâmetros!D:D,D33,Parâmetros!J:J,"&lt;="&amp;J33),SUMIFS(Parâmetros!I:I,Parâmetros!A:A,A33,Parâmetros!B:B,B33,Parâmetros!D:D,D33))</f>
        <v>6800</v>
      </c>
      <c r="R33" s="9">
        <f>MAX(_xlfn.MAXIFS(Parâmetros!Q:Q,Parâmetros!A:A,A33,Parâmetros!B:B,B33,Parâmetros!D:D,D33,Parâmetros!P:P,"&lt;="&amp;N33),_xlfn.MAXIFS(Parâmetros!S:S,Parâmetros!A:A,A33,Parâmetros!B:B,B33,Parâmetros!D:D,D33,Parâmetros!R:R,"&lt;="&amp;N33),_xlfn.MAXIFS(Parâmetros!U:U,Parâmetros!A:A,A33,Parâmetros!B:B,B33,Parâmetros!D:D,D33,Parâmetros!T:T,"&lt;="&amp;N33),1) * IF(N33 &gt;= SUMIFS(Parâmetros!G:G,Parâmetros!A:A,A33,Parâmetros!B:B,B33,Parâmetros!D:D,D33),1,0)</f>
        <v>1.25</v>
      </c>
      <c r="S33" s="16">
        <f t="shared" si="41"/>
        <v>8500</v>
      </c>
      <c r="T33" s="16">
        <f t="shared" si="42"/>
        <v>10907.19694003825</v>
      </c>
      <c r="U33" s="15">
        <f t="shared" si="60"/>
        <v>333010.71999999997</v>
      </c>
      <c r="V33" s="16">
        <f t="shared" si="43"/>
        <v>400005</v>
      </c>
      <c r="W33" s="90">
        <f t="shared" si="44"/>
        <v>0.83251639354508067</v>
      </c>
      <c r="X33" s="16">
        <f t="shared" si="45"/>
        <v>5511578.0799999991</v>
      </c>
      <c r="Y33" s="16">
        <f t="shared" si="46"/>
        <v>7047246.6299464917</v>
      </c>
      <c r="Z33" s="90">
        <f t="shared" si="47"/>
        <v>0.78208956907782401</v>
      </c>
      <c r="AA33" s="7" t="str">
        <f t="shared" si="61"/>
        <v/>
      </c>
      <c r="AB33" s="7" t="str">
        <f>IF(OR(B33=3,B33=6,B33=9,B33=12),
IF(AND(Z33&gt;=1,W33&gt;=SUMIFS(Parâmetros!L:L,Parâmetros!F:F,F33,Parâmetros!G:G,G33,Parâmetros!I:I,'Comissões GD'!I32)),W33*0.3,""),"")</f>
        <v/>
      </c>
      <c r="AC33" s="15">
        <f t="shared" si="48"/>
        <v>147990.24</v>
      </c>
      <c r="AD33" s="16">
        <f t="shared" si="49"/>
        <v>200002.5</v>
      </c>
      <c r="AE33" s="10">
        <f t="shared" si="50"/>
        <v>0.73994195072561586</v>
      </c>
      <c r="AF33" s="99">
        <f>SUMIFS(Metas!L:L,Metas!A:A,A33,Metas!B:B,B33,Metas!D:D,D33,Metas!H:H,H$1)</f>
        <v>0.4</v>
      </c>
      <c r="AG33" s="16">
        <f t="shared" si="51"/>
        <v>333010.71999999997</v>
      </c>
      <c r="AH33" s="16">
        <f t="shared" si="52"/>
        <v>400005</v>
      </c>
      <c r="AI33" s="10">
        <f t="shared" si="53"/>
        <v>0.83251639354508067</v>
      </c>
      <c r="AJ33" s="99">
        <f>SUMIFS(Metas!L:L,Metas!A:A,A33,Metas!B:B,B33,Metas!D:D,D33,Metas!H:H,L$1)</f>
        <v>0.6</v>
      </c>
      <c r="AK33" s="90">
        <f t="shared" si="54"/>
        <v>0.79548661641729468</v>
      </c>
      <c r="AL33" s="16">
        <f t="shared" si="55"/>
        <v>20400</v>
      </c>
      <c r="AM33" s="102" cm="1">
        <f t="array" ref="AM33">_xlfn.LET(
_xlpm.a,A33,
_xlpm.b,B33,
_xlpm.d,D33,
_xlpm.lim,AI33,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1.1499999999999999</v>
      </c>
      <c r="AN33" s="16">
        <f t="shared" si="56"/>
        <v>23460</v>
      </c>
      <c r="AO33" s="101">
        <f t="shared" si="57"/>
        <v>18662.116021149734</v>
      </c>
      <c r="AP33" s="16">
        <f t="shared" si="58"/>
        <v>20284.908718641018</v>
      </c>
      <c r="AQ33" s="22" t="str">
        <f t="shared" si="59"/>
        <v/>
      </c>
    </row>
    <row r="34" spans="1:43">
      <c r="A34" s="7">
        <v>2026</v>
      </c>
      <c r="B34" s="7">
        <v>3</v>
      </c>
      <c r="C34" s="7" t="str">
        <v>Soraia Fronchetti</v>
      </c>
      <c r="D34" s="7" t="str">
        <v>soraia@altoqi.com.br</v>
      </c>
      <c r="E34" s="7" t="str">
        <v>Governo</v>
      </c>
      <c r="F34" s="7" t="str">
        <v>Consultor</v>
      </c>
      <c r="G34" s="7" t="str">
        <v>marcelo.maestro@altoqi.com.br</v>
      </c>
      <c r="H34" s="15">
        <f>SUMIFS(Negócios!J:J,Negócios!A:A,A34,Negócios!B:B,B34,Negócios!P:P,D34,Negócios!AH:AH,"&lt;&gt;n")</f>
        <v>149394</v>
      </c>
      <c r="I34" s="16">
        <f>SUMIFS(Metas!K:K,Metas!A:A,A34,Metas!B:B,B34,Metas!D:D,D34,Metas!H:H,H$1)</f>
        <v>198760</v>
      </c>
      <c r="J34" s="10">
        <f t="shared" si="38"/>
        <v>0.75163010666130003</v>
      </c>
      <c r="K34" s="9">
        <f>SUMIFS(Metas!L:L,Metas!A:A,A34,Metas!B:B,B34,Metas!D:D,D34,Metas!H:H,H$1)</f>
        <v>0.4</v>
      </c>
      <c r="L34" s="15">
        <f>SUMIFS(Negócios!I:I,Negócios!A:A,A34,Negócios!B:B,B34,Negócios!P:P,D34,Negócios!AH:AH,"&lt;&gt;n")</f>
        <v>605103.6</v>
      </c>
      <c r="M34" s="16">
        <f>SUMIFS(Metas!K:K,Metas!A:A,A34,Metas!B:B,B34,Metas!D:D,D34,Metas!H:H,L$1)</f>
        <v>397520</v>
      </c>
      <c r="N34" s="10">
        <f t="shared" si="39"/>
        <v>1.5221966190380358</v>
      </c>
      <c r="O34" s="9">
        <f>SUMIFS(Metas!L:L,Metas!A:A,A34,Metas!B:B,B34,Metas!D:D,D34,Metas!H:H,L$1)</f>
        <v>0.6</v>
      </c>
      <c r="P34" s="35">
        <f t="shared" si="40"/>
        <v>1.2139700140873415</v>
      </c>
      <c r="Q34" s="15">
        <f>MAX(_xlfn.MAXIFS(Parâmetros!O:O,Parâmetros!A:A,A34,Parâmetros!B:B,B34,Parâmetros!D:D,D34,Parâmetros!M:M,"&lt;="&amp;J34),_xlfn.MAXIFS(Parâmetros!L:L,Parâmetros!A:A,A34,Parâmetros!B:B,B34,Parâmetros!D:D,D34,Parâmetros!J:J,"&lt;="&amp;J34),SUMIFS(Parâmetros!I:I,Parâmetros!A:A,A34,Parâmetros!B:B,B34,Parâmetros!D:D,D34))</f>
        <v>9200</v>
      </c>
      <c r="R34" s="9">
        <f>MAX(_xlfn.MAXIFS(Parâmetros!Q:Q,Parâmetros!A:A,A34,Parâmetros!B:B,B34,Parâmetros!D:D,D34,Parâmetros!P:P,"&lt;="&amp;N34),_xlfn.MAXIFS(Parâmetros!S:S,Parâmetros!A:A,A34,Parâmetros!B:B,B34,Parâmetros!D:D,D34,Parâmetros!R:R,"&lt;="&amp;N34),_xlfn.MAXIFS(Parâmetros!U:U,Parâmetros!A:A,A34,Parâmetros!B:B,B34,Parâmetros!D:D,D34,Parâmetros!T:T,"&lt;="&amp;N34),1) * IF(N34 &gt;= SUMIFS(Parâmetros!G:G,Parâmetros!A:A,A34,Parâmetros!B:B,B34,Parâmetros!D:D,D34),1,0)</f>
        <v>1.25</v>
      </c>
      <c r="S34" s="16">
        <f t="shared" si="41"/>
        <v>11500</v>
      </c>
      <c r="T34" s="16">
        <f t="shared" si="42"/>
        <v>13960.655162004427</v>
      </c>
      <c r="U34" s="15">
        <f t="shared" si="60"/>
        <v>692043.9</v>
      </c>
      <c r="V34" s="16">
        <f t="shared" si="43"/>
        <v>1192560</v>
      </c>
      <c r="W34" s="90">
        <f t="shared" si="44"/>
        <v>0.58030111692493458</v>
      </c>
      <c r="X34" s="16">
        <f t="shared" si="45"/>
        <v>5511578.0799999991</v>
      </c>
      <c r="Y34" s="16">
        <f t="shared" si="46"/>
        <v>7047246.6299464917</v>
      </c>
      <c r="Z34" s="90">
        <f t="shared" si="47"/>
        <v>0.78208956907782401</v>
      </c>
      <c r="AA34" s="7" t="str">
        <f t="shared" si="61"/>
        <v/>
      </c>
      <c r="AB34" s="7" t="str">
        <f>IF(OR(B34=3,B34=6,B34=9,B34=12),
IF(AND(Z34&gt;=1,W34&gt;=SUMIFS(Parâmetros!L:L,Parâmetros!F:F,F34,Parâmetros!G:G,G34,Parâmetros!I:I,'Comissões GD'!I33)),W34*0.3,""),"")</f>
        <v/>
      </c>
      <c r="AC34" s="15">
        <f t="shared" si="48"/>
        <v>178350.3</v>
      </c>
      <c r="AD34" s="16">
        <f t="shared" si="49"/>
        <v>596280</v>
      </c>
      <c r="AE34" s="10">
        <f t="shared" si="50"/>
        <v>0.29910495069430465</v>
      </c>
      <c r="AF34" s="99">
        <f>SUMIFS(Metas!L:L,Metas!A:A,A34,Metas!B:B,B34,Metas!D:D,D34,Metas!H:H,H$1)</f>
        <v>0.4</v>
      </c>
      <c r="AG34" s="16">
        <f t="shared" si="51"/>
        <v>692043.9</v>
      </c>
      <c r="AH34" s="16">
        <f t="shared" si="52"/>
        <v>1192560</v>
      </c>
      <c r="AI34" s="10">
        <f t="shared" si="53"/>
        <v>0.58030111692493458</v>
      </c>
      <c r="AJ34" s="99">
        <f>SUMIFS(Metas!L:L,Metas!A:A,A34,Metas!B:B,B34,Metas!D:D,D34,Metas!H:H,L$1)</f>
        <v>0.6</v>
      </c>
      <c r="AK34" s="90">
        <f t="shared" si="54"/>
        <v>0.46782265043268262</v>
      </c>
      <c r="AL34" s="16">
        <f t="shared" si="55"/>
        <v>27600</v>
      </c>
      <c r="AM34" s="102" cm="1">
        <f t="array" ref="AM34">_xlfn.LET(
_xlpm.a,A34,
_xlpm.b,B34,
_xlpm.d,D34,
_xlpm.lim,AI34,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1</v>
      </c>
      <c r="AN34" s="16">
        <f t="shared" si="56"/>
        <v>27600</v>
      </c>
      <c r="AO34" s="101">
        <f t="shared" si="57"/>
        <v>12911.905151942041</v>
      </c>
      <c r="AP34" s="16">
        <f t="shared" si="58"/>
        <v>13960.655162004427</v>
      </c>
      <c r="AQ34" s="22" t="str">
        <f t="shared" si="59"/>
        <v/>
      </c>
    </row>
    <row r="35" spans="1:43">
      <c r="A35" s="7">
        <v>2026</v>
      </c>
      <c r="B35" s="7">
        <v>3</v>
      </c>
      <c r="C35" s="7" t="str">
        <v>Tabata Couto</v>
      </c>
      <c r="D35" s="7" t="str">
        <v>tabata.couto@altoqi.com.br</v>
      </c>
      <c r="E35" s="7" t="str">
        <v>Governo</v>
      </c>
      <c r="F35" s="7" t="str">
        <v>Consultor</v>
      </c>
      <c r="G35" s="7" t="str">
        <v>marcelo.maestro@altoqi.com.br</v>
      </c>
      <c r="H35" s="15">
        <f>SUMIFS(Negócios!J:J,Negócios!A:A,A35,Negócios!B:B,B35,Negócios!P:P,D35,Negócios!AH:AH,"&lt;&gt;n")</f>
        <v>108823</v>
      </c>
      <c r="I35" s="16">
        <f>SUMIFS(Metas!K:K,Metas!A:A,A35,Metas!B:B,B35,Metas!D:D,D35,Metas!H:H,H$1)</f>
        <v>53442</v>
      </c>
      <c r="J35" s="10">
        <f t="shared" si="38"/>
        <v>2.0362823247632948</v>
      </c>
      <c r="K35" s="9">
        <f>SUMIFS(Metas!L:L,Metas!A:A,A35,Metas!B:B,B35,Metas!D:D,D35,Metas!H:H,H$1)</f>
        <v>0.4</v>
      </c>
      <c r="L35" s="15">
        <f>SUMIFS(Negócios!I:I,Negócios!A:A,A35,Negócios!B:B,B35,Negócios!P:P,D35,Negócios!AH:AH,"&lt;&gt;n")</f>
        <v>161851</v>
      </c>
      <c r="M35" s="16">
        <f>SUMIFS(Metas!K:K,Metas!A:A,A35,Metas!B:B,B35,Metas!D:D,D35,Metas!H:H,L$1)</f>
        <v>106884</v>
      </c>
      <c r="N35" s="10">
        <f t="shared" si="39"/>
        <v>1.5142678043486397</v>
      </c>
      <c r="O35" s="9">
        <f>SUMIFS(Metas!L:L,Metas!A:A,A35,Metas!B:B,B35,Metas!D:D,D35,Metas!H:H,L$1)</f>
        <v>0.6</v>
      </c>
      <c r="P35" s="35">
        <f t="shared" si="40"/>
        <v>1.7230736125145016</v>
      </c>
      <c r="Q35" s="15">
        <f>MAX(_xlfn.MAXIFS(Parâmetros!O:O,Parâmetros!A:A,A35,Parâmetros!B:B,B35,Parâmetros!D:D,D35,Parâmetros!M:M,"&lt;="&amp;J35),_xlfn.MAXIFS(Parâmetros!L:L,Parâmetros!A:A,A35,Parâmetros!B:B,B35,Parâmetros!D:D,D35,Parâmetros!J:J,"&lt;="&amp;J35),SUMIFS(Parâmetros!I:I,Parâmetros!A:A,A35,Parâmetros!B:B,B35,Parâmetros!D:D,D35))</f>
        <v>5600</v>
      </c>
      <c r="R35" s="9">
        <f>MAX(_xlfn.MAXIFS(Parâmetros!Q:Q,Parâmetros!A:A,A35,Parâmetros!B:B,B35,Parâmetros!D:D,D35,Parâmetros!P:P,"&lt;="&amp;N35),_xlfn.MAXIFS(Parâmetros!S:S,Parâmetros!A:A,A35,Parâmetros!B:B,B35,Parâmetros!D:D,D35,Parâmetros!R:R,"&lt;="&amp;N35),_xlfn.MAXIFS(Parâmetros!U:U,Parâmetros!A:A,A35,Parâmetros!B:B,B35,Parâmetros!D:D,D35,Parâmetros!T:T,"&lt;="&amp;N35),1) * IF(N35 &gt;= SUMIFS(Parâmetros!G:G,Parâmetros!A:A,A35,Parâmetros!B:B,B35,Parâmetros!D:D,D35),1,0)</f>
        <v>1.25</v>
      </c>
      <c r="S35" s="16">
        <f t="shared" si="41"/>
        <v>7000</v>
      </c>
      <c r="T35" s="16">
        <f t="shared" si="42"/>
        <v>12061.515287601511</v>
      </c>
      <c r="U35" s="15">
        <f t="shared" si="60"/>
        <v>196507</v>
      </c>
      <c r="V35" s="16">
        <f t="shared" si="43"/>
        <v>320652</v>
      </c>
      <c r="W35" s="90">
        <f t="shared" si="44"/>
        <v>0.61283572221598492</v>
      </c>
      <c r="X35" s="16">
        <f t="shared" si="45"/>
        <v>5511578.0799999991</v>
      </c>
      <c r="Y35" s="16">
        <f t="shared" si="46"/>
        <v>7047246.6299464917</v>
      </c>
      <c r="Z35" s="90">
        <f t="shared" si="47"/>
        <v>0.78208956907782401</v>
      </c>
      <c r="AA35" s="7" t="str">
        <f t="shared" si="61"/>
        <v/>
      </c>
      <c r="AB35" s="7" t="str">
        <f>IF(OR(B35=3,B35=6,B35=9,B35=12),
IF(AND(Z35&gt;=1,W35&gt;=SUMIFS(Parâmetros!L:L,Parâmetros!F:F,F35,Parâmetros!G:G,G35,Parâmetros!I:I,'Comissões GD'!I34)),W35*0.3,""),"")</f>
        <v/>
      </c>
      <c r="AC35" s="15">
        <f t="shared" si="48"/>
        <v>143479</v>
      </c>
      <c r="AD35" s="16">
        <f t="shared" si="49"/>
        <v>160326</v>
      </c>
      <c r="AE35" s="10">
        <f t="shared" si="50"/>
        <v>0.89492034978730839</v>
      </c>
      <c r="AF35" s="99">
        <f>SUMIFS(Metas!L:L,Metas!A:A,A35,Metas!B:B,B35,Metas!D:D,D35,Metas!H:H,H$1)</f>
        <v>0.4</v>
      </c>
      <c r="AG35" s="16">
        <f t="shared" si="51"/>
        <v>196507</v>
      </c>
      <c r="AH35" s="16">
        <f t="shared" si="52"/>
        <v>320652</v>
      </c>
      <c r="AI35" s="10">
        <f t="shared" si="53"/>
        <v>0.61283572221598492</v>
      </c>
      <c r="AJ35" s="99">
        <f>SUMIFS(Metas!L:L,Metas!A:A,A35,Metas!B:B,B35,Metas!D:D,D35,Metas!H:H,L$1)</f>
        <v>0.6</v>
      </c>
      <c r="AK35" s="90">
        <f t="shared" si="54"/>
        <v>0.72566957324451431</v>
      </c>
      <c r="AL35" s="16">
        <f t="shared" si="55"/>
        <v>16800</v>
      </c>
      <c r="AM35" s="102" cm="1">
        <f t="array" ref="AM35">_xlfn.LET(
_xlpm.a,A35,
_xlpm.b,B35,
_xlpm.d,D35,
_xlpm.lim,AI35,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1</v>
      </c>
      <c r="AN35" s="16">
        <f t="shared" si="56"/>
        <v>16800</v>
      </c>
      <c r="AO35" s="101">
        <f t="shared" si="57"/>
        <v>12191.24883050784</v>
      </c>
      <c r="AP35" s="16">
        <f t="shared" si="58"/>
        <v>12061.515287601511</v>
      </c>
      <c r="AQ35" s="22">
        <f t="shared" si="59"/>
        <v>129.7335429063296</v>
      </c>
    </row>
    <row r="36" spans="1:43">
      <c r="A36" s="7">
        <v>2026</v>
      </c>
      <c r="B36" s="7">
        <v>4</v>
      </c>
      <c r="C36" s="7" t="str">
        <v>Angélica da Silva Steinbach</v>
      </c>
      <c r="D36" s="7" t="str">
        <v>angelica.steinbach@altoqi.com.br</v>
      </c>
      <c r="E36" s="7" t="str">
        <v>Governo</v>
      </c>
      <c r="F36" s="7" t="str">
        <v>Consultor</v>
      </c>
      <c r="G36" s="7" t="str">
        <v>marcelo.maestro@altoqi.com.br</v>
      </c>
      <c r="H36" s="15">
        <f>SUMIFS(Negócios!J:J,Negócios!A:A,A36,Negócios!B:B,B36,Negócios!P:P,D36,Negócios!AH:AH,"&lt;&gt;n")</f>
        <v>0</v>
      </c>
      <c r="I36" s="16">
        <f>SUMIFS(Metas!K:K,Metas!A:A,A36,Metas!B:B,B36,Metas!D:D,D36,Metas!H:H,H$1)</f>
        <v>146708</v>
      </c>
      <c r="J36" s="10">
        <f t="shared" ref="J36:J45" si="62">IFERROR(H36/I36,0)</f>
        <v>0</v>
      </c>
      <c r="K36" s="9">
        <f>SUMIFS(Metas!L:L,Metas!A:A,A36,Metas!B:B,B36,Metas!D:D,D36,Metas!H:H,H$1)</f>
        <v>0.4</v>
      </c>
      <c r="L36" s="15">
        <f>SUMIFS(Negócios!I:I,Negócios!A:A,A36,Negócios!B:B,B36,Negócios!P:P,D36,Negócios!AH:AH,"&lt;&gt;n")</f>
        <v>0</v>
      </c>
      <c r="M36" s="16">
        <f>SUMIFS(Metas!K:K,Metas!A:A,A36,Metas!B:B,B36,Metas!D:D,D36,Metas!H:H,L$1)</f>
        <v>293416</v>
      </c>
      <c r="N36" s="10">
        <f t="shared" ref="N36:N45" si="63">IFERROR(L36/M36,0)</f>
        <v>0</v>
      </c>
      <c r="O36" s="9">
        <f>SUMIFS(Metas!L:L,Metas!A:A,A36,Metas!B:B,B36,Metas!D:D,D36,Metas!H:H,L$1)</f>
        <v>0.6</v>
      </c>
      <c r="P36" s="35">
        <f t="shared" ref="P36:P45" si="64">(J36*K36)+(N36*O36)</f>
        <v>0</v>
      </c>
      <c r="Q36" s="15">
        <f>MAX(_xlfn.MAXIFS(Parâmetros!O:O,Parâmetros!A:A,A36,Parâmetros!B:B,B36,Parâmetros!D:D,D36,Parâmetros!M:M,"&lt;="&amp;J36),_xlfn.MAXIFS(Parâmetros!L:L,Parâmetros!A:A,A36,Parâmetros!B:B,B36,Parâmetros!D:D,D36,Parâmetros!J:J,"&lt;="&amp;J36),SUMIFS(Parâmetros!I:I,Parâmetros!A:A,A36,Parâmetros!B:B,B36,Parâmetros!D:D,D36))</f>
        <v>8400</v>
      </c>
      <c r="R36" s="9">
        <f>MAX(_xlfn.MAXIFS(Parâmetros!Q:Q,Parâmetros!A:A,A36,Parâmetros!B:B,B36,Parâmetros!D:D,D36,Parâmetros!P:P,"&lt;="&amp;N36),_xlfn.MAXIFS(Parâmetros!S:S,Parâmetros!A:A,A36,Parâmetros!B:B,B36,Parâmetros!D:D,D36,Parâmetros!R:R,"&lt;="&amp;N36),_xlfn.MAXIFS(Parâmetros!U:U,Parâmetros!A:A,A36,Parâmetros!B:B,B36,Parâmetros!D:D,D36,Parâmetros!T:T,"&lt;="&amp;N36),1) * IF(N36 &gt;= SUMIFS(Parâmetros!G:G,Parâmetros!A:A,A36,Parâmetros!B:B,B36,Parâmetros!D:D,D36),1,0)</f>
        <v>0</v>
      </c>
      <c r="S36" s="16">
        <f t="shared" ref="S36:S45" si="65">Q36*R36</f>
        <v>0</v>
      </c>
      <c r="T36" s="16">
        <f t="shared" ref="T36:T45" si="66">S36*P36</f>
        <v>0</v>
      </c>
      <c r="U36" s="15" t="str">
        <f t="shared" ref="U36:U45" si="67">IF(OR(B36=3,B36=6,B36=9,B36=12),
SUMIFS($L:$L,$A:$A,$A36,$B:$B,"&gt;="&amp;(B36-2),$B:$B,"&lt;="&amp;B36,$D:$D,$D36),
"")</f>
        <v/>
      </c>
      <c r="V36" s="16" t="str">
        <f t="shared" ref="V36:V45" si="68">IF(OR(B36=3,B36=6,B36=9,B36=12),
SUMIFS($M:$M,$A:$A,$A36,$B:$B,"&gt;="&amp;(B36-2),$B:$B,"&lt;="&amp;B36,$D:$D,$D36),
"")</f>
        <v/>
      </c>
      <c r="W36" s="90">
        <f t="shared" ref="W36:W45" si="69">IFERROR(U36/V36,0)</f>
        <v>0</v>
      </c>
      <c r="X36" s="16" t="str">
        <f t="shared" ref="X36:X45" si="70">IF(F36="Gestor","",
IF(OR(B36=3,B36=6,B36=9,B36=12),
SUMIFS($L:$L,$A:$A,$A36,$B:$B,"&gt;="&amp;(B36-2),$B:$B,"&lt;="&amp;B36,$E:$E,$E36,$F:$F,"&lt;&gt;Gestor"),
""))</f>
        <v/>
      </c>
      <c r="Y36" s="16" t="str">
        <f t="shared" ref="Y36:Y45" si="71">IF(F36="Gestor","",
IF(OR(B36=3,B36=6,B36=9,B36=12),
SUMIFS($M:$M,$A:$A,$A36,$B:$B,"&gt;="&amp;(B36-2),$B:$B,"&lt;="&amp;B36,$E:$E,$E36,$F:$F,"&lt;&gt;Gestor"),
""))</f>
        <v/>
      </c>
      <c r="Z36" s="90">
        <f t="shared" ref="Z36:Z45" si="72">IFERROR(X36/Y36,0)</f>
        <v>0</v>
      </c>
      <c r="AA36" s="7" t="str">
        <f t="shared" ref="AA36:AA45" si="73">IF(OR(B36=3,B36=6,B36=9,B36=12),
IF(W36&gt;=1,W36*0.3,""),"")</f>
        <v/>
      </c>
      <c r="AB36" s="7" t="str">
        <f>IF(OR(B36=3,B36=6,B36=9,B36=12),
IF(AND(Z36&gt;=1,W36&gt;=SUMIFS(Parâmetros!L:L,Parâmetros!F:F,F36,Parâmetros!G:G,G36,Parâmetros!I:I,'Comissões GD'!I35)),W36*0.3,""),"")</f>
        <v/>
      </c>
      <c r="AC36" s="15" t="str">
        <f t="shared" ref="AC36:AC45" si="74">IF(OR(B36=3,B36=6,B36=9,B36=12),
SUMIFS($H:$H,$A:$A,$A36,$B:$B,"&gt;="&amp;(B36-2),$B:$B,"&lt;="&amp;B36,$D:$D,$D36),
"")</f>
        <v/>
      </c>
      <c r="AD36" s="16" t="str">
        <f t="shared" ref="AD36:AD45" si="75">IF(OR(B36=3,B36=6,B36=9,B36=12),
SUMIFS($I:$I,$A:$A,$A36,$B:$B,"&gt;="&amp;(B36-2),$B:$B,"&lt;="&amp;B36,$D:$D,$D36),
"")</f>
        <v/>
      </c>
      <c r="AE36" s="10">
        <f t="shared" ref="AE36:AE45" si="76">IFERROR(AC36/AD36,0)</f>
        <v>0</v>
      </c>
      <c r="AF36" s="99">
        <f>SUMIFS(Metas!L:L,Metas!A:A,A36,Metas!B:B,B36,Metas!D:D,D36,Metas!H:H,H$1)</f>
        <v>0.4</v>
      </c>
      <c r="AG36" s="16" t="str">
        <f t="shared" ref="AG36:AG45" si="77">IF(OR(B36=3,B36=6,B36=9,B36=12),
SUMIFS($L:$L,$A:$A,$A36,$B:$B,"&gt;="&amp;(B36-2),$B:$B,"&lt;="&amp;B36,$D:$D,$D36),
"")</f>
        <v/>
      </c>
      <c r="AH36" s="16" t="str">
        <f t="shared" ref="AH36:AH45" si="78">IF(OR(B36=3,B36=6,B36=9,B36=12),
SUMIFS($M:$M,$A:$A,$A36,$B:$B,"&gt;="&amp;(B36-2),$B:$B,"&lt;="&amp;B36,$D:$D,$D36),
"")</f>
        <v/>
      </c>
      <c r="AI36" s="10">
        <f t="shared" ref="AI36:AI45" si="79">IFERROR(AG36/AH36,0)</f>
        <v>0</v>
      </c>
      <c r="AJ36" s="99">
        <f>SUMIFS(Metas!L:L,Metas!A:A,A36,Metas!B:B,B36,Metas!D:D,D36,Metas!H:H,L$1)</f>
        <v>0.6</v>
      </c>
      <c r="AK36" s="90">
        <f t="shared" ref="AK36:AK45" si="80">(AE36*AF36)+(AI36*AJ36)</f>
        <v>0</v>
      </c>
      <c r="AL36" s="16" t="str">
        <f t="shared" ref="AL36:AL45" si="81">IF(OR(B36=3,B36=6,B36=9,B36=12),
SUMIFS($Q:$Q,$A:$A,$A36,$B:$B,"&gt;="&amp;(B36-2),$B:$B,"&lt;="&amp;B36,$D:$D,$D36),
"")</f>
        <v/>
      </c>
      <c r="AM36" s="102" cm="1">
        <f t="array" ref="AM36">_xlfn.LET(
_xlpm.a,A36,
_xlpm.b,B36,
_xlpm.d,D36,
_xlpm.lim,AI36,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0</v>
      </c>
      <c r="AN36" s="16">
        <f t="shared" ref="AN36:AN45" si="82">IFERROR(AL36*AM36,0)</f>
        <v>0</v>
      </c>
      <c r="AO36" s="101">
        <f t="shared" ref="AO36:AO45" si="83">AN36*AK36</f>
        <v>0</v>
      </c>
      <c r="AP36" s="16" t="str">
        <f t="shared" ref="AP36:AP45" si="84">IF(OR(B36=3,B36=6,B36=9,B36=12),
SUMIFS($T:$T,$A:$A,$A36,$B:$B,"&gt;="&amp;(B36-2),$B:$B,"&lt;="&amp;B36,$D:$D,$D36),
"")</f>
        <v/>
      </c>
      <c r="AQ36" s="22" t="str">
        <f t="shared" ref="AQ36:AQ45" si="85">IF(AO36&gt;AP36,AO36-AP36,"")</f>
        <v/>
      </c>
    </row>
    <row r="37" spans="1:43">
      <c r="A37" s="7">
        <v>2026</v>
      </c>
      <c r="B37" s="7">
        <v>4</v>
      </c>
      <c r="C37" s="7" t="str">
        <v>Carla Araujo</v>
      </c>
      <c r="D37" s="7" t="str">
        <v>carla.araujo@altoqi.com.br</v>
      </c>
      <c r="E37" s="7" t="str">
        <v>Governo</v>
      </c>
      <c r="F37" s="7" t="str">
        <v>Consultor</v>
      </c>
      <c r="G37" s="7" t="str">
        <v>marcelo.maestro@altoqi.com.br</v>
      </c>
      <c r="H37" s="15">
        <f>SUMIFS(Negócios!J:J,Negócios!A:A,A37,Negócios!B:B,B37,Negócios!P:P,D37,Negócios!AH:AH,"&lt;&gt;n")</f>
        <v>88903.92</v>
      </c>
      <c r="I37" s="16">
        <f>SUMIFS(Metas!K:K,Metas!A:A,A37,Metas!B:B,B37,Metas!D:D,D37,Metas!H:H,H$1)</f>
        <v>106602</v>
      </c>
      <c r="J37" s="10">
        <f t="shared" si="62"/>
        <v>0.83397985028423482</v>
      </c>
      <c r="K37" s="9">
        <f>SUMIFS(Metas!L:L,Metas!A:A,A37,Metas!B:B,B37,Metas!D:D,D37,Metas!H:H,H$1)</f>
        <v>0.4</v>
      </c>
      <c r="L37" s="15">
        <f>SUMIFS(Negócios!I:I,Negócios!A:A,A37,Negócios!B:B,B37,Negócios!P:P,D37,Negócios!AH:AH,"&lt;&gt;n")</f>
        <v>171367.91999999998</v>
      </c>
      <c r="M37" s="16">
        <f>SUMIFS(Metas!K:K,Metas!A:A,A37,Metas!B:B,B37,Metas!D:D,D37,Metas!H:H,L$1)</f>
        <v>213204</v>
      </c>
      <c r="N37" s="10">
        <f t="shared" si="63"/>
        <v>0.80377441323802545</v>
      </c>
      <c r="O37" s="9">
        <f>SUMIFS(Metas!L:L,Metas!A:A,A37,Metas!B:B,B37,Metas!D:D,D37,Metas!H:H,L$1)</f>
        <v>0.6</v>
      </c>
      <c r="P37" s="35">
        <f t="shared" si="64"/>
        <v>0.81585658805650918</v>
      </c>
      <c r="Q37" s="15">
        <f>MAX(_xlfn.MAXIFS(Parâmetros!O:O,Parâmetros!A:A,A37,Parâmetros!B:B,B37,Parâmetros!D:D,D37,Parâmetros!M:M,"&lt;="&amp;J37),_xlfn.MAXIFS(Parâmetros!L:L,Parâmetros!A:A,A37,Parâmetros!B:B,B37,Parâmetros!D:D,D37,Parâmetros!J:J,"&lt;="&amp;J37),SUMIFS(Parâmetros!I:I,Parâmetros!A:A,A37,Parâmetros!B:B,B37,Parâmetros!D:D,D37))</f>
        <v>7140</v>
      </c>
      <c r="R37" s="9">
        <f>MAX(_xlfn.MAXIFS(Parâmetros!Q:Q,Parâmetros!A:A,A37,Parâmetros!B:B,B37,Parâmetros!D:D,D37,Parâmetros!P:P,"&lt;="&amp;N37),_xlfn.MAXIFS(Parâmetros!S:S,Parâmetros!A:A,A37,Parâmetros!B:B,B37,Parâmetros!D:D,D37,Parâmetros!R:R,"&lt;="&amp;N37),_xlfn.MAXIFS(Parâmetros!U:U,Parâmetros!A:A,A37,Parâmetros!B:B,B37,Parâmetros!D:D,D37,Parâmetros!T:T,"&lt;="&amp;N37),1) * IF(N37 &gt;= SUMIFS(Parâmetros!G:G,Parâmetros!A:A,A37,Parâmetros!B:B,B37,Parâmetros!D:D,D37),1,0)</f>
        <v>1.1499999999999999</v>
      </c>
      <c r="S37" s="16">
        <f t="shared" si="65"/>
        <v>8211</v>
      </c>
      <c r="T37" s="16">
        <f t="shared" si="66"/>
        <v>6698.9984445319969</v>
      </c>
      <c r="U37" s="15" t="str">
        <f t="shared" si="67"/>
        <v/>
      </c>
      <c r="V37" s="16" t="str">
        <f t="shared" si="68"/>
        <v/>
      </c>
      <c r="W37" s="90">
        <f t="shared" si="69"/>
        <v>0</v>
      </c>
      <c r="X37" s="16" t="str">
        <f t="shared" si="70"/>
        <v/>
      </c>
      <c r="Y37" s="16" t="str">
        <f t="shared" si="71"/>
        <v/>
      </c>
      <c r="Z37" s="90">
        <f t="shared" si="72"/>
        <v>0</v>
      </c>
      <c r="AA37" s="7" t="str">
        <f t="shared" si="73"/>
        <v/>
      </c>
      <c r="AB37" s="7" t="str">
        <f>IF(OR(B37=3,B37=6,B37=9,B37=12),
IF(AND(Z37&gt;=1,W37&gt;=SUMIFS(Parâmetros!L:L,Parâmetros!F:F,F37,Parâmetros!G:G,G37,Parâmetros!I:I,'Comissões GD'!I36)),W37*0.3,""),"")</f>
        <v/>
      </c>
      <c r="AC37" s="15" t="str">
        <f t="shared" si="74"/>
        <v/>
      </c>
      <c r="AD37" s="16" t="str">
        <f t="shared" si="75"/>
        <v/>
      </c>
      <c r="AE37" s="10">
        <f t="shared" si="76"/>
        <v>0</v>
      </c>
      <c r="AF37" s="99">
        <f>SUMIFS(Metas!L:L,Metas!A:A,A37,Metas!B:B,B37,Metas!D:D,D37,Metas!H:H,H$1)</f>
        <v>0.4</v>
      </c>
      <c r="AG37" s="16" t="str">
        <f t="shared" si="77"/>
        <v/>
      </c>
      <c r="AH37" s="16" t="str">
        <f t="shared" si="78"/>
        <v/>
      </c>
      <c r="AI37" s="10">
        <f t="shared" si="79"/>
        <v>0</v>
      </c>
      <c r="AJ37" s="99">
        <f>SUMIFS(Metas!L:L,Metas!A:A,A37,Metas!B:B,B37,Metas!D:D,D37,Metas!H:H,L$1)</f>
        <v>0.6</v>
      </c>
      <c r="AK37" s="90">
        <f t="shared" si="80"/>
        <v>0</v>
      </c>
      <c r="AL37" s="16" t="str">
        <f t="shared" si="81"/>
        <v/>
      </c>
      <c r="AM37" s="102" cm="1">
        <f t="array" ref="AM37">_xlfn.LET(
_xlpm.a,A37,
_xlpm.b,B37,
_xlpm.d,D37,
_xlpm.lim,AI37,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0</v>
      </c>
      <c r="AN37" s="16">
        <f t="shared" si="82"/>
        <v>0</v>
      </c>
      <c r="AO37" s="101">
        <f t="shared" si="83"/>
        <v>0</v>
      </c>
      <c r="AP37" s="16" t="str">
        <f t="shared" si="84"/>
        <v/>
      </c>
      <c r="AQ37" s="22" t="str">
        <f t="shared" si="85"/>
        <v/>
      </c>
    </row>
    <row r="38" spans="1:43">
      <c r="A38" s="7">
        <v>2026</v>
      </c>
      <c r="B38" s="7">
        <v>4</v>
      </c>
      <c r="C38" s="7" t="str">
        <v>Deize Marla Rudek</v>
      </c>
      <c r="D38" s="7" t="str">
        <v>deize.rudek@altoqi.com.br</v>
      </c>
      <c r="E38" s="7" t="str">
        <v>Governo</v>
      </c>
      <c r="F38" s="7" t="str">
        <v>Consultor</v>
      </c>
      <c r="G38" s="7" t="str">
        <v>marcelo.maestro@altoqi.com.br</v>
      </c>
      <c r="H38" s="15">
        <f>SUMIFS(Negócios!J:J,Negócios!A:A,A38,Negócios!B:B,B38,Negócios!P:P,D38,Negócios!AH:AH,"&lt;&gt;n")</f>
        <v>73224</v>
      </c>
      <c r="I38" s="16">
        <f>SUMIFS(Metas!K:K,Metas!A:A,A38,Metas!B:B,B38,Metas!D:D,D38,Metas!H:H,H$1)</f>
        <v>119314.17</v>
      </c>
      <c r="J38" s="10">
        <f t="shared" si="62"/>
        <v>0.61370749174217953</v>
      </c>
      <c r="K38" s="9">
        <f>SUMIFS(Metas!L:L,Metas!A:A,A38,Metas!B:B,B38,Metas!D:D,D38,Metas!H:H,H$1)</f>
        <v>0.4</v>
      </c>
      <c r="L38" s="15">
        <f>SUMIFS(Negócios!I:I,Negócios!A:A,A38,Negócios!B:B,B38,Negócios!P:P,D38,Negócios!AH:AH,"&lt;&gt;n")</f>
        <v>136368</v>
      </c>
      <c r="M38" s="16">
        <f>SUMIFS(Metas!K:K,Metas!A:A,A38,Metas!B:B,B38,Metas!D:D,D38,Metas!H:H,L$1)</f>
        <v>238628.33</v>
      </c>
      <c r="N38" s="10">
        <f t="shared" si="63"/>
        <v>0.57146609541289595</v>
      </c>
      <c r="O38" s="9">
        <f>SUMIFS(Metas!L:L,Metas!A:A,A38,Metas!B:B,B38,Metas!D:D,D38,Metas!H:H,L$1)</f>
        <v>0.6</v>
      </c>
      <c r="P38" s="35">
        <f t="shared" si="64"/>
        <v>0.5883626539446094</v>
      </c>
      <c r="Q38" s="15">
        <f>MAX(_xlfn.MAXIFS(Parâmetros!O:O,Parâmetros!A:A,A38,Parâmetros!B:B,B38,Parâmetros!D:D,D38,Parâmetros!M:M,"&lt;="&amp;J38),_xlfn.MAXIFS(Parâmetros!L:L,Parâmetros!A:A,A38,Parâmetros!B:B,B38,Parâmetros!D:D,D38,Parâmetros!J:J,"&lt;="&amp;J38),SUMIFS(Parâmetros!I:I,Parâmetros!A:A,A38,Parâmetros!B:B,B38,Parâmetros!D:D,D38))</f>
        <v>5880</v>
      </c>
      <c r="R38" s="9">
        <f>MAX(_xlfn.MAXIFS(Parâmetros!Q:Q,Parâmetros!A:A,A38,Parâmetros!B:B,B38,Parâmetros!D:D,D38,Parâmetros!P:P,"&lt;="&amp;N38),_xlfn.MAXIFS(Parâmetros!S:S,Parâmetros!A:A,A38,Parâmetros!B:B,B38,Parâmetros!D:D,D38,Parâmetros!R:R,"&lt;="&amp;N38),_xlfn.MAXIFS(Parâmetros!U:U,Parâmetros!A:A,A38,Parâmetros!B:B,B38,Parâmetros!D:D,D38,Parâmetros!T:T,"&lt;="&amp;N38),1) * IF(N38 &gt;= SUMIFS(Parâmetros!G:G,Parâmetros!A:A,A38,Parâmetros!B:B,B38,Parâmetros!D:D,D38),1,0)</f>
        <v>1</v>
      </c>
      <c r="S38" s="16">
        <f t="shared" si="65"/>
        <v>5880</v>
      </c>
      <c r="T38" s="16">
        <f t="shared" si="66"/>
        <v>3459.5724051943034</v>
      </c>
      <c r="U38" s="15" t="str">
        <f t="shared" si="67"/>
        <v/>
      </c>
      <c r="V38" s="16" t="str">
        <f t="shared" si="68"/>
        <v/>
      </c>
      <c r="W38" s="90">
        <f t="shared" si="69"/>
        <v>0</v>
      </c>
      <c r="X38" s="16" t="str">
        <f t="shared" si="70"/>
        <v/>
      </c>
      <c r="Y38" s="16" t="str">
        <f t="shared" si="71"/>
        <v/>
      </c>
      <c r="Z38" s="90">
        <f t="shared" si="72"/>
        <v>0</v>
      </c>
      <c r="AA38" s="7" t="str">
        <f t="shared" si="73"/>
        <v/>
      </c>
      <c r="AB38" s="7" t="str">
        <f>IF(OR(B38=3,B38=6,B38=9,B38=12),
IF(AND(Z38&gt;=1,W38&gt;=SUMIFS(Parâmetros!L:L,Parâmetros!F:F,F38,Parâmetros!G:G,G38,Parâmetros!I:I,'Comissões GD'!I37)),W38*0.3,""),"")</f>
        <v/>
      </c>
      <c r="AC38" s="15" t="str">
        <f t="shared" si="74"/>
        <v/>
      </c>
      <c r="AD38" s="16" t="str">
        <f t="shared" si="75"/>
        <v/>
      </c>
      <c r="AE38" s="10">
        <f t="shared" si="76"/>
        <v>0</v>
      </c>
      <c r="AF38" s="99">
        <f>SUMIFS(Metas!L:L,Metas!A:A,A38,Metas!B:B,B38,Metas!D:D,D38,Metas!H:H,H$1)</f>
        <v>0.4</v>
      </c>
      <c r="AG38" s="16" t="str">
        <f t="shared" si="77"/>
        <v/>
      </c>
      <c r="AH38" s="16" t="str">
        <f t="shared" si="78"/>
        <v/>
      </c>
      <c r="AI38" s="10">
        <f t="shared" si="79"/>
        <v>0</v>
      </c>
      <c r="AJ38" s="99">
        <f>SUMIFS(Metas!L:L,Metas!A:A,A38,Metas!B:B,B38,Metas!D:D,D38,Metas!H:H,L$1)</f>
        <v>0.6</v>
      </c>
      <c r="AK38" s="90">
        <f t="shared" si="80"/>
        <v>0</v>
      </c>
      <c r="AL38" s="16" t="str">
        <f t="shared" si="81"/>
        <v/>
      </c>
      <c r="AM38" s="102" cm="1">
        <f t="array" ref="AM38">_xlfn.LET(
_xlpm.a,A38,
_xlpm.b,B38,
_xlpm.d,D38,
_xlpm.lim,AI38,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0</v>
      </c>
      <c r="AN38" s="16">
        <f t="shared" si="82"/>
        <v>0</v>
      </c>
      <c r="AO38" s="101">
        <f t="shared" si="83"/>
        <v>0</v>
      </c>
      <c r="AP38" s="16" t="str">
        <f t="shared" si="84"/>
        <v/>
      </c>
      <c r="AQ38" s="22" t="str">
        <f t="shared" si="85"/>
        <v/>
      </c>
    </row>
    <row r="39" spans="1:43">
      <c r="A39" s="7">
        <v>2026</v>
      </c>
      <c r="B39" s="7">
        <v>4</v>
      </c>
      <c r="C39" s="7" t="str">
        <v>Fernanda Cristina Barbosa</v>
      </c>
      <c r="D39" s="7" t="str">
        <v>fernanda.barbosa@altoqi.com.br</v>
      </c>
      <c r="E39" s="7" t="str">
        <v>Governo</v>
      </c>
      <c r="F39" s="7" t="str">
        <v>Consultor</v>
      </c>
      <c r="G39" s="7" t="str">
        <v>marcelo.maestro@altoqi.com.br</v>
      </c>
      <c r="H39" s="15">
        <f>SUMIFS(Negócios!J:J,Negócios!A:A,A39,Negócios!B:B,B39,Negócios!P:P,D39,Negócios!AH:AH,"&lt;&gt;n")</f>
        <v>196874.64</v>
      </c>
      <c r="I39" s="16">
        <f>SUMIFS(Metas!K:K,Metas!A:A,A39,Metas!B:B,B39,Metas!D:D,D39,Metas!H:H,H$1)</f>
        <v>119093.03</v>
      </c>
      <c r="J39" s="10">
        <f t="shared" si="62"/>
        <v>1.6531163914462501</v>
      </c>
      <c r="K39" s="9">
        <f>SUMIFS(Metas!L:L,Metas!A:A,A39,Metas!B:B,B39,Metas!D:D,D39,Metas!H:H,H$1)</f>
        <v>0.4</v>
      </c>
      <c r="L39" s="15">
        <f>SUMIFS(Negócios!I:I,Negócios!A:A,A39,Negócios!B:B,B39,Negócios!P:P,D39,Negócios!AH:AH,"&lt;&gt;n")</f>
        <v>518834.64</v>
      </c>
      <c r="M39" s="16">
        <f>SUMIFS(Metas!K:K,Metas!A:A,A39,Metas!B:B,B39,Metas!D:D,D39,Metas!H:H,L$1)</f>
        <v>238186.05</v>
      </c>
      <c r="N39" s="10">
        <f t="shared" si="63"/>
        <v>2.1782746722572544</v>
      </c>
      <c r="O39" s="9">
        <f>SUMIFS(Metas!L:L,Metas!A:A,A39,Metas!B:B,B39,Metas!D:D,D39,Metas!H:H,L$1)</f>
        <v>0.6</v>
      </c>
      <c r="P39" s="35">
        <f t="shared" si="64"/>
        <v>1.9682113599328526</v>
      </c>
      <c r="Q39" s="15">
        <f>MAX(_xlfn.MAXIFS(Parâmetros!O:O,Parâmetros!A:A,A39,Parâmetros!B:B,B39,Parâmetros!D:D,D39,Parâmetros!M:M,"&lt;="&amp;J39),_xlfn.MAXIFS(Parâmetros!L:L,Parâmetros!A:A,A39,Parâmetros!B:B,B39,Parâmetros!D:D,D39,Parâmetros!J:J,"&lt;="&amp;J39),SUMIFS(Parâmetros!I:I,Parâmetros!A:A,A39,Parâmetros!B:B,B39,Parâmetros!D:D,D39))</f>
        <v>5880</v>
      </c>
      <c r="R39" s="9">
        <f>MAX(_xlfn.MAXIFS(Parâmetros!Q:Q,Parâmetros!A:A,A39,Parâmetros!B:B,B39,Parâmetros!D:D,D39,Parâmetros!P:P,"&lt;="&amp;N39),_xlfn.MAXIFS(Parâmetros!S:S,Parâmetros!A:A,A39,Parâmetros!B:B,B39,Parâmetros!D:D,D39,Parâmetros!R:R,"&lt;="&amp;N39),_xlfn.MAXIFS(Parâmetros!U:U,Parâmetros!A:A,A39,Parâmetros!B:B,B39,Parâmetros!D:D,D39,Parâmetros!T:T,"&lt;="&amp;N39),1) * IF(N39 &gt;= SUMIFS(Parâmetros!G:G,Parâmetros!A:A,A39,Parâmetros!B:B,B39,Parâmetros!D:D,D39),1,0)</f>
        <v>1.25</v>
      </c>
      <c r="S39" s="16">
        <f t="shared" si="65"/>
        <v>7350</v>
      </c>
      <c r="T39" s="16">
        <f t="shared" si="66"/>
        <v>14466.353495506466</v>
      </c>
      <c r="U39" s="15" t="str">
        <f t="shared" si="67"/>
        <v/>
      </c>
      <c r="V39" s="16" t="str">
        <f t="shared" si="68"/>
        <v/>
      </c>
      <c r="W39" s="90">
        <f t="shared" si="69"/>
        <v>0</v>
      </c>
      <c r="X39" s="16" t="str">
        <f t="shared" si="70"/>
        <v/>
      </c>
      <c r="Y39" s="16" t="str">
        <f t="shared" si="71"/>
        <v/>
      </c>
      <c r="Z39" s="90">
        <f t="shared" si="72"/>
        <v>0</v>
      </c>
      <c r="AA39" s="7" t="str">
        <f t="shared" si="73"/>
        <v/>
      </c>
      <c r="AB39" s="7" t="str">
        <f>IF(OR(B39=3,B39=6,B39=9,B39=12),
IF(AND(Z39&gt;=1,W39&gt;=SUMIFS(Parâmetros!L:L,Parâmetros!F:F,F39,Parâmetros!G:G,G39,Parâmetros!I:I,'Comissões GD'!I38)),W39*0.3,""),"")</f>
        <v/>
      </c>
      <c r="AC39" s="15" t="str">
        <f t="shared" si="74"/>
        <v/>
      </c>
      <c r="AD39" s="16" t="str">
        <f t="shared" si="75"/>
        <v/>
      </c>
      <c r="AE39" s="10">
        <f t="shared" si="76"/>
        <v>0</v>
      </c>
      <c r="AF39" s="99">
        <f>SUMIFS(Metas!L:L,Metas!A:A,A39,Metas!B:B,B39,Metas!D:D,D39,Metas!H:H,H$1)</f>
        <v>0.4</v>
      </c>
      <c r="AG39" s="16" t="str">
        <f t="shared" si="77"/>
        <v/>
      </c>
      <c r="AH39" s="16" t="str">
        <f t="shared" si="78"/>
        <v/>
      </c>
      <c r="AI39" s="10">
        <f t="shared" si="79"/>
        <v>0</v>
      </c>
      <c r="AJ39" s="99">
        <f>SUMIFS(Metas!L:L,Metas!A:A,A39,Metas!B:B,B39,Metas!D:D,D39,Metas!H:H,L$1)</f>
        <v>0.6</v>
      </c>
      <c r="AK39" s="90">
        <f t="shared" si="80"/>
        <v>0</v>
      </c>
      <c r="AL39" s="16" t="str">
        <f t="shared" si="81"/>
        <v/>
      </c>
      <c r="AM39" s="102" cm="1">
        <f t="array" ref="AM39">_xlfn.LET(
_xlpm.a,A39,
_xlpm.b,B39,
_xlpm.d,D39,
_xlpm.lim,AI39,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0</v>
      </c>
      <c r="AN39" s="16">
        <f t="shared" si="82"/>
        <v>0</v>
      </c>
      <c r="AO39" s="101">
        <f t="shared" si="83"/>
        <v>0</v>
      </c>
      <c r="AP39" s="16" t="str">
        <f t="shared" si="84"/>
        <v/>
      </c>
      <c r="AQ39" s="22" t="str">
        <f t="shared" si="85"/>
        <v/>
      </c>
    </row>
    <row r="40" spans="1:43">
      <c r="A40" s="7">
        <v>2026</v>
      </c>
      <c r="B40" s="7">
        <v>4</v>
      </c>
      <c r="C40" s="7" t="str">
        <v>Henry Carlos Petersen</v>
      </c>
      <c r="D40" s="7" t="str">
        <v>henry.petersen@altoqi.com.br</v>
      </c>
      <c r="E40" s="7" t="str">
        <v>Governo</v>
      </c>
      <c r="F40" s="7" t="str">
        <v>Consultor</v>
      </c>
      <c r="G40" s="7" t="str">
        <v>marcelo.maestro@altoqi.com.br</v>
      </c>
      <c r="H40" s="15">
        <f>SUMIFS(Negócios!J:J,Negócios!A:A,A40,Negócios!B:B,B40,Negócios!P:P,D40,Negócios!AH:AH,"&lt;&gt;n")</f>
        <v>156998</v>
      </c>
      <c r="I40" s="16">
        <f>SUMIFS(Metas!K:K,Metas!A:A,A40,Metas!B:B,B40,Metas!D:D,D40,Metas!H:H,H$1)</f>
        <v>255227</v>
      </c>
      <c r="J40" s="10">
        <f t="shared" si="62"/>
        <v>0.61513084430722453</v>
      </c>
      <c r="K40" s="9">
        <f>SUMIFS(Metas!L:L,Metas!A:A,A40,Metas!B:B,B40,Metas!D:D,D40,Metas!H:H,H$1)</f>
        <v>0.4</v>
      </c>
      <c r="L40" s="15">
        <f>SUMIFS(Negócios!I:I,Negócios!A:A,A40,Negócios!B:B,B40,Negócios!P:P,D40,Negócios!AH:AH,"&lt;&gt;n")</f>
        <v>788442</v>
      </c>
      <c r="M40" s="16">
        <f>SUMIFS(Metas!K:K,Metas!A:A,A40,Metas!B:B,B40,Metas!D:D,D40,Metas!H:H,L$1)</f>
        <v>510454</v>
      </c>
      <c r="N40" s="10">
        <f t="shared" si="63"/>
        <v>1.5445897181724504</v>
      </c>
      <c r="O40" s="9">
        <f>SUMIFS(Metas!L:L,Metas!A:A,A40,Metas!B:B,B40,Metas!D:D,D40,Metas!H:H,L$1)</f>
        <v>0.6</v>
      </c>
      <c r="P40" s="35">
        <f t="shared" si="64"/>
        <v>1.17280616862636</v>
      </c>
      <c r="Q40" s="15">
        <f>MAX(_xlfn.MAXIFS(Parâmetros!O:O,Parâmetros!A:A,A40,Parâmetros!B:B,B40,Parâmetros!D:D,D40,Parâmetros!M:M,"&lt;="&amp;J40),_xlfn.MAXIFS(Parâmetros!L:L,Parâmetros!A:A,A40,Parâmetros!B:B,B40,Parâmetros!D:D,D40,Parâmetros!J:J,"&lt;="&amp;J40),SUMIFS(Parâmetros!I:I,Parâmetros!A:A,A40,Parâmetros!B:B,B40,Parâmetros!D:D,D40))</f>
        <v>10500</v>
      </c>
      <c r="R40" s="9">
        <f>MAX(_xlfn.MAXIFS(Parâmetros!Q:Q,Parâmetros!A:A,A40,Parâmetros!B:B,B40,Parâmetros!D:D,D40,Parâmetros!P:P,"&lt;="&amp;N40),_xlfn.MAXIFS(Parâmetros!S:S,Parâmetros!A:A,A40,Parâmetros!B:B,B40,Parâmetros!D:D,D40,Parâmetros!R:R,"&lt;="&amp;N40),_xlfn.MAXIFS(Parâmetros!U:U,Parâmetros!A:A,A40,Parâmetros!B:B,B40,Parâmetros!D:D,D40,Parâmetros!T:T,"&lt;="&amp;N40),1) * IF(N40 &gt;= SUMIFS(Parâmetros!G:G,Parâmetros!A:A,A40,Parâmetros!B:B,B40,Parâmetros!D:D,D40),1,0)</f>
        <v>1.25</v>
      </c>
      <c r="S40" s="16">
        <f t="shared" si="65"/>
        <v>13125</v>
      </c>
      <c r="T40" s="16">
        <f t="shared" si="66"/>
        <v>15393.080963220975</v>
      </c>
      <c r="U40" s="15" t="str">
        <f t="shared" si="67"/>
        <v/>
      </c>
      <c r="V40" s="16" t="str">
        <f t="shared" si="68"/>
        <v/>
      </c>
      <c r="W40" s="90">
        <f t="shared" si="69"/>
        <v>0</v>
      </c>
      <c r="X40" s="16" t="str">
        <f t="shared" si="70"/>
        <v/>
      </c>
      <c r="Y40" s="16" t="str">
        <f t="shared" si="71"/>
        <v/>
      </c>
      <c r="Z40" s="90">
        <f t="shared" si="72"/>
        <v>0</v>
      </c>
      <c r="AA40" s="7" t="str">
        <f t="shared" si="73"/>
        <v/>
      </c>
      <c r="AB40" s="7" t="str">
        <f>IF(OR(B40=3,B40=6,B40=9,B40=12),
IF(AND(Z40&gt;=1,W40&gt;=SUMIFS(Parâmetros!L:L,Parâmetros!F:F,F40,Parâmetros!G:G,G40,Parâmetros!I:I,'Comissões GD'!I39)),W40*0.3,""),"")</f>
        <v/>
      </c>
      <c r="AC40" s="15" t="str">
        <f t="shared" si="74"/>
        <v/>
      </c>
      <c r="AD40" s="16" t="str">
        <f t="shared" si="75"/>
        <v/>
      </c>
      <c r="AE40" s="10">
        <f t="shared" si="76"/>
        <v>0</v>
      </c>
      <c r="AF40" s="99">
        <f>SUMIFS(Metas!L:L,Metas!A:A,A40,Metas!B:B,B40,Metas!D:D,D40,Metas!H:H,H$1)</f>
        <v>0.4</v>
      </c>
      <c r="AG40" s="16" t="str">
        <f t="shared" si="77"/>
        <v/>
      </c>
      <c r="AH40" s="16" t="str">
        <f t="shared" si="78"/>
        <v/>
      </c>
      <c r="AI40" s="10">
        <f t="shared" si="79"/>
        <v>0</v>
      </c>
      <c r="AJ40" s="99">
        <f>SUMIFS(Metas!L:L,Metas!A:A,A40,Metas!B:B,B40,Metas!D:D,D40,Metas!H:H,L$1)</f>
        <v>0.6</v>
      </c>
      <c r="AK40" s="90">
        <f t="shared" si="80"/>
        <v>0</v>
      </c>
      <c r="AL40" s="16" t="str">
        <f t="shared" si="81"/>
        <v/>
      </c>
      <c r="AM40" s="102" cm="1">
        <f t="array" ref="AM40">_xlfn.LET(
_xlpm.a,A40,
_xlpm.b,B40,
_xlpm.d,D40,
_xlpm.lim,AI40,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0</v>
      </c>
      <c r="AN40" s="16">
        <f t="shared" si="82"/>
        <v>0</v>
      </c>
      <c r="AO40" s="101">
        <f t="shared" si="83"/>
        <v>0</v>
      </c>
      <c r="AP40" s="16" t="str">
        <f t="shared" si="84"/>
        <v/>
      </c>
      <c r="AQ40" s="22" t="str">
        <f t="shared" si="85"/>
        <v/>
      </c>
    </row>
    <row r="41" spans="1:43">
      <c r="A41" s="7">
        <v>2026</v>
      </c>
      <c r="B41" s="7">
        <v>4</v>
      </c>
      <c r="C41" s="7" t="str">
        <v>Jordayn Almeida</v>
      </c>
      <c r="D41" s="7" t="str">
        <v>jordayn.almeida@altoqi.com.br</v>
      </c>
      <c r="E41" s="7" t="str">
        <v>Governo</v>
      </c>
      <c r="F41" s="7" t="str">
        <v>Consultor</v>
      </c>
      <c r="G41" s="7" t="str">
        <v>marcelo.maestro@altoqi.com.br</v>
      </c>
      <c r="H41" s="15">
        <f>SUMIFS(Negócios!J:J,Negócios!A:A,A41,Negócios!B:B,B41,Negócios!P:P,D41,Negócios!AH:AH,"&lt;&gt;n")</f>
        <v>0</v>
      </c>
      <c r="I41" s="16">
        <f>SUMIFS(Metas!K:K,Metas!A:A,A41,Metas!B:B,B41,Metas!D:D,D41,Metas!H:H,H$1)</f>
        <v>100000</v>
      </c>
      <c r="J41" s="10">
        <f t="shared" si="62"/>
        <v>0</v>
      </c>
      <c r="K41" s="9">
        <f>SUMIFS(Metas!L:L,Metas!A:A,A41,Metas!B:B,B41,Metas!D:D,D41,Metas!H:H,H$1)</f>
        <v>0.4</v>
      </c>
      <c r="L41" s="15">
        <f>SUMIFS(Negócios!I:I,Negócios!A:A,A41,Negócios!B:B,B41,Negócios!P:P,D41,Negócios!AH:AH,"&lt;&gt;n")</f>
        <v>0</v>
      </c>
      <c r="M41" s="16">
        <f>SUMIFS(Metas!K:K,Metas!A:A,A41,Metas!B:B,B41,Metas!D:D,D41,Metas!H:H,L$1)</f>
        <v>200000</v>
      </c>
      <c r="N41" s="10">
        <f t="shared" si="63"/>
        <v>0</v>
      </c>
      <c r="O41" s="9">
        <f>SUMIFS(Metas!L:L,Metas!A:A,A41,Metas!B:B,B41,Metas!D:D,D41,Metas!H:H,L$1)</f>
        <v>0.6</v>
      </c>
      <c r="P41" s="35">
        <f t="shared" si="64"/>
        <v>0</v>
      </c>
      <c r="Q41" s="15">
        <f>MAX(_xlfn.MAXIFS(Parâmetros!O:O,Parâmetros!A:A,A41,Parâmetros!B:B,B41,Parâmetros!D:D,D41,Parâmetros!M:M,"&lt;="&amp;J41),_xlfn.MAXIFS(Parâmetros!L:L,Parâmetros!A:A,A41,Parâmetros!B:B,B41,Parâmetros!D:D,D41,Parâmetros!J:J,"&lt;="&amp;J41),SUMIFS(Parâmetros!I:I,Parâmetros!A:A,A41,Parâmetros!B:B,B41,Parâmetros!D:D,D41))</f>
        <v>10500</v>
      </c>
      <c r="R41" s="9">
        <f>MAX(_xlfn.MAXIFS(Parâmetros!Q:Q,Parâmetros!A:A,A41,Parâmetros!B:B,B41,Parâmetros!D:D,D41,Parâmetros!P:P,"&lt;="&amp;N41),_xlfn.MAXIFS(Parâmetros!S:S,Parâmetros!A:A,A41,Parâmetros!B:B,B41,Parâmetros!D:D,D41,Parâmetros!R:R,"&lt;="&amp;N41),_xlfn.MAXIFS(Parâmetros!U:U,Parâmetros!A:A,A41,Parâmetros!B:B,B41,Parâmetros!D:D,D41,Parâmetros!T:T,"&lt;="&amp;N41),1) * IF(N41 &gt;= SUMIFS(Parâmetros!G:G,Parâmetros!A:A,A41,Parâmetros!B:B,B41,Parâmetros!D:D,D41),1,0)</f>
        <v>0</v>
      </c>
      <c r="S41" s="16">
        <f t="shared" si="65"/>
        <v>0</v>
      </c>
      <c r="T41" s="16">
        <f t="shared" si="66"/>
        <v>0</v>
      </c>
      <c r="U41" s="15" t="str">
        <f t="shared" si="67"/>
        <v/>
      </c>
      <c r="V41" s="16" t="str">
        <f t="shared" si="68"/>
        <v/>
      </c>
      <c r="W41" s="90">
        <f t="shared" si="69"/>
        <v>0</v>
      </c>
      <c r="X41" s="16" t="str">
        <f t="shared" si="70"/>
        <v/>
      </c>
      <c r="Y41" s="16" t="str">
        <f t="shared" si="71"/>
        <v/>
      </c>
      <c r="Z41" s="90">
        <f t="shared" si="72"/>
        <v>0</v>
      </c>
      <c r="AA41" s="7" t="str">
        <f t="shared" si="73"/>
        <v/>
      </c>
      <c r="AB41" s="7" t="str">
        <f>IF(OR(B41=3,B41=6,B41=9,B41=12),
IF(AND(Z41&gt;=1,W41&gt;=SUMIFS(Parâmetros!L:L,Parâmetros!F:F,F41,Parâmetros!G:G,G41,Parâmetros!I:I,'Comissões GD'!I40)),W41*0.3,""),"")</f>
        <v/>
      </c>
      <c r="AC41" s="15" t="str">
        <f t="shared" si="74"/>
        <v/>
      </c>
      <c r="AD41" s="16" t="str">
        <f t="shared" si="75"/>
        <v/>
      </c>
      <c r="AE41" s="10">
        <f t="shared" si="76"/>
        <v>0</v>
      </c>
      <c r="AF41" s="99">
        <f>SUMIFS(Metas!L:L,Metas!A:A,A41,Metas!B:B,B41,Metas!D:D,D41,Metas!H:H,H$1)</f>
        <v>0.4</v>
      </c>
      <c r="AG41" s="16" t="str">
        <f t="shared" si="77"/>
        <v/>
      </c>
      <c r="AH41" s="16" t="str">
        <f t="shared" si="78"/>
        <v/>
      </c>
      <c r="AI41" s="10">
        <f t="shared" si="79"/>
        <v>0</v>
      </c>
      <c r="AJ41" s="99">
        <f>SUMIFS(Metas!L:L,Metas!A:A,A41,Metas!B:B,B41,Metas!D:D,D41,Metas!H:H,L$1)</f>
        <v>0.6</v>
      </c>
      <c r="AK41" s="90">
        <f t="shared" si="80"/>
        <v>0</v>
      </c>
      <c r="AL41" s="16" t="str">
        <f t="shared" si="81"/>
        <v/>
      </c>
      <c r="AM41" s="102" cm="1">
        <f t="array" ref="AM41">_xlfn.LET(
_xlpm.a,A41,
_xlpm.b,B41,
_xlpm.d,D41,
_xlpm.lim,AI41,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0</v>
      </c>
      <c r="AN41" s="16">
        <f t="shared" si="82"/>
        <v>0</v>
      </c>
      <c r="AO41" s="101">
        <f t="shared" si="83"/>
        <v>0</v>
      </c>
      <c r="AP41" s="16" t="str">
        <f t="shared" si="84"/>
        <v/>
      </c>
      <c r="AQ41" s="22" t="str">
        <f t="shared" si="85"/>
        <v/>
      </c>
    </row>
    <row r="42" spans="1:43">
      <c r="A42" s="7">
        <v>2026</v>
      </c>
      <c r="B42" s="7">
        <v>4</v>
      </c>
      <c r="C42" s="7" t="str">
        <v>Leandro Fontana da Silva</v>
      </c>
      <c r="D42" s="7" t="str">
        <v>leandro.fontana@altoqi.com.br</v>
      </c>
      <c r="E42" s="7" t="str">
        <v>Governo</v>
      </c>
      <c r="F42" s="7" t="str">
        <v>Consultor</v>
      </c>
      <c r="G42" s="7" t="str">
        <v>marcelo.maestro@altoqi.com.br</v>
      </c>
      <c r="H42" s="15">
        <f>SUMIFS(Negócios!J:J,Negócios!A:A,A42,Negócios!B:B,B42,Negócios!P:P,D42,Negócios!AH:AH,"&lt;&gt;n")</f>
        <v>16494</v>
      </c>
      <c r="I42" s="16">
        <f>SUMIFS(Metas!K:K,Metas!A:A,A42,Metas!B:B,B42,Metas!D:D,D42,Metas!H:H,H$1)</f>
        <v>212500</v>
      </c>
      <c r="J42" s="10">
        <f t="shared" si="62"/>
        <v>7.7618823529411768E-2</v>
      </c>
      <c r="K42" s="9">
        <f>SUMIFS(Metas!L:L,Metas!A:A,A42,Metas!B:B,B42,Metas!D:D,D42,Metas!H:H,H$1)</f>
        <v>0.4</v>
      </c>
      <c r="L42" s="15">
        <f>SUMIFS(Negócios!I:I,Negócios!A:A,A42,Negócios!B:B,B42,Negócios!P:P,D42,Negócios!AH:AH,"&lt;&gt;n")</f>
        <v>164934</v>
      </c>
      <c r="M42" s="16">
        <f>SUMIFS(Metas!K:K,Metas!A:A,A42,Metas!B:B,B42,Metas!D:D,D42,Metas!H:H,L$1)</f>
        <v>425000</v>
      </c>
      <c r="N42" s="10">
        <f t="shared" si="63"/>
        <v>0.38807999999999998</v>
      </c>
      <c r="O42" s="9">
        <f>SUMIFS(Metas!L:L,Metas!A:A,A42,Metas!B:B,B42,Metas!D:D,D42,Metas!H:H,L$1)</f>
        <v>0.6</v>
      </c>
      <c r="P42" s="35">
        <f t="shared" si="64"/>
        <v>0.2638955294117647</v>
      </c>
      <c r="Q42" s="15">
        <f>MAX(_xlfn.MAXIFS(Parâmetros!O:O,Parâmetros!A:A,A42,Parâmetros!B:B,B42,Parâmetros!D:D,D42,Parâmetros!M:M,"&lt;="&amp;J42),_xlfn.MAXIFS(Parâmetros!L:L,Parâmetros!A:A,A42,Parâmetros!B:B,B42,Parâmetros!D:D,D42,Parâmetros!J:J,"&lt;="&amp;J42),SUMIFS(Parâmetros!I:I,Parâmetros!A:A,A42,Parâmetros!B:B,B42,Parâmetros!D:D,D42))</f>
        <v>9660</v>
      </c>
      <c r="R42" s="9">
        <f>MAX(_xlfn.MAXIFS(Parâmetros!Q:Q,Parâmetros!A:A,A42,Parâmetros!B:B,B42,Parâmetros!D:D,D42,Parâmetros!P:P,"&lt;="&amp;N42),_xlfn.MAXIFS(Parâmetros!S:S,Parâmetros!A:A,A42,Parâmetros!B:B,B42,Parâmetros!D:D,D42,Parâmetros!R:R,"&lt;="&amp;N42),_xlfn.MAXIFS(Parâmetros!U:U,Parâmetros!A:A,A42,Parâmetros!B:B,B42,Parâmetros!D:D,D42,Parâmetros!T:T,"&lt;="&amp;N42),1) * IF(N42 &gt;= SUMIFS(Parâmetros!G:G,Parâmetros!A:A,A42,Parâmetros!B:B,B42,Parâmetros!D:D,D42),1,0)</f>
        <v>0</v>
      </c>
      <c r="S42" s="16">
        <f t="shared" si="65"/>
        <v>0</v>
      </c>
      <c r="T42" s="16">
        <f t="shared" si="66"/>
        <v>0</v>
      </c>
      <c r="U42" s="15" t="str">
        <f t="shared" si="67"/>
        <v/>
      </c>
      <c r="V42" s="16" t="str">
        <f t="shared" si="68"/>
        <v/>
      </c>
      <c r="W42" s="90">
        <f t="shared" si="69"/>
        <v>0</v>
      </c>
      <c r="X42" s="16" t="str">
        <f t="shared" si="70"/>
        <v/>
      </c>
      <c r="Y42" s="16" t="str">
        <f t="shared" si="71"/>
        <v/>
      </c>
      <c r="Z42" s="90">
        <f t="shared" si="72"/>
        <v>0</v>
      </c>
      <c r="AA42" s="7" t="str">
        <f t="shared" si="73"/>
        <v/>
      </c>
      <c r="AB42" s="7" t="str">
        <f>IF(OR(B42=3,B42=6,B42=9,B42=12),
IF(AND(Z42&gt;=1,W42&gt;=SUMIFS(Parâmetros!L:L,Parâmetros!F:F,F42,Parâmetros!G:G,G42,Parâmetros!I:I,'Comissões GD'!I41)),W42*0.3,""),"")</f>
        <v/>
      </c>
      <c r="AC42" s="15" t="str">
        <f t="shared" si="74"/>
        <v/>
      </c>
      <c r="AD42" s="16" t="str">
        <f t="shared" si="75"/>
        <v/>
      </c>
      <c r="AE42" s="10">
        <f t="shared" si="76"/>
        <v>0</v>
      </c>
      <c r="AF42" s="99">
        <f>SUMIFS(Metas!L:L,Metas!A:A,A42,Metas!B:B,B42,Metas!D:D,D42,Metas!H:H,H$1)</f>
        <v>0.4</v>
      </c>
      <c r="AG42" s="16" t="str">
        <f t="shared" si="77"/>
        <v/>
      </c>
      <c r="AH42" s="16" t="str">
        <f t="shared" si="78"/>
        <v/>
      </c>
      <c r="AI42" s="10">
        <f t="shared" si="79"/>
        <v>0</v>
      </c>
      <c r="AJ42" s="99">
        <f>SUMIFS(Metas!L:L,Metas!A:A,A42,Metas!B:B,B42,Metas!D:D,D42,Metas!H:H,L$1)</f>
        <v>0.6</v>
      </c>
      <c r="AK42" s="90">
        <f t="shared" si="80"/>
        <v>0</v>
      </c>
      <c r="AL42" s="16" t="str">
        <f t="shared" si="81"/>
        <v/>
      </c>
      <c r="AM42" s="102" cm="1">
        <f t="array" ref="AM42">_xlfn.LET(
_xlpm.a,A42,
_xlpm.b,B42,
_xlpm.d,D42,
_xlpm.lim,AI42,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0</v>
      </c>
      <c r="AN42" s="16">
        <f t="shared" si="82"/>
        <v>0</v>
      </c>
      <c r="AO42" s="101">
        <f t="shared" si="83"/>
        <v>0</v>
      </c>
      <c r="AP42" s="16" t="str">
        <f t="shared" si="84"/>
        <v/>
      </c>
      <c r="AQ42" s="22" t="str">
        <f t="shared" si="85"/>
        <v/>
      </c>
    </row>
    <row r="43" spans="1:43">
      <c r="A43" s="7">
        <v>2026</v>
      </c>
      <c r="B43" s="7">
        <v>4</v>
      </c>
      <c r="C43" s="7" t="str">
        <v>Nathan Alves</v>
      </c>
      <c r="D43" s="7" t="str">
        <v>nathan.alves@altoqi.com.br</v>
      </c>
      <c r="E43" s="7" t="str">
        <v>Governo</v>
      </c>
      <c r="F43" s="7" t="str">
        <v>Consultor</v>
      </c>
      <c r="G43" s="7" t="str">
        <v>marcelo.maestro@altoqi.com.br</v>
      </c>
      <c r="H43" s="15">
        <f>SUMIFS(Negócios!J:J,Negócios!A:A,A43,Negócios!B:B,B43,Negócios!P:P,D43,Negócios!AH:AH,"&lt;&gt;n")</f>
        <v>72730.080000000002</v>
      </c>
      <c r="I43" s="16">
        <f>SUMIFS(Metas!K:K,Metas!A:A,A43,Metas!B:B,B43,Metas!D:D,D43,Metas!H:H,H$1)</f>
        <v>85403.34</v>
      </c>
      <c r="J43" s="10">
        <f t="shared" si="62"/>
        <v>0.85160697462183566</v>
      </c>
      <c r="K43" s="9">
        <f>SUMIFS(Metas!L:L,Metas!A:A,A43,Metas!B:B,B43,Metas!D:D,D43,Metas!H:H,H$1)</f>
        <v>0.4</v>
      </c>
      <c r="L43" s="15">
        <f>SUMIFS(Negócios!I:I,Negócios!A:A,A43,Negócios!B:B,B43,Negócios!P:P,D43,Negócios!AH:AH,"&lt;&gt;n")</f>
        <v>117308.16</v>
      </c>
      <c r="M43" s="16">
        <f>SUMIFS(Metas!K:K,Metas!A:A,A43,Metas!B:B,B43,Metas!D:D,D43,Metas!H:H,L$1)</f>
        <v>170806.68</v>
      </c>
      <c r="N43" s="10">
        <f t="shared" si="63"/>
        <v>0.68678906468997591</v>
      </c>
      <c r="O43" s="9">
        <f>SUMIFS(Metas!L:L,Metas!A:A,A43,Metas!B:B,B43,Metas!D:D,D43,Metas!H:H,L$1)</f>
        <v>0.6</v>
      </c>
      <c r="P43" s="35">
        <f t="shared" si="64"/>
        <v>0.75271622866271981</v>
      </c>
      <c r="Q43" s="15">
        <f>MAX(_xlfn.MAXIFS(Parâmetros!O:O,Parâmetros!A:A,A43,Parâmetros!B:B,B43,Parâmetros!D:D,D43,Parâmetros!M:M,"&lt;="&amp;J43),_xlfn.MAXIFS(Parâmetros!L:L,Parâmetros!A:A,A43,Parâmetros!B:B,B43,Parâmetros!D:D,D43,Parâmetros!J:J,"&lt;="&amp;J43),SUMIFS(Parâmetros!I:I,Parâmetros!A:A,A43,Parâmetros!B:B,B43,Parâmetros!D:D,D43))</f>
        <v>7140</v>
      </c>
      <c r="R43" s="9">
        <f>MAX(_xlfn.MAXIFS(Parâmetros!Q:Q,Parâmetros!A:A,A43,Parâmetros!B:B,B43,Parâmetros!D:D,D43,Parâmetros!P:P,"&lt;="&amp;N43),_xlfn.MAXIFS(Parâmetros!S:S,Parâmetros!A:A,A43,Parâmetros!B:B,B43,Parâmetros!D:D,D43,Parâmetros!R:R,"&lt;="&amp;N43),_xlfn.MAXIFS(Parâmetros!U:U,Parâmetros!A:A,A43,Parâmetros!B:B,B43,Parâmetros!D:D,D43,Parâmetros!T:T,"&lt;="&amp;N43),1) * IF(N43 &gt;= SUMIFS(Parâmetros!G:G,Parâmetros!A:A,A43,Parâmetros!B:B,B43,Parâmetros!D:D,D43),1,0)</f>
        <v>1</v>
      </c>
      <c r="S43" s="16">
        <f t="shared" si="65"/>
        <v>7140</v>
      </c>
      <c r="T43" s="16">
        <f t="shared" si="66"/>
        <v>5374.393872651819</v>
      </c>
      <c r="U43" s="15" t="str">
        <f t="shared" si="67"/>
        <v/>
      </c>
      <c r="V43" s="16" t="str">
        <f t="shared" si="68"/>
        <v/>
      </c>
      <c r="W43" s="90">
        <f t="shared" si="69"/>
        <v>0</v>
      </c>
      <c r="X43" s="16" t="str">
        <f t="shared" si="70"/>
        <v/>
      </c>
      <c r="Y43" s="16" t="str">
        <f t="shared" si="71"/>
        <v/>
      </c>
      <c r="Z43" s="90">
        <f t="shared" si="72"/>
        <v>0</v>
      </c>
      <c r="AA43" s="7" t="str">
        <f t="shared" si="73"/>
        <v/>
      </c>
      <c r="AB43" s="7" t="str">
        <f>IF(OR(B43=3,B43=6,B43=9,B43=12),
IF(AND(Z43&gt;=1,W43&gt;=SUMIFS(Parâmetros!L:L,Parâmetros!F:F,F43,Parâmetros!G:G,G43,Parâmetros!I:I,'Comissões GD'!I42)),W43*0.3,""),"")</f>
        <v/>
      </c>
      <c r="AC43" s="15" t="str">
        <f t="shared" si="74"/>
        <v/>
      </c>
      <c r="AD43" s="16" t="str">
        <f t="shared" si="75"/>
        <v/>
      </c>
      <c r="AE43" s="10">
        <f t="shared" si="76"/>
        <v>0</v>
      </c>
      <c r="AF43" s="99">
        <f>SUMIFS(Metas!L:L,Metas!A:A,A43,Metas!B:B,B43,Metas!D:D,D43,Metas!H:H,H$1)</f>
        <v>0.4</v>
      </c>
      <c r="AG43" s="16" t="str">
        <f t="shared" si="77"/>
        <v/>
      </c>
      <c r="AH43" s="16" t="str">
        <f t="shared" si="78"/>
        <v/>
      </c>
      <c r="AI43" s="10">
        <f t="shared" si="79"/>
        <v>0</v>
      </c>
      <c r="AJ43" s="99">
        <f>SUMIFS(Metas!L:L,Metas!A:A,A43,Metas!B:B,B43,Metas!D:D,D43,Metas!H:H,L$1)</f>
        <v>0.6</v>
      </c>
      <c r="AK43" s="90">
        <f t="shared" si="80"/>
        <v>0</v>
      </c>
      <c r="AL43" s="16" t="str">
        <f t="shared" si="81"/>
        <v/>
      </c>
      <c r="AM43" s="102" cm="1">
        <f t="array" ref="AM43">_xlfn.LET(
_xlpm.a,A43,
_xlpm.b,B43,
_xlpm.d,D43,
_xlpm.lim,AI43,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0</v>
      </c>
      <c r="AN43" s="16">
        <f t="shared" si="82"/>
        <v>0</v>
      </c>
      <c r="AO43" s="101">
        <f t="shared" si="83"/>
        <v>0</v>
      </c>
      <c r="AP43" s="16" t="str">
        <f t="shared" si="84"/>
        <v/>
      </c>
      <c r="AQ43" s="22" t="str">
        <f t="shared" si="85"/>
        <v/>
      </c>
    </row>
    <row r="44" spans="1:43">
      <c r="A44" s="7">
        <v>2026</v>
      </c>
      <c r="B44" s="7">
        <v>4</v>
      </c>
      <c r="C44" s="7" t="str">
        <v>Soraia Fronchetti</v>
      </c>
      <c r="D44" s="7" t="str">
        <v>soraia@altoqi.com.br</v>
      </c>
      <c r="E44" s="7" t="str">
        <v>Governo</v>
      </c>
      <c r="F44" s="7" t="str">
        <v>Consultor</v>
      </c>
      <c r="G44" s="7" t="str">
        <v>marcelo.maestro@altoqi.com.br</v>
      </c>
      <c r="H44" s="15">
        <f>SUMIFS(Negócios!J:J,Negócios!A:A,A44,Negócios!B:B,B44,Negócios!P:P,D44,Negócios!AH:AH,"&lt;&gt;n")</f>
        <v>45942</v>
      </c>
      <c r="I44" s="16">
        <f>SUMIFS(Metas!K:K,Metas!A:A,A44,Metas!B:B,B44,Metas!D:D,D44,Metas!H:H,H$1)</f>
        <v>50000</v>
      </c>
      <c r="J44" s="10">
        <f t="shared" si="62"/>
        <v>0.91883999999999999</v>
      </c>
      <c r="K44" s="9">
        <f>SUMIFS(Metas!L:L,Metas!A:A,A44,Metas!B:B,B44,Metas!D:D,D44,Metas!H:H,H$1)</f>
        <v>0.4</v>
      </c>
      <c r="L44" s="15">
        <f>SUMIFS(Negócios!I:I,Negócios!A:A,A44,Negócios!B:B,B44,Negócios!P:P,D44,Negócios!AH:AH,"&lt;&gt;n")</f>
        <v>312174</v>
      </c>
      <c r="M44" s="16">
        <f>SUMIFS(Metas!K:K,Metas!A:A,A44,Metas!B:B,B44,Metas!D:D,D44,Metas!H:H,L$1)</f>
        <v>100000</v>
      </c>
      <c r="N44" s="10">
        <f t="shared" si="63"/>
        <v>3.12174</v>
      </c>
      <c r="O44" s="9">
        <f>SUMIFS(Metas!L:L,Metas!A:A,A44,Metas!B:B,B44,Metas!D:D,D44,Metas!H:H,L$1)</f>
        <v>0.6</v>
      </c>
      <c r="P44" s="35">
        <f t="shared" si="64"/>
        <v>2.24058</v>
      </c>
      <c r="Q44" s="15">
        <f>MAX(_xlfn.MAXIFS(Parâmetros!O:O,Parâmetros!A:A,A44,Parâmetros!B:B,B44,Parâmetros!D:D,D44,Parâmetros!M:M,"&lt;="&amp;J44),_xlfn.MAXIFS(Parâmetros!L:L,Parâmetros!A:A,A44,Parâmetros!B:B,B44,Parâmetros!D:D,D44,Parâmetros!J:J,"&lt;="&amp;J44),SUMIFS(Parâmetros!I:I,Parâmetros!A:A,A44,Parâmetros!B:B,B44,Parâmetros!D:D,D44))</f>
        <v>9660</v>
      </c>
      <c r="R44" s="9">
        <f>MAX(_xlfn.MAXIFS(Parâmetros!Q:Q,Parâmetros!A:A,A44,Parâmetros!B:B,B44,Parâmetros!D:D,D44,Parâmetros!P:P,"&lt;="&amp;N44),_xlfn.MAXIFS(Parâmetros!S:S,Parâmetros!A:A,A44,Parâmetros!B:B,B44,Parâmetros!D:D,D44,Parâmetros!R:R,"&lt;="&amp;N44),_xlfn.MAXIFS(Parâmetros!U:U,Parâmetros!A:A,A44,Parâmetros!B:B,B44,Parâmetros!D:D,D44,Parâmetros!T:T,"&lt;="&amp;N44),1) * IF(N44 &gt;= SUMIFS(Parâmetros!G:G,Parâmetros!A:A,A44,Parâmetros!B:B,B44,Parâmetros!D:D,D44),1,0)</f>
        <v>1.25</v>
      </c>
      <c r="S44" s="16">
        <f t="shared" si="65"/>
        <v>12075</v>
      </c>
      <c r="T44" s="16">
        <f t="shared" si="66"/>
        <v>27055.003499999999</v>
      </c>
      <c r="U44" s="15" t="str">
        <f t="shared" si="67"/>
        <v/>
      </c>
      <c r="V44" s="16" t="str">
        <f t="shared" si="68"/>
        <v/>
      </c>
      <c r="W44" s="90">
        <f t="shared" si="69"/>
        <v>0</v>
      </c>
      <c r="X44" s="16" t="str">
        <f t="shared" si="70"/>
        <v/>
      </c>
      <c r="Y44" s="16" t="str">
        <f t="shared" si="71"/>
        <v/>
      </c>
      <c r="Z44" s="90">
        <f t="shared" si="72"/>
        <v>0</v>
      </c>
      <c r="AA44" s="7" t="str">
        <f t="shared" si="73"/>
        <v/>
      </c>
      <c r="AB44" s="7" t="str">
        <f>IF(OR(B44=3,B44=6,B44=9,B44=12),
IF(AND(Z44&gt;=1,W44&gt;=SUMIFS(Parâmetros!L:L,Parâmetros!F:F,F44,Parâmetros!G:G,G44,Parâmetros!I:I,'Comissões GD'!I43)),W44*0.3,""),"")</f>
        <v/>
      </c>
      <c r="AC44" s="15" t="str">
        <f t="shared" si="74"/>
        <v/>
      </c>
      <c r="AD44" s="16" t="str">
        <f t="shared" si="75"/>
        <v/>
      </c>
      <c r="AE44" s="10">
        <f t="shared" si="76"/>
        <v>0</v>
      </c>
      <c r="AF44" s="99">
        <f>SUMIFS(Metas!L:L,Metas!A:A,A44,Metas!B:B,B44,Metas!D:D,D44,Metas!H:H,H$1)</f>
        <v>0.4</v>
      </c>
      <c r="AG44" s="16" t="str">
        <f t="shared" si="77"/>
        <v/>
      </c>
      <c r="AH44" s="16" t="str">
        <f t="shared" si="78"/>
        <v/>
      </c>
      <c r="AI44" s="10">
        <f t="shared" si="79"/>
        <v>0</v>
      </c>
      <c r="AJ44" s="99">
        <f>SUMIFS(Metas!L:L,Metas!A:A,A44,Metas!B:B,B44,Metas!D:D,D44,Metas!H:H,L$1)</f>
        <v>0.6</v>
      </c>
      <c r="AK44" s="90">
        <f t="shared" si="80"/>
        <v>0</v>
      </c>
      <c r="AL44" s="16" t="str">
        <f t="shared" si="81"/>
        <v/>
      </c>
      <c r="AM44" s="102" cm="1">
        <f t="array" ref="AM44">_xlfn.LET(
_xlpm.a,A44,
_xlpm.b,B44,
_xlpm.d,D44,
_xlpm.lim,AI44,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0</v>
      </c>
      <c r="AN44" s="16">
        <f t="shared" si="82"/>
        <v>0</v>
      </c>
      <c r="AO44" s="101">
        <f t="shared" si="83"/>
        <v>0</v>
      </c>
      <c r="AP44" s="16" t="str">
        <f t="shared" si="84"/>
        <v/>
      </c>
      <c r="AQ44" s="22" t="str">
        <f t="shared" si="85"/>
        <v/>
      </c>
    </row>
    <row r="45" spans="1:43">
      <c r="A45" s="7">
        <v>2026</v>
      </c>
      <c r="B45" s="7">
        <v>4</v>
      </c>
      <c r="C45" s="7" t="str">
        <v>Tabata Couto</v>
      </c>
      <c r="D45" s="7" t="str">
        <v>tabata.couto@altoqi.com.br</v>
      </c>
      <c r="E45" s="7" t="str">
        <v>Governo</v>
      </c>
      <c r="F45" s="7" t="str">
        <v>Consultor</v>
      </c>
      <c r="G45" s="7" t="str">
        <v>marcelo.maestro@altoqi.com.br</v>
      </c>
      <c r="H45" s="15">
        <f>SUMIFS(Negócios!J:J,Negócios!A:A,A45,Negócios!B:B,B45,Negócios!P:P,D45,Negócios!AH:AH,"&lt;&gt;n")</f>
        <v>45588</v>
      </c>
      <c r="I45" s="16">
        <f>SUMIFS(Metas!K:K,Metas!A:A,A45,Metas!B:B,B45,Metas!D:D,D45,Metas!H:H,H$1)</f>
        <v>68389.11</v>
      </c>
      <c r="J45" s="10">
        <f t="shared" si="62"/>
        <v>0.66659735738628567</v>
      </c>
      <c r="K45" s="9">
        <f>SUMIFS(Metas!L:L,Metas!A:A,A45,Metas!B:B,B45,Metas!D:D,D45,Metas!H:H,H$1)</f>
        <v>0.4</v>
      </c>
      <c r="L45" s="15">
        <f>SUMIFS(Negócios!I:I,Negócios!A:A,A45,Negócios!B:B,B45,Negócios!P:P,D45,Negócios!AH:AH,"&lt;&gt;n")</f>
        <v>191028</v>
      </c>
      <c r="M45" s="16">
        <f>SUMIFS(Metas!K:K,Metas!A:A,A45,Metas!B:B,B45,Metas!D:D,D45,Metas!H:H,L$1)</f>
        <v>136778.21</v>
      </c>
      <c r="N45" s="10">
        <f t="shared" si="63"/>
        <v>1.39662596841997</v>
      </c>
      <c r="O45" s="9">
        <f>SUMIFS(Metas!L:L,Metas!A:A,A45,Metas!B:B,B45,Metas!D:D,D45,Metas!H:H,L$1)</f>
        <v>0.6</v>
      </c>
      <c r="P45" s="35">
        <f t="shared" si="64"/>
        <v>1.1046145240064962</v>
      </c>
      <c r="Q45" s="15">
        <f>MAX(_xlfn.MAXIFS(Parâmetros!O:O,Parâmetros!A:A,A45,Parâmetros!B:B,B45,Parâmetros!D:D,D45,Parâmetros!M:M,"&lt;="&amp;J45),_xlfn.MAXIFS(Parâmetros!L:L,Parâmetros!A:A,A45,Parâmetros!B:B,B45,Parâmetros!D:D,D45,Parâmetros!J:J,"&lt;="&amp;J45),SUMIFS(Parâmetros!I:I,Parâmetros!A:A,A45,Parâmetros!B:B,B45,Parâmetros!D:D,D45))</f>
        <v>5880</v>
      </c>
      <c r="R45" s="9">
        <f>MAX(_xlfn.MAXIFS(Parâmetros!Q:Q,Parâmetros!A:A,A45,Parâmetros!B:B,B45,Parâmetros!D:D,D45,Parâmetros!P:P,"&lt;="&amp;N45),_xlfn.MAXIFS(Parâmetros!S:S,Parâmetros!A:A,A45,Parâmetros!B:B,B45,Parâmetros!D:D,D45,Parâmetros!R:R,"&lt;="&amp;N45),_xlfn.MAXIFS(Parâmetros!U:U,Parâmetros!A:A,A45,Parâmetros!B:B,B45,Parâmetros!D:D,D45,Parâmetros!T:T,"&lt;="&amp;N45),1) * IF(N45 &gt;= SUMIFS(Parâmetros!G:G,Parâmetros!A:A,A45,Parâmetros!B:B,B45,Parâmetros!D:D,D45),1,0)</f>
        <v>1.25</v>
      </c>
      <c r="S45" s="16">
        <f t="shared" si="65"/>
        <v>7350</v>
      </c>
      <c r="T45" s="16">
        <f t="shared" si="66"/>
        <v>8118.9167514477467</v>
      </c>
      <c r="U45" s="15" t="str">
        <f t="shared" si="67"/>
        <v/>
      </c>
      <c r="V45" s="16" t="str">
        <f t="shared" si="68"/>
        <v/>
      </c>
      <c r="W45" s="90">
        <f t="shared" si="69"/>
        <v>0</v>
      </c>
      <c r="X45" s="16" t="str">
        <f t="shared" si="70"/>
        <v/>
      </c>
      <c r="Y45" s="16" t="str">
        <f t="shared" si="71"/>
        <v/>
      </c>
      <c r="Z45" s="90">
        <f t="shared" si="72"/>
        <v>0</v>
      </c>
      <c r="AA45" s="7" t="str">
        <f t="shared" si="73"/>
        <v/>
      </c>
      <c r="AB45" s="7" t="str">
        <f>IF(OR(B45=3,B45=6,B45=9,B45=12),
IF(AND(Z45&gt;=1,W45&gt;=SUMIFS(Parâmetros!L:L,Parâmetros!F:F,F45,Parâmetros!G:G,G45,Parâmetros!I:I,'Comissões GD'!I44)),W45*0.3,""),"")</f>
        <v/>
      </c>
      <c r="AC45" s="15" t="str">
        <f t="shared" si="74"/>
        <v/>
      </c>
      <c r="AD45" s="16" t="str">
        <f t="shared" si="75"/>
        <v/>
      </c>
      <c r="AE45" s="10">
        <f t="shared" si="76"/>
        <v>0</v>
      </c>
      <c r="AF45" s="99">
        <f>SUMIFS(Metas!L:L,Metas!A:A,A45,Metas!B:B,B45,Metas!D:D,D45,Metas!H:H,H$1)</f>
        <v>0.4</v>
      </c>
      <c r="AG45" s="16" t="str">
        <f t="shared" si="77"/>
        <v/>
      </c>
      <c r="AH45" s="16" t="str">
        <f t="shared" si="78"/>
        <v/>
      </c>
      <c r="AI45" s="10">
        <f t="shared" si="79"/>
        <v>0</v>
      </c>
      <c r="AJ45" s="99">
        <f>SUMIFS(Metas!L:L,Metas!A:A,A45,Metas!B:B,B45,Metas!D:D,D45,Metas!H:H,L$1)</f>
        <v>0.6</v>
      </c>
      <c r="AK45" s="90">
        <f t="shared" si="80"/>
        <v>0</v>
      </c>
      <c r="AL45" s="16" t="str">
        <f t="shared" si="81"/>
        <v/>
      </c>
      <c r="AM45" s="102" cm="1">
        <f t="array" ref="AM45">_xlfn.LET(
_xlpm.a,A45,
_xlpm.b,B45,
_xlpm.d,D45,
_xlpm.lim,AI45,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0</v>
      </c>
      <c r="AN45" s="16">
        <f t="shared" si="82"/>
        <v>0</v>
      </c>
      <c r="AO45" s="101">
        <f t="shared" si="83"/>
        <v>0</v>
      </c>
      <c r="AP45" s="16" t="str">
        <f t="shared" si="84"/>
        <v/>
      </c>
      <c r="AQ45" s="22" t="str">
        <f t="shared" si="85"/>
        <v/>
      </c>
    </row>
    <row r="46" spans="1:43">
      <c r="A46" s="7">
        <v>2026</v>
      </c>
      <c r="B46" s="7">
        <v>5</v>
      </c>
      <c r="C46" s="7" t="str">
        <v>Angélica da Silva Steinbach</v>
      </c>
      <c r="D46" s="7" t="str">
        <v>angelica.steinbach@altoqi.com.br</v>
      </c>
      <c r="E46" s="7" t="str">
        <v>Governo</v>
      </c>
      <c r="F46" s="7" t="str">
        <v>Consultor</v>
      </c>
      <c r="G46" s="7" t="str">
        <v>marcelo.maestro@altoqi.com.br</v>
      </c>
      <c r="H46" s="15">
        <f>SUMIFS(Negócios!J:J,Negócios!A:A,A46,Negócios!B:B,B46,Negócios!P:P,D46,Negócios!AH:AH,"&lt;&gt;n")</f>
        <v>114540</v>
      </c>
      <c r="I46" s="16">
        <f>SUMIFS(Metas!K:K,Metas!A:A,A46,Metas!B:B,B46,Metas!D:D,D46,Metas!H:H,H$1)</f>
        <v>146708</v>
      </c>
      <c r="J46" s="10">
        <f t="shared" ref="J46:J56" si="86">IFERROR(H46/I46,0)</f>
        <v>0.78073452027155987</v>
      </c>
      <c r="K46" s="9">
        <f>SUMIFS(Metas!L:L,Metas!A:A,A46,Metas!B:B,B46,Metas!D:D,D46,Metas!H:H,H$1)</f>
        <v>0.4</v>
      </c>
      <c r="L46" s="15">
        <f>SUMIFS(Negócios!I:I,Negócios!A:A,A46,Negócios!B:B,B46,Negócios!P:P,D46,Negócios!AH:AH,"&lt;&gt;n")</f>
        <v>236580</v>
      </c>
      <c r="M46" s="16">
        <f>SUMIFS(Metas!K:K,Metas!A:A,A46,Metas!B:B,B46,Metas!D:D,D46,Metas!H:H,L$1)</f>
        <v>293416</v>
      </c>
      <c r="N46" s="10">
        <f t="shared" ref="N46:N56" si="87">IFERROR(L46/M46,0)</f>
        <v>0.80629549854132021</v>
      </c>
      <c r="O46" s="9">
        <f>SUMIFS(Metas!L:L,Metas!A:A,A46,Metas!B:B,B46,Metas!D:D,D46,Metas!H:H,L$1)</f>
        <v>0.6</v>
      </c>
      <c r="P46" s="35">
        <f t="shared" ref="P46:P56" si="88">(J46*K46)+(N46*O46)</f>
        <v>0.79607110723341612</v>
      </c>
      <c r="Q46" s="15">
        <f>MAX(_xlfn.MAXIFS(Parâmetros!O:O,Parâmetros!A:A,A46,Parâmetros!B:B,B46,Parâmetros!D:D,D46,Parâmetros!M:M,"&lt;="&amp;J46),_xlfn.MAXIFS(Parâmetros!L:L,Parâmetros!A:A,A46,Parâmetros!B:B,B46,Parâmetros!D:D,D46,Parâmetros!J:J,"&lt;="&amp;J46),SUMIFS(Parâmetros!I:I,Parâmetros!A:A,A46,Parâmetros!B:B,B46,Parâmetros!D:D,D46))</f>
        <v>8400</v>
      </c>
      <c r="R46" s="9">
        <f>MAX(_xlfn.MAXIFS(Parâmetros!Q:Q,Parâmetros!A:A,A46,Parâmetros!B:B,B46,Parâmetros!D:D,D46,Parâmetros!P:P,"&lt;="&amp;N46),_xlfn.MAXIFS(Parâmetros!S:S,Parâmetros!A:A,A46,Parâmetros!B:B,B46,Parâmetros!D:D,D46,Parâmetros!R:R,"&lt;="&amp;N46),_xlfn.MAXIFS(Parâmetros!U:U,Parâmetros!A:A,A46,Parâmetros!B:B,B46,Parâmetros!D:D,D46,Parâmetros!T:T,"&lt;="&amp;N46),1) * IF(N46 &gt;= SUMIFS(Parâmetros!G:G,Parâmetros!A:A,A46,Parâmetros!B:B,B46,Parâmetros!D:D,D46),1,0)</f>
        <v>1.1499999999999999</v>
      </c>
      <c r="S46" s="16">
        <f t="shared" ref="S46:S56" si="89">Q46*R46</f>
        <v>9660</v>
      </c>
      <c r="T46" s="16">
        <f t="shared" ref="T46:T56" si="90">S46*P46</f>
        <v>7690.0468958747997</v>
      </c>
      <c r="U46" s="15" t="str">
        <f t="shared" ref="U46:U56" si="91">IF(OR(B46=3,B46=6,B46=9,B46=12),
SUMIFS($L:$L,$A:$A,$A46,$B:$B,"&gt;="&amp;(B46-2),$B:$B,"&lt;="&amp;B46,$D:$D,$D46),
"")</f>
        <v/>
      </c>
      <c r="V46" s="16" t="str">
        <f t="shared" ref="V46:V56" si="92">IF(OR(B46=3,B46=6,B46=9,B46=12),
SUMIFS($M:$M,$A:$A,$A46,$B:$B,"&gt;="&amp;(B46-2),$B:$B,"&lt;="&amp;B46,$D:$D,$D46),
"")</f>
        <v/>
      </c>
      <c r="W46" s="90">
        <f t="shared" ref="W46:W56" si="93">IFERROR(U46/V46,0)</f>
        <v>0</v>
      </c>
      <c r="X46" s="16" t="str">
        <f t="shared" ref="X46:X56" si="94">IF(F46="Gestor","",
IF(OR(B46=3,B46=6,B46=9,B46=12),
SUMIFS($L:$L,$A:$A,$A46,$B:$B,"&gt;="&amp;(B46-2),$B:$B,"&lt;="&amp;B46,$E:$E,$E46,$F:$F,"&lt;&gt;Gestor"),
""))</f>
        <v/>
      </c>
      <c r="Y46" s="16" t="str">
        <f t="shared" ref="Y46:Y56" si="95">IF(F46="Gestor","",
IF(OR(B46=3,B46=6,B46=9,B46=12),
SUMIFS($M:$M,$A:$A,$A46,$B:$B,"&gt;="&amp;(B46-2),$B:$B,"&lt;="&amp;B46,$E:$E,$E46,$F:$F,"&lt;&gt;Gestor"),
""))</f>
        <v/>
      </c>
      <c r="Z46" s="90">
        <f t="shared" ref="Z46:Z56" si="96">IFERROR(X46/Y46,0)</f>
        <v>0</v>
      </c>
      <c r="AA46" s="7" t="str">
        <f t="shared" ref="AA46:AA56" si="97">IF(OR(B46=3,B46=6,B46=9,B46=12),
IF(W46&gt;=1,W46*0.3,""),"")</f>
        <v/>
      </c>
      <c r="AB46" s="7" t="str">
        <f>IF(OR(B46=3,B46=6,B46=9,B46=12),
IF(AND(Z46&gt;=1,W46&gt;=SUMIFS(Parâmetros!L:L,Parâmetros!F:F,F46,Parâmetros!G:G,G46,Parâmetros!I:I,'Comissões GD'!I45)),W46*0.3,""),"")</f>
        <v/>
      </c>
      <c r="AC46" s="15" t="str">
        <f t="shared" ref="AC46:AC56" si="98">IF(OR(B46=3,B46=6,B46=9,B46=12),
SUMIFS($H:$H,$A:$A,$A46,$B:$B,"&gt;="&amp;(B46-2),$B:$B,"&lt;="&amp;B46,$D:$D,$D46),
"")</f>
        <v/>
      </c>
      <c r="AD46" s="16" t="str">
        <f t="shared" ref="AD46:AD56" si="99">IF(OR(B46=3,B46=6,B46=9,B46=12),
SUMIFS($I:$I,$A:$A,$A46,$B:$B,"&gt;="&amp;(B46-2),$B:$B,"&lt;="&amp;B46,$D:$D,$D46),
"")</f>
        <v/>
      </c>
      <c r="AE46" s="10">
        <f t="shared" ref="AE46:AE56" si="100">IFERROR(AC46/AD46,0)</f>
        <v>0</v>
      </c>
      <c r="AF46" s="99">
        <f>SUMIFS(Metas!L:L,Metas!A:A,A46,Metas!B:B,B46,Metas!D:D,D46,Metas!H:H,H$1)</f>
        <v>0.4</v>
      </c>
      <c r="AG46" s="16" t="str">
        <f t="shared" ref="AG46:AG56" si="101">IF(OR(B46=3,B46=6,B46=9,B46=12),
SUMIFS($L:$L,$A:$A,$A46,$B:$B,"&gt;="&amp;(B46-2),$B:$B,"&lt;="&amp;B46,$D:$D,$D46),
"")</f>
        <v/>
      </c>
      <c r="AH46" s="16" t="str">
        <f t="shared" ref="AH46:AH56" si="102">IF(OR(B46=3,B46=6,B46=9,B46=12),
SUMIFS($M:$M,$A:$A,$A46,$B:$B,"&gt;="&amp;(B46-2),$B:$B,"&lt;="&amp;B46,$D:$D,$D46),
"")</f>
        <v/>
      </c>
      <c r="AI46" s="10">
        <f t="shared" ref="AI46:AI56" si="103">IFERROR(AG46/AH46,0)</f>
        <v>0</v>
      </c>
      <c r="AJ46" s="99">
        <f>SUMIFS(Metas!L:L,Metas!A:A,A46,Metas!B:B,B46,Metas!D:D,D46,Metas!H:H,L$1)</f>
        <v>0.6</v>
      </c>
      <c r="AK46" s="90">
        <f t="shared" ref="AK46:AK56" si="104">(AE46*AF46)+(AI46*AJ46)</f>
        <v>0</v>
      </c>
      <c r="AL46" s="16" t="str">
        <f t="shared" ref="AL46:AL56" si="105">IF(OR(B46=3,B46=6,B46=9,B46=12),
SUMIFS($Q:$Q,$A:$A,$A46,$B:$B,"&gt;="&amp;(B46-2),$B:$B,"&lt;="&amp;B46,$D:$D,$D46),
"")</f>
        <v/>
      </c>
      <c r="AM46" s="102" cm="1">
        <f t="array" ref="AM46">_xlfn.LET(
_xlpm.a,A46,
_xlpm.b,B46,
_xlpm.d,D46,
_xlpm.lim,AI46,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0</v>
      </c>
      <c r="AN46" s="16">
        <f t="shared" ref="AN46:AN56" si="106">IFERROR(AL46*AM46,0)</f>
        <v>0</v>
      </c>
      <c r="AO46" s="101">
        <f t="shared" ref="AO46:AO56" si="107">AN46*AK46</f>
        <v>0</v>
      </c>
      <c r="AP46" s="16" t="str">
        <f t="shared" ref="AP46:AP56" si="108">IF(OR(B46=3,B46=6,B46=9,B46=12),
SUMIFS($T:$T,$A:$A,$A46,$B:$B,"&gt;="&amp;(B46-2),$B:$B,"&lt;="&amp;B46,$D:$D,$D46),
"")</f>
        <v/>
      </c>
      <c r="AQ46" s="22" t="str">
        <f t="shared" ref="AQ46:AQ56" si="109">IF(AO46&gt;AP46,AO46-AP46,"")</f>
        <v/>
      </c>
    </row>
    <row r="47" spans="1:43">
      <c r="A47" s="7">
        <v>2026</v>
      </c>
      <c r="B47" s="7">
        <v>5</v>
      </c>
      <c r="C47" s="7" t="str">
        <v>Carla Araujo</v>
      </c>
      <c r="D47" s="7" t="str">
        <v>carla.araujo@altoqi.com.br</v>
      </c>
      <c r="E47" s="7" t="str">
        <v>Governo</v>
      </c>
      <c r="F47" s="7" t="str">
        <v>Consultor</v>
      </c>
      <c r="G47" s="7" t="str">
        <v>marcelo.maestro@altoqi.com.br</v>
      </c>
      <c r="H47" s="15">
        <f>SUMIFS(Negócios!J:J,Negócios!A:A,A47,Negócios!B:B,B47,Negócios!P:P,D47,Negócios!AH:AH,"&lt;&gt;n")</f>
        <v>67953.599999999991</v>
      </c>
      <c r="I47" s="16">
        <f>SUMIFS(Metas!K:K,Metas!A:A,A47,Metas!B:B,B47,Metas!D:D,D47,Metas!H:H,H$1)</f>
        <v>106602</v>
      </c>
      <c r="J47" s="10">
        <f t="shared" si="86"/>
        <v>0.63745145494456001</v>
      </c>
      <c r="K47" s="9">
        <f>SUMIFS(Metas!L:L,Metas!A:A,A47,Metas!B:B,B47,Metas!D:D,D47,Metas!H:H,H$1)</f>
        <v>0.4</v>
      </c>
      <c r="L47" s="15">
        <f>SUMIFS(Negócios!I:I,Negócios!A:A,A47,Negócios!B:B,B47,Negócios!P:P,D47,Negócios!AH:AH,"&lt;&gt;n")</f>
        <v>219963.6</v>
      </c>
      <c r="M47" s="16">
        <f>SUMIFS(Metas!K:K,Metas!A:A,A47,Metas!B:B,B47,Metas!D:D,D47,Metas!H:H,L$1)</f>
        <v>213204</v>
      </c>
      <c r="N47" s="10">
        <f t="shared" si="87"/>
        <v>1.0317048460629257</v>
      </c>
      <c r="O47" s="9">
        <f>SUMIFS(Metas!L:L,Metas!A:A,A47,Metas!B:B,B47,Metas!D:D,D47,Metas!H:H,L$1)</f>
        <v>0.6</v>
      </c>
      <c r="P47" s="35">
        <f t="shared" si="88"/>
        <v>0.87400348961557939</v>
      </c>
      <c r="Q47" s="15">
        <f>MAX(_xlfn.MAXIFS(Parâmetros!O:O,Parâmetros!A:A,A47,Parâmetros!B:B,B47,Parâmetros!D:D,D47,Parâmetros!M:M,"&lt;="&amp;J47),_xlfn.MAXIFS(Parâmetros!L:L,Parâmetros!A:A,A47,Parâmetros!B:B,B47,Parâmetros!D:D,D47,Parâmetros!J:J,"&lt;="&amp;J47),SUMIFS(Parâmetros!I:I,Parâmetros!A:A,A47,Parâmetros!B:B,B47,Parâmetros!D:D,D47))</f>
        <v>7140</v>
      </c>
      <c r="R47" s="9">
        <f>MAX(_xlfn.MAXIFS(Parâmetros!Q:Q,Parâmetros!A:A,A47,Parâmetros!B:B,B47,Parâmetros!D:D,D47,Parâmetros!P:P,"&lt;="&amp;N47),_xlfn.MAXIFS(Parâmetros!S:S,Parâmetros!A:A,A47,Parâmetros!B:B,B47,Parâmetros!D:D,D47,Parâmetros!R:R,"&lt;="&amp;N47),_xlfn.MAXIFS(Parâmetros!U:U,Parâmetros!A:A,A47,Parâmetros!B:B,B47,Parâmetros!D:D,D47,Parâmetros!T:T,"&lt;="&amp;N47),1) * IF(N47 &gt;= SUMIFS(Parâmetros!G:G,Parâmetros!A:A,A47,Parâmetros!B:B,B47,Parâmetros!D:D,D47),1,0)</f>
        <v>1.25</v>
      </c>
      <c r="S47" s="16">
        <f t="shared" si="89"/>
        <v>8925</v>
      </c>
      <c r="T47" s="16">
        <f t="shared" si="90"/>
        <v>7800.4811448190458</v>
      </c>
      <c r="U47" s="15" t="str">
        <f t="shared" si="91"/>
        <v/>
      </c>
      <c r="V47" s="16" t="str">
        <f t="shared" si="92"/>
        <v/>
      </c>
      <c r="W47" s="90">
        <f t="shared" si="93"/>
        <v>0</v>
      </c>
      <c r="X47" s="16" t="str">
        <f t="shared" si="94"/>
        <v/>
      </c>
      <c r="Y47" s="16" t="str">
        <f t="shared" si="95"/>
        <v/>
      </c>
      <c r="Z47" s="90">
        <f t="shared" si="96"/>
        <v>0</v>
      </c>
      <c r="AA47" s="7" t="str">
        <f t="shared" si="97"/>
        <v/>
      </c>
      <c r="AB47" s="7" t="str">
        <f>IF(OR(B47=3,B47=6,B47=9,B47=12),
IF(AND(Z47&gt;=1,W47&gt;=SUMIFS(Parâmetros!L:L,Parâmetros!F:F,F47,Parâmetros!G:G,G47,Parâmetros!I:I,'Comissões GD'!I46)),W47*0.3,""),"")</f>
        <v/>
      </c>
      <c r="AC47" s="15" t="str">
        <f t="shared" si="98"/>
        <v/>
      </c>
      <c r="AD47" s="16" t="str">
        <f t="shared" si="99"/>
        <v/>
      </c>
      <c r="AE47" s="10">
        <f t="shared" si="100"/>
        <v>0</v>
      </c>
      <c r="AF47" s="99">
        <f>SUMIFS(Metas!L:L,Metas!A:A,A47,Metas!B:B,B47,Metas!D:D,D47,Metas!H:H,H$1)</f>
        <v>0.4</v>
      </c>
      <c r="AG47" s="16" t="str">
        <f t="shared" si="101"/>
        <v/>
      </c>
      <c r="AH47" s="16" t="str">
        <f t="shared" si="102"/>
        <v/>
      </c>
      <c r="AI47" s="10">
        <f t="shared" si="103"/>
        <v>0</v>
      </c>
      <c r="AJ47" s="99">
        <f>SUMIFS(Metas!L:L,Metas!A:A,A47,Metas!B:B,B47,Metas!D:D,D47,Metas!H:H,L$1)</f>
        <v>0.6</v>
      </c>
      <c r="AK47" s="90">
        <f t="shared" si="104"/>
        <v>0</v>
      </c>
      <c r="AL47" s="16" t="str">
        <f t="shared" si="105"/>
        <v/>
      </c>
      <c r="AM47" s="102" cm="1">
        <f t="array" ref="AM47">_xlfn.LET(
_xlpm.a,A47,
_xlpm.b,B47,
_xlpm.d,D47,
_xlpm.lim,AI47,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0</v>
      </c>
      <c r="AN47" s="16">
        <f t="shared" si="106"/>
        <v>0</v>
      </c>
      <c r="AO47" s="101">
        <f t="shared" si="107"/>
        <v>0</v>
      </c>
      <c r="AP47" s="16" t="str">
        <f t="shared" si="108"/>
        <v/>
      </c>
      <c r="AQ47" s="22" t="str">
        <f t="shared" si="109"/>
        <v/>
      </c>
    </row>
    <row r="48" spans="1:43">
      <c r="A48" s="7">
        <v>2026</v>
      </c>
      <c r="B48" s="7">
        <v>5</v>
      </c>
      <c r="C48" s="7" t="str">
        <v>Deize Marla Rudek</v>
      </c>
      <c r="D48" s="7" t="str">
        <v>deize.rudek@altoqi.com.br</v>
      </c>
      <c r="E48" s="7" t="str">
        <v>Governo</v>
      </c>
      <c r="F48" s="7" t="str">
        <v>Consultor</v>
      </c>
      <c r="G48" s="7" t="str">
        <v>marcelo.maestro@altoqi.com.br</v>
      </c>
      <c r="H48" s="15">
        <f>SUMIFS(Negócios!J:J,Negócios!A:A,A48,Negócios!B:B,B48,Negócios!P:P,D48,Negócios!AH:AH,"&lt;&gt;n")</f>
        <v>24896</v>
      </c>
      <c r="I48" s="16">
        <f>SUMIFS(Metas!K:K,Metas!A:A,A48,Metas!B:B,B48,Metas!D:D,D48,Metas!H:H,H$1)</f>
        <v>119314.16499999999</v>
      </c>
      <c r="J48" s="10">
        <f t="shared" si="86"/>
        <v>0.20865921493898065</v>
      </c>
      <c r="K48" s="9">
        <f>SUMIFS(Metas!L:L,Metas!A:A,A48,Metas!B:B,B48,Metas!D:D,D48,Metas!H:H,H$1)</f>
        <v>0.4</v>
      </c>
      <c r="L48" s="15">
        <f>SUMIFS(Negócios!I:I,Negócios!A:A,A48,Negócios!B:B,B48,Negócios!P:P,D48,Negócios!AH:AH,"&lt;&gt;n")</f>
        <v>50144</v>
      </c>
      <c r="M48" s="16">
        <f>SUMIFS(Metas!K:K,Metas!A:A,A48,Metas!B:B,B48,Metas!D:D,D48,Metas!H:H,L$1)</f>
        <v>238628.33</v>
      </c>
      <c r="N48" s="10">
        <f t="shared" si="87"/>
        <v>0.21013431221682691</v>
      </c>
      <c r="O48" s="9">
        <f>SUMIFS(Metas!L:L,Metas!A:A,A48,Metas!B:B,B48,Metas!D:D,D48,Metas!H:H,L$1)</f>
        <v>0.6</v>
      </c>
      <c r="P48" s="35">
        <f t="shared" si="88"/>
        <v>0.20954427330568842</v>
      </c>
      <c r="Q48" s="15">
        <f>MAX(_xlfn.MAXIFS(Parâmetros!O:O,Parâmetros!A:A,A48,Parâmetros!B:B,B48,Parâmetros!D:D,D48,Parâmetros!M:M,"&lt;="&amp;J48),_xlfn.MAXIFS(Parâmetros!L:L,Parâmetros!A:A,A48,Parâmetros!B:B,B48,Parâmetros!D:D,D48,Parâmetros!J:J,"&lt;="&amp;J48),SUMIFS(Parâmetros!I:I,Parâmetros!A:A,A48,Parâmetros!B:B,B48,Parâmetros!D:D,D48))</f>
        <v>7140</v>
      </c>
      <c r="R48" s="9">
        <f>MAX(_xlfn.MAXIFS(Parâmetros!Q:Q,Parâmetros!A:A,A48,Parâmetros!B:B,B48,Parâmetros!D:D,D48,Parâmetros!P:P,"&lt;="&amp;N48),_xlfn.MAXIFS(Parâmetros!S:S,Parâmetros!A:A,A48,Parâmetros!B:B,B48,Parâmetros!D:D,D48,Parâmetros!R:R,"&lt;="&amp;N48),_xlfn.MAXIFS(Parâmetros!U:U,Parâmetros!A:A,A48,Parâmetros!B:B,B48,Parâmetros!D:D,D48,Parâmetros!T:T,"&lt;="&amp;N48),1) * IF(N48 &gt;= SUMIFS(Parâmetros!G:G,Parâmetros!A:A,A48,Parâmetros!B:B,B48,Parâmetros!D:D,D48),1,0)</f>
        <v>0</v>
      </c>
      <c r="S48" s="16">
        <f t="shared" si="89"/>
        <v>0</v>
      </c>
      <c r="T48" s="16">
        <f t="shared" si="90"/>
        <v>0</v>
      </c>
      <c r="U48" s="15" t="str">
        <f t="shared" si="91"/>
        <v/>
      </c>
      <c r="V48" s="16" t="str">
        <f t="shared" si="92"/>
        <v/>
      </c>
      <c r="W48" s="90">
        <f t="shared" si="93"/>
        <v>0</v>
      </c>
      <c r="X48" s="16" t="str">
        <f t="shared" si="94"/>
        <v/>
      </c>
      <c r="Y48" s="16" t="str">
        <f t="shared" si="95"/>
        <v/>
      </c>
      <c r="Z48" s="90">
        <f t="shared" si="96"/>
        <v>0</v>
      </c>
      <c r="AA48" s="7" t="str">
        <f t="shared" si="97"/>
        <v/>
      </c>
      <c r="AB48" s="7" t="str">
        <f>IF(OR(B48=3,B48=6,B48=9,B48=12),
IF(AND(Z48&gt;=1,W48&gt;=SUMIFS(Parâmetros!L:L,Parâmetros!F:F,F48,Parâmetros!G:G,G48,Parâmetros!I:I,'Comissões GD'!I47)),W48*0.3,""),"")</f>
        <v/>
      </c>
      <c r="AC48" s="15" t="str">
        <f t="shared" si="98"/>
        <v/>
      </c>
      <c r="AD48" s="16" t="str">
        <f t="shared" si="99"/>
        <v/>
      </c>
      <c r="AE48" s="10">
        <f t="shared" si="100"/>
        <v>0</v>
      </c>
      <c r="AF48" s="99">
        <f>SUMIFS(Metas!L:L,Metas!A:A,A48,Metas!B:B,B48,Metas!D:D,D48,Metas!H:H,H$1)</f>
        <v>0.4</v>
      </c>
      <c r="AG48" s="16" t="str">
        <f t="shared" si="101"/>
        <v/>
      </c>
      <c r="AH48" s="16" t="str">
        <f t="shared" si="102"/>
        <v/>
      </c>
      <c r="AI48" s="10">
        <f t="shared" si="103"/>
        <v>0</v>
      </c>
      <c r="AJ48" s="99">
        <f>SUMIFS(Metas!L:L,Metas!A:A,A48,Metas!B:B,B48,Metas!D:D,D48,Metas!H:H,L$1)</f>
        <v>0.6</v>
      </c>
      <c r="AK48" s="90">
        <f t="shared" si="104"/>
        <v>0</v>
      </c>
      <c r="AL48" s="16" t="str">
        <f t="shared" si="105"/>
        <v/>
      </c>
      <c r="AM48" s="102" cm="1">
        <f t="array" ref="AM48">_xlfn.LET(
_xlpm.a,A48,
_xlpm.b,B48,
_xlpm.d,D48,
_xlpm.lim,AI48,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0</v>
      </c>
      <c r="AN48" s="16">
        <f t="shared" si="106"/>
        <v>0</v>
      </c>
      <c r="AO48" s="101">
        <f t="shared" si="107"/>
        <v>0</v>
      </c>
      <c r="AP48" s="16" t="str">
        <f t="shared" si="108"/>
        <v/>
      </c>
      <c r="AQ48" s="22" t="str">
        <f t="shared" si="109"/>
        <v/>
      </c>
    </row>
    <row r="49" spans="1:43">
      <c r="A49" s="7">
        <v>2026</v>
      </c>
      <c r="B49" s="7">
        <v>5</v>
      </c>
      <c r="C49" s="7" t="str">
        <v>Fernanda Cristina Barbosa</v>
      </c>
      <c r="D49" s="7" t="str">
        <v>fernanda.barbosa@altoqi.com.br</v>
      </c>
      <c r="E49" s="7" t="str">
        <v>Governo</v>
      </c>
      <c r="F49" s="7" t="str">
        <v>Consultor</v>
      </c>
      <c r="G49" s="7" t="str">
        <v>marcelo.maestro@altoqi.com.br</v>
      </c>
      <c r="H49" s="15">
        <f>SUMIFS(Negócios!J:J,Negócios!A:A,A49,Negócios!B:B,B49,Negócios!P:P,D49,Negócios!AH:AH,"&lt;&gt;n")</f>
        <v>199747.08</v>
      </c>
      <c r="I49" s="16">
        <f>SUMIFS(Metas!K:K,Metas!A:A,A49,Metas!B:B,B49,Metas!D:D,D49,Metas!H:H,H$1)</f>
        <v>119093.02499999999</v>
      </c>
      <c r="J49" s="10">
        <f t="shared" si="86"/>
        <v>1.6772357575097281</v>
      </c>
      <c r="K49" s="9">
        <f>SUMIFS(Metas!L:L,Metas!A:A,A49,Metas!B:B,B49,Metas!D:D,D49,Metas!H:H,H$1)</f>
        <v>0.4</v>
      </c>
      <c r="L49" s="15">
        <f>SUMIFS(Negócios!I:I,Negócios!A:A,A49,Negócios!B:B,B49,Negócios!P:P,D49,Negócios!AH:AH,"&lt;&gt;n")</f>
        <v>391927.08</v>
      </c>
      <c r="M49" s="16">
        <f>SUMIFS(Metas!K:K,Metas!A:A,A49,Metas!B:B,B49,Metas!D:D,D49,Metas!H:H,L$1)</f>
        <v>238186.05</v>
      </c>
      <c r="N49" s="10">
        <f t="shared" si="87"/>
        <v>1.6454661387600158</v>
      </c>
      <c r="O49" s="9">
        <f>SUMIFS(Metas!L:L,Metas!A:A,A49,Metas!B:B,B49,Metas!D:D,D49,Metas!H:H,L$1)</f>
        <v>0.6</v>
      </c>
      <c r="P49" s="35">
        <f t="shared" si="88"/>
        <v>1.6581739862599008</v>
      </c>
      <c r="Q49" s="15">
        <f>MAX(_xlfn.MAXIFS(Parâmetros!O:O,Parâmetros!A:A,A49,Parâmetros!B:B,B49,Parâmetros!D:D,D49,Parâmetros!M:M,"&lt;="&amp;J49),_xlfn.MAXIFS(Parâmetros!L:L,Parâmetros!A:A,A49,Parâmetros!B:B,B49,Parâmetros!D:D,D49,Parâmetros!J:J,"&lt;="&amp;J49),SUMIFS(Parâmetros!I:I,Parâmetros!A:A,A49,Parâmetros!B:B,B49,Parâmetros!D:D,D49))</f>
        <v>5880</v>
      </c>
      <c r="R49" s="9">
        <f>MAX(_xlfn.MAXIFS(Parâmetros!Q:Q,Parâmetros!A:A,A49,Parâmetros!B:B,B49,Parâmetros!D:D,D49,Parâmetros!P:P,"&lt;="&amp;N49),_xlfn.MAXIFS(Parâmetros!S:S,Parâmetros!A:A,A49,Parâmetros!B:B,B49,Parâmetros!D:D,D49,Parâmetros!R:R,"&lt;="&amp;N49),_xlfn.MAXIFS(Parâmetros!U:U,Parâmetros!A:A,A49,Parâmetros!B:B,B49,Parâmetros!D:D,D49,Parâmetros!T:T,"&lt;="&amp;N49),1) * IF(N49 &gt;= SUMIFS(Parâmetros!G:G,Parâmetros!A:A,A49,Parâmetros!B:B,B49,Parâmetros!D:D,D49),1,0)</f>
        <v>1.25</v>
      </c>
      <c r="S49" s="16">
        <f t="shared" si="89"/>
        <v>7350</v>
      </c>
      <c r="T49" s="16">
        <f t="shared" si="90"/>
        <v>12187.578799010271</v>
      </c>
      <c r="U49" s="15" t="str">
        <f t="shared" si="91"/>
        <v/>
      </c>
      <c r="V49" s="16" t="str">
        <f t="shared" si="92"/>
        <v/>
      </c>
      <c r="W49" s="90">
        <f t="shared" si="93"/>
        <v>0</v>
      </c>
      <c r="X49" s="16" t="str">
        <f t="shared" si="94"/>
        <v/>
      </c>
      <c r="Y49" s="16" t="str">
        <f t="shared" si="95"/>
        <v/>
      </c>
      <c r="Z49" s="90">
        <f t="shared" si="96"/>
        <v>0</v>
      </c>
      <c r="AA49" s="7" t="str">
        <f t="shared" si="97"/>
        <v/>
      </c>
      <c r="AB49" s="7" t="str">
        <f>IF(OR(B49=3,B49=6,B49=9,B49=12),
IF(AND(Z49&gt;=1,W49&gt;=SUMIFS(Parâmetros!L:L,Parâmetros!F:F,F49,Parâmetros!G:G,G49,Parâmetros!I:I,'Comissões GD'!I48)),W49*0.3,""),"")</f>
        <v/>
      </c>
      <c r="AC49" s="15" t="str">
        <f t="shared" si="98"/>
        <v/>
      </c>
      <c r="AD49" s="16" t="str">
        <f t="shared" si="99"/>
        <v/>
      </c>
      <c r="AE49" s="10">
        <f t="shared" si="100"/>
        <v>0</v>
      </c>
      <c r="AF49" s="99">
        <f>SUMIFS(Metas!L:L,Metas!A:A,A49,Metas!B:B,B49,Metas!D:D,D49,Metas!H:H,H$1)</f>
        <v>0.4</v>
      </c>
      <c r="AG49" s="16" t="str">
        <f t="shared" si="101"/>
        <v/>
      </c>
      <c r="AH49" s="16" t="str">
        <f t="shared" si="102"/>
        <v/>
      </c>
      <c r="AI49" s="10">
        <f t="shared" si="103"/>
        <v>0</v>
      </c>
      <c r="AJ49" s="99">
        <f>SUMIFS(Metas!L:L,Metas!A:A,A49,Metas!B:B,B49,Metas!D:D,D49,Metas!H:H,L$1)</f>
        <v>0.6</v>
      </c>
      <c r="AK49" s="90">
        <f t="shared" si="104"/>
        <v>0</v>
      </c>
      <c r="AL49" s="16" t="str">
        <f t="shared" si="105"/>
        <v/>
      </c>
      <c r="AM49" s="102" cm="1">
        <f t="array" ref="AM49">_xlfn.LET(
_xlpm.a,A49,
_xlpm.b,B49,
_xlpm.d,D49,
_xlpm.lim,AI49,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0</v>
      </c>
      <c r="AN49" s="16">
        <f t="shared" si="106"/>
        <v>0</v>
      </c>
      <c r="AO49" s="101">
        <f t="shared" si="107"/>
        <v>0</v>
      </c>
      <c r="AP49" s="16" t="str">
        <f t="shared" si="108"/>
        <v/>
      </c>
      <c r="AQ49" s="22" t="str">
        <f t="shared" si="109"/>
        <v/>
      </c>
    </row>
    <row r="50" spans="1:43">
      <c r="A50" s="7">
        <v>2026</v>
      </c>
      <c r="B50" s="7">
        <v>5</v>
      </c>
      <c r="C50" s="7" t="str">
        <v>Henry Carlos Petersen</v>
      </c>
      <c r="D50" s="7" t="str">
        <v>henry.petersen@altoqi.com.br</v>
      </c>
      <c r="E50" s="7" t="str">
        <v>Governo</v>
      </c>
      <c r="F50" s="7" t="str">
        <v>Consultor</v>
      </c>
      <c r="G50" s="7" t="str">
        <v>marcelo.maestro@altoqi.com.br</v>
      </c>
      <c r="H50" s="15">
        <f>SUMIFS(Negócios!J:J,Negócios!A:A,A50,Negócios!B:B,B50,Negócios!P:P,D50,Negócios!AH:AH,"&lt;&gt;n")</f>
        <v>9814.68</v>
      </c>
      <c r="I50" s="16">
        <f>SUMIFS(Metas!K:K,Metas!A:A,A50,Metas!B:B,B50,Metas!D:D,D50,Metas!H:H,H$1)</f>
        <v>255227</v>
      </c>
      <c r="J50" s="10">
        <f t="shared" si="86"/>
        <v>3.8454708945370203E-2</v>
      </c>
      <c r="K50" s="9">
        <f>SUMIFS(Metas!L:L,Metas!A:A,A50,Metas!B:B,B50,Metas!D:D,D50,Metas!H:H,H$1)</f>
        <v>0.4</v>
      </c>
      <c r="L50" s="15">
        <f>SUMIFS(Negócios!I:I,Negócios!A:A,A50,Negócios!B:B,B50,Negócios!P:P,D50,Negócios!AH:AH,"&lt;&gt;n")</f>
        <v>9814.68</v>
      </c>
      <c r="M50" s="16">
        <f>SUMIFS(Metas!K:K,Metas!A:A,A50,Metas!B:B,B50,Metas!D:D,D50,Metas!H:H,L$1)</f>
        <v>510454</v>
      </c>
      <c r="N50" s="10">
        <f t="shared" si="87"/>
        <v>1.9227354472685101E-2</v>
      </c>
      <c r="O50" s="9">
        <f>SUMIFS(Metas!L:L,Metas!A:A,A50,Metas!B:B,B50,Metas!D:D,D50,Metas!H:H,L$1)</f>
        <v>0.6</v>
      </c>
      <c r="P50" s="35">
        <f t="shared" si="88"/>
        <v>2.6918296261759143E-2</v>
      </c>
      <c r="Q50" s="15">
        <f>MAX(_xlfn.MAXIFS(Parâmetros!O:O,Parâmetros!A:A,A50,Parâmetros!B:B,B50,Parâmetros!D:D,D50,Parâmetros!M:M,"&lt;="&amp;J50),_xlfn.MAXIFS(Parâmetros!L:L,Parâmetros!A:A,A50,Parâmetros!B:B,B50,Parâmetros!D:D,D50,Parâmetros!J:J,"&lt;="&amp;J50),SUMIFS(Parâmetros!I:I,Parâmetros!A:A,A50,Parâmetros!B:B,B50,Parâmetros!D:D,D50))</f>
        <v>10500</v>
      </c>
      <c r="R50" s="9">
        <f>MAX(_xlfn.MAXIFS(Parâmetros!Q:Q,Parâmetros!A:A,A50,Parâmetros!B:B,B50,Parâmetros!D:D,D50,Parâmetros!P:P,"&lt;="&amp;N50),_xlfn.MAXIFS(Parâmetros!S:S,Parâmetros!A:A,A50,Parâmetros!B:B,B50,Parâmetros!D:D,D50,Parâmetros!R:R,"&lt;="&amp;N50),_xlfn.MAXIFS(Parâmetros!U:U,Parâmetros!A:A,A50,Parâmetros!B:B,B50,Parâmetros!D:D,D50,Parâmetros!T:T,"&lt;="&amp;N50),1) * IF(N50 &gt;= SUMIFS(Parâmetros!G:G,Parâmetros!A:A,A50,Parâmetros!B:B,B50,Parâmetros!D:D,D50),1,0)</f>
        <v>0</v>
      </c>
      <c r="S50" s="16">
        <f t="shared" si="89"/>
        <v>0</v>
      </c>
      <c r="T50" s="16">
        <f t="shared" si="90"/>
        <v>0</v>
      </c>
      <c r="U50" s="15" t="str">
        <f t="shared" si="91"/>
        <v/>
      </c>
      <c r="V50" s="16" t="str">
        <f t="shared" si="92"/>
        <v/>
      </c>
      <c r="W50" s="90">
        <f t="shared" si="93"/>
        <v>0</v>
      </c>
      <c r="X50" s="16" t="str">
        <f t="shared" si="94"/>
        <v/>
      </c>
      <c r="Y50" s="16" t="str">
        <f t="shared" si="95"/>
        <v/>
      </c>
      <c r="Z50" s="90">
        <f t="shared" si="96"/>
        <v>0</v>
      </c>
      <c r="AA50" s="7" t="str">
        <f t="shared" si="97"/>
        <v/>
      </c>
      <c r="AB50" s="7" t="str">
        <f>IF(OR(B50=3,B50=6,B50=9,B50=12),
IF(AND(Z50&gt;=1,W50&gt;=SUMIFS(Parâmetros!L:L,Parâmetros!F:F,F50,Parâmetros!G:G,G50,Parâmetros!I:I,'Comissões GD'!I49)),W50*0.3,""),"")</f>
        <v/>
      </c>
      <c r="AC50" s="15" t="str">
        <f t="shared" si="98"/>
        <v/>
      </c>
      <c r="AD50" s="16" t="str">
        <f t="shared" si="99"/>
        <v/>
      </c>
      <c r="AE50" s="10">
        <f t="shared" si="100"/>
        <v>0</v>
      </c>
      <c r="AF50" s="99">
        <f>SUMIFS(Metas!L:L,Metas!A:A,A50,Metas!B:B,B50,Metas!D:D,D50,Metas!H:H,H$1)</f>
        <v>0.4</v>
      </c>
      <c r="AG50" s="16" t="str">
        <f t="shared" si="101"/>
        <v/>
      </c>
      <c r="AH50" s="16" t="str">
        <f t="shared" si="102"/>
        <v/>
      </c>
      <c r="AI50" s="10">
        <f t="shared" si="103"/>
        <v>0</v>
      </c>
      <c r="AJ50" s="99">
        <f>SUMIFS(Metas!L:L,Metas!A:A,A50,Metas!B:B,B50,Metas!D:D,D50,Metas!H:H,L$1)</f>
        <v>0.6</v>
      </c>
      <c r="AK50" s="90">
        <f t="shared" si="104"/>
        <v>0</v>
      </c>
      <c r="AL50" s="16" t="str">
        <f t="shared" si="105"/>
        <v/>
      </c>
      <c r="AM50" s="102" cm="1">
        <f t="array" ref="AM50">_xlfn.LET(
_xlpm.a,A50,
_xlpm.b,B50,
_xlpm.d,D50,
_xlpm.lim,AI50,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0</v>
      </c>
      <c r="AN50" s="16">
        <f t="shared" si="106"/>
        <v>0</v>
      </c>
      <c r="AO50" s="101">
        <f t="shared" si="107"/>
        <v>0</v>
      </c>
      <c r="AP50" s="16" t="str">
        <f t="shared" si="108"/>
        <v/>
      </c>
      <c r="AQ50" s="22" t="str">
        <f t="shared" si="109"/>
        <v/>
      </c>
    </row>
    <row r="51" spans="1:43">
      <c r="A51" s="7">
        <v>2026</v>
      </c>
      <c r="B51" s="7">
        <v>5</v>
      </c>
      <c r="C51" s="7" t="str">
        <v>Jordayn Almeida</v>
      </c>
      <c r="D51" s="7" t="str">
        <v>jordayn.almeida@altoqi.com.br</v>
      </c>
      <c r="E51" s="7" t="str">
        <v>Governo</v>
      </c>
      <c r="F51" s="7" t="str">
        <v>Consultor</v>
      </c>
      <c r="G51" s="7" t="str">
        <v>marcelo.maestro@altoqi.com.br</v>
      </c>
      <c r="H51" s="15">
        <f>SUMIFS(Negócios!J:J,Negócios!A:A,A51,Negócios!B:B,B51,Negócios!P:P,D51,Negócios!AH:AH,"&lt;&gt;n")</f>
        <v>0</v>
      </c>
      <c r="I51" s="16">
        <f>SUMIFS(Metas!K:K,Metas!A:A,A51,Metas!B:B,B51,Metas!D:D,D51,Metas!H:H,H$1)</f>
        <v>100000</v>
      </c>
      <c r="J51" s="10">
        <f t="shared" si="86"/>
        <v>0</v>
      </c>
      <c r="K51" s="9">
        <f>SUMIFS(Metas!L:L,Metas!A:A,A51,Metas!B:B,B51,Metas!D:D,D51,Metas!H:H,H$1)</f>
        <v>0.4</v>
      </c>
      <c r="L51" s="15">
        <f>SUMIFS(Negócios!I:I,Negócios!A:A,A51,Negócios!B:B,B51,Negócios!P:P,D51,Negócios!AH:AH,"&lt;&gt;n")</f>
        <v>0</v>
      </c>
      <c r="M51" s="16">
        <f>SUMIFS(Metas!K:K,Metas!A:A,A51,Metas!B:B,B51,Metas!D:D,D51,Metas!H:H,L$1)</f>
        <v>200000</v>
      </c>
      <c r="N51" s="10">
        <f t="shared" si="87"/>
        <v>0</v>
      </c>
      <c r="O51" s="9">
        <f>SUMIFS(Metas!L:L,Metas!A:A,A51,Metas!B:B,B51,Metas!D:D,D51,Metas!H:H,L$1)</f>
        <v>0.6</v>
      </c>
      <c r="P51" s="35">
        <f t="shared" si="88"/>
        <v>0</v>
      </c>
      <c r="Q51" s="15">
        <f>MAX(_xlfn.MAXIFS(Parâmetros!O:O,Parâmetros!A:A,A51,Parâmetros!B:B,B51,Parâmetros!D:D,D51,Parâmetros!M:M,"&lt;="&amp;J51),_xlfn.MAXIFS(Parâmetros!L:L,Parâmetros!A:A,A51,Parâmetros!B:B,B51,Parâmetros!D:D,D51,Parâmetros!J:J,"&lt;="&amp;J51),SUMIFS(Parâmetros!I:I,Parâmetros!A:A,A51,Parâmetros!B:B,B51,Parâmetros!D:D,D51))</f>
        <v>10500</v>
      </c>
      <c r="R51" s="9">
        <f>MAX(_xlfn.MAXIFS(Parâmetros!Q:Q,Parâmetros!A:A,A51,Parâmetros!B:B,B51,Parâmetros!D:D,D51,Parâmetros!P:P,"&lt;="&amp;N51),_xlfn.MAXIFS(Parâmetros!S:S,Parâmetros!A:A,A51,Parâmetros!B:B,B51,Parâmetros!D:D,D51,Parâmetros!R:R,"&lt;="&amp;N51),_xlfn.MAXIFS(Parâmetros!U:U,Parâmetros!A:A,A51,Parâmetros!B:B,B51,Parâmetros!D:D,D51,Parâmetros!T:T,"&lt;="&amp;N51),1) * IF(N51 &gt;= SUMIFS(Parâmetros!G:G,Parâmetros!A:A,A51,Parâmetros!B:B,B51,Parâmetros!D:D,D51),1,0)</f>
        <v>0</v>
      </c>
      <c r="S51" s="16">
        <f t="shared" si="89"/>
        <v>0</v>
      </c>
      <c r="T51" s="16">
        <f t="shared" si="90"/>
        <v>0</v>
      </c>
      <c r="U51" s="15" t="str">
        <f t="shared" si="91"/>
        <v/>
      </c>
      <c r="V51" s="16" t="str">
        <f t="shared" si="92"/>
        <v/>
      </c>
      <c r="W51" s="90">
        <f t="shared" si="93"/>
        <v>0</v>
      </c>
      <c r="X51" s="16" t="str">
        <f t="shared" si="94"/>
        <v/>
      </c>
      <c r="Y51" s="16" t="str">
        <f t="shared" si="95"/>
        <v/>
      </c>
      <c r="Z51" s="90">
        <f t="shared" si="96"/>
        <v>0</v>
      </c>
      <c r="AA51" s="7" t="str">
        <f t="shared" si="97"/>
        <v/>
      </c>
      <c r="AB51" s="7" t="str">
        <f>IF(OR(B51=3,B51=6,B51=9,B51=12),
IF(AND(Z51&gt;=1,W51&gt;=SUMIFS(Parâmetros!L:L,Parâmetros!F:F,F51,Parâmetros!G:G,G51,Parâmetros!I:I,'Comissões GD'!I50)),W51*0.3,""),"")</f>
        <v/>
      </c>
      <c r="AC51" s="15" t="str">
        <f t="shared" si="98"/>
        <v/>
      </c>
      <c r="AD51" s="16" t="str">
        <f t="shared" si="99"/>
        <v/>
      </c>
      <c r="AE51" s="10">
        <f t="shared" si="100"/>
        <v>0</v>
      </c>
      <c r="AF51" s="99">
        <f>SUMIFS(Metas!L:L,Metas!A:A,A51,Metas!B:B,B51,Metas!D:D,D51,Metas!H:H,H$1)</f>
        <v>0.4</v>
      </c>
      <c r="AG51" s="16" t="str">
        <f t="shared" si="101"/>
        <v/>
      </c>
      <c r="AH51" s="16" t="str">
        <f t="shared" si="102"/>
        <v/>
      </c>
      <c r="AI51" s="10">
        <f t="shared" si="103"/>
        <v>0</v>
      </c>
      <c r="AJ51" s="99">
        <f>SUMIFS(Metas!L:L,Metas!A:A,A51,Metas!B:B,B51,Metas!D:D,D51,Metas!H:H,L$1)</f>
        <v>0.6</v>
      </c>
      <c r="AK51" s="90">
        <f t="shared" si="104"/>
        <v>0</v>
      </c>
      <c r="AL51" s="16" t="str">
        <f t="shared" si="105"/>
        <v/>
      </c>
      <c r="AM51" s="102" cm="1">
        <f t="array" ref="AM51">_xlfn.LET(
_xlpm.a,A51,
_xlpm.b,B51,
_xlpm.d,D51,
_xlpm.lim,AI51,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0</v>
      </c>
      <c r="AN51" s="16">
        <f t="shared" si="106"/>
        <v>0</v>
      </c>
      <c r="AO51" s="101">
        <f t="shared" si="107"/>
        <v>0</v>
      </c>
      <c r="AP51" s="16" t="str">
        <f t="shared" si="108"/>
        <v/>
      </c>
      <c r="AQ51" s="22" t="str">
        <f t="shared" si="109"/>
        <v/>
      </c>
    </row>
    <row r="52" spans="1:43">
      <c r="A52" s="7">
        <v>2026</v>
      </c>
      <c r="B52" s="7">
        <v>5</v>
      </c>
      <c r="C52" s="7" t="str">
        <v>Leandro Fontana da Silva</v>
      </c>
      <c r="D52" s="7" t="str">
        <v>leandro.fontana@altoqi.com.br</v>
      </c>
      <c r="E52" s="7" t="str">
        <v>Governo</v>
      </c>
      <c r="F52" s="7" t="str">
        <v>Consultor</v>
      </c>
      <c r="G52" s="7" t="str">
        <v>marcelo.maestro@altoqi.com.br</v>
      </c>
      <c r="H52" s="15">
        <f>SUMIFS(Negócios!J:J,Negócios!A:A,A52,Negócios!B:B,B52,Negócios!P:P,D52,Negócios!AH:AH,"&lt;&gt;n")</f>
        <v>198918</v>
      </c>
      <c r="I52" s="16">
        <f>SUMIFS(Metas!K:K,Metas!A:A,A52,Metas!B:B,B52,Metas!D:D,D52,Metas!H:H,H$1)</f>
        <v>212500</v>
      </c>
      <c r="J52" s="10">
        <f t="shared" si="86"/>
        <v>0.93608470588235293</v>
      </c>
      <c r="K52" s="9">
        <f>SUMIFS(Metas!L:L,Metas!A:A,A52,Metas!B:B,B52,Metas!D:D,D52,Metas!H:H,H$1)</f>
        <v>0.4</v>
      </c>
      <c r="L52" s="15">
        <f>SUMIFS(Negócios!I:I,Negócios!A:A,A52,Negócios!B:B,B52,Negócios!P:P,D52,Negócios!AH:AH,"&lt;&gt;n")</f>
        <v>615330</v>
      </c>
      <c r="M52" s="16">
        <f>SUMIFS(Metas!K:K,Metas!A:A,A52,Metas!B:B,B52,Metas!D:D,D52,Metas!H:H,L$1)</f>
        <v>425000</v>
      </c>
      <c r="N52" s="10">
        <f t="shared" si="87"/>
        <v>1.4478352941176471</v>
      </c>
      <c r="O52" s="9">
        <f>SUMIFS(Metas!L:L,Metas!A:A,A52,Metas!B:B,B52,Metas!D:D,D52,Metas!H:H,L$1)</f>
        <v>0.6</v>
      </c>
      <c r="P52" s="35">
        <f t="shared" si="88"/>
        <v>1.2431350588235293</v>
      </c>
      <c r="Q52" s="15">
        <f>MAX(_xlfn.MAXIFS(Parâmetros!O:O,Parâmetros!A:A,A52,Parâmetros!B:B,B52,Parâmetros!D:D,D52,Parâmetros!M:M,"&lt;="&amp;J52),_xlfn.MAXIFS(Parâmetros!L:L,Parâmetros!A:A,A52,Parâmetros!B:B,B52,Parâmetros!D:D,D52,Parâmetros!J:J,"&lt;="&amp;J52),SUMIFS(Parâmetros!I:I,Parâmetros!A:A,A52,Parâmetros!B:B,B52,Parâmetros!D:D,D52))</f>
        <v>9660</v>
      </c>
      <c r="R52" s="9">
        <f>MAX(_xlfn.MAXIFS(Parâmetros!Q:Q,Parâmetros!A:A,A52,Parâmetros!B:B,B52,Parâmetros!D:D,D52,Parâmetros!P:P,"&lt;="&amp;N52),_xlfn.MAXIFS(Parâmetros!S:S,Parâmetros!A:A,A52,Parâmetros!B:B,B52,Parâmetros!D:D,D52,Parâmetros!R:R,"&lt;="&amp;N52),_xlfn.MAXIFS(Parâmetros!U:U,Parâmetros!A:A,A52,Parâmetros!B:B,B52,Parâmetros!D:D,D52,Parâmetros!T:T,"&lt;="&amp;N52),1) * IF(N52 &gt;= SUMIFS(Parâmetros!G:G,Parâmetros!A:A,A52,Parâmetros!B:B,B52,Parâmetros!D:D,D52),1,0)</f>
        <v>1.25</v>
      </c>
      <c r="S52" s="16">
        <f t="shared" si="89"/>
        <v>12075</v>
      </c>
      <c r="T52" s="16">
        <f t="shared" si="90"/>
        <v>15010.855835294116</v>
      </c>
      <c r="U52" s="15" t="str">
        <f t="shared" si="91"/>
        <v/>
      </c>
      <c r="V52" s="16" t="str">
        <f t="shared" si="92"/>
        <v/>
      </c>
      <c r="W52" s="90">
        <f t="shared" si="93"/>
        <v>0</v>
      </c>
      <c r="X52" s="16" t="str">
        <f t="shared" si="94"/>
        <v/>
      </c>
      <c r="Y52" s="16" t="str">
        <f t="shared" si="95"/>
        <v/>
      </c>
      <c r="Z52" s="90">
        <f t="shared" si="96"/>
        <v>0</v>
      </c>
      <c r="AA52" s="7" t="str">
        <f t="shared" si="97"/>
        <v/>
      </c>
      <c r="AB52" s="7" t="str">
        <f>IF(OR(B52=3,B52=6,B52=9,B52=12),
IF(AND(Z52&gt;=1,W52&gt;=SUMIFS(Parâmetros!L:L,Parâmetros!F:F,F52,Parâmetros!G:G,G52,Parâmetros!I:I,'Comissões GD'!I51)),W52*0.3,""),"")</f>
        <v/>
      </c>
      <c r="AC52" s="15" t="str">
        <f t="shared" si="98"/>
        <v/>
      </c>
      <c r="AD52" s="16" t="str">
        <f t="shared" si="99"/>
        <v/>
      </c>
      <c r="AE52" s="10">
        <f t="shared" si="100"/>
        <v>0</v>
      </c>
      <c r="AF52" s="99">
        <f>SUMIFS(Metas!L:L,Metas!A:A,A52,Metas!B:B,B52,Metas!D:D,D52,Metas!H:H,H$1)</f>
        <v>0.4</v>
      </c>
      <c r="AG52" s="16" t="str">
        <f t="shared" si="101"/>
        <v/>
      </c>
      <c r="AH52" s="16" t="str">
        <f t="shared" si="102"/>
        <v/>
      </c>
      <c r="AI52" s="10">
        <f t="shared" si="103"/>
        <v>0</v>
      </c>
      <c r="AJ52" s="99">
        <f>SUMIFS(Metas!L:L,Metas!A:A,A52,Metas!B:B,B52,Metas!D:D,D52,Metas!H:H,L$1)</f>
        <v>0.6</v>
      </c>
      <c r="AK52" s="90">
        <f t="shared" si="104"/>
        <v>0</v>
      </c>
      <c r="AL52" s="16" t="str">
        <f t="shared" si="105"/>
        <v/>
      </c>
      <c r="AM52" s="102" cm="1">
        <f t="array" ref="AM52">_xlfn.LET(
_xlpm.a,A52,
_xlpm.b,B52,
_xlpm.d,D52,
_xlpm.lim,AI52,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0</v>
      </c>
      <c r="AN52" s="16">
        <f t="shared" si="106"/>
        <v>0</v>
      </c>
      <c r="AO52" s="101">
        <f t="shared" si="107"/>
        <v>0</v>
      </c>
      <c r="AP52" s="16" t="str">
        <f t="shared" si="108"/>
        <v/>
      </c>
      <c r="AQ52" s="22" t="str">
        <f t="shared" si="109"/>
        <v/>
      </c>
    </row>
    <row r="53" spans="1:43">
      <c r="A53" s="7">
        <v>2026</v>
      </c>
      <c r="B53" s="7">
        <v>5</v>
      </c>
      <c r="C53" s="7" t="str">
        <v>Nathan Alves</v>
      </c>
      <c r="D53" s="7" t="str">
        <v>nathan.alves@altoqi.com.br</v>
      </c>
      <c r="E53" s="7" t="str">
        <v>Governo</v>
      </c>
      <c r="F53" s="7" t="str">
        <v>Consultor</v>
      </c>
      <c r="G53" s="7" t="str">
        <v>marcelo.maestro@altoqi.com.br</v>
      </c>
      <c r="H53" s="15">
        <f>SUMIFS(Negócios!J:J,Negócios!A:A,A53,Negócios!B:B,B53,Negócios!P:P,D53,Negócios!AH:AH,"&lt;&gt;n")</f>
        <v>88884</v>
      </c>
      <c r="I53" s="16">
        <f>SUMIFS(Metas!K:K,Metas!A:A,A53,Metas!B:B,B53,Metas!D:D,D53,Metas!H:H,H$1)</f>
        <v>85403.34</v>
      </c>
      <c r="J53" s="10">
        <f t="shared" si="86"/>
        <v>1.0407555489047617</v>
      </c>
      <c r="K53" s="9">
        <f>SUMIFS(Metas!L:L,Metas!A:A,A53,Metas!B:B,B53,Metas!D:D,D53,Metas!H:H,H$1)</f>
        <v>0.4</v>
      </c>
      <c r="L53" s="15">
        <f>SUMIFS(Negócios!I:I,Negócios!A:A,A53,Negócios!B:B,B53,Negócios!P:P,D53,Negócios!AH:AH,"&lt;&gt;n")</f>
        <v>118612</v>
      </c>
      <c r="M53" s="16">
        <f>SUMIFS(Metas!K:K,Metas!A:A,A53,Metas!B:B,B53,Metas!D:D,D53,Metas!H:H,L$1)</f>
        <v>170806.68</v>
      </c>
      <c r="N53" s="10">
        <f t="shared" si="87"/>
        <v>0.69442248979957932</v>
      </c>
      <c r="O53" s="9">
        <f>SUMIFS(Metas!L:L,Metas!A:A,A53,Metas!B:B,B53,Metas!D:D,D53,Metas!H:H,L$1)</f>
        <v>0.6</v>
      </c>
      <c r="P53" s="35">
        <f t="shared" si="88"/>
        <v>0.83295571344165231</v>
      </c>
      <c r="Q53" s="15">
        <f>MAX(_xlfn.MAXIFS(Parâmetros!O:O,Parâmetros!A:A,A53,Parâmetros!B:B,B53,Parâmetros!D:D,D53,Parâmetros!M:M,"&lt;="&amp;J53),_xlfn.MAXIFS(Parâmetros!L:L,Parâmetros!A:A,A53,Parâmetros!B:B,B53,Parâmetros!D:D,D53,Parâmetros!J:J,"&lt;="&amp;J53),SUMIFS(Parâmetros!I:I,Parâmetros!A:A,A53,Parâmetros!B:B,B53,Parâmetros!D:D,D53))</f>
        <v>7140</v>
      </c>
      <c r="R53" s="9">
        <f>MAX(_xlfn.MAXIFS(Parâmetros!Q:Q,Parâmetros!A:A,A53,Parâmetros!B:B,B53,Parâmetros!D:D,D53,Parâmetros!P:P,"&lt;="&amp;N53),_xlfn.MAXIFS(Parâmetros!S:S,Parâmetros!A:A,A53,Parâmetros!B:B,B53,Parâmetros!D:D,D53,Parâmetros!R:R,"&lt;="&amp;N53),_xlfn.MAXIFS(Parâmetros!U:U,Parâmetros!A:A,A53,Parâmetros!B:B,B53,Parâmetros!D:D,D53,Parâmetros!T:T,"&lt;="&amp;N53),1) * IF(N53 &gt;= SUMIFS(Parâmetros!G:G,Parâmetros!A:A,A53,Parâmetros!B:B,B53,Parâmetros!D:D,D53),1,0)</f>
        <v>1</v>
      </c>
      <c r="S53" s="16">
        <f t="shared" si="89"/>
        <v>7140</v>
      </c>
      <c r="T53" s="16">
        <f t="shared" si="90"/>
        <v>5947.3037939733977</v>
      </c>
      <c r="U53" s="15" t="str">
        <f t="shared" si="91"/>
        <v/>
      </c>
      <c r="V53" s="16" t="str">
        <f t="shared" si="92"/>
        <v/>
      </c>
      <c r="W53" s="90">
        <f t="shared" si="93"/>
        <v>0</v>
      </c>
      <c r="X53" s="16" t="str">
        <f t="shared" si="94"/>
        <v/>
      </c>
      <c r="Y53" s="16" t="str">
        <f t="shared" si="95"/>
        <v/>
      </c>
      <c r="Z53" s="90">
        <f t="shared" si="96"/>
        <v>0</v>
      </c>
      <c r="AA53" s="7" t="str">
        <f t="shared" si="97"/>
        <v/>
      </c>
      <c r="AB53" s="7" t="str">
        <f>IF(OR(B53=3,B53=6,B53=9,B53=12),
IF(AND(Z53&gt;=1,W53&gt;=SUMIFS(Parâmetros!L:L,Parâmetros!F:F,F53,Parâmetros!G:G,G53,Parâmetros!I:I,'Comissões GD'!I52)),W53*0.3,""),"")</f>
        <v/>
      </c>
      <c r="AC53" s="15" t="str">
        <f t="shared" si="98"/>
        <v/>
      </c>
      <c r="AD53" s="16" t="str">
        <f t="shared" si="99"/>
        <v/>
      </c>
      <c r="AE53" s="10">
        <f t="shared" si="100"/>
        <v>0</v>
      </c>
      <c r="AF53" s="99">
        <f>SUMIFS(Metas!L:L,Metas!A:A,A53,Metas!B:B,B53,Metas!D:D,D53,Metas!H:H,H$1)</f>
        <v>0.4</v>
      </c>
      <c r="AG53" s="16" t="str">
        <f t="shared" si="101"/>
        <v/>
      </c>
      <c r="AH53" s="16" t="str">
        <f t="shared" si="102"/>
        <v/>
      </c>
      <c r="AI53" s="10">
        <f t="shared" si="103"/>
        <v>0</v>
      </c>
      <c r="AJ53" s="99">
        <f>SUMIFS(Metas!L:L,Metas!A:A,A53,Metas!B:B,B53,Metas!D:D,D53,Metas!H:H,L$1)</f>
        <v>0.6</v>
      </c>
      <c r="AK53" s="90">
        <f t="shared" si="104"/>
        <v>0</v>
      </c>
      <c r="AL53" s="16" t="str">
        <f t="shared" si="105"/>
        <v/>
      </c>
      <c r="AM53" s="102" cm="1">
        <f t="array" ref="AM53">_xlfn.LET(
_xlpm.a,A53,
_xlpm.b,B53,
_xlpm.d,D53,
_xlpm.lim,AI53,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0</v>
      </c>
      <c r="AN53" s="16">
        <f t="shared" si="106"/>
        <v>0</v>
      </c>
      <c r="AO53" s="101">
        <f t="shared" si="107"/>
        <v>0</v>
      </c>
      <c r="AP53" s="16" t="str">
        <f t="shared" si="108"/>
        <v/>
      </c>
      <c r="AQ53" s="22" t="str">
        <f t="shared" si="109"/>
        <v/>
      </c>
    </row>
    <row r="54" spans="1:43">
      <c r="A54" s="7">
        <v>2026</v>
      </c>
      <c r="B54" s="7">
        <v>5</v>
      </c>
      <c r="C54" s="7" t="str">
        <v>Rodrigo da Rosa Lima</v>
      </c>
      <c r="D54" s="7" t="str">
        <v>rodrigo.lima@altoqi.com.br</v>
      </c>
      <c r="E54" s="7" t="str">
        <v>Governo</v>
      </c>
      <c r="F54" s="7" t="str">
        <v>Consultor</v>
      </c>
      <c r="G54" s="7">
        <v>0</v>
      </c>
      <c r="H54" s="15">
        <f>SUMIFS(Negócios!J:J,Negócios!A:A,A54,Negócios!B:B,B54,Negócios!P:P,D54,Negócios!AH:AH,"&lt;&gt;n")</f>
        <v>0</v>
      </c>
      <c r="I54" s="16">
        <f>SUMIFS(Metas!K:K,Metas!A:A,A54,Metas!B:B,B54,Metas!D:D,D54,Metas!H:H,H$1)</f>
        <v>0</v>
      </c>
      <c r="J54" s="10">
        <f t="shared" si="86"/>
        <v>0</v>
      </c>
      <c r="K54" s="9">
        <f>SUMIFS(Metas!L:L,Metas!A:A,A54,Metas!B:B,B54,Metas!D:D,D54,Metas!H:H,H$1)</f>
        <v>0</v>
      </c>
      <c r="L54" s="15">
        <f>SUMIFS(Negócios!I:I,Negócios!A:A,A54,Negócios!B:B,B54,Negócios!P:P,D54,Negócios!AH:AH,"&lt;&gt;n")</f>
        <v>0</v>
      </c>
      <c r="M54" s="16">
        <f>SUMIFS(Metas!K:K,Metas!A:A,A54,Metas!B:B,B54,Metas!D:D,D54,Metas!H:H,L$1)</f>
        <v>0</v>
      </c>
      <c r="N54" s="10">
        <f t="shared" si="87"/>
        <v>0</v>
      </c>
      <c r="O54" s="9">
        <f>SUMIFS(Metas!L:L,Metas!A:A,A54,Metas!B:B,B54,Metas!D:D,D54,Metas!H:H,L$1)</f>
        <v>0</v>
      </c>
      <c r="P54" s="35">
        <f t="shared" si="88"/>
        <v>0</v>
      </c>
      <c r="Q54" s="15">
        <f>MAX(_xlfn.MAXIFS(Parâmetros!O:O,Parâmetros!A:A,A54,Parâmetros!B:B,B54,Parâmetros!D:D,D54,Parâmetros!M:M,"&lt;="&amp;J54),_xlfn.MAXIFS(Parâmetros!L:L,Parâmetros!A:A,A54,Parâmetros!B:B,B54,Parâmetros!D:D,D54,Parâmetros!J:J,"&lt;="&amp;J54),SUMIFS(Parâmetros!I:I,Parâmetros!A:A,A54,Parâmetros!B:B,B54,Parâmetros!D:D,D54))</f>
        <v>5880</v>
      </c>
      <c r="R54" s="9">
        <f>MAX(_xlfn.MAXIFS(Parâmetros!Q:Q,Parâmetros!A:A,A54,Parâmetros!B:B,B54,Parâmetros!D:D,D54,Parâmetros!P:P,"&lt;="&amp;N54),_xlfn.MAXIFS(Parâmetros!S:S,Parâmetros!A:A,A54,Parâmetros!B:B,B54,Parâmetros!D:D,D54,Parâmetros!R:R,"&lt;="&amp;N54),_xlfn.MAXIFS(Parâmetros!U:U,Parâmetros!A:A,A54,Parâmetros!B:B,B54,Parâmetros!D:D,D54,Parâmetros!T:T,"&lt;="&amp;N54),1) * IF(N54 &gt;= SUMIFS(Parâmetros!G:G,Parâmetros!A:A,A54,Parâmetros!B:B,B54,Parâmetros!D:D,D54),1,0)</f>
        <v>1</v>
      </c>
      <c r="S54" s="16">
        <f t="shared" si="89"/>
        <v>5880</v>
      </c>
      <c r="T54" s="16">
        <f t="shared" si="90"/>
        <v>0</v>
      </c>
      <c r="U54" s="15" t="str">
        <f t="shared" si="91"/>
        <v/>
      </c>
      <c r="V54" s="16" t="str">
        <f t="shared" si="92"/>
        <v/>
      </c>
      <c r="W54" s="90">
        <f t="shared" si="93"/>
        <v>0</v>
      </c>
      <c r="X54" s="16" t="str">
        <f t="shared" si="94"/>
        <v/>
      </c>
      <c r="Y54" s="16" t="str">
        <f t="shared" si="95"/>
        <v/>
      </c>
      <c r="Z54" s="90">
        <f t="shared" si="96"/>
        <v>0</v>
      </c>
      <c r="AA54" s="7" t="str">
        <f t="shared" si="97"/>
        <v/>
      </c>
      <c r="AB54" s="7" t="str">
        <f>IF(OR(B54=3,B54=6,B54=9,B54=12),
IF(AND(Z54&gt;=1,W54&gt;=SUMIFS(Parâmetros!L:L,Parâmetros!F:F,F54,Parâmetros!G:G,G54,Parâmetros!I:I,'Comissões GD'!I53)),W54*0.3,""),"")</f>
        <v/>
      </c>
      <c r="AC54" s="15" t="str">
        <f t="shared" si="98"/>
        <v/>
      </c>
      <c r="AD54" s="16" t="str">
        <f t="shared" si="99"/>
        <v/>
      </c>
      <c r="AE54" s="10">
        <f t="shared" si="100"/>
        <v>0</v>
      </c>
      <c r="AF54" s="99">
        <f>SUMIFS(Metas!L:L,Metas!A:A,A54,Metas!B:B,B54,Metas!D:D,D54,Metas!H:H,H$1)</f>
        <v>0</v>
      </c>
      <c r="AG54" s="16" t="str">
        <f t="shared" si="101"/>
        <v/>
      </c>
      <c r="AH54" s="16" t="str">
        <f t="shared" si="102"/>
        <v/>
      </c>
      <c r="AI54" s="10">
        <f t="shared" si="103"/>
        <v>0</v>
      </c>
      <c r="AJ54" s="99">
        <f>SUMIFS(Metas!L:L,Metas!A:A,A54,Metas!B:B,B54,Metas!D:D,D54,Metas!H:H,L$1)</f>
        <v>0</v>
      </c>
      <c r="AK54" s="90">
        <f t="shared" si="104"/>
        <v>0</v>
      </c>
      <c r="AL54" s="16" t="str">
        <f t="shared" si="105"/>
        <v/>
      </c>
      <c r="AM54" s="102" cm="1">
        <f t="array" ref="AM54">_xlfn.LET(
_xlpm.a,A54,
_xlpm.b,B54,
_xlpm.d,D54,
_xlpm.lim,AI54,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1</v>
      </c>
      <c r="AN54" s="16">
        <f t="shared" si="106"/>
        <v>0</v>
      </c>
      <c r="AO54" s="101">
        <f t="shared" si="107"/>
        <v>0</v>
      </c>
      <c r="AP54" s="16" t="str">
        <f t="shared" si="108"/>
        <v/>
      </c>
      <c r="AQ54" s="22" t="str">
        <f t="shared" si="109"/>
        <v/>
      </c>
    </row>
    <row r="55" spans="1:43">
      <c r="A55" s="7">
        <v>2026</v>
      </c>
      <c r="B55" s="7">
        <v>5</v>
      </c>
      <c r="C55" s="7" t="str">
        <v>Soraia Fronchetti</v>
      </c>
      <c r="D55" s="7" t="str">
        <v>soraia@altoqi.com.br</v>
      </c>
      <c r="E55" s="7" t="str">
        <v>Governo</v>
      </c>
      <c r="F55" s="7" t="str">
        <v>Consultor</v>
      </c>
      <c r="G55" s="7" t="str">
        <v>marcelo.maestro@altoqi.com.br</v>
      </c>
      <c r="H55" s="15">
        <f>SUMIFS(Negócios!J:J,Negócios!A:A,A55,Negócios!B:B,B55,Negócios!P:P,D55,Negócios!AH:AH,"&lt;&gt;n")</f>
        <v>0</v>
      </c>
      <c r="I55" s="16">
        <f>SUMIFS(Metas!K:K,Metas!A:A,A55,Metas!B:B,B55,Metas!D:D,D55,Metas!H:H,H$1)</f>
        <v>739550.58</v>
      </c>
      <c r="J55" s="10">
        <f t="shared" si="86"/>
        <v>0</v>
      </c>
      <c r="K55" s="9">
        <f>SUMIFS(Metas!L:L,Metas!A:A,A55,Metas!B:B,B55,Metas!D:D,D55,Metas!H:H,H$1)</f>
        <v>0.4</v>
      </c>
      <c r="L55" s="15">
        <f>SUMIFS(Negócios!I:I,Negócios!A:A,A55,Negócios!B:B,B55,Negócios!P:P,D55,Negócios!AH:AH,"&lt;&gt;n")</f>
        <v>0</v>
      </c>
      <c r="M55" s="16">
        <f>SUMIFS(Metas!K:K,Metas!A:A,A55,Metas!B:B,B55,Metas!D:D,D55,Metas!H:H,L$1)</f>
        <v>1479101.16</v>
      </c>
      <c r="N55" s="10">
        <f t="shared" si="87"/>
        <v>0</v>
      </c>
      <c r="O55" s="9">
        <f>SUMIFS(Metas!L:L,Metas!A:A,A55,Metas!B:B,B55,Metas!D:D,D55,Metas!H:H,L$1)</f>
        <v>0.6</v>
      </c>
      <c r="P55" s="35">
        <f t="shared" si="88"/>
        <v>0</v>
      </c>
      <c r="Q55" s="15">
        <f>MAX(_xlfn.MAXIFS(Parâmetros!O:O,Parâmetros!A:A,A55,Parâmetros!B:B,B55,Parâmetros!D:D,D55,Parâmetros!M:M,"&lt;="&amp;J55),_xlfn.MAXIFS(Parâmetros!L:L,Parâmetros!A:A,A55,Parâmetros!B:B,B55,Parâmetros!D:D,D55,Parâmetros!J:J,"&lt;="&amp;J55),SUMIFS(Parâmetros!I:I,Parâmetros!A:A,A55,Parâmetros!B:B,B55,Parâmetros!D:D,D55))</f>
        <v>9660</v>
      </c>
      <c r="R55" s="9">
        <f>MAX(_xlfn.MAXIFS(Parâmetros!Q:Q,Parâmetros!A:A,A55,Parâmetros!B:B,B55,Parâmetros!D:D,D55,Parâmetros!P:P,"&lt;="&amp;N55),_xlfn.MAXIFS(Parâmetros!S:S,Parâmetros!A:A,A55,Parâmetros!B:B,B55,Parâmetros!D:D,D55,Parâmetros!R:R,"&lt;="&amp;N55),_xlfn.MAXIFS(Parâmetros!U:U,Parâmetros!A:A,A55,Parâmetros!B:B,B55,Parâmetros!D:D,D55,Parâmetros!T:T,"&lt;="&amp;N55),1) * IF(N55 &gt;= SUMIFS(Parâmetros!G:G,Parâmetros!A:A,A55,Parâmetros!B:B,B55,Parâmetros!D:D,D55),1,0)</f>
        <v>0</v>
      </c>
      <c r="S55" s="16">
        <f t="shared" si="89"/>
        <v>0</v>
      </c>
      <c r="T55" s="16">
        <f t="shared" si="90"/>
        <v>0</v>
      </c>
      <c r="U55" s="15" t="str">
        <f t="shared" si="91"/>
        <v/>
      </c>
      <c r="V55" s="16" t="str">
        <f t="shared" si="92"/>
        <v/>
      </c>
      <c r="W55" s="90">
        <f t="shared" si="93"/>
        <v>0</v>
      </c>
      <c r="X55" s="16" t="str">
        <f t="shared" si="94"/>
        <v/>
      </c>
      <c r="Y55" s="16" t="str">
        <f t="shared" si="95"/>
        <v/>
      </c>
      <c r="Z55" s="90">
        <f t="shared" si="96"/>
        <v>0</v>
      </c>
      <c r="AA55" s="7" t="str">
        <f t="shared" si="97"/>
        <v/>
      </c>
      <c r="AB55" s="7" t="str">
        <f>IF(OR(B55=3,B55=6,B55=9,B55=12),
IF(AND(Z55&gt;=1,W55&gt;=SUMIFS(Parâmetros!L:L,Parâmetros!F:F,F55,Parâmetros!G:G,G55,Parâmetros!I:I,'Comissões GD'!I54)),W55*0.3,""),"")</f>
        <v/>
      </c>
      <c r="AC55" s="15" t="str">
        <f t="shared" si="98"/>
        <v/>
      </c>
      <c r="AD55" s="16" t="str">
        <f t="shared" si="99"/>
        <v/>
      </c>
      <c r="AE55" s="10">
        <f t="shared" si="100"/>
        <v>0</v>
      </c>
      <c r="AF55" s="99">
        <f>SUMIFS(Metas!L:L,Metas!A:A,A55,Metas!B:B,B55,Metas!D:D,D55,Metas!H:H,H$1)</f>
        <v>0.4</v>
      </c>
      <c r="AG55" s="16" t="str">
        <f t="shared" si="101"/>
        <v/>
      </c>
      <c r="AH55" s="16" t="str">
        <f t="shared" si="102"/>
        <v/>
      </c>
      <c r="AI55" s="10">
        <f t="shared" si="103"/>
        <v>0</v>
      </c>
      <c r="AJ55" s="99">
        <f>SUMIFS(Metas!L:L,Metas!A:A,A55,Metas!B:B,B55,Metas!D:D,D55,Metas!H:H,L$1)</f>
        <v>0.6</v>
      </c>
      <c r="AK55" s="90">
        <f t="shared" si="104"/>
        <v>0</v>
      </c>
      <c r="AL55" s="16" t="str">
        <f t="shared" si="105"/>
        <v/>
      </c>
      <c r="AM55" s="102" cm="1">
        <f t="array" ref="AM55">_xlfn.LET(
_xlpm.a,A55,
_xlpm.b,B55,
_xlpm.d,D55,
_xlpm.lim,AI55,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0</v>
      </c>
      <c r="AN55" s="16">
        <f t="shared" si="106"/>
        <v>0</v>
      </c>
      <c r="AO55" s="101">
        <f t="shared" si="107"/>
        <v>0</v>
      </c>
      <c r="AP55" s="16" t="str">
        <f t="shared" si="108"/>
        <v/>
      </c>
      <c r="AQ55" s="22" t="str">
        <f t="shared" si="109"/>
        <v/>
      </c>
    </row>
    <row r="56" spans="1:43">
      <c r="A56" s="7">
        <v>2026</v>
      </c>
      <c r="B56" s="7">
        <v>5</v>
      </c>
      <c r="C56" s="7" t="str">
        <v>Tabata Couto</v>
      </c>
      <c r="D56" s="7" t="str">
        <v>tabata.couto@altoqi.com.br</v>
      </c>
      <c r="E56" s="7" t="str">
        <v>Governo</v>
      </c>
      <c r="F56" s="7" t="str">
        <v>Consultor</v>
      </c>
      <c r="G56" s="7" t="str">
        <v>marcelo.maestro@altoqi.com.br</v>
      </c>
      <c r="H56" s="15">
        <f>SUMIFS(Negócios!J:J,Negócios!A:A,A56,Negócios!B:B,B56,Negócios!P:P,D56,Negócios!AH:AH,"&lt;&gt;n")</f>
        <v>103607.4</v>
      </c>
      <c r="I56" s="16">
        <f>SUMIFS(Metas!K:K,Metas!A:A,A56,Metas!B:B,B56,Metas!D:D,D56,Metas!H:H,H$1)</f>
        <v>68389.104999999996</v>
      </c>
      <c r="J56" s="10">
        <f t="shared" si="86"/>
        <v>1.514969379991155</v>
      </c>
      <c r="K56" s="9">
        <f>SUMIFS(Metas!L:L,Metas!A:A,A56,Metas!B:B,B56,Metas!D:D,D56,Metas!H:H,H$1)</f>
        <v>0.4</v>
      </c>
      <c r="L56" s="15">
        <f>SUMIFS(Negócios!I:I,Negócios!A:A,A56,Negócios!B:B,B56,Negócios!P:P,D56,Negócios!AH:AH,"&lt;&gt;n")</f>
        <v>114311.4</v>
      </c>
      <c r="M56" s="16">
        <f>SUMIFS(Metas!K:K,Metas!A:A,A56,Metas!B:B,B56,Metas!D:D,D56,Metas!H:H,L$1)</f>
        <v>136778.21</v>
      </c>
      <c r="N56" s="10">
        <f t="shared" si="87"/>
        <v>0.83574276926127344</v>
      </c>
      <c r="O56" s="9">
        <f>SUMIFS(Metas!L:L,Metas!A:A,A56,Metas!B:B,B56,Metas!D:D,D56,Metas!H:H,L$1)</f>
        <v>0.6</v>
      </c>
      <c r="P56" s="35">
        <f t="shared" si="88"/>
        <v>1.1074334135532262</v>
      </c>
      <c r="Q56" s="15">
        <f>MAX(_xlfn.MAXIFS(Parâmetros!O:O,Parâmetros!A:A,A56,Parâmetros!B:B,B56,Parâmetros!D:D,D56,Parâmetros!M:M,"&lt;="&amp;J56),_xlfn.MAXIFS(Parâmetros!L:L,Parâmetros!A:A,A56,Parâmetros!B:B,B56,Parâmetros!D:D,D56,Parâmetros!J:J,"&lt;="&amp;J56),SUMIFS(Parâmetros!I:I,Parâmetros!A:A,A56,Parâmetros!B:B,B56,Parâmetros!D:D,D56))</f>
        <v>5880</v>
      </c>
      <c r="R56" s="9">
        <f>MAX(_xlfn.MAXIFS(Parâmetros!Q:Q,Parâmetros!A:A,A56,Parâmetros!B:B,B56,Parâmetros!D:D,D56,Parâmetros!P:P,"&lt;="&amp;N56),_xlfn.MAXIFS(Parâmetros!S:S,Parâmetros!A:A,A56,Parâmetros!B:B,B56,Parâmetros!D:D,D56,Parâmetros!R:R,"&lt;="&amp;N56),_xlfn.MAXIFS(Parâmetros!U:U,Parâmetros!A:A,A56,Parâmetros!B:B,B56,Parâmetros!D:D,D56,Parâmetros!T:T,"&lt;="&amp;N56),1) * IF(N56 &gt;= SUMIFS(Parâmetros!G:G,Parâmetros!A:A,A56,Parâmetros!B:B,B56,Parâmetros!D:D,D56),1,0)</f>
        <v>1.1499999999999999</v>
      </c>
      <c r="S56" s="16">
        <f t="shared" si="89"/>
        <v>6761.9999999999991</v>
      </c>
      <c r="T56" s="16">
        <f t="shared" si="90"/>
        <v>7488.4647424469149</v>
      </c>
      <c r="U56" s="15" t="str">
        <f t="shared" si="91"/>
        <v/>
      </c>
      <c r="V56" s="16" t="str">
        <f t="shared" si="92"/>
        <v/>
      </c>
      <c r="W56" s="90">
        <f t="shared" si="93"/>
        <v>0</v>
      </c>
      <c r="X56" s="16" t="str">
        <f t="shared" si="94"/>
        <v/>
      </c>
      <c r="Y56" s="16" t="str">
        <f t="shared" si="95"/>
        <v/>
      </c>
      <c r="Z56" s="90">
        <f t="shared" si="96"/>
        <v>0</v>
      </c>
      <c r="AA56" s="7" t="str">
        <f t="shared" si="97"/>
        <v/>
      </c>
      <c r="AB56" s="7" t="str">
        <f>IF(OR(B56=3,B56=6,B56=9,B56=12),
IF(AND(Z56&gt;=1,W56&gt;=SUMIFS(Parâmetros!L:L,Parâmetros!F:F,F56,Parâmetros!G:G,G56,Parâmetros!I:I,'Comissões GD'!I55)),W56*0.3,""),"")</f>
        <v/>
      </c>
      <c r="AC56" s="15" t="str">
        <f t="shared" si="98"/>
        <v/>
      </c>
      <c r="AD56" s="16" t="str">
        <f t="shared" si="99"/>
        <v/>
      </c>
      <c r="AE56" s="10">
        <f t="shared" si="100"/>
        <v>0</v>
      </c>
      <c r="AF56" s="99">
        <f>SUMIFS(Metas!L:L,Metas!A:A,A56,Metas!B:B,B56,Metas!D:D,D56,Metas!H:H,H$1)</f>
        <v>0.4</v>
      </c>
      <c r="AG56" s="16" t="str">
        <f t="shared" si="101"/>
        <v/>
      </c>
      <c r="AH56" s="16" t="str">
        <f t="shared" si="102"/>
        <v/>
      </c>
      <c r="AI56" s="10">
        <f t="shared" si="103"/>
        <v>0</v>
      </c>
      <c r="AJ56" s="99">
        <f>SUMIFS(Metas!L:L,Metas!A:A,A56,Metas!B:B,B56,Metas!D:D,D56,Metas!H:H,L$1)</f>
        <v>0.6</v>
      </c>
      <c r="AK56" s="90">
        <f t="shared" si="104"/>
        <v>0</v>
      </c>
      <c r="AL56" s="16" t="str">
        <f t="shared" si="105"/>
        <v/>
      </c>
      <c r="AM56" s="102" cm="1">
        <f t="array" ref="AM56">_xlfn.LET(
_xlpm.a,A56,
_xlpm.b,B56,
_xlpm.d,D56,
_xlpm.lim,AI56,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0</v>
      </c>
      <c r="AN56" s="16">
        <f t="shared" si="106"/>
        <v>0</v>
      </c>
      <c r="AO56" s="101">
        <f t="shared" si="107"/>
        <v>0</v>
      </c>
      <c r="AP56" s="16" t="str">
        <f t="shared" si="108"/>
        <v/>
      </c>
      <c r="AQ56" s="22" t="str">
        <f t="shared" si="109"/>
        <v/>
      </c>
    </row>
  </sheetData>
  <autoFilter ref="A3:G56" xr:uid="{FAF656A7-B9BE-49A8-B186-76F42974A054}"/>
  <mergeCells count="8">
    <mergeCell ref="AC2:AF2"/>
    <mergeCell ref="AG2:AJ2"/>
    <mergeCell ref="H1:K2"/>
    <mergeCell ref="L1:O2"/>
    <mergeCell ref="P1:P2"/>
    <mergeCell ref="Q1:T2"/>
    <mergeCell ref="U1:AB2"/>
    <mergeCell ref="AC1:AQ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B1B02-DE97-4A46-8E9C-1AD49CFB7A64}">
  <dimension ref="A1:AL11"/>
  <sheetViews>
    <sheetView workbookViewId="0">
      <pane xSplit="6" ySplit="3" topLeftCell="G4" activePane="bottomRight" state="frozen"/>
      <selection pane="bottomRight" activeCell="G8" sqref="G8"/>
      <selection pane="bottomLeft"/>
      <selection pane="topRight"/>
    </sheetView>
  </sheetViews>
  <sheetFormatPr defaultColWidth="9.28515625" defaultRowHeight="15"/>
  <cols>
    <col min="1" max="1" width="5.42578125" style="7" bestFit="1" customWidth="1"/>
    <col min="2" max="2" width="4.85546875" style="7" bestFit="1" customWidth="1"/>
    <col min="3" max="3" width="16.28515625" style="7" bestFit="1" customWidth="1"/>
    <col min="4" max="4" width="30.28515625" style="7" bestFit="1" customWidth="1"/>
    <col min="5" max="5" width="8.7109375" style="7" bestFit="1" customWidth="1"/>
    <col min="6" max="6" width="7" style="7" bestFit="1" customWidth="1"/>
    <col min="7" max="7" width="15.42578125" style="15" bestFit="1" customWidth="1"/>
    <col min="8" max="8" width="15.42578125" style="16" bestFit="1" customWidth="1"/>
    <col min="9" max="9" width="10.42578125" style="10" bestFit="1" customWidth="1"/>
    <col min="10" max="10" width="11.42578125" style="9" bestFit="1" customWidth="1"/>
    <col min="11" max="11" width="9.5703125" style="35" bestFit="1" customWidth="1"/>
    <col min="12" max="12" width="5.7109375" style="9" bestFit="1" customWidth="1"/>
    <col min="13" max="13" width="10.42578125" style="10" bestFit="1" customWidth="1"/>
    <col min="14" max="14" width="11.42578125" style="9" bestFit="1" customWidth="1"/>
    <col min="15" max="15" width="18.85546875" style="35" bestFit="1" customWidth="1"/>
    <col min="16" max="16" width="12.5703125" style="15" bestFit="1" customWidth="1"/>
    <col min="17" max="17" width="14.85546875" style="9" bestFit="1" customWidth="1"/>
    <col min="18" max="18" width="12.85546875" style="16" bestFit="1" customWidth="1"/>
    <col min="19" max="19" width="12.5703125" style="16" bestFit="1" customWidth="1"/>
    <col min="20" max="20" width="28.42578125" style="15" bestFit="1" customWidth="1"/>
    <col min="21" max="21" width="24.5703125" style="16" bestFit="1" customWidth="1"/>
    <col min="22" max="22" width="21.28515625" style="89" bestFit="1" customWidth="1"/>
    <col min="23" max="23" width="28.140625" style="7" bestFit="1" customWidth="1"/>
    <col min="24" max="24" width="15.42578125" style="20" bestFit="1" customWidth="1"/>
    <col min="25" max="25" width="15.42578125" bestFit="1" customWidth="1"/>
    <col min="26" max="26" width="10.42578125" bestFit="1" customWidth="1"/>
    <col min="27" max="27" width="11.42578125" style="100" bestFit="1" customWidth="1"/>
    <col min="28" max="28" width="9.5703125" style="104" bestFit="1" customWidth="1"/>
    <col min="29" max="29" width="5.7109375" style="104" bestFit="1" customWidth="1"/>
    <col min="30" max="30" width="10.42578125" bestFit="1" customWidth="1"/>
    <col min="31" max="31" width="11.42578125" style="100" bestFit="1" customWidth="1"/>
    <col min="32" max="32" width="18.85546875" style="100" bestFit="1" customWidth="1"/>
    <col min="33" max="33" width="12.5703125" bestFit="1" customWidth="1"/>
    <col min="34" max="34" width="14.85546875" bestFit="1" customWidth="1"/>
    <col min="35" max="35" width="12.85546875" bestFit="1" customWidth="1"/>
    <col min="36" max="36" width="12" style="100" bestFit="1" customWidth="1"/>
    <col min="37" max="37" width="15.140625" style="107" bestFit="1" customWidth="1"/>
    <col min="38" max="38" width="11.42578125" style="105" bestFit="1" customWidth="1"/>
  </cols>
  <sheetData>
    <row r="1" spans="1:38">
      <c r="G1" s="117" t="s">
        <v>4359</v>
      </c>
      <c r="H1" s="118"/>
      <c r="I1" s="118"/>
      <c r="J1" s="119"/>
      <c r="K1" s="117" t="s">
        <v>4368</v>
      </c>
      <c r="L1" s="118"/>
      <c r="M1" s="118"/>
      <c r="N1" s="119"/>
      <c r="O1" s="120"/>
      <c r="P1" s="121"/>
      <c r="Q1" s="122"/>
      <c r="R1" s="122"/>
      <c r="S1" s="123"/>
      <c r="T1" s="124" t="s">
        <v>4547</v>
      </c>
      <c r="U1" s="125"/>
      <c r="V1" s="125"/>
      <c r="W1" s="126"/>
      <c r="X1" s="130" t="s">
        <v>4548</v>
      </c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2"/>
    </row>
    <row r="2" spans="1:38">
      <c r="G2" s="117"/>
      <c r="H2" s="118"/>
      <c r="I2" s="118"/>
      <c r="J2" s="119"/>
      <c r="K2" s="117"/>
      <c r="L2" s="118"/>
      <c r="M2" s="118"/>
      <c r="N2" s="119"/>
      <c r="O2" s="120"/>
      <c r="P2" s="121"/>
      <c r="Q2" s="122"/>
      <c r="R2" s="122"/>
      <c r="S2" s="123"/>
      <c r="T2" s="127"/>
      <c r="U2" s="128"/>
      <c r="V2" s="128"/>
      <c r="W2" s="129"/>
      <c r="X2" s="114" t="s">
        <v>4359</v>
      </c>
      <c r="Y2" s="115"/>
      <c r="Z2" s="115"/>
      <c r="AA2" s="116"/>
      <c r="AB2" s="115" t="s">
        <v>4368</v>
      </c>
      <c r="AC2" s="115"/>
      <c r="AD2" s="115"/>
      <c r="AE2" s="116"/>
      <c r="AF2" s="90"/>
      <c r="AG2" s="16"/>
      <c r="AH2" s="9"/>
      <c r="AI2" s="16"/>
      <c r="AJ2" s="101"/>
      <c r="AK2" s="16"/>
      <c r="AL2" s="88"/>
    </row>
    <row r="3" spans="1:38">
      <c r="A3" s="7" t="str" cm="1">
        <f t="array" ref="A3:F8">_xlfn.UNIQUE(_xlfn._xlws.FILTER(Metas!A:F,((Metas!A:A&gt;2025)*(Metas!E:E = "Governo")*(Metas!F:F = "Gestor"))+(Metas!E:E = "Equipe")))</f>
        <v>Ano</v>
      </c>
      <c r="B3" s="7" t="str">
        <v>Mês</v>
      </c>
      <c r="C3" s="7" t="str">
        <v>Consultor</v>
      </c>
      <c r="D3" s="7" t="str">
        <v>Email</v>
      </c>
      <c r="E3" s="7" t="str">
        <v>Equipe</v>
      </c>
      <c r="F3" s="7" t="str">
        <v>Cargo</v>
      </c>
      <c r="G3" s="15" t="s">
        <v>4267</v>
      </c>
      <c r="H3" s="16" t="s">
        <v>4521</v>
      </c>
      <c r="I3" s="10" t="s">
        <v>4522</v>
      </c>
      <c r="J3" s="9" t="s">
        <v>4323</v>
      </c>
      <c r="K3" s="35" t="s">
        <v>4267</v>
      </c>
      <c r="L3" s="9" t="s">
        <v>4521</v>
      </c>
      <c r="M3" s="10" t="s">
        <v>4522</v>
      </c>
      <c r="N3" s="9" t="s">
        <v>4323</v>
      </c>
      <c r="O3" s="35" t="s">
        <v>4549</v>
      </c>
      <c r="P3" s="15" t="s">
        <v>4530</v>
      </c>
      <c r="Q3" s="9" t="s">
        <v>4531</v>
      </c>
      <c r="R3" s="16" t="s">
        <v>4532</v>
      </c>
      <c r="S3" s="16" t="s">
        <v>4533</v>
      </c>
      <c r="T3" s="15" t="s">
        <v>4538</v>
      </c>
      <c r="U3" s="16" t="s">
        <v>4539</v>
      </c>
      <c r="V3" s="89" t="s">
        <v>4540</v>
      </c>
      <c r="W3" s="7" t="s">
        <v>4544</v>
      </c>
      <c r="X3" s="15" t="s">
        <v>4267</v>
      </c>
      <c r="Y3" s="16" t="s">
        <v>4521</v>
      </c>
      <c r="Z3" s="10" t="s">
        <v>4522</v>
      </c>
      <c r="AA3" s="99" t="s">
        <v>4323</v>
      </c>
      <c r="AB3" s="9" t="s">
        <v>4267</v>
      </c>
      <c r="AC3" s="9" t="s">
        <v>4521</v>
      </c>
      <c r="AD3" s="10" t="s">
        <v>4522</v>
      </c>
      <c r="AE3" s="99" t="s">
        <v>4323</v>
      </c>
      <c r="AF3" s="90" t="s">
        <v>4549</v>
      </c>
      <c r="AG3" s="16" t="s">
        <v>4530</v>
      </c>
      <c r="AH3" s="9" t="s">
        <v>4531</v>
      </c>
      <c r="AI3" s="16" t="s">
        <v>4532</v>
      </c>
      <c r="AJ3" s="101" t="s">
        <v>4533</v>
      </c>
      <c r="AK3" s="16" t="s">
        <v>4550</v>
      </c>
      <c r="AL3" s="88" t="s">
        <v>4551</v>
      </c>
    </row>
    <row r="4" spans="1:38">
      <c r="A4" s="7">
        <v>2026</v>
      </c>
      <c r="B4" s="7">
        <v>1</v>
      </c>
      <c r="C4" s="7" t="str">
        <v>Marcelo Maestro</v>
      </c>
      <c r="D4" s="7" t="str">
        <v>marcelo.maestro@altoqi.com.br</v>
      </c>
      <c r="E4" s="7" t="str">
        <v>Governo</v>
      </c>
      <c r="F4" s="7" t="str">
        <v>Gestor</v>
      </c>
      <c r="G4" s="15">
        <f>SUMIFS('Comissões B2G'!L:L,'Comissões B2G'!A:A,A4,'Comissões B2G'!B:B,B4)</f>
        <v>751421.52</v>
      </c>
      <c r="H4" s="16">
        <f>SUMIFS(Metas!K:K,Metas!A:A,A4,Metas!B:B,B4,Metas!D:D,D4,Metas!H:H,G$1)</f>
        <v>1951064.72</v>
      </c>
      <c r="I4" s="10">
        <f>IFERROR(G4/H4,0)</f>
        <v>0.38513408207186484</v>
      </c>
      <c r="J4" s="9">
        <f>SUMIFS(Metas!L:L,Metas!A:A,A4,Metas!B:B,B4,Metas!D:D,D4,Metas!H:H,G$1)</f>
        <v>0.8</v>
      </c>
      <c r="K4" s="35">
        <f>COUNTIFS('Comissões B2G'!A:A,A4,'Comissões B2G'!B:B,B4,'Comissões B2G'!N:N,"&gt;=1") / COUNTIFS('Comissões B2G'!A:A,A4,'Comissões B2G'!B:B,B4)</f>
        <v>0.18181818181818182</v>
      </c>
      <c r="L4" s="9">
        <f>SUMIFS(Metas!K:K,Metas!A:A,A4,Metas!B:B,B4,Metas!D:D,D4,Metas!H:H,K$1)</f>
        <v>0.8</v>
      </c>
      <c r="M4" s="10">
        <f>IFERROR(K4/L4,0)</f>
        <v>0.22727272727272727</v>
      </c>
      <c r="N4" s="9">
        <f>SUMIFS(Metas!L:L,Metas!A:A,A4,Metas!B:B,B4,Metas!D:D,D4,Metas!H:H,K$1)</f>
        <v>0.2</v>
      </c>
      <c r="O4" s="35">
        <f>(I4*J4)+(M4*N4)</f>
        <v>0.35356181111203738</v>
      </c>
      <c r="P4" s="15">
        <f>MAX(_xlfn.MAXIFS(Parâmetros!O:O,Parâmetros!A:A,A4,Parâmetros!B:B,B4,Parâmetros!D:D,D4,Parâmetros!M:M,"&lt;="&amp;I4),_xlfn.MAXIFS(Parâmetros!L:L,Parâmetros!A:A,A4,Parâmetros!B:B,B4,Parâmetros!D:D,D4,Parâmetros!J:J,"&lt;="&amp;I4),SUMIFS(Parâmetros!I:I,Parâmetros!A:A,A4,Parâmetros!B:B,B4,Parâmetros!D:D,D4))</f>
        <v>11500</v>
      </c>
      <c r="Q4" s="9">
        <f>MAX(_xlfn.MAXIFS(Parâmetros!Q:Q,Parâmetros!A:A,A4,Parâmetros!B:B,B4,Parâmetros!D:D,D4,Parâmetros!P:P,"&lt;="&amp;I4),_xlfn.MAXIFS(Parâmetros!S:S,Parâmetros!A:A,A4,Parâmetros!B:B,B4,Parâmetros!D:D,D4,Parâmetros!R:R,"&lt;="&amp;I4),_xlfn.MAXIFS(Parâmetros!U:U,Parâmetros!A:A,A4,Parâmetros!B:B,B4,Parâmetros!D:D,D4,Parâmetros!T:T,"&lt;="&amp;I4),1) * IF(I4 &gt;= SUMIFS(Parâmetros!G:G,Parâmetros!A:A,A4,Parâmetros!B:B,B4,Parâmetros!D:D,D4),1,0)</f>
        <v>0</v>
      </c>
      <c r="R4" s="16">
        <f>P4*Q4</f>
        <v>0</v>
      </c>
      <c r="S4" s="16">
        <f>R4*O4</f>
        <v>0</v>
      </c>
      <c r="T4" s="15" t="str">
        <f t="shared" ref="T4:T6" si="0">IF(OR(B4=3,B4=6,B4=9,B4=12),
SUMIFS($G:$G,$A:$A,$A4,$B:$B,"&gt;="&amp;(B4-2),$B:$B,"&lt;="&amp;B4,$D:$D,$D4),
"")</f>
        <v/>
      </c>
      <c r="U4" s="16" t="str">
        <f>IF(OR(A4=3,A4=6,A4=9,A4=12),
SUMIFS($H:$H,$A:$A,$A4,$B:$B,"&gt;="&amp;(A4-2),$B:$B,"&lt;="&amp;A4,$D:$D,$D4),
"")</f>
        <v/>
      </c>
      <c r="V4" s="90">
        <f t="shared" ref="V4:V5" si="1">IFERROR(T4/U4,0)</f>
        <v>0</v>
      </c>
      <c r="W4" s="7" t="str">
        <f>IF(OR(F4=3,F4=6,F4=9,F4=12),
IF(V4&gt;=1,V4*0.9,""),"")</f>
        <v/>
      </c>
      <c r="X4" s="15" t="str">
        <f>T4</f>
        <v/>
      </c>
      <c r="Y4" s="16" t="str">
        <f>U4</f>
        <v/>
      </c>
      <c r="Z4" s="10">
        <f t="shared" ref="Z4:Z5" si="2">IFERROR(X4/Y4,0)</f>
        <v>0</v>
      </c>
      <c r="AA4" s="99">
        <f>SUMIFS(Metas!L:L,Metas!A:A,A4,Metas!B:B,B4,Metas!D:D,D4,Metas!H:H,X$2)</f>
        <v>0.8</v>
      </c>
      <c r="AB4" s="106" t="str">
        <f>IF(OR(A4=3,A4=6,A4=9,A4=12),
COUNTIFS('Comissões B2G'!A:A,A4,'Comissões B2G'!B:B,B4,'Comissões B2G'!AI:AI,"&gt;=1") / COUNTIFS('Comissões B2G'!A:A,A4,'Comissões B2G'!B:B,B4),"")</f>
        <v/>
      </c>
      <c r="AC4" s="9">
        <f>L4</f>
        <v>0.8</v>
      </c>
      <c r="AD4" s="10">
        <f t="shared" ref="AD4:AD5" si="3">IFERROR(AB4/AC4,0)</f>
        <v>0</v>
      </c>
      <c r="AE4" s="99">
        <f>SUMIFS(Metas!L:L,Metas!A:A,A4,Metas!B:B,B4,Metas!D:D,D4,Metas!H:H,AB$2)</f>
        <v>0.2</v>
      </c>
      <c r="AF4" s="90">
        <f>(Z4*AA4)+(AD4*AE4)</f>
        <v>0</v>
      </c>
      <c r="AG4" s="16" t="str">
        <f t="shared" ref="AG4:AG5" si="4">IF(OR(A4=3,A4=6,A4=9,A4=12),
SUMIFS($Q:$Q,$A:$A,$A4,$B:$B,"&gt;="&amp;(A4-2),$B:$B,"&lt;="&amp;A4,$D:$D,$D4),
"")</f>
        <v/>
      </c>
      <c r="AH4" s="102" cm="1">
        <f t="array" ref="AH4">_xlfn.LET(
_xlpm.a,A4,
_xlpm.b,B4,
_xlpm.d,D4,
_xlpm.lim,Z4,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0</v>
      </c>
      <c r="AI4" s="16">
        <f t="shared" ref="AI4:AI5" si="5">IFERROR(AG4*AH4,0)</f>
        <v>0</v>
      </c>
      <c r="AJ4" s="101">
        <f t="shared" ref="AJ4:AJ5" si="6">AI4*AF4</f>
        <v>0</v>
      </c>
      <c r="AK4" s="16" t="str">
        <f>IF(OR(A4=3,A4=6,A4=9,A4=12),
SUMIFS($S:$S,$A:$A,$A4,$B:$B,"&gt;="&amp;(A4-2),$B:$B,"&lt;="&amp;A4,$D:$D,$D4),
"")</f>
        <v/>
      </c>
      <c r="AL4" s="22" t="str">
        <f>IF(AJ4&gt;AK4,AJ4-AK4,"")</f>
        <v/>
      </c>
    </row>
    <row r="5" spans="1:38">
      <c r="A5" s="7">
        <v>2026</v>
      </c>
      <c r="B5" s="7">
        <v>2</v>
      </c>
      <c r="C5" s="7" t="str">
        <v>Marcelo Maestro</v>
      </c>
      <c r="D5" s="7" t="str">
        <v>marcelo.maestro@altoqi.com.br</v>
      </c>
      <c r="E5" s="7" t="str">
        <v>Governo</v>
      </c>
      <c r="F5" s="7" t="str">
        <v>Gestor</v>
      </c>
      <c r="G5" s="15">
        <f>SUMIFS('Comissões B2G'!L:L,'Comissões B2G'!A:A,A5,'Comissões B2G'!B:B,B5)</f>
        <v>1943392.56</v>
      </c>
      <c r="H5" s="16">
        <f>SUMIFS(Metas!K:K,Metas!A:A,A5,Metas!B:B,B5,Metas!D:D,D5,Metas!H:H,G$1)</f>
        <v>2093758.48</v>
      </c>
      <c r="I5" s="10">
        <f>IFERROR(G5/H5,0)</f>
        <v>0.92818373206063387</v>
      </c>
      <c r="J5" s="9">
        <f>SUMIFS(Metas!L:L,Metas!A:A,A5,Metas!B:B,B5,Metas!D:D,D5,Metas!H:H,G$1)</f>
        <v>0.8</v>
      </c>
      <c r="K5" s="35">
        <f>COUNTIFS('Comissões B2G'!A:A,A5,'Comissões B2G'!B:B,B5,'Comissões B2G'!N:N,"&gt;=1") / COUNTIFS('Comissões B2G'!A:A,A5,'Comissões B2G'!B:B,B5)</f>
        <v>0.18181818181818182</v>
      </c>
      <c r="L5" s="9">
        <f>SUMIFS(Metas!K:K,Metas!A:A,A5,Metas!B:B,B5,Metas!D:D,D5,Metas!H:H,K$1)</f>
        <v>0.8</v>
      </c>
      <c r="M5" s="10">
        <f>IFERROR(K5/L5,0)</f>
        <v>0.22727272727272727</v>
      </c>
      <c r="N5" s="9">
        <f>SUMIFS(Metas!L:L,Metas!A:A,A5,Metas!B:B,B5,Metas!D:D,D5,Metas!H:H,K$1)</f>
        <v>0.2</v>
      </c>
      <c r="O5" s="35">
        <f>(I5*J5)+(M5*N5)</f>
        <v>0.7880015311030526</v>
      </c>
      <c r="P5" s="15">
        <f>MAX(_xlfn.MAXIFS(Parâmetros!O:O,Parâmetros!A:A,A5,Parâmetros!B:B,B5,Parâmetros!D:D,D5,Parâmetros!M:M,"&lt;="&amp;I5),_xlfn.MAXIFS(Parâmetros!L:L,Parâmetros!A:A,A5,Parâmetros!B:B,B5,Parâmetros!D:D,D5,Parâmetros!J:J,"&lt;="&amp;I5),SUMIFS(Parâmetros!I:I,Parâmetros!A:A,A5,Parâmetros!B:B,B5,Parâmetros!D:D,D5))</f>
        <v>11500</v>
      </c>
      <c r="Q5" s="9">
        <f>MAX(_xlfn.MAXIFS(Parâmetros!Q:Q,Parâmetros!A:A,A5,Parâmetros!B:B,B5,Parâmetros!D:D,D5,Parâmetros!P:P,"&lt;="&amp;I5),_xlfn.MAXIFS(Parâmetros!S:S,Parâmetros!A:A,A5,Parâmetros!B:B,B5,Parâmetros!D:D,D5,Parâmetros!R:R,"&lt;="&amp;I5),_xlfn.MAXIFS(Parâmetros!U:U,Parâmetros!A:A,A5,Parâmetros!B:B,B5,Parâmetros!D:D,D5,Parâmetros!T:T,"&lt;="&amp;I5),1) * IF(I5 &gt;= SUMIFS(Parâmetros!G:G,Parâmetros!A:A,A5,Parâmetros!B:B,B5,Parâmetros!D:D,D5),1,0)</f>
        <v>1.25</v>
      </c>
      <c r="R5" s="16">
        <f>P5*Q5</f>
        <v>14375</v>
      </c>
      <c r="S5" s="16">
        <f>R5*O5</f>
        <v>11327.52200960638</v>
      </c>
      <c r="T5" s="15" t="str">
        <f t="shared" si="0"/>
        <v/>
      </c>
      <c r="U5" s="16" t="str">
        <f>IF(OR(A5=3,A5=6,A5=9,A5=12),
SUMIFS($H:$H,$A:$A,$A5,$B:$B,"&gt;="&amp;(A5-2),$B:$B,"&lt;="&amp;A5,$D:$D,$D5),
"")</f>
        <v/>
      </c>
      <c r="V5" s="90">
        <f t="shared" si="1"/>
        <v>0</v>
      </c>
      <c r="W5" s="7" t="str">
        <f>IF(OR(F5=3,F5=6,F5=9,F5=12),
IF(V5&gt;=1,V5*0.9,""),"")</f>
        <v/>
      </c>
      <c r="X5" s="15" t="str">
        <f>T5</f>
        <v/>
      </c>
      <c r="Y5" s="16" t="str">
        <f>U5</f>
        <v/>
      </c>
      <c r="Z5" s="10">
        <f t="shared" si="2"/>
        <v>0</v>
      </c>
      <c r="AA5" s="99">
        <f>SUMIFS(Metas!L:L,Metas!A:A,A5,Metas!B:B,B5,Metas!D:D,D5,Metas!H:H,X$2)</f>
        <v>0.8</v>
      </c>
      <c r="AB5" s="106" t="str">
        <f>IF(OR(A5=3,A5=6,A5=9,A5=12),
COUNTIFS('Comissões B2G'!A:A,A5,'Comissões B2G'!B:B,B5,'Comissões B2G'!AI:AI,"&gt;=1") / COUNTIFS('Comissões B2G'!A:A,A5,'Comissões B2G'!B:B,B5),"")</f>
        <v/>
      </c>
      <c r="AC5" s="9">
        <f>L5</f>
        <v>0.8</v>
      </c>
      <c r="AD5" s="10">
        <f t="shared" si="3"/>
        <v>0</v>
      </c>
      <c r="AE5" s="99">
        <f>SUMIFS(Metas!L:L,Metas!A:A,A5,Metas!B:B,B5,Metas!D:D,D5,Metas!H:H,AB$2)</f>
        <v>0.2</v>
      </c>
      <c r="AF5" s="90">
        <f>(Z5*AA5)+(AD5*AE5)</f>
        <v>0</v>
      </c>
      <c r="AG5" s="16" t="str">
        <f t="shared" si="4"/>
        <v/>
      </c>
      <c r="AH5" s="102" cm="1">
        <f t="array" ref="AH5">_xlfn.LET(
_xlpm.a,A5,
_xlpm.b,B5,
_xlpm.d,D5,
_xlpm.lim,Z5,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0</v>
      </c>
      <c r="AI5" s="16">
        <f t="shared" si="5"/>
        <v>0</v>
      </c>
      <c r="AJ5" s="101">
        <f t="shared" si="6"/>
        <v>0</v>
      </c>
      <c r="AK5" s="16" t="str">
        <f>IF(OR(A5=3,A5=6,A5=9,A5=12),
SUMIFS($S:$S,$A:$A,$A5,$B:$B,"&gt;="&amp;(A5-2),$B:$B,"&lt;="&amp;A5,$D:$D,$D5),
"")</f>
        <v/>
      </c>
      <c r="AL5" s="22" t="str">
        <f t="shared" ref="AL5" si="7">IF(AJ5&gt;AK5,AJ5-AK5,"")</f>
        <v/>
      </c>
    </row>
    <row r="6" spans="1:38">
      <c r="A6" s="7">
        <v>2026</v>
      </c>
      <c r="B6" s="7">
        <v>3</v>
      </c>
      <c r="C6" s="7" t="str">
        <v>Marcelo Maestro</v>
      </c>
      <c r="D6" s="7" t="str">
        <v>marcelo.maestro@altoqi.com.br</v>
      </c>
      <c r="E6" s="7" t="str">
        <v>Governo</v>
      </c>
      <c r="F6" s="7" t="str">
        <v>Gestor</v>
      </c>
      <c r="G6" s="15">
        <f>SUMIFS('Comissões B2G'!L:L,'Comissões B2G'!A:A,A6,'Comissões B2G'!B:B,B6)</f>
        <v>2816764</v>
      </c>
      <c r="H6" s="16">
        <f>SUMIFS(Metas!K:K,Metas!A:A,A6,Metas!B:B,B6,Metas!D:D,D6,Metas!H:H,G$1)</f>
        <v>1566247.76</v>
      </c>
      <c r="I6" s="10">
        <f>IFERROR(G6/H6,0)</f>
        <v>1.7984153413889001</v>
      </c>
      <c r="J6" s="9">
        <f>SUMIFS(Metas!L:L,Metas!A:A,A6,Metas!B:B,B6,Metas!D:D,D6,Metas!H:H,G$1)</f>
        <v>0.8</v>
      </c>
      <c r="K6" s="35">
        <f>COUNTIFS('Comissões B2G'!A:A,A6,'Comissões B2G'!B:B,B6,'Comissões B2G'!N:N,"&gt;=1") / COUNTIFS('Comissões B2G'!A:A,A6,'Comissões B2G'!B:B,B6)</f>
        <v>0.6</v>
      </c>
      <c r="L6" s="9">
        <f>SUMIFS(Metas!K:K,Metas!A:A,A6,Metas!B:B,B6,Metas!D:D,D6,Metas!H:H,K$1)</f>
        <v>0.8</v>
      </c>
      <c r="M6" s="10">
        <f>IFERROR(K6/L6,0)</f>
        <v>0.74999999999999989</v>
      </c>
      <c r="N6" s="9">
        <f>SUMIFS(Metas!L:L,Metas!A:A,A6,Metas!B:B,B6,Metas!D:D,D6,Metas!H:H,K$1)</f>
        <v>0.2</v>
      </c>
      <c r="O6" s="35">
        <f>(I6*J6)+(M6*N6)</f>
        <v>1.5887322731111202</v>
      </c>
      <c r="P6" s="15">
        <f>MAX(_xlfn.MAXIFS(Parâmetros!O:O,Parâmetros!A:A,A6,Parâmetros!B:B,B6,Parâmetros!D:D,D6,Parâmetros!M:M,"&lt;="&amp;I6),_xlfn.MAXIFS(Parâmetros!L:L,Parâmetros!A:A,A6,Parâmetros!B:B,B6,Parâmetros!D:D,D6,Parâmetros!J:J,"&lt;="&amp;I6),SUMIFS(Parâmetros!I:I,Parâmetros!A:A,A6,Parâmetros!B:B,B6,Parâmetros!D:D,D6))</f>
        <v>11500</v>
      </c>
      <c r="Q6" s="9">
        <f>MAX(_xlfn.MAXIFS(Parâmetros!Q:Q,Parâmetros!A:A,A6,Parâmetros!B:B,B6,Parâmetros!D:D,D6,Parâmetros!P:P,"&lt;="&amp;I6),_xlfn.MAXIFS(Parâmetros!S:S,Parâmetros!A:A,A6,Parâmetros!B:B,B6,Parâmetros!D:D,D6,Parâmetros!R:R,"&lt;="&amp;I6),_xlfn.MAXIFS(Parâmetros!U:U,Parâmetros!A:A,A6,Parâmetros!B:B,B6,Parâmetros!D:D,D6,Parâmetros!T:T,"&lt;="&amp;I6),1) * IF(I6 &gt;= SUMIFS(Parâmetros!G:G,Parâmetros!A:A,A6,Parâmetros!B:B,B6,Parâmetros!D:D,D6),1,0)</f>
        <v>1.25</v>
      </c>
      <c r="R6" s="16">
        <f>P6*Q6</f>
        <v>14375</v>
      </c>
      <c r="S6" s="16">
        <f>R6*O6</f>
        <v>22838.026425972352</v>
      </c>
      <c r="T6" s="15">
        <f>IF(OR(B6=3,B6=6,B6=9,B6=12),
SUMIFS($G:$G,$A:$A,$A6,$B:$B,"&gt;="&amp;(B6-2),$B:$B,"&lt;="&amp;B6,$D:$D,$D6),
"")</f>
        <v>5511578.0800000001</v>
      </c>
      <c r="U6" s="16">
        <f>IF(OR(B6=3,B6=6,B6=9,B6=12),
SUMIFS($H:$H,$A:$A,$A6,$B:$B,"&gt;="&amp;(B6-2),$B:$B,"&lt;="&amp;B6,$D:$D,$D6),
"")</f>
        <v>5611070.96</v>
      </c>
      <c r="V6" s="90">
        <f t="shared" ref="V6" si="8">IFERROR(T6/U6,0)</f>
        <v>0.98226846876304696</v>
      </c>
      <c r="W6" s="7" t="str">
        <f>IF(OR(F6=3,F6=6,F6=9,F6=12),
IF(V6&gt;=1,V6*0.9,""),"")</f>
        <v/>
      </c>
      <c r="X6" s="15">
        <f>T6</f>
        <v>5511578.0800000001</v>
      </c>
      <c r="Y6" s="16">
        <f>U6</f>
        <v>5611070.96</v>
      </c>
      <c r="Z6" s="10">
        <f t="shared" ref="Z6" si="9">IFERROR(X6/Y6,0)</f>
        <v>0.98226846876304696</v>
      </c>
      <c r="AA6" s="99">
        <f>SUMIFS(Metas!L:L,Metas!A:A,A6,Metas!B:B,B6,Metas!D:D,D6,Metas!H:H,X$2)</f>
        <v>0.8</v>
      </c>
      <c r="AB6" s="106">
        <f>IF(OR(B6=3,B6=6,B6=9,B6=12),
COUNTIFS('Comissões B2G'!A:A,A6,
         'Comissões B2G'!B:B,"&gt;="&amp;(B6-2),
         'Comissões B2G'!B:B,"&lt;="&amp;B6,
         'Comissões B2G'!N:N,"&gt;=1")
/
COUNTIFS('Comissões B2G'!A:A,A6,
         'Comissões B2G'!B:B,"&gt;="&amp;(B6-2),
         'Comissões B2G'!B:B,"&lt;="&amp;B6),
"")</f>
        <v>0.3125</v>
      </c>
      <c r="AC6" s="9">
        <f>L6</f>
        <v>0.8</v>
      </c>
      <c r="AD6" s="10">
        <f t="shared" ref="AD6" si="10">IFERROR(AB6/AC6,0)</f>
        <v>0.390625</v>
      </c>
      <c r="AE6" s="99">
        <f>SUMIFS(Metas!L:L,Metas!A:A,A6,Metas!B:B,B6,Metas!D:D,D6,Metas!H:H,AB$2)</f>
        <v>0.2</v>
      </c>
      <c r="AF6" s="90">
        <f>(Z6*AA6)+(AD6*AE6)</f>
        <v>0.86393977501043762</v>
      </c>
      <c r="AG6" s="16">
        <f>IF(OR(B6=3,B6=6,B6=9,B6=12),
SUMIFS($P:$P,$A:$A,$A6,$B:$B,"&gt;="&amp;(B6-2),$B:$B,"&lt;="&amp;B6,$D:$D,$D6),
"")</f>
        <v>34500</v>
      </c>
      <c r="AH6" s="102" cm="1">
        <f t="array" ref="AH6">_xlfn.LET(
_xlpm.a,A6,
_xlpm.b,B6,
_xlpm.d,D6,
_xlpm.lim,Z6,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1.25</v>
      </c>
      <c r="AI6" s="16">
        <f t="shared" ref="AI6" si="11">IFERROR(AG6*AH6,0)</f>
        <v>43125</v>
      </c>
      <c r="AJ6" s="101">
        <f t="shared" ref="AJ6" si="12">AI6*AF6</f>
        <v>37257.402797325121</v>
      </c>
      <c r="AK6" s="16">
        <f>IF(OR(B6=3,B6=6,B6=9,B6=12),
SUMIFS($S:$S,$A:$A,$A6,$B:$B,"&gt;="&amp;(B6-2),$B:$B,"&lt;="&amp;B6,$D:$D,$D6),
"")</f>
        <v>34165.548435578734</v>
      </c>
      <c r="AL6" s="22">
        <f t="shared" ref="AL6" si="13">IF(AJ6&gt;AK6,AJ6-AK6,"")</f>
        <v>3091.8543617463874</v>
      </c>
    </row>
    <row r="7" spans="1:38">
      <c r="A7" s="7">
        <v>2026</v>
      </c>
      <c r="B7" s="7">
        <v>4</v>
      </c>
      <c r="C7" s="7" t="str">
        <v>Marcelo Maestro</v>
      </c>
      <c r="D7" s="7" t="str">
        <v>marcelo.maestro@altoqi.com.br</v>
      </c>
      <c r="E7" s="7" t="str">
        <v>Governo</v>
      </c>
      <c r="F7" s="7" t="str">
        <v>Gestor</v>
      </c>
      <c r="G7" s="15">
        <f>SUMIFS('Comissões B2G'!L:L,'Comissões B2G'!A:A,A7,'Comissões B2G'!B:B,B7)</f>
        <v>2400456.7199999997</v>
      </c>
      <c r="H7" s="16">
        <f>SUMIFS(Metas!K:K,Metas!A:A,A7,Metas!B:B,B7,Metas!D:D,D7,Metas!H:H,G$1)</f>
        <v>1919568.64</v>
      </c>
      <c r="I7" s="10">
        <f>IFERROR(G7/H7,0)</f>
        <v>1.2505188248959933</v>
      </c>
      <c r="J7" s="9">
        <f>SUMIFS(Metas!L:L,Metas!A:A,A7,Metas!B:B,B7,Metas!D:D,D7,Metas!H:H,G$1)</f>
        <v>0.8</v>
      </c>
      <c r="K7" s="35">
        <f>COUNTIFS('Comissões B2G'!A:A,A7,'Comissões B2G'!B:B,B7,'Comissões B2G'!N:N,"&gt;=1") / COUNTIFS('Comissões B2G'!A:A,A7,'Comissões B2G'!B:B,B7)</f>
        <v>0.4</v>
      </c>
      <c r="L7" s="9">
        <f>SUMIFS(Metas!K:K,Metas!A:A,A7,Metas!B:B,B7,Metas!D:D,D7,Metas!H:H,K$1)</f>
        <v>0.8</v>
      </c>
      <c r="M7" s="10">
        <f>IFERROR(K7/L7,0)</f>
        <v>0.5</v>
      </c>
      <c r="N7" s="9">
        <f>SUMIFS(Metas!L:L,Metas!A:A,A7,Metas!B:B,B7,Metas!D:D,D7,Metas!H:H,K$1)</f>
        <v>0.2</v>
      </c>
      <c r="O7" s="35">
        <f>(I7*J7)+(M7*N7)</f>
        <v>1.1004150599167948</v>
      </c>
      <c r="P7" s="15">
        <f>MAX(_xlfn.MAXIFS(Parâmetros!O:O,Parâmetros!A:A,A7,Parâmetros!B:B,B7,Parâmetros!D:D,D7,Parâmetros!M:M,"&lt;="&amp;I7),_xlfn.MAXIFS(Parâmetros!L:L,Parâmetros!A:A,A7,Parâmetros!B:B,B7,Parâmetros!D:D,D7,Parâmetros!J:J,"&lt;="&amp;I7),SUMIFS(Parâmetros!I:I,Parâmetros!A:A,A7,Parâmetros!B:B,B7,Parâmetros!D:D,D7))</f>
        <v>12075</v>
      </c>
      <c r="Q7" s="9">
        <f>MAX(_xlfn.MAXIFS(Parâmetros!Q:Q,Parâmetros!A:A,A7,Parâmetros!B:B,B7,Parâmetros!D:D,D7,Parâmetros!P:P,"&lt;="&amp;I7),_xlfn.MAXIFS(Parâmetros!S:S,Parâmetros!A:A,A7,Parâmetros!B:B,B7,Parâmetros!D:D,D7,Parâmetros!R:R,"&lt;="&amp;I7),_xlfn.MAXIFS(Parâmetros!U:U,Parâmetros!A:A,A7,Parâmetros!B:B,B7,Parâmetros!D:D,D7,Parâmetros!T:T,"&lt;="&amp;I7),1) * IF(I7 &gt;= SUMIFS(Parâmetros!G:G,Parâmetros!A:A,A7,Parâmetros!B:B,B7,Parâmetros!D:D,D7),1,0)</f>
        <v>1.25</v>
      </c>
      <c r="R7" s="16">
        <f>P7*Q7</f>
        <v>15093.75</v>
      </c>
      <c r="S7" s="16">
        <f>R7*O7</f>
        <v>16609.389810619123</v>
      </c>
      <c r="T7" s="15" t="str">
        <f>IF(OR(B7=3,B7=6,B7=9,B7=12),
SUMIFS($G:$G,$A:$A,$A7,$B:$B,"&gt;="&amp;(B7-2),$B:$B,"&lt;="&amp;B7,$D:$D,$D7),
"")</f>
        <v/>
      </c>
      <c r="U7" s="16" t="str">
        <f>IF(OR(B7=3,B7=6,B7=9,B7=12),
SUMIFS($H:$H,$A:$A,$A7,$B:$B,"&gt;="&amp;(B7-2),$B:$B,"&lt;="&amp;B7,$D:$D,$D7),
"")</f>
        <v/>
      </c>
      <c r="V7" s="90">
        <f t="shared" ref="V7" si="14">IFERROR(T7/U7,0)</f>
        <v>0</v>
      </c>
      <c r="W7" s="7" t="str">
        <f>IF(OR(F7=3,F7=6,F7=9,F7=12),
IF(V7&gt;=1,V7*0.9,""),"")</f>
        <v/>
      </c>
      <c r="X7" s="15" t="str">
        <f>T7</f>
        <v/>
      </c>
      <c r="Y7" s="16" t="str">
        <f>U7</f>
        <v/>
      </c>
      <c r="Z7" s="10">
        <f t="shared" ref="Z7" si="15">IFERROR(X7/Y7,0)</f>
        <v>0</v>
      </c>
      <c r="AA7" s="99">
        <f>SUMIFS(Metas!L:L,Metas!A:A,A7,Metas!B:B,B7,Metas!D:D,D7,Metas!H:H,X$2)</f>
        <v>0.8</v>
      </c>
      <c r="AB7" s="106" t="str">
        <f>IF(OR(B7=3,B7=6,B7=9,B7=12),
COUNTIFS('Comissões B2G'!A:A,A7,
         'Comissões B2G'!B:B,"&gt;="&amp;(B7-2),
         'Comissões B2G'!B:B,"&lt;="&amp;B7,
         'Comissões B2G'!N:N,"&gt;=1")
/
COUNTIFS('Comissões B2G'!A:A,A7,
         'Comissões B2G'!B:B,"&gt;="&amp;(B7-2),
         'Comissões B2G'!B:B,"&lt;="&amp;B7),
"")</f>
        <v/>
      </c>
      <c r="AC7" s="9">
        <f>L7</f>
        <v>0.8</v>
      </c>
      <c r="AD7" s="10">
        <f t="shared" ref="AD7" si="16">IFERROR(AB7/AC7,0)</f>
        <v>0</v>
      </c>
      <c r="AE7" s="99">
        <f>SUMIFS(Metas!L:L,Metas!A:A,A7,Metas!B:B,B7,Metas!D:D,D7,Metas!H:H,AB$2)</f>
        <v>0.2</v>
      </c>
      <c r="AF7" s="90">
        <f>(Z7*AA7)+(AD7*AE7)</f>
        <v>0</v>
      </c>
      <c r="AG7" s="16" t="str">
        <f>IF(OR(B7=3,B7=6,B7=9,B7=12),
SUMIFS($P:$P,$A:$A,$A7,$B:$B,"&gt;="&amp;(B7-2),$B:$B,"&lt;="&amp;B7,$D:$D,$D7),
"")</f>
        <v/>
      </c>
      <c r="AH7" s="102" cm="1">
        <f t="array" ref="AH7">_xlfn.LET(
_xlpm.a,A7,
_xlpm.b,B7,
_xlpm.d,D7,
_xlpm.lim,Z7,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0</v>
      </c>
      <c r="AI7" s="16">
        <f t="shared" ref="AI7" si="17">IFERROR(AG7*AH7,0)</f>
        <v>0</v>
      </c>
      <c r="AJ7" s="101">
        <f t="shared" ref="AJ7" si="18">AI7*AF7</f>
        <v>0</v>
      </c>
      <c r="AK7" s="16" t="str">
        <f>IF(OR(B7=3,B7=6,B7=9,B7=12),
SUMIFS($S:$S,$A:$A,$A7,$B:$B,"&gt;="&amp;(B7-2),$B:$B,"&lt;="&amp;B7,$D:$D,$D7),
"")</f>
        <v/>
      </c>
      <c r="AL7" s="22" t="str">
        <f t="shared" ref="AL7" si="19">IF(AJ7&gt;AK7,AJ7-AK7,"")</f>
        <v/>
      </c>
    </row>
    <row r="8" spans="1:38">
      <c r="A8" s="7">
        <v>2026</v>
      </c>
      <c r="B8" s="7">
        <v>5</v>
      </c>
      <c r="C8" s="7" t="str">
        <v>Marcelo Maestro</v>
      </c>
      <c r="D8" s="7" t="str">
        <v>marcelo.maestro@altoqi.com.br</v>
      </c>
      <c r="E8" s="7" t="str">
        <v>Governo</v>
      </c>
      <c r="F8" s="7" t="str">
        <v>Gestor</v>
      </c>
      <c r="G8" s="15">
        <f>SUMIFS(Negócios!I:I,Negócios!A:A,A8,Negócios!B:B,B8,Negócios!Q:Q,"B2G",Negócios!AH:AH,"&lt;&gt;n")</f>
        <v>10664.04</v>
      </c>
      <c r="H8" s="16">
        <f>SUMIFS(Metas!K:K,Metas!A:A,A8,Metas!B:B,B8,Metas!D:D,D8,Metas!H:H,G$1)</f>
        <v>1919568.94</v>
      </c>
      <c r="I8" s="10">
        <f>IFERROR(G8/H8,0)</f>
        <v>5.5554347529711548E-3</v>
      </c>
      <c r="J8" s="9">
        <f>SUMIFS(Metas!L:L,Metas!A:A,A8,Metas!B:B,B8,Metas!D:D,D8,Metas!H:H,G$1)</f>
        <v>0.8</v>
      </c>
      <c r="K8" s="35">
        <f>COUNTIFS('Comissões B2G'!A:A,A8,'Comissões B2G'!B:B,B8,'Comissões B2G'!N:N,"&gt;=1") / COUNTIFS('Comissões B2G'!A:A,A8,'Comissões B2G'!B:B,B8)</f>
        <v>0.27272727272727271</v>
      </c>
      <c r="L8" s="9">
        <f>SUMIFS(Metas!K:K,Metas!A:A,A8,Metas!B:B,B8,Metas!D:D,D8,Metas!H:H,K$1)</f>
        <v>0.8</v>
      </c>
      <c r="M8" s="10">
        <f>IFERROR(K8/L8,0)</f>
        <v>0.34090909090909088</v>
      </c>
      <c r="N8" s="9">
        <f>SUMIFS(Metas!L:L,Metas!A:A,A8,Metas!B:B,B8,Metas!D:D,D8,Metas!H:H,K$1)</f>
        <v>0.2</v>
      </c>
      <c r="O8" s="35">
        <f>(I8*J8)+(M8*N8)</f>
        <v>7.2626165984195107E-2</v>
      </c>
      <c r="P8" s="15">
        <f>MAX(_xlfn.MAXIFS(Parâmetros!O:O,Parâmetros!A:A,A8,Parâmetros!B:B,B8,Parâmetros!D:D,D8,Parâmetros!M:M,"&lt;="&amp;I8),_xlfn.MAXIFS(Parâmetros!L:L,Parâmetros!A:A,A8,Parâmetros!B:B,B8,Parâmetros!D:D,D8,Parâmetros!J:J,"&lt;="&amp;I8),SUMIFS(Parâmetros!I:I,Parâmetros!A:A,A8,Parâmetros!B:B,B8,Parâmetros!D:D,D8))</f>
        <v>12075</v>
      </c>
      <c r="Q8" s="9">
        <f>MAX(_xlfn.MAXIFS(Parâmetros!Q:Q,Parâmetros!A:A,A8,Parâmetros!B:B,B8,Parâmetros!D:D,D8,Parâmetros!P:P,"&lt;="&amp;I8),_xlfn.MAXIFS(Parâmetros!S:S,Parâmetros!A:A,A8,Parâmetros!B:B,B8,Parâmetros!D:D,D8,Parâmetros!R:R,"&lt;="&amp;I8),_xlfn.MAXIFS(Parâmetros!U:U,Parâmetros!A:A,A8,Parâmetros!B:B,B8,Parâmetros!D:D,D8,Parâmetros!T:T,"&lt;="&amp;I8),1) * IF(I8 &gt;= SUMIFS(Parâmetros!G:G,Parâmetros!A:A,A8,Parâmetros!B:B,B8,Parâmetros!D:D,D8),1,0)</f>
        <v>0</v>
      </c>
      <c r="R8" s="16">
        <f>P8*Q8</f>
        <v>0</v>
      </c>
      <c r="S8" s="16">
        <f>R8*O8</f>
        <v>0</v>
      </c>
      <c r="T8" s="15" t="str">
        <f>IF(OR(B8=3,B8=6,B8=9,B8=12),
SUMIFS($G:$G,$A:$A,$A8,$B:$B,"&gt;="&amp;(B8-2),$B:$B,"&lt;="&amp;B8,$D:$D,$D8),
"")</f>
        <v/>
      </c>
      <c r="U8" s="16" t="str">
        <f>IF(OR(B8=3,B8=6,B8=9,B8=12),
SUMIFS($H:$H,$A:$A,$A8,$B:$B,"&gt;="&amp;(B8-2),$B:$B,"&lt;="&amp;B8,$D:$D,$D8),
"")</f>
        <v/>
      </c>
      <c r="V8" s="90">
        <f t="shared" ref="V8" si="20">IFERROR(T8/U8,0)</f>
        <v>0</v>
      </c>
      <c r="W8" s="7" t="str">
        <f>IF(OR(F8=3,F8=6,F8=9,F8=12),
IF(V8&gt;=1,V8*0.9,""),"")</f>
        <v/>
      </c>
      <c r="X8" s="15" t="str">
        <f>T8</f>
        <v/>
      </c>
      <c r="Y8" s="16" t="str">
        <f>U8</f>
        <v/>
      </c>
      <c r="Z8" s="10">
        <f t="shared" ref="Z8" si="21">IFERROR(X8/Y8,0)</f>
        <v>0</v>
      </c>
      <c r="AA8" s="99">
        <f>SUMIFS(Metas!L:L,Metas!A:A,A8,Metas!B:B,B8,Metas!D:D,D8,Metas!H:H,X$2)</f>
        <v>0.8</v>
      </c>
      <c r="AB8" s="106" t="str">
        <f>IF(OR(B8=3,B8=6,B8=9,B8=12),
COUNTIFS('Comissões B2G'!A:A,A8,
         'Comissões B2G'!B:B,"&gt;="&amp;(B8-2),
         'Comissões B2G'!B:B,"&lt;="&amp;B8,
         'Comissões B2G'!N:N,"&gt;=1")
/
COUNTIFS('Comissões B2G'!A:A,A8,
         'Comissões B2G'!B:B,"&gt;="&amp;(B8-2),
         'Comissões B2G'!B:B,"&lt;="&amp;B8),
"")</f>
        <v/>
      </c>
      <c r="AC8" s="9">
        <f>L8</f>
        <v>0.8</v>
      </c>
      <c r="AD8" s="10">
        <f t="shared" ref="AD8" si="22">IFERROR(AB8/AC8,0)</f>
        <v>0</v>
      </c>
      <c r="AE8" s="99">
        <f>SUMIFS(Metas!L:L,Metas!A:A,A8,Metas!B:B,B8,Metas!D:D,D8,Metas!H:H,AB$2)</f>
        <v>0.2</v>
      </c>
      <c r="AF8" s="90">
        <f>(Z8*AA8)+(AD8*AE8)</f>
        <v>0</v>
      </c>
      <c r="AG8" s="16" t="str">
        <f>IF(OR(B8=3,B8=6,B8=9,B8=12),
SUMIFS($P:$P,$A:$A,$A8,$B:$B,"&gt;="&amp;(B8-2),$B:$B,"&lt;="&amp;B8,$D:$D,$D8),
"")</f>
        <v/>
      </c>
      <c r="AH8" s="102" cm="1">
        <f t="array" ref="AH8">_xlfn.LET(
_xlpm.a,A8,
_xlpm.b,B8,
_xlpm.d,D8,
_xlpm.lim,Z8,
_xlpm.gat,SUMIFS(Parâmetros!G:G,Parâmetros!A:A,_xlpm.a,Parâmetros!B:B,_xlpm.b,Parâmetros!D:D,_xlpm.d),
IF(
_xlpm.lim&gt;=_xlpm.gat,
MAX(
_xlfn.MAXIFS(Parâmetros!Q:Q,Parâmetros!A:A,_xlpm.a,Parâmetros!B:B,_xlpm.b,Parâmetros!D:D,_xlpm.d,Parâmetros!P:P,"&lt;="&amp;_xlpm.lim),
_xlfn.MAXIFS(Parâmetros!S:S,Parâmetros!A:A,_xlpm.a,Parâmetros!B:B,_xlpm.b,Parâmetros!D:D,_xlpm.d,Parâmetros!R:R,"&lt;="&amp;_xlpm.lim),
_xlfn.MAXIFS(Parâmetros!U:U,Parâmetros!A:A,_xlpm.a,Parâmetros!B:B,_xlpm.b,Parâmetros!D:D,_xlpm.d,Parâmetros!T:T,"&lt;="&amp;_xlpm.lim),
1
),
0
)
)</f>
        <v>0</v>
      </c>
      <c r="AI8" s="16">
        <f t="shared" ref="AI8" si="23">IFERROR(AG8*AH8,0)</f>
        <v>0</v>
      </c>
      <c r="AJ8" s="101">
        <f t="shared" ref="AJ8" si="24">AI8*AF8</f>
        <v>0</v>
      </c>
      <c r="AK8" s="16" t="str">
        <f>IF(OR(B8=3,B8=6,B8=9,B8=12),
SUMIFS($S:$S,$A:$A,$A8,$B:$B,"&gt;="&amp;(B8-2),$B:$B,"&lt;="&amp;B8,$D:$D,$D8),
"")</f>
        <v/>
      </c>
      <c r="AL8" s="22" t="str">
        <f t="shared" ref="AL8" si="25">IF(AJ8&gt;AK8,AJ8-AK8,"")</f>
        <v/>
      </c>
    </row>
    <row r="10" spans="1:38">
      <c r="AB10" s="85"/>
    </row>
    <row r="11" spans="1:38">
      <c r="AB11" s="85"/>
    </row>
  </sheetData>
  <mergeCells count="8">
    <mergeCell ref="T1:W2"/>
    <mergeCell ref="X1:AL1"/>
    <mergeCell ref="X2:AA2"/>
    <mergeCell ref="AB2:AE2"/>
    <mergeCell ref="G1:J2"/>
    <mergeCell ref="K1:N2"/>
    <mergeCell ref="O1:O2"/>
    <mergeCell ref="P1:S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8CAA7-96E0-451D-93DA-0B7700D63A98}">
  <dimension ref="B2:U27"/>
  <sheetViews>
    <sheetView topLeftCell="A7" workbookViewId="0">
      <selection activeCell="J25" sqref="J25"/>
    </sheetView>
  </sheetViews>
  <sheetFormatPr defaultRowHeight="15"/>
  <cols>
    <col min="1" max="1" width="4.28515625" customWidth="1"/>
    <col min="2" max="2" width="16.7109375" bestFit="1" customWidth="1"/>
    <col min="3" max="3" width="13.7109375" bestFit="1" customWidth="1"/>
    <col min="4" max="4" width="15.28515625" bestFit="1" customWidth="1"/>
    <col min="5" max="5" width="12.5703125" bestFit="1" customWidth="1"/>
    <col min="7" max="7" width="14.5703125" bestFit="1" customWidth="1"/>
    <col min="8" max="9" width="14" bestFit="1" customWidth="1"/>
    <col min="10" max="10" width="11.42578125" bestFit="1" customWidth="1"/>
    <col min="12" max="12" width="9.42578125" bestFit="1" customWidth="1"/>
    <col min="13" max="14" width="14" bestFit="1" customWidth="1"/>
    <col min="15" max="15" width="8.7109375" bestFit="1" customWidth="1"/>
    <col min="16" max="17" width="14" bestFit="1" customWidth="1"/>
    <col min="18" max="18" width="8.7109375" bestFit="1" customWidth="1"/>
    <col min="19" max="20" width="14" bestFit="1" customWidth="1"/>
    <col min="21" max="21" width="8.7109375" bestFit="1" customWidth="1"/>
  </cols>
  <sheetData>
    <row r="2" spans="2:21">
      <c r="B2" s="137" t="s">
        <v>4552</v>
      </c>
      <c r="C2" s="138"/>
      <c r="D2" s="138"/>
      <c r="E2" s="139"/>
      <c r="F2" s="37"/>
      <c r="G2" s="140" t="s">
        <v>4553</v>
      </c>
      <c r="H2" s="138"/>
      <c r="I2" s="138"/>
      <c r="J2" s="139"/>
      <c r="K2" s="37"/>
      <c r="L2" s="141" t="s">
        <v>4554</v>
      </c>
      <c r="M2" s="142"/>
      <c r="N2" s="142"/>
      <c r="O2" s="142"/>
      <c r="P2" s="142"/>
      <c r="Q2" s="142"/>
      <c r="R2" s="142"/>
      <c r="S2" s="142"/>
      <c r="T2" s="142"/>
      <c r="U2" s="143"/>
    </row>
    <row r="3" spans="2:21">
      <c r="B3" s="38" t="s">
        <v>4555</v>
      </c>
      <c r="C3" s="40">
        <v>0.3</v>
      </c>
      <c r="D3" s="2"/>
      <c r="E3" s="3"/>
      <c r="F3" s="3"/>
      <c r="G3" s="39" t="s">
        <v>4556</v>
      </c>
      <c r="H3" s="40">
        <v>0.5</v>
      </c>
      <c r="I3" s="2"/>
      <c r="J3" s="3"/>
      <c r="K3" s="3"/>
      <c r="L3" s="3"/>
      <c r="M3" s="144">
        <v>46023</v>
      </c>
      <c r="N3" s="145"/>
      <c r="O3" s="146"/>
      <c r="P3" s="147">
        <v>46054</v>
      </c>
      <c r="Q3" s="145"/>
      <c r="R3" s="148"/>
      <c r="S3" s="147">
        <v>46082</v>
      </c>
      <c r="T3" s="145"/>
      <c r="U3" s="148"/>
    </row>
    <row r="4" spans="2:21">
      <c r="B4" s="38" t="s">
        <v>4557</v>
      </c>
      <c r="C4" s="40">
        <v>0.7</v>
      </c>
      <c r="D4" s="2"/>
      <c r="E4" s="3"/>
      <c r="F4" s="3"/>
      <c r="G4" s="39" t="s">
        <v>4558</v>
      </c>
      <c r="H4" s="40">
        <v>0.5</v>
      </c>
      <c r="I4" s="2"/>
      <c r="J4" s="3"/>
      <c r="K4" s="3"/>
      <c r="L4" s="3"/>
      <c r="M4" s="43" t="s">
        <v>4521</v>
      </c>
      <c r="N4" s="43" t="s">
        <v>4559</v>
      </c>
      <c r="O4" s="43" t="s">
        <v>4423</v>
      </c>
      <c r="P4" s="43" t="s">
        <v>4521</v>
      </c>
      <c r="Q4" s="43" t="s">
        <v>4559</v>
      </c>
      <c r="R4" s="43" t="s">
        <v>4423</v>
      </c>
      <c r="S4" s="43" t="s">
        <v>4521</v>
      </c>
      <c r="T4" s="43" t="s">
        <v>4559</v>
      </c>
      <c r="U4" s="43" t="s">
        <v>4423</v>
      </c>
    </row>
    <row r="5" spans="2:21">
      <c r="B5" s="4"/>
      <c r="C5" s="5"/>
      <c r="D5" s="5"/>
      <c r="E5" s="6"/>
      <c r="F5" s="3"/>
      <c r="G5" s="5"/>
      <c r="H5" s="5"/>
      <c r="I5" s="5"/>
      <c r="J5" s="6"/>
      <c r="K5" s="3"/>
      <c r="L5" s="41" t="s">
        <v>314</v>
      </c>
      <c r="M5" s="44">
        <v>14603</v>
      </c>
      <c r="N5" s="44">
        <v>14827.25</v>
      </c>
      <c r="O5" s="45">
        <f>IFERROR(N5/M5,0)</f>
        <v>1.0153564336095322</v>
      </c>
      <c r="P5" s="44">
        <v>18893</v>
      </c>
      <c r="Q5" s="44">
        <v>15198.87</v>
      </c>
      <c r="R5" s="45">
        <f>IFERROR(Q5/P5,0)</f>
        <v>0.80447096808341723</v>
      </c>
      <c r="S5" s="44">
        <v>23000</v>
      </c>
      <c r="T5" s="44">
        <v>20253.759999999998</v>
      </c>
      <c r="U5" s="45">
        <f t="shared" ref="U5:U10" si="0">IFERROR(T5/S5,0)</f>
        <v>0.88059826086956516</v>
      </c>
    </row>
    <row r="6" spans="2:21">
      <c r="B6" s="60" t="s">
        <v>4560</v>
      </c>
      <c r="C6" s="51" t="s">
        <v>4521</v>
      </c>
      <c r="D6" s="51" t="s">
        <v>4267</v>
      </c>
      <c r="E6" s="51" t="s">
        <v>4561</v>
      </c>
      <c r="F6" s="3"/>
      <c r="G6" s="51" t="s">
        <v>4562</v>
      </c>
      <c r="H6" s="51" t="s">
        <v>4521</v>
      </c>
      <c r="I6" s="51" t="s">
        <v>4267</v>
      </c>
      <c r="J6" s="51" t="s">
        <v>4561</v>
      </c>
      <c r="K6" s="3"/>
      <c r="L6" s="41" t="s">
        <v>4563</v>
      </c>
      <c r="M6" s="44">
        <v>25377</v>
      </c>
      <c r="N6" s="44">
        <v>6152.97</v>
      </c>
      <c r="O6" s="45">
        <f>IFERROR(N6/M6,0)</f>
        <v>0.24246246601253105</v>
      </c>
      <c r="P6" s="44">
        <v>28760.600000000002</v>
      </c>
      <c r="Q6" s="44">
        <v>17626.12</v>
      </c>
      <c r="R6" s="45">
        <f>IFERROR(Q6/P6,0)</f>
        <v>0.61285647726403469</v>
      </c>
      <c r="S6" s="44">
        <v>28760.600000000002</v>
      </c>
      <c r="T6" s="44">
        <v>19339.330000000002</v>
      </c>
      <c r="U6" s="45">
        <f t="shared" si="0"/>
        <v>0.67242442786311829</v>
      </c>
    </row>
    <row r="7" spans="2:21">
      <c r="B7" s="61" t="s">
        <v>4564</v>
      </c>
      <c r="C7" s="54">
        <v>94751</v>
      </c>
      <c r="D7" s="44">
        <v>110406.58</v>
      </c>
      <c r="E7" s="45">
        <f>IFERROR(D7/C7,0)</f>
        <v>1.165228651940349</v>
      </c>
      <c r="F7" s="3"/>
      <c r="G7" s="52" t="s">
        <v>4564</v>
      </c>
      <c r="H7" s="44">
        <f>M5</f>
        <v>14603</v>
      </c>
      <c r="I7" s="44">
        <f>N5</f>
        <v>14827.25</v>
      </c>
      <c r="J7" s="45">
        <f>IFERROR(I7/H7,0)</f>
        <v>1.0153564336095322</v>
      </c>
      <c r="K7" s="3"/>
      <c r="L7" s="41" t="s">
        <v>4565</v>
      </c>
      <c r="M7" s="44">
        <v>18835.997181946583</v>
      </c>
      <c r="N7" s="44">
        <v>12878.84</v>
      </c>
      <c r="O7" s="45">
        <f>IFERROR(N7/M7,0)</f>
        <v>0.68373550259095184</v>
      </c>
      <c r="P7" s="44">
        <v>20926.792869142653</v>
      </c>
      <c r="Q7" s="44">
        <v>7832.11</v>
      </c>
      <c r="R7" s="45">
        <f>IFERROR(Q7/P7,0)</f>
        <v>0.37426231764107254</v>
      </c>
      <c r="S7" s="44">
        <v>24258.338293910161</v>
      </c>
      <c r="T7" s="44">
        <v>9999.2900000000009</v>
      </c>
      <c r="U7" s="45">
        <f t="shared" si="0"/>
        <v>0.4122001218241001</v>
      </c>
    </row>
    <row r="8" spans="2:21">
      <c r="B8" s="61" t="s">
        <v>4566</v>
      </c>
      <c r="C8" s="54">
        <v>92887</v>
      </c>
      <c r="D8" s="44">
        <v>176874.09</v>
      </c>
      <c r="E8" s="45">
        <f t="shared" ref="E8:E10" si="1">IFERROR(D8/C8,0)</f>
        <v>1.9041856233918633</v>
      </c>
      <c r="F8" s="3"/>
      <c r="G8" s="52" t="s">
        <v>4566</v>
      </c>
      <c r="H8" s="44">
        <f>P5</f>
        <v>18893</v>
      </c>
      <c r="I8" s="44">
        <f>Q5</f>
        <v>15198.87</v>
      </c>
      <c r="J8" s="45">
        <f t="shared" ref="J8:J10" si="2">IFERROR(I8/H8,0)</f>
        <v>0.80447096808341723</v>
      </c>
      <c r="K8" s="3"/>
      <c r="L8" s="41" t="s">
        <v>191</v>
      </c>
      <c r="M8" s="44">
        <v>56165.506345000002</v>
      </c>
      <c r="N8" s="44">
        <v>40768.5</v>
      </c>
      <c r="O8" s="45">
        <f>IFERROR(N8/M8,0)</f>
        <v>0.72586365997623237</v>
      </c>
      <c r="P8" s="44">
        <v>57948.504936195233</v>
      </c>
      <c r="Q8" s="44">
        <v>57553.48</v>
      </c>
      <c r="R8" s="45">
        <f>IFERROR(Q8/P8,0)</f>
        <v>0.99318317294587366</v>
      </c>
      <c r="S8" s="44">
        <v>59940.912616554437</v>
      </c>
      <c r="T8" s="44">
        <v>59915.76</v>
      </c>
      <c r="U8" s="45">
        <f t="shared" si="0"/>
        <v>0.99958037648316544</v>
      </c>
    </row>
    <row r="9" spans="2:21">
      <c r="B9" s="61" t="s">
        <v>4567</v>
      </c>
      <c r="C9" s="54">
        <v>115564</v>
      </c>
      <c r="D9" s="44">
        <v>122847.24</v>
      </c>
      <c r="E9" s="45">
        <f t="shared" si="1"/>
        <v>1.0630234329029802</v>
      </c>
      <c r="F9" s="3"/>
      <c r="G9" s="52" t="s">
        <v>4567</v>
      </c>
      <c r="H9" s="44">
        <f>S5</f>
        <v>23000</v>
      </c>
      <c r="I9" s="44">
        <f>T5</f>
        <v>20253.759999999998</v>
      </c>
      <c r="J9" s="45">
        <f t="shared" si="2"/>
        <v>0.88059826086956516</v>
      </c>
      <c r="K9" s="3"/>
      <c r="L9" s="41" t="s">
        <v>300</v>
      </c>
      <c r="M9" s="44">
        <v>63623.996099999997</v>
      </c>
      <c r="N9" s="44">
        <v>32978.519999999997</v>
      </c>
      <c r="O9" s="45">
        <f>IFERROR(N9/M9,0)</f>
        <v>0.51833462249316342</v>
      </c>
      <c r="P9" s="44">
        <v>64273.220549999991</v>
      </c>
      <c r="Q9" s="44">
        <v>40944.57</v>
      </c>
      <c r="R9" s="45">
        <f>IFERROR(Q9/P9,0)</f>
        <v>0.63703934001794793</v>
      </c>
      <c r="S9" s="44">
        <v>64922.444999999992</v>
      </c>
      <c r="T9" s="44">
        <v>39985.85</v>
      </c>
      <c r="U9" s="45">
        <f t="shared" si="0"/>
        <v>0.61590178866492173</v>
      </c>
    </row>
    <row r="10" spans="2:21">
      <c r="B10" s="62" t="s">
        <v>4568</v>
      </c>
      <c r="C10" s="54">
        <f>SUM(C7:C9)</f>
        <v>303202</v>
      </c>
      <c r="D10" s="54">
        <f>SUM(D7:D9)</f>
        <v>410127.91</v>
      </c>
      <c r="E10" s="45">
        <f t="shared" si="1"/>
        <v>1.3526556882870164</v>
      </c>
      <c r="F10" s="3"/>
      <c r="G10" s="53" t="s">
        <v>4568</v>
      </c>
      <c r="H10" s="54">
        <f>SUM(H7:H9)</f>
        <v>56496</v>
      </c>
      <c r="I10" s="54">
        <f>SUM(I7:I9)</f>
        <v>50279.880000000005</v>
      </c>
      <c r="J10" s="45">
        <f t="shared" si="2"/>
        <v>0.88997238742565854</v>
      </c>
      <c r="K10" s="3"/>
      <c r="L10" s="42" t="s">
        <v>4569</v>
      </c>
      <c r="M10" s="44">
        <v>2000</v>
      </c>
      <c r="N10" s="44"/>
      <c r="O10" s="45"/>
      <c r="P10" s="44">
        <v>3000</v>
      </c>
      <c r="Q10" s="44"/>
      <c r="R10" s="45"/>
      <c r="S10" s="44">
        <v>3000</v>
      </c>
      <c r="T10" s="44"/>
      <c r="U10" s="45"/>
    </row>
    <row r="11" spans="2:21">
      <c r="B11" s="63"/>
      <c r="C11" s="48"/>
      <c r="D11" s="48"/>
      <c r="E11" s="49"/>
      <c r="F11" s="3"/>
      <c r="G11" s="48"/>
      <c r="H11" s="48"/>
      <c r="I11" s="48"/>
      <c r="J11" s="49"/>
      <c r="K11" s="3"/>
      <c r="L11" s="41" t="s">
        <v>4570</v>
      </c>
      <c r="M11" s="46">
        <f>SUM(M5:M10)</f>
        <v>180605.49962694658</v>
      </c>
      <c r="N11" s="46">
        <f>SUM(N5:N10)</f>
        <v>107606.07999999999</v>
      </c>
      <c r="O11" s="47">
        <f>IFERROR(N11/M11,0)</f>
        <v>0.59580732714268358</v>
      </c>
      <c r="P11" s="46">
        <f>SUM(P5:P10)</f>
        <v>193802.11835533788</v>
      </c>
      <c r="Q11" s="46">
        <f>SUM(Q5:Q10)</f>
        <v>139155.15</v>
      </c>
      <c r="R11" s="47">
        <f>IFERROR(Q11/P11,0)</f>
        <v>0.71802698123690167</v>
      </c>
      <c r="S11" s="46">
        <f>SUM(S5:S10)</f>
        <v>203882.2959104646</v>
      </c>
      <c r="T11" s="46">
        <f>SUM(T5:T10)</f>
        <v>149493.99</v>
      </c>
      <c r="U11" s="47">
        <f>IFERROR(T11/S11,0)</f>
        <v>0.73323674001420225</v>
      </c>
    </row>
    <row r="12" spans="2:21">
      <c r="B12" s="60" t="s">
        <v>4571</v>
      </c>
      <c r="C12" s="51" t="s">
        <v>4521</v>
      </c>
      <c r="D12" s="51" t="s">
        <v>4267</v>
      </c>
      <c r="E12" s="51" t="s">
        <v>4561</v>
      </c>
      <c r="F12" s="3"/>
      <c r="G12" s="51" t="s">
        <v>4572</v>
      </c>
      <c r="H12" s="51" t="s">
        <v>4521</v>
      </c>
      <c r="I12" s="51" t="s">
        <v>4267</v>
      </c>
      <c r="J12" s="51" t="s">
        <v>4561</v>
      </c>
      <c r="K12" s="3"/>
      <c r="L12" s="5"/>
      <c r="M12" s="48"/>
      <c r="N12" s="48"/>
      <c r="O12" s="48"/>
      <c r="P12" s="48"/>
      <c r="Q12" s="49"/>
      <c r="R12" s="50" t="s">
        <v>4573</v>
      </c>
      <c r="S12" s="46">
        <f>SUM(M11,P11,S11)</f>
        <v>578289.913892749</v>
      </c>
      <c r="T12" s="46">
        <f>SUM(N11,Q11,T11)</f>
        <v>396255.22</v>
      </c>
      <c r="U12" s="47">
        <f>IFERROR(T12/S12,0)</f>
        <v>0.68521897145432553</v>
      </c>
    </row>
    <row r="13" spans="2:21">
      <c r="B13" s="61" t="s">
        <v>4564</v>
      </c>
      <c r="C13" s="108"/>
      <c r="D13" s="108">
        <v>1.5800000000000002E-2</v>
      </c>
      <c r="E13" s="45">
        <f>IFERROR(D13/C13,0)</f>
        <v>0</v>
      </c>
      <c r="F13" s="3"/>
      <c r="G13" s="52" t="s">
        <v>4564</v>
      </c>
      <c r="H13" s="44">
        <f>M8</f>
        <v>56165.506345000002</v>
      </c>
      <c r="I13" s="44">
        <f>N8</f>
        <v>40768.5</v>
      </c>
      <c r="J13" s="45">
        <f>IFERROR(I13/H13,0)</f>
        <v>0.72586365997623237</v>
      </c>
      <c r="K13" s="2"/>
      <c r="L13" s="2"/>
      <c r="U13" s="3"/>
    </row>
    <row r="14" spans="2:21">
      <c r="B14" s="61" t="s">
        <v>4566</v>
      </c>
      <c r="C14" s="108"/>
      <c r="D14" s="108">
        <v>0.01</v>
      </c>
      <c r="E14" s="45">
        <f t="shared" ref="E14:E16" si="3">IFERROR(D14/C14,0)</f>
        <v>0</v>
      </c>
      <c r="F14" s="3"/>
      <c r="G14" s="52" t="s">
        <v>4566</v>
      </c>
      <c r="H14" s="44">
        <f>P8</f>
        <v>57948.504936195233</v>
      </c>
      <c r="I14" s="44">
        <f>Q8</f>
        <v>57553.48</v>
      </c>
      <c r="J14" s="45">
        <f t="shared" ref="J14:J16" si="4">IFERROR(I14/H14,0)</f>
        <v>0.99318317294587366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3"/>
    </row>
    <row r="15" spans="2:21">
      <c r="B15" s="61" t="s">
        <v>4567</v>
      </c>
      <c r="C15" s="108"/>
      <c r="D15" s="108">
        <v>-2.3E-3</v>
      </c>
      <c r="E15" s="45">
        <f t="shared" si="3"/>
        <v>0</v>
      </c>
      <c r="F15" s="3"/>
      <c r="G15" s="52" t="s">
        <v>4567</v>
      </c>
      <c r="H15" s="44">
        <f>S8</f>
        <v>59940.912616554437</v>
      </c>
      <c r="I15" s="44">
        <f>T8</f>
        <v>59915.76</v>
      </c>
      <c r="J15" s="45">
        <f t="shared" si="4"/>
        <v>0.99958037648316544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3"/>
    </row>
    <row r="16" spans="2:21">
      <c r="B16" s="62" t="s">
        <v>4568</v>
      </c>
      <c r="C16" s="45"/>
      <c r="D16" s="45"/>
      <c r="E16" s="45">
        <f t="shared" si="3"/>
        <v>0</v>
      </c>
      <c r="F16" s="3"/>
      <c r="G16" s="53" t="s">
        <v>4568</v>
      </c>
      <c r="H16" s="54">
        <f>SUM(H13:H15)</f>
        <v>174054.92389774969</v>
      </c>
      <c r="I16" s="54">
        <f>SUM(I13:I15)</f>
        <v>158237.74000000002</v>
      </c>
      <c r="J16" s="45">
        <f t="shared" si="4"/>
        <v>0.90912532927226108</v>
      </c>
      <c r="K16" s="2"/>
      <c r="L16" s="67"/>
      <c r="M16" s="68" t="s">
        <v>4574</v>
      </c>
      <c r="N16" s="69"/>
      <c r="O16" s="69"/>
      <c r="P16" s="70"/>
      <c r="Q16" s="68" t="s">
        <v>4267</v>
      </c>
      <c r="R16" s="69"/>
      <c r="S16" s="2"/>
      <c r="T16" s="2"/>
      <c r="U16" s="3"/>
    </row>
    <row r="17" spans="2:21">
      <c r="B17" s="63"/>
      <c r="C17" s="48"/>
      <c r="D17" s="55"/>
      <c r="E17" s="56"/>
      <c r="F17" s="3"/>
      <c r="G17" s="48"/>
      <c r="H17" s="48"/>
      <c r="I17" s="55"/>
      <c r="J17" s="56"/>
      <c r="K17" s="2"/>
      <c r="L17" s="71"/>
      <c r="M17" s="72" t="s">
        <v>4575</v>
      </c>
      <c r="N17" s="73" t="s">
        <v>4571</v>
      </c>
      <c r="O17" s="56"/>
      <c r="P17" s="55"/>
      <c r="Q17" s="72" t="s">
        <v>4575</v>
      </c>
      <c r="R17" s="73" t="s">
        <v>4571</v>
      </c>
      <c r="S17" s="2"/>
      <c r="T17" s="2"/>
      <c r="U17" s="3"/>
    </row>
    <row r="18" spans="2:21">
      <c r="B18" s="133" t="s">
        <v>4576</v>
      </c>
      <c r="C18" s="135"/>
      <c r="D18" s="55"/>
      <c r="E18" s="56"/>
      <c r="F18" s="3"/>
      <c r="G18" s="136" t="s">
        <v>4576</v>
      </c>
      <c r="H18" s="135"/>
      <c r="I18" s="55"/>
      <c r="J18" s="56"/>
      <c r="K18" s="2"/>
      <c r="L18" s="74">
        <v>45992</v>
      </c>
      <c r="M18" s="75">
        <v>6209885</v>
      </c>
      <c r="N18" s="56"/>
      <c r="O18" s="56"/>
      <c r="P18" s="74">
        <v>45992</v>
      </c>
      <c r="Q18" s="75">
        <v>6277938</v>
      </c>
      <c r="R18" s="56"/>
      <c r="S18" s="2"/>
      <c r="T18" s="2"/>
      <c r="U18" s="3"/>
    </row>
    <row r="19" spans="2:21">
      <c r="B19" s="62" t="s">
        <v>4560</v>
      </c>
      <c r="C19" s="45">
        <f>E10*C3</f>
        <v>0.40579670648610494</v>
      </c>
      <c r="D19" s="55"/>
      <c r="E19" s="56"/>
      <c r="F19" s="3"/>
      <c r="G19" s="53" t="s">
        <v>4562</v>
      </c>
      <c r="H19" s="45">
        <f>J10*H3</f>
        <v>0.44498619371282927</v>
      </c>
      <c r="I19" s="55"/>
      <c r="J19" s="56"/>
      <c r="K19" s="2"/>
      <c r="L19" s="74">
        <f>EDATE(L18,1)</f>
        <v>46023</v>
      </c>
      <c r="M19" s="75">
        <v>6418167</v>
      </c>
      <c r="N19" s="76">
        <v>1.9E-3</v>
      </c>
      <c r="O19" s="56"/>
      <c r="P19" s="74">
        <f>EDATE(P18,1)</f>
        <v>46023</v>
      </c>
      <c r="Q19" s="75">
        <v>6289116</v>
      </c>
      <c r="R19" s="77">
        <f>D13</f>
        <v>1.5800000000000002E-2</v>
      </c>
      <c r="S19" s="109"/>
      <c r="T19" s="2"/>
      <c r="U19" s="3"/>
    </row>
    <row r="20" spans="2:21">
      <c r="B20" s="62" t="s">
        <v>4571</v>
      </c>
      <c r="C20" s="45">
        <f>E16*C4</f>
        <v>0</v>
      </c>
      <c r="D20" s="55"/>
      <c r="E20" s="56"/>
      <c r="F20" s="3"/>
      <c r="G20" s="52" t="s">
        <v>4577</v>
      </c>
      <c r="H20" s="45">
        <f>J16*H4</f>
        <v>0.45456266463613054</v>
      </c>
      <c r="I20" s="55"/>
      <c r="J20" s="56"/>
      <c r="K20" s="2"/>
      <c r="L20" s="74">
        <f t="shared" ref="L20:L21" si="5">EDATE(L19,1)</f>
        <v>46054</v>
      </c>
      <c r="M20" s="75">
        <v>6641517</v>
      </c>
      <c r="N20" s="76">
        <v>5.0000000000000001E-4</v>
      </c>
      <c r="O20" s="56"/>
      <c r="P20" s="74">
        <f t="shared" ref="P20:P21" si="6">EDATE(P19,1)</f>
        <v>46054</v>
      </c>
      <c r="Q20" s="75">
        <v>6340816</v>
      </c>
      <c r="R20" s="77">
        <f>D14</f>
        <v>0.01</v>
      </c>
      <c r="S20" s="2"/>
      <c r="T20" s="2"/>
      <c r="U20" s="3"/>
    </row>
    <row r="21" spans="2:21">
      <c r="B21" s="62" t="s">
        <v>4267</v>
      </c>
      <c r="C21" s="45">
        <f>C19+C20</f>
        <v>0.40579670648610494</v>
      </c>
      <c r="D21" s="55"/>
      <c r="E21" s="56"/>
      <c r="F21" s="3"/>
      <c r="G21" s="53" t="s">
        <v>4267</v>
      </c>
      <c r="H21" s="45">
        <f>H19+H20</f>
        <v>0.89954885834895981</v>
      </c>
      <c r="I21" s="55"/>
      <c r="J21" s="56"/>
      <c r="K21" s="2"/>
      <c r="L21" s="74">
        <f t="shared" si="5"/>
        <v>46082</v>
      </c>
      <c r="M21" s="55"/>
      <c r="N21" s="76">
        <v>-1.2999999999999999E-3</v>
      </c>
      <c r="O21" s="56"/>
      <c r="P21" s="74">
        <f t="shared" si="6"/>
        <v>46082</v>
      </c>
      <c r="Q21" s="55"/>
      <c r="R21" s="77">
        <f>D15</f>
        <v>-2.3E-3</v>
      </c>
      <c r="S21" s="2"/>
      <c r="T21" s="2"/>
      <c r="U21" s="3"/>
    </row>
    <row r="22" spans="2:21">
      <c r="B22" s="63"/>
      <c r="C22" s="48"/>
      <c r="D22" s="48"/>
      <c r="E22" s="56"/>
      <c r="F22" s="3"/>
      <c r="G22" s="48"/>
      <c r="H22" s="48"/>
      <c r="I22" s="48"/>
      <c r="J22" s="56"/>
      <c r="K22" s="2"/>
      <c r="L22" s="71"/>
      <c r="M22" s="55"/>
      <c r="N22" s="56"/>
      <c r="O22" s="56"/>
      <c r="P22" s="55"/>
      <c r="Q22" s="55"/>
      <c r="R22" s="56"/>
      <c r="S22" s="2"/>
      <c r="T22" s="2"/>
      <c r="U22" s="3"/>
    </row>
    <row r="23" spans="2:21">
      <c r="B23" s="133" t="s">
        <v>4578</v>
      </c>
      <c r="C23" s="134"/>
      <c r="D23" s="135"/>
      <c r="E23" s="56"/>
      <c r="F23" s="3"/>
      <c r="G23" s="136" t="s">
        <v>4579</v>
      </c>
      <c r="H23" s="134"/>
      <c r="I23" s="135"/>
      <c r="J23" s="56"/>
      <c r="K23" s="2"/>
      <c r="L23" s="78" t="s">
        <v>4580</v>
      </c>
      <c r="M23" s="79">
        <f>((M18*N19)+(M19*N20)+(M20*N21))/(M18+M19+M20)</f>
        <v>3.3077506300218756E-4</v>
      </c>
      <c r="N23" s="49"/>
      <c r="O23" s="56"/>
      <c r="P23" s="80" t="s">
        <v>4580</v>
      </c>
      <c r="Q23" s="79">
        <f>((Q18*R19)+(Q19*R20)+(Q20*R21))/(Q18+Q19+Q20)</f>
        <v>7.8009158937521784E-3</v>
      </c>
      <c r="R23" s="49"/>
      <c r="S23" s="2"/>
      <c r="T23" s="2"/>
      <c r="U23" s="3"/>
    </row>
    <row r="24" spans="2:21">
      <c r="B24" s="62" t="s">
        <v>4581</v>
      </c>
      <c r="C24" s="53" t="s">
        <v>4427</v>
      </c>
      <c r="D24" s="53" t="s">
        <v>4582</v>
      </c>
      <c r="E24" s="56"/>
      <c r="F24" s="3"/>
      <c r="G24" s="53" t="s">
        <v>4523</v>
      </c>
      <c r="H24" s="53" t="s">
        <v>4427</v>
      </c>
      <c r="I24" s="53" t="s">
        <v>4583</v>
      </c>
      <c r="J24" s="56"/>
      <c r="K24" s="2"/>
      <c r="L24" s="71"/>
      <c r="M24" s="55"/>
      <c r="N24" s="55"/>
      <c r="O24" s="55"/>
      <c r="P24" s="55"/>
      <c r="Q24" s="55"/>
      <c r="R24" s="56"/>
      <c r="S24" s="2"/>
      <c r="T24" s="2"/>
      <c r="U24" s="3"/>
    </row>
    <row r="25" spans="2:21">
      <c r="B25" s="62" t="s">
        <v>4584</v>
      </c>
      <c r="C25" s="57">
        <v>13200</v>
      </c>
      <c r="D25" s="53" t="s">
        <v>4585</v>
      </c>
      <c r="E25" s="64" t="str">
        <f>IF(AND(C21&gt;=0.7,C21&lt;0.9),C25,"")</f>
        <v/>
      </c>
      <c r="F25" s="3"/>
      <c r="G25" s="53" t="s">
        <v>4584</v>
      </c>
      <c r="H25" s="57">
        <v>6000</v>
      </c>
      <c r="I25" s="58">
        <v>0.8</v>
      </c>
      <c r="J25" s="59">
        <f>IF(AND(H21&gt;=0.7,H21&lt;0.9),H25,"")</f>
        <v>6000</v>
      </c>
      <c r="K25" s="2"/>
      <c r="L25" s="71"/>
      <c r="M25" s="55"/>
      <c r="N25" s="55"/>
      <c r="O25" s="55"/>
      <c r="P25" s="55"/>
      <c r="Q25" s="55"/>
      <c r="R25" s="56"/>
      <c r="S25" s="2"/>
      <c r="T25" s="2"/>
      <c r="U25" s="3"/>
    </row>
    <row r="26" spans="2:21">
      <c r="B26" s="62" t="s">
        <v>4586</v>
      </c>
      <c r="C26" s="57">
        <v>17600</v>
      </c>
      <c r="D26" s="53" t="s">
        <v>4587</v>
      </c>
      <c r="E26" s="65" t="str">
        <f>IF(AND(C21&gt;=0.9,C21&lt;1.1),C26,"")</f>
        <v/>
      </c>
      <c r="F26" s="3"/>
      <c r="G26" s="53" t="s">
        <v>4586</v>
      </c>
      <c r="H26" s="57">
        <v>7500</v>
      </c>
      <c r="I26" s="58">
        <v>1</v>
      </c>
      <c r="J26" s="59" t="str">
        <f>IFERROR(IF(AND(H21&gt;=0.9,H21&lt;1.1),H26,"") + ((H21-0.9)*H26),"")</f>
        <v/>
      </c>
      <c r="K26" s="2"/>
      <c r="L26" s="63"/>
      <c r="M26" s="48"/>
      <c r="N26" s="48"/>
      <c r="O26" s="48"/>
      <c r="P26" s="81" t="s">
        <v>4522</v>
      </c>
      <c r="Q26" s="82">
        <f>1-(Q23/M23)</f>
        <v>-22.583748493460607</v>
      </c>
      <c r="R26" s="49"/>
      <c r="S26" s="2"/>
      <c r="T26" s="2"/>
      <c r="U26" s="3"/>
    </row>
    <row r="27" spans="2:21">
      <c r="B27" s="62" t="s">
        <v>4588</v>
      </c>
      <c r="C27" s="57">
        <v>22000</v>
      </c>
      <c r="D27" s="53" t="s">
        <v>4589</v>
      </c>
      <c r="E27" s="66" t="str">
        <f>IF(C21&gt;=1.1,C27,"")</f>
        <v/>
      </c>
      <c r="F27" s="6"/>
      <c r="G27" s="53" t="s">
        <v>4588</v>
      </c>
      <c r="H27" s="57">
        <v>9000</v>
      </c>
      <c r="I27" s="58">
        <v>1.2</v>
      </c>
      <c r="J27" s="49" t="str">
        <f>IF(H21&gt;=1.1,H27,"")</f>
        <v/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6"/>
    </row>
  </sheetData>
  <mergeCells count="10">
    <mergeCell ref="B23:D23"/>
    <mergeCell ref="G23:I23"/>
    <mergeCell ref="B2:E2"/>
    <mergeCell ref="G2:J2"/>
    <mergeCell ref="L2:U2"/>
    <mergeCell ref="M3:O3"/>
    <mergeCell ref="P3:R3"/>
    <mergeCell ref="S3:U3"/>
    <mergeCell ref="B18:C18"/>
    <mergeCell ref="G18:H1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113CC-C2E0-4443-A6A1-391C51592E3C}">
  <dimension ref="A1:E10"/>
  <sheetViews>
    <sheetView workbookViewId="0">
      <selection activeCell="E10" sqref="E10"/>
    </sheetView>
  </sheetViews>
  <sheetFormatPr defaultRowHeight="15"/>
  <cols>
    <col min="1" max="1" width="9.140625" style="7"/>
    <col min="2" max="2" width="15.5703125" style="7" bestFit="1" customWidth="1"/>
    <col min="3" max="3" width="11.42578125" style="7" bestFit="1" customWidth="1"/>
    <col min="4" max="4" width="13.85546875" style="7" bestFit="1" customWidth="1"/>
    <col min="5" max="5" width="9.140625" style="10"/>
  </cols>
  <sheetData>
    <row r="1" spans="1:5">
      <c r="A1" s="7" t="s">
        <v>4265</v>
      </c>
      <c r="B1" s="7" t="s">
        <v>4317</v>
      </c>
      <c r="C1" s="7" t="s">
        <v>4590</v>
      </c>
      <c r="D1" s="7" t="s">
        <v>4591</v>
      </c>
      <c r="E1" s="10" t="s">
        <v>4423</v>
      </c>
    </row>
    <row r="2" spans="1:5">
      <c r="A2" s="7">
        <v>3</v>
      </c>
      <c r="B2" s="7" t="s">
        <v>314</v>
      </c>
      <c r="C2" s="7">
        <f>COUNTIFS(Comissões!B:B,'Atingimento de Meta'!A2,Comissões!E:E,'Atingimento de Meta'!B2,Comissões!F:F,"&lt;&gt;Gestor")</f>
        <v>2</v>
      </c>
      <c r="D2" s="7">
        <f>COUNTIFS(Comissões!B:B,'Atingimento de Meta'!A2,Comissões!E:E,'Atingimento de Meta'!B2,Comissões!F:F,"&lt;&gt;Gestor",Comissões!K:K,"&gt;=1")</f>
        <v>0</v>
      </c>
      <c r="E2" s="10">
        <f>D2/C2</f>
        <v>0</v>
      </c>
    </row>
    <row r="3" spans="1:5">
      <c r="A3" s="7">
        <v>3</v>
      </c>
      <c r="B3" s="7" t="s">
        <v>91</v>
      </c>
      <c r="C3" s="7">
        <f>COUNTIFS(Comissões!B:B,'Atingimento de Meta'!A3,Comissões!E:E,'Atingimento de Meta'!B3,Comissões!F:F,"&lt;&gt;Gestor")</f>
        <v>3</v>
      </c>
      <c r="D3" s="7">
        <f>COUNTIFS(Comissões!B:B,'Atingimento de Meta'!A3,Comissões!E:E,'Atingimento de Meta'!B3,Comissões!F:F,"&lt;&gt;Gestor",Comissões!K:K,"&gt;=1")</f>
        <v>2</v>
      </c>
      <c r="E3" s="10">
        <f t="shared" ref="E3:E10" si="0">D3/C3</f>
        <v>0.66666666666666663</v>
      </c>
    </row>
    <row r="4" spans="1:5">
      <c r="A4" s="7">
        <v>3</v>
      </c>
      <c r="B4" s="7" t="s">
        <v>349</v>
      </c>
      <c r="C4" s="7">
        <f>COUNTIFS(Comissões!B:B,'Atingimento de Meta'!A4,Comissões!E:E,'Atingimento de Meta'!B4,Comissões!F:F,"&lt;&gt;Gestor")</f>
        <v>1</v>
      </c>
      <c r="D4" s="7">
        <f>COUNTIFS(Comissões!B:B,'Atingimento de Meta'!A4,Comissões!E:E,'Atingimento de Meta'!B4,Comissões!F:F,"&lt;&gt;Gestor",Comissões!K:K,"&gt;=1")</f>
        <v>1</v>
      </c>
      <c r="E4" s="10">
        <f t="shared" si="0"/>
        <v>1</v>
      </c>
    </row>
    <row r="5" spans="1:5">
      <c r="A5" s="7">
        <v>3</v>
      </c>
      <c r="B5" s="7" t="s">
        <v>191</v>
      </c>
      <c r="C5" s="7">
        <f>COUNTIFS(Comissões!B:B,'Atingimento de Meta'!A5,Comissões!E:E,'Atingimento de Meta'!B5,Comissões!F:F,"&lt;&gt;Gestor")</f>
        <v>6</v>
      </c>
      <c r="D5" s="7">
        <f>COUNTIFS(Comissões!B:B,'Atingimento de Meta'!A5,Comissões!E:E,'Atingimento de Meta'!B5,Comissões!F:F,"&lt;&gt;Gestor",Comissões!K:K,"&gt;=1")</f>
        <v>3</v>
      </c>
      <c r="E5" s="10">
        <f t="shared" si="0"/>
        <v>0.5</v>
      </c>
    </row>
    <row r="6" spans="1:5">
      <c r="A6" s="7">
        <v>3</v>
      </c>
      <c r="B6" s="7" t="s">
        <v>300</v>
      </c>
      <c r="C6" s="7">
        <f>COUNTIFS(Comissões!B:B,'Atingimento de Meta'!A6,Comissões!E:E,'Atingimento de Meta'!B6,Comissões!F:F,"&lt;&gt;Gestor")</f>
        <v>5</v>
      </c>
      <c r="D6" s="7">
        <f>COUNTIFS(Comissões!B:B,'Atingimento de Meta'!A6,Comissões!E:E,'Atingimento de Meta'!B6,Comissões!F:F,"&lt;&gt;Gestor",Comissões!K:K,"&gt;=1")</f>
        <v>4</v>
      </c>
      <c r="E6" s="10">
        <f t="shared" si="0"/>
        <v>0.8</v>
      </c>
    </row>
    <row r="7" spans="1:5">
      <c r="A7" s="7">
        <v>3</v>
      </c>
      <c r="B7" s="7" t="s">
        <v>111</v>
      </c>
      <c r="C7" s="7">
        <f>COUNTIFS(Comissões!B:B,'Atingimento de Meta'!A7,Comissões!E:E,'Atingimento de Meta'!B7,Comissões!F:F,"&lt;&gt;Gestor")</f>
        <v>7</v>
      </c>
      <c r="D7" s="7">
        <f>COUNTIFS(Comissões!B:B,'Atingimento de Meta'!A7,Comissões!E:E,'Atingimento de Meta'!B7,Comissões!F:F,"&lt;&gt;Gestor",Comissões!K:K,"&gt;=1")</f>
        <v>6</v>
      </c>
      <c r="E7" s="10">
        <f t="shared" si="0"/>
        <v>0.8571428571428571</v>
      </c>
    </row>
    <row r="8" spans="1:5">
      <c r="A8" s="7">
        <v>3</v>
      </c>
      <c r="B8" s="7" t="s">
        <v>4346</v>
      </c>
      <c r="C8" s="7">
        <f>COUNTIFS('Comissões GD'!B:B,A8,'Comissões GD'!E:E,B8,'Comissões GD'!F:F,"&lt;&gt;Gestor")</f>
        <v>10</v>
      </c>
      <c r="D8" s="7">
        <f>COUNTIFS('Comissões GD'!B:B,A8,'Comissões GD'!E:E,B8,'Comissões GD'!F:F,"&lt;&gt;Gestor",'Comissões GD'!K:K,"&gt;=1")</f>
        <v>3</v>
      </c>
      <c r="E8" s="10">
        <f t="shared" si="0"/>
        <v>0.3</v>
      </c>
    </row>
    <row r="9" spans="1:5">
      <c r="A9" s="7">
        <v>3</v>
      </c>
      <c r="B9" s="7" t="s">
        <v>37</v>
      </c>
      <c r="C9" s="7">
        <f>COUNTIFS('Comissões B2G'!B:B,A9)</f>
        <v>10</v>
      </c>
      <c r="D9" s="7">
        <f>COUNTIFS('Comissões B2G'!B:B,A9,'Comissões B2G'!P:P,"&gt;=1")</f>
        <v>6</v>
      </c>
      <c r="E9" s="10">
        <f t="shared" si="0"/>
        <v>0.6</v>
      </c>
    </row>
    <row r="10" spans="1:5">
      <c r="A10" s="7">
        <v>3</v>
      </c>
      <c r="B10" s="7" t="s">
        <v>4592</v>
      </c>
      <c r="C10" s="7">
        <f>SUM(C2:C9)</f>
        <v>44</v>
      </c>
      <c r="D10" s="7">
        <f>SUM(D2:D9)</f>
        <v>25</v>
      </c>
      <c r="E10" s="10">
        <f t="shared" si="0"/>
        <v>0.56818181818181823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Higor Nocetti</cp:lastModifiedBy>
  <cp:revision/>
  <dcterms:created xsi:type="dcterms:W3CDTF">2026-02-20T17:06:26Z</dcterms:created>
  <dcterms:modified xsi:type="dcterms:W3CDTF">2026-06-24T12:33:30Z</dcterms:modified>
  <cp:category/>
  <cp:contentStatus/>
</cp:coreProperties>
</file>